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380" windowHeight="22040" tabRatio="646"/>
  </bookViews>
  <sheets>
    <sheet name="收入类台账" sheetId="2" r:id="rId1"/>
    <sheet name="支出类台账" sheetId="5" r:id="rId2"/>
    <sheet name="Sheet3" sheetId="7" state="hidden" r:id="rId3"/>
  </sheets>
  <definedNames>
    <definedName name="_xlnm._FilterDatabase" localSheetId="0" hidden="1">收入类台账!$A$1:$CH$2721</definedName>
    <definedName name="_xlnm._FilterDatabase" localSheetId="1" hidden="1">支出类台账!$A$3:$AX$2643</definedName>
    <definedName name="WebWps_Link_1" hidden="1">支出类台账!$P$2101:$P$2101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BF304" authorId="0">
      <text>
        <r>
          <rPr>
            <b/>
            <sz val="9"/>
            <rFont val="宋体"/>
            <charset val="0"/>
          </rPr>
          <t>白贞环:</t>
        </r>
        <r>
          <rPr>
            <sz val="9"/>
            <rFont val="宋体"/>
            <charset val="0"/>
          </rPr>
          <t xml:space="preserve">
外委产值为888297.13</t>
        </r>
      </text>
    </comment>
    <comment ref="BT304" authorId="0">
      <text>
        <r>
          <rPr>
            <b/>
            <sz val="9"/>
            <rFont val="宋体"/>
            <charset val="0"/>
          </rPr>
          <t>白贞环:</t>
        </r>
        <r>
          <rPr>
            <sz val="9"/>
            <rFont val="宋体"/>
            <charset val="0"/>
          </rPr>
          <t xml:space="preserve">
外委产值为888297.13</t>
        </r>
      </text>
    </comment>
    <comment ref="BF305" authorId="0">
      <text>
        <r>
          <rPr>
            <b/>
            <sz val="9"/>
            <rFont val="宋体"/>
            <charset val="0"/>
          </rPr>
          <t>白贞环:</t>
        </r>
        <r>
          <rPr>
            <sz val="9"/>
            <rFont val="宋体"/>
            <charset val="0"/>
          </rPr>
          <t xml:space="preserve">
该部分扣除4357.9元，为上海院部分</t>
        </r>
        <r>
          <rPr>
            <b/>
            <sz val="9"/>
            <rFont val="宋体"/>
            <charset val="0"/>
          </rPr>
          <t xml:space="preserve">
白贞环:</t>
        </r>
        <r>
          <rPr>
            <sz val="9"/>
            <rFont val="宋体"/>
            <charset val="0"/>
          </rPr>
          <t xml:space="preserve">
外委产值350960.95</t>
        </r>
      </text>
    </comment>
    <comment ref="BT305" authorId="0">
      <text>
        <r>
          <rPr>
            <b/>
            <sz val="9"/>
            <rFont val="宋体"/>
            <charset val="0"/>
          </rPr>
          <t>白贞环:</t>
        </r>
        <r>
          <rPr>
            <sz val="9"/>
            <rFont val="宋体"/>
            <charset val="0"/>
          </rPr>
          <t xml:space="preserve">
该部分扣除4357.9元，为上海院部分</t>
        </r>
        <r>
          <rPr>
            <b/>
            <sz val="9"/>
            <rFont val="宋体"/>
            <charset val="0"/>
          </rPr>
          <t xml:space="preserve">
白贞环:</t>
        </r>
        <r>
          <rPr>
            <sz val="9"/>
            <rFont val="宋体"/>
            <charset val="0"/>
          </rPr>
          <t xml:space="preserve">
外委产值350960.95</t>
        </r>
      </text>
    </comment>
    <comment ref="C397" authorId="0">
      <text>
        <r>
          <rPr>
            <b/>
            <sz val="9"/>
            <rFont val="宋体"/>
            <charset val="0"/>
          </rPr>
          <t>猫薄荷:</t>
        </r>
        <r>
          <rPr>
            <sz val="9"/>
            <rFont val="宋体"/>
            <charset val="0"/>
          </rPr>
          <t xml:space="preserve">
实际为25年签订，汇总25年数据时手动调整</t>
        </r>
      </text>
    </comment>
    <comment ref="C427" authorId="0">
      <text>
        <r>
          <rPr>
            <b/>
            <sz val="9"/>
            <rFont val="宋体"/>
            <charset val="0"/>
          </rPr>
          <t>猫薄荷:</t>
        </r>
        <r>
          <rPr>
            <sz val="9"/>
            <rFont val="宋体"/>
            <charset val="0"/>
          </rPr>
          <t xml:space="preserve">
已算去年合同额，25年考核时应手动减除</t>
        </r>
      </text>
    </comment>
    <comment ref="C614" authorId="0">
      <text>
        <r>
          <rPr>
            <b/>
            <sz val="9"/>
            <rFont val="宋体"/>
            <charset val="0"/>
          </rPr>
          <t>原。:</t>
        </r>
        <r>
          <rPr>
            <sz val="9"/>
            <rFont val="宋体"/>
            <charset val="0"/>
          </rPr>
          <t xml:space="preserve">
合同签约日期2025年1月21日</t>
        </r>
      </text>
    </comment>
    <comment ref="AF1695" authorId="0">
      <text>
        <r>
          <rPr>
            <b/>
            <sz val="9"/>
            <rFont val="宋体"/>
            <charset val="0"/>
          </rPr>
          <t>白贞环:</t>
        </r>
        <r>
          <rPr>
            <sz val="9"/>
            <rFont val="宋体"/>
            <charset val="0"/>
          </rPr>
          <t xml:space="preserve">
结算对应修改节点金额</t>
        </r>
      </text>
    </comment>
    <comment ref="AG2538" authorId="0">
      <text>
        <r>
          <rPr>
            <b/>
            <sz val="9"/>
            <rFont val="宋体"/>
            <charset val="0"/>
          </rPr>
          <t>猫薄荷:</t>
        </r>
        <r>
          <rPr>
            <sz val="9"/>
            <rFont val="宋体"/>
            <charset val="0"/>
          </rPr>
          <t xml:space="preserve">
幕墙两项交叉扣款5万
</t>
        </r>
      </text>
    </comment>
    <comment ref="AJ2538" authorId="0">
      <text>
        <r>
          <rPr>
            <b/>
            <sz val="9"/>
            <rFont val="宋体"/>
            <charset val="0"/>
          </rPr>
          <t>猫薄荷:</t>
        </r>
        <r>
          <rPr>
            <sz val="9"/>
            <rFont val="宋体"/>
            <charset val="0"/>
          </rPr>
          <t xml:space="preserve">
幕墙两项交叉扣款5万
</t>
        </r>
      </text>
    </comment>
    <comment ref="AL2538" authorId="0">
      <text>
        <r>
          <rPr>
            <b/>
            <sz val="9"/>
            <rFont val="宋体"/>
            <charset val="0"/>
          </rPr>
          <t>猫薄荷:</t>
        </r>
        <r>
          <rPr>
            <sz val="9"/>
            <rFont val="宋体"/>
            <charset val="0"/>
          </rPr>
          <t xml:space="preserve">
幕墙两项交叉扣款5万
</t>
        </r>
      </text>
    </comment>
    <comment ref="AG2544" authorId="0">
      <text>
        <r>
          <rPr>
            <b/>
            <sz val="9"/>
            <rFont val="宋体"/>
            <charset val="0"/>
          </rPr>
          <t>猫薄荷:</t>
        </r>
        <r>
          <rPr>
            <sz val="9"/>
            <rFont val="宋体"/>
            <charset val="0"/>
          </rPr>
          <t xml:space="preserve">
幕墙两项交叉扣款5万
</t>
        </r>
      </text>
    </comment>
    <comment ref="AJ2544" authorId="0">
      <text>
        <r>
          <rPr>
            <b/>
            <sz val="9"/>
            <rFont val="宋体"/>
            <charset val="0"/>
          </rPr>
          <t>猫薄荷:</t>
        </r>
        <r>
          <rPr>
            <sz val="9"/>
            <rFont val="宋体"/>
            <charset val="0"/>
          </rPr>
          <t xml:space="preserve">
幕墙两项交叉扣款5万
</t>
        </r>
      </text>
    </comment>
    <comment ref="AL2544" authorId="0">
      <text>
        <r>
          <rPr>
            <b/>
            <sz val="9"/>
            <rFont val="宋体"/>
            <charset val="0"/>
          </rPr>
          <t>猫薄荷:</t>
        </r>
        <r>
          <rPr>
            <sz val="9"/>
            <rFont val="宋体"/>
            <charset val="0"/>
          </rPr>
          <t xml:space="preserve">
幕墙两项交叉扣款5万
</t>
        </r>
      </text>
    </comment>
    <comment ref="AG2627" authorId="0">
      <text>
        <r>
          <rPr>
            <b/>
            <sz val="9"/>
            <rFont val="宋体"/>
            <charset val="0"/>
          </rPr>
          <t>猫薄荷:</t>
        </r>
        <r>
          <rPr>
            <sz val="9"/>
            <rFont val="宋体"/>
            <charset val="0"/>
          </rPr>
          <t xml:space="preserve">
上海三个项目  注意外委成本匹配
</t>
        </r>
      </text>
    </comment>
    <comment ref="AG2635" authorId="0">
      <text>
        <r>
          <rPr>
            <b/>
            <sz val="9"/>
            <rFont val="宋体"/>
            <charset val="0"/>
          </rPr>
          <t>猫薄荷:</t>
        </r>
        <r>
          <rPr>
            <sz val="9"/>
            <rFont val="宋体"/>
            <charset val="0"/>
          </rPr>
          <t xml:space="preserve">
上海三个项目  注意外委成本匹配
</t>
        </r>
      </text>
    </comment>
    <comment ref="M2644" authorId="0">
      <text>
        <r>
          <rPr>
            <b/>
            <sz val="9"/>
            <rFont val="宋体"/>
            <charset val="0"/>
          </rPr>
          <t>猫薄荷:</t>
        </r>
        <r>
          <rPr>
            <sz val="9"/>
            <rFont val="宋体"/>
            <charset val="0"/>
          </rPr>
          <t xml:space="preserve">
合同额未分配</t>
        </r>
        <r>
          <rPr>
            <b/>
            <sz val="9"/>
            <rFont val="宋体"/>
            <charset val="0"/>
          </rPr>
          <t xml:space="preserve">
猫薄荷:</t>
        </r>
        <r>
          <rPr>
            <sz val="9"/>
            <rFont val="宋体"/>
            <charset val="0"/>
          </rPr>
          <t xml:space="preserve">
合同额未分配到部门
</t>
        </r>
      </text>
    </comment>
    <comment ref="U2663" authorId="0">
      <text>
        <r>
          <rPr>
            <b/>
            <sz val="9"/>
            <rFont val="宋体"/>
            <charset val="0"/>
          </rPr>
          <t>白贞环:</t>
        </r>
        <r>
          <rPr>
            <sz val="9"/>
            <rFont val="宋体"/>
            <charset val="0"/>
          </rPr>
          <t xml:space="preserve">
需要根据优化价值计算</t>
        </r>
      </text>
    </comment>
    <comment ref="BH2671" authorId="0">
      <text>
        <r>
          <rPr>
            <b/>
            <sz val="9"/>
            <rFont val="宋体"/>
            <charset val="0"/>
          </rPr>
          <t>白贞环:</t>
        </r>
        <r>
          <rPr>
            <sz val="9"/>
            <rFont val="宋体"/>
            <charset val="0"/>
          </rPr>
          <t xml:space="preserve">
此次分配已减掉在42中多分的</t>
        </r>
      </text>
    </comment>
    <comment ref="BN2671" authorId="0">
      <text>
        <r>
          <rPr>
            <b/>
            <sz val="9"/>
            <rFont val="宋体"/>
            <charset val="0"/>
          </rPr>
          <t>白贞环:</t>
        </r>
        <r>
          <rPr>
            <sz val="9"/>
            <rFont val="宋体"/>
            <charset val="0"/>
          </rPr>
          <t xml:space="preserve">
已在此次分配减掉42多分的</t>
        </r>
      </text>
    </comment>
    <comment ref="BN2676" authorId="0">
      <text>
        <r>
          <rPr>
            <b/>
            <sz val="9"/>
            <rFont val="宋体"/>
            <charset val="0"/>
          </rPr>
          <t>白贞环:</t>
        </r>
        <r>
          <rPr>
            <sz val="9"/>
            <rFont val="宋体"/>
            <charset val="0"/>
          </rPr>
          <t xml:space="preserve">
自揽1565，其余外委</t>
        </r>
      </text>
    </comment>
  </commentList>
</comments>
</file>

<file path=xl/comments2.xml><?xml version="1.0" encoding="utf-8"?>
<comments xmlns="http://schemas.openxmlformats.org/spreadsheetml/2006/main">
  <authors>
    <author>Unknown User</author>
  </authors>
  <commentList>
    <comment ref="Q435" authorId="0">
      <text>
        <r>
          <rPr>
            <b/>
            <sz val="9"/>
            <rFont val="宋体"/>
            <charset val="0"/>
          </rPr>
          <t>水滴霓虹:</t>
        </r>
        <r>
          <rPr>
            <sz val="9"/>
            <rFont val="宋体"/>
            <charset val="0"/>
          </rPr>
          <t xml:space="preserve">
项目管理中心
</t>
        </r>
      </text>
    </comment>
    <comment ref="Q1361" authorId="0">
      <text>
        <r>
          <rPr>
            <b/>
            <sz val="9"/>
            <rFont val="宋体"/>
            <charset val="0"/>
          </rPr>
          <t>猫薄荷:</t>
        </r>
        <r>
          <rPr>
            <sz val="9"/>
            <rFont val="宋体"/>
            <charset val="0"/>
          </rPr>
          <t xml:space="preserve">
与然铉交叉扣款5万
</t>
        </r>
      </text>
    </comment>
    <comment ref="P1370" authorId="0">
      <text>
        <r>
          <rPr>
            <b/>
            <sz val="9"/>
            <rFont val="宋体"/>
            <charset val="0"/>
          </rPr>
          <t>猫薄荷:</t>
        </r>
        <r>
          <rPr>
            <sz val="9"/>
            <rFont val="宋体"/>
            <charset val="0"/>
          </rPr>
          <t xml:space="preserve">
配合不及时，进度款扣5万给慕名
</t>
        </r>
      </text>
    </comment>
    <comment ref="P1371" authorId="0">
      <text>
        <r>
          <rPr>
            <b/>
            <sz val="9"/>
            <rFont val="宋体"/>
            <charset val="0"/>
          </rPr>
          <t>猫薄荷:</t>
        </r>
        <r>
          <rPr>
            <sz val="9"/>
            <rFont val="宋体"/>
            <charset val="0"/>
          </rPr>
          <t xml:space="preserve">
配合不及时 结算时扣5万 
</t>
        </r>
      </text>
    </comment>
    <comment ref="Y1873" authorId="0">
      <text>
        <r>
          <rPr>
            <b/>
            <sz val="9"/>
            <rFont val="宋体"/>
            <charset val="0"/>
          </rPr>
          <t>白贞环:</t>
        </r>
        <r>
          <rPr>
            <sz val="9"/>
            <rFont val="宋体"/>
            <charset val="0"/>
          </rPr>
          <t xml:space="preserve">
甲方嘱咐稍晚点，付款前征求甲方意见</t>
        </r>
      </text>
    </comment>
    <comment ref="P2145" authorId="0">
      <text>
        <r>
          <rPr>
            <b/>
            <sz val="9"/>
            <rFont val="宋体"/>
            <charset val="0"/>
          </rPr>
          <t>白贞环:</t>
        </r>
        <r>
          <rPr>
            <sz val="9"/>
            <rFont val="宋体"/>
            <charset val="0"/>
          </rPr>
          <t xml:space="preserve">
甲方反馈该设计单位保障房造成损失，5000*30？建议扣除5%设计费</t>
        </r>
      </text>
    </comment>
    <comment ref="K2160" authorId="0">
      <text>
        <r>
          <rPr>
            <b/>
            <sz val="9"/>
            <rFont val="宋体"/>
            <charset val="0"/>
          </rPr>
          <t>猫薄荷:</t>
        </r>
        <r>
          <rPr>
            <sz val="9"/>
            <rFont val="宋体"/>
            <charset val="0"/>
          </rPr>
          <t xml:space="preserve">
24年4月合同金额变更为1673504.00
</t>
        </r>
      </text>
    </comment>
    <comment ref="H2246" authorId="0">
      <text>
        <r>
          <rPr>
            <b/>
            <sz val="9"/>
            <rFont val="宋体"/>
            <charset val="0"/>
          </rPr>
          <t>白贞环:</t>
        </r>
        <r>
          <rPr>
            <sz val="9"/>
            <rFont val="宋体"/>
            <charset val="0"/>
          </rPr>
          <t xml:space="preserve">
甲方要求后续合同加入要求：合同图纸报审里面要明确对接政府部门，直到获取施工图审查及消防审查等相关资格证书为止；2025.9.4.李小亮说的</t>
        </r>
      </text>
    </comment>
  </commentList>
</comments>
</file>

<file path=xl/sharedStrings.xml><?xml version="1.0" encoding="utf-8"?>
<sst xmlns="http://schemas.openxmlformats.org/spreadsheetml/2006/main" count="20939" uniqueCount="7711">
  <si>
    <t>项目管理中心策划设计业务收入台账</t>
  </si>
  <si>
    <t>合同基本信息</t>
  </si>
  <si>
    <t>各部门合同额</t>
  </si>
  <si>
    <t>收款条件</t>
  </si>
  <si>
    <t>节点执行情况</t>
  </si>
  <si>
    <t>业务部门履约进展</t>
  </si>
  <si>
    <t>累计</t>
  </si>
  <si>
    <t>各部门收入分配</t>
  </si>
  <si>
    <t>各部门回款分配</t>
  </si>
  <si>
    <t>法律合规</t>
  </si>
  <si>
    <t>开始时间</t>
  </si>
  <si>
    <t>序号</t>
  </si>
  <si>
    <t>区域</t>
  </si>
  <si>
    <t>签订日期</t>
  </si>
  <si>
    <t>项目名称</t>
  </si>
  <si>
    <t>项目编号</t>
  </si>
  <si>
    <t xml:space="preserve"> </t>
  </si>
  <si>
    <t>合同编号</t>
  </si>
  <si>
    <t>类型</t>
  </si>
  <si>
    <t>甲方合同编号</t>
  </si>
  <si>
    <t>甲方单位
名称</t>
  </si>
  <si>
    <t>总建面</t>
  </si>
  <si>
    <t>单价描述</t>
  </si>
  <si>
    <t>合同总金额</t>
  </si>
  <si>
    <t>客研</t>
  </si>
  <si>
    <t>创作中心</t>
  </si>
  <si>
    <t>创作一室</t>
  </si>
  <si>
    <t>创作二室</t>
  </si>
  <si>
    <t>创作三室</t>
  </si>
  <si>
    <t>工程中心</t>
  </si>
  <si>
    <t>工程精装
工作室</t>
  </si>
  <si>
    <t>咨询</t>
  </si>
  <si>
    <t>BIM中心</t>
  </si>
  <si>
    <t>BIM智慧
建造工作室</t>
  </si>
  <si>
    <t>TOD中心</t>
  </si>
  <si>
    <t>精装中心</t>
  </si>
  <si>
    <t>设计研究部</t>
  </si>
  <si>
    <t>项目管理</t>
  </si>
  <si>
    <t>外委归属部门</t>
  </si>
  <si>
    <t>次序</t>
  </si>
  <si>
    <t>合同付款节点</t>
  </si>
  <si>
    <t>比例</t>
  </si>
  <si>
    <t>合同节点金额</t>
  </si>
  <si>
    <t>收入金额</t>
  </si>
  <si>
    <t>形式</t>
  </si>
  <si>
    <t>收入日期</t>
  </si>
  <si>
    <t>产值确认金额</t>
  </si>
  <si>
    <t>产值确认日期</t>
  </si>
  <si>
    <t>实际开票金额</t>
  </si>
  <si>
    <t>开票日期</t>
  </si>
  <si>
    <t>回款金额</t>
  </si>
  <si>
    <t>回款时间</t>
  </si>
  <si>
    <t>应收账款</t>
  </si>
  <si>
    <t>备注</t>
  </si>
  <si>
    <t>设计进度</t>
  </si>
  <si>
    <t>商务
沟通情况</t>
  </si>
  <si>
    <t>成果确认单确认日期</t>
  </si>
  <si>
    <t>累计收入</t>
  </si>
  <si>
    <t>累计开票金额</t>
  </si>
  <si>
    <t>累计回款金额</t>
  </si>
  <si>
    <t>剩余收入</t>
  </si>
  <si>
    <t>已确认收入未开票</t>
  </si>
  <si>
    <t>已开票未回款</t>
  </si>
  <si>
    <t>工程</t>
  </si>
  <si>
    <t>形成方式</t>
  </si>
  <si>
    <t>合同审批方式</t>
  </si>
  <si>
    <t>结束时间</t>
  </si>
  <si>
    <t>说明</t>
  </si>
  <si>
    <t>区域简称</t>
  </si>
  <si>
    <r>
      <rPr>
        <sz val="10"/>
        <color rgb="FF000000"/>
        <rFont val="宋体"/>
        <charset val="134"/>
      </rPr>
      <t>统一以XXXX/X/XX的
日期格式，</t>
    </r>
    <r>
      <rPr>
        <sz val="10"/>
        <color rgb="FF417FF9"/>
        <rFont val="宋体"/>
        <charset val="134"/>
      </rPr>
      <t>预计签订日期字体标蓝</t>
    </r>
  </si>
  <si>
    <t>与项目编号
表的名称一致</t>
  </si>
  <si>
    <t>与项目编号
表的项目号一致</t>
  </si>
  <si>
    <t>合同全称，勿简写</t>
  </si>
  <si>
    <t>法务出具的设计公司编号</t>
  </si>
  <si>
    <t>方案/施工图/策划/可研/管理/协同</t>
  </si>
  <si>
    <t>甲方单位全称</t>
  </si>
  <si>
    <t>㎡</t>
  </si>
  <si>
    <t>描述</t>
  </si>
  <si>
    <r>
      <rPr>
        <sz val="10"/>
        <color theme="1"/>
        <rFont val="宋体"/>
        <charset val="134"/>
        <scheme val="minor"/>
      </rPr>
      <t xml:space="preserve">为含税价
</t>
    </r>
    <r>
      <rPr>
        <sz val="10"/>
        <color rgb="FFFF0000"/>
        <rFont val="宋体"/>
        <charset val="134"/>
        <scheme val="minor"/>
      </rPr>
      <t>公式：各部门合同额之和</t>
    </r>
  </si>
  <si>
    <t>填写金额，没有写0</t>
  </si>
  <si>
    <t>指项目管理
中心</t>
  </si>
  <si>
    <t>部门：外委金额</t>
  </si>
  <si>
    <t>付款次序</t>
  </si>
  <si>
    <t>合同节点描述</t>
  </si>
  <si>
    <t>合同节点规定比例</t>
  </si>
  <si>
    <t>节点金额</t>
  </si>
  <si>
    <r>
      <rPr>
        <sz val="10"/>
        <color rgb="FF000000"/>
        <rFont val="宋体"/>
        <charset val="134"/>
      </rPr>
      <t xml:space="preserve">指对应节点开票/产值确认单金额
</t>
    </r>
    <r>
      <rPr>
        <sz val="10"/>
        <color rgb="FFFF0000"/>
        <rFont val="宋体"/>
        <charset val="134"/>
      </rPr>
      <t>公式：各部门收入求和，</t>
    </r>
    <r>
      <rPr>
        <sz val="10"/>
        <color rgb="FF417FF9"/>
        <rFont val="宋体"/>
        <charset val="134"/>
      </rPr>
      <t>预计金额字体标蓝</t>
    </r>
  </si>
  <si>
    <t xml:space="preserve">开票/产值确认单
</t>
  </si>
  <si>
    <t>为财务入账日期
；预计收入
日期字体标蓝色</t>
  </si>
  <si>
    <t>输入</t>
  </si>
  <si>
    <t>以产值确认单确认节点收入的输入日期，直接开票的填“/”</t>
  </si>
  <si>
    <t>输入开票日期</t>
  </si>
  <si>
    <r>
      <rPr>
        <sz val="10"/>
        <color rgb="FFFF0000"/>
        <rFont val="宋体"/>
        <charset val="134"/>
      </rPr>
      <t>公式：各部门回款求和，</t>
    </r>
    <r>
      <rPr>
        <sz val="10"/>
        <color rgb="FF417FF9"/>
        <rFont val="宋体"/>
        <charset val="134"/>
      </rPr>
      <t>预计金额字体标蓝</t>
    </r>
  </si>
  <si>
    <t>预计回款
时间字体标蓝色，日期以“年/月/10/20/30标记</t>
  </si>
  <si>
    <t>公式：收入-回款</t>
  </si>
  <si>
    <t>付款相关内容</t>
  </si>
  <si>
    <t>业务部门汇报设计进度。例：完成XXXX，XXXX未完成</t>
  </si>
  <si>
    <t>项目管理中心填写与甲方沟通进展</t>
  </si>
  <si>
    <t>资金会日期/
成果确认日期</t>
  </si>
  <si>
    <t>公式：AB列求和</t>
  </si>
  <si>
    <t>公式：AG列求和</t>
  </si>
  <si>
    <t>公式：AI列求和</t>
  </si>
  <si>
    <t>公式：合同总额-累计收入</t>
  </si>
  <si>
    <t>公式：累计收入-累计开票</t>
  </si>
  <si>
    <t>公式：累计开票-累计回款</t>
  </si>
  <si>
    <r>
      <rPr>
        <sz val="10"/>
        <color rgb="FF000000"/>
        <rFont val="宋体"/>
        <charset val="134"/>
      </rPr>
      <t xml:space="preserve">手动输入数值，
</t>
    </r>
    <r>
      <rPr>
        <sz val="10"/>
        <color rgb="FF417FF9"/>
        <rFont val="宋体"/>
        <charset val="134"/>
      </rPr>
      <t>预计数据字体标蓝</t>
    </r>
  </si>
  <si>
    <t>直接委托/投标(公开/邀请)/比价</t>
  </si>
  <si>
    <t>OA/线下</t>
  </si>
  <si>
    <t>合同额</t>
  </si>
  <si>
    <t>收入(不含税）</t>
  </si>
  <si>
    <t>回款</t>
  </si>
  <si>
    <t>贵州</t>
  </si>
  <si>
    <t>张家口万全项目</t>
  </si>
  <si>
    <t>无</t>
  </si>
  <si>
    <t>张家口市万全区建筑工程设计合同</t>
  </si>
  <si>
    <t>CRCCRE-SJ-CZ-2019-007</t>
  </si>
  <si>
    <t>方案+施工图</t>
  </si>
  <si>
    <t>CRCCRE-CX-BJRD-ZJK-QQ-2019-007</t>
  </si>
  <si>
    <t>中铁房地产集团张家口建设开发有限公司（甲方）</t>
  </si>
  <si>
    <t xml:space="preserve">
方案18元/平米、施工图23.5/平米</t>
  </si>
  <si>
    <t>工程中心：2340639</t>
  </si>
  <si>
    <t>合同签订后</t>
  </si>
  <si>
    <t>产值确认单</t>
  </si>
  <si>
    <t>合同签订</t>
  </si>
  <si>
    <t>投标</t>
  </si>
  <si>
    <t>线下</t>
  </si>
  <si>
    <t>项目管理中心</t>
  </si>
  <si>
    <t>全部规划方案设计部分完成，按照万全区规划委员会上会深度要求完成方案册制作，且通过甲方委托的第三方审核且乙方配合甲方根据第三方审核的结果对其设计图进行调整，并取得规划方案红线图，并经甲方确认七日内。</t>
  </si>
  <si>
    <t>完成</t>
  </si>
  <si>
    <t>TOD与规划研究中心</t>
  </si>
  <si>
    <t>提供综合管线初步设计图，并经甲方确认七日内</t>
  </si>
  <si>
    <t>提供建筑施工图内审图纸（包括施工解释性图纸）后七日内</t>
  </si>
  <si>
    <t>根据甲方内审意见，以及市政、园林设计单位意见，完成建筑施工图纸修改，并经甲方确认后七日内</t>
  </si>
  <si>
    <t>建筑施工图完成外审批复，取得外审单位批文，提交正式施工图纸后七日内</t>
  </si>
  <si>
    <t>建筑施工图完成人防批复，取得当地人防单位批文，提交正式施工图纸后七日内</t>
  </si>
  <si>
    <t>咨询中心</t>
  </si>
  <si>
    <t>取得建设工程规划许可证后七日内</t>
  </si>
  <si>
    <t>咨询工作室</t>
  </si>
  <si>
    <t>工程设计中心</t>
  </si>
  <si>
    <t>提供综合管线施工图，与外部协作设计单位协调完毕，并经甲方确认七日内</t>
  </si>
  <si>
    <t>BIM中心
智慧建造工作室</t>
  </si>
  <si>
    <t>合计(万元）</t>
  </si>
  <si>
    <t>项目出正负零后</t>
  </si>
  <si>
    <t>项目结构封顶后七日内</t>
  </si>
  <si>
    <t>项目机电安装、内外装均完成后七日内</t>
  </si>
  <si>
    <t>项目竣工验收完成后七日内</t>
  </si>
  <si>
    <t>创投</t>
  </si>
  <si>
    <t>平谷夏各庄项目（完成）</t>
  </si>
  <si>
    <t>北京市平谷区夏各庄镇PG11-0100-6103 等地块R2二类居住用地项目建设工程设计优化咨询与BIM业务服务合同</t>
  </si>
  <si>
    <t>CRCCRE-SJ-ZX-2019-007</t>
  </si>
  <si>
    <t>咨询+BIM</t>
  </si>
  <si>
    <t>北京润谷置业有限公司</t>
  </si>
  <si>
    <t>咨询：5元/平米，BIM：3.5元/平米</t>
  </si>
  <si>
    <t>签订合同</t>
  </si>
  <si>
    <t>OA</t>
  </si>
  <si>
    <t>完成全部优化咨询工作且向甲方提交优化成果（包括但不限于优化后的设计文件、设计咨询意见书、全专业BIM模型、预制构件模型、BIM碰撞检查报告和项目BIM管综优化建议报告等）并经甲方确认认可</t>
  </si>
  <si>
    <t>铁建银信，22年7月15日到期</t>
  </si>
  <si>
    <t>课题在集团公司立项</t>
  </si>
  <si>
    <t>课题形成最终成果文件</t>
  </si>
  <si>
    <t>东北</t>
  </si>
  <si>
    <t>长春西派唐颂一期
（完成）</t>
  </si>
  <si>
    <t>中国铁建西派唐颂项目建筑设计咨询服务合同</t>
  </si>
  <si>
    <t>CRCCRE-SJ-ZX-2019-002</t>
  </si>
  <si>
    <t>长春创华房地产开发有限公司</t>
  </si>
  <si>
    <t>全过程咨询：5元/平米</t>
  </si>
  <si>
    <t>合同签订后，甲方在提交全部设计资料给乙方后，五个工作日内支付工 程全额设计优化咨询费的20%给乙方。</t>
  </si>
  <si>
    <t>直委</t>
  </si>
  <si>
    <t>乙方完成施工图阶段的设计咨询工作并经甲方认可，甲方支付工程全额 设计优化咨询费60%给乙方。</t>
  </si>
  <si>
    <t>总结报告完成</t>
  </si>
  <si>
    <t>工程竣工备案后，甲方支付工程全额设计优化咨询费20%给乙方。</t>
  </si>
  <si>
    <t>甲方回复暂未竣工备案，超节点开票</t>
  </si>
  <si>
    <t>/</t>
  </si>
  <si>
    <t>按照规证面积结算,2021年签-17695.7元产值</t>
  </si>
  <si>
    <t>北方</t>
  </si>
  <si>
    <t>天津国印文苑项目（完成）</t>
  </si>
  <si>
    <t>国印文苑项目建筑设计咨询服务合同</t>
  </si>
  <si>
    <t>CRCCRE-SJ-ZX-2019-001</t>
  </si>
  <si>
    <t>天津弘创置业有限公司</t>
  </si>
  <si>
    <t>施工图咨询：5元/平米</t>
  </si>
  <si>
    <t>1)合同签订后，甲方在提交全部设计资料给乙方后，二十个工作日内支付工程全额设计优化咨询费的20%给乙方。</t>
  </si>
  <si>
    <t>2)乙方完成施工图阶段的设计咨询工作并经甲方认可，二十个工作日内甲方支付工程全额设计优化咨询费80%给乙方。</t>
  </si>
  <si>
    <t>3个月银信</t>
  </si>
  <si>
    <t>济南曹家馆项目（完成）</t>
  </si>
  <si>
    <t>曹家馆项目工程设计顾问咨询服务合同</t>
  </si>
  <si>
    <t>CRCCRE-SJ-ZX-2019-016</t>
  </si>
  <si>
    <t>中铁房地产集团济南置业有限公司</t>
  </si>
  <si>
    <t>全过程咨询：7元/平米，方案：3元/平米</t>
  </si>
  <si>
    <t>合同签订20个工作日内请款, 下月30日前支付
乙方提交优化方案后，下月30日前支付</t>
  </si>
  <si>
    <t>乙方完成方案阶段的设计咨询工作并经甲方书面认可后，下月30日前支付</t>
  </si>
  <si>
    <t>乙方完成施工图阶段的设计咨询工作并经甲方书面认可后，下月30日前支付</t>
  </si>
  <si>
    <t>房山文娱项目
（完成）</t>
  </si>
  <si>
    <t>房山区长阳镇长阳起步区6号地文化娱乐用地项目BIM技术咨询服务合同</t>
  </si>
  <si>
    <t>CRCCRE-SJ-BIM-2019-007</t>
  </si>
  <si>
    <t>BIM</t>
  </si>
  <si>
    <t>中铁房地产集团北方有限公司</t>
  </si>
  <si>
    <t>BIM：12元/平米</t>
  </si>
  <si>
    <t>合同签订后，30个工作日内，支付合同额的20%</t>
  </si>
  <si>
    <t>询价</t>
  </si>
  <si>
    <t>乙方提交第一版BIM模型后，经甲方书面确认后，30个工作日内，支付合同额的40%</t>
  </si>
  <si>
    <t>乙方提交所有成果，经甲方书面确认后，30个工作日内，支付合同额的30%</t>
  </si>
  <si>
    <t>乙方配合施工单位完成的地下室BIM深化工作，经甲方书面确认后30个工作日内双方办理结算，结算完毕后30个工作日内，支付合同额的10%。</t>
  </si>
  <si>
    <t>房山文娱项目</t>
  </si>
  <si>
    <t>房山区长阳镇长阳起步区6号地文化娱乐用地项目设计咨询服务合同</t>
  </si>
  <si>
    <t>CRCCRE-SJ-ZX-2019-013</t>
  </si>
  <si>
    <t>CRCCRE-BF-BJZD-WY-QQ-2019-010</t>
  </si>
  <si>
    <t>甲方在提交全部设计资料给乙方后，三十个工作日内。</t>
  </si>
  <si>
    <t>开票</t>
  </si>
  <si>
    <t>乙方完成施工图阶段的设计咨询工作并经甲方书面认可后，且项目取得施工图设计审查合格书后，三十个工作日内。</t>
  </si>
  <si>
    <t>项目工程竣工验收全部完成，经甲方书面确认后双方办理结算，结算完毕后三十个工作日内。</t>
  </si>
  <si>
    <t>抵房租</t>
  </si>
  <si>
    <t>正定项目A号、B号地块精装咨询（完成）</t>
  </si>
  <si>
    <t>CRCCRE-DC-XM-2020-020</t>
  </si>
  <si>
    <t>石家庄市正定新区239-A号、239-B号用地项目精装咨询服务合同</t>
  </si>
  <si>
    <t>CRCCRE-SJ-XM-2020-001</t>
  </si>
  <si>
    <t>管理</t>
  </si>
  <si>
    <t>河北兴铁房地产开发有限公司</t>
  </si>
  <si>
    <r>
      <rPr>
        <sz val="10"/>
        <color theme="1"/>
        <rFont val="宋体"/>
        <charset val="134"/>
        <scheme val="minor"/>
      </rPr>
      <t>合同签订后，</t>
    </r>
    <r>
      <rPr>
        <sz val="10"/>
        <color theme="1"/>
        <rFont val="新宋体"/>
        <charset val="134"/>
      </rPr>
      <t>15个工作日内</t>
    </r>
  </si>
  <si>
    <t>乙方提交239-A号地块公共区域精装修及软装设计咨询总结报告后15个工作日内。</t>
  </si>
  <si>
    <t>乙方提交239-B号地块公共区域精装修及软装设计咨询总结报告后15个工作日内。</t>
  </si>
  <si>
    <t>乙方提交户型全装修/精装修设计（含政策房户型和变异户型）设计咨询总结报告后15个工作日内。</t>
  </si>
  <si>
    <t>正定项目A号、B号地块及售楼处景观咨询（完成）</t>
  </si>
  <si>
    <t>CRCCRE-DC-XM-2020-017</t>
  </si>
  <si>
    <t>石家庄市正定新区239-A号、239-B号用地及售楼处展示区用地项目景观咨询服务合同</t>
  </si>
  <si>
    <t>CRCCRE-SJ-XM-2020-002</t>
  </si>
  <si>
    <r>
      <rPr>
        <sz val="10"/>
        <color theme="1"/>
        <rFont val="宋体"/>
        <charset val="134"/>
        <scheme val="minor"/>
      </rPr>
      <t>合同签订后，</t>
    </r>
    <r>
      <rPr>
        <sz val="10"/>
        <color theme="1"/>
        <rFont val="新宋体"/>
        <charset val="134"/>
      </rPr>
      <t>15个工作日内。</t>
    </r>
  </si>
  <si>
    <t>乙方提交展示区景观方案及施工图阶段的咨询总结报告后15个工作日内。</t>
  </si>
  <si>
    <r>
      <rPr>
        <sz val="10"/>
        <color theme="1"/>
        <rFont val="宋体"/>
        <charset val="134"/>
        <scheme val="minor"/>
      </rPr>
      <t>乙方提交</t>
    </r>
    <r>
      <rPr>
        <sz val="10"/>
        <color theme="1"/>
        <rFont val="宋体"/>
        <charset val="134"/>
      </rPr>
      <t>239-A号</t>
    </r>
    <r>
      <rPr>
        <sz val="10"/>
        <color theme="1"/>
        <rFont val="新宋体"/>
        <charset val="134"/>
      </rPr>
      <t>用地大区景观方案及施工图阶段的咨询总结报告后15个工作日内。</t>
    </r>
  </si>
  <si>
    <r>
      <rPr>
        <sz val="10"/>
        <color theme="1"/>
        <rFont val="宋体"/>
        <charset val="134"/>
        <scheme val="minor"/>
      </rPr>
      <t>乙方提交</t>
    </r>
    <r>
      <rPr>
        <sz val="10"/>
        <color theme="1"/>
        <rFont val="宋体"/>
        <charset val="134"/>
      </rPr>
      <t>239-B号</t>
    </r>
    <r>
      <rPr>
        <sz val="10"/>
        <color theme="1"/>
        <rFont val="新宋体"/>
        <charset val="134"/>
      </rPr>
      <t>用地大区景观方案及施工图阶段的咨询总结报告后15个工作日内。</t>
    </r>
  </si>
  <si>
    <t>正定项目售楼处精装咨询（完成）</t>
  </si>
  <si>
    <t>CRCCRE-DC-XM-2020-018</t>
  </si>
  <si>
    <t>正定新区239#用地项目售楼处、样板间精装修设计咨询服务合同</t>
  </si>
  <si>
    <t>CRCCRE-SJ-XM-2020-003</t>
  </si>
  <si>
    <t>乙方提交售楼处精装修及软装（不含企业品牌宣传、工艺工法展示区域设计安装）咨询的设计咨询总结报告后15个工作日内。</t>
  </si>
  <si>
    <t>乙方提交企业品牌宣传、工艺工法展示区域设计及安装过程咨询的设计咨询总结报告后15个工作日内。</t>
  </si>
  <si>
    <t>乙方提交售楼处办公区域精装修及软装咨询的设计咨询总结报告后15个工作日内。</t>
  </si>
  <si>
    <t>乙方提交样板间精装修及软装咨询的设计咨询总结报告后15个工作日内。</t>
  </si>
  <si>
    <t>正定项目A号、B号地块方案</t>
  </si>
  <si>
    <t>CRCCRE-DC-XM-2020-024</t>
  </si>
  <si>
    <t>石家庄市正定新区239-A号、239-B号用地项目规划方案设计合同</t>
  </si>
  <si>
    <t>CRCCRE-SJ-CZ-2020-006</t>
  </si>
  <si>
    <t>方案</t>
  </si>
  <si>
    <t>CRCCRE-BF-HBXT-HYCYQ-QQ-2020-001</t>
  </si>
  <si>
    <t>合同地上面积174060、地下面积72288规证地上面积174753.06、地下面积75500.59（A地块地上面积93683.57、地下42387.69）（B地块地上面积81069.49、地下面积33112.9）</t>
  </si>
  <si>
    <t>方案：地上18元/平米（华汇15、创一3）、地下7元/平米,管理费3元/平米</t>
  </si>
  <si>
    <t>项目中心：3135027</t>
  </si>
  <si>
    <t>合同签订生效后7个工作日内双方办理计价手续。本合同履行后，定金在第二次付费时抵作设计费。</t>
  </si>
  <si>
    <r>
      <rPr>
        <sz val="10"/>
        <color rgb="FF000000"/>
        <rFont val="宋体"/>
        <charset val="134"/>
      </rPr>
      <t xml:space="preserve">规证面积A地块：136071.26
规证面积B地块：114182.39
</t>
    </r>
    <r>
      <rPr>
        <b/>
        <sz val="10"/>
        <color rgb="FF000000"/>
        <rFont val="宋体"/>
        <charset val="134"/>
      </rPr>
      <t>结算金额：4424820.16元</t>
    </r>
  </si>
  <si>
    <t>招标</t>
  </si>
  <si>
    <t>2-A</t>
  </si>
  <si>
    <t>全部方案设计部分完成，按照政府相关部门上会深度要求完成方案册制作，且通过甲方委托的第三方审核，并取得规划许可证后，7个工作日内双方办理计价手续，累计拨付至双方估算总额60%的设计费。</t>
  </si>
  <si>
    <t>银信</t>
  </si>
  <si>
    <t>2-B</t>
  </si>
  <si>
    <t>3-A</t>
  </si>
  <si>
    <t>建筑专业初步设计及全专业施工图完成且通过甲方委托的第三方审核，并取得施工图审查合格通知书后，7 个工作日内双方办理计价手续，按建设工程规划许可证建筑面积结算设计费用，累计拨付至双方确认结算总额 80%的设计费。</t>
  </si>
  <si>
    <t>3-B</t>
  </si>
  <si>
    <t>4-A</t>
  </si>
  <si>
    <t>乙方配合甲方完成项目所有合同约定的设计工作及设计配合工作，全部结构工程施工后7个工作日内双方办理计价手续。按建设工程规划许可证建筑面积结算设计费用。</t>
  </si>
  <si>
    <t>银信2024.4.23到期</t>
  </si>
  <si>
    <t>银信2024.5.13到期</t>
  </si>
  <si>
    <t>下次开票创一少开3692.79，项管多开3692.79</t>
  </si>
  <si>
    <t>5-A</t>
  </si>
  <si>
    <t>乙方配合甲方以及与本工程施工所有相关单位完成向主管部门全部备案手续后双方办理最终结算手续，支付余下的设计费。</t>
  </si>
  <si>
    <t>5-B</t>
  </si>
  <si>
    <t>A地块已经交付，B地块2023年才能竣工验收</t>
  </si>
  <si>
    <t>长春西派唐颂二期（完成）</t>
  </si>
  <si>
    <t>CRCCRE-DC-XM-2020-029</t>
  </si>
  <si>
    <t>中国铁建西派唐颂项目二期建筑设计咨询服务合同</t>
  </si>
  <si>
    <t>CRCCRE-SJ-ZX-2020-005</t>
  </si>
  <si>
    <t>CRCCRE-DB-CCCH-HPJ-EQ-QQ-2020-004</t>
  </si>
  <si>
    <r>
      <rPr>
        <sz val="10"/>
        <color rgb="FF000000"/>
        <rFont val="宋体"/>
        <charset val="134"/>
      </rPr>
      <t>长</t>
    </r>
    <r>
      <rPr>
        <sz val="10"/>
        <color theme="1"/>
        <rFont val="宋体"/>
        <charset val="134"/>
      </rPr>
      <t>春创华房地产开发有限公司</t>
    </r>
  </si>
  <si>
    <r>
      <rPr>
        <sz val="10"/>
        <color theme="1"/>
        <rFont val="宋体"/>
        <charset val="134"/>
        <scheme val="minor"/>
      </rPr>
      <t>合同签订后，甲方在提交首批设计资料给乙方后，五个工作日内支付工</t>
    </r>
    <r>
      <rPr>
        <sz val="10"/>
        <color theme="1"/>
        <rFont val="宋体"/>
        <charset val="134"/>
      </rPr>
      <t>程全额设计优化咨询费的</t>
    </r>
    <r>
      <rPr>
        <sz val="10"/>
        <color theme="1"/>
        <rFont val="Times New Roman"/>
        <charset val="134"/>
      </rPr>
      <t>20%</t>
    </r>
    <r>
      <rPr>
        <sz val="10"/>
        <color theme="1"/>
        <rFont val="宋体"/>
        <charset val="134"/>
      </rPr>
      <t>给乙方。</t>
    </r>
  </si>
  <si>
    <t>乙方提交第一版全专业施工图设计咨询报告后，十五个工作日内甲方支付工程全额设计优化咨询费的60%给乙方。</t>
  </si>
  <si>
    <t>甲方完成施工图审查并取得审查合格证后，十五个工作日内甲方支付工程全额设计优化咨询费的20%给乙方。</t>
  </si>
  <si>
    <t>CRCCRE-DC-XM-2020-030</t>
  </si>
  <si>
    <t>中国铁建西派唐颂项目二期BIM技术咨询服务合同</t>
  </si>
  <si>
    <t>CRCCRE-SJ-BIM-2020-002</t>
  </si>
  <si>
    <t>CRCCRE-DB-CCCH-HPJ-EQ-QQ-2020-010</t>
  </si>
  <si>
    <t>地下室面积50000㎡，园区小市政99303㎡</t>
  </si>
  <si>
    <t>BIM：地下室管综优化7.5/平米、园区小市政管综优化6元/平米</t>
  </si>
  <si>
    <r>
      <rPr>
        <sz val="10"/>
        <color theme="1"/>
        <rFont val="宋体"/>
        <charset val="134"/>
        <scheme val="minor"/>
      </rPr>
      <t>合同签订后</t>
    </r>
    <r>
      <rPr>
        <sz val="10"/>
        <color theme="1"/>
        <rFont val="新宋体"/>
        <charset val="134"/>
      </rPr>
      <t xml:space="preserve"> 15 个工作日内</t>
    </r>
  </si>
  <si>
    <r>
      <rPr>
        <sz val="10"/>
        <color theme="1"/>
        <rFont val="宋体"/>
        <charset val="134"/>
        <scheme val="minor"/>
      </rPr>
      <t>乙方提交第一版地下室</t>
    </r>
    <r>
      <rPr>
        <sz val="10"/>
        <color theme="1"/>
        <rFont val="宋体"/>
        <charset val="134"/>
      </rPr>
      <t xml:space="preserve">管线 </t>
    </r>
    <r>
      <rPr>
        <sz val="10"/>
        <color theme="1"/>
        <rFont val="新宋体"/>
        <charset val="134"/>
      </rPr>
      <t>BIM 模型后，15 个工作日 内，支付合同额的 30%</t>
    </r>
  </si>
  <si>
    <r>
      <rPr>
        <sz val="10"/>
        <color theme="1"/>
        <rFont val="宋体"/>
        <charset val="134"/>
        <scheme val="minor"/>
      </rPr>
      <t>乙方提交第一版地下室</t>
    </r>
    <r>
      <rPr>
        <sz val="10"/>
        <color theme="1"/>
        <rFont val="宋体"/>
        <charset val="134"/>
      </rPr>
      <t>管线</t>
    </r>
    <r>
      <rPr>
        <sz val="10"/>
        <color theme="1"/>
        <rFont val="新宋体"/>
        <charset val="134"/>
      </rPr>
      <t>优化 BIM 模型后，15 个工 作日内，支付合同额的 40%</t>
    </r>
  </si>
  <si>
    <r>
      <rPr>
        <sz val="10"/>
        <color theme="1"/>
        <rFont val="宋体"/>
        <charset val="134"/>
        <scheme val="minor"/>
      </rPr>
      <t>乙方提交</t>
    </r>
    <r>
      <rPr>
        <sz val="10"/>
        <color theme="1"/>
        <rFont val="宋体"/>
        <charset val="134"/>
      </rPr>
      <t xml:space="preserve">园区场地和小市政管线 </t>
    </r>
    <r>
      <rPr>
        <sz val="10"/>
        <color theme="1"/>
        <rFont val="新宋体"/>
        <charset val="134"/>
      </rPr>
      <t xml:space="preserve">BIM 管综优化模型和 </t>
    </r>
    <r>
      <rPr>
        <sz val="10"/>
        <color theme="1"/>
        <rFont val="宋体"/>
        <charset val="134"/>
      </rPr>
      <t xml:space="preserve">地下室、园区场地和小市政管线 BIM </t>
    </r>
    <r>
      <rPr>
        <sz val="10"/>
        <color theme="1"/>
        <rFont val="新宋体"/>
        <charset val="134"/>
      </rPr>
      <t>优化报告，15 个工作日内，支付合同额的 10%</t>
    </r>
  </si>
  <si>
    <t>青岛郑州路项目</t>
  </si>
  <si>
    <t>青岛市北区郑州路两侧用地项目概念规划设计合同</t>
  </si>
  <si>
    <t>CRCCRE-SJ-CZ-2019-019</t>
  </si>
  <si>
    <t>可研</t>
  </si>
  <si>
    <t>可研：20万/项目</t>
  </si>
  <si>
    <t>乙方按照甲方要求提供结算款请款资料后30日内甲方一次性向乙方支付结算款。</t>
  </si>
  <si>
    <t>创投（终止）</t>
  </si>
  <si>
    <t>创投可研（终止）</t>
  </si>
  <si>
    <t>可研报告地块方案设计合同</t>
  </si>
  <si>
    <t>CRCCRE-SJ-CZ-2019-018</t>
  </si>
  <si>
    <t>中铁房地产集团张家口建设开发有限公司</t>
  </si>
  <si>
    <t>可研：10万/项目</t>
  </si>
  <si>
    <t>乙方完成甲方下达任务书的单一项目的所有的方案设计工作并经甲方确认认可后次月30日内，甲方一次性支付乙方该项目方案设计费。</t>
  </si>
  <si>
    <t>青岛总部大道项目设计方案、杭州富春湾新城核心区开发项目设计方案、徐州原构件厂项目设计方案</t>
  </si>
  <si>
    <t>海淀翠湖补充协议（完成）</t>
  </si>
  <si>
    <t>北京市海淀区翠湖科技园HD00-0303-6009、6010地块R2二类居住用地项目建设工程设计补充协议二</t>
  </si>
  <si>
    <t>CRCCRE-SJ-CZ-2020-002</t>
  </si>
  <si>
    <t>北京锐达置业有限公司</t>
  </si>
  <si>
    <t>创二：550000</t>
  </si>
  <si>
    <t>在本补充协议签订后20个工作日内，甲方向乙方一次性支付方案阶段设计调整工作、施工图优化工作的设计费</t>
  </si>
  <si>
    <t>建设</t>
  </si>
  <si>
    <t>西山梧桐补充协议</t>
  </si>
  <si>
    <t>中国铁建西山梧桐项目建筑方案设计咨询合同补充协议</t>
  </si>
  <si>
    <t>CRCCRE-SJ-CZ-2019-003—B1</t>
  </si>
  <si>
    <t>中铁建设集团有限公司</t>
  </si>
  <si>
    <t>价款支付人按照原合同中约定执行</t>
  </si>
  <si>
    <r>
      <rPr>
        <b/>
        <sz val="10"/>
        <color rgb="FF000000"/>
        <rFont val="宋体"/>
        <charset val="134"/>
      </rPr>
      <t xml:space="preserve">唐山高新区A0102项目
</t>
    </r>
    <r>
      <rPr>
        <sz val="10"/>
        <color rgb="FF000000"/>
        <rFont val="宋体"/>
        <charset val="134"/>
      </rPr>
      <t>（唐颂国际）</t>
    </r>
  </si>
  <si>
    <t>唐山市高新区项目规划方案设计、施工图设计合同</t>
  </si>
  <si>
    <t>CRCCRE-SJ-CZ-2019-001</t>
  </si>
  <si>
    <t>唐山启创房地产开发有限公司</t>
  </si>
  <si>
    <t>合同：146121.75
工规证：
150023.45</t>
  </si>
  <si>
    <t>方案：17.5元、施工图：17.5元</t>
  </si>
  <si>
    <t>创一：2557130.63</t>
  </si>
  <si>
    <t>合同签订后20个工作日内</t>
  </si>
  <si>
    <t>设计方案通过规划局审批完成后20个工作日内</t>
  </si>
  <si>
    <t>汇票</t>
  </si>
  <si>
    <t>取得施工图设计文件联合审查意见书后20个工作日内</t>
  </si>
  <si>
    <t>取得工程规划许可证后20个工作日内</t>
  </si>
  <si>
    <t>511426铁建银信，2022年6月24日到期</t>
  </si>
  <si>
    <t>结构全部封顶后20个工作日内</t>
  </si>
  <si>
    <t>配合取得项目竣工联合验收意见书后20个工作日内</t>
  </si>
  <si>
    <t>合同金额：5114261.25元
结算金额：5250820.75元</t>
  </si>
  <si>
    <t>门头沟项目</t>
  </si>
  <si>
    <t>西山梧桐项目建筑方案设计咨询合同</t>
  </si>
  <si>
    <t>CRCCRE-SJ-CZ-2019-003</t>
  </si>
  <si>
    <t>方案：18元/平方</t>
  </si>
  <si>
    <t>合同签订生效后30日内。</t>
  </si>
  <si>
    <t>全部建筑方案设计咨询部分完成，按照市住保办专家评审会上会深度要求完成方案册制作，且通过甲方委托的第三方审核且乙方配合甲方根据第三方审核的结果对其设计图进行调整，并取得建筑方案复函后，累计拨付至双方估算总额30%的设计费。</t>
  </si>
  <si>
    <t>全部专业施工图设计完成审查且通过甲方委托的第三方审核且乙方配合甲方根据第三方审核的结果对其设计图进行调整后7个工作日内双方办理计价手续，按建设工程规划许可证建筑面积结算设计费用，累计拨付至双方确认结算总额70%的设计费。</t>
  </si>
  <si>
    <t>乙方配合完成甲方完成项目全部结构工程施工后7个工作日内双方办理计价手续。按建设工程规划许可证建筑面积结算设计费用。</t>
  </si>
  <si>
    <t>规证面积为：98487.63㎡
结算金额：1772777.34元
减去北方扣建设的8万</t>
  </si>
  <si>
    <t>乙方配合甲方以及与本工程施工所有相关单位完成向主管部门完成全部备案手续后双方办理最终结算手续，支付余下的设计费。</t>
  </si>
  <si>
    <t>北京市通州区梨园项目</t>
  </si>
  <si>
    <t>北京市通州区梨园镇强力家居土地一级开发项目FZX-0303-6007地块R2二类居住用地项目设计总包管理服务合同（方案部分）</t>
  </si>
  <si>
    <t>CRCCRE-SJ-XM-2025-020</t>
  </si>
  <si>
    <t>设计总包（方案外委）</t>
  </si>
  <si>
    <t>CRCCRE-BF-BJHY-HYJY-QQ-2025-011</t>
  </si>
  <si>
    <t>北京弘邑置业有限公司</t>
  </si>
  <si>
    <t>1-建筑</t>
  </si>
  <si>
    <t>合同签订并提交第一版概念性方案后，经甲方审核确认后</t>
  </si>
  <si>
    <t>2-建筑</t>
  </si>
  <si>
    <t>方案调整、修改完成经甲方确认后，经甲方审核确认后</t>
  </si>
  <si>
    <t>3-建筑</t>
  </si>
  <si>
    <t>方案通过政府相关审批（规划复函）后，经甲方审核确认后</t>
  </si>
  <si>
    <t>4-建筑</t>
  </si>
  <si>
    <t>项目总图、建筑单专业扩初设计图纸完成，并取得《建设工程规划许可证》后，经甲方审核确认后</t>
  </si>
  <si>
    <t>预估</t>
  </si>
  <si>
    <t>5-建筑</t>
  </si>
  <si>
    <t>配合施工完成，至竣工验收完成后按照《建设工程规划许可证》各项建筑面积结算</t>
  </si>
  <si>
    <t>北京市通州区梨园镇强力家居土地一级开发项目FZX-0303-6007地块R2二类居住用地项目设计总包管理服务合同（精装部分）</t>
  </si>
  <si>
    <t>设计总包（景观外委）</t>
  </si>
  <si>
    <t>1-景观</t>
  </si>
  <si>
    <t>大区概念设计成果经甲方确认后2个月内</t>
  </si>
  <si>
    <t>2-景观</t>
  </si>
  <si>
    <t>大区方案设计成果完成经甲方确认后2个月内</t>
  </si>
  <si>
    <t>3-景观</t>
  </si>
  <si>
    <t>大区施工图设计成果完成经甲方确认后2个月内</t>
  </si>
  <si>
    <t>4-景观</t>
  </si>
  <si>
    <t>景观工程竣工验收合格，本合同办理完成结算后2个月内</t>
  </si>
  <si>
    <t>设计总包（精装外委）</t>
  </si>
  <si>
    <t>1-展示区</t>
  </si>
  <si>
    <t>合同签订并提交展示区第一版概念性方案后2个月内</t>
  </si>
  <si>
    <t>2-展示区</t>
  </si>
  <si>
    <t>展示区精装概念设计完成经甲方确认后2个月内</t>
  </si>
  <si>
    <t>3-展示区</t>
  </si>
  <si>
    <t>展示区精装方案扩初设计完成经甲方确认后2个月内</t>
  </si>
  <si>
    <t>4-展示区</t>
  </si>
  <si>
    <t>展示区精装施工图设计完成经甲方确认后2个月内</t>
  </si>
  <si>
    <t>5-展示区</t>
  </si>
  <si>
    <t>展示区精装修竣工验收合格并经甲方确认后2个月内</t>
  </si>
  <si>
    <t>1-公区</t>
  </si>
  <si>
    <t>合同签订并提交第一版公区及户内概念性方案后2个月内</t>
  </si>
  <si>
    <t>2-公区</t>
  </si>
  <si>
    <t>公区及户内精装概念设计完成经甲方确认后2个月内</t>
  </si>
  <si>
    <t>3-公区</t>
  </si>
  <si>
    <t>公区及户内精装方案扩初设计完成经甲方确认后2个月内</t>
  </si>
  <si>
    <t>4-公区</t>
  </si>
  <si>
    <t>公区及户内精装施工图设计完成经甲方确认后2个月内</t>
  </si>
  <si>
    <t>5-公区</t>
  </si>
  <si>
    <t>公区及户内精装修竣工验收合格并经甲方确认后2个月内</t>
  </si>
  <si>
    <t>北京市通州区梨园镇强力家居土地一级开发项目FZX-0303-6007地块R2二类居住用地项目设计总包管理服务合同</t>
  </si>
  <si>
    <t>4+1</t>
  </si>
  <si>
    <t>1-咨询</t>
  </si>
  <si>
    <t>合同签订且乙方开展设计咨询工作并提供设计咨询优化意见且经甲方确认后2个月内</t>
  </si>
  <si>
    <t>2-咨询</t>
  </si>
  <si>
    <t>本项目取得《建设工程规划许可证》，提交方案至报规阶段设计咨询报告且经甲方确认后2个月内</t>
  </si>
  <si>
    <t>3-咨询</t>
  </si>
  <si>
    <t>本项目取得二维码图纸，提交施工图阶段设计咨询报告且经甲方确认后2个月内</t>
  </si>
  <si>
    <t>4-咨询</t>
  </si>
  <si>
    <t>提交最终版设计咨询总结报告且经甲方确认，本项办理完成结算后2个月内</t>
  </si>
  <si>
    <t>7元/㎡</t>
  </si>
  <si>
    <t>1-BIM</t>
  </si>
  <si>
    <t>合同签订后2个月内</t>
  </si>
  <si>
    <t>2-BIM</t>
  </si>
  <si>
    <t>提交地下车库及地下室BIM模型且经过甲方确认后2个月内</t>
  </si>
  <si>
    <t>3-BIM</t>
  </si>
  <si>
    <t>乙方根据甲方优化后的施工图纸提交BIM咨询优化报告、完成BIM咨询范围的交底工作且经过甲方确认后2个月内</t>
  </si>
  <si>
    <t>4-BIM</t>
  </si>
  <si>
    <t>项目竣工验收合格，本合同办理完成结算后2个月内</t>
  </si>
  <si>
    <t>天津国印二期三期项目</t>
  </si>
  <si>
    <t>国印书苑、国印雅苑项目建筑设计咨询服务合同</t>
  </si>
  <si>
    <t>CRCCRE-SJ-ZX-2019-011</t>
  </si>
  <si>
    <t>CRCCRE-BF-TJHC-GYYY.SY-QQ-2019-023</t>
  </si>
  <si>
    <t>书苑：55900、雅苑：96200
（85500）</t>
  </si>
  <si>
    <t>书苑（三期）施工图咨询：5元/平米，雅苑（二期）全过程咨询：7元/平</t>
  </si>
  <si>
    <t>甲方提交三期施工图阶段全部设计资料后，乙方于7个工作日内提交国印书苑项目纸质版《施工图设计咨询意见》并经甲方书面认可，甲方三十个工作日内支付该阶段咨询服务费279500元</t>
  </si>
  <si>
    <t>产值确认</t>
  </si>
  <si>
    <t>咨询工作已完成，缺成果确认单</t>
  </si>
  <si>
    <t>甲方提交二期方案阶段全部设计资料后，乙方于7个工作日内提交国印雅苑项目电子版《方案阶段设计咨询意见》并经甲方书面认可，甲方三十个工作日内支付该阶段咨询服务费202020元</t>
  </si>
  <si>
    <t>甲方提交二期施工图阶段全部设计资料后，乙方于7个工作日内提交国印雅苑项目纸质版《施工图设计咨询意见》并经甲方书面认可，甲方三十个工作日内支付该阶段咨询服务费471380元</t>
  </si>
  <si>
    <t>85500㎡*7元/㎡*70%</t>
  </si>
  <si>
    <t>国印书苑、国印雅苑项目建筑设计咨询服务合同补充协议（一）</t>
  </si>
  <si>
    <t>CRCCRE-SJ-ZX-2019-011-B1</t>
  </si>
  <si>
    <t>CRCCRE-BF-TJHC-GYYY.SY-QQ-2019-023-补1</t>
  </si>
  <si>
    <t>书苑：55535.08</t>
  </si>
  <si>
    <t>3元/㎡</t>
  </si>
  <si>
    <t>乙方提交第一版全专业施工图设计咨询报告后经甲方确认后15个工作日内</t>
  </si>
  <si>
    <t>甲方取得审查合格证双方办理最终结算手续后15个工作日内</t>
  </si>
  <si>
    <t>平谷夏各庄项目</t>
  </si>
  <si>
    <t>北京市平谷区夏各庄镇PG11-0100-6103等地块R2二类居住用地项目规划方案设计咨询合同</t>
  </si>
  <si>
    <t>CRCCRE-SJ-CZ-2019-011</t>
  </si>
  <si>
    <t>全部规划方案设计咨询部分（包含精装修设计方案）完成，按照市住保办专家评审会上会深度要求完成方案册制作，且通过甲方委托的第三方审核且乙方配合甲方根据第三方审核的结果对其设计图进行调整，并取得规划许可证后，累计拨付至双方估算总额20%的设计费后7个工作日内双方办理计价手续。</t>
  </si>
  <si>
    <t>全部专业施工图设计（包含精装修设计）且通过甲方委托的第三方审核且乙方配合甲方根据第三方审核的结果对其设计图进行调整后7个工作日内双方办理计价手续，按建设工程规划许可证建筑面积结算设计费用，累计拨付至双方确认结算总额70%的设计费。</t>
  </si>
  <si>
    <t>商票</t>
  </si>
  <si>
    <t>乙方配合完成甲方完成项目全部结构工程施工后7个工作日内双方办理计价手续。累计拨付至双方确认结算总额85%的设计费。</t>
  </si>
  <si>
    <t>规划许可证：177927.21㎡</t>
  </si>
  <si>
    <t>朝阳水牛坊项目
（绿建咨询）
完成</t>
  </si>
  <si>
    <t>绿色建筑咨询合同</t>
  </si>
  <si>
    <t>CRCCRE-SJ-GC-2019-001</t>
  </si>
  <si>
    <t>绿建咨询</t>
  </si>
  <si>
    <t>北京景盛诚泰置业有限公司</t>
  </si>
  <si>
    <t>绿建咨询：
2元/㎡</t>
  </si>
  <si>
    <t>工程中心：200000</t>
  </si>
  <si>
    <t>Z-1</t>
  </si>
  <si>
    <t>通过住保办审查，并将评审结果文件资料移交甲方后45个工作日内</t>
  </si>
  <si>
    <t>Z-2</t>
  </si>
  <si>
    <t>完成施工图的绿色建筑审核意见，并将建议书移交甲方后45个工作日内</t>
  </si>
  <si>
    <t>Z-3</t>
  </si>
  <si>
    <t>按照评审意见修改和补充资料至通过绿色建筑设计标识认证，并将评审结果文件资料移交甲方后45个工作日内</t>
  </si>
  <si>
    <t>G-1</t>
  </si>
  <si>
    <t>获得规划许可证后45个工作日内</t>
  </si>
  <si>
    <t>G-2</t>
  </si>
  <si>
    <t>G-3</t>
  </si>
  <si>
    <t>北京市房山区长阳镇起步区6号地03-6-04文化娱乐用地规划方案设计合同</t>
  </si>
  <si>
    <t>CRCCRE-SJ-CZ-2018-002</t>
  </si>
  <si>
    <t>公建方案：40元/平方</t>
  </si>
  <si>
    <t>合同签订之日起30日内支付。</t>
  </si>
  <si>
    <t>建筑方案设计经甲方确认并通过政府部门审批后30日内</t>
  </si>
  <si>
    <t>建筑初步设计经甲方确认取得规划许可证（若初步设计需要通过政府部门审批在甲方取得相应批复文件）30日内</t>
  </si>
  <si>
    <t>项目竣工验收完实测报告审批通过后双方办理结算，结算完毕后30日内支付至结算款的100%。</t>
  </si>
  <si>
    <t>海淀翠湖科技园项目</t>
  </si>
  <si>
    <t>北京市海淀区翠湖科技园HD00-0303-6009、6010地块R2二类居住用地项目建设工程设计合同</t>
  </si>
  <si>
    <t>CRCCRE-SJ-CZ-2018-003</t>
  </si>
  <si>
    <t>方案：18元/平方，施工图：29元/平方</t>
  </si>
  <si>
    <t>创二：7535418</t>
  </si>
  <si>
    <t>规划复函批复后20个
工作日</t>
  </si>
  <si>
    <t>规划许可证批复后20个
工作日</t>
  </si>
  <si>
    <t>按照规证面积调整付款金额，542760.84奖励金额未支付</t>
  </si>
  <si>
    <t>施工图完成并取得审查合格书后20个工作日</t>
  </si>
  <si>
    <t>271380.42㎡</t>
  </si>
  <si>
    <t>项目竣工验收合格后
20个工作日</t>
  </si>
  <si>
    <t>9月可以请款</t>
  </si>
  <si>
    <t>已与甲方沟通签字，暂未返回</t>
  </si>
  <si>
    <t>结算后支付剩余款项</t>
  </si>
  <si>
    <t>2022年底不能竣工</t>
  </si>
  <si>
    <t>海淀翠湖项目（完成）</t>
  </si>
  <si>
    <t>北京市海淀区翠湖科技园HD00-0303-6009、6010地块R2二类居住用地项目补充协议一</t>
  </si>
  <si>
    <t>CRCCRE-SJ-CZ-2018-003-B1</t>
  </si>
  <si>
    <t>创二：2700000</t>
  </si>
  <si>
    <t>在本补充协议签订后20个工作日内，甲方向乙方一次性支付方案阶段设计调整及施工图设计阶段增加了部分工作的设计费，计人民币壹佰玖拾万元（小写：[1,900,000.00]）。</t>
  </si>
  <si>
    <t>产值确认增加至创二</t>
  </si>
  <si>
    <t>本补充协议签订后20个工作日内，甲方向乙方支付后期优化设计费总额的50%，计人民币肆拾万元（小写：[400,000.00]）。</t>
  </si>
  <si>
    <t>乙方提交本补充协议所要求的“优化设计成果”后20个工作日内，甲方向乙方支付后期优化设计费总额的50%，计人民币肆拾万元（小写[400,000.00]）</t>
  </si>
  <si>
    <t>金达可研（完成）</t>
  </si>
  <si>
    <t>概念规划设计咨询合同</t>
  </si>
  <si>
    <t>CRCCRE-SJ-CZ-2018-010</t>
  </si>
  <si>
    <t>中铁房地产集团北京金达世纪房地产开发有限公司</t>
  </si>
  <si>
    <t>7个</t>
  </si>
  <si>
    <t>可研：5万/个</t>
  </si>
  <si>
    <t>乙方向甲方提交所有成果文件并经过甲方确认后 7 个工作日内，乙方有权向甲方提起本合同约定的全部设计费用的付款申请。甲方在收到请款函、费用账单及发票等相关文件后，于 7 个工作日内将设计费汇入乙方的账户，并通知乙方。</t>
  </si>
  <si>
    <t>一室：昌平东三旗011地块项目、通州新城0204街区项目         二室：密云新城、昌平北七家镇项目、平谷项目、下花园酒店、石景山东下庄</t>
  </si>
  <si>
    <t>正达可研</t>
  </si>
  <si>
    <t>CRCCRE-SJ-CZ-2017-025</t>
  </si>
  <si>
    <t>CRCC-ZDZY-5H-QQ-2017-0329</t>
  </si>
  <si>
    <t>8个</t>
  </si>
  <si>
    <t>每月20日前，乙方向甲方提交本月概念规划设计成果文件，经甲方确认无误后，乙方按甲方要求提交本月请款资料（包括不限于请款函、《工作任务单》、双方签字确认的土地强排方案等），甲方将于次月底前向乙方一次性支付全部设计费用。</t>
  </si>
  <si>
    <t>一室：
1.北京大兴区瀛海镇区YZ00-0803-0512
2.0514地块及C07-3地块项目
3.大兴魏善庄镇项目
4.北京大兴黄村DX000202号地块项目
5.北京大兴庞各庄项目</t>
  </si>
  <si>
    <t>弘创强排（完成）</t>
  </si>
  <si>
    <t>天津市及其周边区域土地强排方案设计合作协议</t>
  </si>
  <si>
    <t>CRCCRE-SJ-CZ-2018-043</t>
  </si>
  <si>
    <t>6个</t>
  </si>
  <si>
    <t>每月25日，双方对截止本月25日已经完成竞拍的宗地进行顾问费用计价。乙方按要求向甲方提交请款资料（请款函、双方签字确认的土地强排方案），并提供等额合法合规的增值税专用发票，甲方在收到发票后10个工作日内向乙方支付相应费用。</t>
  </si>
  <si>
    <t>长春西派府项目（完成）</t>
  </si>
  <si>
    <t>中国铁建·西派府项目
建筑设计（优化）咨询服务合同</t>
  </si>
  <si>
    <t>CRCCRE-SJ-ZX-2018-003</t>
  </si>
  <si>
    <t>长春玖华房地产开发有限公司</t>
  </si>
  <si>
    <t>咨询：5元/平米</t>
  </si>
  <si>
    <t>合同签订后，甲方在提交全部设计资料给乙方后，五个工作日内支付工 程全额设计优化咨询费的 20%给乙方。</t>
  </si>
  <si>
    <t>扣掉2000，规证面积226230.5平方米，结算合同额为1131153</t>
  </si>
  <si>
    <t xml:space="preserve"> 乙方完成施工图阶段的设计咨询工作并经甲方认可，甲方支付工程全额 设计优化咨询费 60%给乙方。</t>
  </si>
  <si>
    <t>工程竣工备案后，甲方支付工程全额设计优化咨询费 20%给乙方。</t>
  </si>
  <si>
    <t>21年调整产值，抵扣-499.2元</t>
  </si>
  <si>
    <t>西山梧桐项目
（完结）</t>
  </si>
  <si>
    <t>中国铁建西山梧桐项目设计咨询服务合同</t>
  </si>
  <si>
    <t>CRCCRE-SJ-ZX-2018-009</t>
  </si>
  <si>
    <t>北京嘉达置业有限公司</t>
  </si>
  <si>
    <t>咨询人提交方案阶段咨询告，经发包人负责人书面确认定稿后</t>
  </si>
  <si>
    <t>咨询人提交施工图阶段咨询报告，经发包人负责人书面确认定稿，且项目取得施工图设计审查合格书后</t>
  </si>
  <si>
    <t>项目工程竣工验收全部完成，经发包人负责人书面确认并办理结算完成后</t>
  </si>
  <si>
    <t>年底竣工</t>
  </si>
  <si>
    <t>北京朝阳马家湾项目
（完成）</t>
  </si>
  <si>
    <t>绿色建筑咨询服务合同</t>
  </si>
  <si>
    <t>CRCCRE-SJ-GC-2018-005</t>
  </si>
  <si>
    <t>绿建咨询：2元/平方</t>
  </si>
  <si>
    <t>工程：150000</t>
  </si>
  <si>
    <t xml:space="preserve">通过住保办审查，并将评审结果文件资料移交甲方后45个工作日内
</t>
  </si>
  <si>
    <t>北京市朝阳区豆各庄乡马家湾村1306-606地块项目设计合同</t>
  </si>
  <si>
    <t>CRCCRE-SJ-HS-2018-001</t>
  </si>
  <si>
    <t>合同：130997
结算：133156</t>
  </si>
  <si>
    <t>方案：13元/平方、施工图：29元/平方（含装配式）</t>
  </si>
  <si>
    <t>全部规划方案设计部分完成，按照市住保办专家评审会上会深度要求完成方案册制作，且通过甲方委托的第三方审核且乙方配合甲方根据第三方审核的结果对其设计图进行调整，并取得规划方案复函后，累计拨付至双方估算总额30%的设计费后7个工作日内双方办理计价手续。</t>
  </si>
  <si>
    <t>乙方配合完成甲方完成项目全部结构工程施工后7个工作日内双方办理计价手续。累计拨付至双方确认结算总额80%的设计费。</t>
  </si>
  <si>
    <t>外委华通：
1731028元
设计咨询：1343678.49元</t>
  </si>
  <si>
    <t>朝阳水牛坊项目</t>
  </si>
  <si>
    <t>北京市朝阳区豆各庄乡水牛坊村1306-635
地块、1306-636地块A8社区综合服务用地项目设计合同</t>
  </si>
  <si>
    <t>CRCCRE-SJ-HS-2018-003</t>
  </si>
  <si>
    <t>CRCCRE-BF-BJJS-WTG-QQ-2018-006</t>
  </si>
  <si>
    <t>合同：130660
结算：148387</t>
  </si>
  <si>
    <t>方案：13元/平方、施工图：30元/平方（含装配式）</t>
  </si>
  <si>
    <t>工程：1698580</t>
  </si>
  <si>
    <t>按照规证面积结算，铁建银信2021年12月24日到期</t>
  </si>
  <si>
    <t>按照规证面积结算，铁建银信2022年2月23日到期</t>
  </si>
  <si>
    <t>1306-635规证面积为：122191㎡
1306-636规证面积为：26196㎡
华通外委费金额，暂不抵房租</t>
  </si>
  <si>
    <t>结算后减少设计费421元</t>
  </si>
  <si>
    <t>西山梧桐项目（完成）</t>
  </si>
  <si>
    <t>西山梧桐项目地上标准户型精装修建模BIM服务合同</t>
  </si>
  <si>
    <t>CRCCRE-SJ-BIM-2018-003</t>
  </si>
  <si>
    <t>CRCCRE-BF-BJJD-XSWT-SJ-2018-003</t>
  </si>
  <si>
    <t>BIM：户型精装建模5.73元/平方</t>
  </si>
  <si>
    <t>乙方完成BIM模型及管综优化报告，并经甲方认可，甲方支付工程BIM全额BIM技术应用服务费用60%给乙方。</t>
  </si>
  <si>
    <t>乙方完成标准单元BIM精装修模型和预制构件拆分模型，并经甲方认可，甲方支付工程BIM全额BIM技术应用服务费用40%给乙方。</t>
  </si>
  <si>
    <t>找金苏</t>
  </si>
  <si>
    <t>北京马家湾项目
（完成）</t>
  </si>
  <si>
    <t>北京市朝阳区豆各庄乡马家湾村1306-606地块R2二类居住用地项目BIM技术应用咨询服务合同</t>
  </si>
  <si>
    <t>CRCCRE-SJ-BIM-2018-011</t>
  </si>
  <si>
    <t>BIM:建模4元/平方</t>
  </si>
  <si>
    <t>乙方提交第一版BIM模型后</t>
  </si>
  <si>
    <t>乙方提交所有成果</t>
  </si>
  <si>
    <t>乙方配合施工方完成地下室BIM施工应用，经甲方确认</t>
  </si>
  <si>
    <t>同上</t>
  </si>
  <si>
    <t>产值确认单已签</t>
  </si>
  <si>
    <t>北京水牛坊项目
（完成）</t>
  </si>
  <si>
    <t>北京市朝阳区豆各庄乡水牛坊村1306-635地块R2二类居住用地项目BIM技术应用咨询服务合同</t>
  </si>
  <si>
    <t>CRCCRE-SJ-BIM-2018-012</t>
  </si>
  <si>
    <t>合同：
121971
结算：
122191</t>
  </si>
  <si>
    <t>合同金额为487884.00元
结算金额为488764.00元</t>
  </si>
  <si>
    <t>雄安高铁项目（完成）</t>
  </si>
  <si>
    <t>地块取地项目咨询顾问服务合同</t>
  </si>
  <si>
    <t>CRCCRE-SJ-CH-2018-001</t>
  </si>
  <si>
    <t>策划</t>
  </si>
  <si>
    <t>北京欣达置业有限公司</t>
  </si>
  <si>
    <t>2个</t>
  </si>
  <si>
    <t>策划：5万/个</t>
  </si>
  <si>
    <t>每月20日前，双方就本月发生的顾问费用进行去人，并由甲方出具书面确认资料。乙方在25日前，按甲方要求提交本月请款资料（包括不限于请款函、《工作任务单》、双方签字确认的地块取地可行性研究报告等），甲方将于次月底向乙方支付本月进度款。</t>
  </si>
  <si>
    <t>长租公寓课题研究（转出）</t>
  </si>
  <si>
    <t>长租公寓产品线研究咨询服务协议</t>
  </si>
  <si>
    <t>CRCCRE-SJ-CH-2018-008</t>
  </si>
  <si>
    <t>CRCC-CX-ZL-2018-002</t>
  </si>
  <si>
    <t>中铁房地产集团创新产业投资有限公司</t>
  </si>
  <si>
    <t>策划：450000,创二：350000</t>
  </si>
  <si>
    <t>本协议签订后30个工作日内，甲方支付咨询服务费用总额的20%作为第一期款项</t>
  </si>
  <si>
    <t>剩下款型见补充协议</t>
  </si>
  <si>
    <t>山东菏泽项目（执行完成）</t>
  </si>
  <si>
    <t>项目投资拓展可行性研究顾问服务协议</t>
  </si>
  <si>
    <t>CRCCRE-SJ-CH-2018-013</t>
  </si>
  <si>
    <t>策划：10万/个、5万/个</t>
  </si>
  <si>
    <t>乙方完成甲方最终认可的顾问服务报告，甲方验收并作出书面认可后，甲方于下月30日之前支付乙方相应的顾问服务费用</t>
  </si>
  <si>
    <t>合同执行完成</t>
  </si>
  <si>
    <t>大连山语城项目（完成）</t>
  </si>
  <si>
    <t>大连市大城（2016）-17号地块规划方案设计合同</t>
  </si>
  <si>
    <t>CRCCRE-SJ-CZZX-2017-004</t>
  </si>
  <si>
    <t>大连京信置业有限公司</t>
  </si>
  <si>
    <t>方案：14.8元/平方</t>
  </si>
  <si>
    <t>双方确认甲方向乙方支付合同定金，本合同签订生效十五日内，甲方已经支付的定金抵作设计费</t>
  </si>
  <si>
    <t>建筑方案设计（含总规划方案设计及单体方案设计）经甲方确认并通过政府部门审批后十五日内</t>
  </si>
  <si>
    <t>配合甲方取得规划许可证十五日内</t>
  </si>
  <si>
    <t>乙方完成配合、深化设计配合等工作，竣工验收后十五日内</t>
  </si>
  <si>
    <t>密云及顺义项目（完成）</t>
  </si>
  <si>
    <t>密云新城0102街区MY00-0102-6002地块项目
及顺义区仁和镇第5街区05-03-04-3地块项目
概念规划咨询设计合同</t>
  </si>
  <si>
    <t>CRCCRE-SJ-CZZX-2017-008</t>
  </si>
  <si>
    <t>设计费用按双方约定金额一次性付款</t>
  </si>
  <si>
    <t>创新可研
（未执行）</t>
  </si>
  <si>
    <t>概念规划设计咨询服务协议</t>
  </si>
  <si>
    <t>CRCCRE-SJ-CZZX-2017-012</t>
  </si>
  <si>
    <t>CRCC-CX-TZ-2017-005</t>
  </si>
  <si>
    <t>根据集团公司关于《中铁房地产集团设计咨询有限公司业务发展指导意见》，本协议设计收费按照建设用地面积进行收费，10公顷以下为10万元/项（不含税金额94340元，增值税金额5660元，税率6%。）；10公顷以上为1万元/公顷。设计收费总价在30万元以下时按照本条款计费标准取费；如遇特大项目、特殊项目或设计收费总价超过30万元时，设计收费需根据项目具体情况由双方协商确定</t>
  </si>
  <si>
    <t>合同未执行，已到期
一室：海淀环保园6001地块项目、天津北辰、四川绵阳项目、深圳市坪山区G13302-8025地块项目、深圳市龙岗区G05425-1027地块项目。
二室：三亚崖山项目1#地、三亚崖山项目2#地、万全区114商业地块、北京小红门项目、三里庄回迁项目、安徽蚌埠可研项目</t>
  </si>
  <si>
    <t>成都青城山项目</t>
  </si>
  <si>
    <t>概念规划设计咨询服务协议
补充协议01</t>
  </si>
  <si>
    <t>CRCCRE-SJ-CZZX-2017-012-B1</t>
  </si>
  <si>
    <t>CRCC-CX-TZ-2017-005-B1</t>
  </si>
  <si>
    <t>服务费支付方式：本补充协议签订生效后十日内，甲方预付本项目概念规划设计咨询服务费的30%，即人民币45000元整（大写：肆万伍仟元整。其中不含税金额为42452.83元，税金2547.17元，增值税税率6%），作为项目启动资金；</t>
  </si>
  <si>
    <t>剩余服务费根据乙方提交的设计成果及实际产生的服务情况进行结算，在乙方提交甲乙双方共同确认的本项目概念规划设计方案最终成果后，甲方向乙方结清本补充协议约定的服务费用。</t>
  </si>
  <si>
    <t>天津弘创可研（完成）</t>
  </si>
  <si>
    <t>概念规划咨询设计合同</t>
  </si>
  <si>
    <t>CRCCRE-SJ-CZ-2017-019</t>
  </si>
  <si>
    <t>CRCCRE-BJZD-TJ-016</t>
  </si>
  <si>
    <t>每月25日，双方对截止本月25日已经完成竞拍</t>
  </si>
  <si>
    <t>天津勤俭桥项目
天津津滨保（挂）2016-3
天津津滨保（挂）2016-4(1)
天津津滨保（挂）2016-4(2)
天津津南区二八公路西侧项目
天津东丽区张贵庄路-程州路A地块
天津武清2-04地块
天津武清5-09地块</t>
  </si>
  <si>
    <t>嘉业强排（完成）</t>
  </si>
  <si>
    <t>土地强排方案设计合同</t>
  </si>
  <si>
    <t>CRCCRE-SJ-CZ-2017-020</t>
  </si>
  <si>
    <t>中铁嘉业（北京）投资有限公司</t>
  </si>
  <si>
    <t>4个</t>
  </si>
  <si>
    <t>双方就发生的顾问费用进行阶段性确认，由甲方设计部出具书面确认资料。乙方在阶段完成当月的25日前，按甲方要求提交本月请款资料（包括不限于请款函、《工作任务单》、双方签字确认的土地强排方案等），甲方将于次月底向乙方支付相应阶段的进度款。</t>
  </si>
  <si>
    <t>创新战略协议（完成）</t>
  </si>
  <si>
    <t>项目营销咨询顾问服务协议</t>
  </si>
  <si>
    <t>CRCCRE-SJ-CHZX-2017-003</t>
  </si>
  <si>
    <t>16个</t>
  </si>
  <si>
    <t>策划：6万/个</t>
  </si>
  <si>
    <t>合同执行完毕。根据实际委托项目情况，最终结算金额为96万元整。其中包含：                            已付款96万：都江堰市青城山项目6万、都江堰市进入报告6万、绵阳高教园商业中心项目6万、阳市教育园可研项目6万、海南城市进入性6万、三亚崖城镇海湾项目6万、天津北辰经济技术开发区项目6万、天津北辰双街镇科创大厦项目6万、淄博大数据小镇项目6万、大连隽景项目6万、深圳长租公寓项目24万、合肥新站项目土地可研报告及政府汇报稿12万。</t>
  </si>
  <si>
    <t>未付款48万：南京创新园区项目6万、张家口114亩地块项目6万、张家口200亩地块项目6万、张家口一、二级开发项目15万/万全古城15万</t>
  </si>
  <si>
    <t>未付款48万签订到营销的协议中</t>
  </si>
  <si>
    <t>嘉业策划（完成）</t>
  </si>
  <si>
    <t>CRCCRE-SJ-CH-2017-005</t>
  </si>
  <si>
    <t>双方就发生的顾问费用进行阶段性确认，由甲方出具书面确认资料。乙方在阶段完成当月的25日前，按甲方要求提交本月请款资料（包括不限于请款函、《工作任务单》、双方签字确认的顾问服务报告等），甲方将于次月底向乙方支付相应款项。</t>
  </si>
  <si>
    <t>长春洋浦大街项目（完成）</t>
  </si>
  <si>
    <t>长春市洋浦大街项目规划方案设计合同</t>
  </si>
  <si>
    <t>CRCCRE-SJ-CZZX-2016-003</t>
  </si>
  <si>
    <t xml:space="preserve">方案：14.8元/平方 </t>
  </si>
  <si>
    <t>合同定金，本合同签订后十五日内，本合同生效后，定金抵作设计费</t>
  </si>
  <si>
    <t>按照规证面积调整合同额为3348211.4元，在第二次请款中已经调整</t>
  </si>
  <si>
    <t>建筑初步设计经甲方确认并通过政府部门审批且甲方取得规划许可证十五日内</t>
  </si>
  <si>
    <t>乙方完成施工图配合、优化配合工作且所有建筑单体施工图审查合格，竣工备案后十五日内</t>
  </si>
  <si>
    <t>21年调整产值，0.12元</t>
  </si>
  <si>
    <t>长春花语城项目（完成）</t>
  </si>
  <si>
    <t>长春花语城建筑设计咨询服务合同</t>
  </si>
  <si>
    <t>CRCCRE-SJ-ZX-2016-002</t>
  </si>
  <si>
    <t>长春中铁房地产开发有限公司</t>
  </si>
  <si>
    <t>咨询：2元/平方</t>
  </si>
  <si>
    <t>合同签订后，甲方应提交全部设计资料给乙方和丙方，并于五个工作日内支付工程全额设计优化咨询费的20%。</t>
  </si>
  <si>
    <t>全部施工图审查通过后，同时乙、丙方完成全部工作并经甲方认可，甲方支付工程剩余设计优化咨询费给乙方、丙方</t>
  </si>
  <si>
    <t>海淀翠湖项目</t>
  </si>
  <si>
    <t>CRCCRE-DC-XM-2020-031</t>
  </si>
  <si>
    <t>北京市海淀区翠湖科技园HD00-0303-6009、6010地块R2二类居住用地项目BIM技术咨询服务合同</t>
  </si>
  <si>
    <t>CRCCRE-SJ-BIM-2020-001</t>
  </si>
  <si>
    <t>中国铁建大桥工程局集团有限公司</t>
  </si>
  <si>
    <t>乙方提交第一版地下车库BIM模型后，15个工作日内，支付合同额的40%</t>
  </si>
  <si>
    <t>乙方提交第一版地下车库优化BIM模型后，15个工作日内，支付合同额的40%</t>
  </si>
  <si>
    <t>一年期建行E信通</t>
  </si>
  <si>
    <t>乙方提交BIM管综优化报告，15个工作日内，支付合同额的20%</t>
  </si>
  <si>
    <t>正定售楼处项目（完成）</t>
  </si>
  <si>
    <t>CRCCRE-DC-XM-2020-023</t>
  </si>
  <si>
    <t>正定新区239号地块售楼处施工图设计合同</t>
  </si>
  <si>
    <t>CRCCRE-SJ-GC-2020-006</t>
  </si>
  <si>
    <t>施工图</t>
  </si>
  <si>
    <t>20万/个</t>
  </si>
  <si>
    <t>合同签订生效后7个工作日内双方办理计价手续。本合同履行后，定金抵作设计费。</t>
  </si>
  <si>
    <t>一年期铁建银信</t>
  </si>
  <si>
    <t>乙方提交全专业施工图纸后，7个工作日内双方办理计价手续，累计拨付至双方估算总额80%的设计费。</t>
  </si>
  <si>
    <t>银信，22年5.25到期</t>
  </si>
  <si>
    <t>施工完成后，7个工作日内双方办理计价手续，累计拨付至双方估算总额100%的设计费。</t>
  </si>
  <si>
    <t>天津国印四期项目</t>
  </si>
  <si>
    <t>CRCCRE-DC-XM-2020-013</t>
  </si>
  <si>
    <t>国印四期项目建筑设计咨询服务合同</t>
  </si>
  <si>
    <t>CRCCRE-SJ-ZX-2020-007</t>
  </si>
  <si>
    <t>四期 68800，消防站4460</t>
  </si>
  <si>
    <t>四期咨询：7元/平米，消防站：5元/平米</t>
  </si>
  <si>
    <t>合同签订后，乙方完成施工图阶段的设计咨询工作并经甲方认可后，乙方提供请款函、增值税专用发票等请款相关资料后，甲方在30个工作日内支付全部设计咨询费用的80%。</t>
  </si>
  <si>
    <t>所有建筑单体正负零施工完成后，乙方提供请款函、增值税专用发票等请款相关资料后，甲方在30个工作日内支付全部设计咨询费用的15%。</t>
  </si>
  <si>
    <t>结构施工全部封顶后，甲乙双方办理最终结算后，乙方提供请款函、增值税专用发票等请款相关资料后，甲方在30个工作日内支付结算后的剩余金额。</t>
  </si>
  <si>
    <t>正定项目A号地块咨询
（完成）</t>
  </si>
  <si>
    <t>CRCCRE-DC-XM-2020-026</t>
  </si>
  <si>
    <t>石家庄市正定新区239-A地块用地项目设计咨询服务合同</t>
  </si>
  <si>
    <t>CRCCRE-SJ-ZX-2020-009</t>
  </si>
  <si>
    <t>咨询：7元/平方</t>
  </si>
  <si>
    <t>合同签订后30个工作日内，付该地块咨询费用的20%。</t>
  </si>
  <si>
    <t>乙方完成方案阶段的设计咨询工作，提交电子版《方案阶段设计咨询意见》，甲方取得建设工程规划许可证后，30个工作日内，双方根据建设工程规划许可证面积进行结算，付至结算费用的40%</t>
  </si>
  <si>
    <t>乙方完成施工图阶段的设计咨询工作且向甲方提交优化成果（包括但不限于优化后的设计文件、设计咨询意见书），全专业施工图通过甲方委托的第三方审核，并取得施工图审查合格通知书后，30个工作日内，付至结算费用的98%。</t>
  </si>
  <si>
    <t>乙方配合甲方以及与本工程施工所有相关单位至竣工验收并取得竣工备案表，双方办理最终结算手续，按照建设工程规划许可证建筑面积结算并支付余下的设计费。</t>
  </si>
  <si>
    <t>正定项目C号、D号地块方案     （完成）</t>
  </si>
  <si>
    <t>CRCCRE-DC-XM-2020-025</t>
  </si>
  <si>
    <t>石家庄市正定新区239-C号、239-D号用地项目规划方案设计合同</t>
  </si>
  <si>
    <t>CRCCRE-SJ-CZ-2020-008</t>
  </si>
  <si>
    <t>项目管理中心：4183243</t>
  </si>
  <si>
    <t>2023/5/26到期铁建银信</t>
  </si>
  <si>
    <t>2023/10/20到期铁建银信</t>
  </si>
  <si>
    <t>外部</t>
  </si>
  <si>
    <t>门头沟装配式深化</t>
  </si>
  <si>
    <t>CRCCRE-DC-XM-2020-069</t>
  </si>
  <si>
    <t>门头沟区永定镇冯村、何各庄地区棚户区改造项目装配式深化设计服务合同</t>
  </si>
  <si>
    <t>CRCCRE-SJ-BIM-2020-010</t>
  </si>
  <si>
    <t>BIM智慧建造工作室</t>
  </si>
  <si>
    <t>中科建（北京）工程技术研究院有限公司</t>
  </si>
  <si>
    <t>BIM:4元/平方</t>
  </si>
  <si>
    <t>乙方提交13，14，16，17，19，21号楼标准层预制构件深化图并经甲方确认后十五个工作日内</t>
  </si>
  <si>
    <t>乙方提交13，14，16，17，19，21号楼顶层预制构件深化图并经甲方确认后十五个工作日内</t>
  </si>
  <si>
    <t>中铁建设金华西关项目</t>
  </si>
  <si>
    <t>金华西关1#地块建筑设计咨询服务合同</t>
  </si>
  <si>
    <t>CRCCRE-SJ-ZX-2025-002</t>
  </si>
  <si>
    <t>CSGX-JHSJHXG1HD-HT2025QQ-SJ01</t>
  </si>
  <si>
    <t>中铁建设集团金华置业有限公司</t>
  </si>
  <si>
    <t>85409.00平方米</t>
  </si>
  <si>
    <t>3元/平方米，另有0.5元/平方米为优化奖励，优化量超过合同金额5倍</t>
  </si>
  <si>
    <t>乙方完成方案阶段的设计优化咨询工作并提交优化报告后，经设计部确认，配合工规证获取后结算合同金额(不含优化奖励金额)的30%,次月25日前支付结算金额的100%。</t>
  </si>
  <si>
    <t>乙方提交第一版全专业施工图设计优化咨询报告后，配合获取图审合格证后结算合同金额(不含优化奖励金额)的30%,次月25日前支付结算金额的100%。</t>
  </si>
  <si>
    <t>乙方完成该项目设计优化咨询总结报告并经甲方认可后，结算合同金额(不含优化奖励金额)
的30%,次月25日前支付结算金额的100%。</t>
  </si>
  <si>
    <t>完成所有后续服务，且项目整体竣工验收后办理最终结算，次月25日前支付至最终结算金额的100%。</t>
  </si>
  <si>
    <t>金华西关2#地块建筑设计咨询服务合同</t>
  </si>
  <si>
    <t>CRCCRE-SJ-ZX-2025-001</t>
  </si>
  <si>
    <t>CSGX-JHSJHXG2HD-HT2025QQ-SJ02</t>
  </si>
  <si>
    <t>135138.80平方米</t>
  </si>
  <si>
    <t>逸品汇商业中心项目（完成）</t>
  </si>
  <si>
    <t>CRCCRE-DC-XM-2020-052</t>
  </si>
  <si>
    <t>逸品汇商业中心项目建筑设计咨询服务合同</t>
  </si>
  <si>
    <t>CRCCRE-SJ-ZX-2020-010</t>
  </si>
  <si>
    <t>中铁房地产开发（保定）有限公司</t>
  </si>
  <si>
    <t>咨询：3元/平方</t>
  </si>
  <si>
    <t>乙方提交甲方方案阶段的设计咨询总结报告15个工作日内。</t>
  </si>
  <si>
    <t xml:space="preserve">产值确认单
</t>
  </si>
  <si>
    <t>甲方取得建设工程规划许可证后15个工作日内，双方根据建设工程规划许可证面积进行结算。</t>
  </si>
  <si>
    <t>华森</t>
  </si>
  <si>
    <t>贵安国际数字文化产业园二期（完成）</t>
  </si>
  <si>
    <t>贵安国际数字文化产业园二期项目设计咨询服务合同</t>
  </si>
  <si>
    <t>CRCCRE-SJ-XM-2020-010</t>
  </si>
  <si>
    <t>深圳华森建筑与工程设计顾问有限公司</t>
  </si>
  <si>
    <t>约125000</t>
  </si>
  <si>
    <t>咨询：5.4元/平方</t>
  </si>
  <si>
    <t>合同签订后七个工作日内。</t>
  </si>
  <si>
    <t>产值计入项目管理中心，从江门项目拨给工程中心</t>
  </si>
  <si>
    <t>乙方完成设计咨询工作、提交全专业设计咨询总结报告并经甲方签署成果确认单（附件二）后七个工作日内。</t>
  </si>
  <si>
    <t>正定项目A号地块BIM设计
（完成）</t>
  </si>
  <si>
    <t>CRCCRE-DC-XM-2020-008</t>
  </si>
  <si>
    <t>中国铁建花语城一期工程项目（原名：正定新区239-A地块项目）BIM设计合同</t>
  </si>
  <si>
    <t>CRCCRE-SJ-BIM-2020-015</t>
  </si>
  <si>
    <t>CRCCRE-BF-HBXT-HYCYQ-QQ-2020-037</t>
  </si>
  <si>
    <t>园区场地和小市政管线部分面积暂定46651.99平方米,地库36812.8平方米,户型精装606平方米</t>
  </si>
  <si>
    <t>BIM：地下室管综优化7.5/平米、园区小市政管综优化6元/平米、户型精装150元/平米</t>
  </si>
  <si>
    <t>合同签订后15个工作日内，双方办理计价手续。本合同履行后，定金抵作设计费。</t>
  </si>
  <si>
    <t>规证面积42387.69</t>
  </si>
  <si>
    <t>乙方提交第一版地下车库及地下室BIM模型、户型全专业建模BIM模型且经过甲方确认后15个工作日内双方办理计价手续，按照建设工程规划许可证面积结算设计费。</t>
  </si>
  <si>
    <t>乙方在甲方提供施工图的基础上，提交园区场地和小市政BIM模型且经过甲方确认后15个工作日内双方办理计价手续，按照建设工程规划许可证面积结算设计费。</t>
  </si>
  <si>
    <t>乙方根据甲方优化后的施工图纸提交BIM设计优化报告、完成BIM范围的交底工作且经过甲方确认后15个工作日内双方办理计价手续，按照建设工程规划许可证面积结算设计费。</t>
  </si>
  <si>
    <t>乙方跟踪项目进度，完成设计变更的BIM模型更改，至项目取得竣工备案表后，按照建设工程规划许可证面积进行结算，次月支付剩余合同额。</t>
  </si>
  <si>
    <t>创投可研(完成)</t>
  </si>
  <si>
    <t>CRCCRE-SJ-CZ-2020-014</t>
  </si>
  <si>
    <t>5个地块</t>
  </si>
  <si>
    <t>10万/地块</t>
  </si>
  <si>
    <t>每个意向地块方案设计费按人民币100,000元（大写：壹拾万元整）统一标准收取</t>
  </si>
  <si>
    <t>武汉武昌倒口湖A6地块项目10万元</t>
  </si>
  <si>
    <t>西派唐颂二期BIM补充协议（完成）</t>
  </si>
  <si>
    <t>中国铁建西派唐颂项目二期BIM技术咨询服务合同补充协议</t>
  </si>
  <si>
    <t>CRCCRE-SJ-BIM-2020-002-B1</t>
  </si>
  <si>
    <t>CRCCRE-DB-CCCH-HPJ-EQ-QQ-2020-010-B1</t>
  </si>
  <si>
    <t>执行原合同。</t>
  </si>
  <si>
    <t>长春超强西街地块项目（完成云璟）</t>
  </si>
  <si>
    <t>CRCCRE-DC-XM-2020-072</t>
  </si>
  <si>
    <t>超强西街178地块项目建筑设计咨询服务合同</t>
  </si>
  <si>
    <t>CRCCRE-SJ-ZX-2020-014</t>
  </si>
  <si>
    <t>CRCCRE-DB-CCJX-COXJ-00-2020-009</t>
  </si>
  <si>
    <t>长春京新房地产开发有限公司</t>
  </si>
  <si>
    <t>118040.29平方米</t>
  </si>
  <si>
    <t>咨询：7/平方</t>
  </si>
  <si>
    <t>合同签订后，甲方在提交首批设计资料给乙方后，五个工作日内支付本合同暂定总价的20%给乙方。</t>
  </si>
  <si>
    <t>乙方完成附件一中的全部工作并提交第一版全专业施工图设计咨询报告且报告经过甲方认可后，十五个工作日内甲方支付合同暂定总价的60%给乙方。</t>
  </si>
  <si>
    <t>甲方完成施工图审查并取得审查合格证后，双方根据建设工程规划许可证及乙方工作成果，办理最终结算手续，并于结算手续办理完毕后的十五个工作日内，甲方支付至最终经结算合同总价的100%。</t>
  </si>
  <si>
    <t>CRCCRE-DC-XM-2020-085</t>
  </si>
  <si>
    <t>超强西街179地块项目BIM技术咨询服务合同</t>
  </si>
  <si>
    <t>CRCCRE-SJ-BIM-2020-021</t>
  </si>
  <si>
    <t>CRCCRE-DB-CCJX-CQX1-0Q-2020-010</t>
  </si>
  <si>
    <t>31523.18平方米</t>
  </si>
  <si>
    <t>地下室管综优化7.5/平米</t>
  </si>
  <si>
    <t>合同签订后 15 个工作日内</t>
  </si>
  <si>
    <t>乙方提交第一版地下室管线 BIM 模型后，15 个工作日内，支付合同额的 40%。</t>
  </si>
  <si>
    <t>乙方提交地下室管线优化 BIM 模型及 BIM 优化报告后，15 个工作日内，支付合同额的 40%。</t>
  </si>
  <si>
    <t>北京城市副中心项目（完成）</t>
  </si>
  <si>
    <t>CRCCRE-DC-XM-2020-096</t>
  </si>
  <si>
    <t>中建钢构天津有限公司深化设计分包合同</t>
  </si>
  <si>
    <t>CRCCRE-SJ-BIM-2020-025</t>
  </si>
  <si>
    <t>中建钢构天津有限公司</t>
  </si>
  <si>
    <t>6500吨</t>
  </si>
  <si>
    <t>55元/吨</t>
  </si>
  <si>
    <t>乙方履行完合同约定的所有义务，提交所有深化设计图纸并经过审核后，向甲方提交结算书，双方在30天内办理结算，结算完成90天甲方支付至乙方结算价的100%。</t>
  </si>
  <si>
    <t>香港HAFC航天走廊项目</t>
  </si>
  <si>
    <t>【HAFC】项目【CPE】系统【 加工图】设计服务合同</t>
  </si>
  <si>
    <t>CRCCRE-SJ-BIM-2024-011</t>
  </si>
  <si>
    <t>FEZH-ZT-2024-1113</t>
  </si>
  <si>
    <t>远东幕墙（珠海）有限公司</t>
  </si>
  <si>
    <t>20元/㎡</t>
  </si>
  <si>
    <t>合同签订后支付定金</t>
  </si>
  <si>
    <t>第一批模型成果文件交付并经甲方确认质量合格</t>
  </si>
  <si>
    <t>第二批模型成果文件交付并经甲方确认质量合格</t>
  </si>
  <si>
    <t>第三批模型成果文件交付并经甲方确认质量合格</t>
  </si>
  <si>
    <t>第四批模型成果文件交付并经甲方确认质量合格</t>
  </si>
  <si>
    <t>海口党校项目（雄安）（完成）</t>
  </si>
  <si>
    <t>CRCCRE-DC-XM-2020-107</t>
  </si>
  <si>
    <t>中共海口市委党校（市行政学院、社会主义学院）新校区项目建筑设计咨询服务合同</t>
  </si>
  <si>
    <t>CRCCRE-SJ-GC-2020-012</t>
  </si>
  <si>
    <t>设计分包</t>
  </si>
  <si>
    <t>天津华汇工程建筑设计有限公司</t>
  </si>
  <si>
    <t>创作二室总建面159606.13平方米，工程中心总建面165054.18平方米，咨询总建面165054.18平方米，BIM总建面160000平方米</t>
  </si>
  <si>
    <t>创作二室5.4元/平方米，工程中心17.9元/平方米，咨询1.9元/平方米，BIM4元/平方米</t>
  </si>
  <si>
    <t>乙方完成初步设计咨询工作并经甲方及业主确认后30日内，甲方向乙方支付工程全额设计优化咨询费的30%。</t>
  </si>
  <si>
    <t>乙方提交施工图设计咨询报告，甲方完成施工图审查并取得审查合格证后30日内，甲方向乙方支付工程全额设计优化咨询费的60%。</t>
  </si>
  <si>
    <t>竣工验收完成后30日内，甲方向乙方支付至工程全额设计优化咨询费结算额的95%。</t>
  </si>
  <si>
    <t>施工图竣工结算完成后30日内，甲方向乙方支付剩余款项。</t>
  </si>
  <si>
    <t>雄安</t>
  </si>
  <si>
    <t>雄安站枢纽片区2号地项目C1-=05-01地块7#02栋6层东侧办公室项目</t>
  </si>
  <si>
    <t>雄安站枢纽片区2号地项目C1-05-01地块7#02栋6层东侧办公室项目精装修硬装设计委托合同</t>
  </si>
  <si>
    <t>CRCCRE-SJ-YJ-2025-009</t>
  </si>
  <si>
    <t>精装</t>
  </si>
  <si>
    <t>crccre-xa-xacsfz-qq-2025-039</t>
  </si>
  <si>
    <t>中铁建河北雄安城市发展有限公司</t>
  </si>
  <si>
    <t>乙方出具完整施工图设计成果，根据甲方要求开具相应金额的增值税专用发票；经甲方审核确认后30工作日内，支付设计费用合同总价的70%；</t>
  </si>
  <si>
    <t>工程竣工验收并取得项目竣工联合验收意见书后，根据甲方要求开具相应金额的增值税专用发票；经甲方审核确认后30工作日内，支付至设计费用合同总价的90%；</t>
  </si>
  <si>
    <t>结算完成后15个工作日内乙方根据甲方要求请款，乙方按照甲方审核后的金额，开具相应金额的增值税专用发票；经甲方审核确认后30工作日内，支付至双方确认结算价款的100%。</t>
  </si>
  <si>
    <t>《雄安站枢纽片区2号地项目C1-05-01地块7#02栋6层东侧办公室精装方案及施工图设计委托合同》补充协议</t>
  </si>
  <si>
    <t xml:space="preserve">CRCCRE-SJ-YJ-2025-009-B1
</t>
  </si>
  <si>
    <t>crccre-xa-xacsfz-qq-2025-039-B1</t>
  </si>
  <si>
    <t>海口妇幼项目（雄安）</t>
  </si>
  <si>
    <t>CRCCRE-DC-XM-2020-108</t>
  </si>
  <si>
    <t>海口市琼山区妇幼保健院迁址新建项目二期（妇幼健康服务综合大楼）建筑设计咨询服务合同</t>
  </si>
  <si>
    <t>CRCCRE-SJ-CZ-2020-020</t>
  </si>
  <si>
    <t>创作总建面159606.13平方米，工程中心总建面165054.18平方米，咨询总建面165054.18平方米，BIM总建面160000平方米</t>
  </si>
  <si>
    <t>乙方完成方案设计咨询工作并经甲方及业主确认后30日内，甲方向乙方支付工程全额设计优化咨询费的30%。</t>
  </si>
  <si>
    <t>乙方完成初步设计咨询工作并经甲方及业主确认后30日内，甲方向乙方支付工程全额设计优化咨询费的60%。</t>
  </si>
  <si>
    <t>竣工结算完成后30日内，甲方向乙方支付剩余款项</t>
  </si>
  <si>
    <t>海口金融中心项目（雄安）（完成）</t>
  </si>
  <si>
    <t>CRCCRE-DC-XM-2020-106</t>
  </si>
  <si>
    <t>海口金融中心项目建筑设计咨询服务合同</t>
  </si>
  <si>
    <t>CRCCRE-SJ-GC-2020-011</t>
  </si>
  <si>
    <t>雄安容东片区项目（完成）</t>
  </si>
  <si>
    <t>CRCCRE-DC-XM-2020-028</t>
  </si>
  <si>
    <t>容东片区B2、C组团安置房及配套设施项目
设计驻场及设计优化咨询服务合同</t>
  </si>
  <si>
    <t>CRCCRE-SJ-XM-2020-022</t>
  </si>
  <si>
    <t>驻场+设计咨询</t>
  </si>
  <si>
    <t>中铁建河北雄安城市建设有限公司</t>
  </si>
  <si>
    <t>咨询面积330000平方米</t>
  </si>
  <si>
    <t>Z-1甲方根据乙方驻场的人员数量、时间等情况（驻场人员名单及工时表作为驻场结算依据，附件一），于2020年12月31日。S-1乙方完成本合同规定的设计优化咨询工作内容，经甲方确认通过后15个工作日内，甲方向乙方支付全部设计优化咨询部分费用</t>
  </si>
  <si>
    <t>2020年驻场+设计咨询</t>
  </si>
  <si>
    <t>甲方根据乙方驻场的人员数量、时间等情况（驻场人员名单及工时表作为驻场结算依据，附件一），2021年5月31日进行结算。</t>
  </si>
  <si>
    <t>雄安站枢纽片区2号地项目四标段</t>
  </si>
  <si>
    <r>
      <rPr>
        <sz val="10"/>
        <color rgb="FF000000"/>
        <rFont val="宋体"/>
        <charset val="134"/>
      </rPr>
      <t>雄安站枢纽片区2号地项目</t>
    </r>
    <r>
      <rPr>
        <b/>
        <sz val="10"/>
        <color rgb="FF417FF9"/>
        <rFont val="宋体"/>
        <charset val="134"/>
      </rPr>
      <t>四标段</t>
    </r>
    <r>
      <rPr>
        <sz val="10"/>
        <color rgb="FF000000"/>
        <rFont val="宋体"/>
        <charset val="134"/>
      </rPr>
      <t>施工图设计合同</t>
    </r>
  </si>
  <si>
    <t>CRCCRE-SJ-XM-2024-007</t>
  </si>
  <si>
    <t>施工图设计+专项设计</t>
  </si>
  <si>
    <t>商业25，公寓17，办公23，人防地下室25，非人防地下室17，专项20.43</t>
  </si>
  <si>
    <t>乙方出具主体工程完整施工图设计成果，经甲方确认后30工作日内</t>
  </si>
  <si>
    <t>甲方取得三函（施工意见登记的复函）后</t>
  </si>
  <si>
    <t>主体工程竣工验收并取得项目竣工联合验收意见书后30工作日内</t>
  </si>
  <si>
    <t>项目整体交付使用且双方签订结算协议书后30工作日内</t>
  </si>
  <si>
    <t>设计人完成专项设计工作的30%，经甲方确认进度后30工作日内</t>
  </si>
  <si>
    <t>设计人完成专项设计工作的50%，经甲方确认进度后30工作日内</t>
  </si>
  <si>
    <t>设计人完成专项设计工作的70%，经甲方确认进度后30工作日内</t>
  </si>
  <si>
    <t>设计人完成专项设计工作的90%，经甲方确认进度后30工作日内</t>
  </si>
  <si>
    <t>专项设计部分竣工验收并取得项目竣工联合验收意见书后30工作日内</t>
  </si>
  <si>
    <r>
      <rPr>
        <sz val="10"/>
        <color rgb="FF000000"/>
        <rFont val="宋体"/>
        <charset val="134"/>
      </rPr>
      <t>雄安站枢纽片区2号地项目</t>
    </r>
    <r>
      <rPr>
        <b/>
        <sz val="10"/>
        <color rgb="FF000000"/>
        <rFont val="宋体"/>
        <charset val="134"/>
      </rPr>
      <t>二标段</t>
    </r>
  </si>
  <si>
    <t>雄安站枢纽片区2号地项目二标段施工图设计合同（主体施工图部分）</t>
  </si>
  <si>
    <t>CRCCRE-SJ-GC-2023-005</t>
  </si>
  <si>
    <t>0708地块
主体施工图</t>
  </si>
  <si>
    <t>住宅47981.10，底商2261.90，商业11602.40，办公29680.60，酒店21984，人防8020，非人防52090.82</t>
  </si>
  <si>
    <t>住宅，底商，非人防17，商业25，办公23，酒店40，人防25</t>
  </si>
  <si>
    <t>0708地块施工图50%</t>
  </si>
  <si>
    <t>0708地块取得三函70%</t>
  </si>
  <si>
    <t>主体工程竣工验收并取得项目竣工联合验收意见书后30日内，支付至主体工程设计费用的90%</t>
  </si>
  <si>
    <t>项目整体交付使用且双方签订结算协议书后30日内，支付至主体工程双方确认结算价款的100%</t>
  </si>
  <si>
    <t>未开地块
主体施工图</t>
  </si>
  <si>
    <t>乙方出具主体工程完整施工图设计成果，经甲方确认后30日内，支付主体工程设计费用的50%</t>
  </si>
  <si>
    <t>甲方取得三函后，支付至主体工程设计费用的70%</t>
  </si>
  <si>
    <t>雄安站枢纽片区2号地项目
二标段施工图设计合同
（专项设计部分）</t>
  </si>
  <si>
    <t>0708地块专项外委</t>
  </si>
  <si>
    <t>0708地块专项
（干完90%，确认70%）</t>
  </si>
  <si>
    <t>0708地块专项
（专项设计部分竣工验收并取得项目竣工联合验收意见书后30日内，支付至专项设计费用的90%）</t>
  </si>
  <si>
    <t>0708地块专项
（项目整体交付使用且双方签订结算协议书后30日内，支付至专项设计双方确认结算价款的100%）</t>
  </si>
  <si>
    <t>未开地块
专项外委</t>
  </si>
  <si>
    <t>设计人完成专项设计工作的30%，经甲方确认进度后30日内，支付至专项设计费用的20%</t>
  </si>
  <si>
    <t>设计人完成专项设计工作的50%，经甲方确认进度后30日内，支付至专项设计费用的30%</t>
  </si>
  <si>
    <t>设计人完成专项设计工作的70%，经甲方确认进度后30日内，支付至专项设计费用的50%</t>
  </si>
  <si>
    <t>设计人完成专项设计工作的90%，经甲方确认进度后30日内，支付至专项设计费用的70%</t>
  </si>
  <si>
    <t>专项设计部分竣工验收并取得项目竣工联合验收意见书后30日内，支付至专项设计费用的90%</t>
  </si>
  <si>
    <t>项目整体交付使用且双方签订结算协议书后30日内，支付至专项设计双方确认结算价款的100%</t>
  </si>
  <si>
    <t>济南置业可研（完成）</t>
  </si>
  <si>
    <t>济南长清区大柿子园D-1地块、济南虞山东项目概念规划方案设计合同</t>
  </si>
  <si>
    <t>CRCCRE-SJ-CZ-2020-021</t>
  </si>
  <si>
    <t>5万元/项目</t>
  </si>
  <si>
    <t>乙方完成合同约定的全部工作，按甲方要求提交请款资料（包括不限于请款函、《工作任务单》、双方签字确认的顾问服务报告等），甲方将于次月30日前向乙方支付相应款项。</t>
  </si>
  <si>
    <t>南沙</t>
  </si>
  <si>
    <t>南沙坦尾旧改项目</t>
  </si>
  <si>
    <t>CRCCRE-DC-XM-2020-110</t>
  </si>
  <si>
    <t>中国铁建南沙坦尾旧改项目(复建地块)建筑规划方案设计合同</t>
  </si>
  <si>
    <t>CRCCRE-SJ-CZ-2020-022</t>
  </si>
  <si>
    <t>广州南沙中铁实业发展有限公司</t>
  </si>
  <si>
    <t>13元/平方米</t>
  </si>
  <si>
    <t>合同签订后，设计人根据发包人要求提供请款材料及增值税专用发票，经发包人审核确认后，次月25日前支付</t>
  </si>
  <si>
    <t>合同额的15%拆给咨询中心，咨询中心拆54035给创作二室</t>
  </si>
  <si>
    <t>建筑方案深化完成，即总图、典型单体（平立剖）设计完成并取得甲方书面确认函，设计人根据发包人要求提供请款材料及增值税专用发票，经发包人审核确认后，次月25日前支付</t>
  </si>
  <si>
    <t>6月已拿地</t>
  </si>
  <si>
    <t>方案调整、修改完成并通过政府审查后（规划复函），设计人根据发包人要求提供请款材料及增值税专用发票，经发包人审核确认后，次月25日前支付</t>
  </si>
  <si>
    <t>江门商办：咨询补工程中心产值47663.37，项目管理中心补工程中心产值18693.19；
华漕项目：咨询补创一81517.60，项目管理中心补创一457.24
22年借产值归还：咨询归还BIM中心106000.00</t>
  </si>
  <si>
    <t>单体报建完成并取得工规证后，设计人根据发包人要求提供请款材料及增值税专用发票，经发包人审核确认后，次月25日前支付</t>
  </si>
  <si>
    <t>施工图配合、竣工验收完成、结算完毕后，设计人根据发包人要求提供请款材料及增值税专用发票，经发包人审核确认后，次月25日前支付</t>
  </si>
  <si>
    <t>南沙坦尾旧改项目（复建地块）</t>
  </si>
  <si>
    <t>中国铁建坦尾更新改造项目（复建地块）
设计优化及精细化审查服务合同</t>
  </si>
  <si>
    <t>CRCCRE-SJ-ZX-2023-003</t>
  </si>
  <si>
    <t>施工图咨询+精审</t>
  </si>
  <si>
    <t>3.5元/㎡</t>
  </si>
  <si>
    <t>合同签订后，次月20日前乙方根据甲方要求提交请款材料和增值税专用发票并经甲方审核确认后，甲方于次月25日前支付</t>
  </si>
  <si>
    <t>权益代建109984.86复建安置111669.44</t>
  </si>
  <si>
    <t>乙方完成图纸优化及审查，且双方完成中期结算后，当月20日前乙方根据甲方要求提交请款材料和增值税专用发票并经甲方审核确认后，甲方于次月25日前支付</t>
  </si>
  <si>
    <t>权益代建338463.85复建安置381912.63</t>
  </si>
  <si>
    <t>项目整体竣工验收后，双方就本合同内全部优化成果进行验收结算，当月20日前乙方根据甲方要求提交请款材料和增值税专用发票并经甲方审核确认后，甲方于次月25日前支付</t>
  </si>
  <si>
    <t>南沙坦尾旧改项目（融资地块）</t>
  </si>
  <si>
    <t>中国铁建坦尾更新改造项目（融资地块）
设计优化及精细化审查服务合同</t>
  </si>
  <si>
    <t>CRCCRE-SJ-ZX-2023-004</t>
  </si>
  <si>
    <r>
      <rPr>
        <sz val="10"/>
        <color rgb="FF000000"/>
        <rFont val="宋体"/>
        <charset val="134"/>
      </rPr>
      <t>乙方完成图纸优化及审查，且双方完成中期结算后，当月20日前乙方根据甲方要求提交请款材料和增值税专用发票并经甲方审核确认后，甲方于次月25日前支付</t>
    </r>
    <r>
      <rPr>
        <b/>
        <sz val="10"/>
        <color rgb="FF000000"/>
        <rFont val="宋体"/>
        <charset val="134"/>
      </rPr>
      <t>（融资南侧地块+融资北侧地块首开区）</t>
    </r>
  </si>
  <si>
    <r>
      <rPr>
        <sz val="10"/>
        <color rgb="FF000000"/>
        <rFont val="宋体"/>
        <charset val="134"/>
      </rPr>
      <t>乙方完成图纸优化及审查，且双方完成中期结算后，当月20日前乙方根据甲方要求提交请款材料和增值税专用发票并经甲方审核确认后，甲方于次月25日前支付</t>
    </r>
    <r>
      <rPr>
        <b/>
        <sz val="10"/>
        <color rgb="FF000000"/>
        <rFont val="宋体"/>
        <charset val="134"/>
      </rPr>
      <t>（融资北侧地块非首开区）</t>
    </r>
  </si>
  <si>
    <t>南沙横沥岛30、31地块项目（西派尊府）</t>
  </si>
  <si>
    <t>2021NJY-12地块项目设计合同
补充协议（一）
（住宅建筑方案部分）</t>
  </si>
  <si>
    <t>CRCCRE-SJ-XM-2023-074-B1</t>
  </si>
  <si>
    <t>广州南沙横城置业有限公司</t>
  </si>
  <si>
    <t>合同签订后，按甲方要求提供请款资料和合法有效的增值税专用发票并甲方审核确认无误后次月支付进度款</t>
  </si>
  <si>
    <t>完成深化设计方案，经甲方确认后，按甲方要求提供请款资料和合法有效的增值税专用发票并甲方审核确认无误后次月支付进度款</t>
  </si>
  <si>
    <t>完成单体报建取得工规证，经甲方确认后，按甲方要求提供请款资料和合法有效的增值税专用发票并甲方审核确认无误后次月支付进度款</t>
  </si>
  <si>
    <t>协助施工图设计单位完成施工图设计及审查,经甲方确认后，按甲方要求提供请款资料和合法有效的增值税专用发票并甲方审核确认无误后次月支付进度款</t>
  </si>
  <si>
    <t>现场建筑封顶并外立面亮相后，按甲方要求提供请款资料和合法有效的增值税专用发票并甲方审核确认无误后次月支付进度款</t>
  </si>
  <si>
    <t>完成结算后，按甲方要求提供请款资料和合法有效的增值税专用发票并甲方审核确认无误后次月支付进度款</t>
  </si>
  <si>
    <t>2021NJY-12地块项目设计合同
补充协议（一）
（住宅景观设计部分）</t>
  </si>
  <si>
    <t>完成扩初阶段设计成果，经甲方确认后，按甲方要求提供请款资料和合法有效的增值税专用发票并甲方审核确认无误后次月支付进度款</t>
  </si>
  <si>
    <t>完成施工图设计,经甲方确认后，按甲方要求提供请款资料和合法有效的增值税专用发票并甲方审核确认无误后次月支付进度款</t>
  </si>
  <si>
    <t>完成施工图会审并处理完会审问题后，按甲方要求提供请款资料和合法有效的增值税专用发票并甲方审核确认无误后次月支付进度款</t>
  </si>
  <si>
    <t>2021NJY-12地块项目设计合同
补充协议（一）
（住宅精装设计部分）</t>
  </si>
  <si>
    <t>合同签订并提交概念方案后，经甲方审核后，按甲方要求提供请款资料和合法有效的增值税专用发票并甲方审核确认无误后次月支付进度款</t>
  </si>
  <si>
    <t>精装概念设计完成经甲方确认，按甲方要求提供请款资料和合法有效的增值税专用发票并甲方审核确认无误后2个月内</t>
  </si>
  <si>
    <t>2#楼275户型样板间部分</t>
  </si>
  <si>
    <t>完成扩初阶段设计成果，经甲方审核后，按甲方要求提供请款资料和合法有效的增值税专用发票并甲方审核确认无误后次月支付进度款</t>
  </si>
  <si>
    <r>
      <rPr>
        <sz val="10"/>
        <color rgb="FF000000"/>
        <rFont val="宋体"/>
        <charset val="134"/>
      </rPr>
      <t>完成精装施工图设计，经甲方审核后，按甲方要求提供请款资料和合法有效的增值税专用发票并甲方审核确认无误后次月支付进度款
(</t>
    </r>
    <r>
      <rPr>
        <b/>
        <sz val="10"/>
        <color rgb="FF000000"/>
        <rFont val="宋体"/>
        <charset val="134"/>
      </rPr>
      <t>1#楼275户型样板间部分</t>
    </r>
    <r>
      <rPr>
        <sz val="10"/>
        <color rgb="FF000000"/>
        <rFont val="宋体"/>
        <charset val="134"/>
      </rPr>
      <t>）</t>
    </r>
  </si>
  <si>
    <r>
      <rPr>
        <sz val="10"/>
        <color rgb="FF000000"/>
        <rFont val="宋体"/>
        <charset val="134"/>
      </rPr>
      <t>完成精装施工图设计，经甲方审核后，按甲方要求提供请款资料和合法有效的增值税专用发票并甲方审核确认无误后次月支付进度款</t>
    </r>
    <r>
      <rPr>
        <b/>
        <sz val="10"/>
        <color rgb="FF000000"/>
        <rFont val="宋体"/>
        <charset val="134"/>
      </rPr>
      <t>（23年底差值部分）</t>
    </r>
  </si>
  <si>
    <r>
      <rPr>
        <sz val="10"/>
        <color rgb="FF000000"/>
        <rFont val="宋体"/>
        <charset val="134"/>
      </rPr>
      <t>完成精装施工图设计，经甲方审核后，按甲方要求提供请款资料和合法有效的增值税专用发票并甲方审核确认无误后次月支付进度款</t>
    </r>
    <r>
      <rPr>
        <b/>
        <sz val="10"/>
        <color rgb="FF000000"/>
        <rFont val="宋体"/>
        <charset val="134"/>
      </rPr>
      <t>（剩余部分）</t>
    </r>
  </si>
  <si>
    <t>精装修竣工后，经甲方审核后，按甲方要求提供请款资料和合法有效的增值税专用发票并甲方审核确认无误后次月支付进度款</t>
  </si>
  <si>
    <t>结算完成后，经甲方审核后，按甲方要求提供请款资料和合法有效的增值税专用发票并甲方审核确认无误后次月支付进度款</t>
  </si>
  <si>
    <t>2021NJY-12地块项目设计合同
补充协议（二）
（公寓商业建筑方案部分）</t>
  </si>
  <si>
    <t>CRCCRE-SJ-XM-2023-074-B2</t>
  </si>
  <si>
    <t>2021NJY-12地块项目设计合同
补充协议（二）
（公寓商业景观设计部分）</t>
  </si>
  <si>
    <t>2021NJY-12地块项目设计合同
补充协议（二）
（公寓商业精装设计部分）</t>
  </si>
  <si>
    <t>完成精装施工图设计，经甲方审核后，按甲方要求提供请款资料和合法有效的增值税专用发票并甲方审核确认无误后次月支付进度款</t>
  </si>
  <si>
    <t>2021NJY-12地块项目设计合同
（批量精装部分、批价形式）</t>
  </si>
  <si>
    <t>CRCCRE-SJ-XM-2023-074</t>
  </si>
  <si>
    <t>合同签订并提交第一版概念性方案并经甲方审核确认后 15 个工作日内，乙方根据甲方要求提交请款材料，并按照甲方审核后的金额，开具相应金额的增值税专用发票，由甲方于审核确认后，次月30日前进行进度款支付</t>
  </si>
  <si>
    <t>完成精装概念设计,提交成果并得到甲方认可后15个工作日内，乙方根据甲方要求提交请款材料，并按照甲方审核后的金额，开具相应金额的增值税专用发票，由甲方于审核确认后，次月30日前进行进度款支付</t>
  </si>
  <si>
    <t>完成方案扩初设计阶段最终成果，经甲方书面确认后15个工作日内，乙方根据甲方要求提交请款材料，并按照甲方审核后的金额，开具相应金额的增值税专用发票，由甲方于审核确认后，次月30日前进行进度款支付</t>
  </si>
  <si>
    <t>完成精装施工图设计,提交成果并得到甲方认可后15个工作日内，乙方根据甲方要求提交请款材料，并按照甲方审核后的金额，开具相应金额的增值税专用发票，由甲方于审核确认后，次月30日前进行进度款支付</t>
  </si>
  <si>
    <t>精装修竣工备案后15个工作日内，乙方根据甲方要求提交请款材料，并按照甲方审核后的金额，开具相应金额的增值税专用发票，由甲方于审核确认后，次月30日前进行进度款支付</t>
  </si>
  <si>
    <t>结算完成后15个工作日内，乙方根据甲方要求提交请款材料，并按照甲方审核后的金额，开具相应金额的增值税专用发票，由甲方于审核确认后，次月30日前进行结算款支付</t>
  </si>
  <si>
    <t>2021NJY-12地块西派尊府项目3号楼东西户型样板间精装设计合同</t>
  </si>
  <si>
    <t>CRCCRE-SJ-XM-2024-060</t>
  </si>
  <si>
    <t>合同签订并提交第一版概念性方案后 15 个工作日内请款并按甲方要求提交请款材料，乙方按照甲方审核后的金额，开具相应金额的增值税专用发票，由甲方于审核后次月30日前进行进度款支付</t>
  </si>
  <si>
    <t>完成展示区概念设计,提交成果并得到甲方认可后15个工作日内请款并按甲方要求提交请款材料，乙方按照甲方审核后的金额，开具相应金额的增值税专用发票，由甲方于审核后次月30日前进行进度款支付</t>
  </si>
  <si>
    <t>完成展示区方案扩初设计阶段最终成果，经甲方书面确认后15个工作日内请款并按甲方要求提交请款材料，乙方按照甲方审核后的金额，开具相应金额的增值税专用发票，由甲方于审核后次月30日前进行进度款支付</t>
  </si>
  <si>
    <t>完成展示区精装施工图设计,提交成果并得到甲方认可后15个工作日内请款并按甲方要求提交请款材料，乙方按照甲方审核后的金额，开具相应金额的增值税专用发票，由甲方于审核后次月30日前进行进度款支付</t>
  </si>
  <si>
    <t>展示区精装修竣工后15个工作日内请款并按甲方要求提交请款材料，乙方按照甲方审核后的金额，开具相应金额的增值税专用发票，由甲方于审核后次月30日前进行进度款支付</t>
  </si>
  <si>
    <t>结算完成，后15个工作日内请款并按甲方要求提交请款材料，乙方按照甲方审核后的金额，开具相应金额的增值税专用发票，由甲方于审核后次月30日前进行结算款支付</t>
  </si>
  <si>
    <t>2021NJY-12地块西派尊府项目5#140、200户型样板间室内精装设计合同</t>
  </si>
  <si>
    <t>CRCCRE-SJ-XM-2024-061</t>
  </si>
  <si>
    <t>340㎡</t>
  </si>
  <si>
    <t>2000元/㎡</t>
  </si>
  <si>
    <t>合同签订并提交第一版概念性方案后 15 个工作日内请款并按甲方要求提交请款材料，乙方按照甲方审核后的金额，开具相应金额的增值税专用发票，由甲方于审核后次月30日前进行进度款支付。</t>
  </si>
  <si>
    <t>完成展示区概念设计,提交成果并得到甲方认可后15个工作日内请款并按甲方要求提交请款材料，乙方按照甲方审核后的金额，开具相应金额的增值税专用发票，由甲方于审核后次月30日前进行进度款支付。</t>
  </si>
  <si>
    <t>完成展示区方案扩初设计阶段最终成果，经甲方书面确认后15个工作日内请款并按甲方要求提交请款材料，乙方按照甲方审核后的金额，开具相应金额的增值税专用发票，由甲方于审核后次月30日前进行进度款支付。</t>
  </si>
  <si>
    <t>完成展示区精装施工图设计,提交成果并得到甲方认可后15个工作日内请款并按甲方要求提交请款材料，乙方按照甲方审核后的金额，开具相应金额的增值税专用发票，由甲方于审核后次月30日前进行进度款支付。</t>
  </si>
  <si>
    <t>展示区精装修竣工后15个工作日内请款并按甲方要求提交请款材料，乙方按照甲方审核后的金额，开具相应金额的增值税专用发票，由甲方于审核后次月30日前进行进度款支付。</t>
  </si>
  <si>
    <t>结算完成，后15个工作日内请款并按甲方要求提交请款材料，乙方按照甲方审核后的金额，开具相应金额的增值税专用发票，由甲方于审核后次月30日前进行结算款支付。</t>
  </si>
  <si>
    <t>2021NJY-12 地块西派尊府项目5#中间户200户型样板房硬装设计合同</t>
  </si>
  <si>
    <t>CRCCRE-SJ-XM-2025-007</t>
  </si>
  <si>
    <t>197.25㎡</t>
  </si>
  <si>
    <t>1200元/㎡</t>
  </si>
  <si>
    <t>南沙横沥岛26、27地块项目</t>
  </si>
  <si>
    <t>2021NJY-12地块项目026及027地块（商业部分）园林景观设计合同</t>
  </si>
  <si>
    <t>CRCCRE-SJ-XM-2024-052</t>
  </si>
  <si>
    <t>设计总包（景观外委）三方合同代付</t>
  </si>
  <si>
    <t>概念设计成果确认后15个工作日内请款，乙方按照甲方审核后的金额，开具相应金额的增值税专用发票并按甲方要求提交请款材料，由甲方于审核后，次月30日前付款。</t>
  </si>
  <si>
    <t>方案设计成果确认后15个工作日内请款，乙方按照甲方审核后的金额，开具相应金额的增值税专用发票并按甲方要求提交请款材料，由甲方于审核后，次月30日前付款。</t>
  </si>
  <si>
    <t>扩初设计成果确认后15个工作日内请款，乙方按照甲方审核后的金额，开具相应金额的增值税专用发票并按甲方要求提交请款材料，由甲方于审核后，次月30日前付款。</t>
  </si>
  <si>
    <t>施工图设计成果确认后15个工作日内请款，乙方按照甲方审核后的金额，开具相应金额的增值税专用发票并按甲方要求提交请款材料，由甲方于审核后，次月30日前付款。</t>
  </si>
  <si>
    <t>大区施工现场配合完成，并得到甲方认可后15个工作日内请款，乙方按照甲方审核后的金额，开具相应金额的增值税专用发票并按甲方要求提交请款材料，由甲方于审核后，次月30日前付款。</t>
  </si>
  <si>
    <t>施工工程竣工验收合格，本合同办理完成结算后15个工作日内请款，乙方按照甲方审核后的金额，开具相应金额的增值税专用发票并按甲方要求提交请款材料，由甲方于审核后，次月30日前付款。</t>
  </si>
  <si>
    <r>
      <rPr>
        <sz val="10"/>
        <color rgb="FF000000"/>
        <rFont val="宋体"/>
        <charset val="134"/>
      </rPr>
      <t xml:space="preserve">2021NJY-12地块项目勘察设计施工总承包标段二)承包合同之2021NJY-12地块项目(标段二)设计合同补充协议(二)(住宅部分)
</t>
    </r>
    <r>
      <rPr>
        <b/>
        <sz val="10"/>
        <color rgb="FF000000"/>
        <rFont val="宋体"/>
        <charset val="134"/>
      </rPr>
      <t>8号楼方案平面设计部分</t>
    </r>
  </si>
  <si>
    <t>CRCCRE-SJ-XM-2024-005-B1</t>
  </si>
  <si>
    <t>27707.11㎡</t>
  </si>
  <si>
    <t>24元/㎡</t>
  </si>
  <si>
    <t>项目管理中西，其中317167.20天汇</t>
  </si>
  <si>
    <r>
      <rPr>
        <sz val="10"/>
        <color rgb="FF000000"/>
        <rFont val="宋体"/>
        <charset val="134"/>
      </rPr>
      <t xml:space="preserve">2021NJY-12地块项目勘察设计施工总承包标段二)承包合同之2021NJY-12地块项目(标段二)设计合同补充协议(二)(住宅部分)
</t>
    </r>
    <r>
      <rPr>
        <b/>
        <sz val="10"/>
        <color rgb="FF000000"/>
        <rFont val="宋体"/>
        <charset val="134"/>
      </rPr>
      <t>8号楼批量精装部分</t>
    </r>
  </si>
  <si>
    <t>设计总包
（精装外委）</t>
  </si>
  <si>
    <t>2021NJY-12地块项目勘察设计施工总承包（标段一）承包合同
之
2021NJY-12地块项目设计合同
补充协议（七）（住宅部分）</t>
  </si>
  <si>
    <t>CRCCRE-SJ-XM-2023-074-B4</t>
  </si>
  <si>
    <t>咨询+精审</t>
  </si>
  <si>
    <t>固定总价</t>
  </si>
  <si>
    <t>张家口市纬一路（纬六地块）项目</t>
  </si>
  <si>
    <t>张家口市纬一路（纬六地块）项目委托设计合同</t>
  </si>
  <si>
    <t>CRCCRE-SJ-XM-2020-024</t>
  </si>
  <si>
    <t>北京三磊建筑设计有限公司</t>
  </si>
  <si>
    <t>甲方应于每次收到建设单位付款后的30日内根据本合同约定向乙方支付相应的设计费。</t>
  </si>
  <si>
    <t>华南</t>
  </si>
  <si>
    <t xml:space="preserve">三亚东岸DA2-42-03地块项目（完成）	</t>
  </si>
  <si>
    <t>CRCCRE-DC-XM-2020-007</t>
  </si>
  <si>
    <t>中国铁建·海语东岸项目建筑设计咨询服务合同</t>
  </si>
  <si>
    <t>CRCCRE-SJ-ZX-2020-018</t>
  </si>
  <si>
    <t>三亚中铁建置业开发有限公司</t>
  </si>
  <si>
    <t>90059.03平方米</t>
  </si>
  <si>
    <t>6元/平方米</t>
  </si>
  <si>
    <t>合同生效后次月30日前，甲方向乙方支付咨询服务费总金额的 20 %</t>
  </si>
  <si>
    <t>方提交第一版全专业施工图设计咨询报告并经甲方确认通过后次月30日前，甲方向乙方支付咨询服务费总金额的 60 %。</t>
  </si>
  <si>
    <t>甲方完成施工图审查并取得审查合格证后次月30日前，甲方向乙方支付咨询服务费总金额的 20  %</t>
  </si>
  <si>
    <t>番禺项目（完成）</t>
  </si>
  <si>
    <t>CRCCRE-DC-XM-2020-035</t>
  </si>
  <si>
    <t>中国铁建番禺安美厂项目
地下室管线BIM建模及管综优化服务合同</t>
  </si>
  <si>
    <t>CRCCRE-SJ-BIM-2020-028</t>
  </si>
  <si>
    <t>广州市番禺区顺诚房地产有限公司</t>
  </si>
  <si>
    <t>地下室35112.91平方米</t>
  </si>
  <si>
    <t>本协议签订且BIM设计咨询工作开展后30天内支付。</t>
  </si>
  <si>
    <t>乙方提交第一版地下室管线 BIM 模型经甲方审核确认后，次月25日前。</t>
  </si>
  <si>
    <t>乙方提交地下室管线优化 BIM 模型及 BIM 优化报告后，双方办理结算且经甲方确认后次月25日前付结算款余款。</t>
  </si>
  <si>
    <t>结算余款</t>
  </si>
  <si>
    <t>正定项目B号地块咨询
（完成）</t>
  </si>
  <si>
    <t>CRCCRE-DC-XM-2020-095</t>
  </si>
  <si>
    <t>中国铁建花语城B地块设计咨询服务合同</t>
  </si>
  <si>
    <t>CRCCRE-SJ-ZX-2020-017</t>
  </si>
  <si>
    <t>CRCCRE-BF-HBXT-HYCBQ-QQ-2020-052</t>
  </si>
  <si>
    <t>乙方完成施工图阶段的设计咨询工作且向甲方提交优化成果（包括但不限于优化后的设计文件、设计咨询意见书），全专业施工图通过甲方委托的第三方审核，并取得施工图审查合格通知书后，30个工作日内，付至结算费用的98%</t>
  </si>
  <si>
    <t>方案设计框架协议</t>
  </si>
  <si>
    <t>项目拿地规划概念方案设计合同</t>
  </si>
  <si>
    <t>CRCCRE-SJ-CZ-2020-001</t>
  </si>
  <si>
    <t>按照建设用地面积进行取费，10 公顷以下重点类为 8 万元/项；竞争类为5 万元/公顷；机会类为2万元/公顷。10 公顷以上重点类为10万元/项；竞争类为7万元/公顷；机会类为3万元/公顷。</t>
  </si>
  <si>
    <t>可研-1</t>
  </si>
  <si>
    <t>台账自协议签订起计算，每个季度为一结算周期，结算工作量为本周期内已完成的项目。乙方应于每季度最后1个月统计本季度完成工作量，并于当月25日前，按甲方要求提交本季度各项目完成情况的相关资料（包括不限于台账、请款函等），甲方确认无误后将于次月底向乙方支付相应款项。</t>
  </si>
  <si>
    <t>广州市南沙区南沙湾英东大道地块项目创二2.5万、广州市南沙区横沥岛 DH0502单元居住地块项目创二5万创三2.5万</t>
  </si>
  <si>
    <t>同节点</t>
  </si>
  <si>
    <t>比选</t>
  </si>
  <si>
    <t>可研-2</t>
  </si>
  <si>
    <t>创一：广州南沙区珠江街一涌项目（地块一）（5万）、广州南沙区横沥岛三多涌以东项目（地块二DH05001014/15）（5万）、广州南沙区横沥岛大元路以北项目（地块三DH501051）（5万）创二：广州市南沙区南沙湾2020NJY-9地块（2万）、广州市南沙区国科大配建项目（横沥岛）DH0506008地块（5万）、广州市南沙区国科大配建项目（横沥岛）DH0506013地块（5万）、广州庆盛智谷地块项目（2万）、庆盛枢纽区块DC0303045、DC0303046、DC0303048、DC0303049、DC0303050地块项目（5万）、广州市南沙区横沥岛DH0505009、DH0505019地块（2万）、广州市南沙区横沥岛DH0506007地块（5万）、广州市南沙蕉门河片区F2-29地块（2万）、佛山容桂大岗山项目（5万）、广州增城区L-01-01、L-02-01、L-03-01、L-04-01、L-06-01地块（3万）、广州南沙灵山岛地块项目（2万）</t>
  </si>
  <si>
    <t>可研框架协议</t>
  </si>
  <si>
    <t>中国铁建南沙公司2022-2024年度前期强排规划概念方案设计战略合作协议</t>
  </si>
  <si>
    <t>CRCCRE-SJ-CZ-2022-002</t>
  </si>
  <si>
    <t>中铁建南沙投资发展有限公司</t>
  </si>
  <si>
    <t>10公顷以上：重点类11万元/项；竞争类8万元/项；机会类3万元/项；10公顷以下：重点类8万元/项；竞争类5万元/项；机会类2万元/项</t>
  </si>
  <si>
    <t>以单个强排项目为单位结算</t>
  </si>
  <si>
    <r>
      <rPr>
        <b/>
        <sz val="10"/>
        <color rgb="FF000000"/>
        <rFont val="宋体"/>
        <charset val="134"/>
      </rPr>
      <t>创一：</t>
    </r>
    <r>
      <rPr>
        <sz val="10"/>
        <color rgb="FF000000"/>
        <rFont val="宋体"/>
        <charset val="134"/>
      </rPr>
      <t xml:space="preserve">佛山顺控工业地大富山项目（2万）、佛山顺控工业地金斗工业区项目（2万）、广州南沙区黄阁镇亭角梅糖西侧地块项目（3万）、广州南沙区黄阁镇亭角梅糖东侧地块项目（2万）、广州市花都区凤凰西二地块（5万）；
</t>
    </r>
    <r>
      <rPr>
        <b/>
        <sz val="10"/>
        <color rgb="FF000000"/>
        <rFont val="宋体"/>
        <charset val="134"/>
      </rPr>
      <t>创二：</t>
    </r>
    <r>
      <rPr>
        <sz val="10"/>
        <color rgb="FF000000"/>
        <rFont val="宋体"/>
        <charset val="134"/>
      </rPr>
      <t>南沙金岭地块项目（5万）</t>
    </r>
  </si>
  <si>
    <t>创一：南沙坦尾融资地块项目（投标5万）
创二：珠江街17号路北侧地块项目（20万）、广州白云黄金围项目（2万）、佛山千灯湖海八路项目（5万）、南沙青年创意社区项目（10万）、南沙区慧谷西项目片区概念方案（8万）</t>
  </si>
  <si>
    <r>
      <rPr>
        <sz val="10"/>
        <color rgb="FF000000"/>
        <rFont val="宋体"/>
        <charset val="134"/>
      </rPr>
      <t>南沙海悦国际项目</t>
    </r>
    <r>
      <rPr>
        <sz val="10"/>
        <color rgb="FFFF0000"/>
        <rFont val="宋体"/>
        <charset val="134"/>
      </rPr>
      <t>（完结）</t>
    </r>
  </si>
  <si>
    <t>中国铁建海悦国际项目工程设计委托管理服务合同</t>
  </si>
  <si>
    <t>CRCCRE-SJ-CZ-2019-008</t>
  </si>
  <si>
    <t>广州南沙京沙置业有限公司</t>
  </si>
  <si>
    <t>方案20.4元/㎡,管理费3.8元/㎡</t>
  </si>
  <si>
    <t>创作中心：4998000元</t>
  </si>
  <si>
    <t>方案-1</t>
  </si>
  <si>
    <t>合同签订15个日历日内支付</t>
  </si>
  <si>
    <t>方案-2</t>
  </si>
  <si>
    <t>概规方案完成，即总图设计成果提交，并得到甲方书面确认函之日起15个日历日内支付</t>
  </si>
  <si>
    <t>方案-3</t>
  </si>
  <si>
    <t>建筑方案深化完成，即典型单体（平、立、剖面图）设计完成并得到甲方书面确认函之日起15个日历日内支付</t>
  </si>
  <si>
    <t>方案-4</t>
  </si>
  <si>
    <t>方案调整、修改完成并通过政府审查后（规划复函）15个日历日内支付</t>
  </si>
  <si>
    <t>方案-5</t>
  </si>
  <si>
    <t>施工配合、竣工验收完成、结算完毕15个日历日内支付</t>
  </si>
  <si>
    <t>广州白云区高铁站项目</t>
  </si>
  <si>
    <t>广州白云区高铁站开发项目咨询顾问服务合同</t>
  </si>
  <si>
    <t>CRCCRE-SJ-CH-2019-002</t>
  </si>
  <si>
    <t>中铁房地产集团华南有限公司</t>
  </si>
  <si>
    <t>单项目：29.8万元</t>
  </si>
  <si>
    <t>策划-1</t>
  </si>
  <si>
    <t>乙方完成甲方最终认可的顾问服务报告，在甲方验收并作出书面确认后，次月30日前支付</t>
  </si>
  <si>
    <t>策划-2</t>
  </si>
  <si>
    <t>合同服务期（2年）届满后次月30日前再支付剩余合同款</t>
  </si>
  <si>
    <t>广州镇龙站项目</t>
  </si>
  <si>
    <t>广州镇龙站交通枢纽项目咨询顾问服务合同</t>
  </si>
  <si>
    <t>CRCCRE-SJ-CH-2019-005</t>
  </si>
  <si>
    <t>单项目：21万元</t>
  </si>
  <si>
    <t>缺少呈批件</t>
  </si>
  <si>
    <t>福州南站项目</t>
  </si>
  <si>
    <t>福州南站项目概念发展咨询顾问服务合同</t>
  </si>
  <si>
    <t>CRCCRE-SJ-CH-2019-009</t>
  </si>
  <si>
    <t>财务系统已走到合同收票，预计6月初回款</t>
  </si>
  <si>
    <t>惠州北站综合开发项目</t>
  </si>
  <si>
    <t>惠州北站综合开发项目咨询顾问服务合同</t>
  </si>
  <si>
    <t>CRCCRE-SJ-CH-2019-008</t>
  </si>
  <si>
    <t>单项目：  28万元</t>
  </si>
  <si>
    <t>由于广州白云、镇龙、福州南站创一的工作量在各自合同额中切分不够，故惠州合同虽无工作量但跟创一切分产值作为补偿</t>
  </si>
  <si>
    <t>框架协议（珠海）</t>
  </si>
  <si>
    <t>地块项目咨询顾问服务委托合同书</t>
  </si>
  <si>
    <t>CRCCRE-SJ-CH-2019-007</t>
  </si>
  <si>
    <t>佛山市顺德区顺嘉房地产有限公司</t>
  </si>
  <si>
    <t>满足集团要求的单宗/单项目地块前期策划顾问10+满足集团要求的单宗/单项目，用地面积10公顷及以下地块的初步概念设计方案10</t>
  </si>
  <si>
    <t>策划-1     方案-1</t>
  </si>
  <si>
    <t xml:space="preserve">珠海258亩地块项目可研方案10、珠海258亩地块项目策划可研报告10、江门人才岛项目概念设计方案10、江门人才岛项目策划方案10               </t>
  </si>
  <si>
    <t>策划-2     方案-2</t>
  </si>
  <si>
    <t>广州江门联合项目策划可研报告10、顺德青创示范基地策划可研项目10、顺德青创示范基地项目概念规划设计10（设计）</t>
  </si>
  <si>
    <t>坏账</t>
  </si>
  <si>
    <t>策划-3     方案-3</t>
  </si>
  <si>
    <t>领秀公馆北区（莘村）项目（完成）</t>
  </si>
  <si>
    <t>中铁建佛山市顺德区北滘镇莘村180054-002地块项目规划、建筑方案及建筑设计咨询服务合同</t>
  </si>
  <si>
    <t>CRCCRE-SJ-CZ-2018-005</t>
  </si>
  <si>
    <t>方案+咨询</t>
  </si>
  <si>
    <t>住宅方案设计：20元/平米 ；     施工图咨询：5元/㎡</t>
  </si>
  <si>
    <t>创作一室：59.4956万元</t>
  </si>
  <si>
    <t>合同签订5个工作日内支付</t>
  </si>
  <si>
    <t>规证面积为300469.57</t>
  </si>
  <si>
    <t>图、典型单体（平、立、剖面图）设计完成并得到甲方书面确认函之日起5个工作日内支付</t>
  </si>
  <si>
    <t>方案调整、修改完成并通过政府审查后（规划复函）5个工作日内支付</t>
  </si>
  <si>
    <t>施工配合、竣工验收完成、结算完毕5个工作日内支付</t>
  </si>
  <si>
    <t>咨询-1</t>
  </si>
  <si>
    <t>合同签订甲方在提交全部设计资料给乙方后</t>
  </si>
  <si>
    <t>直接委托</t>
  </si>
  <si>
    <t>咨询-2</t>
  </si>
  <si>
    <t>乙方完成方案阶段的设计咨询工作并经甲方认可后</t>
  </si>
  <si>
    <t>咨询-3</t>
  </si>
  <si>
    <t>乙方完成施工图阶段的设计咨询工作并经甲方认可后</t>
  </si>
  <si>
    <t>顺德大良（完结）凤语潮鸣</t>
  </si>
  <si>
    <t>中铁建佛山市顺德区大良126112-081地块项目规划、建筑方案及建筑设计咨询服务合同</t>
  </si>
  <si>
    <t>CRCCRE-SJ-CZ-2018-008</t>
  </si>
  <si>
    <t>管理+咨询</t>
  </si>
  <si>
    <t>佛山市顺德区顺昊房地产有限公司</t>
  </si>
  <si>
    <t>全过程咨询：7元/㎡方案：19元/㎡</t>
  </si>
  <si>
    <t>方案-1 咨询-1</t>
  </si>
  <si>
    <t>合同签订5个工作日内</t>
  </si>
  <si>
    <t>方案-2 咨询-2</t>
  </si>
  <si>
    <t>总图、典型单体（平、立、剖面图）设计完成并得到甲方书面确认函之日起5个工作日内</t>
  </si>
  <si>
    <t>方案-3 咨询-3</t>
  </si>
  <si>
    <t>方案-4 咨询-4</t>
  </si>
  <si>
    <t>付款至95%
（规证面积：233419.18）</t>
  </si>
  <si>
    <t>预计11月底竣工</t>
  </si>
  <si>
    <r>
      <rPr>
        <sz val="10"/>
        <color rgb="FF000000"/>
        <rFont val="宋体"/>
        <charset val="134"/>
      </rPr>
      <t>南沙坦尾项目</t>
    </r>
    <r>
      <rPr>
        <sz val="10"/>
        <color rgb="FFFF0000"/>
        <rFont val="宋体"/>
        <charset val="134"/>
      </rPr>
      <t>（完结）</t>
    </r>
  </si>
  <si>
    <t>中国铁建坦尾项目（住宅）建筑规划方案设计合同</t>
  </si>
  <si>
    <t>CRCCRE-SJ-CZ-2017-023</t>
  </si>
  <si>
    <t>方案22元/㎡</t>
  </si>
  <si>
    <t>合同签订后，次月25日前</t>
  </si>
  <si>
    <t>总图、典型单体（平、立、剖面图）设计完成并得到发包人书面确认函之日，次月25日前</t>
  </si>
  <si>
    <t>方案调整、修改完成并通过政府审查后（规划复函），次月25日前</t>
  </si>
  <si>
    <t>10%计入咨询中心</t>
  </si>
  <si>
    <t>施工配合、竣工验收完毕，次月25日前</t>
  </si>
  <si>
    <t>领秀公馆北区（莘村）项目（完结）</t>
  </si>
  <si>
    <t>中国铁建·领秀公馆（北区）地下室BIM管综优化、BIM精装等BIM应用咨询服务合同</t>
  </si>
  <si>
    <t>CRCCRE-SJ-BIM-2018-007</t>
  </si>
  <si>
    <t>地下室管综7.5元/㎡；大堂精装修BIM建模150元/㎡；   全专业建模4元/㎡；</t>
  </si>
  <si>
    <t>BIM-1</t>
  </si>
  <si>
    <t>合同签订后，次月25日前付定金</t>
  </si>
  <si>
    <t>BIM-2</t>
  </si>
  <si>
    <t>乙方完成地下室BIM模型及管综优化报告且经甲方确认后次月25日前</t>
  </si>
  <si>
    <t>BIM-3</t>
  </si>
  <si>
    <t>乙方完成所有BIM模型并提交相关报告且经甲方确认后次月25日前</t>
  </si>
  <si>
    <t>BIM-4</t>
  </si>
  <si>
    <t>乙方完成对施工单位提交的地下室BIM深化模型审核工作并提交报告，双方办理结算且经甲方确认后次月25日前付结算款余款</t>
  </si>
  <si>
    <t>领秀公馆南区（龙涌）项目（完结）</t>
  </si>
  <si>
    <t>中国铁建·领秀公馆（南区）地下室BIM管综优化、BIM精装等BIM应用咨询服务合同</t>
  </si>
  <si>
    <t>CRCCRE-SJ-BIM-2018-006</t>
  </si>
  <si>
    <t>地下室管综7.5元/㎡；标准层建筑结构设备全专业模型80元/㎡；   大堂精装修BIM建模150元/㎡；      架空层建筑结构设备全专业建模4元/㎡；</t>
  </si>
  <si>
    <t>顺德凤语潮鸣项目（完结）</t>
  </si>
  <si>
    <t>地下室BIM管综优化、BIM精装修等BIM应用咨询服务合同</t>
  </si>
  <si>
    <t>CRCCRE-SJ-BIM-2018-009</t>
  </si>
  <si>
    <t>地下室管综7.5元/㎡；标准层建筑结构设备全专业模型80元/㎡；   合院BIM精装修建模150元/㎡；     大堂精装修BIM建模150元/㎡；      架空层建筑结构设备全专业建模4元/㎡；</t>
  </si>
  <si>
    <t>济南市莱芜区东风社区城中村改造安置项目</t>
  </si>
  <si>
    <t>CRCCRE-DC-XM-2020-092</t>
  </si>
  <si>
    <t>济南市莱芜区东风社区城中村改造安置项目设计方案优化咨询服务合同</t>
  </si>
  <si>
    <t>CRCCRE-SJ-ZX-2021-002</t>
  </si>
  <si>
    <t>济南市嬴昊置业有限公司</t>
  </si>
  <si>
    <t>合同签订后，发包人在十五个工作日内支付合同总额设计优化咨询费的20%给乙方。</t>
  </si>
  <si>
    <t>乙方完成方案阶段优化咨询工作，提交电子版《方案阶段设计咨询意见》，甲方取得建设工程规划许可证后十五个工作日内甲方支付合同总额设计优化咨询费的60%给乙方。</t>
  </si>
  <si>
    <t>乙方提交《全专业设计咨询总结报告》，甲方完成施工图审查并取得审查合格证后，十五个工作日内，双方根据建设工程规划许可证面积进行结算，甲方支付余下的设计优化咨询费给乙方。</t>
  </si>
  <si>
    <t>长春平阳街、岳阳街地块项目
（解除合同）
（完成）</t>
  </si>
  <si>
    <t>CRCCRE-DC-XM-2020-082</t>
  </si>
  <si>
    <t>长春市平阳街项目、岳阳街项目规划方案设计合同</t>
  </si>
  <si>
    <t>长春京德房地产开发有限公司</t>
  </si>
  <si>
    <t>地上18元/平方米，地下10元/平方米</t>
  </si>
  <si>
    <t>合同定金，本合同签订后三十日内，本合同生效后，定金抵作设计费</t>
  </si>
  <si>
    <t>与甲方协商补40万直接签解除协议</t>
  </si>
  <si>
    <t>提交概念设计成果经甲方书面认可后三十日内</t>
  </si>
  <si>
    <t>提交建筑方案设计（含总规划方案设计及单体方案设计）经甲方书面确认后三十日内。</t>
  </si>
  <si>
    <t>提交建筑方案设计（含总规划方案设计及单体方案设计）通过政府部门审批，取得规证后三十日内</t>
  </si>
  <si>
    <t>建筑专业初步设计经甲方书面确认后三十日内</t>
  </si>
  <si>
    <t>乙方完成施工图配合、优化配合工作且所有建筑单体施工图审查合格，竣工备案后三十日内</t>
  </si>
  <si>
    <t>济南十六局董家小学项目</t>
  </si>
  <si>
    <t>CRCCRE-DC-XM-2021-003</t>
  </si>
  <si>
    <t>董家街道东杨村等十村城中村改造安置房配套30班小学项目建筑设计咨询服务合同</t>
  </si>
  <si>
    <t>CRCCRE-SJ-ZX-2021-003</t>
  </si>
  <si>
    <t>中铁十六局集团有限公司</t>
  </si>
  <si>
    <t>方完成施工图阶段的设计咨询工作且向甲方提交优化成果，甲方完成施工图审查并取得审查合格证后，十五个工作日内甲方支付全额设计优化咨询费的100%给乙方。如建设单位拨款滞后对乙方顺延。</t>
  </si>
  <si>
    <t>西南</t>
  </si>
  <si>
    <t>中铁滨江项目</t>
  </si>
  <si>
    <t>中铁建滨江项目施工图设计</t>
  </si>
  <si>
    <t>施工图设计</t>
  </si>
  <si>
    <t>重庆建联新房地产开发有限公司</t>
  </si>
  <si>
    <t>20元/平方米</t>
  </si>
  <si>
    <t>设计人在施工过程中配合发包人，工程竣工验收完毕，资料签署完毕后的20个工作日内。</t>
  </si>
  <si>
    <t>正定B号地块项目BIM</t>
  </si>
  <si>
    <t>CRCCRE-DC-XM-2021-005</t>
  </si>
  <si>
    <t>正定239-B地块项目地下室BIM管综优化技术咨询服务合同</t>
  </si>
  <si>
    <t>CRCCRE-SJ-BIM-2021-003</t>
  </si>
  <si>
    <t>CRCCRE-BF-HBXT-HYCYQ-QQ-2021-012</t>
  </si>
  <si>
    <t>地下室管综7.5元/㎡</t>
  </si>
  <si>
    <t>乙方提交第一版地下车库及地下室BIM模型且经过甲方确认后15个工作日内双方办理计价手续，按照建设工程规划许可证面积结算设计费。</t>
  </si>
  <si>
    <t>乙方根据甲方优化后的施工图纸提交BIM咨询优化报告、完成BIM范围的交底工作且经过甲方确认后15个工作日内双方办理计价手续，按照建设工程规划许可证面积结算设计费。</t>
  </si>
  <si>
    <t>正定项目C号地块BIM设计</t>
  </si>
  <si>
    <t>CRCCRE-DC-XM-2022-028</t>
  </si>
  <si>
    <t>中国铁建花语城二期工程项目地下室BIM管综优化技术咨询服务合同</t>
  </si>
  <si>
    <t>CRCCRE-SJ-BIM-2022-004</t>
  </si>
  <si>
    <t>CRCCRE-BF-HBXT-HYCBQ-QQ-2022-015</t>
  </si>
  <si>
    <t>正定项目D号地块BIM设计</t>
  </si>
  <si>
    <t>CRCCRE-DC-XM-2022-022</t>
  </si>
  <si>
    <t>中国铁建花语城四期工程项目地下室BIM管综优化技术咨询服务合同</t>
  </si>
  <si>
    <t>CRCCRE-SJ-BIM-2022-014</t>
  </si>
  <si>
    <t>减去外委成本</t>
  </si>
  <si>
    <t>正定项目C地块咨询</t>
  </si>
  <si>
    <t>CRCCRE-DC-XM-2022-029</t>
  </si>
  <si>
    <t>中国铁建花语城二期、四期项目建筑设计咨询服务合同</t>
  </si>
  <si>
    <t>CRCCRE-SJ-ZX-2022-004</t>
  </si>
  <si>
    <t>CRCCRE-BF-HBXT-HYCDQ-QQ-2022-027</t>
  </si>
  <si>
    <t>设计咨询：3.7元/㎡
广州博思：
3.3元/㎡</t>
  </si>
  <si>
    <t>合同签订后，甲方在提交首批设计资料给乙方后，三十个工作日内</t>
  </si>
  <si>
    <t>第一次回款100万</t>
  </si>
  <si>
    <t>甲方付款：100万
咨询：528600
外委：471400
按单价比例
（52.85%、47.14%）</t>
  </si>
  <si>
    <t>乙方完成方案阶段的设计咨询工作并经甲方认可后，三十个工作日内，配合工规证获取后</t>
  </si>
  <si>
    <t>第三次回款20万</t>
  </si>
  <si>
    <t>乙方提交第一版全专业施工图设计咨询报告后，三十个工作日内，配合获取图审合格证后</t>
  </si>
  <si>
    <t>第二次回款30万</t>
  </si>
  <si>
    <t>第四次回款35万</t>
  </si>
  <si>
    <t>未回款金额18468.85</t>
  </si>
  <si>
    <t>乙方完成该项目设计咨询总结报告并经甲方认可后，三十个工作日内</t>
  </si>
  <si>
    <t>结算金额：2327977.05元
结算面积：
332568.15㎡</t>
  </si>
  <si>
    <t>CRCCRE-DC-XM-2020-089</t>
  </si>
  <si>
    <t>房山区长阳镇起步区6号地文化娱乐用地项目公共区域精装修设计合同</t>
  </si>
  <si>
    <t>CRCCRE-SJ-GC-2021-003</t>
  </si>
  <si>
    <t>CRCCRE-BF-BJZD-WY-QQ-2021-002</t>
  </si>
  <si>
    <t>设计面积总计 1499 ㎡</t>
  </si>
  <si>
    <t>合同签署生效之日起自乙方完成方案设计之日起且经甲方审核确认后30日内。</t>
  </si>
  <si>
    <t>乙方完成扩初设计且经甲方审核确认后30日内。</t>
  </si>
  <si>
    <t>乙方完成施工图设计且经甲方审核确认后30日内。</t>
  </si>
  <si>
    <t>自甲方装修工程施工完成后30日内，以实际的工作量据实结算。</t>
  </si>
  <si>
    <t>高安市全民健身体育中心项目</t>
  </si>
  <si>
    <t>CRCCRE-DC-XM-2021-008</t>
  </si>
  <si>
    <t>网架工程设计深化协议</t>
  </si>
  <si>
    <t>CRCCRE-SJ-BIM-2021-005</t>
  </si>
  <si>
    <t>BIM深化</t>
  </si>
  <si>
    <t>北京城建精工钢结构工程有限公司</t>
  </si>
  <si>
    <t>约2500m²</t>
  </si>
  <si>
    <t>乙方提供全套加工图后5个工作日内甲方支付贰万元，网架安装完成后5个工作日内支付壹万元</t>
  </si>
  <si>
    <t>长春平阳街项目（解除合同完成）</t>
  </si>
  <si>
    <t>CRCCRE-DC-XM-2021-019</t>
  </si>
  <si>
    <t>平阳街项目BIM技术咨询服务合同</t>
  </si>
  <si>
    <t>CRCCRE-SJ-BIM-2021-010</t>
  </si>
  <si>
    <t>地下室15625.17m²，标准层4154.22m²</t>
  </si>
  <si>
    <t>7.5元/㎡</t>
  </si>
  <si>
    <t>付款时间：在乙方提交最终版的全专业BIM模型（V2.0）和BIM管综优化报告后，经甲方对成果验收合格后30日内将合同额全款一次支付给乙方。</t>
  </si>
  <si>
    <t>长春平阳街项目、岳阳街项目（解除合同完成）</t>
  </si>
  <si>
    <t>CRCCRE-DC-XM-2021-020</t>
  </si>
  <si>
    <t>平阳街项目、岳阳街项目建筑设计咨询服务合同</t>
  </si>
  <si>
    <t>CRCCRE-SJ-ZX-2021-004</t>
  </si>
  <si>
    <t>施工图咨询5元/㎡</t>
  </si>
  <si>
    <t>付款时间：在乙方提交终版施工图优化咨询报告后，经甲方对成果验收合格后30日内将合同额全款一次支付给乙方。</t>
  </si>
  <si>
    <t>房山区长阳镇起步区6号地文化娱乐用地项目办公及就餐区域精装修设计合同</t>
  </si>
  <si>
    <t>CRCCRE-SJ-GC-2021-005</t>
  </si>
  <si>
    <t>CRCCRE-BF-BJZD-WY-QQ-2021-007</t>
  </si>
  <si>
    <t>设计面积总计 4882 ㎡</t>
  </si>
  <si>
    <t>合同签署生效之日起自乙方完成方案设计且经甲方审核确认后30日内。</t>
  </si>
  <si>
    <t>吴迪对接</t>
  </si>
  <si>
    <t>自甲方装修工程施工完成后30日内，按照本协议6.1条款规定结算工程总造价，支付扣除前三次付款总额的余额。</t>
  </si>
  <si>
    <t>济南华山北项目（完结）</t>
  </si>
  <si>
    <t>济南华山北项目规划设计咨询合同</t>
  </si>
  <si>
    <t>CRCCRE-SJ-CZ-2018-015</t>
  </si>
  <si>
    <t>中铁房地产集团济南第六大洲有限公司</t>
  </si>
  <si>
    <t>配合控规调整，合同签订后15个工作日内支付</t>
  </si>
  <si>
    <t>一期土地经营阶段可行性研究，合同签订后15个工作日内支付</t>
  </si>
  <si>
    <t>设计成果待甲方确认后
15个工作日内支付</t>
  </si>
  <si>
    <t>济南郭店土河以东地块项目（花语拾光）</t>
  </si>
  <si>
    <t>CRCCRE-DC-XM-2021-011</t>
  </si>
  <si>
    <t>济南市历城区土河东项目规划建筑方案及建筑设计咨询服务合同</t>
  </si>
  <si>
    <t>CRCCRE-SJ-CZ-2021-009</t>
  </si>
  <si>
    <t>合同面积：150482㎡
规证面积：
148436.31㎡</t>
  </si>
  <si>
    <t>方案18元/㎡，设计咨询5元/㎡</t>
  </si>
  <si>
    <t>合同签订15个工作日内支付</t>
  </si>
  <si>
    <t>银信，22年6.22到期</t>
  </si>
  <si>
    <t>方案调整、修改完成并通过政府审查后（规划复函）15个工作日内支付</t>
  </si>
  <si>
    <t>甲方取得《规划许可证》之日起15个工作日内</t>
  </si>
  <si>
    <t>施工配合、竣工验收完成、结算完毕15个工作日内，按照《规划许可证》建筑面积进行结算</t>
  </si>
  <si>
    <t>合同签订后，甲方提交首批设计资料给乙方后，15个工作日内支付施工图设计咨询费</t>
  </si>
  <si>
    <t>乙方提交全专业施工图设计咨询报告后，并经甲方认可后15个工作日内支付施工图设计咨询费</t>
  </si>
  <si>
    <t>甲方完成施工图审查并取得审查合格证后15个工作日内支付施工图设计咨询费，按照《规划许可证》建筑面积进行结算</t>
  </si>
  <si>
    <t>2025.12竣工验收</t>
  </si>
  <si>
    <t>广州佛山市顺德区北滘TOD项目（完结）</t>
  </si>
  <si>
    <t>佛山市顺德区北滘TOD项目
概念规划与城市设计服务管理合同</t>
  </si>
  <si>
    <t>CRCCRE-SJ-TOD-2021-001</t>
  </si>
  <si>
    <t>TOD</t>
  </si>
  <si>
    <t>第一期服务费用：本合同签订后，乙方提交第一阶段成果并经甲方确认后5个日历日内，甲方支付合同总额的40%作为第一期款项，即支付人民币（¥880000元）；(含税)</t>
  </si>
  <si>
    <t>第二期服务费用：乙方提交第二阶段成果并经甲方确认后5个日历日内，甲方支付合同总额的40% 作为项目第二期款项，即支付人民币（¥880000元）；(含税)</t>
  </si>
  <si>
    <t>第三期服务费用：乙方提交最终成果并经甲方（华南区域公司负责人）确认后5个日历日内，甲方支付合同总额的20%作为项目第三期款项，即支付人民币   ¥440000元(含税)。</t>
  </si>
  <si>
    <t>江门蓬江区代建文化中心项目</t>
  </si>
  <si>
    <t>中铁建代建社区文化中心项目
工程设计及委托管理服务合同补充协议（一）</t>
  </si>
  <si>
    <t>CRCCRE-SJ-XM-2021-008-B1</t>
  </si>
  <si>
    <t>江门江湾南光投资发展有限公司</t>
  </si>
  <si>
    <t>52500m²</t>
  </si>
  <si>
    <t>本协议签订之日起提交第一版方案文本且经政府相关使用方评审通过后15个工作日内请款，次月25日内付款，支付协议总额的35%。</t>
  </si>
  <si>
    <t>规划方案调整、修改并通过规划公示之日起15个工作日内请款，次月25日内付款，支付协议总额的35%。</t>
  </si>
  <si>
    <t>取得《规划许可证》之日起15个工作日内请款，次月25日内付款，支付协议总额的20%。</t>
  </si>
  <si>
    <t>竣工验收完成后15个工作日内请款，按照《规划许可证》总建筑面积进行结算，次月25日内付款，支付协议总额的10%。</t>
  </si>
  <si>
    <t>涿州市A2-10地块项目</t>
  </si>
  <si>
    <t>涿州高铁新城2020-55、56号地项目设计咨询服务合同</t>
  </si>
  <si>
    <t>CRCCRE-SJ-ZX-2021-008</t>
  </si>
  <si>
    <t>涿州荣富房地产开发有限公司</t>
  </si>
  <si>
    <t>合同面积：231135.11
规证面积：
231661.43</t>
  </si>
  <si>
    <t>乙方完成方案阶段的设计咨询工作，提交电子版《方案阶段设计咨询意见》，甲方取得建设工程规划许可证后30个工作日内，双方根据建设工程规划许可证面积进行结算，付至结算费用的40%。</t>
  </si>
  <si>
    <t>乙方完成施工图阶段的设计咨询工作且向甲方提交优化成果（包括但不限于优化后的设计文件、设计咨询报告、施工图设计咨询意见），全专业施工图通过甲方委托的第三方审核，并取得施工图审查合格通知书后30个工作日内，付至结算费用的95%。</t>
  </si>
  <si>
    <t>乙方配合甲方以及与本工程施工所有相关单位至竣工验收并取得竣工备案表，双方办理最终结算手续，按照建设工程规划许可证建筑面积结算并支付余下的费用。</t>
  </si>
  <si>
    <t>结算金额为：1621630.01</t>
  </si>
  <si>
    <t>涿州市A2-10地块项目
（语系）</t>
  </si>
  <si>
    <t>涿州高铁新城2020-55、56号地项目户型精装修、外立面BIM建模服务合同</t>
  </si>
  <si>
    <t>CRCCRE-SJ-BIM-2024-006</t>
  </si>
  <si>
    <t>CRCCRE-BF-ZZ-JZ-2024-08</t>
  </si>
  <si>
    <t>甲乙双方经协商一致，双方办理结算后30日内一次性支付至结算额100%</t>
  </si>
  <si>
    <t>涿州市A2-10地块项目
（语系）
完成</t>
  </si>
  <si>
    <t>涿州高铁新城2020-55、56号地项目地下室BIM管综优化技术咨询服务合同</t>
  </si>
  <si>
    <t>CRCCRE-SJ-BIM-2021-011</t>
  </si>
  <si>
    <t>CRCCRE-BF-ZZ-QQ-2021-21</t>
  </si>
  <si>
    <t>乙方提交第一版地下室管线 BIM 模型后15 个工作日内，支付合同额的 30%</t>
  </si>
  <si>
    <t>乙方提交第一版地下室管线优化 BIM 报告后15 个工作日内，支付合同额的 40%</t>
  </si>
  <si>
    <t>预计8月</t>
  </si>
  <si>
    <t>乙方提交最终版地下室BIM优化报告，15个工作日内，支付合同额的 30%，按照建筑工程规划许可证地下面积进行结算</t>
  </si>
  <si>
    <t>（给智慧建造分配一部分产值，具体数据跟BIM中心核实）</t>
  </si>
  <si>
    <t>南宁可研（完成）</t>
  </si>
  <si>
    <t>南宁项目组拿地规划概念方案设计合同</t>
  </si>
  <si>
    <t>CRCCRE-SJ-CZ-2021-014</t>
  </si>
  <si>
    <t>中铁房地产集团（广西）有限公司</t>
  </si>
  <si>
    <t>双方签订合同后，乙方按合同约定提交甲方认可的成果文件，且双方办理完结算后续后，甲方于次月25日内支付乙方完成的规划概念方案设计费。若按照本合同约定标准计算未达到合同总额的，则合同继续执行。</t>
  </si>
  <si>
    <t>东莞虎门龙眼社区91亩地块项目5万；东莞市石碣镇北潢路西侧38亩地块项目5万；广州增城中新镇集丰村项目5万；广州番禺大石地块项目5万</t>
  </si>
  <si>
    <t>雄安站枢纽片区2号地项目（一标段）</t>
  </si>
  <si>
    <t>CRCCRE-DC-XM-2021-023</t>
  </si>
  <si>
    <t>雄安站枢纽片区2号地项目一标段施工图设计服务合同</t>
  </si>
  <si>
    <t>CRCCRE-SJ-GC-2021-006</t>
  </si>
  <si>
    <t>住宅：49020、公寓：13106、底商：7500、商业：2571、办公：51167、酒店：18342、人防地下室：9600、非人防地下室：64240、专项设计：215546、营销中心设计：3000、零碳咨询：3000</t>
  </si>
  <si>
    <t>住宅：17、公寓：17、底商：17、商业：25、办公：23、酒店：40、人防地下室：25、非人防地下室：17、专项设计：16.43、营销中心设计：600000、零碳咨询：600000</t>
  </si>
  <si>
    <t>1-零碳</t>
  </si>
  <si>
    <t>零碳咨询费用支付方式：营销中心零碳咨询报告完成，设计人出具零碳咨询合同及等额增值税专用发票，经发包人确认后30日内，支付至营销中心零碳咨询费用的100%。</t>
  </si>
  <si>
    <t>2-主体施工图</t>
  </si>
  <si>
    <r>
      <rPr>
        <sz val="10"/>
        <color rgb="FF000000"/>
        <rFont val="宋体"/>
        <charset val="134"/>
      </rPr>
      <t>①设计人出具主体工程完整施工图设计成果，经发包人确认后30日内，支付主体工程设计费用的</t>
    </r>
    <r>
      <rPr>
        <sz val="10"/>
        <color rgb="FF417FF9"/>
        <rFont val="宋体"/>
        <charset val="134"/>
      </rPr>
      <t>（首开区70%）</t>
    </r>
  </si>
  <si>
    <t>05-01地块部分
（产值未切分暂时放工程）</t>
  </si>
  <si>
    <t>（二批次50%）</t>
  </si>
  <si>
    <t>项目管理中心补工程中心江门商办产值16161.67元</t>
  </si>
  <si>
    <t>（二批次20%）</t>
  </si>
  <si>
    <r>
      <rPr>
        <sz val="10"/>
        <color rgb="FF000000"/>
        <rFont val="宋体"/>
        <charset val="134"/>
      </rPr>
      <t>③主体工程竣工验收并取得项目竣工联合验收意见书后30日内，支付至主体工程设计费用的90%；</t>
    </r>
    <r>
      <rPr>
        <sz val="10"/>
        <color rgb="FF2E75B6"/>
        <rFont val="宋体"/>
        <charset val="134"/>
      </rPr>
      <t>(首开区）</t>
    </r>
  </si>
  <si>
    <t>③主体工程竣工验收并取得项目竣工联合验收意见书后30日内，支付至主体工程设计费用的90%；（二批次）</t>
  </si>
  <si>
    <t>④项目整体交付使用且双方签订结算协议书后30日内，支付至主体工程双方确认结算价款的100%。</t>
  </si>
  <si>
    <t>3-营销中心</t>
  </si>
  <si>
    <t>①设计人出具营销中心完整施工图设计成果，经发包人确认后30日内，支付营销中心设计费用的50%；</t>
  </si>
  <si>
    <t>②发包人取得三函后，支付至营销中心设计费用的70%；</t>
  </si>
  <si>
    <t>③营销中心全部工程竣工验收并取得项目竣工联合验收意见书后30日内，支付至营销中心设计费用的90%；</t>
  </si>
  <si>
    <t xml:space="preserve">4-专项
</t>
  </si>
  <si>
    <t>首开区90%专项设计工作完成
（支付70%）5万扣款</t>
  </si>
  <si>
    <t>二批次50%专项设计工作完成
支付（30%）</t>
  </si>
  <si>
    <t>二批次90%专项设计工作完成
支付（70%-30%）</t>
  </si>
  <si>
    <t>首开区竣工</t>
  </si>
  <si>
    <t>二批次竣工</t>
  </si>
  <si>
    <t>③设计人完成专项设计工作的70%，经发包人确认进度后30日内，支付至专项设计费用的50%；</t>
  </si>
  <si>
    <t>④设计人完成专项设计工作的90%，经发包人确认进度后30日内，支付至专项设计费用的70%；</t>
  </si>
  <si>
    <t>⑤专项设计部分竣工验收并取得项目竣工联合验收意见书后30日内，支付至专项设计费用的90%；</t>
  </si>
  <si>
    <t>⑥项目整体交付使用且双方签订结算协议书后30日内，支付至专项设计双方确认结算价款的100%。</t>
  </si>
  <si>
    <t>雄安站枢纽片区2号地项目（其他）</t>
  </si>
  <si>
    <t>雄安站枢纽片区 2 号地项目一标段竣工图编制合同（实际未签合同，有委托函，直接开发票甲方以报销形式付款）</t>
  </si>
  <si>
    <t>CRCCRE-SJ-GC-2024-010</t>
  </si>
  <si>
    <t>竣工图</t>
  </si>
  <si>
    <t>中铁城建集团有限公司天津分公司</t>
  </si>
  <si>
    <t>1元/㎡</t>
  </si>
  <si>
    <t>C1-05-01地块</t>
  </si>
  <si>
    <t>C1-01-01地块</t>
  </si>
  <si>
    <t>C1-02-01地块</t>
  </si>
  <si>
    <t>C1-06-01地块</t>
  </si>
  <si>
    <t>天津国印项目</t>
  </si>
  <si>
    <t>天津市津北万（挂）2017-145号宗地项目规划设计项目方案顾问服务合同</t>
  </si>
  <si>
    <t>CRCCRE-SJ-XM-2019-008</t>
  </si>
  <si>
    <t>本合同签订后7个工作日内，甲方向乙方支付咨询费用总额50%，计 100000元。</t>
  </si>
  <si>
    <t>乙方提交最终咨询成果并甲方确认后7个工作日内，甲方向乙方支付咨询费用总额的50%,计100000元。</t>
  </si>
  <si>
    <t>青岛铁建康养城项目
（其他）</t>
  </si>
  <si>
    <t>中铁建·青岛WELL健康城项目1.1期建筑设计咨询服务合同</t>
  </si>
  <si>
    <t>CRCCRE-SJ-ZX-2021-009</t>
  </si>
  <si>
    <t>CRCCKY-QD-JKC-QQ-2021-023</t>
  </si>
  <si>
    <t>中铁建康养产业发展有限公司，甲方名称变更为中铁建康养产业发展（青岛）投资有限公司</t>
  </si>
  <si>
    <t>7元/㎡（创一0.2，创二1.8，咨询5）</t>
  </si>
  <si>
    <t>合同签订后，完成方案阶段设计咨询服务，取得工程规划许可证后， 20个工作日内双方办理计价手续。按建设工程规划许可证建筑面积结算设计费用，甲方支付工程方案设计优化咨询费的20%给乙方。</t>
  </si>
  <si>
    <t>乙方提交第一版全专业施工图设计咨询报告后，20个工作日内双方办理计价手续。按建设工程规划许可证建筑面积结算设计费用，甲方支付工程全额设计优化咨询费的30%给乙方。</t>
  </si>
  <si>
    <t>乙方提交完深化修改版全版全专业施工图设计咨询报告后，全部专业施工图设计完成审查取得施工图设计文件联合审查意见书，完成图纸会审后，20个工作日内双方办理计价手续。按建设工程规划许可证建筑面积结算设计费用，甲方支付工程全额设计优化咨询费的30%给乙方。</t>
  </si>
  <si>
    <t>乙方提交完室外工程（小市政）施工图设计咨询报告后，配合甲方完成现场施工阶段，设计变更图纸设计咨询，项目全部结构及安装工程施工结束后，20个工作日内双方办理计价手续。按建设工程规划许可证建筑面积结算设计费用，甲方支付工程全额设计优化咨询费的20%给乙方（结清尾款）。</t>
  </si>
  <si>
    <t>扬中际华园项目（废）</t>
  </si>
  <si>
    <t>扬中际华园概念性规划方案设计合同</t>
  </si>
  <si>
    <t>CRCCRE-SJ-CZ-2022-001</t>
  </si>
  <si>
    <t>际华集团江苏实业投资有限公司</t>
  </si>
  <si>
    <t>918亩</t>
  </si>
  <si>
    <t>启动费，合同签订5日内</t>
  </si>
  <si>
    <t>完成服务内容二第二阶段工作后，阶段汇报、提交文件成果经客户书面认可后5日内</t>
  </si>
  <si>
    <t>完成服务内容二第三阶段工作后，阶段汇报、提交文件成果经客户书面认可后5日内</t>
  </si>
  <si>
    <t>广州花都</t>
  </si>
  <si>
    <t>投标补偿</t>
  </si>
  <si>
    <t>深圳市粤鹏建设有限公司</t>
  </si>
  <si>
    <t>中国铁建西派府项目</t>
  </si>
  <si>
    <t>中国铁建西派府项目方案设计合同</t>
  </si>
  <si>
    <t>CRCCRE-SJ-CZ-2019-005</t>
  </si>
  <si>
    <t>CRCCRE-GZ-ZYXPF-QQ-2019-001</t>
  </si>
  <si>
    <t>遵义黔贵房地产开发有限公司</t>
  </si>
  <si>
    <t>方案：15元/平米</t>
  </si>
  <si>
    <t>合同签订40个工作日内</t>
  </si>
  <si>
    <t>第一次请款</t>
  </si>
  <si>
    <t>同合同签订日期</t>
  </si>
  <si>
    <t>总图、典型单体（平立剖面图）设计完成并得到业主方书面确认之日起40个工作日内</t>
  </si>
  <si>
    <t>第二次请款</t>
  </si>
  <si>
    <t>第三次请款</t>
  </si>
  <si>
    <t>方案调整、修改完成并通过政府审查后（规划复函）40个工作日内</t>
  </si>
  <si>
    <t>规证面积：133310㎡</t>
  </si>
  <si>
    <t>完成61#地块，完成64#地块取得规划复函</t>
  </si>
  <si>
    <t>规证面积：201770㎡</t>
  </si>
  <si>
    <t>取得一期64地块1/2/11及地下室，62地块及65地块</t>
  </si>
  <si>
    <t xml:space="preserve">第五次请款
</t>
  </si>
  <si>
    <t>完成向施工图设计单位进行方案提资寄方案交底，并经甲方认可后40个工资日内</t>
  </si>
  <si>
    <t>已付款</t>
  </si>
  <si>
    <t>第四次请款</t>
  </si>
  <si>
    <t>施工配合、竣工验收完毕40个工作日内</t>
  </si>
  <si>
    <t>完成61#地块已封顶</t>
  </si>
  <si>
    <t>创作二室-贵州区域可研CZ-2024-026</t>
  </si>
  <si>
    <t>CRCCRE-DC-XM-2020-044、CRCCRE-DC-XM-2020-045</t>
  </si>
  <si>
    <t>可研概念方案设计框架合同</t>
  </si>
  <si>
    <t>CRCCRE-SJ-CZ-2024-026</t>
  </si>
  <si>
    <t>中铁房地产集团（贵州）有限公司</t>
  </si>
  <si>
    <t>简版：1.5万
深版：6.0万</t>
  </si>
  <si>
    <t>可研框架协议合同
（完成）</t>
  </si>
  <si>
    <t>可研框架协议合同</t>
  </si>
  <si>
    <t>CRCCRE-SJ-CZ-2019-020</t>
  </si>
  <si>
    <t>CRCCRE-GZ-GZDC-GYLCB-KF.QQ.02.01-2019-003</t>
  </si>
  <si>
    <t>6万</t>
  </si>
  <si>
    <t>遵义八七厂地块项目</t>
  </si>
  <si>
    <t>遵义忠庄棚改、兰草坝2号地</t>
  </si>
  <si>
    <t>贵州甘荫塘3-07、3-08地块
贵阳双龙机场航储-2020X-14-01地块</t>
  </si>
  <si>
    <t>贵州甘荫塘3-07、3-08地块项目
贵阳双龙机场航储-2020X-14-01地块项目</t>
  </si>
  <si>
    <t>贵州可研框架
（完成）</t>
  </si>
  <si>
    <t>CRCCRE-SJ-CZ-2019-020-B1</t>
  </si>
  <si>
    <t>CRCCRE-GZ-GZDC-GYLCB-KF.QQ.02.01-2019-003-B1</t>
  </si>
  <si>
    <t>贵阳雨高桥项目
贵阳兰草坝03地块可研项目
贵安潮湖ZK-（15-02、16-04）地块项目
贵安马场MN-（24-01、24-02-A、24-02-B、24-03）地块项目
贵安MN-（18-0102、19-01-A、19-01-B）地块项目
贵安湖潮乡010地块和012地块项目
贵阳双龙航储-2017X-14-02-01原宝能中学居住地块项目
贵阳观山湖区01-09地块项目
贵阳双龙航储-2022X-01地块项目
贵阳贵黔医院项目
贵阳花溪杨家山项目
贵阳云岩三马新建厂地块项目
贵阳云储1号地、云储3号地
贵阳宝山南路地块
遵义官井新地块
遵义国际公馆9#楼</t>
  </si>
  <si>
    <t>贵安山语城B地块项目</t>
  </si>
  <si>
    <t>中国铁建贵安山语城B地块项目规划设计合同</t>
  </si>
  <si>
    <t>CRCCRE-SJ-CZ-2017-021</t>
  </si>
  <si>
    <t>中铁建房地产集团（贵安）有限公司</t>
  </si>
  <si>
    <t>方案：22元/㎡</t>
  </si>
  <si>
    <t>1.合同签订5个工作日内</t>
  </si>
  <si>
    <t>2.总图、典型单体（平立剖面图）设计完成并得到业主方书面确认之日起5个工作日内</t>
  </si>
  <si>
    <t>3.方案调整、修改完成并通过政府审查后（规划复函）5个工作日内</t>
  </si>
  <si>
    <t>4.施工配合、竣工验收完毕5个工作日内</t>
  </si>
  <si>
    <t>还有7栋楼未建，暂时不能请款</t>
  </si>
  <si>
    <t>贵安山语城A地块项目</t>
  </si>
  <si>
    <t>中国铁建贵安山语城A地块建筑设计咨询服务合同</t>
  </si>
  <si>
    <t>CRCCRE-SJ-ZX-2017-007</t>
  </si>
  <si>
    <t>施工图咨询：5元/㎡</t>
  </si>
  <si>
    <t>1.合同签订后，甲方在提交方案设计资料给乙方后，15个工作日内支付工程A地块设计咨询合计费用的20%给乙方</t>
  </si>
  <si>
    <t>（A地块规证面积-A段商业街规证面积）×咨询单价=实际结算金额（326374.29-33867.6）×5=1462533.45</t>
  </si>
  <si>
    <t>2.A地块设计咨询服务费分批次支付给乙方，乙方完成各批次设计咨询服务且施工图经审查通过后，15个工作日内支付各批次咨询服务费的80%给乙方</t>
  </si>
  <si>
    <t>多付1641.19元；
结算金额：1631871.45</t>
  </si>
  <si>
    <t>贵安山语城B地块项目(完成)</t>
  </si>
  <si>
    <t>中国铁建贵安山语城B地块建筑设计咨询服务合同</t>
  </si>
  <si>
    <t>CRCCRE-SJ-ZX-2017-011</t>
  </si>
  <si>
    <t>1.合同签订后，甲方在提交方案设计资料给乙方后，15个工作日内支付工程B地块设计咨询合计费用的20%给乙方</t>
  </si>
  <si>
    <t>已完成</t>
  </si>
  <si>
    <t>2.B地块设计咨询服务费分批次支付给乙方，乙方完成各批次设计咨询服务且施工图经审查通过后，15个工作日内支付各批次咨询服务费的80%给乙方</t>
  </si>
  <si>
    <t>已完成项目</t>
  </si>
  <si>
    <t>贵阳国际城</t>
  </si>
  <si>
    <t>贵阳国际城建筑设计咨询服务合同(I\J\A\K)</t>
  </si>
  <si>
    <t>CRCCRE-SJ-ZX-2016-005</t>
  </si>
  <si>
    <t>CRCC-GZZH-GJC-QQ-2016-008</t>
  </si>
  <si>
    <t>贵州中泓房地产开发有限公司</t>
  </si>
  <si>
    <t>I\J施工图:   360116   
A\K方案:   265846</t>
  </si>
  <si>
    <t>I\J施工图咨询：4.5元/㎡，A\K方案咨询4.8元/平米</t>
  </si>
  <si>
    <t>合同签订后，甲方在提交全部设计资料给乙方后，五个工作日内支付合同总价的20%给乙方</t>
  </si>
  <si>
    <t>I、J组团360116</t>
  </si>
  <si>
    <t>A、K组团265846</t>
  </si>
  <si>
    <t>乙方完成I、J组团设计咨询工作并经甲方认可，甲方支付该工程设计咨询费40%
（115.88万元）给乙方</t>
  </si>
  <si>
    <t>I\J组团现在重新出方案</t>
  </si>
  <si>
    <t>乙方完成A、K组团设计咨询工作并经甲方认可，甲方支付该工程设计优化咨询费40%（115.88万元）给乙方</t>
  </si>
  <si>
    <t>结算后AK设计费增加484538.26</t>
  </si>
  <si>
    <t>AK新增面积：100945.47</t>
  </si>
  <si>
    <t>AK方案面积：366791.47</t>
  </si>
  <si>
    <t>贵阳国际城
(完成)</t>
  </si>
  <si>
    <t>CRCCRE-DC-XM-2020-019</t>
  </si>
  <si>
    <t>中国铁建·国际城E1、E4、E5组团项目建筑设计咨询服务合同</t>
  </si>
  <si>
    <t>CRCCRE-SJ-ZX-2020-002</t>
  </si>
  <si>
    <t>咨询：7元/㎡</t>
  </si>
  <si>
    <t>1.合同签订后，20个工作日内支付合同总价20%给乙方</t>
  </si>
  <si>
    <t>2.乙方完成方案阶段的设计咨询工作并经甲方认可后20个工作日内支付30%给乙方</t>
  </si>
  <si>
    <t>3.乙方完成施工图阶段的设计咨询工作并经甲方认可后20个工作日内支付50%给乙方</t>
  </si>
  <si>
    <t>贵阳国际城J组团项目</t>
  </si>
  <si>
    <t>中国铁建·国际城J组团方案优化设计合同</t>
  </si>
  <si>
    <t>CRCCRE-SJ-CZ-2025-008</t>
  </si>
  <si>
    <t>CRCCRE-GZ-GJC-QQ-2025-004</t>
  </si>
  <si>
    <t>合同签订并提交第一版概念性方案后，经甲方审核确认后，20个工作日之内甲方向乙方支付本合同设计费的20%</t>
  </si>
  <si>
    <t>乙方提交修改后方案文本并协助完成项目的规划报建工作，方案通过政府相关审批（建设工程规划许可证）后，20个工作日之内，甲方向乙方支付本合同设计费的50%</t>
  </si>
  <si>
    <t>协助完成施工图设计评审，获取施工图审查合格证后，20个工作日之内，甲方向乙方支付本合同设计费的20%</t>
  </si>
  <si>
    <t>完成本项目外立面材料封样完成后，甲方向乙方支付本合同结算后的剩余费用10%</t>
  </si>
  <si>
    <t>贵州遵义国际公馆</t>
  </si>
  <si>
    <t>CRCCRE-DC-XM-2020-034</t>
  </si>
  <si>
    <t>国际公馆项目工程设计咨询服务</t>
  </si>
  <si>
    <t>CRCCRE-SJ-ZX-2020-006</t>
  </si>
  <si>
    <t>遵义中铁京筑置业有限公司</t>
  </si>
  <si>
    <t>施工图咨询：4.5元/㎡</t>
  </si>
  <si>
    <t>1.合同签订后，甲方在提交全部设计资料给乙方后，次月三十日前</t>
  </si>
  <si>
    <t>7月已付款</t>
  </si>
  <si>
    <t>2.乙方完成方案阶段的设计咨询工作并经甲方书面签批后，次月三十日前</t>
  </si>
  <si>
    <t>已开发票，等甲方付款流程，产值确认单确认50%</t>
  </si>
  <si>
    <t>3.乙方完成各分期施工图阶段的设计咨询工作并经甲方书面签批后，次月三十日前</t>
  </si>
  <si>
    <t>完成7#8#规证面积为：48323.20㎡</t>
  </si>
  <si>
    <t>兰草坝回迁安置项目(完成)</t>
  </si>
  <si>
    <t>兰草坝02-03、05、06地块回迁安置项目可研阶段概念性方案设计合同</t>
  </si>
  <si>
    <t>CRCCRE-SJ-CZ-2018-028</t>
  </si>
  <si>
    <t>10万一个</t>
  </si>
  <si>
    <t>1.概念性方案设计完成、交付并得到甲方书面确认函之日后的40个工作日内；   2.完成概念方案交底得到甲方书面确认函之日后的次月40个工作日内；或项目未继续开展，得到甲方书面确认函之日后的40个工作日内。</t>
  </si>
  <si>
    <t>兰草坝02号地块项目</t>
  </si>
  <si>
    <t>CRCCRE-DC-XM-2020-075</t>
  </si>
  <si>
    <t>中国铁建兰草坝02号地块项目地下室BIM管综优化服务合同</t>
  </si>
  <si>
    <t>CRCCRE-SJ-BIM-2020-016</t>
  </si>
  <si>
    <t>CRCCRE-GY-LCB2-QQ-2020-013</t>
  </si>
  <si>
    <t>中铁房地产集团（贵阳）有限公司</t>
  </si>
  <si>
    <t>地下室BIM管综：7.5元/㎡</t>
  </si>
  <si>
    <t>乙方完成提交BIM初步建模后15个工作日内</t>
  </si>
  <si>
    <t>乙方完成完成BIM初步建模，并出具土建及机电问题报告，提交设计文件，完成相关交底、审核、指导，经甲方书面确认并提供请款资料后30个工作日内</t>
  </si>
  <si>
    <t>乙方完成BIM管综模型、管综问题报告文件及咨询报告文件，完成相关交底、审核、指导，经甲方书面确认并提供请款资料后30个工作日内</t>
  </si>
  <si>
    <t>乙方完成管综模型出图咨询设计文件、管综预留洞口出图和BIM漫游动画文件，完成相关交底、审核、指导，并经甲方书面确认并提供请款资料后30个工作日内</t>
  </si>
  <si>
    <t>预计9月请款</t>
  </si>
  <si>
    <t>乙方配合完成施工现场需要的咨询服务，完成相关交底、审核、指导，在工程竣工验收合格办理完成结算，并提供请款资料后30个工作日内</t>
  </si>
  <si>
    <t>预计2023年12月竣备交付</t>
  </si>
  <si>
    <t>贵州双龙航空港大数据项目（A、B园）</t>
  </si>
  <si>
    <t>贵州广电大数据园区综合体项目及中国文化（出版广电）大数据产业项目（CCDI项目）工程设计咨询服务合同</t>
  </si>
  <si>
    <t>CRCCRE-SJ-ZX-2021-005</t>
  </si>
  <si>
    <t>CRCCRE-GZ-ZGWCC-QQ-2021-059</t>
  </si>
  <si>
    <t>贵州中广文创城置业有限公司</t>
  </si>
  <si>
    <t>施工图咨询：4元/㎡</t>
  </si>
  <si>
    <t>合同生效后甲方在提交全部设计资料给乙方后（根据实际进度按地块支付），次月三十日前</t>
  </si>
  <si>
    <t>已完成B园01地块面积：
268938㎡</t>
  </si>
  <si>
    <t>开票50万元</t>
  </si>
  <si>
    <t>已完成A园面积187408.41㎡</t>
  </si>
  <si>
    <t>A园：545126.09
B园：349491.93</t>
  </si>
  <si>
    <t>乙方完成第一版全专业施工图阶段的设计咨询工作并经甲方书面审核并签批后，次月三十日前（具体面积以相应《单体方案建筑面积计算报告》为准</t>
  </si>
  <si>
    <t>乙方完成项目设计咨询总结报告并经甲方书面审核并签批后，次月三十日前（具体面积以相应《单体方案建筑面积计算报告》为准）（根据实际进度按地块支付）</t>
  </si>
  <si>
    <t>B园01地块面积
268938㎡</t>
  </si>
  <si>
    <t>A园面积187408.41㎡</t>
  </si>
  <si>
    <t>B园：349491.93</t>
  </si>
  <si>
    <t>乙方完成整个项目施工图设计（包括设计变更等）相应咨询工作并经甲方书面审核并签批后，次月三十日前（根据实际进度按地块支付）</t>
  </si>
  <si>
    <t>贵安山语城项目A段商业街</t>
  </si>
  <si>
    <t>CRCCRE-DC-XM-2021-006</t>
  </si>
  <si>
    <t>中国铁建·贵安山语城项目A段商业街
方案及施工图BIM设计咨询合同</t>
  </si>
  <si>
    <t>CRCCRE-SJ-CZ-2021-007</t>
  </si>
  <si>
    <t>CRCCRE-GZ-GAGS-GASYC-KF.QQ.02.01-2021-002</t>
  </si>
  <si>
    <t>30元/㎡</t>
  </si>
  <si>
    <t>定金</t>
  </si>
  <si>
    <t>甲方书面启动地块方案设计确认函30天内支付，本合同履行后抵作设计费</t>
  </si>
  <si>
    <t>具体金额以单地块实际发生量为准</t>
  </si>
  <si>
    <t>概念方案阶段</t>
  </si>
  <si>
    <t>概念方案提交成果并经甲方认可之日起30天内支付</t>
  </si>
  <si>
    <t>方案设计阶段</t>
  </si>
  <si>
    <t>乙方完成全部方案调整、修改并通过政府审查后（规划复函）30天内支付</t>
  </si>
  <si>
    <t>报建阶段</t>
  </si>
  <si>
    <t>甲方取得《建筑工程规划许可证》之日起30个工作日内</t>
  </si>
  <si>
    <t>施工图设计阶段</t>
  </si>
  <si>
    <t>甲方完成施工图审查并取得审查合格证后30个工作日内支付，按照《建设工程规划许可证》建筑面积进行结算</t>
  </si>
  <si>
    <t>竣工验收阶段</t>
  </si>
  <si>
    <t>施工配合、竣工验收完成，资料签署完毕后30天内支付</t>
  </si>
  <si>
    <t>贵阳兰草坝售楼处</t>
  </si>
  <si>
    <t>CRCCRE-DC-XM-2021-007</t>
  </si>
  <si>
    <t>兰草坝G（11）13号地块棚户区改造项目06-2#楼设计咨询服务合同</t>
  </si>
  <si>
    <t>CRCCRE-SJ-BIM-2021-008</t>
  </si>
  <si>
    <t>BIM+咨询</t>
  </si>
  <si>
    <t>CRCCRE-GZ-LCB-QQ-2021-001</t>
  </si>
  <si>
    <t>25万</t>
  </si>
  <si>
    <t>乙方完成配合方案确定，方案满足施工图要求后，经甲方书面确认并提供请款资料后15个工作日内</t>
  </si>
  <si>
    <t>乙方完成方案至施工图设计咨询、经甲方书面确认并提供请款资料后15个工作日内</t>
  </si>
  <si>
    <t>乙方完成全专业BIM模型，完成钢结构可建造BIM工作内容后，经甲方书面确认并提供请款资料后15个工作日内</t>
  </si>
  <si>
    <t>钢结构及幕墙主体安装完成后15个工作日内</t>
  </si>
  <si>
    <t>展示区竣工验收合格后，经甲方书面确认并提供请款资料后15个工作日内（5%）</t>
  </si>
  <si>
    <t>张家口林语山悦项目</t>
  </si>
  <si>
    <t>张家口林语山悦项目建筑设计咨询服务合同</t>
  </si>
  <si>
    <t>CRCCRE-SJ-ZX-2019-012</t>
  </si>
  <si>
    <t>中铁房地产集团文旅发展有限公司</t>
  </si>
  <si>
    <t>合同签订甲方在提交全部设计资料给乙方后，20个工作日内支付</t>
  </si>
  <si>
    <t>乙方完成施工图阶段的设计咨询工作并经甲方认可，20个工作日内</t>
  </si>
  <si>
    <t>咨询工作完成</t>
  </si>
  <si>
    <t>退票重开</t>
  </si>
  <si>
    <t>贵阳阳明文旅城项目</t>
  </si>
  <si>
    <t>贵阳阳明文旅城项目建筑设计咨询服务合同</t>
  </si>
  <si>
    <t>CRCCRE-SJ-ZX-2020-016</t>
  </si>
  <si>
    <t>贵州中卓文旅置业有限公司</t>
  </si>
  <si>
    <t>全过程咨询：6元/㎡</t>
  </si>
  <si>
    <t>合同签订后甲方在提交全部设计资料给乙方后，二十个工作日内</t>
  </si>
  <si>
    <t>产值已确认</t>
  </si>
  <si>
    <t>乙方完成方案阶段的设计咨询工作并经甲方认可后，二十个工作日内</t>
  </si>
  <si>
    <t>乙方提交第一版全专业施工图设计咨询报告后，二十个工作日内</t>
  </si>
  <si>
    <t>咨询-4</t>
  </si>
  <si>
    <t>乙方完成项目设计咨询总结报告并经甲方认可后，二十个工作日内</t>
  </si>
  <si>
    <t>贵阳车水路GD（21）007号地块项目01、05地块</t>
  </si>
  <si>
    <t>车水路GD（21）007号地块项目01、05地块施工图咨询优化服务合同</t>
  </si>
  <si>
    <t>CRCCRE-SJ-ZX-2021-015</t>
  </si>
  <si>
    <t>CRCCRE-GZ-DXYD-QQ-2021-011</t>
  </si>
  <si>
    <t>贵阳中铁城市建设投资有限公司</t>
  </si>
  <si>
    <t>01#地块（商品区）：130870.13
05#地块：150343.65</t>
  </si>
  <si>
    <t>施工图咨询：4.5元/㎡
咨询工作室：3.5元/㎡
创作二室：
1元/㎡</t>
  </si>
  <si>
    <t>合同签订后，甲方在提交首批设计资料给乙方后，三十个工作日内支付施工图设计咨询服务费的20%给乙方</t>
  </si>
  <si>
    <t>铁建城项目-投资公司付50万分出28万给车水路咨询，后期回款还铁建城，2023年11月已还铁建城20万银信,还差8万未还</t>
  </si>
  <si>
    <t>乙方提交第一版全专业施工图设计咨询报告后，经甲方确认后在三十个工作日内甲方支付施工图设计咨询服务费的60%给乙方</t>
  </si>
  <si>
    <t>多给创二确认54.85万元</t>
  </si>
  <si>
    <t>铁建城项目-投资公司付50万分出28万给车水路咨询，后期回款还铁建城，2024/6/26已还铁建城8万银信</t>
  </si>
  <si>
    <t>创二2022年归还咨询54.85万元</t>
  </si>
  <si>
    <t>甲方完成施工图审查并取得审查合格证后，三十个工作日内甲方支付工程全额设计咨询服务费的20%给乙方</t>
  </si>
  <si>
    <t>01#地块（商品区）130870.13㎡完成100%=588915.59元
05地块146259.55㎡完成80%526534.38元</t>
  </si>
  <si>
    <t>01地块（商品区）130870.13㎡
已取得施工图审查合格证
05地块未取得施工图审查合格证</t>
  </si>
  <si>
    <t>贵阳兰草坝灯笼坡地块项目（不审计）</t>
  </si>
  <si>
    <t>CRCCRE-DC-XM-2022-025</t>
  </si>
  <si>
    <t>中国铁建·贵阳灯笼坡项目建筑方案设计合同</t>
  </si>
  <si>
    <t>CRCCRE-SJ-CZ-2022-024</t>
  </si>
  <si>
    <t>方案设计：
16元/㎡</t>
  </si>
  <si>
    <t>概念方案提交成果并经甲方认可之日起30天内</t>
  </si>
  <si>
    <t>总图、单体设计完成，具备报规报建条件并得到业主方书面确认函之日起30天内</t>
  </si>
  <si>
    <t>方案调整、修改完成并通过政府审查后（规划复函）30天内</t>
  </si>
  <si>
    <t>施工图配合完成，施工图设计文件取得施工图审查合格证30天内</t>
  </si>
  <si>
    <t>方案-6</t>
  </si>
  <si>
    <t>施工配合、竣工验收完毕30天内</t>
  </si>
  <si>
    <t>贵阳阳明文旅城项目
（语系）</t>
  </si>
  <si>
    <t>CRCCRE-DC-XM-2021-010</t>
  </si>
  <si>
    <t>贵阳阳明文旅城项目建筑方案及施工图设计合同</t>
  </si>
  <si>
    <t>CRCCRE-SJ-CZ-2021-015</t>
  </si>
  <si>
    <t>方案+售楼处施工图+施工图设计委托管理</t>
  </si>
  <si>
    <t>CRCCRE-GZ-YMWL-QQ-2021-011</t>
  </si>
  <si>
    <t>方案综合单价：15.87元/㎡
销售中心一口价：45万</t>
  </si>
  <si>
    <t>一期住宅地块
40/
41</t>
  </si>
  <si>
    <t>1.甲方书面启动地块方案设计确认函30天内支付，本合同履行后抵作设计费</t>
  </si>
  <si>
    <t>2022/12/29第一次回款200万，我们120万，外委80万</t>
  </si>
  <si>
    <t>2.概念方案提交成果并经甲方认可之日起30天内</t>
  </si>
  <si>
    <t>2023/5/25第二次回款50万，各家25万</t>
  </si>
  <si>
    <t>3.总图、单体设计完成，具备报规报建条件并得到业主方书面确认函之日起30天内</t>
  </si>
  <si>
    <t>2023/8/29第三次回款50万，各家25万</t>
  </si>
  <si>
    <t>4.方案调整、修改完成并通过政府审查后（规划复函）30天内</t>
  </si>
  <si>
    <t>2024/1/30第四次回款30万，各家15万，银信2024.7.22到期</t>
  </si>
  <si>
    <t>5.施工图配合完成，施工图设计单位取得施工图审查合格证30天内</t>
  </si>
  <si>
    <t>6.施工配合、竣工验收完毕30天内</t>
  </si>
  <si>
    <t>二期住宅地块
42/
43</t>
  </si>
  <si>
    <t>提前确认产值</t>
  </si>
  <si>
    <t>二期商业地块
40/41/
42</t>
  </si>
  <si>
    <t>售楼处及合院样板间建筑方案至施工图阶段</t>
  </si>
  <si>
    <t>甲方书面启动地块方案设计确认函，乙方提交第一版概念方案成果并经甲方认可之日起40个工作日内</t>
  </si>
  <si>
    <t>方案设计完成，并得到业主方书面确认函之日起40个工作日内</t>
  </si>
  <si>
    <t>乙方提交初步设计文件或甲方书面指示进行施工图设计后40个工作日内</t>
  </si>
  <si>
    <t>乙方提交的施工图设计文件业主方书面确认函或开始施工后40个工作日内</t>
  </si>
  <si>
    <t>施工图阶段设计
40/41/
42/43</t>
  </si>
  <si>
    <t>1.合同签订后，甲方书面通知启动设计40个工作日内（10％），本合同开始履行后抵作设计费</t>
  </si>
  <si>
    <t>2.乙方配合概念方案及方案设计单位完成总图及建筑方案复核，并配合提交总图及建筑方案设计文件后40个工作日内（5%）</t>
  </si>
  <si>
    <t>3.乙方配合概念方案及方案设计单位提交总图和建筑方案报审设计文件并通过政府有关部门审查或甲方书面指示进行初步设计后40个工作日内</t>
  </si>
  <si>
    <t>4.乙方向甲方提交初步设计文件并经甲方确认后40个工作日内（5%）</t>
  </si>
  <si>
    <t>5.乙方提交初步设计文件并通过政府有关部门审查或甲方书面指示进行施工图设计后40个工作日内（5%）</t>
  </si>
  <si>
    <t>6.乙方向甲方提交施工图设计文件并经甲方书面确认后40个工作日内 (20%）</t>
  </si>
  <si>
    <t>7.乙方提交的施工图报审设计文件通过政府有关部门审查或开始施工后40个工作日内（40%）</t>
  </si>
  <si>
    <t>8.工程竣工验收合格后且办理完竣工结算后40个工作日内（10％）</t>
  </si>
  <si>
    <t>装配式设计费用</t>
  </si>
  <si>
    <t>1.合同签订后，甲方书面启动装配式设计方案40个工作日内，甲方支付装配式设计咨询费总额的（10%）</t>
  </si>
  <si>
    <t>2.经甲方及政府有关部门完成装配式建筑方案初评认定、评审后40个工作日内）甲方支付装配式设计咨询费总额的（10%）</t>
  </si>
  <si>
    <t>3.乙方提交全部的装配式设计图纸后，在甲方确认40个工作日内，甲方支付装配式设计咨询费总额的（40%）</t>
  </si>
  <si>
    <t>4.项目首栋首层预制构件开始吊装之日起40个工作日内，甲方支付装配式设计咨询费总额的（30%）</t>
  </si>
  <si>
    <t>5.项目主体竣工验收之日起40个工作日内，甲方支付设计费总额的（10%）</t>
  </si>
  <si>
    <t>地下室人防施工图设计费用</t>
  </si>
  <si>
    <t>1.合同签订后，甲方书面启动地下室人防设计40个工作日内（10%）</t>
  </si>
  <si>
    <t>2.人防方案完成，并配合完成相关方案报审批复后40个工作日内（10%）</t>
  </si>
  <si>
    <t>3.人防施工图完成，并经人防审查合格后，获取审查合格证后40个工作日内（70%）</t>
  </si>
  <si>
    <t>4.工程竣工验收合格后且办理完竣工结算后40个工作日内（10％）</t>
  </si>
  <si>
    <t>海绵城市设计费用</t>
  </si>
  <si>
    <t>1.本合同签订后40个工作日内支付，本合同开始履行后抵作设计费。(10%)</t>
  </si>
  <si>
    <t>2.乙方完成全套方案设计成果并提交至甲方或政府相关部门审查通过，甲方收到乙方付款申请后，40个工作日内支付合同总额的（35%）</t>
  </si>
  <si>
    <t>3.乙方完成全套施工图设计成果并经甲方及政府相关部门审查通过并取得相关合格证后，甲方收到乙方付款申请后，40个工作日内前支付合同总额（50%）</t>
  </si>
  <si>
    <t>4.工程竣工验收合格办理完成结算，并提供请款资料后40个工作日内（5％）</t>
  </si>
  <si>
    <t>绿色建筑设计费用</t>
  </si>
  <si>
    <t>1.本合同签订后40个工作日内支付，本合同开始履行后抵作设计费。乙方开展绿色建筑策划工作。在协议签订后10个工作日乙方完成绿色建筑策划方案编制，并协助甲方进行绿色建筑评价标识项目备案。(10%)</t>
  </si>
  <si>
    <t>2.甲方收到乙方编制的绿色建筑标识申报资料，并收到乙方付款申请后，并提供请款资料后40个工作日内支付。（35%）</t>
  </si>
  <si>
    <t>3.乙方代理申请本项目一星级绿色建筑标识，项目通过绿色建筑标识预评审会，乙方提交项目绿色建筑评价标识预评审意见后，并提供请款资料后40个工作日内支付。（45%）</t>
  </si>
  <si>
    <t>4.工程竣工验收合格办理完成结算，并通过项目一星级绿色建筑评价标识现场认证，取得认证标识，并提供请款资料后40个工作日内支付。（10％）</t>
  </si>
  <si>
    <t>贵阳铁建城项目</t>
  </si>
  <si>
    <t>贵阳铁建城项目
委托设计管理服务合同
（253地块）</t>
  </si>
  <si>
    <t>CRCCRE-SJ-XM-2021-018</t>
  </si>
  <si>
    <t>1.可持续发展专题2.交通专题
3.人工湖水生态环境设计专题
4.设计管理工作</t>
  </si>
  <si>
    <t xml:space="preserve">中铁房地产集团（贵州）有限公司
</t>
  </si>
  <si>
    <t>\</t>
  </si>
  <si>
    <t>1.可持续发展设计顾问服务内容</t>
  </si>
  <si>
    <t>铁建地产片区开发可持续发展体系、实施导则</t>
  </si>
  <si>
    <t>铁建城项目-可持续发展方案设计</t>
  </si>
  <si>
    <t>投资公司代付22万，贵州已返还投资60462.92</t>
  </si>
  <si>
    <t>2.铁建城项目实施阶段服务内容</t>
  </si>
  <si>
    <t>污水源热泵-实施阶段（初步设计、施工图设计配合）</t>
  </si>
  <si>
    <t>地缘热泵-实施阶段（初步设计、施工图设计配合）</t>
  </si>
  <si>
    <t>太阳能-实施阶段（初步设计、施工图设计配合）</t>
  </si>
  <si>
    <t>海绵城市-实施阶段（初步设计、施工图设计配合）</t>
  </si>
  <si>
    <t>磷石膏等环保材料及资源的合理利用、废弃物管理-实施阶段（初步设计、施工图设计配合）</t>
  </si>
  <si>
    <t>3.绿建认证、健康认证设计服务内容</t>
  </si>
  <si>
    <t>绿建认证可行性分析</t>
  </si>
  <si>
    <t>健康认证可行性分析</t>
  </si>
  <si>
    <t>交通研究导则及对外交通研究分析</t>
  </si>
  <si>
    <t>施工图阶段的交通评估和施工图审核(253地块)</t>
  </si>
  <si>
    <t>规
划
阶
段</t>
  </si>
  <si>
    <t>水源供给方案</t>
  </si>
  <si>
    <t>贵州公司（回款20万2023/07/21）返还60462.92元</t>
  </si>
  <si>
    <t>139537.08未付外委开票11月付款</t>
  </si>
  <si>
    <t>水质保持方案</t>
  </si>
  <si>
    <t>水安全保障方案</t>
  </si>
  <si>
    <t>防渗方案</t>
  </si>
  <si>
    <t>实
施
阶
段</t>
  </si>
  <si>
    <t>片区开发及贵阳铁建城项目专题研究设计内容及管理</t>
  </si>
  <si>
    <t>可持续发展专题、人工湖水生态环境设计专题专题、交通专题提交规划阶段成果文件并经甲方书面审核通过后15个工作日内</t>
  </si>
  <si>
    <t>可持续发展专题、人工湖水生态环境设计专题专题、交通专题提交施工图阶段或实施阶段成果并经甲方书面审核通过后15个工作日内</t>
  </si>
  <si>
    <t>《贵阳铁建城项目委托设计管理服务合同》02号地块费用分摊协议</t>
  </si>
  <si>
    <t>CRCCRE-SJ-XM-2021-018-B2</t>
  </si>
  <si>
    <t>CRCCRE-GY-LCB2-QQ-2021-010</t>
  </si>
  <si>
    <t>贵阳回款10万返还投资借款38053.08</t>
  </si>
  <si>
    <t>完成各分项设计成果并经甲方书面审核通过后15个工作日内</t>
  </si>
  <si>
    <t>10万已付2023/6/29</t>
  </si>
  <si>
    <t>贵阳公司回款20万银信</t>
  </si>
  <si>
    <t>276494未付外委开票8月付款</t>
  </si>
  <si>
    <t>211039.90
已付2023/7/7</t>
  </si>
  <si>
    <t>《贵阳铁建城项目委托设计管理服务合同》
低效AB及净地01-08地块费用分摊协议</t>
  </si>
  <si>
    <t>CRCCRE-SJ-XM-2021-018-B1</t>
  </si>
  <si>
    <t>CRCCRE-GZ-DXYD-QQ-2021-007</t>
  </si>
  <si>
    <t>投资公司付50万，其中22万付AECOM</t>
  </si>
  <si>
    <t>片区开发及贵阳铁建城项目交通专题</t>
  </si>
  <si>
    <t>交通研究导则及对外交通研究分析(37.0944公顷用地面积)</t>
  </si>
  <si>
    <t>投资公司回款15万银行转账</t>
  </si>
  <si>
    <t>276494未付外委开票8月付款，多确认收入21518.92元</t>
  </si>
  <si>
    <t>车水路项目-投资公司付20万，回款还铁建城，剩余8万</t>
  </si>
  <si>
    <t>总体及概念规划阶段的地块交通系统研究（低效A）</t>
  </si>
  <si>
    <t>总体及概念规划阶段的地块交通系统研究（低效B）</t>
  </si>
  <si>
    <t>施工图阶段的交通评估和施工图审核（低效A）</t>
  </si>
  <si>
    <t>施工图阶段的交通评估和施工图审核（低效B）</t>
  </si>
  <si>
    <t>2024/6/26车水路已回款8万，和车水路项目平账</t>
  </si>
  <si>
    <t>成都青羊售楼处项目
（完成）</t>
  </si>
  <si>
    <t>青羊区烹专项目建筑设计咨询服务合同</t>
  </si>
  <si>
    <t>CRCCRE-SJ-ZX-2018-006</t>
  </si>
  <si>
    <t xml:space="preserve">成都中铁瑞兴房地产开发有限公司 </t>
  </si>
  <si>
    <t>支付当前进行地块的20％为本合同预付款</t>
  </si>
  <si>
    <t>邀标</t>
  </si>
  <si>
    <t>支付当前进行地块设计咨询费的30％为方案设计阶段付款</t>
  </si>
  <si>
    <t>支付当前进行地块设计咨询费的40％为施工图阶段付款</t>
  </si>
  <si>
    <t>产值确认已90%</t>
  </si>
  <si>
    <t>支付当前进行地块设计费的10％为施工完成后尾款</t>
  </si>
  <si>
    <t>四川成都青羊137地块（完成）（案名：西派金沙）</t>
  </si>
  <si>
    <t>CRCCRE-DC-XM-2020-074</t>
  </si>
  <si>
    <t>成都青羊137亩项目一期施工图设计咨询服务合同</t>
  </si>
  <si>
    <t>CRCCRE-SJ-ZX-2020-011</t>
  </si>
  <si>
    <t>成都乐欣置业有限公司</t>
  </si>
  <si>
    <t>咨询：5元/㎡</t>
  </si>
  <si>
    <t>合同签订后，甲方在提交首批设计资料给乙方后，五十五个工作日内支付施工图设计咨询服务费的20%给乙方</t>
  </si>
  <si>
    <t>8月17已确认100%的产值，已开票预计十月回款，久其系统问题，流程没走完</t>
  </si>
  <si>
    <t>乙方提交第一版全专业施工图设计咨询报告后，经甲方确认后在五十五个工作日内甲方支付施工图设计咨询服务费的60%</t>
  </si>
  <si>
    <t>甲方完成施工图审查并取得审查合格证后，五十五个工作日内甲方支付工程全额设计咨询服务费的20%给乙方。</t>
  </si>
  <si>
    <t>8月17已确认100%的产值</t>
  </si>
  <si>
    <t>四川成都青羊137地块（二期）
（完成）（案名：西派金沙）</t>
  </si>
  <si>
    <t>CRCCRE-DC-XM-2020-097</t>
  </si>
  <si>
    <t>成都青羊137亩项目二期施工图设计咨询服务合同</t>
  </si>
  <si>
    <t>CRCCRE-SJ-ZX-2020-015</t>
  </si>
  <si>
    <t>四川成都青羊137地块（三期）
（完成）（案名：西派金沙）</t>
  </si>
  <si>
    <t>CRCCRE-DC-XM-2020-098</t>
  </si>
  <si>
    <t>成都青羊137亩项目三期施工图设计咨询服务合同</t>
  </si>
  <si>
    <t>CRCCRE-SJ-ZX-2021-001</t>
  </si>
  <si>
    <t>贵阳兰草坝棚户区03-01地块</t>
  </si>
  <si>
    <t>兰草坝G(23)077号地块项目建设工程设计总包管理服务合同</t>
  </si>
  <si>
    <t>CRCCRE-SJ-XM-2024-006</t>
  </si>
  <si>
    <t>方案+景观+精装+咨询+多维汇报</t>
  </si>
  <si>
    <t>CRCCRE-GZ-LCB03-QQ-2024-004</t>
  </si>
  <si>
    <t>贵州甲秀鹏程置业有限公司</t>
  </si>
  <si>
    <t>合同面积：392617.45
规证面积：
394979.17</t>
  </si>
  <si>
    <t>方案设计：
20.71元/㎡
施工图咨询：4.5元/㎡
多维汇报：
8万/个</t>
  </si>
  <si>
    <t>第一次回款银信255万、现金22万</t>
  </si>
  <si>
    <t>第一次计价金额：
2774856.02元
第二次计价金额：3038795.74元</t>
  </si>
  <si>
    <t>第二次回款银信100万</t>
  </si>
  <si>
    <t>第三次回款银信100万</t>
  </si>
  <si>
    <t>三四期第一笔20%计价</t>
  </si>
  <si>
    <t>合同签订后，甲方在提交首批设计资料给乙方后2个月内（付款审批流程完成后）</t>
  </si>
  <si>
    <t>乙方提交第一版全专业施工图设计咨询报告后经甲方确认后2个月内</t>
  </si>
  <si>
    <t>一期：104802.17㎡
一期：3209.11㎡（增加面积）
一期共计：108011.28㎡
第一次回款银信255万、现金22万</t>
  </si>
  <si>
    <t>二期：102772.65㎡
第二次回款银信100万</t>
  </si>
  <si>
    <t>三期：</t>
  </si>
  <si>
    <t>四期：</t>
  </si>
  <si>
    <t>甲方完成施工图审查并取得审查合格证后2个月内</t>
  </si>
  <si>
    <t>一期：108011.28㎡
第二次回款银信100万</t>
  </si>
  <si>
    <r>
      <rPr>
        <b/>
        <sz val="10"/>
        <color rgb="FF000000"/>
        <rFont val="宋体"/>
        <charset val="134"/>
      </rPr>
      <t>第三次回款银信100万</t>
    </r>
    <r>
      <rPr>
        <sz val="10"/>
        <color rgb="FF000000"/>
        <rFont val="宋体"/>
        <charset val="134"/>
      </rPr>
      <t xml:space="preserve">
二期：102772.65㎡</t>
    </r>
  </si>
  <si>
    <t>方案通过政府相关审批（规划复函）后，经甲方审核确认后2个月内（付款审批流程完成后）</t>
  </si>
  <si>
    <t>景观整体</t>
  </si>
  <si>
    <t>合同签订并提交第一版概念性方案后2个月内（付款审批流程完成后）</t>
  </si>
  <si>
    <t>第一次回款银信255万、现金22万
截止第二次计价：1期80%、2期45%、3期4期10%，共计金额：653912.81元</t>
  </si>
  <si>
    <t>景观大区</t>
  </si>
  <si>
    <t>大区及红线外概念设计成果经甲方确认后2个月内</t>
  </si>
  <si>
    <t>大区及红线外方案设计成果完成经甲方确认后2个月内</t>
  </si>
  <si>
    <t>大区及红线外扩初设计成果完成经甲方确认后2个月内</t>
  </si>
  <si>
    <t>一期扩初（71991.71）
第二次回款银信100万</t>
  </si>
  <si>
    <t>大区及红线外施工图设计成果完成经甲方确认后2个月内</t>
  </si>
  <si>
    <t>一期施工图（少记321.84元）
第二次回款银信100万</t>
  </si>
  <si>
    <t>大区及红线外施工现场配合完成经甲方确认后2个月内</t>
  </si>
  <si>
    <t>售楼处及样板间</t>
  </si>
  <si>
    <t>合同签订并提交第一版概念性方案后2个月内</t>
  </si>
  <si>
    <t>精装概念设计完成经甲方确认后2个月内</t>
  </si>
  <si>
    <t>返还景观回款（10万）
第二次回款银信100万</t>
  </si>
  <si>
    <t>精装方案扩初设计完成经甲方确认后2个月内</t>
  </si>
  <si>
    <t>返还景观回款（10万）
第三次回款银信100万</t>
  </si>
  <si>
    <t>精装施工图设计完成经甲方确认后2个月内</t>
  </si>
  <si>
    <t>精装修竣工验收合格，本合同办理完成结算后2个月内</t>
  </si>
  <si>
    <t>精装大区-1</t>
  </si>
  <si>
    <t>精装大区-2</t>
  </si>
  <si>
    <t>精装大区-3</t>
  </si>
  <si>
    <t>精装大区-4</t>
  </si>
  <si>
    <t>精装大区-5</t>
  </si>
  <si>
    <r>
      <rPr>
        <b/>
        <sz val="10"/>
        <color rgb="FF000000"/>
        <rFont val="宋体"/>
        <charset val="134"/>
      </rPr>
      <t>成都双流华府项目</t>
    </r>
    <r>
      <rPr>
        <sz val="10"/>
        <color rgb="FF000000"/>
        <rFont val="宋体"/>
        <charset val="134"/>
      </rPr>
      <t xml:space="preserve">
（西派国樾）
</t>
    </r>
    <r>
      <rPr>
        <b/>
        <sz val="10"/>
        <color rgb="FF000000"/>
        <rFont val="宋体"/>
        <charset val="134"/>
      </rPr>
      <t>（完成）</t>
    </r>
  </si>
  <si>
    <t>双流区协和街道11、12号地块项目建筑设计咨询服务合同</t>
  </si>
  <si>
    <t>CRCCRE-SJ-ZX-2018-005</t>
  </si>
  <si>
    <t>成都中铁华府置业有限公司</t>
  </si>
  <si>
    <t>国樾五期118765.83㎡
118765.83×7×40%=332544.32</t>
  </si>
  <si>
    <t>11号地块已结算，由于面积超出要签补充协议，故等12号地块一起结算</t>
  </si>
  <si>
    <t>结算金额：3793869.94</t>
  </si>
  <si>
    <t>昆明逸都小区B、C地块
（完成）</t>
  </si>
  <si>
    <t>逸都小区-郦苑、逸都小区-湖苑建设工程设计咨询</t>
  </si>
  <si>
    <t>CRCCRE-SJ-ZX-2018-010</t>
  </si>
  <si>
    <t>中铁建昆仑云南房地产有限公司</t>
  </si>
  <si>
    <t>乙方完成建筑设计各专业咨询报告并经甲方书面认可后，甲方支付乙方合同价款的40%。</t>
  </si>
  <si>
    <t>乙方完成建筑设计各专业咨询报告结论并经甲方书面认可后，甲方支付乙方合同价款的50%。</t>
  </si>
  <si>
    <t>乙方完成建筑设计咨询后评估报告并经甲方书面认可后，甲方支付合同价款的10%。</t>
  </si>
  <si>
    <t>已回款</t>
  </si>
  <si>
    <r>
      <rPr>
        <b/>
        <sz val="10"/>
        <color rgb="FF000000"/>
        <rFont val="宋体"/>
        <charset val="134"/>
      </rPr>
      <t>重庆寸滩项目</t>
    </r>
    <r>
      <rPr>
        <sz val="10"/>
        <color rgb="FF000000"/>
        <rFont val="宋体"/>
        <charset val="134"/>
      </rPr>
      <t xml:space="preserve">
（西派城）</t>
    </r>
  </si>
  <si>
    <t>中国铁建重庆寸滩项目建筑设计咨询服务合同</t>
  </si>
  <si>
    <t>CRCCRE-SJ-ZX-2018-007</t>
  </si>
  <si>
    <t>CRCCRE-ZQGS-ZXBNXM0000-KF.XS.10-2017-002</t>
  </si>
  <si>
    <t>中铁房地产集团重庆有限公司</t>
  </si>
  <si>
    <t>A-34-1-16/07地块：363650.35；A-34-1-19/07地块：270105.23；A-34-1-20/07地块：303356.12</t>
  </si>
  <si>
    <t>乙方完成各地块方案阶段的设计咨询工作，提交电子版《方案阶段设计咨询意见》并经甲方书面认可，甲方支付各地块咨询服务费的50%给乙方</t>
  </si>
  <si>
    <t>A-34-1-16/07地块363650.35</t>
  </si>
  <si>
    <t>A-34-1-20/07地块（7#）310516.07㎡</t>
  </si>
  <si>
    <t>完成地上部分1#6#7#（43261.19㎡）</t>
  </si>
  <si>
    <t>A-34-1-19/07地块（1-8#）154670.40㎡</t>
  </si>
  <si>
    <t>集团对该项目“以销定产”，项目上未施工所以不能请款，按项目施工进度请款</t>
  </si>
  <si>
    <t>乙方完成各地块施工图阶段的设计咨询工作，提交纸质版《施工图设计咨询意见》4份并经甲方书面认可，甲方支付至各地块实际咨询服务费的100%给乙方。</t>
  </si>
  <si>
    <t>重庆-寸滩项目（A-34-1-19-07地块）-超豪宅项目结构顾问
(未启动)</t>
  </si>
  <si>
    <t>(中铁建重庆西派城)寸滩项目二期结构设计顾问服务</t>
  </si>
  <si>
    <t>固定单价（20元/㎡）</t>
  </si>
  <si>
    <t>签订合同后10 日内</t>
  </si>
  <si>
    <t>未开始履行合同义务</t>
  </si>
  <si>
    <t>提交地上结构的方案报告验收合格后</t>
  </si>
  <si>
    <t>提交50%结构初步设计报告验收合格后</t>
  </si>
  <si>
    <t>提交100%结构初步设计报告验收合格后</t>
  </si>
  <si>
    <t>提交50%结构施工图审核报告验收合格后</t>
  </si>
  <si>
    <t>提交95%结构施工图审核报告验收合格后</t>
  </si>
  <si>
    <t>重庆茶园A81（南山和院）</t>
  </si>
  <si>
    <t>CRCCRE-DC-XM-2020-049</t>
  </si>
  <si>
    <t>茶园A81项目建筑设计咨询服务合同</t>
  </si>
  <si>
    <t>CRCCRE-SJ-ZX-2020-001</t>
  </si>
  <si>
    <t>重庆泽润置业有限公司</t>
  </si>
  <si>
    <t>合同签订后，甲方在提交首批设计资料给乙方后，二十个工作日内支付施工图设计咨询服务费的20%给乙方</t>
  </si>
  <si>
    <t>一期面积42502.43㎡
80%=170009.72
二期面积2478.40㎡
付款80%=9913元</t>
  </si>
  <si>
    <t>乙方提交第一版全专业施工图设计咨询报告后，二十个工作日内甲方支付施工图设计咨询服务费的60%给乙方</t>
  </si>
  <si>
    <t>不到节点</t>
  </si>
  <si>
    <t>成都高新区新川105亩地项目
（完成）
（案名：新川樾）</t>
  </si>
  <si>
    <t>新川105亩GX2020-01-13地块住宅用地及配套项目施工图设计咨询服务合同</t>
  </si>
  <si>
    <t>CRCCRE-SJ-ZX-2021-013</t>
  </si>
  <si>
    <t>成都樾美置业有限公司</t>
  </si>
  <si>
    <t>施工图咨询：3.5元/㎡</t>
  </si>
  <si>
    <t>乙方提交第一版全专业施工图设计咨询报告后，五十五个工作日内甲方支付施工图设计咨询服务费的60%给乙方</t>
  </si>
  <si>
    <t>甲方完成施工图审查并取得审查合格证后，五十五个工作日内甲方支付工程全额设计优化咨询费的20%给乙方。</t>
  </si>
  <si>
    <t>成都双流东升118亩地项目
（完成）
（案名：双楠樾府）</t>
  </si>
  <si>
    <t>双流区东升街道葛陌社区1、3、4组；九江街道蛟龙社区1组新建商品住宅、绿化工程及附属设施项目施工图设计咨询服务合同</t>
  </si>
  <si>
    <t>CRCCRE-SJ-ZX-2021-011</t>
  </si>
  <si>
    <t>成都都樾置业有限公司</t>
  </si>
  <si>
    <t>成都双流东升47亩地项目
（完成）（案名：棠樾）</t>
  </si>
  <si>
    <t>双流区东升街道花园社区4、10组新建商品住宅，绿化工程及附属设施项目施工图设计咨询服务合同</t>
  </si>
  <si>
    <t>CRCCRE-SJ-ZX-2021-012</t>
  </si>
  <si>
    <t>成都冠樾置业有限公司</t>
  </si>
  <si>
    <t>成都青羊40亩项目
（锦樾）
（完成）</t>
  </si>
  <si>
    <t>CRCCRE-DC-XM-2022-017</t>
  </si>
  <si>
    <t>青羊区蔡桥街道蔡桥社区2、5组住宅及配套设施项目施工图设计咨询服务合同</t>
  </si>
  <si>
    <t>CRCCRE-SJ-ZX-2022-006</t>
  </si>
  <si>
    <t>CRCCRE-XN-CDDW-CDSQYQCQM-KF.QQ.02.01-2022-001</t>
  </si>
  <si>
    <t>成都耀派置业有限公司</t>
  </si>
  <si>
    <t>甲方今年给付75%</t>
  </si>
  <si>
    <t>甲方完成施工图审查并取得审查合格证后，五十五个工作日内甲方支付工程全额设计优化咨询费的20%给乙方</t>
  </si>
  <si>
    <t>成都青羊101亩项目
（青羊樾府）（完成）</t>
  </si>
  <si>
    <t>CRCCRE-DC-XM-2022-018</t>
  </si>
  <si>
    <t>青羊区蔡桥街道蔡桥社区1组，华严社区4、6、7组，红碾社区6组住宅及配套设施项目施工图设计咨询服务合同</t>
  </si>
  <si>
    <t>CRCCRE-SJ-ZX-2022-005</t>
  </si>
  <si>
    <t>CRCCRE-XN-CDDW-CDSQYQCQM-KF.QQ.02.01-2022-002</t>
  </si>
  <si>
    <t>成都佳派置业有限公司</t>
  </si>
  <si>
    <t>高新西区26亩项目</t>
  </si>
  <si>
    <t>CRCCRE-DC-XM-2023-027</t>
  </si>
  <si>
    <t>成都高新西区3.8亩项目施工图精审及BIM管综优化服务合同</t>
  </si>
  <si>
    <t>CRCCRE-SJ-ZX-2023-054</t>
  </si>
  <si>
    <t>精审+BIM</t>
  </si>
  <si>
    <t>四川国恒建筑设计有限公司</t>
  </si>
  <si>
    <t>施工图精审：
3元/㎡
BIM管综：
5元/㎡</t>
  </si>
  <si>
    <t>1-精审</t>
  </si>
  <si>
    <t>合同签订生效后，甲方提交项目相关设计资料，乙方按合同约定开展精审工作经甲方及业主方书面确认的，项目获取建设工程规划许可证后，且甲方收到业主方主合同总金额的20%回款后；</t>
  </si>
  <si>
    <t>跟国恒结算</t>
  </si>
  <si>
    <t>2-精审</t>
  </si>
  <si>
    <t>乙方提交第一版全专业施工图精审咨询报告经甲方及业主方书面确认的，项目获取图审合格证后，且甲方收到业主方主合同总金额的80%回款后；</t>
  </si>
  <si>
    <t>3-精审</t>
  </si>
  <si>
    <t>乙方提交施工图精审咨询服务的所有成果，经甲方及业主方确认，且甲方收到业主方主合同总金额的100%回款后；</t>
  </si>
  <si>
    <t>乙方提交第一版BIM模型且经过甲方及业主方确认，且甲方收到业主方主合同总金额的20%回款后；</t>
  </si>
  <si>
    <t>乙方根据甲方优化后的施工图纸提交BIM咨询优化报告、完成BIM范围的交底工作，该合同所有BIM相关工作成果经过甲方及业主方确认，且甲方收到业主方主合同总金额的80%回款后</t>
  </si>
  <si>
    <t>乙方跟踪项目进度，完成设计变更的BIM模型更改，至项目取得竣工备案表，且甲方收到业主方主合同总金额的100%回款后</t>
  </si>
  <si>
    <t>成都高新西区25亩项目施工图精审及BIM管综优化服务合同</t>
  </si>
  <si>
    <t>CRCCRE-SJ-ZX-2023-055</t>
  </si>
  <si>
    <t>施工图精审：3元/㎡
BIM管综：
5元/㎡</t>
  </si>
  <si>
    <t>成都市双流区麓湖76亩项目
（西派臻境）</t>
  </si>
  <si>
    <t>中铁建天府新区华阳街道2023-50166号住兼商地块项目建设工程设计总包管理服务合同</t>
  </si>
  <si>
    <t>CRCCRE-SJ-XM-2023-087</t>
  </si>
  <si>
    <t>CRCCRE-XN-CDDS-CDTFXQLHMXM-KF.QQ.02.01-2023-002</t>
  </si>
  <si>
    <t>成都冠麓置业有限公司</t>
  </si>
  <si>
    <t>方案设计：
19.55元/㎡
施工图咨询：3.5元/㎡
多维方案：
6万/个</t>
  </si>
  <si>
    <t>欠1分钱给咨询</t>
  </si>
  <si>
    <t>景观展示区</t>
  </si>
  <si>
    <t>展示区方案设计成果完成经甲方确认后2个月内</t>
  </si>
  <si>
    <t>展示区施工图设计成果完成经甲方确认后2个月内</t>
  </si>
  <si>
    <t>展示区施工现场配合完成经甲方确认后2个月内</t>
  </si>
  <si>
    <t>中铁建天府新区华阳街道2023-50166号住兼商地块项目建设工程设计总包管理服务合同补充协议（一）</t>
  </si>
  <si>
    <t>CRCCRE-SJ-XM-2023-087-B1</t>
  </si>
  <si>
    <t>BIM+精装样板间</t>
  </si>
  <si>
    <t>CRCCRE-XN-CDDS-CDTFXQLHMXM-KF.QQ.02.01-2023-002-B1</t>
  </si>
  <si>
    <t>地下管综：37886.76㎡
精装样板间：
155.57㎡</t>
  </si>
  <si>
    <t>BIM管综：
4.2元/㎡
精装样板间：
900元/㎡</t>
  </si>
  <si>
    <t>精装样板间</t>
  </si>
  <si>
    <t>乙方提交精装设计成果后经甲方书面认可后，新增新风格165户型样板间款项一次性付清</t>
  </si>
  <si>
    <t>合同签订并提交第一版地下车库及地下室BIM模型且经过甲方确认后2个月内（付款审批流程完成后）。</t>
  </si>
  <si>
    <t>乙方根据甲方优化后的施工图纸提交BIM咨询优化报告、完成BIM范围的交底工作且经过甲方确认后2个月内（付款审批流程完成后）。</t>
  </si>
  <si>
    <t>乙方根据施工进度提交设计变更的BIM模型更改至竣工验收完成，按照《建设工程规划许可证》地下建筑面积进行结算后2个月内（付款审批流程完成后）。</t>
  </si>
  <si>
    <r>
      <rPr>
        <b/>
        <sz val="10"/>
        <color rgb="FF000000"/>
        <rFont val="宋体"/>
        <charset val="134"/>
      </rPr>
      <t>成都武侯区51亩住宅及配套项目</t>
    </r>
    <r>
      <rPr>
        <sz val="10"/>
        <color rgb="FF000000"/>
        <rFont val="宋体"/>
        <charset val="134"/>
      </rPr>
      <t xml:space="preserve">
（西派善境）</t>
    </r>
  </si>
  <si>
    <t>CRCCRE-DC-XM-2024-008</t>
  </si>
  <si>
    <t>武侯区51亩住宅及配套项目建设工程设计总包管理服务合同</t>
  </si>
  <si>
    <t>CRCCRE-SJ-XM-2024-021</t>
  </si>
  <si>
    <t>方案+景观+精装+BIM</t>
  </si>
  <si>
    <t>CRCCRE-XN-WH51-CDSWHQWHXCMXM-KF.QQ.02.01-2024-002</t>
  </si>
  <si>
    <t>成都蓉派置业有限公司</t>
  </si>
  <si>
    <t>BIM管综：
7元/㎡</t>
  </si>
  <si>
    <t>合同签订并提交第一版地下车库及地下室BIM模型且经过甲方确认后2个月内</t>
  </si>
  <si>
    <t>乙方根据甲方优化后的施工图纸提交BIM咨询优化报告、户型管综深化及出图、完成BIM咨询范围的交底工作且经过甲方确认后2个月内</t>
  </si>
  <si>
    <t>乙方根据施工进度提交设计变更的BIM模型更改至竣工验收完成，按照《建设工程规划许可证》地下建筑面积进行结算后2个月内</t>
  </si>
  <si>
    <t>成都锦江区31亩项目
（西派交子）</t>
  </si>
  <si>
    <t>成都锦江区31亩住宅及配套(12号地块)项目建设工程设计总包管理服务合同</t>
  </si>
  <si>
    <t>CRCCRE-SJ-XM-2024-055</t>
  </si>
  <si>
    <t>CRCCRE-XN-CDDE-CDSJJQLJBMXM-KF.QQ.02.01-2024-001</t>
  </si>
  <si>
    <t>成都中铁建锦城投资有限公司</t>
  </si>
  <si>
    <t>甲方已确认可以请款</t>
  </si>
  <si>
    <t>成都武侯区54.63亩项目
（武侯西派御府）</t>
  </si>
  <si>
    <t>成都武侯区54.63亩住宅及配套设施项目建设工程设计总包管理服务合同</t>
  </si>
  <si>
    <t>CRCCRE-SJ-XM-2025-036</t>
  </si>
  <si>
    <t>CRCCRE-XN-CDNAZY-WHXBZG54-QQ-2025-018</t>
  </si>
  <si>
    <t>成都能安置业有限公司</t>
  </si>
  <si>
    <t>BIM管综：
7元
户型优化：
142.07元</t>
  </si>
  <si>
    <t>华中</t>
  </si>
  <si>
    <t>太原项目
（完成）</t>
  </si>
  <si>
    <t>太原市万柏林区东社村HGZ-1812地块项目
建设工程设计合同</t>
  </si>
  <si>
    <t>CRCCRE-SJ-CZ-2018-054</t>
  </si>
  <si>
    <t>CRCCRE-BF-TYDC-TYXFGJ-QQ-023</t>
  </si>
  <si>
    <t>太原中铁房地产开发有限公司</t>
  </si>
  <si>
    <t>合同面积：115868.85
规证面积：116858.41</t>
  </si>
  <si>
    <t>规划方案设计20元/㎡
施工图设计：
18元/㎡</t>
  </si>
  <si>
    <t>太原理工：2103451.38</t>
  </si>
  <si>
    <t>太原理工：417127.8
创作二室：
243324.6</t>
  </si>
  <si>
    <t>甲方说资金紧张</t>
  </si>
  <si>
    <t>太原市万柏林区东社村
（完成）</t>
  </si>
  <si>
    <t>太原市万柏林区东社村HGZ-1812地块项目建设工程设计补充协议（一）</t>
  </si>
  <si>
    <t>CRCCRE-SJ-CZ-2018-054-B1</t>
  </si>
  <si>
    <t>CRCCRE-BF-TYDC-TYXFGJ-QQ-023-B1</t>
  </si>
  <si>
    <t>施工图设计：18元/㎡</t>
  </si>
  <si>
    <t>创作二室：350000</t>
  </si>
  <si>
    <t>设计人在完成施工图设计文件10日内提交施工图文件八份后，发包人支付补充协议设计费总额的90％</t>
  </si>
  <si>
    <t>太原理工未完成设计，暂不能请款</t>
  </si>
  <si>
    <t>竣工验收合格完毕后10日内，甲方结清剩余价款</t>
  </si>
  <si>
    <r>
      <rPr>
        <b/>
        <sz val="10"/>
        <color rgb="FF000000"/>
        <rFont val="宋体"/>
        <charset val="134"/>
      </rPr>
      <t>太原山语城</t>
    </r>
    <r>
      <rPr>
        <sz val="10"/>
        <color rgb="FF000000"/>
        <rFont val="宋体"/>
        <charset val="134"/>
      </rPr>
      <t xml:space="preserve">
（西府国际）
（完成）</t>
    </r>
  </si>
  <si>
    <t>CRCCRE-DC-XM-2021-034</t>
  </si>
  <si>
    <t>中国铁建•太原山语城项目地下车库管综建模服务合同</t>
  </si>
  <si>
    <t>CRCCRE-SJ-BIM-2021-001</t>
  </si>
  <si>
    <t>CRCCRE-HZ-TYDC-TYXFGJ-QQ-2020-011</t>
  </si>
  <si>
    <t>合同签订后，甲方提交所有资料，30个工作日内(25%)</t>
  </si>
  <si>
    <t>乙方提交第一版BIM模型后，经甲方书面确认后，30个工作日内（35%）</t>
  </si>
  <si>
    <t>乙方提交所有成果，经甲方书面确认后，30个工作日内</t>
  </si>
  <si>
    <t>乙方配合完成施工现场需要的咨询服务，完成相关交底、审核、指导，在工程竣工验收合格办理完成结算，并提供请款资料后30个工作日内（5％）</t>
  </si>
  <si>
    <t>新疆昌吉市新悦铭城地块、新疆乌鲁木齐城市进入研究顾问、新疆昌吉市城市进入研究顾问</t>
  </si>
  <si>
    <t>新疆项目投资拓展可行性研究顾问服务协议</t>
  </si>
  <si>
    <t>CRCCRE-SJ-CH-2018-019</t>
  </si>
  <si>
    <t>3个项目</t>
  </si>
  <si>
    <t>含税打包价</t>
  </si>
  <si>
    <t>乙方完成甲方最终认可的顾问服务报告，在甲方验收并作出书面确认后，甲方于下月30日前一次性支付乙方相应的顾问服务费用</t>
  </si>
  <si>
    <t>未开始履行合同义务合同转过</t>
  </si>
  <si>
    <t>双方就放生的顾问费用进行阶段性确认，有甲方出具书面确认资料。乙方在阶段完成当月的25日前，按甲方要求提交本月请款资料，甲方将于次月底向乙方支付相应款项。</t>
  </si>
  <si>
    <t>太原置业方案可研</t>
  </si>
  <si>
    <t>概念规划设计框架合同</t>
  </si>
  <si>
    <t>CRCCRE-SJ-CZ-2018-052</t>
  </si>
  <si>
    <t>8个项目</t>
  </si>
  <si>
    <t>5万一个</t>
  </si>
  <si>
    <t>新疆库尔勒、新疆乌鲁木齐高铁站、新疆乌鲁木齐奇康制药厂项目</t>
  </si>
  <si>
    <t>新疆库尔勒、新疆乌鲁木齐高铁站、新疆乌鲁木齐康制药厂项目</t>
  </si>
  <si>
    <t>按项目结算</t>
  </si>
  <si>
    <t>太原花语堂项目</t>
  </si>
  <si>
    <t>中国铁建·花语堂项目建筑设计咨询服务合同</t>
  </si>
  <si>
    <t>CRCCRE-SJ-ZX-2019-009</t>
  </si>
  <si>
    <t>太原中铁嘉晟房地产开发有限公司</t>
  </si>
  <si>
    <t>合同签订后，甲方在提交全部设计资料给乙方后，二十个工作日内</t>
  </si>
  <si>
    <t>8月已回款</t>
  </si>
  <si>
    <t>预计8月回款</t>
  </si>
  <si>
    <t>乙方完成施工图阶段的设计咨询工作并经甲方认可后，二十个工作日内</t>
  </si>
  <si>
    <t>合作方问题不给请款</t>
  </si>
  <si>
    <t>开始做结算</t>
  </si>
  <si>
    <t>太原花语堂项目（完成）</t>
  </si>
  <si>
    <t>CRCCRE-DC-XM-2020-076</t>
  </si>
  <si>
    <t>中国铁建·花语堂项目BIM技术全过程应用咨询服务合同</t>
  </si>
  <si>
    <t>CRCCRE-SJ-BIM-2020-013</t>
  </si>
  <si>
    <t>总建筑面积405126.93</t>
  </si>
  <si>
    <t>第一部分（BIM全过程）费用3000000元，第二部分（BIM模型优化）费用700000元</t>
  </si>
  <si>
    <t>合同签订后，三十个工作日内</t>
  </si>
  <si>
    <t>久其系统原因付不出去款</t>
  </si>
  <si>
    <t>9月已回款</t>
  </si>
  <si>
    <t>丙方完成 BIM 实施准备阶段工作成果提交后并经乙方确认后，三十个工作日内</t>
  </si>
  <si>
    <t>11月已回款</t>
  </si>
  <si>
    <t>丙方完成BIM施工方标准宣贯和BIM平台培训及施工阶段的BIM咨询工作,三十个工作日内</t>
  </si>
  <si>
    <t>丙方完成合同第一部分约定所有内容，经甲、乙方确认后，三十个工作日内</t>
  </si>
  <si>
    <t>丙方完成施工图BIM优化模型内容，经乙方确认后，三十个工作日内</t>
  </si>
  <si>
    <t>西安西派璟悦</t>
  </si>
  <si>
    <t>CRCCRE-DC-XM-2023-013</t>
  </si>
  <si>
    <t>西派璟悦项目
建设工程设计总包管理服务合同
（建筑方案部分）</t>
  </si>
  <si>
    <t>CRCCRE-SJ-XM-2023-020</t>
  </si>
  <si>
    <t>西安国际港务区京港房地产开发有限公司</t>
  </si>
  <si>
    <t>高层地上132815.00平米，配套公建4538.00平米，地下56726.00平米</t>
  </si>
  <si>
    <t>地上25，配套公建25，地下10</t>
  </si>
  <si>
    <t>合同签订并提交第一版概念性方案后，经甲方审核确认后2个月内（付款审批流程完成后）</t>
  </si>
  <si>
    <t>方案调整、修改完成经甲方确认后，经甲方审核确认后2个月内（付款审批流程完成后）</t>
  </si>
  <si>
    <t>项目总图、建筑单专业扩初设计图纸完成，并取得《建设工程规划许可证》后，经甲方审核确认后2个月内（付款审批流程完成后）</t>
  </si>
  <si>
    <t>西派璟悦项目
建设工程设计总包管理服务合同
（景观部分）</t>
  </si>
  <si>
    <t>展示区6000.00平米，大区39987.00平米</t>
  </si>
  <si>
    <t>展示区60，大区60</t>
  </si>
  <si>
    <t>展示区-2</t>
  </si>
  <si>
    <t>展示区方案设计成果完成经甲方确认后2个月内（付款审批流程完成后）</t>
  </si>
  <si>
    <t>展示区-40%</t>
  </si>
  <si>
    <t>展示区-3</t>
  </si>
  <si>
    <t>展示区施工图设计成果完成经甲方确认后2个月内（付款审批流程完成后）</t>
  </si>
  <si>
    <t>展示区-30%</t>
  </si>
  <si>
    <t>展示区-4</t>
  </si>
  <si>
    <t>展示区施工现场配合完成经甲方确认后2个月内（付款审批流程完成后）</t>
  </si>
  <si>
    <t>展示区-10%</t>
  </si>
  <si>
    <t>大区-5</t>
  </si>
  <si>
    <t>大区概念设计成果经甲方确认后2个月内（付款审批流程完成后）</t>
  </si>
  <si>
    <t>大区-15%</t>
  </si>
  <si>
    <t>大区-6</t>
  </si>
  <si>
    <t>大区方案设计成果完成经甲方确认后2个月内（付款审批流程完成后）</t>
  </si>
  <si>
    <t>大区-20%</t>
  </si>
  <si>
    <t>大区-7</t>
  </si>
  <si>
    <t>大区扩初设计成果完成经甲方确认后2个月内（付款审批流程完成后）</t>
  </si>
  <si>
    <t>大区-8</t>
  </si>
  <si>
    <t>大区施工图设计成果完成经甲方确认后2个月内（付款审批流程完成后）</t>
  </si>
  <si>
    <t>大区-9</t>
  </si>
  <si>
    <t>大区施工现场配合完成经甲方确认后2个月内（付款审批流程完成后）</t>
  </si>
  <si>
    <t>大区-5%</t>
  </si>
  <si>
    <t>景观工程竣工验收合格，本合同办理完成结算后2个月内（付款审批流程完成后）</t>
  </si>
  <si>
    <t>展示区10%，大区15%</t>
  </si>
  <si>
    <t>西派璟悦项目
建设工程设计总包管理服务合同
（精装部分）</t>
  </si>
  <si>
    <t>售楼处550平米，样板间500平米</t>
  </si>
  <si>
    <t>合同签订并提交第一版概念性方案后2个月内（付款审批流程完成后）。</t>
  </si>
  <si>
    <t>精装概念设计完成经甲方确认后2个月内（付款审批流程完成后）。</t>
  </si>
  <si>
    <t>精装方案扩初设计完成经甲方确认后2个月内（付款审批流程完成后）。</t>
  </si>
  <si>
    <t>精装施工图设计完成经甲方确认后2个月内（付款审批流程完成后）。</t>
  </si>
  <si>
    <t>精装修竣工验收合格，本合同办理完成结算后2个月内（付款审批流程完成后）。</t>
  </si>
  <si>
    <t>西派璟悦项目
建设工程设计总包管理服务合同
（BIM部分）</t>
  </si>
  <si>
    <t>设计总包（自揽BIM部分）</t>
  </si>
  <si>
    <t>地下56726.00平米</t>
  </si>
  <si>
    <t>地下7.0/平米，多维方案汇报8万/项</t>
  </si>
  <si>
    <t>乙方根据甲方优化后的施工图纸提交BIM咨询优化报告、完成BIM咨询范围的交底工作且经过甲方确认后2个月内（付款审批流程完成后）。</t>
  </si>
  <si>
    <t>西派璟悦项目
建设工程设计总包管理服务合同
（咨询部分）</t>
  </si>
  <si>
    <t>设计总包（自揽咨询部分）</t>
  </si>
  <si>
    <t>精审1元/平米，优化咨询2.5元/平米</t>
  </si>
  <si>
    <t>合同签订且乙方开展设计咨询工作并提供设计咨询优化意见后15个工作日内请款，次月30日前付款。</t>
  </si>
  <si>
    <t>本项目取得《建设工程规划许可证》后15个工作日内请款，次月30日前付款。</t>
  </si>
  <si>
    <t>本项目施工图图审合格2个月内（付款审批流程完成后）。</t>
  </si>
  <si>
    <t>提交最终版设计咨询总结报告后2个月内（付款审批流程完成后）。</t>
  </si>
  <si>
    <t>西派璟悦项目
建设工程设计总包管理服务合同
（专项部分：售楼处、泛光）</t>
  </si>
  <si>
    <t>设计总包（专项外委：创新售楼处、泛光）</t>
  </si>
  <si>
    <t>售楼处30万，泛光18万</t>
  </si>
  <si>
    <t>合同签订且乙方提交第一版售楼处概念性方案后2个月内（付款审批流程完成后）。</t>
  </si>
  <si>
    <t>售楼处扩初设计图纸完成，并取得《建设工程规划许可证》后2个月内（付款审批流程完成后）。</t>
  </si>
  <si>
    <t>售楼处竣工验收合格后2个月内（付款审批流程完成后）。</t>
  </si>
  <si>
    <t>西安港务区93亩项目
（西派麟悦）
（完结）</t>
  </si>
  <si>
    <t>CRCCRE-DC-XM-2023-019</t>
  </si>
  <si>
    <t>西派麟悦项目
建设工程设计总包管理服务合同
（建筑方案部分）</t>
  </si>
  <si>
    <t>CRCCRE-SJ-XM-2023-054</t>
  </si>
  <si>
    <t>高层地上128358.80㎡，配套公建8556.57㎡，地下54784.26㎡</t>
  </si>
  <si>
    <t>高层18元/㎡，配套公建30元/㎡，地下8元/㎡</t>
  </si>
  <si>
    <t>项目立面二次深化设计图纸完成，并取得《施工图审查合格书》后，经甲方审核确认后2个月内（付款审批流程完成后）</t>
  </si>
  <si>
    <t>项目竣工验收合格，本合同办理完成结算后2个月内（付款审批流程完成后）</t>
  </si>
  <si>
    <t>西派麟悦项目
建设工程设计总包管理服务合同
（景观部分）</t>
  </si>
  <si>
    <t>展示区5200㎡，红线外2000㎡，大区44488.35㎡</t>
  </si>
  <si>
    <t>展示区60元/㎡，红线外25元/㎡，大区60元/㎡</t>
  </si>
  <si>
    <t>合同签订并提交第一版概念性方案经甲方审核确认后2个月内（付款审批流程完成后）</t>
  </si>
  <si>
    <t>大区-2</t>
  </si>
  <si>
    <t>大区-3</t>
  </si>
  <si>
    <t>大区-4</t>
  </si>
  <si>
    <t>大区-15%、展示区10%</t>
  </si>
  <si>
    <t>西派麟悦项目
建设工程设计总包管理服务合同
（精装部分）</t>
  </si>
  <si>
    <t>样板间452㎡，售楼处524.80㎡，配套公建4814.10㎡，首层及负一层大堂987.17㎡，标准层公区169.38㎡</t>
  </si>
  <si>
    <t>样板间1200元/㎡，售楼处350元/㎡，配套公建80元/㎡，首层及负一层大堂450元/㎡，标准层公区280元/㎡</t>
  </si>
  <si>
    <r>
      <rPr>
        <sz val="10"/>
        <color rgb="FF000000"/>
        <rFont val="宋体"/>
        <charset val="134"/>
      </rPr>
      <t>合同签订并提交第一版概念性方案后2个月内（付款审批流程完成后）。</t>
    </r>
    <r>
      <rPr>
        <b/>
        <sz val="10"/>
        <color rgb="FF000000"/>
        <rFont val="宋体"/>
        <charset val="134"/>
      </rPr>
      <t>（幼儿园部分）</t>
    </r>
  </si>
  <si>
    <r>
      <rPr>
        <sz val="10"/>
        <color rgb="FF000000"/>
        <rFont val="宋体"/>
        <charset val="134"/>
      </rPr>
      <t xml:space="preserve">精装概念设计完成经甲方确认后2个月内（付款审批流程完成后）。
</t>
    </r>
    <r>
      <rPr>
        <b/>
        <sz val="10"/>
        <color rgb="FF000000"/>
        <rFont val="宋体"/>
        <charset val="134"/>
      </rPr>
      <t>（幼儿园部分）</t>
    </r>
  </si>
  <si>
    <r>
      <rPr>
        <sz val="10"/>
        <color rgb="FF000000"/>
        <rFont val="宋体"/>
        <charset val="134"/>
      </rPr>
      <t xml:space="preserve">精装方案扩初设计完成经甲方确认后2个月内（付款审批流程完成后）。
</t>
    </r>
    <r>
      <rPr>
        <b/>
        <sz val="10"/>
        <color rgb="FF000000"/>
        <rFont val="宋体"/>
        <charset val="134"/>
      </rPr>
      <t>（幼儿园部分）</t>
    </r>
  </si>
  <si>
    <r>
      <rPr>
        <sz val="10"/>
        <color rgb="FF000000"/>
        <rFont val="宋体"/>
        <charset val="134"/>
      </rPr>
      <t xml:space="preserve">精装施工图设计完成经甲方确认后2个月内（付款审批流程完成后）。
</t>
    </r>
    <r>
      <rPr>
        <b/>
        <sz val="10"/>
        <color rgb="FF000000"/>
        <rFont val="宋体"/>
        <charset val="134"/>
      </rPr>
      <t>（售楼处部分）</t>
    </r>
  </si>
  <si>
    <r>
      <rPr>
        <sz val="10"/>
        <color rgb="FF000000"/>
        <rFont val="宋体"/>
        <charset val="134"/>
      </rPr>
      <t>精装施工图设计完成经甲方确认后2个月内（付款审批流程完成后）。</t>
    </r>
    <r>
      <rPr>
        <b/>
        <sz val="10"/>
        <color rgb="FF000000"/>
        <rFont val="宋体"/>
        <charset val="134"/>
      </rPr>
      <t>（样板间、公区）</t>
    </r>
  </si>
  <si>
    <r>
      <rPr>
        <sz val="10"/>
        <color rgb="FF000000"/>
        <rFont val="宋体"/>
        <charset val="134"/>
      </rPr>
      <t>精装修竣工验收合格并经甲方确认后2个月内（付款审批流程完成后）。</t>
    </r>
    <r>
      <rPr>
        <b/>
        <sz val="10"/>
        <color rgb="FF000000"/>
        <rFont val="宋体"/>
        <charset val="134"/>
      </rPr>
      <t>（公区部分）</t>
    </r>
  </si>
  <si>
    <t>精装修竣工验收合格并经甲方确认后2个月内（付款审批流程完成后）。</t>
  </si>
  <si>
    <t>西派麟悦项目
建设工程设计总包管理服务合同
（BIM部分）</t>
  </si>
  <si>
    <t>地上136915.37㎡，地下54784.26㎡</t>
  </si>
  <si>
    <t>多维方案汇报8万元/项，地上结构建模2元/㎡，地上机电建模2元/㎡，地下管综7元/㎡</t>
  </si>
  <si>
    <t>合同签订并提交BIM多维方案汇报成果，经过甲方确认后2个月内（付款审批流程完成后）。</t>
  </si>
  <si>
    <t>提交地上BIM建模成果，经甲方审核确认后2个月内（付款审批流程完成后）</t>
  </si>
  <si>
    <t>提交地下车库及地下室BIM模型且经过甲方确认后2个月内（付款审批流程完成后）。</t>
  </si>
  <si>
    <t>西派麟悦项目
建设工程设计总包管理服务合同
（设计咨询部分）</t>
  </si>
  <si>
    <t>总建面191699.63㎡</t>
  </si>
  <si>
    <t>全过程设计咨询2.5元/㎡，岩土专业咨询0.3元/㎡，设计缺陷审查要点梳理0.3元/㎡</t>
  </si>
  <si>
    <t>合同签订且乙方开展设计咨询工作并提供设计咨询优化意见且经甲方确认后2个月内（付款审批流程完成后）。</t>
  </si>
  <si>
    <t>本项目取得《建设工程规划许可证》，提交方案至报规阶段设计咨询报告且经甲方确认后2个月内（付款审批流程完成后）。</t>
  </si>
  <si>
    <t>本项目取得《施工图审查合格书》，提交施工图阶段设计咨询报告及设计缺陷审查要点总结且经甲方确认后2个月内（付款审批流程完成后）。</t>
  </si>
  <si>
    <t>提交最终版设计咨询总结报告且经甲方确认，本项办理完成结算后2个月内（付款审批流程完成后）。</t>
  </si>
  <si>
    <t>西派麟悦项目
建设工程设计总包管理服务合同
（精审部分）</t>
  </si>
  <si>
    <t>设计总包（自揽精审部分）</t>
  </si>
  <si>
    <t>施工图精审1元/㎡</t>
  </si>
  <si>
    <t>合同签订且乙方开展精细化审查工作并提供精细化审查意见且经甲方确认后2个月内（付款审批流程完成后）。</t>
  </si>
  <si>
    <t>本项目取得《施工图审查合格书》，提交施工图精审报告且经甲方确认2个月内（付款审批流程完成后）。</t>
  </si>
  <si>
    <t>提交最终版精细化审查总结报告且经甲方确认，本项办理完成结算后2个月内（付款审批流程完成后）。</t>
  </si>
  <si>
    <t>西安西派玺樾（推广名：西派玺悦）</t>
  </si>
  <si>
    <t>CRCCRE-DC-XM-2023-028</t>
  </si>
  <si>
    <t>西派玺樾小区项目（推广名：西派玺悦项目）
建设工程设计总包管理服务合同
（建筑方案部分）</t>
  </si>
  <si>
    <t>CRCCRE-SJ-XM-2023-073</t>
  </si>
  <si>
    <t>西安铁昇房地产开发有限公司</t>
  </si>
  <si>
    <t>高层地上130500㎡；配套8500㎡；地下57000㎡</t>
  </si>
  <si>
    <t>高层32元/㎡；配套45元/㎡；地下11元/㎡</t>
  </si>
  <si>
    <t>按复函面积修正金额</t>
  </si>
  <si>
    <t>BIM中心23年底向项目管理中心借产值35万元，后续需归还产值；创一向项目管理中心借140万元，创二向项目管理中心借180万元，后续外委成本相应调整至创一、创二，不需归还相应产值</t>
  </si>
  <si>
    <t>西派玺樾小区项目（推广名：西派玺悦项目）
建设工程设计总包管理服务合同
（景观部分）</t>
  </si>
  <si>
    <t>展示区7500㎡；大区40516㎡</t>
  </si>
  <si>
    <t>展示区45元/㎡；大区34元/㎡</t>
  </si>
  <si>
    <t>大区25%</t>
  </si>
  <si>
    <t>西派玺樾小区项目（推广名：西派玺悦项目）
建设工程设计总包管理服务合同
（精装部分）</t>
  </si>
  <si>
    <t>售楼处650㎡；样板间555㎡；架空层1100㎡；公区首层310㎡；公区标准层68㎡；光厅创新25.8㎡；光厅复制87.6㎡；电梯轿厢1个；公区首层套图890㎡；公区标准层套图；232㎡；配套6100㎡</t>
  </si>
  <si>
    <t>售楼处1200；样板间1200；架空层500；公区首层800；公区标准层600；光厅创新200；光厅复制120；电梯轿厢15000；公区首层套图420；公区标准层套图；270；配套80</t>
  </si>
  <si>
    <r>
      <rPr>
        <sz val="10"/>
        <color rgb="FF000000"/>
        <rFont val="宋体"/>
        <charset val="134"/>
      </rPr>
      <t>合同签订并提交第一版概念性方案后2个月内</t>
    </r>
    <r>
      <rPr>
        <b/>
        <sz val="10"/>
        <color rgb="FF000000"/>
        <rFont val="宋体"/>
        <charset val="134"/>
      </rPr>
      <t>（售楼处、样板间、架空层、公区）</t>
    </r>
  </si>
  <si>
    <r>
      <rPr>
        <sz val="10"/>
        <color rgb="FF000000"/>
        <rFont val="宋体"/>
        <charset val="134"/>
      </rPr>
      <t>合同签订并提交第一版概念性方案后2个月内</t>
    </r>
    <r>
      <rPr>
        <b/>
        <sz val="10"/>
        <color rgb="FF000000"/>
        <rFont val="宋体"/>
        <charset val="134"/>
      </rPr>
      <t>（批量精装）</t>
    </r>
  </si>
  <si>
    <r>
      <rPr>
        <sz val="10"/>
        <color rgb="FF000000"/>
        <rFont val="宋体"/>
        <charset val="134"/>
      </rPr>
      <t>合同签订并提交第一版概念性方案后2个月内</t>
    </r>
    <r>
      <rPr>
        <b/>
        <sz val="10"/>
        <color rgb="FF000000"/>
        <rFont val="宋体"/>
        <charset val="134"/>
      </rPr>
      <t>（公共配套）</t>
    </r>
  </si>
  <si>
    <r>
      <rPr>
        <sz val="10"/>
        <color rgb="FF000000"/>
        <rFont val="宋体"/>
        <charset val="134"/>
      </rPr>
      <t>精装概念设计完成经甲方确认后2个月内</t>
    </r>
    <r>
      <rPr>
        <b/>
        <sz val="10"/>
        <color rgb="FF000000"/>
        <rFont val="宋体"/>
        <charset val="134"/>
      </rPr>
      <t>（售楼处、样板间、架空层、公区）</t>
    </r>
  </si>
  <si>
    <r>
      <rPr>
        <sz val="10"/>
        <color rgb="FF000000"/>
        <rFont val="宋体"/>
        <charset val="134"/>
      </rPr>
      <t>精装概念设计完成经甲方确认后2个月内</t>
    </r>
    <r>
      <rPr>
        <b/>
        <sz val="10"/>
        <color rgb="FF000000"/>
        <rFont val="宋体"/>
        <charset val="134"/>
      </rPr>
      <t>（批量精装）</t>
    </r>
  </si>
  <si>
    <r>
      <rPr>
        <sz val="10"/>
        <color rgb="FF000000"/>
        <rFont val="宋体"/>
        <charset val="134"/>
      </rPr>
      <t>精装概念设计完成经甲方确认后2个月内</t>
    </r>
    <r>
      <rPr>
        <b/>
        <sz val="10"/>
        <color rgb="FF000000"/>
        <rFont val="宋体"/>
        <charset val="134"/>
      </rPr>
      <t>（公共配套）</t>
    </r>
  </si>
  <si>
    <r>
      <rPr>
        <sz val="10"/>
        <color rgb="FF000000"/>
        <rFont val="宋体"/>
        <charset val="134"/>
      </rPr>
      <t>精装方案扩初设计完成经甲方确认后2个月内</t>
    </r>
    <r>
      <rPr>
        <b/>
        <sz val="10"/>
        <color rgb="FF000000"/>
        <rFont val="宋体"/>
        <charset val="134"/>
      </rPr>
      <t>（售楼处、样板间、架空层、公区除光厅及电梯轿厢部分）</t>
    </r>
  </si>
  <si>
    <r>
      <rPr>
        <sz val="10"/>
        <color rgb="FF000000"/>
        <rFont val="宋体"/>
        <charset val="134"/>
      </rPr>
      <t>精装方案扩初设计完成经甲方确认后2个月内</t>
    </r>
    <r>
      <rPr>
        <b/>
        <sz val="10"/>
        <color rgb="FF000000"/>
        <rFont val="宋体"/>
        <charset val="134"/>
      </rPr>
      <t>（光厅、电梯轿厢、批量精装）</t>
    </r>
  </si>
  <si>
    <r>
      <rPr>
        <sz val="10"/>
        <color rgb="FF000000"/>
        <rFont val="宋体"/>
        <charset val="134"/>
      </rPr>
      <t>精装方案扩初设计完成经甲方确认后2个月内</t>
    </r>
    <r>
      <rPr>
        <b/>
        <sz val="10"/>
        <color rgb="FF000000"/>
        <rFont val="宋体"/>
        <charset val="134"/>
      </rPr>
      <t>（公共配套）</t>
    </r>
  </si>
  <si>
    <r>
      <rPr>
        <sz val="10"/>
        <color rgb="FF000000"/>
        <rFont val="宋体"/>
        <charset val="134"/>
      </rPr>
      <t>精装施工图设计完成经甲方确认后2个月内（付款审批流程完成后）</t>
    </r>
    <r>
      <rPr>
        <b/>
        <sz val="10"/>
        <color rgb="FF000000"/>
        <rFont val="宋体"/>
        <charset val="134"/>
      </rPr>
      <t>（售楼处、样板间、架空层、公区除光厅及电梯轿厢部分）</t>
    </r>
  </si>
  <si>
    <r>
      <rPr>
        <sz val="10"/>
        <color rgb="FF000000"/>
        <rFont val="宋体"/>
        <charset val="134"/>
      </rPr>
      <t>精装施工图设计完成经甲方确认后2个月内（付款审批流程完成后）</t>
    </r>
    <r>
      <rPr>
        <b/>
        <sz val="10"/>
        <color rgb="FF000000"/>
        <rFont val="宋体"/>
        <charset val="134"/>
      </rPr>
      <t>（批量精装）</t>
    </r>
  </si>
  <si>
    <r>
      <rPr>
        <sz val="10"/>
        <color rgb="FF000000"/>
        <rFont val="宋体"/>
        <charset val="134"/>
      </rPr>
      <t>精装修竣工验收合格并经甲方确认后2个月内（付款审批流程完成后）</t>
    </r>
    <r>
      <rPr>
        <b/>
        <sz val="10"/>
        <color rgb="FF000000"/>
        <rFont val="宋体"/>
        <charset val="134"/>
      </rPr>
      <t>（矩阵售楼处、样板间、公区）</t>
    </r>
  </si>
  <si>
    <t>精装修竣工验收合格并经甲方确认后2个月内（付款审批流程完成后）</t>
  </si>
  <si>
    <t>西派玺樾小区项目（推广名：西派玺悦项目）
建设工程设计总包管理服务合同
（BIM部分）</t>
  </si>
  <si>
    <t>地上139000㎡；地下57000㎡</t>
  </si>
  <si>
    <t>多维8万/项；地上建筑结构建模2元/㎡；地上机电建模2元/㎡；地下建模管综7元/㎡</t>
  </si>
  <si>
    <t>合同签订并提交BIM多维方案汇报成果，经过甲方确认后2个月内（付款审批流程完成后）</t>
  </si>
  <si>
    <t>BIM中心归还项目管理中心196697.31产值，还欠153302.69，面积结算金额减少4972.85</t>
  </si>
  <si>
    <t>提交地下车库及地下室BIM模型且经过甲方确认后2个月内（付款审批流程完成后）</t>
  </si>
  <si>
    <t>乙方根据甲方优化后的施工图纸提交BIM咨询优化报告、完成BIM咨询范围的交底工作且经过甲方确认后2个月内（付款审批流程完成后）</t>
  </si>
  <si>
    <t>西派玺樾小区项目（推广名：西派玺悦项目）
建设工程设计总包管理服务合同
（设计咨询部分）</t>
  </si>
  <si>
    <t>总建面197900㎡</t>
  </si>
  <si>
    <t>全过程设计咨询4元/㎡</t>
  </si>
  <si>
    <t>合同签订且乙方开展设计咨询工作并提供设计咨询优化意见且经甲方确认后2个月内（付款审批流程完成后）</t>
  </si>
  <si>
    <t>本项目取得《建设工程规划许可证》，提交方案至报规阶段设计咨询报告且经甲方确认后2个月内（付款审批流程完成后）</t>
  </si>
  <si>
    <t>本项目取得《施工图审查合格书》，提交施工图阶段设计咨询报告及设计缺陷审查要点总结且经甲方确认后2个月内（付款审批流程完成后）</t>
  </si>
  <si>
    <t>面积结算，金额减少9810.98</t>
  </si>
  <si>
    <t>提交最终版设计咨询总结报告且经甲方确认，本项办理完成结算后2个月内（付款审批流程完成后）</t>
  </si>
  <si>
    <t>西派玺樾小区项目（推广名：西派玺悦项目）
建设工程设计总包管理服务合同
（精审部分）</t>
  </si>
  <si>
    <t>合同签订且乙方开展精细化审查工作并提供精细化审查意见且经甲方确认后2个月内（付款审批流程完成后）</t>
  </si>
  <si>
    <t>本项目取得《施工图审查合格书》，提交施工图精审报告且经甲方确认2个月内（付款审批流程完成后）</t>
  </si>
  <si>
    <t>提交最终版精细化审查总结报告且经甲方确认，本项办理完成结算后2个月内（付款审批流程完成后）</t>
  </si>
  <si>
    <t>西安井上村DK9地块项目（西派天麓）语</t>
  </si>
  <si>
    <t>西派天麓项目
建设工程设计总包管理服务合同
（建筑方案部分）</t>
  </si>
  <si>
    <t>CRCCRE-SJ-XM-2024-018</t>
  </si>
  <si>
    <t>设计总包
（方案外委）</t>
  </si>
  <si>
    <t>西安景悦房地产开发有限公司</t>
  </si>
  <si>
    <t>高层62487.97㎡；配套公建4711.97㎡；地库25091.08㎡</t>
  </si>
  <si>
    <t>西派天麓项目
建设工程设计总包管理服务合同
（景观部分）</t>
  </si>
  <si>
    <t>设计总包
（景观外委）</t>
  </si>
  <si>
    <t>大区20600㎡</t>
  </si>
  <si>
    <t>45元/㎡</t>
  </si>
  <si>
    <t>西派天麓项目
建设工程设计总包管理服务合同
（精装部分）</t>
  </si>
  <si>
    <t>设计总包
（精装外委）
展示区、公区部分</t>
  </si>
  <si>
    <t>售楼处改造196.82㎡；样板间231.78㎡；公区大堂创新471.80㎡；公区标准层86.20㎡；公区大堂复制350.61㎡；公区套图20.25㎡；地下光厅140.73㎡；电梯轿厢1个</t>
  </si>
  <si>
    <t>售楼处改造450元/㎡；样板间800元/㎡；公区大堂创新450元/㎡；公区标准层280元/㎡；公区大堂复制200元/㎡；公区套图130元/㎡；地下光厅160元/㎡；电梯轿厢5000元/个</t>
  </si>
  <si>
    <t>精装概念设计完成经甲方确认后2个月内（付款审批流程完成后）</t>
  </si>
  <si>
    <t>精装方案扩初设计完成经甲方确认后2个月内（付款审批流程完成后）</t>
  </si>
  <si>
    <t>精装施工图设计完成经甲方确认后2个月内（付款审批流程完成后）</t>
  </si>
  <si>
    <r>
      <rPr>
        <sz val="10"/>
        <color rgb="FF000000"/>
        <rFont val="宋体"/>
        <charset val="134"/>
      </rPr>
      <t>精装修竣工验收合格并经甲方确认后2个月内（付款审批流程完成后）</t>
    </r>
    <r>
      <rPr>
        <b/>
        <sz val="10"/>
        <color rgb="FF000000"/>
        <rFont val="宋体"/>
        <charset val="134"/>
      </rPr>
      <t>售楼处、样板间部分</t>
    </r>
  </si>
  <si>
    <r>
      <rPr>
        <sz val="10"/>
        <color rgb="FF000000"/>
        <rFont val="宋体"/>
        <charset val="134"/>
      </rPr>
      <t>精装修竣工验收合格并经甲方确认后2个月内（付款审批流程完成后）</t>
    </r>
    <r>
      <rPr>
        <b/>
        <sz val="10"/>
        <color rgb="FF000000"/>
        <rFont val="宋体"/>
        <charset val="134"/>
      </rPr>
      <t>公区部分</t>
    </r>
  </si>
  <si>
    <t>设计总包
（精装外委）
配套公建部分</t>
  </si>
  <si>
    <t>配套公建2815㎡</t>
  </si>
  <si>
    <t>配套公建80元/㎡</t>
  </si>
  <si>
    <t>西派天麓项目
建设工程设计总包管理服务合同
（BIM部分）</t>
  </si>
  <si>
    <t>设计总包
（自揽BIM部分）</t>
  </si>
  <si>
    <t>地上67199.94㎡；地下25091.08㎡</t>
  </si>
  <si>
    <t>地上建模4元/㎡（仅典型楼栋）；地下管综7元/㎡；多维汇报8万元/项</t>
  </si>
  <si>
    <t>西派天麓项目
建设工程设计总包管理服务合同
（咨询部分）</t>
  </si>
  <si>
    <t>设计总包
（自揽咨询部分）</t>
  </si>
  <si>
    <t>92291.02㎡</t>
  </si>
  <si>
    <t>本项目取得《施工图审查合格书》，提交施工图阶段设计咨询报告且经甲方确认后2个月内（付款审批流程完成后）</t>
  </si>
  <si>
    <t>西派天麓项目
建设工程设计总包管理服务合同
（精审部分）</t>
  </si>
  <si>
    <t>设计总包
（自揽精审）</t>
  </si>
  <si>
    <t>西安中国铁建·语澜溪项目</t>
  </si>
  <si>
    <t>中国铁建·语澜溪项目
建设工程设计总包管理服务合同
（建筑方案部分）</t>
  </si>
  <si>
    <t>CRCCRE-SJ-XM-2024-019</t>
  </si>
  <si>
    <t>西安国际港务区港新房地产开发有限公司</t>
  </si>
  <si>
    <t>总建面153961.00㎡其中高层110996.00㎡；配套4633.00㎡；地下38332.00㎡</t>
  </si>
  <si>
    <t>高层18.5元/㎡；配套31元/㎡；地下7.5元/㎡</t>
  </si>
  <si>
    <t>现金</t>
  </si>
  <si>
    <t>中国铁建·语澜溪项目
建设工程设计总包管理服务合同
（景观部分）</t>
  </si>
  <si>
    <t>展示区6000㎡；大区33000㎡；红线外1100㎡</t>
  </si>
  <si>
    <t>展示区32元/㎡；大区28元/㎡；红线外14元/㎡</t>
  </si>
  <si>
    <t>中国铁建·语澜溪项目
建设工程设计总包管理服务合同
（精装部分）</t>
  </si>
  <si>
    <t>售楼处547.00㎡；样板间334.80㎡；架空层206.30㎡；咖啡馆200㎡；架空层（复制）588.70㎡；公区大堂创新135.20㎡；公区大堂复制382.07㎡；公区大堂套图803.84㎡；公区标准层创新15.20㎡；公区标准层复制18.70㎡；标准层套图54.40㎡；光厅复制123.07㎡；光厅套图142.92㎡；配套3495.15㎡</t>
  </si>
  <si>
    <t>售楼处1000元/㎡；样板间1250元/㎡；架空层500元/㎡；咖啡馆600元/㎡；架空层（复制）180元/㎡；公区大堂创新420元/㎡；公区大堂复制290元/㎡；公区大堂套图200元/㎡；公区标准层创新360元/㎡；公区标准层复制270元/㎡；标准层套图150元/㎡；光厅复制180元/㎡；光厅套图120元/㎡；配套80元/㎡</t>
  </si>
  <si>
    <r>
      <rPr>
        <sz val="10"/>
        <color rgb="FF000000"/>
        <rFont val="宋体"/>
        <charset val="134"/>
      </rPr>
      <t>合同签订并提交第一版概念性方案后2个月内（付款审批流程完成后）</t>
    </r>
    <r>
      <rPr>
        <b/>
        <sz val="10"/>
        <color rgb="FF000000"/>
        <rFont val="宋体"/>
        <charset val="134"/>
      </rPr>
      <t>样板间、售楼处、咖啡馆</t>
    </r>
  </si>
  <si>
    <r>
      <rPr>
        <sz val="10"/>
        <color rgb="FF000000"/>
        <rFont val="宋体"/>
        <charset val="134"/>
      </rPr>
      <t>精装概念设计完成经甲方确认后2个月内（付款审批流程完成后）</t>
    </r>
    <r>
      <rPr>
        <b/>
        <sz val="10"/>
        <color rgb="FF000000"/>
        <rFont val="宋体"/>
        <charset val="134"/>
      </rPr>
      <t>样板间、售楼处、咖啡馆</t>
    </r>
  </si>
  <si>
    <r>
      <rPr>
        <sz val="10"/>
        <color rgb="FF000000"/>
        <rFont val="宋体"/>
        <charset val="134"/>
      </rPr>
      <t>精装方案扩初设计完成经甲方确认后2个月内（付款审批流程完成后）</t>
    </r>
    <r>
      <rPr>
        <b/>
        <sz val="10"/>
        <color rgb="FF000000"/>
        <rFont val="宋体"/>
        <charset val="134"/>
      </rPr>
      <t>样板间、售楼处、咖啡馆</t>
    </r>
  </si>
  <si>
    <r>
      <rPr>
        <sz val="10"/>
        <color rgb="FF000000"/>
        <rFont val="宋体"/>
        <charset val="134"/>
      </rPr>
      <t>精装施工图设计完成经甲方确认后2个月内（付款审批流程完成后）</t>
    </r>
    <r>
      <rPr>
        <b/>
        <sz val="10"/>
        <color rgb="FF000000"/>
        <rFont val="宋体"/>
        <charset val="134"/>
      </rPr>
      <t>样板间、售楼处、咖啡馆</t>
    </r>
  </si>
  <si>
    <t>中国铁建·语澜溪项目
建设工程设计总包管理服务合同
（BIM部分）</t>
  </si>
  <si>
    <t>设计总包
（自揽BIM）</t>
  </si>
  <si>
    <t>地上115629.00㎡；地下38332.00㎡</t>
  </si>
  <si>
    <t>地上4元/㎡；地下7元/㎡；多维8万</t>
  </si>
  <si>
    <t>中国铁建·语澜溪项目
建设工程设计总包管理服务合同
（咨询部分）</t>
  </si>
  <si>
    <t>设计总包
（自揽咨询）</t>
  </si>
  <si>
    <t>153961.00㎡</t>
  </si>
  <si>
    <t>全过程咨询4元/㎡</t>
  </si>
  <si>
    <t>中国铁建·语澜溪项目
建设工程设计总包管理服务合同
（精审部分）</t>
  </si>
  <si>
    <t>西安井上村DK8地块项目（商办）
（西派天峰中心）</t>
  </si>
  <si>
    <t>西派天峰中心项目建设工程设计总包管理服务合同
（景观部分）</t>
  </si>
  <si>
    <t>CECCRE-SJ-XM-2024-029</t>
  </si>
  <si>
    <t>CRCCRE-HZ-XAJX-XAQJJSCDKXM-KF.QQ.02.02-2024-001</t>
  </si>
  <si>
    <t>西安景信房地产开发有限公司</t>
  </si>
  <si>
    <t>大区18480.50㎡；红线外965㎡</t>
  </si>
  <si>
    <t>红线外25元/㎡，大区60元/㎡</t>
  </si>
  <si>
    <t>西派天峰中心项目建设工程设计总包管理服务合同
（精装部分）</t>
  </si>
  <si>
    <t>售楼处前场1152.09㎡</t>
  </si>
  <si>
    <t>售楼处前场900元/㎡</t>
  </si>
  <si>
    <t>西派天峰中心项目建设工程设计总包管理服务合同
（BIM部分）</t>
  </si>
  <si>
    <t>10元/㎡</t>
  </si>
  <si>
    <t>西派天峰中心项目建设工程设计总包管理服务合同
（咨询部分）</t>
  </si>
  <si>
    <t>114764.42㎡</t>
  </si>
  <si>
    <t>4元/㎡</t>
  </si>
  <si>
    <t>本项目取得《施工图审查合格书》，提交施工图阶段设计咨询报告且经甲方确认后2个月内（付款审批流程完成后）。</t>
  </si>
  <si>
    <t>西派天峰中心项目建设工程设计总包管理服务合同
（精审部分）</t>
  </si>
  <si>
    <t>西派天峰中心项目建设工程设计总包管理服务合同
（专项部分）</t>
  </si>
  <si>
    <t>设计总包
（交通专项外委部分）</t>
  </si>
  <si>
    <t>360000/项</t>
  </si>
  <si>
    <t>合同签订且乙方开展前期现场交通考察调研及项目交通分析预测工作后。</t>
  </si>
  <si>
    <t>乙方提交《项目总体回顾和方案设计阶段的交通评议和优化建议》汇报文件初稿且经甲方确认后2个月内。</t>
  </si>
  <si>
    <t>乙方提交《项目总体回顾和方案设计阶段的交通评议和优化建议》汇报文件终稿且经甲方确认后2个月内。</t>
  </si>
  <si>
    <t>乙方提交《项目施工图设计阶段对内交通审核》汇报文件且经甲方确认后2个月内。</t>
  </si>
  <si>
    <t>西安井上村DK8地块项目（西派天著）</t>
  </si>
  <si>
    <t>西派天著项目建设工程设计总包管理服务合同
（景观部分）</t>
  </si>
  <si>
    <t>CRCCRE-SJ-XM-2024-031</t>
  </si>
  <si>
    <t>CRCCRE-HZ-XAJX-XAQJJSCDKXM-KF.QQ.02.02-2024-002</t>
  </si>
  <si>
    <t>展示区6000㎡，大区53252.90㎡</t>
  </si>
  <si>
    <t>展示区60，大区45</t>
  </si>
  <si>
    <t>展示区扩初设计成果完成经甲方确认后2个月内（付款审批流程完成后）</t>
  </si>
  <si>
    <t>西派天著项目建设工程设计总包管理服务合同
（精装部分）</t>
  </si>
  <si>
    <t>样板间443㎡；配套公建7177.75㎡；首层大堂（创新）339.06㎡；首层大堂（复制）59.68㎡；首层大堂（套图）1934.37㎡；标准层（创新）19.35㎡；标准层（套图）37.71㎡；架空层（创新）736.20㎡；电梯轿厢1个；地下落客区光厅（复制）1107.56㎡；地下落客区光厅（套图）230.33㎡</t>
  </si>
  <si>
    <t>样板间1200；配套公建80；首层大堂（创新）420；首层大堂（复制）290；首层大堂（套图）200；标准层（创新）360；标准层（套图）150；架空层（创新）320；电梯轿厢6000；地下落客区光厅（复制）180；地下落客区光厅（套图）120</t>
  </si>
  <si>
    <r>
      <rPr>
        <sz val="10"/>
        <color rgb="FF000000"/>
        <rFont val="宋体"/>
        <charset val="134"/>
      </rPr>
      <t>合同签订并提交第一版概念性方案后2个月内（付款审批流程完成后）。</t>
    </r>
    <r>
      <rPr>
        <b/>
        <sz val="10"/>
        <color rgb="FF000000"/>
        <rFont val="宋体"/>
        <charset val="134"/>
      </rPr>
      <t>（样板间）</t>
    </r>
  </si>
  <si>
    <r>
      <rPr>
        <sz val="10"/>
        <color rgb="FF000000"/>
        <rFont val="宋体"/>
        <charset val="134"/>
      </rPr>
      <t>精装概念设计完成经甲方确认后2个月内（付款审批流程完成后）。</t>
    </r>
    <r>
      <rPr>
        <b/>
        <sz val="10"/>
        <color rgb="FF000000"/>
        <rFont val="宋体"/>
        <charset val="134"/>
      </rPr>
      <t>（样板间）</t>
    </r>
  </si>
  <si>
    <r>
      <rPr>
        <sz val="10"/>
        <color rgb="FF000000"/>
        <rFont val="宋体"/>
        <charset val="134"/>
      </rPr>
      <t>精装方案扩初设计完成经甲方确认后2个月内（付款审批流程完成后）。</t>
    </r>
    <r>
      <rPr>
        <b/>
        <sz val="10"/>
        <color rgb="FF000000"/>
        <rFont val="宋体"/>
        <charset val="134"/>
      </rPr>
      <t>（样板间）</t>
    </r>
  </si>
  <si>
    <r>
      <rPr>
        <sz val="10"/>
        <color rgb="FF000000"/>
        <rFont val="宋体"/>
        <charset val="134"/>
      </rPr>
      <t>精装施工图设计完成经甲方确认后2个月内（付款审批流程完成后）。</t>
    </r>
    <r>
      <rPr>
        <b/>
        <sz val="10"/>
        <color rgb="FF000000"/>
        <rFont val="宋体"/>
        <charset val="134"/>
      </rPr>
      <t>（样板间）</t>
    </r>
  </si>
  <si>
    <t>西派天著项目建设工程设计总包管理服务合同
（BIM部分）</t>
  </si>
  <si>
    <t>总建面273945.99㎡；地上202877.00㎡；地下71068.99㎡</t>
  </si>
  <si>
    <t>西派天著项目建设工程设计总包管理服务合同
（咨询部分）</t>
  </si>
  <si>
    <t>273945.99㎡</t>
  </si>
  <si>
    <t>西派天著项目建设工程设计总包管理服务合同
（精审部分）</t>
  </si>
  <si>
    <t>西安西派和樾</t>
  </si>
  <si>
    <t>西安西派和樾项目
BIM及施工图精审服务合同
（BIM部分）</t>
  </si>
  <si>
    <t>CRCCRE-SJ-XM-2024-037</t>
  </si>
  <si>
    <t>BIM地上+地下</t>
  </si>
  <si>
    <t>HT-2024-029354</t>
  </si>
  <si>
    <t>西安越隽恒铁房地产开发有限公司</t>
  </si>
  <si>
    <t>合同签订并提交BIM多维方案汇报成果，经过甲方确认后2个月内</t>
  </si>
  <si>
    <t>保理差值19524.82暂放在项目管理中心，最终结算完毕后补齐</t>
  </si>
  <si>
    <t>提交地上BIM建模成果，经甲方审核确认后2个月内</t>
  </si>
  <si>
    <t>西安西派和樾项目
BIM及施工图精审服务合同
（精审部分）</t>
  </si>
  <si>
    <t>精审</t>
  </si>
  <si>
    <t>187326.41㎡</t>
  </si>
  <si>
    <t>合同签订且乙方开展精细化审查工作并提供精细化审查意见且经甲方确认后2个月内</t>
  </si>
  <si>
    <t>本项目取得《施工图审查合格书》，提交施工图精审报告且经甲方确认2个月内</t>
  </si>
  <si>
    <t>提交最终版精细化审查总结报告且经甲方确认，本项办理完成结算后2个月内</t>
  </si>
  <si>
    <t>西安西派天峯中心项目(DK9商办)</t>
  </si>
  <si>
    <t>西派天峯中心项目
建设工程设计总包管理服务合同
（建筑方案部分）</t>
  </si>
  <si>
    <t>CRCCRE-SJ-XM-2024-049</t>
  </si>
  <si>
    <t>CRCCRE-HZ-XPTL-XAQJJSCDKXM-KF.QQ.02.02-2024-003</t>
  </si>
  <si>
    <t>商办：26496.21㎡；配套公建：1130.79㎡；地下：11072.71㎡</t>
  </si>
  <si>
    <t>商办30元/㎡；配套公建30元/㎡；地下8元/㎡</t>
  </si>
  <si>
    <t>合同签订并提交第一版概念性方案后，经甲方审核成果确认后2个月内</t>
  </si>
  <si>
    <t>方案调整、修改完成后，经甲方审核成果确认后2个月内</t>
  </si>
  <si>
    <t>方案通过政府相关审批（规划复函）后，经甲方审核成果确认后2个月内</t>
  </si>
  <si>
    <t>项目立面二次深化设计图纸完成，并取得《施工图审查合格书》后，经甲方审核成果确认后2个月内</t>
  </si>
  <si>
    <t>西派天峯中心项目
建设工程设计总包管理服务合同
（景观部分）</t>
  </si>
  <si>
    <t>景观大区面积7468.16㎡</t>
  </si>
  <si>
    <t>60元/㎡</t>
  </si>
  <si>
    <t>合同签订并提交第一版概念性方案经甲方审核成果确认后2个月内</t>
  </si>
  <si>
    <t>大区方案设计成果完成经甲方审核成果确认后2个月内</t>
  </si>
  <si>
    <t>大区扩初设计成果完成经甲方审核成果确认后2个月内</t>
  </si>
  <si>
    <t>大区施工图设计成果完成经甲方审核成果确认后2个月内</t>
  </si>
  <si>
    <t>西派天峯中心项目
建设工程设计总包管理服务合同
（精装部分）</t>
  </si>
  <si>
    <t>首层大堂创新454.60㎡；标准层创新355.67㎡；户内复制118.04㎡；配套公建59.73㎡；地下光厅复制24.2㎡；电梯轿厢2个</t>
  </si>
  <si>
    <t>首层大堂创新320；标准层创新280；户内复制280；配套公建80；地下光厅复制160；电梯轿厢5000</t>
  </si>
  <si>
    <t>精装概念设计完成经甲方审核成果确认后2个月内</t>
  </si>
  <si>
    <t>精装方案扩初设计完成经甲方审核成果确认后2个月内</t>
  </si>
  <si>
    <t>精装施工图设计完成经甲方审核成果确认后2个月内</t>
  </si>
  <si>
    <t>精装修竣工验收合格并经甲方审核成果确认后2个月内</t>
  </si>
  <si>
    <t>西派天峯中心项目
建设工程设计总包管理服务合同
（BIM部分）</t>
  </si>
  <si>
    <t>合同签订并提交BIM多维方案汇报成果，经过甲方审核成果确认后2个月内</t>
  </si>
  <si>
    <t>提交地下车库及地下室BIM模型且经过甲方审核成果确认后2个月内</t>
  </si>
  <si>
    <t>提交地上BIM建模成果，经甲方审核成果确认后2个月内</t>
  </si>
  <si>
    <t>乙方根据甲方优化后的施工图纸提交BIM咨询优化报告、完成BIM咨询范围的交底工作且经过甲方审核成果确认后2个月内</t>
  </si>
  <si>
    <t>西派天峯中心项目
建设工程设计总包管理服务合同
（咨询部分）</t>
  </si>
  <si>
    <t>合同签订且乙方开展设计咨询工作并提供设计咨询优化意见且经甲方审核成果确认后2个月内</t>
  </si>
  <si>
    <t>本项目取得《建设工程规划许可证》，提交方案至报规阶段设计咨询报告且经甲方审核成果确认后2个月内</t>
  </si>
  <si>
    <t>本项目取得《施工图审查合格书》，提交施工图阶段设计咨询报告且经甲方审核成果确认后2个月内</t>
  </si>
  <si>
    <t>后续少确认一分，四舍五入差值</t>
  </si>
  <si>
    <t>提交最终版设计咨询总结报告且经甲方审核成果确认，本项办理完成结算后2个月内</t>
  </si>
  <si>
    <t>西派天峯中心项目
建设工程设计总包管理服务合同
（精审部分）</t>
  </si>
  <si>
    <t>合同签订且乙方开展精细化审查工作并提供精细化审查意见且经甲方审核成果确认后2个月内</t>
  </si>
  <si>
    <t>本项目取得《施工图审查合格书》，提交施工图精审报告且经甲方审核成果确认2个月内</t>
  </si>
  <si>
    <t>提交最终版精细化审查总结报告且经甲方审核成果确认，本项办理完成结算后2个月内</t>
  </si>
  <si>
    <t>西安港务区46亩项目
（花语博悦）</t>
  </si>
  <si>
    <t>中国铁建博悦项目
建设工程设计总包管理服务合同
（建筑方案部分）</t>
  </si>
  <si>
    <t>CRCCRE-SJ-XM-2025-009</t>
  </si>
  <si>
    <t>CRCCRE-HZ-XAJG-XACBAT-QQ-2025-009</t>
  </si>
  <si>
    <t>高层71830.47；配套4567.02；地下22000</t>
  </si>
  <si>
    <t>合同签订并提交第一版概念性方案后，经甲方审核确认后2个月内</t>
  </si>
  <si>
    <t>方案调整、修改完成经甲方确认后，经甲方审核确认后2个月内</t>
  </si>
  <si>
    <t>方案通过政府相关审批（规划复函）后，经甲方审核确认后2个月内</t>
  </si>
  <si>
    <t>项目立面二次深化设计图纸完成，并取得《施工图审查合格书》后，经甲方审核确认后2个月内</t>
  </si>
  <si>
    <t>中国铁建博悦项目
建设工程设计总包管理服务合同
（景观部分）</t>
  </si>
  <si>
    <t>合同签订并提交第一版概念性方案经甲方审核确认后2个月内</t>
  </si>
  <si>
    <t>大区扩初设计成果完成经甲方确认后2个月内</t>
  </si>
  <si>
    <t>中国铁建博悦项目
建设工程设计总包管理服务合同
（精装部分）</t>
  </si>
  <si>
    <t>·</t>
  </si>
  <si>
    <t>精装修竣工验收合格并经甲方确认后2个月内</t>
  </si>
  <si>
    <t>中国铁建博悦项目
建设工程设计总包管理服务合同
（BIM部分）</t>
  </si>
  <si>
    <t>中国铁建博悦项目
建设工程设计总包管理服务合同
（咨询部分）</t>
  </si>
  <si>
    <t>本项目取得《施工图审查合格书》，提交施工图阶段设计咨询报告且经甲方确认后2个月内</t>
  </si>
  <si>
    <t>中国铁建博悦项目
建设工程设计总包管理服务合同
（精审部分）</t>
  </si>
  <si>
    <t>中国铁建博悦项目
建设工程设计总包管理服务合同
（智能化部分）</t>
  </si>
  <si>
    <t>设计总包
（智能化外委）</t>
  </si>
  <si>
    <t>合同签订，提交智能化设计方案经甲方确认后15个工作日内请款，次月30日前付款</t>
  </si>
  <si>
    <t>智能化设计工作完成，提交全套智慧化设计施工图并经过甲方确认，经相关机构审查通过（如有）后15个工作日内请款，次月30日前付款</t>
  </si>
  <si>
    <t>提交工程量清单，并配合完成智能化工程招标后15个工作日内请款，次月30日前付款</t>
  </si>
  <si>
    <t>整体竣工验收完成，办理完成结算后15个工作日内请款，次月30日前付款</t>
  </si>
  <si>
    <t>西安高新区31亩项目</t>
  </si>
  <si>
    <t>越秀地产中西部区域西安璞悦云萃小区项目BIM咨询服务合同</t>
  </si>
  <si>
    <t>CRCCRE-SJ-BIM-2025-003</t>
  </si>
  <si>
    <t>HT-2025-020890</t>
  </si>
  <si>
    <t>西安铁晟越合房地产开发有限公司</t>
  </si>
  <si>
    <t>4元/㎡，+2%保理贴息</t>
  </si>
  <si>
    <t>西安西派国际项目（明月府邸）（完成）</t>
  </si>
  <si>
    <t>CRCCRE-DC-XM-2020-111</t>
  </si>
  <si>
    <t>中国铁建明月府邸（推广名：西派国际）1号地块BIM技术全过程应用咨询服务合同</t>
  </si>
  <si>
    <t>CRCCRE-SJ-XM-2019-005</t>
  </si>
  <si>
    <t>甲：中国铁建房地产集团有限公司 乙：西安中铁京泰房地产开发有限公司</t>
  </si>
  <si>
    <t>BIM全过程按总建面146932.01㎡计算；建模总建面146932.01㎡；园区和小市政暂估20371㎡，户型精装暂估1000㎡</t>
  </si>
  <si>
    <t>第一部分：BIM全过程咨询20元/㎡（其中17元/㎡项目公司承担，3元/㎡为集团补贴）      BIM建模地下室5元/㎡，小市政6元/㎡，户型精装150元/㎡</t>
  </si>
  <si>
    <t>合同签订后，三十个工作日内.总建筑面积*约定单价（17元/㎡）*50%</t>
  </si>
  <si>
    <t>（17元/㎡）*50%</t>
  </si>
  <si>
    <t>资金紧张</t>
  </si>
  <si>
    <t>甲方7月报资金计划，走久其付款最晚9月15日之前到账</t>
  </si>
  <si>
    <t>丙方完成 BIM 实施准备阶段工作及施工图全专业BIM建模成果提交后，二十个工作日内，结算金额（17元/㎡）*50%</t>
  </si>
  <si>
    <t>丙方完成BIM施工方标准宣贯和BIM平台培训及施工阶段的 BIM 咨询工作，二十个工作日内。总建筑面积*约定单价（3元/㎡）*80%</t>
  </si>
  <si>
    <t>（3元/㎡）*80%</t>
  </si>
  <si>
    <t>丙方完成合同约定所有内容，经甲、乙方确认后，二十个工作日内</t>
  </si>
  <si>
    <t>（3元/㎡）*20%</t>
  </si>
  <si>
    <t>合同签订后，三十个工作日内，合同第二部分费用暂定总额50%</t>
  </si>
  <si>
    <t>丙方完成所有内容，经乙方确认后，二十个工作日内，剩余结算</t>
  </si>
  <si>
    <t>物业</t>
  </si>
  <si>
    <t>复兴路40号院职工家属区项目
(完成)</t>
  </si>
  <si>
    <t>CRCCRE-DC-XM-2020-006</t>
  </si>
  <si>
    <t>复兴路40号院职工家属区“三供一业”分离移交项目设计</t>
  </si>
  <si>
    <t>CRCCRE-SJ-GC-2020-002</t>
  </si>
  <si>
    <t>中铁建物业管理有限公司</t>
  </si>
  <si>
    <t>总投资额3%</t>
  </si>
  <si>
    <t>本工程无预付款，设计费用在完成全部设计图纸并交予发包人后15天内支付合同总额的30%</t>
  </si>
  <si>
    <t>在完成图纸外审无异议后15天内支付合同总额的60%</t>
  </si>
  <si>
    <t>预计11月份付款</t>
  </si>
  <si>
    <t>在竣工验收无异议后15天内支付合同总额的10%</t>
  </si>
  <si>
    <t>玉泉路65号和19号院小区改造工程
(完成)</t>
  </si>
  <si>
    <t>CRCCRE-DC-XM-2020-005</t>
  </si>
  <si>
    <t>石景山玉泉路65号院和海淀区西四环中路19号院职工家属区小区改造工程合同</t>
  </si>
  <si>
    <t>CRCCRE-SJ-GC-2020-003</t>
  </si>
  <si>
    <t>中铁建设：24272.53元
铁五院：8784.65元
股份公司：92942.82元</t>
  </si>
  <si>
    <t>结算金额：396648.44元</t>
  </si>
  <si>
    <t>梧桐苑项目小市政管道改造工程
(完成)</t>
  </si>
  <si>
    <t>建设工程设计合同(一)梧桐苑项目小市政管道改造工程</t>
  </si>
  <si>
    <t>CRCCRE-SJ-GC-2019-002</t>
  </si>
  <si>
    <t>单项目：42万元</t>
  </si>
  <si>
    <t>合同签订后15日内</t>
  </si>
  <si>
    <t>一次性请款、开票至100%</t>
  </si>
  <si>
    <t>施工图设计完成交付甲方并经甲方审查确认后15日内</t>
  </si>
  <si>
    <t>竣工验收后15日内</t>
  </si>
  <si>
    <t>太原武宿机场片区</t>
  </si>
  <si>
    <t>中铁房地产集团华中有限公司2020-2021年度强排方案设计战略合作协议</t>
  </si>
  <si>
    <t>CRCCRE-SJ-CZ-2021-002</t>
  </si>
  <si>
    <t>中铁房地产集团华中有限公司</t>
  </si>
  <si>
    <t>横河地块：1535306.50㎡
西温庄地块：
2685893.87㎡
策划定位报告：5074723.36㎡</t>
  </si>
  <si>
    <t>横河地块概念性规划及方案设计（简版）计容面积：1535306.50㎡
结算金额：34万</t>
  </si>
  <si>
    <t>西温庄地块概念性规划方案（简版）
计容面积：2685893.87㎡
结算金额：20万</t>
  </si>
  <si>
    <t>策划定位报告（简版）
计容面积：5074723.36㎡
结算金额：108万</t>
  </si>
  <si>
    <t>西派樘樾小区项目
（不审计）
（完成）</t>
  </si>
  <si>
    <t>CRCCRE-DC-XM-2022-024</t>
  </si>
  <si>
    <t>西派樘樾小区项目架空层及公区精装修
方案及施工图设计合同</t>
  </si>
  <si>
    <t>CRCCRE-SJ-XM-2022-031</t>
  </si>
  <si>
    <t>CRCCRE-HZ-XAGX-XAGXSLRJCMDK-KF.QQ.02.04-2022-002</t>
  </si>
  <si>
    <t>西安铁晟房地产开发有限公司</t>
  </si>
  <si>
    <t>预付款</t>
  </si>
  <si>
    <t>签约，并由甲方发出设计任务指令、乙方提供同等金额保函</t>
  </si>
  <si>
    <t>扣除1、40-52设计内容，扣除设计费469208元，最终合同总价：1245445元</t>
  </si>
  <si>
    <t>方案设计</t>
  </si>
  <si>
    <t>按甲方要求完成批量方案设计阶段最终成果并经甲方书面确认</t>
  </si>
  <si>
    <t>方案扩初</t>
  </si>
  <si>
    <t>甲方书面确认电气点位图</t>
  </si>
  <si>
    <t>完成主要平、立面图，材料说明及概算，完成方案扩初设计阶段最终成果</t>
  </si>
  <si>
    <t>甲方书面确认施工图、材料样板、变异户型设计最终成果</t>
  </si>
  <si>
    <t>产值收入外委</t>
  </si>
  <si>
    <t>施工现场服务、工程完成</t>
  </si>
  <si>
    <t>室内装修施工完成，并确认完成全部图纸变更单，工程完工并验收合格办理结算</t>
  </si>
  <si>
    <t>中铁十九局御水澜湾
（完成）</t>
  </si>
  <si>
    <t>中国铁建御水澜湾项目
建筑设计咨询服务合同</t>
  </si>
  <si>
    <t>CRCCRE-SJ-ZX-2018-008</t>
  </si>
  <si>
    <t>中铁十九局集团（沈阳）房地产开发有限公司</t>
  </si>
  <si>
    <t>合同签订后，甲方在提交全部设计资料给乙方后30个工作日内支付合同价款总额的20%给乙方</t>
  </si>
  <si>
    <t xml:space="preserve">已完成 </t>
  </si>
  <si>
    <t>乙方完成方案阶段的设计咨询工作并经甲方认可，甲方支付合同价款总额的30%给乙方</t>
  </si>
  <si>
    <t>乙方完成施工图阶段的设计咨询工作并经甲方认可，甲方支付合同价款总额的50%给乙方</t>
  </si>
  <si>
    <t>7月已回款</t>
  </si>
  <si>
    <t>玉泉路项目</t>
  </si>
  <si>
    <t>石景山区玉泉西一路x-18160地块项目建筑设计咨询服务合同</t>
  </si>
  <si>
    <t>CRCCRE-SJ-ZX-2018-004</t>
  </si>
  <si>
    <t>北京中实置业有限公司</t>
  </si>
  <si>
    <t>支付 20％为本合同预付款</t>
  </si>
  <si>
    <t>扣除招标代理费：9027元
结算金额：659655元</t>
  </si>
  <si>
    <t>中车·国际广场三期项目
（完成）</t>
  </si>
  <si>
    <t>CRCCRE-DC-XM-2020-053</t>
  </si>
  <si>
    <t>BIM建模管综优化设计委托合同</t>
  </si>
  <si>
    <t>CRCCRE-SJ-BIM-2020-005</t>
  </si>
  <si>
    <t>中车置业（太原）有限公司</t>
  </si>
  <si>
    <t>地下室及地库按用地面积54525.68㎡；园区小市政按地下室建筑面积70898.89㎡</t>
  </si>
  <si>
    <t>BIM单点应用BIM建模地下室：7.2元/㎡         市政：8.5元/㎡</t>
  </si>
  <si>
    <t>合同签订后，30个工作日内</t>
  </si>
  <si>
    <t>乙方提交第一版BIM模型后，经甲方书面确认后，30个工作日内</t>
  </si>
  <si>
    <t>乙方配合施工单位完成的地下室BIM深化工作，经甲方书面确认后，30个工作日内</t>
  </si>
  <si>
    <t>温州未来社区精装项目</t>
  </si>
  <si>
    <t>CRCCRE-DC-XM-2020-088</t>
  </si>
  <si>
    <t>温州市核心片区广化单元黄龙商贸城街坊一期C-15地块批量户型精装及公共区域精装设计合同</t>
  </si>
  <si>
    <t>CRCCRE-SJ-GC-2020-010</t>
  </si>
  <si>
    <t>CRCCUD-WZJO-QQ-2020-0032</t>
  </si>
  <si>
    <t>温州京瓯城市开发有限公司</t>
  </si>
  <si>
    <t>综合单价：273.16元/㎡</t>
  </si>
  <si>
    <t>合同签署生效之日起自乙方完成扩初设计之日起且经甲方审核确认后30个工作日内</t>
  </si>
  <si>
    <t>自乙方完成施工图设计之日起 且经甲方审核确认后30个工作日内</t>
  </si>
  <si>
    <t>装修图纸会审且经甲方审核确认后30个工作日内</t>
  </si>
  <si>
    <t>自甲方装修工程全部完成之日起经甲方审核确认后 30 个工作日内</t>
  </si>
  <si>
    <t>商业</t>
  </si>
  <si>
    <t>天津榆关道项目</t>
  </si>
  <si>
    <t>CRCCRE-DC-XM-2020-057</t>
  </si>
  <si>
    <t>天津市河北区榆关道地块项目工程设计服务合同</t>
  </si>
  <si>
    <t>CRCCRE-SJ-CZ-2019-016</t>
  </si>
  <si>
    <t>策划+方案+施工图</t>
  </si>
  <si>
    <t>CRCCRE-SY-XTZY-TJSZGLYGDXM-KF.QQ.02.01-2019-002</t>
  </si>
  <si>
    <t>中铁房地产兴泰（天津）置业有限公司</t>
  </si>
  <si>
    <t>策划：20万/项目
公建方案45元/平米、公建施工图40元/平米</t>
  </si>
  <si>
    <t>深度策划定位完成经过甲方认可并提交策划报告后</t>
  </si>
  <si>
    <t>方案调整、修改并通过政府审查（网上公示）</t>
  </si>
  <si>
    <t>最终扩初设计与咨询取得政府相关部门审批（取得规划许可证）</t>
  </si>
  <si>
    <t>施工图审查完成并审查合格后</t>
  </si>
  <si>
    <t>施工配合、竣工验收完成后</t>
  </si>
  <si>
    <t>天津市河北区榆关道地块项目工程设计服务合同补充协议（一）</t>
  </si>
  <si>
    <t>CRCCRE-SJ-CZ-2019-016-B1</t>
  </si>
  <si>
    <t>CRCCRE-SY-XTZY-TJSZGLYGDXM-KF.QQ.02.01-2019-002-B1</t>
  </si>
  <si>
    <t>本补充协议签订生效后30个工作日内支付</t>
  </si>
  <si>
    <t>按甲方要求提交本补充协议全部设计成果并经甲方审核通过（甲方同意在收到乙方提交的成果文件后7日内审核通过或提出意见，否则视为乙方提交的成果文件得到了甲方的审核通过）后30个工作日支付</t>
  </si>
  <si>
    <t>尾款随原合同第8条第2款序号4节点支付（即：最终扩初设计与咨询取得政府相关部门审批（取得规划许可证）后30个工作日内支付）</t>
  </si>
  <si>
    <t>天津诗景软装（完成）</t>
  </si>
  <si>
    <t>天津诗景广场公寓楼样板间室内软装设计及配饰工程管理服务合同</t>
  </si>
  <si>
    <t>CRCCRE-SJ-CZ-2019-006</t>
  </si>
  <si>
    <t>软装管理</t>
  </si>
  <si>
    <t>中铁房地产集团商业地产开发管理有限公司</t>
  </si>
  <si>
    <t>软装(含采购摆场)
4300/㎡</t>
  </si>
  <si>
    <t>创作中心：1450000</t>
  </si>
  <si>
    <t>软装方案设计得到甲方认可后7个工作日内支付</t>
  </si>
  <si>
    <t>配置清单经甲方确认后，摆场工作开展前3个工作日内支付</t>
  </si>
  <si>
    <t>汇票，未承兑</t>
  </si>
  <si>
    <t>现场安装及摆场完成工作完成并经甲方验收后7个工作日内支付。</t>
  </si>
  <si>
    <t>开票至100%</t>
  </si>
  <si>
    <t>5月底请款</t>
  </si>
  <si>
    <t>验收完成后满一年支付。</t>
  </si>
  <si>
    <t>天津诗景广场公寓楼样板间室内软装设计及配饰工程管理服务合同（结算）补充协议</t>
  </si>
  <si>
    <t>CRCCRE-SJ-CZ-2019-006-B1</t>
  </si>
  <si>
    <t>项目管理中心：86000</t>
  </si>
  <si>
    <t>天津国际城1A、1B
（中止）</t>
  </si>
  <si>
    <t>中国铁建国际城1A、1B地块社区商业集合店设计咨询及精装修设计合同</t>
  </si>
  <si>
    <t>CRCCRE-SJ-CZ-2017-015</t>
  </si>
  <si>
    <t>精装管理</t>
  </si>
  <si>
    <t>精装面积980平米</t>
  </si>
  <si>
    <t>精装咨询-1</t>
  </si>
  <si>
    <t>精装修施工图设计完成并得到甲方认可后，5个工作日内请款,次月30日前支付。</t>
  </si>
  <si>
    <t>项目暂停，未达请款条件</t>
  </si>
  <si>
    <t>精装咨询-2</t>
  </si>
  <si>
    <t>室内精装修施工完成并通过甲方认可后，5个工作日内请款,次月30日前支付。</t>
  </si>
  <si>
    <t>精装设计-1</t>
  </si>
  <si>
    <t>概念设计得到甲方认可后，5个工作日内请款，次月30日前支付</t>
  </si>
  <si>
    <t>精装设计-2</t>
  </si>
  <si>
    <t>提交精装修施工图成果后5个工作日内请款，次月30日前支付</t>
  </si>
  <si>
    <t>精装设计-3</t>
  </si>
  <si>
    <t>室内施工完成后5个工作日内请款，次月30日前支付</t>
  </si>
  <si>
    <t>天津赵沽里</t>
  </si>
  <si>
    <t>金钟河大街南侧项目规划方案设计及工程设计委托管理服务合同</t>
  </si>
  <si>
    <t>CRCCRE-SJ-CZ-2018-050</t>
  </si>
  <si>
    <t>方案+咨询+施工图外委</t>
  </si>
  <si>
    <t>方案单价：20元/平米，施工图外委单价：28.5元/平米，咨询：5元/平米</t>
  </si>
  <si>
    <t>创作一室：
3420842.86</t>
  </si>
  <si>
    <t>签订合同后30日内支付</t>
  </si>
  <si>
    <t>1-3节点合并请款，并根据规划许可证面积调整合同额，规证面积为121629.6平米，合同额为6496532.29元</t>
  </si>
  <si>
    <t>取得工程规划许可证后30日内支付</t>
  </si>
  <si>
    <t>取得施工图审查合格证后30日内支付</t>
  </si>
  <si>
    <t>设计：施工图审查完成；咨询：报告待完成，未打印</t>
  </si>
  <si>
    <t>竣工验收合格后30日内支付</t>
  </si>
  <si>
    <t>合同额修正为6496532.29元</t>
  </si>
  <si>
    <t>竣工验收备案后30日内支付</t>
  </si>
  <si>
    <r>
      <rPr>
        <sz val="10"/>
        <color rgb="FF000000"/>
        <rFont val="宋体"/>
        <charset val="134"/>
      </rPr>
      <t>合同额修正为6496532.29元，增加天友晒图费48322.88元  
确认后改为</t>
    </r>
    <r>
      <rPr>
        <sz val="10"/>
        <color rgb="FF417FF9"/>
        <rFont val="宋体"/>
        <charset val="134"/>
      </rPr>
      <t>46128.45</t>
    </r>
    <r>
      <rPr>
        <sz val="10"/>
        <color rgb="FF000000"/>
        <rFont val="宋体"/>
        <charset val="134"/>
      </rPr>
      <t xml:space="preserve"> ，最终结算合同额</t>
    </r>
    <r>
      <rPr>
        <b/>
        <sz val="10"/>
        <color rgb="FFFF0000"/>
        <rFont val="宋体"/>
        <charset val="134"/>
      </rPr>
      <t>6542660.74</t>
    </r>
  </si>
  <si>
    <t>金钟河大街南侧项目规划方案设计及工程设计委托管理服务合同补充（一）</t>
  </si>
  <si>
    <t>CRCCRE-SJ-CZ-2018-050-B1</t>
  </si>
  <si>
    <t>施工图外委</t>
  </si>
  <si>
    <t>项目中心：80000</t>
  </si>
  <si>
    <t>补充合同（一）签订后，乙方按甲方要求提交全部设计成果并经甲方审核通过后，甲方于次月30日前向乙方支付</t>
  </si>
  <si>
    <t>商业公司可研</t>
  </si>
  <si>
    <t>概念规划设计服务框架协议（商业公司）</t>
  </si>
  <si>
    <t>CRCCRE-SJ-CZ-2018-038</t>
  </si>
  <si>
    <t>按照用地面积取费，10公顷以下为10万/项，10公顷以上为1万元/公顷，据实结算</t>
  </si>
  <si>
    <t>乙方应于每季度最后1个月统计本季度完成工作量，并于当月25日前，按甲方要求提交本季度各项目完成情况的相关资料（包括不限于台账、请款函等），甲方确认无误后将于次月底向乙方支付相应款项。</t>
  </si>
  <si>
    <t>合同到期，重新签订补充协议</t>
  </si>
  <si>
    <t>已过期</t>
  </si>
  <si>
    <t>天津赵沽里项目</t>
  </si>
  <si>
    <t>金钟河大街南侧项目
规划方案设计及工程设计委托管理服务合同补充（二）</t>
  </si>
  <si>
    <t>CRCCRE-SJ-CZ-2018-050-B2</t>
  </si>
  <si>
    <t>一次性支付，乙方就已完成的工作量有向甲方收取款项的权利。本补充合同（二）签订后且乙方按甲方要求提交全部设计成果并经甲方审核通过后，甲方于次月30日内向乙方支付本补充合同（二）设计费用的100%。</t>
  </si>
  <si>
    <t>金钟河大街南侧项目
规划方案设计及工程设计委托管理服务合同补充（三）</t>
  </si>
  <si>
    <t>CRCCRE-SJ-CZ-2018-050-B3</t>
  </si>
  <si>
    <t>一次性支付，合同签订后，乙方按甲方要求提交全部设计成果并经甲方审核通过后，甲方于次月30日内向乙方支付本补充协议设计费用的100%。</t>
  </si>
  <si>
    <t>商业公司可研补充协议（完成）</t>
  </si>
  <si>
    <t>概念规划设计服务框架协议-补充协议（商业公司）</t>
  </si>
  <si>
    <t>CRCCRE-SJ-CZ-2018-038-B1</t>
  </si>
  <si>
    <t>创作一室：150000</t>
  </si>
  <si>
    <t>怀来葡萄酒小镇地块项目10万元、福建龙岩项目20万元、成都都江堰青城山项目20万元</t>
  </si>
  <si>
    <t>20年续签</t>
  </si>
  <si>
    <t>创一：天津汪庄子项目10万、天津西青张家窝项目10万、天津自行车厂项目10万
创二：天津河东区金钟河大街4号地块10万、临沂市兰山区义堂镇中央大街10万</t>
  </si>
  <si>
    <t>中国铁建国际城3C、5B（暂停）</t>
  </si>
  <si>
    <t>中国铁建国际城（3C地块住宅、5B地块住宅）项目建筑设计咨询服务合同</t>
  </si>
  <si>
    <t>CRCCRE-SJ-ZX-2017-005</t>
  </si>
  <si>
    <t>中铁房地产集团商业地产管理有限公司</t>
  </si>
  <si>
    <t>全过程咨询，
7元/平米</t>
  </si>
  <si>
    <t>第1、2节点合并开票</t>
  </si>
  <si>
    <t>乙方完成方案阶段的设计咨询工作并经甲方认可</t>
  </si>
  <si>
    <t>乙方完成施工图阶段的设计咨询工作并经甲方认可</t>
  </si>
  <si>
    <t>咨询报告完成，已打印</t>
  </si>
  <si>
    <t>项目暂停，未达请款条件，支付困难</t>
  </si>
  <si>
    <t>华东</t>
  </si>
  <si>
    <t>舟山项目（不再跟进）</t>
  </si>
  <si>
    <t>舟山项目概念规划设计咨询合同</t>
  </si>
  <si>
    <t>CRCCRE-SJ-CZZX-2017-005</t>
  </si>
  <si>
    <t>中铁房地产集团华东有限公司</t>
  </si>
  <si>
    <t>合同签订后十日内</t>
  </si>
  <si>
    <t>设计成果经甲方书面确认合格15日内</t>
  </si>
  <si>
    <t>项目结束</t>
  </si>
  <si>
    <t>尾款不预支付</t>
  </si>
  <si>
    <t>嘉兴花语江南（完成）</t>
  </si>
  <si>
    <t>嘉兴市南湖区新兴街道博海路地块﹝2016南-009
地块﹞项目建设工程设计合同</t>
  </si>
  <si>
    <t>CRCCRE-SJ-CZZX-2017-002</t>
  </si>
  <si>
    <t>方案管理+咨询</t>
  </si>
  <si>
    <t>嘉兴京禾房地产开发有限公司</t>
  </si>
  <si>
    <t>我司与绿城为联合体，甲方各自付款，绿城高层方案设计费单价：60元/平米（含沿街商铺、泛会所）；管理费单价5元/平米，咨询费单价7元/平米</t>
  </si>
  <si>
    <t>合同签订后7日内</t>
  </si>
  <si>
    <t>概念规划经发包人认可后两周日内</t>
  </si>
  <si>
    <t>提交建筑方案成果后7日内</t>
  </si>
  <si>
    <t>节点3、4合
并开票</t>
  </si>
  <si>
    <t>建筑方案通过审批，或发包人签认并书面要求设计人进行下阶段工作后7日内</t>
  </si>
  <si>
    <t>提交初步设计成果后7日内</t>
  </si>
  <si>
    <t>初步设计通过审批，或发包人签认并书面要求设计人进行下阶段工作后7日内</t>
  </si>
  <si>
    <t>最终施工图完成并提交给发包人后七日内</t>
  </si>
  <si>
    <t>取得建筑施工图审查合格单后7日内（本阶段付款时，进行设计费结算）</t>
  </si>
  <si>
    <t>项目竣工验收盖章前10天内</t>
  </si>
  <si>
    <t>苏州工业园项目（苏州花语江南）</t>
  </si>
  <si>
    <t>苏州项目苏州工业园区DK20150005号地块项目方案设计及建筑设计咨询服务合同</t>
  </si>
  <si>
    <t>CRCCRE-SJ-CZZX-2017-007</t>
  </si>
  <si>
    <t>中铁房地产集团苏州置业有限公司</t>
  </si>
  <si>
    <t>外委方案：</t>
  </si>
  <si>
    <t>创作中心：3635680+7206756</t>
  </si>
  <si>
    <t>总图、典型单体（平、立、剖面图）设计完成并得到业主方书面确认函之日起5个工作日内支付</t>
  </si>
  <si>
    <t>节点2分次开票，第一次270万元分别于17年10月11和10月16日开票，第二次5576698元</t>
  </si>
  <si>
    <t>是否竣工验收</t>
  </si>
  <si>
    <t>江苏置业可研（完成）</t>
  </si>
  <si>
    <t>可研方案设计合同（华东江苏置业）</t>
  </si>
  <si>
    <t>CRCCRE-SJ-CZ-2017-013</t>
  </si>
  <si>
    <t>中铁建房地产集团江苏置业有限公司</t>
  </si>
  <si>
    <t>5万/个</t>
  </si>
  <si>
    <t>乙方的设计成果经甲方确认并签收后按2.1条支付流程一次性支付全部费用</t>
  </si>
  <si>
    <t>合同暂定9个项目，实际按11个结算。包括一室9个：连云港项目、南京浦口谢营地块（1号地块）项目、南京浦口谢营地块（3号地块）项目、南京雨花台南西营村城中村改造项目、江宁科建路地块项目、雨花圣戈班C1地块项目、岱山03号地块地块项目、南京桥林双峰路地块项目、南京雨花台区铁心桥街道龙西路冯韦项目；二室2个：江苏扬州069地块、江苏扬州N41-1-17B-02地块</t>
  </si>
  <si>
    <t>苏州拙政园项目（苏州拙政江南）</t>
  </si>
  <si>
    <t>苏州市姑苏区苏地2017-WG-47号地块
规划设计项目建设工程设计合同</t>
  </si>
  <si>
    <t>CRCCRE-SJ-CZ-2018-022</t>
  </si>
  <si>
    <t>苏州京园房地产投资有限公司</t>
  </si>
  <si>
    <t>我司与绿城为联合体，绿城做别墅设计，甲方各自付款</t>
  </si>
  <si>
    <t>设计合同签订后10日内支付</t>
  </si>
  <si>
    <t>方案主要平面、剖面获得甲方认可后10日内支付</t>
  </si>
  <si>
    <t>报建方案扩初二合一文件提交后10日内支付</t>
  </si>
  <si>
    <t>报建方案扩初二合一文件政府审批通过后10日内支付、或甲方要求进入下一阶段设计前</t>
  </si>
  <si>
    <t>2019年1月16日重开发票</t>
  </si>
  <si>
    <t>报建施工图文件提交后10日内支付</t>
  </si>
  <si>
    <t>报建施工图文件图审通过后10日内支付</t>
  </si>
  <si>
    <t>咨询报告已完成、已打印</t>
  </si>
  <si>
    <t>设计后期服务（竣工验收盖章前支付）</t>
  </si>
  <si>
    <t>2022年8月准备竣工验收，持续关注（咨询找董俊杰）</t>
  </si>
  <si>
    <t>调账</t>
  </si>
  <si>
    <t>宁波湾头8号地（宁波花语江湾）</t>
  </si>
  <si>
    <t>宁波市江北区湾头地区8号地块（JB05-02-34、JB05-04-19、JB05-04-23）项目方案设计及建筑设计工程管理合同</t>
  </si>
  <si>
    <t>CRCCRE-SJ-CZ-2018-012</t>
  </si>
  <si>
    <t>宁波京湾投资管理有限公司</t>
  </si>
  <si>
    <t>日清高层方案费33元/平米</t>
  </si>
  <si>
    <t>创作中心：4308177.20</t>
  </si>
  <si>
    <t>合同签订15个工作日内支付。</t>
  </si>
  <si>
    <t>总图、地下室图、典型单体（平、立、剖面图）方案深化设计完成并得到业主方书面确认函之日起15个工作日内支付。</t>
  </si>
  <si>
    <t>提供施工图纸优化建议、配合施工图修改完成并通过政府审查后（规划许可证）30个工作日内支付。</t>
  </si>
  <si>
    <t>按照规证面积修正，规证面积220464.29㎡修正后合同额为6902402.92元</t>
  </si>
  <si>
    <t>咨询完成，咨询报告待完成，未打印</t>
  </si>
  <si>
    <t>施工配合、竣工验收完成、结算完毕15个工作日内支付。</t>
  </si>
  <si>
    <t>实际开票金额及回款归创作所有</t>
  </si>
  <si>
    <t>宁波海曙气象路（宁波海语天下）</t>
  </si>
  <si>
    <t>宁波市海曙区气象路HS06-03-10a地块项目工程设计委托管理服务合同</t>
  </si>
  <si>
    <t>CRCCRE-SJ-CZ-2018-025</t>
  </si>
  <si>
    <t>宁波京海投资管理有限公司</t>
  </si>
  <si>
    <t>东南院高层方案设计费15元/平米，初设3.5元/平米</t>
  </si>
  <si>
    <t>创作中心：5772915.49</t>
  </si>
  <si>
    <t>咨询完成，
咨询报告待完成，未打印</t>
  </si>
  <si>
    <t>结算</t>
  </si>
  <si>
    <t>嘉兴经开项目（嘉兴江南国际城）（完成）</t>
  </si>
  <si>
    <t>中国铁建·嘉兴经开2017-30地块项目方案设计及建筑设计咨询服务合同</t>
  </si>
  <si>
    <t>CRCCRE-SJ-CZ-2018-020</t>
  </si>
  <si>
    <t>嘉兴经开房地产开发有限公司</t>
  </si>
  <si>
    <t>日清高层方案设计费33元/平米</t>
  </si>
  <si>
    <t>创作中心：7149415</t>
  </si>
  <si>
    <t>合同签订30个工作日内支付</t>
  </si>
  <si>
    <t>总图、典型单体（平、立、剖面图）设计完成并得到业主方书面确认函之日起30个工作日内支付</t>
  </si>
  <si>
    <t>方案调整、修改完成并通过政府审查后（规划复函）30个工作日内支付</t>
  </si>
  <si>
    <t>施工配合、竣工验收完成、结算完毕、乙方提供发票后的20个工作日内支付</t>
  </si>
  <si>
    <t>按照规证面积修正，规证面积209312.21㎡，修正后合同额为9651151.61元</t>
  </si>
  <si>
    <t>办理结算</t>
  </si>
  <si>
    <t>南京雨花项目（南京花语江南）（完结）</t>
  </si>
  <si>
    <t>南京市雨花台区赛虹桥街道南西营村2017G70地块建设工程委托设计管理服务合同</t>
  </si>
  <si>
    <t>CRCCRE-SJ-CZ-2018-013</t>
  </si>
  <si>
    <t>南京京瑞房地产投资有限公司</t>
  </si>
  <si>
    <t>东南院高层方案+施工图35元/平米，咨询7元+管理5元</t>
  </si>
  <si>
    <t>创作中心： 4410718.20</t>
  </si>
  <si>
    <t>合同签订15个工作日内</t>
  </si>
  <si>
    <t>总图、典型单体（平、立、剖面图）设计完成并得到业主方书面确认函之日起15个工作日内</t>
  </si>
  <si>
    <t>方案调整、修改完成并通过政府审查后（规划复函）15个工作日内</t>
  </si>
  <si>
    <t>三至五次50%合并请款开票</t>
  </si>
  <si>
    <t>最终扩初设计与咨询得到政府相关部门批准（取得规划许可证）15个工作日内；或甲方书面要求启动施工图设计与咨询之日起15个工作日内</t>
  </si>
  <si>
    <t>施工图完成并审查合格15 个工作日内</t>
  </si>
  <si>
    <t>施工配合、竣工验收完毕15个工作日内</t>
  </si>
  <si>
    <t>规证面积136754.91㎡本合同结算时对人防面积 (3845.88 m) 予以扣除。最终结算价为 6246724.41-280785.48=5965938.93元</t>
  </si>
  <si>
    <t>常州水投一号项目（常州花语江南）</t>
  </si>
  <si>
    <t>常州天宁区水投一号JZX20180801地块规划设计合同</t>
  </si>
  <si>
    <t>CRCCRE-SJ-CZ-2018-031</t>
  </si>
  <si>
    <t>CRCCRE-HD-SZZY-SZHYJN-KF.QQ.02.01-2018-003</t>
  </si>
  <si>
    <t>常州京瑞房地产开发有限公司</t>
  </si>
  <si>
    <t>我司与东南院为联合体，东南院高层方案15元/平米，甲方各自付款</t>
  </si>
  <si>
    <t>一至三次70%合并请款开票</t>
  </si>
  <si>
    <t>总图及单体概念方案设计完成并经认可后</t>
  </si>
  <si>
    <t>项目总图、建筑单专业扩初设计图纸完成，并取得政府规划方案审批通过，</t>
  </si>
  <si>
    <t>配合所有施工图完成，并通过常州市相关部门图审后</t>
  </si>
  <si>
    <t>咨询工作完成，咨询报告已完成、未打印</t>
  </si>
  <si>
    <t>配合施工完成，并经常州市相关部门验收工作后，发包人向设计人支付尾数设计费；</t>
  </si>
  <si>
    <t>按规证面积调整459983.99平米，合同额5519807.88</t>
  </si>
  <si>
    <t>截至2022年8月，未完成竣备，年底跟踪</t>
  </si>
  <si>
    <t>未按规证，按合同签订面积结算</t>
  </si>
  <si>
    <t>湖州德清项目（德清莫干山语）（完结）</t>
  </si>
  <si>
    <t>德清县依山路南侧（2017）535地块工程设计委托管理服务合同</t>
  </si>
  <si>
    <t>CRCCRE-SJ-CZ-2018-029</t>
  </si>
  <si>
    <t>德清京盛房地产开发有限公司</t>
  </si>
  <si>
    <t xml:space="preserve">创作中心：7657808.00 +3250000
</t>
  </si>
  <si>
    <t>总图、典型单体（平、立、剖面图）设计完成并得到甲方书面确认函之日起5个工作日内支付</t>
  </si>
  <si>
    <t>咨管-1</t>
  </si>
  <si>
    <t>咨管-2</t>
  </si>
  <si>
    <t>节点2按甲方要求分两次走，第一次20%
完成，剩余30%</t>
  </si>
  <si>
    <t>预计6月回款</t>
  </si>
  <si>
    <t>咨管-3</t>
  </si>
  <si>
    <t>咨询报告待完成，未打印</t>
  </si>
  <si>
    <t>咨询报告待完成，未打印18年12月25日提</t>
  </si>
  <si>
    <t>咨管-4</t>
  </si>
  <si>
    <t>景观-1</t>
  </si>
  <si>
    <t>景观-2</t>
  </si>
  <si>
    <t>展示区方案设计成果提交并经甲方确认</t>
  </si>
  <si>
    <t>景观2、3节点合并开票</t>
  </si>
  <si>
    <t>景观-3</t>
  </si>
  <si>
    <t>展示区初步设计成果提交并经甲方确认</t>
  </si>
  <si>
    <t>景观-4</t>
  </si>
  <si>
    <t>完成展示区施工图审图及现场配合</t>
  </si>
  <si>
    <t>景观3、4节点合并开票</t>
  </si>
  <si>
    <t>景观-5</t>
  </si>
  <si>
    <t>公共区方案设计成果提交并经甲方确认</t>
  </si>
  <si>
    <t>景观-6</t>
  </si>
  <si>
    <t>公共区初步设计成果提交并经甲方确认</t>
  </si>
  <si>
    <t>景观-7</t>
  </si>
  <si>
    <t>完成公共区施工图审图及现场配合</t>
  </si>
  <si>
    <t>上海奉贤西渡（完成）</t>
  </si>
  <si>
    <t>上海奉贤西渡建筑设计咨询服务合同</t>
  </si>
  <si>
    <t>CRCCRE-SJ-ZX-2017-003</t>
  </si>
  <si>
    <t>上海中铁京贤房地产有限公司</t>
  </si>
  <si>
    <t>全过程咨询，
5元/平米</t>
  </si>
  <si>
    <t>乙方完成方案阶段设计咨询工作并经甲方认可</t>
  </si>
  <si>
    <t>乙方完成初步设计阶段的设计咨询工作并经甲方认可</t>
  </si>
  <si>
    <t>2、3节点合并开票，根据规证面积调价</t>
  </si>
  <si>
    <t>中国铁建青秀澜湾建（完成）</t>
  </si>
  <si>
    <t>中国铁建青秀澜湾建筑设计咨询服务合同</t>
  </si>
  <si>
    <t>CRCCRE-SJ-ZX-2017-004</t>
  </si>
  <si>
    <t>中铁房地产集团宁波京平置业有限公司</t>
  </si>
  <si>
    <t>乙方完成合同项下全部设计咨询工作，并经甲方书面认可</t>
  </si>
  <si>
    <t>宁波象山（大目湾新城）（完成）</t>
  </si>
  <si>
    <t>大目湾新城23-02号地块建筑设计咨询服务合同</t>
  </si>
  <si>
    <t>CRCCRE-SJ-ZX-2017-010</t>
  </si>
  <si>
    <t>中铁房地产集团宁波京城投资有限公司</t>
  </si>
  <si>
    <t>7月底/8月初付款</t>
  </si>
  <si>
    <t>宁波湾头项目（宁波花语江湾）</t>
  </si>
  <si>
    <t>中国铁建·宁波江北区湾头商住地项目JB05-02-34、JB05-04-19、JB05-04-23地块标准户型精装建模、地下室全专业建模、地下室管综及净空优化BIM服务合同</t>
  </si>
  <si>
    <t>CRCCRE-SJ-BIM-2018-004</t>
  </si>
  <si>
    <t>精装建模单价150元/平米，面积：996平方米；地下建模+管综优化：7.5元/平米</t>
  </si>
  <si>
    <t>第一次确认35%产值，与合同节点金额不匹配,含节点1的20%+节点2的15%</t>
  </si>
  <si>
    <t>乙方完成地下室BIM模型及管综优化报告</t>
  </si>
  <si>
    <t>第二次确认30%产值，与合同节点金额不匹配，含节点2的25%+节点3的5%</t>
  </si>
  <si>
    <t>乙方完成标准层单元BIM精装修模型</t>
  </si>
  <si>
    <t>乙方配合完成施工阶段地下室的BIM模型修改，交付竣工模型</t>
  </si>
  <si>
    <t>建筑面积是分别为中：15724.90西30192.96    东25747.68，合计  71665.54</t>
  </si>
  <si>
    <t>嘉兴市南湖区新兴街道渤海路地块[2016南-009地块]项目地下室BIM管综优化服务合同</t>
  </si>
  <si>
    <t>CRCCRE-SJ-BIM-2017-005</t>
  </si>
  <si>
    <t>地下建模及优化：7.5元/平米</t>
  </si>
  <si>
    <t>第1、2节点60%合并开票</t>
  </si>
  <si>
    <t>完成BIM优化方案，南区地下室BIM模型及管综优化报告</t>
  </si>
  <si>
    <t>完成北区地下室BIM模型及管综优化报告</t>
  </si>
  <si>
    <t>南北区都给成果，祝肖斐，结算</t>
  </si>
  <si>
    <t>乙方配合完成施工图阶段的BIM模型修改，交付竣工模型</t>
  </si>
  <si>
    <t>中国铁建 嘉兴经开2017-30地块地下室BIM管综优化服务合同</t>
  </si>
  <si>
    <t>CRCCRE-SJ-BIM-2019-002</t>
  </si>
  <si>
    <t>嘉兴京开房地产开发有限公司</t>
  </si>
  <si>
    <t>地下管综建模及优化：7.5元/平米</t>
  </si>
  <si>
    <t>合同签订后，甲方再提交全部设计资料给乙方后</t>
  </si>
  <si>
    <t>80%合并请款开票到账362421元</t>
  </si>
  <si>
    <t>乙方完成BIM优化方案，地下室BIM模型及管综优化报告，经甲方认可</t>
  </si>
  <si>
    <t>乙方完成公区地下室BIM模型及管综优化报告，并经甲方认可</t>
  </si>
  <si>
    <t>按照规证面积修正，地下面积60403.58，单价7.5=453026.85元</t>
  </si>
  <si>
    <t>怀来地块项目</t>
  </si>
  <si>
    <t>怀来地块可研项目咨询顾问服务合同</t>
  </si>
  <si>
    <t>CRCCRE-SJ-CH-2018-006</t>
  </si>
  <si>
    <t>10万元/个</t>
  </si>
  <si>
    <t>乙方完成甲方最终认可的顾问服务报告，在甲方验收并作出书面确认后</t>
  </si>
  <si>
    <t>项目策划咨询顾问框架</t>
  </si>
  <si>
    <t>项目策划咨询顾问服务框架协议</t>
  </si>
  <si>
    <t>CRCCRE-SJ-CH-2018-016</t>
  </si>
  <si>
    <t>住宅类零基础可研报告6万元/个，商业类零基础可研报告10万元/个</t>
  </si>
  <si>
    <t xml:space="preserve">赵沽里项目4万、榆关道项目4万、天津河东区汪庄子地块项目6万、天津自行车厂地块项目6万；                          </t>
  </si>
  <si>
    <t>蓟州，成果</t>
  </si>
  <si>
    <t>蓟县远古水世界项目</t>
  </si>
  <si>
    <t>南京G15地块项目方案设计部分</t>
  </si>
  <si>
    <t>CRCCRE-DC-XM-2020-001</t>
  </si>
  <si>
    <t>南京江北新区NO.新区2019G15项目建设工程委托设计管理服务合同</t>
  </si>
  <si>
    <t>CRCCRE-SJ-XM-2020-004</t>
  </si>
  <si>
    <t>方案+方案报建配合外委+日照分析外委</t>
  </si>
  <si>
    <t>南京京盛房地产开发有限公司</t>
  </si>
  <si>
    <t>总建面222805.33（其中地上156650.85，地下66154.48）</t>
  </si>
  <si>
    <t>地上建筑方案：15.5元/平；地下建筑方案：12元/平（创一自揽综合单价12.28元/平米）</t>
  </si>
  <si>
    <t>创作一室：602261.51</t>
  </si>
  <si>
    <t>合同签订后15个工作日内</t>
  </si>
  <si>
    <r>
      <rPr>
        <sz val="10"/>
        <color rgb="FF000000"/>
        <rFont val="宋体"/>
        <charset val="134"/>
      </rPr>
      <t>100%合并请款开票，总建面调整为</t>
    </r>
    <r>
      <rPr>
        <b/>
        <sz val="10"/>
        <color rgb="FF000000"/>
        <rFont val="宋体"/>
        <charset val="134"/>
      </rPr>
      <t>221469.86</t>
    </r>
    <r>
      <rPr>
        <sz val="10"/>
        <color rgb="FF000000"/>
        <rFont val="宋体"/>
        <charset val="134"/>
      </rPr>
      <t>平米；合同额根据规证面积调整为</t>
    </r>
    <r>
      <rPr>
        <b/>
        <sz val="10"/>
        <color rgb="FF000000"/>
        <rFont val="宋体"/>
        <charset val="134"/>
      </rPr>
      <t>3376206.56元</t>
    </r>
  </si>
  <si>
    <t>规划方案调整、修改并通过规划公示之日起15个工作日内</t>
  </si>
  <si>
    <t>取得《规划许可证》之日起15个工作日内</t>
  </si>
  <si>
    <t>南京G15地块项目施工图设计部分</t>
  </si>
  <si>
    <t>222805.33（地上156650.85，地下人防10070.41，地下非人防56084.07）</t>
  </si>
  <si>
    <t>（外委）地上建筑施工图：20元/平；非人防地下室：18元/平；人防地下室：28元/平</t>
  </si>
  <si>
    <t>项目管理中心：4424501.74</t>
  </si>
  <si>
    <t>施工图-1</t>
  </si>
  <si>
    <t>合同签订之日起15个工作日内</t>
  </si>
  <si>
    <t>施工图-2</t>
  </si>
  <si>
    <t>初步设计成果通过相关政府部门审批通过，获取规证后15个工作日内</t>
  </si>
  <si>
    <t>施工图-3</t>
  </si>
  <si>
    <t>全部施工图设计成果完成并通过相关政府部门审批，并获取施工图审查合格证后15个工作日内</t>
  </si>
  <si>
    <t>施工图-4</t>
  </si>
  <si>
    <t>竣工验收后15个工作日内</t>
  </si>
  <si>
    <t>施工图-5</t>
  </si>
  <si>
    <t>总承包结算完毕后15个工作日内</t>
  </si>
  <si>
    <t>南京G15地块项目PC专项部分</t>
  </si>
  <si>
    <t>PC外委</t>
  </si>
  <si>
    <t>222805.33（地上156650.85）</t>
  </si>
  <si>
    <t>（外委）PC策划方案：12元/平（地上面积）；装配式面积奖励策划及上会：3元/平（地上面积）</t>
  </si>
  <si>
    <t>项目管理中心：2349762.75</t>
  </si>
  <si>
    <t>PC-1</t>
  </si>
  <si>
    <t>PC-2</t>
  </si>
  <si>
    <t>PC-3</t>
  </si>
  <si>
    <t>PC-4</t>
  </si>
  <si>
    <t>竣工验收后，设计人按照合同设计内容和责任约定，完成此专项全部设计、配合、现场服务配合工作后</t>
  </si>
  <si>
    <t>南京G15地块项目景观设计部分</t>
  </si>
  <si>
    <t>景观外委</t>
  </si>
  <si>
    <t>222805.33（景观面积67413.85）</t>
  </si>
  <si>
    <t>（外委）景观：25元/平（景观面积）</t>
  </si>
  <si>
    <t>项目管理中心：1685346.25</t>
  </si>
  <si>
    <t>完成示范区景观方案设计并提交成果后10个工作日内</t>
  </si>
  <si>
    <t>完成示范区景观施工图设计并提交成果后10个工作日内</t>
  </si>
  <si>
    <t>示范区竣工后10个工作日内</t>
  </si>
  <si>
    <t>完成大区景观概念设计并提交成果后10个工作日内</t>
  </si>
  <si>
    <t>完成大区景观方案设计并提交成果后10个工作日内</t>
  </si>
  <si>
    <t>完成大区景观扩初设计并提交成果后10个工作日内</t>
  </si>
  <si>
    <t>景观-8</t>
  </si>
  <si>
    <t>完成大区景观施工图设计并提交成果后10个工作日内</t>
  </si>
  <si>
    <t>预计22年1月份，请款找顾阳</t>
  </si>
  <si>
    <t>景观-9</t>
  </si>
  <si>
    <t>南京G15地块项目精装设计部分</t>
  </si>
  <si>
    <t>精装外委</t>
  </si>
  <si>
    <t>222805.33（售楼处1431.5，样板间357）</t>
  </si>
  <si>
    <t>（外委）售楼处精装：300元/平（售楼处面积）；样板间精装：400元/平（样板间面积）；公共区域及批量精准设计：566667元/项</t>
  </si>
  <si>
    <t>项目管理中心：1138917.00</t>
  </si>
  <si>
    <t>精装-1</t>
  </si>
  <si>
    <t>合同签订后10个工作日内</t>
  </si>
  <si>
    <t>精装-2</t>
  </si>
  <si>
    <t>完成方案设计并经甲方及政府部门书面审核通过后10个工作日内</t>
  </si>
  <si>
    <t>精装-3</t>
  </si>
  <si>
    <t>完成施工图扩初设计并经甲方及部门书面审核通过后10个工作日内</t>
  </si>
  <si>
    <t>精装-4</t>
  </si>
  <si>
    <t>完成施工图设计并经甲方及政府部门书面审核通过后10个工作日内</t>
  </si>
  <si>
    <t>精装-5</t>
  </si>
  <si>
    <t>南京G15地块项目专项部分</t>
  </si>
  <si>
    <t>专项</t>
  </si>
  <si>
    <t>222805.33（地上156650.85，地下66154.48）</t>
  </si>
  <si>
    <t>（外委）BIM：4.5元/平（总面积）</t>
  </si>
  <si>
    <t>项目管理中心：1002623.99</t>
  </si>
  <si>
    <t>此专项设计工作完成并经甲方确认后</t>
  </si>
  <si>
    <t>补创一济南土河东项目经理产值切分差额50478.73</t>
  </si>
  <si>
    <t>（外委）基坑支护设计：5元/平（地下面积）</t>
  </si>
  <si>
    <t>项目管理中心：330772.40</t>
  </si>
  <si>
    <t>基坑支护-1</t>
  </si>
  <si>
    <t>基坑支护-2</t>
  </si>
  <si>
    <t>（外委）绿色建筑二星：20万/项</t>
  </si>
  <si>
    <t>项目管理中心：200,000.00</t>
  </si>
  <si>
    <t>绿色建筑二星-1</t>
  </si>
  <si>
    <t>绿色建筑二星-2</t>
  </si>
  <si>
    <t>门窗栏杆深化：10万/项</t>
  </si>
  <si>
    <t>门窗栏杆深化-1</t>
  </si>
  <si>
    <t>门窗栏杆深化-2</t>
  </si>
  <si>
    <t>（外委）综合管网雨污水：0.5元/平（地上面积）</t>
  </si>
  <si>
    <t>项目管理中心：78325.44</t>
  </si>
  <si>
    <t>综合管网雨污水-1</t>
  </si>
  <si>
    <t>综合管网雨污水-2</t>
  </si>
  <si>
    <t xml:space="preserve">（外委）精装修二次机电：2元/平（地上面积） </t>
  </si>
  <si>
    <t>项目管理中心：313301.70</t>
  </si>
  <si>
    <t>精装修二次机电-1</t>
  </si>
  <si>
    <t>精装修二次机电-2</t>
  </si>
  <si>
    <t>外墙装饰：0.5元/平（地上面积）</t>
  </si>
  <si>
    <t>外墙装饰-1</t>
  </si>
  <si>
    <t>外墙装饰-2</t>
  </si>
  <si>
    <t>南京G15地块项目咨询部分</t>
  </si>
  <si>
    <t>咨询+项目管理</t>
  </si>
  <si>
    <t>咨询管理费：7元/平（咨询5元/平；管理2元/平）</t>
  </si>
  <si>
    <t>完成施工图阶段的设计咨询工作，向甲方提交优化成果之日起15个工作日内</t>
  </si>
  <si>
    <t>取得施工图审查合格书之日起15个工作日内</t>
  </si>
  <si>
    <t>南京G15地块项目补充协议（精装）</t>
  </si>
  <si>
    <t>南京江北新区NO.新区2019G15项目建设工程委托设计管理服务合同补充合同</t>
  </si>
  <si>
    <t>CRCCRE-SJ-XM-2020-004-B1</t>
  </si>
  <si>
    <t>项目管理中心:76000</t>
  </si>
  <si>
    <t>方案设计、深化，提交概念方案、方案效果图</t>
  </si>
  <si>
    <t>施工图完成，提交施工蓝图</t>
  </si>
  <si>
    <t>现场服务，竣工验收及结算</t>
  </si>
  <si>
    <t>南京G19项目（不审计）</t>
  </si>
  <si>
    <t>CRCCRE-DC-XM-2022-004</t>
  </si>
  <si>
    <t>南京市江北新区NO.新区2021G19地块项目 结构优化咨询劳务委外合同</t>
  </si>
  <si>
    <t>CRCCRE-SJ-ZX-2022-003</t>
  </si>
  <si>
    <t>中铁上海设计院集团有限公司南京设计院</t>
  </si>
  <si>
    <t>总价包干</t>
  </si>
  <si>
    <r>
      <rPr>
        <sz val="10"/>
        <color rgb="FF000000"/>
        <rFont val="宋体"/>
        <charset val="134"/>
        <scheme val="minor"/>
      </rPr>
      <t>合同签订后</t>
    </r>
    <r>
      <rPr>
        <sz val="12"/>
        <color rgb="FF000000"/>
        <rFont val="宋体"/>
        <charset val="134"/>
        <scheme val="minor"/>
      </rPr>
      <t>15个工作日内</t>
    </r>
  </si>
  <si>
    <t>按面积折算
住宅部分面积占比约16.3%，商业地块建筑面积约64.7%</t>
  </si>
  <si>
    <r>
      <rPr>
        <sz val="10"/>
        <color rgb="FF000000"/>
        <rFont val="宋体"/>
        <charset val="134"/>
        <scheme val="minor"/>
      </rPr>
      <t>乙方完成施工图阶段的设计咨询工作，向甲方提交优化成果（包括但不限于优化后的设计文件、设计咨询意见）之日起</t>
    </r>
    <r>
      <rPr>
        <sz val="12"/>
        <color rgb="FF000000"/>
        <rFont val="宋体"/>
        <charset val="134"/>
        <scheme val="minor"/>
      </rPr>
      <t>15个工作日内</t>
    </r>
  </si>
  <si>
    <t>按面积折算
住宅部分面积占比约16.3%，商业地块建筑面积月64.7%，</t>
  </si>
  <si>
    <t>银信，25年1月16日到期</t>
  </si>
  <si>
    <r>
      <rPr>
        <sz val="10"/>
        <color rgb="FF000000"/>
        <rFont val="宋体"/>
        <charset val="134"/>
        <scheme val="minor"/>
      </rPr>
      <t>取得施工图审查合格证书之日起</t>
    </r>
    <r>
      <rPr>
        <sz val="12"/>
        <color rgb="FF000000"/>
        <rFont val="宋体"/>
        <charset val="134"/>
        <scheme val="minor"/>
      </rPr>
      <t>15个工作日内</t>
    </r>
  </si>
  <si>
    <t>按面积折算
住宅部分面积占比约16.3%，商业地块建筑面积月64.7%</t>
  </si>
  <si>
    <r>
      <rPr>
        <sz val="10"/>
        <color rgb="FF000000"/>
        <rFont val="宋体"/>
        <charset val="134"/>
        <scheme val="minor"/>
      </rPr>
      <t>工程通过竣工验收，乙方按照本合同设计内容和乙方责任的约定，完成此专项全部设计、配合、现场服务配合工作后</t>
    </r>
    <r>
      <rPr>
        <sz val="12"/>
        <color rgb="FF000000"/>
        <rFont val="宋体"/>
        <charset val="134"/>
        <scheme val="minor"/>
      </rPr>
      <t>15个工作日内</t>
    </r>
  </si>
  <si>
    <t>可研项目方案设计合同（江苏事业部/南京公司）（完成）</t>
  </si>
  <si>
    <t>可研项目方案设计合同（江苏事业部/南京公司）</t>
  </si>
  <si>
    <t>CRCCRE-SJ-CZ-2021-001</t>
  </si>
  <si>
    <t>中铁房地产集团江苏置业有限公司</t>
  </si>
  <si>
    <t>深度一级：2万/个，深度二级：5万/个</t>
  </si>
  <si>
    <t>创作一室：140000</t>
  </si>
  <si>
    <t>本项目服务费用均以以下支付流程进行支付：乙方完成所有可研项目方案设计，并提交的设计成果经甲方确认后，支付已完成工作量的100%。</t>
  </si>
  <si>
    <t>南京建邺区河西21-1、2地块项目5万元；
南京江北区天浦路项目 5万元；南京栖霞区鲤鱼山路地块5万元；徐州华东机械厂地块D5万元；南京栖霞新港项目5万元；徐州雨润地块项目 2万元；南京江北新区项目2万元；南京G13\G14地块项目2万元；南京南部新城综合体项目2万元；徐州九里山中电子合作项目2万元</t>
  </si>
  <si>
    <t>南京雨花区圣戈班C4地块项目5万元；南京市石杨路北友谊河西地块项目5万元；南京江心洲梅子洲路以东、文泰街以北地块项目5万元；南京汉侯路以北、玉麟路以西地块项目5万元；南京江宁区锦岸路以西、映红路以北地块项目5万元；南京花雨区人居森林项目2万元；徐州彭祖大道北、徐贾快速路西地块项目2万元</t>
  </si>
  <si>
    <t>绍兴花语江南项目（完成）</t>
  </si>
  <si>
    <t>CRCCRE-DC-XM-2020-015</t>
  </si>
  <si>
    <t>绍兴越城区曲屯1号地块
BIM设计服务合同</t>
  </si>
  <si>
    <t>CRCCRE-SJ-BIM-2020-012</t>
  </si>
  <si>
    <t>绍兴京越房地产开发有限公司</t>
  </si>
  <si>
    <t>371138（地下94858.66，园区小市政107895.30）</t>
  </si>
  <si>
    <t>地下建模及管综优化7.5元/平；小市政6.0元/平</t>
  </si>
  <si>
    <t>BIM：465941.49</t>
  </si>
  <si>
    <t>合同签订后30日内</t>
  </si>
  <si>
    <t>乙方提交第一版地下室管线BIM模型后，30日内</t>
  </si>
  <si>
    <t>乙方提交地下室管线优化BIM模型及园区场地和小市政管线BIM管综优化模型及其优化报告后，30日内</t>
  </si>
  <si>
    <t>乙方配合甲方完成BIM优化工作后，30日内</t>
  </si>
  <si>
    <t>苏州中铁建WG-12号地块项目（完成）</t>
  </si>
  <si>
    <t>CRCCRE-DC-XM-2020-050</t>
  </si>
  <si>
    <t>相城高铁新城2020-WG-12号地块项目建筑设计咨询服务合同</t>
  </si>
  <si>
    <t>CRCCRE-SJ-ZX-2020-012</t>
  </si>
  <si>
    <t>苏州京万房地产开发有限公司</t>
  </si>
  <si>
    <t>176404.00平米</t>
  </si>
  <si>
    <t>全过程咨询7.0元/平</t>
  </si>
  <si>
    <t>合同签订后20日内</t>
  </si>
  <si>
    <t>乙方完成方案阶段的设计咨询工作，提交电子版《方案阶段设计咨询意见》或甲方取得建设工程规划许可证后，20个工作日内，双方根据建设工程规划许可证面积进行结算。</t>
  </si>
  <si>
    <t>乙方完成施工图阶段的设计咨询工作且向甲方提交优化成果或全专业施工图通过甲方委托的第三方审核，并取得施工图审查合格通知书后，20个工作日内。</t>
  </si>
  <si>
    <t>按规证面积结算金额减少4576.95元</t>
  </si>
  <si>
    <t>沪通事业部可研项目（上海）</t>
  </si>
  <si>
    <t>2021年项目可行性研究设计合作协议（沪通事业部）</t>
  </si>
  <si>
    <t>CRCCRE-SJ-CZ-2021-006</t>
  </si>
  <si>
    <t>5万元/个</t>
  </si>
  <si>
    <t>即第一次付款上报时间为2021年8月底，乙方应向甲方提供设计方案成果的书面确认清单与当期设计费等额的增值税发票等请款资料向甲方申请付款或办理结算</t>
  </si>
  <si>
    <r>
      <rPr>
        <sz val="10"/>
        <color rgb="FF000000"/>
        <rFont val="宋体"/>
        <charset val="134"/>
      </rPr>
      <t>上海松江佘山项目创一5万元、上海青浦区夏阳街道达慧路北侧项目</t>
    </r>
    <r>
      <rPr>
        <b/>
        <sz val="10"/>
        <color rgb="FF000000"/>
        <rFont val="宋体"/>
        <charset val="134"/>
      </rPr>
      <t>（咨询1.5+创一3.5万）</t>
    </r>
    <r>
      <rPr>
        <sz val="10"/>
        <color rgb="FF000000"/>
        <rFont val="宋体"/>
        <charset val="134"/>
      </rPr>
      <t>上海奉贤区金汇镇42-02区域地块项目创一5万、南通市胜利路西、观阳路南项目5创一万</t>
    </r>
  </si>
  <si>
    <t>第二次付款上报时间为2021年12月底，乙方应向甲方提供设计方案成果的书面确认清单与当期设计费等额的增值税发票等请款资料向甲方申请付款或办理结算</t>
  </si>
  <si>
    <r>
      <rPr>
        <b/>
        <sz val="10"/>
        <color rgb="FF000000"/>
        <rFont val="宋体"/>
        <charset val="134"/>
      </rPr>
      <t>创作一室30万</t>
    </r>
    <r>
      <rPr>
        <sz val="10"/>
        <color rgb="FF000000"/>
        <rFont val="宋体"/>
        <charset val="134"/>
      </rPr>
      <t>，每个项目按5万元结算：1、上海奉贤新城10 单元13-02地块；2、上海杨浦区定海社区 D2-2 地块项目；3、上海浦东新区高行镇 E01-06 地块项目；4、上海浦东新区川沙镇 D05C-13 地块项目；5、上海崇明陈家镇、金山枫泾、金山新城、青浦新城、徐汇康健、杨浦江浦社区等 7块地项目；6、上海 SJC-10027单元7块商业+8块住宅用地项目</t>
    </r>
  </si>
  <si>
    <t>上海青浦赵巷项目（上海花语江南）</t>
  </si>
  <si>
    <t>CRCCRE-DC-XM-2021-018</t>
  </si>
  <si>
    <t>上海市青浦区赵巷镇置旺路东侧H4-04地块普通商品房项目健康建筑建设工程委托设计管理服务合同</t>
  </si>
  <si>
    <t>CRCCRE-SJ-XM-2021-024</t>
  </si>
  <si>
    <t>方案+BIM+咨询+管理</t>
  </si>
  <si>
    <t>上海中铁京鑫房地产有限公司</t>
  </si>
  <si>
    <t>方案+管理费20.71；咨询4.2；BIM全过程及精装、管综建模14.5</t>
  </si>
  <si>
    <r>
      <rPr>
        <sz val="10"/>
        <color rgb="FF000000"/>
        <rFont val="宋体"/>
        <charset val="134"/>
      </rPr>
      <t>取得方案批复后</t>
    </r>
    <r>
      <rPr>
        <sz val="10"/>
        <color theme="1"/>
        <rFont val="宋体"/>
        <charset val="134"/>
      </rPr>
      <t>15个工作日内请款，次月30日前付款</t>
    </r>
  </si>
  <si>
    <r>
      <rPr>
        <sz val="10"/>
        <color rgb="FF000000"/>
        <rFont val="宋体"/>
        <charset val="134"/>
      </rPr>
      <t>取得审图合格证后</t>
    </r>
    <r>
      <rPr>
        <sz val="10"/>
        <color theme="1"/>
        <rFont val="宋体"/>
        <charset val="134"/>
      </rPr>
      <t>15个工作日内请款，次月30日前付款</t>
    </r>
  </si>
  <si>
    <r>
      <rPr>
        <sz val="10"/>
        <color rgb="FF000000"/>
        <rFont val="宋体"/>
        <charset val="134"/>
      </rPr>
      <t>完成精装、景观示范区方案汇报文本后</t>
    </r>
    <r>
      <rPr>
        <sz val="10"/>
        <color theme="1"/>
        <rFont val="宋体"/>
        <charset val="134"/>
      </rPr>
      <t>15个工作日内请款，次月30日前付款</t>
    </r>
  </si>
  <si>
    <t>合并确认产值、开发票</t>
  </si>
  <si>
    <r>
      <rPr>
        <sz val="10"/>
        <color rgb="FF000000"/>
        <rFont val="宋体"/>
        <charset val="134"/>
      </rPr>
      <t>完成施工图联合校审（BIM组、咨询组出具修改、优化意见，完成修改）后</t>
    </r>
    <r>
      <rPr>
        <sz val="10"/>
        <color theme="1"/>
        <rFont val="宋体"/>
        <charset val="134"/>
      </rPr>
      <t>15个工作日内请款，次月30日前付款</t>
    </r>
  </si>
  <si>
    <r>
      <rPr>
        <sz val="10"/>
        <color rgb="FF000000"/>
        <rFont val="宋体"/>
        <charset val="134"/>
      </rPr>
      <t>全部结构封顶后</t>
    </r>
    <r>
      <rPr>
        <sz val="10"/>
        <color theme="1"/>
        <rFont val="宋体"/>
        <charset val="134"/>
      </rPr>
      <t>15个工作日内请款，次月30日前付款</t>
    </r>
  </si>
  <si>
    <r>
      <rPr>
        <sz val="10"/>
        <color rgb="FF000000"/>
        <rFont val="宋体"/>
        <charset val="134"/>
      </rPr>
      <t>项目竣工验收后</t>
    </r>
    <r>
      <rPr>
        <sz val="10"/>
        <color theme="1"/>
        <rFont val="宋体"/>
        <charset val="134"/>
      </rPr>
      <t>15个工作日内请款，次月30日前付款</t>
    </r>
  </si>
  <si>
    <t>房山区长阳镇起步区6号地文化娱乐用地
项目办公及就餐区域精装修设计合同补充协议</t>
  </si>
  <si>
    <t>CRCCRE-SJ-GC-2021-005-B1</t>
  </si>
  <si>
    <t>CRCCRE-BF-BJZD-WY-QQ-2021-007-B1</t>
  </si>
  <si>
    <t>自甲方装修工程施工完成并经甲方认可后30日内。</t>
  </si>
  <si>
    <t>房山文娱物业公司(1F-3F)精装项目</t>
  </si>
  <si>
    <t>房山区长阳镇起步区6号地文化娱乐用地 项目南楼1-3层精装修设计合同</t>
  </si>
  <si>
    <t>CRCCRE-SJ-JZ-2024-012</t>
  </si>
  <si>
    <t>HT-CG.XZGL-BJZXCS-LHXM-2024014</t>
  </si>
  <si>
    <t>中铁建物业管理有限公司、中铁建物业管理有限公司北京分公司</t>
  </si>
  <si>
    <t>设计面积总计 3884.30 ㎡</t>
  </si>
  <si>
    <t>平面方案+施工图124.47元/平米；机电二次配合30元/平米，结构加固20000元</t>
  </si>
  <si>
    <t xml:space="preserve">1、乙方完成方案设计之日起且经甲方1及甲方2审核书面确认并在收到乙方提供的合法有效的增值税专用发票后30日内支付合同金额的30%。
</t>
  </si>
  <si>
    <t>甲方为两家公司，甲方1占比69%；甲方2占比31%即物业公司128340；物业北京57660
物业北京：工程1860+咨询12276+精装43524</t>
  </si>
  <si>
    <t>物业公司：工程4140+咨询27324+精装96876</t>
  </si>
  <si>
    <t xml:space="preserve">2、乙方完成施工图设计且经甲方1及甲方2审核书面确认并在收到乙方提供的合法有效的增值税专用发票后30日内支付合同金额的50%。
</t>
  </si>
  <si>
    <t>甲方为两家公司，甲方1占比69%；甲方2占比31%即物业公司213900；物业北京96100
物业北京：工程3100+咨询20460+精装72540</t>
  </si>
  <si>
    <t>物业公司：工程6900+咨询45540+精装161460</t>
  </si>
  <si>
    <t>3、乙方完成精装修施工配合工作，甲方1及甲方2完成内部验收工作并书面确认并在收到乙方提供的合法有效的增值税专用发票后30日内支付剩余尾款。</t>
  </si>
  <si>
    <t>物业北京：工程1240+咨询8184+精装29016</t>
  </si>
  <si>
    <t>物业公司：工程2760+咨询18216+精装64584</t>
  </si>
  <si>
    <t>投资公司</t>
  </si>
  <si>
    <t>北京房山文娱六层投资公司精装设计项目</t>
  </si>
  <si>
    <t>房山区长阳镇起步区6号地文化娱乐用地
项目南楼6层精装修设计合同</t>
  </si>
  <si>
    <t>CRCCRE-SJ-JZ-2024-010</t>
  </si>
  <si>
    <t>CRCCRE-TZ-XTXJ-TZ.ZHGL.12-2025-007</t>
  </si>
  <si>
    <t>北京新铁鑫建投资有限公司</t>
  </si>
  <si>
    <t>平面方案+施工图116元/平米；机电二次配合30元/平米</t>
  </si>
  <si>
    <t>乙方完成全部设计工作和精装修施工配合工作，乙方完成内部验收工作并确认后30日内，需向乙方支付合同全部费用。</t>
  </si>
  <si>
    <t>财务共享</t>
  </si>
  <si>
    <t>北京房山文娱四层南侧财务共享中心精装设计项目
（完成）</t>
  </si>
  <si>
    <t>房山区长阳镇起步区6号地文化娱乐用地
项目南楼4层南侧精装修设计合同</t>
  </si>
  <si>
    <t>CRCCRE-SJ-JZ-2024-011</t>
  </si>
  <si>
    <t>CRCCRE-CW-CWGX-GL.GLFW.05-2024-001</t>
  </si>
  <si>
    <t>中国铁建房地产集团有限公司北京同创共享会计服务中心</t>
  </si>
  <si>
    <r>
      <rPr>
        <sz val="10"/>
        <color rgb="FF000000"/>
        <rFont val="宋体"/>
        <charset val="134"/>
      </rPr>
      <t>乙方完成方案设计之日起且经甲方审核确认后</t>
    </r>
    <r>
      <rPr>
        <sz val="10.5"/>
        <color theme="1"/>
        <rFont val="仿宋_GB2312"/>
        <charset val="134"/>
      </rPr>
      <t>30</t>
    </r>
    <r>
      <rPr>
        <sz val="10.5"/>
        <color theme="1"/>
        <rFont val="宋体"/>
        <charset val="134"/>
        <scheme val="minor"/>
      </rPr>
      <t>日内。</t>
    </r>
  </si>
  <si>
    <r>
      <rPr>
        <sz val="10"/>
        <color rgb="FF000000"/>
        <rFont val="宋体"/>
        <charset val="134"/>
      </rPr>
      <t>乙方完成精装修施工配合工作，甲方完成内部验收工作并确认后</t>
    </r>
    <r>
      <rPr>
        <sz val="10.5"/>
        <color theme="1"/>
        <rFont val="仿宋_GB2312"/>
        <charset val="134"/>
      </rPr>
      <t>30</t>
    </r>
    <r>
      <rPr>
        <sz val="10.5"/>
        <color theme="1"/>
        <rFont val="宋体"/>
        <charset val="134"/>
        <scheme val="minor"/>
      </rPr>
      <t>日内，需向乙方支付剩余尾款。</t>
    </r>
  </si>
  <si>
    <t>温州未来社区BIM项目</t>
  </si>
  <si>
    <t>CRCCRE-DC-XM-2020-090</t>
  </si>
  <si>
    <t>温州市核心片区广化单元黄龙商贸城街坊一期地块建设项目BIM建模及管综优化服务合同</t>
  </si>
  <si>
    <t>CRCCRE-SJ-BIM-2021-006</t>
  </si>
  <si>
    <t>CRCCUD-WZJO-QQ-2021-0004</t>
  </si>
  <si>
    <t>合同面积：258415.97
结算面积：259601.29</t>
  </si>
  <si>
    <t xml:space="preserve">综合单价：8.4元/㎡
</t>
  </si>
  <si>
    <t>乙方提交第一版BIM模型后，经甲方书面确认后，30个工作日内，支付合同总价的30%</t>
  </si>
  <si>
    <t>住宅地下室：
C-04（51878.83）、C-09（31019.17）、C-15（58852.99）、C-13（30448.84）
全地块：C-02-1（87401.46）</t>
  </si>
  <si>
    <t>乙方提交所有成果，经甲方书面确认后，30个工作日内，支付合同总价的30%，即支付至合同总价的60%</t>
  </si>
  <si>
    <t>乙方配合施工单位完成的地下室BIM深化工作，经甲方书面确认后，30个工作日内，支付合同总价的40%，即支付至合同总价的100%</t>
  </si>
  <si>
    <t>温州未来社区BIM项目
（暂停）</t>
  </si>
  <si>
    <t>温州市核心片区广化单元黄龙商贸城街坊一期地块建设项目BIM建模及管综优化服务合同补充协议</t>
  </si>
  <si>
    <t>CRCCRE-SJ-BIM-2021-006-B1</t>
  </si>
  <si>
    <t>综合单价：8.4元/㎡</t>
  </si>
  <si>
    <t>C-02-01地块BIM模型构件信息添加、配合上传平台</t>
  </si>
  <si>
    <t>温州未来小学项目部</t>
  </si>
  <si>
    <t>CRCCRE-DC-XM-2022-023</t>
  </si>
  <si>
    <t>温州市核心片区广化单元黄龙商贸城一期C-14-2地块BIM咨询服务合同</t>
  </si>
  <si>
    <t>CRCCRE-SJ-BIM-2022-009</t>
  </si>
  <si>
    <t>CRCUD-WZJO-QQ-2022-0013</t>
  </si>
  <si>
    <t>石景山游乐园生活区服务设施改造工程设计</t>
  </si>
  <si>
    <t>CRCCRE-DC-XM-2022-005</t>
  </si>
  <si>
    <t>石景山游乐园生活区服务设施改造工程设计合同</t>
  </si>
  <si>
    <t>CRCCRE-SJ-BIM-2022-003</t>
  </si>
  <si>
    <t>北京石景山游乐园有限公司</t>
  </si>
  <si>
    <t>合同签订后，发包人在提交首批设计资料及文件给设计人后，三十个工作日内支付设计服务费的20%给设计人</t>
  </si>
  <si>
    <t>设计人提交第一版全专业改造设计图纸后，经发包人确认后在三十个工作日内发包人支付服务费的35%给设计人</t>
  </si>
  <si>
    <t>设计人提交最终版全专业改造设计图纸后，经发包人确认后在三十个工作日内发包人支付服务费的35%给设计人</t>
  </si>
  <si>
    <t>设计人完成配合服务阶段，三十个工作日内发包人支付服务费的10%给设计人</t>
  </si>
  <si>
    <t>公寓</t>
  </si>
  <si>
    <t>合肥青秀城19#楼精装修设计
（完成）</t>
  </si>
  <si>
    <t>合肥青秀城19#楼长租公寓精装修设计合同</t>
  </si>
  <si>
    <t>CRCCRE-SJ-CZ-2018-032</t>
  </si>
  <si>
    <t>CRCC-CX-ZL-2018-004</t>
  </si>
  <si>
    <t>创作中心：434739</t>
  </si>
  <si>
    <t>合肥青秀城19#楼精装修设计</t>
  </si>
  <si>
    <t>甲方变更名称</t>
  </si>
  <si>
    <t>合肥青秀城19#楼长租公寓精装修设计合同 补充协议01</t>
  </si>
  <si>
    <t>中铁房地产集团海外地产发展有限公司合肥分公司</t>
  </si>
  <si>
    <t>补充协议01</t>
  </si>
  <si>
    <t>合肥青秀城19#楼长租公寓精装修设计合同 补充协议02</t>
  </si>
  <si>
    <t>补充协议02尾款</t>
  </si>
  <si>
    <t>正在走结算流程，已提交甲方结算资料及发票</t>
  </si>
  <si>
    <t>合肥青秀城19#楼长租公寓精装修设计合同 补充协议03</t>
  </si>
  <si>
    <t>中铁房地产集团城市运营管理有限公司合肥分公司</t>
  </si>
  <si>
    <t>深化效果图及施工图设计完成，并提交成果后三十个工作日内，乙方收到款后开始执行下一阶段施工配合。</t>
  </si>
  <si>
    <t>合同变更-
刘园园</t>
  </si>
  <si>
    <t>可行性研究报告顾问委托合同</t>
  </si>
  <si>
    <t>CRCCRE-SJ-CH-2019-011</t>
  </si>
  <si>
    <t>单项目可研：7万</t>
  </si>
  <si>
    <t>每季度按实际确认的工作确认单向乙方支付费用，如当季度没有发生工作则不支付费用。</t>
  </si>
  <si>
    <t>没项目</t>
  </si>
  <si>
    <t>比价</t>
  </si>
  <si>
    <t>可研方案框架协议（完成）</t>
  </si>
  <si>
    <t>规划设计委托合同</t>
  </si>
  <si>
    <t>CRCCRE-SJ-CH-2019-022</t>
  </si>
  <si>
    <t>中铁房地产集团文旅发展有限公</t>
  </si>
  <si>
    <t xml:space="preserve">前期研究： 规模≤10万㎡ 2.5万；           10万㎡＜规模＜20万㎡ 3.5万              规模≥20万㎡5万              规划设计： 规模≤10万㎡5万10万㎡＜规模＜20万㎡ 7万              规模≥20万㎡10万              </t>
  </si>
  <si>
    <t>台账自协议签订起计算，每个季度为一结算周期。乙方应于每季度最后1个月统计本季度完成工作量，并于当月25日前，按甲方要求提交本季度各项目完成情况的相关资料（包括不限于台账、请款函、《工作任务单》、双方签字确认的顾问服务报告等），甲方确认无误后将于次月底向乙方支付相应款项。</t>
  </si>
  <si>
    <t>框架协议
（完成）</t>
  </si>
  <si>
    <t>CRCCRE-SJ-CH-2019-004</t>
  </si>
  <si>
    <t>中铁房地产集团海外地产发展有限公司</t>
  </si>
  <si>
    <t>单项目可研（6-15）+长租公寓/医养项目6+北京市策划定位15+除北京外其他城市18+其他类型（长租公寓专题研究等）协商确定</t>
  </si>
  <si>
    <t>策划：5万（雄安产租公寓项目）</t>
  </si>
  <si>
    <t>顺义顺鑫汇长租公寓项目6万、上海杨浦地块长租公寓项目6万、大连青秀蓝湾项目6万、广州南沙长租公寓项目6万、合肥青秀城可研报告6万、小红门集体用地租赁项目6万、上海嘉定金汇广场长租公寓项目6万、厦门南山公寓长租公寓项目6万、厦门集美区长租公寓项目6万、杭州余杭区长租公寓项目6万、先秦汉新城项目3万</t>
  </si>
  <si>
    <t>直接委托（集团上会）</t>
  </si>
  <si>
    <t>上海嘉定市场调研3万、上海宝山区君鼎大厦长租公寓项目6万、广州环球中心长租公寓项目6万、广州坦尾凤凰广场长租公寓项目6万、厦门薛岭长租公寓项目6万</t>
  </si>
  <si>
    <t>策划-3</t>
  </si>
  <si>
    <t>成都木综厂项目6万（产值成都分公司）、成都林茂大厦项目6万（产值成都分公司）、雄安长租公寓定位方案6万</t>
  </si>
  <si>
    <t>成都木综厂项目6万、成都林茂大厦项目6万产值划分到成都分公司</t>
  </si>
  <si>
    <t>甲方先做计价，争取这个月开票下个月付款</t>
  </si>
  <si>
    <t>宜宾项目
（完成）</t>
  </si>
  <si>
    <t>项目初步概念策划设计及可行性研究咨询顾问服务合同</t>
  </si>
  <si>
    <t>CRCCRE-SJ-XM-2019-006</t>
  </si>
  <si>
    <t>乙方完成合同约定的全部工作，按甲方要求提交请款资料（包括不限于请款函、《工作任务单》、双方签字确认的顾问服务报告等），甲方将于次月底向乙方支付相应款项。</t>
  </si>
  <si>
    <t>张家口83亩地块项目
（完成）</t>
  </si>
  <si>
    <t>张家口市万全区赐儿山隧道西83亩住宅项目咨询服务合同</t>
  </si>
  <si>
    <t>CRCCRE-SJ-XM-2019-007</t>
  </si>
  <si>
    <t>乙方完成甲方最终认可的顾问服务报告，在甲方验收并作出书面确认后，甲方于下一个月30日之前支付乙方相应的顾问服务费用</t>
  </si>
  <si>
    <t>框架协议</t>
  </si>
  <si>
    <t>CRCCRE-SJ-CH-2020-006</t>
  </si>
  <si>
    <t>中铁房地产集团城市运营管理有限公司</t>
  </si>
  <si>
    <t>意向地块或项目可研顾问服务（6）+长租公寓/医养项目的可研报告技术和信息顾问（6）+策划定位类咨询顾问服务（15）+策划定位类咨询顾问(18)+意向地块或项目可研顾问服务(15)</t>
  </si>
  <si>
    <t>策划：5万</t>
  </si>
  <si>
    <t>乙方完成甲方最终认可的顾问服务报告，在甲方验收并作出书面确认后，甲方于下一个月30日之前支付乙方相应的顾问服务费用；</t>
  </si>
  <si>
    <t>雄安长租公寓项目</t>
  </si>
  <si>
    <t>上海闵行长租公寓项目</t>
  </si>
  <si>
    <t>住宅类可研（6-15）+住宅类策略报告（6-10）+其他类型（特色小镇、文旅开发、产业园区等）可研45+住宅类策划定位40</t>
  </si>
  <si>
    <t>北京房山项目8万、大兴庞各庄项目6万、丰台白盆窑项目6万、门头沟岢罗坡项目6万、承德项目6万、香河项目10万、廊坊项目10万、朝阳善各庄项目8万</t>
  </si>
  <si>
    <t>长租公寓补充协议
（完成）</t>
  </si>
  <si>
    <t>长租公寓产品线研究咨询服务协议 补充协议01</t>
  </si>
  <si>
    <t>CRCCRE-SJ-CH-2018-008-B1</t>
  </si>
  <si>
    <t>中南</t>
  </si>
  <si>
    <t>长沙树木岭项目、长沙火车站项目（完成）</t>
  </si>
  <si>
    <t>CRCCRE-SJ-CH-2019-010</t>
  </si>
  <si>
    <t>中铁房地产集团长沙置业岳麓分公司</t>
  </si>
  <si>
    <t>开发报告8万+项目定位8万</t>
  </si>
  <si>
    <t>武汉公司可研（完成）</t>
  </si>
  <si>
    <t>概念规划设计服务框架协议</t>
  </si>
  <si>
    <t>CRCCRE-SJ-CZ-2019-015</t>
  </si>
  <si>
    <t>武汉京铁房地产开发有限公司</t>
  </si>
  <si>
    <t>按照建设用地面积进行取费，10 公顷以下为 10 万元/项；10 公顷以上为 1 万元/公顷。</t>
  </si>
  <si>
    <t>乙方按照双方确认的设计阶段及相应费用，统一计入台账，并以台账为请款依据，进入付款流程。双方约定，台账自协议签订起计算，每3个月为一结算周期。</t>
  </si>
  <si>
    <t>2019.8.26-2020.8.25   合同已过期</t>
  </si>
  <si>
    <t>广州市增城区项目（完成）</t>
  </si>
  <si>
    <t>中国铁建广州市增城区中新镇集丰村项目设计咨询服务合同</t>
  </si>
  <si>
    <t>CRCCRE-SJ-ZX-2019-005</t>
  </si>
  <si>
    <t>广州市增城区顺轩房地产有限公司</t>
  </si>
  <si>
    <t>全过程咨询：7元/㎡</t>
  </si>
  <si>
    <t>合同签订30个日历日内支付</t>
  </si>
  <si>
    <t>完成方案阶段的设计咨询工作并经甲方认可</t>
  </si>
  <si>
    <t>配合甲方做后续工作</t>
  </si>
  <si>
    <t>广州市番禺安美厂项目（完成）</t>
  </si>
  <si>
    <t>中国铁建广州市番禺安美厂项目设计咨询服务合同</t>
  </si>
  <si>
    <t>CRCCRE-SJ-ZX-2019-006</t>
  </si>
  <si>
    <t>乙方完成方案阶段的设计咨询工作，提交电子版《方案阶段设计咨询意见》并经甲方书面认可</t>
  </si>
  <si>
    <t>武汉蔡甸B地块项目
（完成）</t>
  </si>
  <si>
    <t>武汉蔡甸区P（2017）092号地块项目B地块建筑设计咨询服务合同</t>
  </si>
  <si>
    <t>CRCCRE-SJ-ZX-2019-003</t>
  </si>
  <si>
    <t>中铁房地产武汉蔡甸有限公司</t>
  </si>
  <si>
    <t>乙方完成施工图阶段的设计咨询工作，提交纸质版《施工图设计咨询意见》4份并经甲方书面认可</t>
  </si>
  <si>
    <t>武汉蔡甸A地块项目
（完成）</t>
  </si>
  <si>
    <t>中国铁建·知语城A地块项目建筑设计咨询服务合同</t>
  </si>
  <si>
    <t>CRCCRE-SJ-ZX-2019-015</t>
  </si>
  <si>
    <t>完成一期方案+施工图咨询116729.82㎡，
完成二期方案254403.75㎡</t>
  </si>
  <si>
    <t>武汉东西湖项目
（完成）</t>
  </si>
  <si>
    <t>东西湖区P（2018）136号地块项目
建筑设计咨询服务合同</t>
  </si>
  <si>
    <t>CRCCRE-SJ-ZX-2019-004</t>
  </si>
  <si>
    <t>合同签订甲方在提交全部设计资料给乙方后30个日历日内支付</t>
  </si>
  <si>
    <t>乙方完成施工图阶2段的设计咨询工作并经甲方认可</t>
  </si>
  <si>
    <t>已确认产值，预计11月回款</t>
  </si>
  <si>
    <t>9.17施工图二期已完成，不能开票</t>
  </si>
  <si>
    <t>合肥清樾园
（B地块）</t>
  </si>
  <si>
    <t>中国铁建清樾园（B地块）项目建筑设计咨询服务合同</t>
  </si>
  <si>
    <t>CRCCRE-SJ-ZX-2019-008</t>
  </si>
  <si>
    <t>中铁房地产集团合肥蜀山置业有限公司</t>
  </si>
  <si>
    <t>全过程咨询：
7元/㎡</t>
  </si>
  <si>
    <t>乙方完成方案阶段的设计咨询工作，提交电子版《方案阶段设计咨询意见》并经甲方书面认可，甲方支付咨询服务费的50%给乙方</t>
  </si>
  <si>
    <t>方案、施工图咨询（西区100%）已完成</t>
  </si>
  <si>
    <t>西区规证面积：45755.24</t>
  </si>
  <si>
    <t>乙方完成施工图阶段的设计咨询工作，提交纸质版《施工图设计咨询意 见》4份并经甲方书面认可，甲方支付至实际咨询服务费的100%给乙方</t>
  </si>
  <si>
    <t>东区面积：59148.27㎡</t>
  </si>
  <si>
    <t>北京亦庄项目（完成）</t>
  </si>
  <si>
    <t>北京经济技术开发区河西区X89R2地块
R2二类居住用地项目
BIM技术应用咨询服务合同</t>
  </si>
  <si>
    <t>CRCCRE-SJ-XM-2019-003</t>
  </si>
  <si>
    <t>北京昊远置业有限公司</t>
  </si>
  <si>
    <t>地下室63265㎡；
标准单元BIM精装建模317㎡；地上全专业BIM建模管线综合并进行预制装配式拆分BIM建模16897.69㎡；
1#、4#、5#、6#、7#、8#、9#、10#、11#地上建立BIM土建模型91366.91㎡</t>
  </si>
  <si>
    <t>地下全专业BIM管线综合7.5元/㎡；标准单元BIM精装建模150元/㎡；地上全专业BIM建模管线综合并进行预制装配式拆分BIM建模6元/㎡；      地上建立BIM土建模型，赠送整个项目全景展示和蛮有视频1.7元/㎡；</t>
  </si>
  <si>
    <t>BIM： 5.2461万元</t>
  </si>
  <si>
    <t>咨询、BIM-1</t>
  </si>
  <si>
    <t>合同签订且提供发票后，30个工作日内</t>
  </si>
  <si>
    <t>乙方提交第一版BIM模型且提供发票后，经甲方书面确认后，30个工作日内日</t>
  </si>
  <si>
    <t>去年已确认产值金额474845.16。第二笔节点已完成。</t>
  </si>
  <si>
    <t>甲方没钱，无法付款</t>
  </si>
  <si>
    <t>乙方提交所有成果且提供发票，经甲方书面确认后，30个工作日内</t>
  </si>
  <si>
    <t>乙方配合施工图单位完成的地下室BIM深化工作，经甲方书面确认后，且办理结算手续后30个工作日内</t>
  </si>
  <si>
    <t>报建临建的项目最终结算给工程加：85000元</t>
  </si>
  <si>
    <t>亦庄项目
（完成）</t>
  </si>
  <si>
    <t>北京经济技术开发区河西区 X89R2地块
R2二类居住用地项目
建筑设计咨询服务合同</t>
  </si>
  <si>
    <t>CRCCRE-SJ-XM-2019-002</t>
  </si>
  <si>
    <t>合同签订后
甲方在提交全部设计资料给乙方后，三十个工作日内</t>
  </si>
  <si>
    <t xml:space="preserve">已完成      </t>
  </si>
  <si>
    <t>乙方完成施工图阶段的设计咨询工作并经甲方书面认可后，三十个工作日内</t>
  </si>
  <si>
    <t>正在走结算流程，已提交甲方结算资料</t>
  </si>
  <si>
    <t>大兴黄村镇兴华大街
（完成）</t>
  </si>
  <si>
    <t>大兴黄村镇兴华大街项目建筑设计咨询服务合同</t>
  </si>
  <si>
    <t>CRCCRE-SJ-ZX-2018-002</t>
  </si>
  <si>
    <t>工程-1 咨询-1</t>
  </si>
  <si>
    <t>工程-2 咨询-2</t>
  </si>
  <si>
    <t>工程-3 咨询-3</t>
  </si>
  <si>
    <t>阜阳项目
（完成）</t>
  </si>
  <si>
    <t>安徽省阜阳市颍东区750亩项目概念规划设计咨询合同</t>
  </si>
  <si>
    <t>CRCCRE-SJ-CZ-2018-027</t>
  </si>
  <si>
    <t>20万元/项目</t>
  </si>
  <si>
    <t>泰国TOD项目（完成）</t>
  </si>
  <si>
    <t>泰国连接三机场高速铁路项目
设计管理服务合同</t>
  </si>
  <si>
    <t>CRCCRE-SJ-CZ-2018-039</t>
  </si>
  <si>
    <t>泰国连接三机场高速铁路项目设计管理服务合同</t>
  </si>
  <si>
    <t>创作中心：1533300元</t>
  </si>
  <si>
    <t>北京大兴黄村项目</t>
  </si>
  <si>
    <t>大兴黄村项目BIM技术全过程咨询服务合同</t>
  </si>
  <si>
    <t>CRCCRE-SJ-BIM-2018-005</t>
  </si>
  <si>
    <t>BIM技术全过程咨询：9.5元/㎡（集团未出补贴政策，全部由项目公司承担）       工程施工图2.9元/㎡</t>
  </si>
  <si>
    <t>工程-1         BIM-1</t>
  </si>
  <si>
    <t>乙方完成BIM实施准备阶段工作及前期培训后30个工作日内</t>
  </si>
  <si>
    <t>工程中心共计切分60万元</t>
  </si>
  <si>
    <t>工程-2         BIM-2</t>
  </si>
  <si>
    <t>乙方完成设计模型交底，将模型转入BIM管理平台后30个工作日内</t>
  </si>
  <si>
    <t xml:space="preserve">发票少开了1元钱，回款金额无误，第三笔应多开1元钱。     </t>
  </si>
  <si>
    <t>工程-3         BIM-3</t>
  </si>
  <si>
    <t>乙方完成施工阶段的BIM设计咨询工作即项目竣工验收后30个工作日内日</t>
  </si>
  <si>
    <r>
      <rPr>
        <sz val="10"/>
        <color rgb="FF000000"/>
        <rFont val="宋体"/>
        <charset val="134"/>
      </rPr>
      <t>工程中心第二笔18万未切分产值，未切分部分应放到工程中心第三笔产值确认上，</t>
    </r>
    <r>
      <rPr>
        <sz val="10"/>
        <color rgb="FFFF0000"/>
        <rFont val="宋体"/>
        <charset val="134"/>
      </rPr>
      <t>明年十月竣工验收</t>
    </r>
  </si>
  <si>
    <t>配合施工阶段</t>
  </si>
  <si>
    <t>工程-4         BIM-4</t>
  </si>
  <si>
    <t>乙方完成BIM竣工模型处理交付，且结算完成后30个工作日内日</t>
  </si>
  <si>
    <t>安吉山语城（已更正23.3.14）</t>
  </si>
  <si>
    <t>中国铁建安吉山语城设计咨询合同</t>
  </si>
  <si>
    <t>CRCCRE-SJ-ZX-2017-002</t>
  </si>
  <si>
    <t>广西领筑置业有限公司</t>
  </si>
  <si>
    <t>甲方提交方案设计资料给乙方后，15个工作日内支付</t>
  </si>
  <si>
    <t>乙方完成各批次设计咨询服务且施工图经审查通过后，15个工作日内支付各批次咨询服务费</t>
  </si>
  <si>
    <t>竣工结算</t>
  </si>
  <si>
    <t>琅岐山语城（完成）</t>
  </si>
  <si>
    <t>琅岐山语城项目设计咨询合同</t>
  </si>
  <si>
    <t>CRCCRE-SJ-ZXZX-2017-006</t>
  </si>
  <si>
    <t>中铁房地产集团（福州）有限公司</t>
  </si>
  <si>
    <t>按照规划许可证积结算面254518.12㎡，结算金额1781626.84元</t>
  </si>
  <si>
    <t>福州马宗地项目（完成）</t>
  </si>
  <si>
    <t>马宗地2016-10号地块项目
规划和建筑方案设计招标补偿协议</t>
  </si>
  <si>
    <t>CRCCRE-SJ-CZZX-2017-009</t>
  </si>
  <si>
    <t>乙方完成各批次设计咨询服务且施工图经审查通过后，15个工作日内支付各批次咨询服务费80%</t>
  </si>
  <si>
    <t>北京市大兴区黄村镇兴华大街DX00-0202-0305地块住宅批量精装修设计、公共区域精装修设计、展示中心精装修设计合同</t>
  </si>
  <si>
    <t>CRCCRE-SJ-CZ-2018-004</t>
  </si>
  <si>
    <t>展示中心：480㎡
住宅：129650.7㎡</t>
  </si>
  <si>
    <t>展示中心单价480元/㎡   
住宅批量精装修13.84元/㎡</t>
  </si>
  <si>
    <t>创作-1</t>
  </si>
  <si>
    <t>精装修概念设计得到甲方认可后，30个工作日</t>
  </si>
  <si>
    <t>创作-2</t>
  </si>
  <si>
    <t>提交施工图成果后30个工作日</t>
  </si>
  <si>
    <t>创作-3</t>
  </si>
  <si>
    <t>精装修施工完成后30个工作日（项目完成精装修施工并通过精装验收取得竣工验收备案表）</t>
  </si>
  <si>
    <t>长沙芙蓉项目（完成）</t>
  </si>
  <si>
    <t>长沙市芙蓉区浏阳河东岸11-1地块概念规划方案设计合同</t>
  </si>
  <si>
    <t>CRCCRE-SJ-CZZX-2016-005</t>
  </si>
  <si>
    <t>中铁房地产集团长沙置业有限公司</t>
  </si>
  <si>
    <t>乙方按要求完成规划设计方案并经甲方验收确认后，甲方一次性付清全部服务费用</t>
  </si>
  <si>
    <t>武汉蔡甸项目（完成）</t>
  </si>
  <si>
    <t>武汉蔡甸沿江片项目概念规划方案设计合同</t>
  </si>
  <si>
    <t>CRCCRE-SJ-CZZX-2016-006</t>
  </si>
  <si>
    <t>中铁房地产集团武汉有限公司</t>
  </si>
  <si>
    <t xml:space="preserve">10万元/项目
</t>
  </si>
  <si>
    <t>设计费用按双方约定金额于乙方提交合格设计成果后一个月内一次性付款</t>
  </si>
  <si>
    <t>可研方案设计（完成）</t>
  </si>
  <si>
    <t>可研方案设计合同</t>
  </si>
  <si>
    <t>CRCCRE-SJ-CZ-2021-005</t>
  </si>
  <si>
    <t>4万元/项目
6万元/项目
8万元/项目</t>
  </si>
  <si>
    <t>乙方在25日前，按甲方要求提交本月请款资料（包括不限于请款函、《工作任务单》、双方签字确认的土地拿地可研方案等），甲方将于次月30日前向乙方支付本月进度款。</t>
  </si>
  <si>
    <t>创一：
武汉青山区52.53项目8万、
武汉花山项目4万
创二：
宜昌欧亚达项目6万元</t>
  </si>
  <si>
    <t>可研方案设计合同
(长沙)</t>
  </si>
  <si>
    <t>CRCCRE-SJ-XM-2021-054</t>
  </si>
  <si>
    <t>中铁房地产集团长沙置业有限公司岳麓分公司</t>
  </si>
  <si>
    <t>4万元/项目
6万元/项目
10万元/项目</t>
  </si>
  <si>
    <t>1.长沙杉木村四期项目4万
2.长沙湘龙地块项目6万
3.长沙山鹰潭项目10万</t>
  </si>
  <si>
    <t>合肥事业部固镇路中学地块</t>
  </si>
  <si>
    <t>合肥事业部固镇路中学地块强排设计可研框架协议</t>
  </si>
  <si>
    <t>CRCCRE-SJ-CZ-2020-016</t>
  </si>
  <si>
    <t xml:space="preserve">
创二：5万</t>
  </si>
  <si>
    <t>海外公司可研（完成）</t>
  </si>
  <si>
    <t>土地经营工作阶段可行性研究概念方案设计合同</t>
  </si>
  <si>
    <t>CRCCRE-SJ-CZ-2017-014</t>
  </si>
  <si>
    <t>北京大兴区瀛海镇F2地块项目5万、通州区台湖镇项目5万、通州新城0204街区项目5万、河北承德喇嘛村用地项目0万、海口项目10万、门头沟永定镇苛罗坨、秋坡、石佛村地块0万</t>
  </si>
  <si>
    <t>长沙梅溪青秀（完成）</t>
  </si>
  <si>
    <t>长沙梅溪青秀项目三期（B31地块）全过程全专业设计咨询合同</t>
  </si>
  <si>
    <t>CRCCRE-SJ-ZX-2017-008</t>
  </si>
  <si>
    <t>建筑方案设计咨询意见提出、乙方配合本工程设计院完成方案报批文本，且甲方将方案报批文本提交给规划局后次月30日前，甲方向乙方支付</t>
  </si>
  <si>
    <t>规证面积299025.80㎡
结算金额
2093180.60</t>
  </si>
  <si>
    <t>方案报批文本经规划局审核通过且甲方完成报建手续后次月30日前，甲方向乙方支付</t>
  </si>
  <si>
    <t>建筑施工图设计顾问意见提出、乙方配合本工程设计院完成建筑施工图设计并通过施工图审查后次月30日前，甲方向乙方支付</t>
  </si>
  <si>
    <t>市政配套施工图设计顾问意见提出、乙方配合本工程设计院完成市政配套施工图设计并通过甲方审查后次月30日前，甲方向乙方支付</t>
  </si>
  <si>
    <t>咨询-5</t>
  </si>
  <si>
    <t>项目整体验收完成后，甲方向乙方支付</t>
  </si>
  <si>
    <t>合肥悦湖国际（完成）</t>
  </si>
  <si>
    <t>中国铁建悦湖国际项目规划、建筑方案设计及建筑设计咨询服务合同</t>
  </si>
  <si>
    <t>CRCCRE-SJ-CZ-2017-017</t>
  </si>
  <si>
    <t>中铁房地产集团合肥京丰置业有限公司</t>
  </si>
  <si>
    <t>方案设计：22元/㎡
施工图咨询：5元/㎡</t>
  </si>
  <si>
    <t>方案 咨询-1</t>
  </si>
  <si>
    <t>方案 咨询-2</t>
  </si>
  <si>
    <t>方案 咨询-3</t>
  </si>
  <si>
    <t>方案 咨询-4</t>
  </si>
  <si>
    <t>正在走结算流程</t>
  </si>
  <si>
    <t>云景山语城（完成）</t>
  </si>
  <si>
    <t>中铁云景山语城建筑设计咨询服务合同</t>
  </si>
  <si>
    <t>CRCCRE-SJ-ZX-2016-001</t>
  </si>
  <si>
    <t>合同签订后，甲方在提交全部设计资料给乙方后支付</t>
  </si>
  <si>
    <t>乙方完成全部工作并经甲方认可，甲方支付工程剩余设计优化咨询费给乙方</t>
  </si>
  <si>
    <t>中国铁建·西派澜岸（完成）</t>
  </si>
  <si>
    <t>中国铁建·西派澜岸规划及建筑方案设计合同</t>
  </si>
  <si>
    <t>CRCCRE-SJ-CZZX-2016-002</t>
  </si>
  <si>
    <t>中铁房地产集团(广西)有限公司</t>
  </si>
  <si>
    <t xml:space="preserve">
195268.56</t>
  </si>
  <si>
    <t xml:space="preserve">/
</t>
  </si>
  <si>
    <t>创作中心：/</t>
  </si>
  <si>
    <t>管理-1</t>
  </si>
  <si>
    <t>合同签订5个工作日请款, 下月30日前</t>
  </si>
  <si>
    <t>管理-2</t>
  </si>
  <si>
    <t>项目总规通过政府审批后5个工作日请款下月30日前</t>
  </si>
  <si>
    <t>管理-3</t>
  </si>
  <si>
    <t>提交方案设计文本并通过政府审批后5个工作日内请款, 下月30日前支付。按报批方案的建筑面积核算设计费用</t>
  </si>
  <si>
    <t>管理-4</t>
  </si>
  <si>
    <t>施工图工作完成后5个工作日内请款, 下月30日前支付</t>
  </si>
  <si>
    <t>皖水路南89亩地块</t>
  </si>
  <si>
    <t>皖水路南89亩地块强排设计可研框架协议</t>
  </si>
  <si>
    <t>4万元/项目</t>
  </si>
  <si>
    <t>合肥青秀城东区项目</t>
  </si>
  <si>
    <t>CRCCRE-DC-XM-2022-027</t>
  </si>
  <si>
    <t>中国铁建清溪国际清樾园东区BIM设计服务合同</t>
  </si>
  <si>
    <t>CRCCRE-SJ-BIM-2022-007</t>
  </si>
  <si>
    <t>一口价</t>
  </si>
  <si>
    <t>乙方提交第一版BIM模型且经过甲方确认后15个工作日内双方办理计价手续</t>
  </si>
  <si>
    <t>乙方根据甲方优化后的施工图纸提交BIM咨询优化报告、完成BIM范围的交底工作且经过甲方确认后15个工作日内双方办理计价手续</t>
  </si>
  <si>
    <t>乙方跟踪项目进度，完成设计变更的BIM模型更改，至项目取得竣工备案表后15个共工作日内双方办理计价手续，次月支付剩余合同额</t>
  </si>
  <si>
    <t>清溪国际可研
（13块地）
（完成）</t>
  </si>
  <si>
    <t>中国铁建清溪国际可研方案设计合同（13块地）</t>
  </si>
  <si>
    <t>CRCCRE-SJ-XM-2022-042</t>
  </si>
  <si>
    <t>乙方在25日前，按甲方要求提交本月请款资料（包括不限于请款函、《工作任务单》、双方签字确认的土地拿地可研方案等），甲方将于次月30日前向乙方支付本月进度款</t>
  </si>
  <si>
    <t>长沙梅溪湖
（完成）</t>
  </si>
  <si>
    <t>CRCCRE-DC-XM-2020-038</t>
  </si>
  <si>
    <t>长沙京信梅溪湖098地块设计技术咨询合同</t>
  </si>
  <si>
    <t>CRCCRE-SJ-ZX-2020-008</t>
  </si>
  <si>
    <t>长沙京信房地产开发有限公司</t>
  </si>
  <si>
    <t>全过程咨询：5元/㎡</t>
  </si>
  <si>
    <t>建筑方案设计咨询意见提出、本工程设计院完成方案报批文本，且甲方将方案报批文本提交给规划局后次月30日前</t>
  </si>
  <si>
    <t>方案报批文本经规划局审核通过且甲方完成报建手续后次月30日前</t>
  </si>
  <si>
    <t>建筑施工图设计顾问意见提出、本工程设计院完成建筑施工图设计并通过施工图审查后次月30日前</t>
  </si>
  <si>
    <t>市政配套施工图设计顾问意见提出、本工程设计院完成市政配套施工图设计并通过甲方审查后，乙方按照甲方要求提供结算资料，在完成本合同结算后次月30日前</t>
  </si>
  <si>
    <t>长沙梅溪湖（完成）</t>
  </si>
  <si>
    <t>CRCCRE-DC-XM-2020-037</t>
  </si>
  <si>
    <t>长沙京信梅溪湖098地块规划建筑方案设计合同</t>
  </si>
  <si>
    <t>CRCCRE-SJ-CZ-2020-009</t>
  </si>
  <si>
    <t>方案：10元/㎡</t>
  </si>
  <si>
    <t>完成概念方案后20个工作日内</t>
  </si>
  <si>
    <t>方案已提交并通过规划局批复</t>
  </si>
  <si>
    <t>完成规划建筑深化方案后，20个工作日内</t>
  </si>
  <si>
    <t>8月已付款</t>
  </si>
  <si>
    <t>完成甲方所在区域、集团公司审批后20个工作日内</t>
  </si>
  <si>
    <t>规划总图通过长沙市规划局批复后的20个工作日内</t>
  </si>
  <si>
    <t>按照规划许可证面积1784282.9㎡进行最终结算</t>
  </si>
  <si>
    <t>广州海珠洛溪桥项目（西派粤府）</t>
  </si>
  <si>
    <t>CRCCRE-DC-XM-2022-026</t>
  </si>
  <si>
    <t>广州市海珠区洛溪桥西侧地块项目建设工程委托设计管理服务合同（方案部分）</t>
  </si>
  <si>
    <t>CRCCRE-SJ-XM-2022-046</t>
  </si>
  <si>
    <t>方案管理</t>
  </si>
  <si>
    <t>合同签订并提交第一版概念性方案后15个工作日内请款，次月30日前付款</t>
  </si>
  <si>
    <t>方案调整、修改完成经甲方确认后，15个工作日内请款，次月30日前付款</t>
  </si>
  <si>
    <t>方案通过政府相关审批（规划复函）后15个工作日内请款，次月30日前付款</t>
  </si>
  <si>
    <t>项目总图、建筑单专业扩初设计图纸完成，并取得《建设工程规划许可证》后，15个工作日内请款，次月30日前付款</t>
  </si>
  <si>
    <t>配合施工完成，至竣工验收完成后15个工作日内按照《建设工程规划许可证》总建筑面积结算，次月30日内付款</t>
  </si>
  <si>
    <t>配合完成产品创新研发工作，并经中国铁建房地产集团组织验收通过后15个工作日内请款，次月30日前付款（此项如未发生则该笔金额不予支付）</t>
  </si>
  <si>
    <t>广州市海珠区洛溪桥西侧地块项目建设工程委托设计管理服务合同（景观部分）</t>
  </si>
  <si>
    <t>景观管理</t>
  </si>
  <si>
    <t>合同签订并提交第一版概念性方案后15个工作日内请款，次月30日前付款。</t>
  </si>
  <si>
    <t>展示区方案设计成果完成经甲方确认后15个工作日内请款，次月30日前付款。</t>
  </si>
  <si>
    <t>展示区40%</t>
  </si>
  <si>
    <t>展示区施工图设计成果完成经甲方确认后15个工作日内请款，次月30日前付款。</t>
  </si>
  <si>
    <t>展示区30%</t>
  </si>
  <si>
    <t>展示区施工现场配合完成经甲方确认后15个工作日内请款，次月30日前付款。</t>
  </si>
  <si>
    <t>展示区10%</t>
  </si>
  <si>
    <t>大区概念设计成果完成经甲方确认后15个工作日内请款，次月30日前付款。</t>
  </si>
  <si>
    <t>大区15%</t>
  </si>
  <si>
    <t>大区方案设计成果完成经确认后15个工作日内请款，次月30日前付款。</t>
  </si>
  <si>
    <t>大区扩初设计成果完成经甲方确认后15个工作日内请款，次月30日前付款。</t>
  </si>
  <si>
    <t>大区10%</t>
  </si>
  <si>
    <t>大区施工图设计成果完成经甲方确认后15个工作日内请款，次月30日前付款。</t>
  </si>
  <si>
    <t>大区20%</t>
  </si>
  <si>
    <t>大区施工现场配合完成经甲方确认后15个工作日内请款，次月30日前付款。</t>
  </si>
  <si>
    <t>大区5%</t>
  </si>
  <si>
    <t>景观-10</t>
  </si>
  <si>
    <t>景观工程竣工验收合格，本合同办理完成结算后15个工作日内请款，次月30日前付款。</t>
  </si>
  <si>
    <t>景观-11</t>
  </si>
  <si>
    <t>配合完成产品创新研发工作，并经中国铁建房地产集团组织验收通过后 15 个工作日内请款，次月30日前付款（此项如未发生则该笔金额不予支付）</t>
  </si>
  <si>
    <t>广州市海珠区洛溪桥西侧地块项目建设工程委托设计管理服务合同（精装部分）</t>
  </si>
  <si>
    <t>精装概念设计完成经甲方确认后15个工作日内请款，次月30日前付款。</t>
  </si>
  <si>
    <t>精装方案扩初设计完成经甲方确认后15个工作日内请款，次月30日前付款。</t>
  </si>
  <si>
    <t>精装施工图设计完成经甲方确认后15个工作日内请款，次月30日前付款。</t>
  </si>
  <si>
    <t>精装修竣工验收完成后15个工作日内请款，次月30日前付款。</t>
  </si>
  <si>
    <t>精装-6</t>
  </si>
  <si>
    <t>结算完成后15个工作日内请款，次月30日前付款。</t>
  </si>
  <si>
    <t>精装-7</t>
  </si>
  <si>
    <t>配合完成产品创新研发工作，并经中国铁建房地产集团组织验收通过后 15 个工作日内请款，由甲方于审核后次月30日前付款（此项如未发生则该笔金额不予支付）</t>
  </si>
  <si>
    <t>广州市海珠区洛溪桥西侧地块项目建设工程委托设计管理服务合同（BIM部分）</t>
  </si>
  <si>
    <t>合同签订并提交第一版地下车库及地下室BIM模型且经过甲方确认后15个工作日内请款，次月30日前付款。</t>
  </si>
  <si>
    <t>乙方根据甲方优化后的施工图纸提交BIM咨询优化报告、完成BIM咨询范围的交底工作且经过甲方确认后15个工作日内请款，次月30日前付款。</t>
  </si>
  <si>
    <t>乙方根据施工进度提交设计变更的BIM模型更改至竣工验收完成，按照《建设工程规划许可证》地下建筑面积进行结算后15个工作日内请款，次月30日前付款。</t>
  </si>
  <si>
    <t>广州市海珠区洛溪桥西侧地块项目建设工程委托设计管理服务合同（咨询部分）</t>
  </si>
  <si>
    <t>提交最终版设计咨询总结报告后15个工作日内请款，次月30日前付款。</t>
  </si>
  <si>
    <t>广州市海珠区洛溪桥西侧地块项目建设工程委托设计管理服务合同（管理费部分）</t>
  </si>
  <si>
    <t>管理费</t>
  </si>
  <si>
    <t>合同签订且乙方开展设计管理工作后15个工作日内请款，次月30日前付款。</t>
  </si>
  <si>
    <t>补华南可研（东莞松山湖地块；广东番禺港航局旧厂改造项目；佛山规字第01-05-17、规字第01-05-27、规字第01-05-29、规字第01-06-21、规字第01-06-26地块项目；深圳北站02-01地块项目；东莞南城2022年003地块项目；深圳宝安区A208-0991地块项目）</t>
  </si>
  <si>
    <t>本项目取得施工图审查合格通知书后15个工作日内请款，次月30日前付款。</t>
  </si>
  <si>
    <t>工程竣工验收合格，本合同办理完成结算后15个工作日内请款，次月30日前付款。</t>
  </si>
  <si>
    <t>华南可研（完成）</t>
  </si>
  <si>
    <t>CRCCRE-SJ-CZ-2022-025</t>
  </si>
  <si>
    <t>广州市龙光骏绅房地产有限公司</t>
  </si>
  <si>
    <t>完成以下项目可研方案设计工作</t>
  </si>
  <si>
    <t>广州花都大陵北项目1万；广州白云地块项目1万；
深圳上塘03-02地块项目4万；广州白云区太和站项目4万；广州朱村地块4万；广州夏茅地块1万；广州海珠区广一电商园南侧地块项目1万</t>
  </si>
  <si>
    <t>江门总部基地（住宅地块）方案部分</t>
  </si>
  <si>
    <t>CRCCRE-DC-XM-2020-066</t>
  </si>
  <si>
    <t>中铁建江门总部基地项目（住宅地块）工程设计委托管理服务合同</t>
  </si>
  <si>
    <t>CRCCRE-SJ-XM-2020-009</t>
  </si>
  <si>
    <t>方案部分（外委）</t>
  </si>
  <si>
    <t>总建面352998.7</t>
  </si>
  <si>
    <t>（外委）总图方案539549
（元/项）地上14.6/平；地下8/平；
（综合单价：14.67元/平）</t>
  </si>
  <si>
    <t>项目管理中心：5177421.88</t>
  </si>
  <si>
    <t>7.2表中序号1~3项含税单价明确后15个工作日内请款，次月25日内付款</t>
  </si>
  <si>
    <t>合并请款</t>
  </si>
  <si>
    <t>呈批OA及合同起草线下</t>
  </si>
  <si>
    <t>取得《规划许可证》之日起15个工作日内请款，次月25日内付款</t>
  </si>
  <si>
    <t>一期60%</t>
  </si>
  <si>
    <t>二期40%</t>
  </si>
  <si>
    <t>竣工验收完成后15个工作日内请款，按照《规划许可证》总建筑面积进行结算，次月25日内付款</t>
  </si>
  <si>
    <t>江门总部基地（住宅地块）施工图部分</t>
  </si>
  <si>
    <t>施工图部分（外委）</t>
  </si>
  <si>
    <t>（外委）住宅地上15/平；幼儿园商业及配套18/平；非人防18/平；人防配合8/平；
（综合单价：15.27元/平）</t>
  </si>
  <si>
    <t>项目管理中心：5391426.80</t>
  </si>
  <si>
    <t>7.2表中序号4~7项含税单价明确后15个工作日内请款，次月25日内付款</t>
  </si>
  <si>
    <t>全部施工图设计成果完成并通过相关政府部门审批，并获取施工图审查合格证后15个工作日内请款，次月25日内付款</t>
  </si>
  <si>
    <t>结构封顶后15个工作日内请款，次月25日内付款</t>
  </si>
  <si>
    <t>江门总部基地（住宅地块）咨询部分</t>
  </si>
  <si>
    <t>咨询：4.5元/㎡；管理费2元/㎡</t>
  </si>
  <si>
    <t>本合同签订后十五个工作日内请款，次月25日内付款</t>
  </si>
  <si>
    <t>一期二期合并请款（已全部计入咨询，后续产值须归还项目管理中心）</t>
  </si>
  <si>
    <t>一期60%（已全部计入咨询，后续产值须归还项目管理中心）</t>
  </si>
  <si>
    <t>二期40%（产值归还项目管理中心）</t>
  </si>
  <si>
    <t>全部施工图设计成果完成并通过相关政府部门审批，并获取施工图审查合格证后15个工作日内请款，按照《规划许可证》总建筑面积进行结算，次月25日内付款</t>
  </si>
  <si>
    <t>二期40%（产值归还项目管理中心，咨询工作室余28239.9</t>
  </si>
  <si>
    <t>江门总部基地（住宅地块）</t>
  </si>
  <si>
    <t>中铁建江门总部基地项目（住宅地块）工程设计委托管理服务合同补充协议（二）</t>
  </si>
  <si>
    <t>CRCCRE-SJ-XM-2020-009-B2</t>
  </si>
  <si>
    <t>BIM多维汇报8万/项</t>
  </si>
  <si>
    <t>乙方提交本项目BIM多维方案汇报成果，配合甲方完成投后方案汇报工作及政府行政部门规划调整审批会通过后一次性支付本补充协议金额的100%</t>
  </si>
  <si>
    <t>江门总部基地（商办地块）方案部分</t>
  </si>
  <si>
    <t>CRCCRE-DC-XM-2020-084</t>
  </si>
  <si>
    <t>中铁建江门总部基地项目（商办地块）工程设计委托管理服务合同</t>
  </si>
  <si>
    <t>CRCCRE-SJ-XM-2020-014</t>
  </si>
  <si>
    <t>（外委）综合单价：24.56元/平</t>
  </si>
  <si>
    <t>项目管理中心：8590708</t>
  </si>
  <si>
    <t>7.2表中序号1~9项含税单价明确后十五个工作日内请款，次月25日内付款</t>
  </si>
  <si>
    <t>项目管理中心产值部分切分673000归还工程中心贵安国际数字文化产业园二期项目产值</t>
  </si>
  <si>
    <t>江门总部基地（商办地块）施工图部分</t>
  </si>
  <si>
    <t>施工图部分（公寓部分自揽，其余外委）</t>
  </si>
  <si>
    <t>综合单价：30.14元/平；
其中工程自揽公寓部分施工图29元/平</t>
  </si>
  <si>
    <t>项目管理中心：6029337.9</t>
  </si>
  <si>
    <t>7.2表中序号10~19项含税单价明确后十五个工作日内请款，次月25日内付款</t>
  </si>
  <si>
    <t>一期</t>
  </si>
  <si>
    <t>一期B1地块结构封顶+竣工验收</t>
  </si>
  <si>
    <t>江门总部基地（商办地块）咨询部分</t>
  </si>
  <si>
    <t>公寓部分方案咨询1元/㎡，除公寓部分全过程咨询5.5元/㎡；管理费公寓部分2元/㎡，除公寓部分2.5元/㎡</t>
  </si>
  <si>
    <t>7.2表中序号1~19项含税单价明确后十五个工作日内请款，次月25日内付款</t>
  </si>
  <si>
    <t>江门总部基地（商办地块）补充协议二（铝模）</t>
  </si>
  <si>
    <t>中铁建江门总部基地项目（商办地块）工程设计委托管理服务合同补充协议（二）</t>
  </si>
  <si>
    <t>CRCCRE-SJ-XM-2020-014-B2</t>
  </si>
  <si>
    <t>铝模-1</t>
  </si>
  <si>
    <t>乙方提交本次变更的全部施工图设计成果并经甲方确认后15个工作日内请款，次月25日内付款</t>
  </si>
  <si>
    <t>铝模-2</t>
  </si>
  <si>
    <t>本次变更图纸重新通过相关政府部门审批后15个工作日内请款，次月25日内付款</t>
  </si>
  <si>
    <t>铝模-3</t>
  </si>
  <si>
    <t>铝模-4</t>
  </si>
  <si>
    <t>竣工验收完成后15个工作日内请款，次月25日内付款</t>
  </si>
  <si>
    <t>江门蓬江区代建学校及社区文化中心项目（范罗冈小学华盛校区项目）方案部分（完结）</t>
  </si>
  <si>
    <t>CRCCRE-DC-XM-2020-070</t>
  </si>
  <si>
    <t>范罗冈小学华盛校区项目工程设计及委托管理服务合同</t>
  </si>
  <si>
    <t>CRCCRE-SJ-XM-2021-002</t>
  </si>
  <si>
    <t>方案：23元/㎡（实际切分：方案17.1、管理费3、咨询2.9）</t>
  </si>
  <si>
    <t>提交第一版概念性方案（成果经甲方确认）后15个工作日内请款，次月30日内付款</t>
  </si>
  <si>
    <t>规划方案调整、修改并通过规划公示之日起15个工作日内请款，次月30日内付款</t>
  </si>
  <si>
    <t>取得《规划许可证》之日起15个工作日内请款，次月30日内付款</t>
  </si>
  <si>
    <t>竣工验收完成后15个工作日内请款，按照《规划许可证》总建筑面积进行结算，次月30日内付款</t>
  </si>
  <si>
    <t>江门蓬江区代建学校及社区文化中心项目（范罗冈小学华盛校区项目）施工图部分（完结）</t>
  </si>
  <si>
    <t>施工图：37元/㎡（实际切分：工程34.2、咨询2.8）</t>
  </si>
  <si>
    <t>提交招标版施工图（成果经甲方确认）后15个工作日内请款，次月30日内付款</t>
  </si>
  <si>
    <t>全部施工图设计成果完成并通过相关政府部门审批，并获取施工图审查合格证后15个工作日内请款，次月30日内付款</t>
  </si>
  <si>
    <t>结构封顶后15个工作日内请款，次月30日内付款</t>
  </si>
  <si>
    <t>产值确认单多一分</t>
  </si>
  <si>
    <t>江门蓬江区代建学校及社区文化中心项目（范罗冈小学华盛校区项目）专项部分（完结）</t>
  </si>
  <si>
    <t>海绵城市</t>
  </si>
  <si>
    <t>海绵-1</t>
  </si>
  <si>
    <t>本项价格明确并提交此专项工作方案后15个工作日内请款，次月30日内付款</t>
  </si>
  <si>
    <t>海绵-2</t>
  </si>
  <si>
    <t>此专项设计成果完成并通过相关政府部门审批，并获取施工图审查合格证后15个工作日内请款，次月30日内付款</t>
  </si>
  <si>
    <t>海绵-3</t>
  </si>
  <si>
    <t>竣工验收完成后15个工作日内请款，按照《规划许可证》本项面积进行结算，次月30日内付款</t>
  </si>
  <si>
    <t>调账少一分（应从工程扣，实际从项管扣）</t>
  </si>
  <si>
    <t>基坑支护</t>
  </si>
  <si>
    <t>基坑-1</t>
  </si>
  <si>
    <t>基坑-2</t>
  </si>
  <si>
    <t>基坑-3</t>
  </si>
  <si>
    <t>人防</t>
  </si>
  <si>
    <t>人防-1</t>
  </si>
  <si>
    <t>人防-2</t>
  </si>
  <si>
    <t>人防-3</t>
  </si>
  <si>
    <t>智能化</t>
  </si>
  <si>
    <t>智能化-1</t>
  </si>
  <si>
    <t>智能化-2</t>
  </si>
  <si>
    <t>智能化-3</t>
  </si>
  <si>
    <t>夜景亮化</t>
  </si>
  <si>
    <t>亮化-1</t>
  </si>
  <si>
    <t>亮化-2</t>
  </si>
  <si>
    <t>亮化-3</t>
  </si>
  <si>
    <t>市政道路</t>
  </si>
  <si>
    <t>道路-1</t>
  </si>
  <si>
    <t>道路-2</t>
  </si>
  <si>
    <t>此专项设计工作完成并经过甲方确认后15个工作日内请款，次月30日内付款</t>
  </si>
  <si>
    <t>道路-3</t>
  </si>
  <si>
    <t>标识</t>
  </si>
  <si>
    <t>标识-1</t>
  </si>
  <si>
    <t>标识-2</t>
  </si>
  <si>
    <t>标识-3</t>
  </si>
  <si>
    <t>门窗幕墙</t>
  </si>
  <si>
    <t>门窗幕墙-1</t>
  </si>
  <si>
    <t>门窗幕墙-2</t>
  </si>
  <si>
    <t>门窗幕墙-3</t>
  </si>
  <si>
    <t>竣工验收完成后15个工作日内请款，次月30日内付款</t>
  </si>
  <si>
    <t>机电二次配合</t>
  </si>
  <si>
    <t>机电-1</t>
  </si>
  <si>
    <t>机电-2</t>
  </si>
  <si>
    <t>机电-3</t>
  </si>
  <si>
    <t>江门蓬江区代建学校及社区文化中心项目（滨江学校项目）方案部分</t>
  </si>
  <si>
    <t>滨江学校项目工程设计及委托管理服务合同</t>
  </si>
  <si>
    <t>CRCCRE-SJ-XM-2021-001</t>
  </si>
  <si>
    <t>江门蓬江区代建学校及社区文化中心项目（滨江学校项目）施工图部分</t>
  </si>
  <si>
    <t>其中12月1日回款130万，剩余12月24日回款</t>
  </si>
  <si>
    <t>江门蓬江区代建学校及社区文化中心项目（滨江学校项目）专项部分</t>
  </si>
  <si>
    <t>基坑支护
（补充协议）</t>
  </si>
  <si>
    <t>基坑补-1</t>
  </si>
  <si>
    <t>乙方提交本补充协议约定的专项工作方案后</t>
  </si>
  <si>
    <t>基坑补-2</t>
  </si>
  <si>
    <t>乙方完成本补充协议约定的专项工作的施工图设计工作，且经施工图审查机构审查通过后</t>
  </si>
  <si>
    <t>专家论证费如发生则随节点2一并支付</t>
  </si>
  <si>
    <t>基坑补-3</t>
  </si>
  <si>
    <t>整体竣工验收完成</t>
  </si>
  <si>
    <t>合同终止</t>
  </si>
  <si>
    <t>江门蓬江区代建学校及社区文化中心项目（滨江学校项目）补充协议</t>
  </si>
  <si>
    <t>滨江学校项目工程设计及委托管理服务合同补充协议（二）</t>
  </si>
  <si>
    <t>CRCCRE-SJ-XM-2021-001-B2</t>
  </si>
  <si>
    <t>方案、施工图（补充协议）</t>
  </si>
  <si>
    <t>签订本补充协议后并提交招标版施工图（成果经甲方确认）后15个工作日内请款，次月25日内付款</t>
  </si>
  <si>
    <t>所有楼栋结构封顶后15个工作日内请款，次月25日内付款</t>
  </si>
  <si>
    <t>项目竣工验收后15个工作日内请款，次月25日内付款</t>
  </si>
  <si>
    <t>江门蓬江区代建文化中心项目
方案部分</t>
  </si>
  <si>
    <t>中铁建代建社区文化中心项目工程设计及委托管理服务合同</t>
  </si>
  <si>
    <t>CRCCRE-SJ-XM-2021-008</t>
  </si>
  <si>
    <t>48825（地上33825，地下15000）</t>
  </si>
  <si>
    <t>方案：地上40元/㎡；地下20元/㎡</t>
  </si>
  <si>
    <t>江门蓬江区代建文化中心项目
施工图部分</t>
  </si>
  <si>
    <t>48825（地上33825，地下15000</t>
  </si>
  <si>
    <t>施工图：地上80元/㎡；地下35元/㎡</t>
  </si>
  <si>
    <t>江门蓬江区代建文化中心项目
专项部分</t>
  </si>
  <si>
    <t>项目管理中心
(另有1万专家费，若发生则在尾款支付）</t>
  </si>
  <si>
    <t>21/平</t>
  </si>
  <si>
    <t>产值确认单多确认90元，下笔请款少确认90</t>
  </si>
  <si>
    <t>2023.9.27回一半</t>
  </si>
  <si>
    <t>产值确认单少确认90，补人防</t>
  </si>
  <si>
    <t>舞台</t>
  </si>
  <si>
    <t>舞台-1</t>
  </si>
  <si>
    <t>舞台-2</t>
  </si>
  <si>
    <t>舞台-3</t>
  </si>
  <si>
    <t>幕墙</t>
  </si>
  <si>
    <t>幕墙-1</t>
  </si>
  <si>
    <t>本项价格明确并提交此专项工作方案后15个工作日内请款，次月25日内付款</t>
  </si>
  <si>
    <t>幕墙-2</t>
  </si>
  <si>
    <t>此专项设计工作完成并经过甲方确认后15个工作日内请款，次月25日内付款</t>
  </si>
  <si>
    <t>幕墙-3</t>
  </si>
  <si>
    <t>竣工验收完成后15个工作日内请款，按照《规划许可证》本项面积进行结算，次月25日内付款</t>
  </si>
  <si>
    <t>广分</t>
  </si>
  <si>
    <t>中国铁建凤岭国际城</t>
  </si>
  <si>
    <t>中国铁建·凤岭国际城规划、建筑方案设计及设计管理服务合同</t>
  </si>
  <si>
    <t>CRCCRE-SJ-GZF-2018-025</t>
  </si>
  <si>
    <t>129000㎡</t>
  </si>
  <si>
    <t>方案20元/㎡，咨询5元/㎡</t>
  </si>
  <si>
    <t>珠海湖心路项目</t>
  </si>
  <si>
    <t>珠海湖心路项目工程设计委托管理服务合同</t>
  </si>
  <si>
    <t>CRCCRE-SJ-GZF-2018-022</t>
  </si>
  <si>
    <t>设计总包</t>
  </si>
  <si>
    <t>中铁建投珠海城市开发有限公司</t>
  </si>
  <si>
    <t>施工配合、项目完成竣工备案后十五个工作日</t>
  </si>
  <si>
    <t>南宁那丹小镇</t>
  </si>
  <si>
    <t>中国铁建·广西领筑置业2019年项目拿地规划概念方案设计合同（广州分公司战略协议）</t>
  </si>
  <si>
    <t>CRCCRE-SJ-GZF-2019-025</t>
  </si>
  <si>
    <t>预计30个项目</t>
  </si>
  <si>
    <t>16万元/项目,折合4个可研（4万元/个）</t>
  </si>
  <si>
    <t>完成9个地块项目拿地规划概念方案，并得到甲方书面确认函之日起，次月25日内支付</t>
  </si>
  <si>
    <t>完成11个地块项目拿地规划概念方案，并得到甲方书面确认函之日起，次月25日内支付</t>
  </si>
  <si>
    <t>策划-1        方案-1</t>
  </si>
  <si>
    <t>服务期限届满，且完成最后10个地块项目拿地规划概念方案，并得到甲方书面确认函，办理完结算手续后，次月25日内支付</t>
  </si>
  <si>
    <t>广州分切分</t>
  </si>
  <si>
    <t>该项目产值已计入广分，年底应统一调账</t>
  </si>
  <si>
    <t>协议19年12月份已到期，需要续签</t>
  </si>
  <si>
    <t>广州天河区梅花铝厂项目（西派天河序）</t>
  </si>
  <si>
    <t>广州市天河区梅花铝厂地块项目建设工程委托设计管理服务合同</t>
  </si>
  <si>
    <t>CRCCRE-SJ-XM-2023-060</t>
  </si>
  <si>
    <t>建筑方案</t>
  </si>
  <si>
    <t>CRCCRE-HN-GZMH-KF.QQ.02.01-2023-001</t>
  </si>
  <si>
    <t>广州市天河区顺信房地产有限公司</t>
  </si>
  <si>
    <t>高层32元/㎡安置房25元/㎡
配套45元/㎡
售楼处30万元/项目</t>
  </si>
  <si>
    <t>支付至建筑方案设计费的20%</t>
  </si>
  <si>
    <t>2024年2月合同额调节为4940100元，节点1、2按原合同节点请款</t>
  </si>
  <si>
    <t>支付至建筑方案设计费的50%</t>
  </si>
  <si>
    <t>支付至建筑方案设计费的70%</t>
  </si>
  <si>
    <t>支付至建筑方案设计费的95%</t>
  </si>
  <si>
    <t>支付至建筑方案设计费结算金额的100%</t>
  </si>
  <si>
    <t>景观设计</t>
  </si>
  <si>
    <t>展示区45元/㎡
展示区架空层34元/㎡
大区34元/㎡</t>
  </si>
  <si>
    <t>项管</t>
  </si>
  <si>
    <t>支付至暂估景观整体设计费的10%</t>
  </si>
  <si>
    <t>2024年2月合同额调减至1673504.00元，其中展示区893260元，大区
780244元</t>
  </si>
  <si>
    <t>支付至暂估景观展示区设计费的50%</t>
  </si>
  <si>
    <t>支付至暂估景观展示区设计费的80%</t>
  </si>
  <si>
    <t>支付至暂估景观展示区设计费的95%</t>
  </si>
  <si>
    <t>支付至暂估景观大区设计费的25%</t>
  </si>
  <si>
    <t>支付至暂估景观大区设计费的45%</t>
  </si>
  <si>
    <t>支付至暂估景观大区设计费的60%</t>
  </si>
  <si>
    <t>支付至暂估景观大区设计费的80%</t>
  </si>
  <si>
    <t>支付至暂估景观大区设计费的95%</t>
  </si>
  <si>
    <t>支付至景观整体设计费结算金额的100%</t>
  </si>
  <si>
    <t>创意精装</t>
  </si>
  <si>
    <r>
      <rPr>
        <sz val="10"/>
        <color rgb="FF000000"/>
        <rFont val="宋体"/>
        <charset val="134"/>
      </rPr>
      <t>合同签订并提交第一版概念性方案后15个工作日内请款，次月30日前付款。</t>
    </r>
    <r>
      <rPr>
        <b/>
        <sz val="10"/>
        <color rgb="FF000000"/>
        <rFont val="宋体"/>
        <charset val="134"/>
      </rPr>
      <t>（创意精装修①-180户型样板间）</t>
    </r>
  </si>
  <si>
    <t>支付至暂估精装设计费的15%</t>
  </si>
  <si>
    <t>创意精装修①合同额变更为3488950.00（其中（180户型299200+会所销售中心、140、125户型样板间3189750）</t>
  </si>
  <si>
    <r>
      <rPr>
        <sz val="10"/>
        <color rgb="FF000000"/>
        <rFont val="宋体"/>
        <charset val="134"/>
      </rPr>
      <t>合同签订并提交第一版概念性方案后15个工作日内请款，次月30日前付款。</t>
    </r>
    <r>
      <rPr>
        <b/>
        <sz val="10"/>
        <color rgb="FF000000"/>
        <rFont val="宋体"/>
        <charset val="134"/>
      </rPr>
      <t>（创意精装修①-会所销售中心、140、125户型样板间）</t>
    </r>
  </si>
  <si>
    <r>
      <rPr>
        <sz val="10"/>
        <color rgb="FF000000"/>
        <rFont val="宋体"/>
        <charset val="134"/>
      </rPr>
      <t>合同签订并提交第一版概念性方案后15个工作日内请款，次月30日前付款。</t>
    </r>
    <r>
      <rPr>
        <b/>
        <sz val="10"/>
        <color rgb="FF000000"/>
        <rFont val="宋体"/>
        <charset val="134"/>
      </rPr>
      <t>（创意精装修②230户型）</t>
    </r>
  </si>
  <si>
    <r>
      <rPr>
        <sz val="10"/>
        <color rgb="FF000000"/>
        <rFont val="宋体"/>
        <charset val="134"/>
      </rPr>
      <t>精装概念设计完成经甲方确认后15个工作日内请款，次月30日前付款。</t>
    </r>
    <r>
      <rPr>
        <b/>
        <sz val="10"/>
        <color rgb="FF000000"/>
        <rFont val="宋体"/>
        <charset val="134"/>
      </rPr>
      <t>（创意精装修①-180户型样板间）</t>
    </r>
  </si>
  <si>
    <t>支付至暂估精装设计费的35%</t>
  </si>
  <si>
    <r>
      <rPr>
        <sz val="10"/>
        <color rgb="FF000000"/>
        <rFont val="宋体"/>
        <charset val="134"/>
      </rPr>
      <t>精装概念设计完成经甲方确认后15个工作日内请款，次月30日前付款。</t>
    </r>
    <r>
      <rPr>
        <b/>
        <sz val="10"/>
        <color rgb="FF000000"/>
        <rFont val="宋体"/>
        <charset val="134"/>
      </rPr>
      <t>（创意精装修①-会所销售中心、140、125户型样板间）</t>
    </r>
  </si>
  <si>
    <r>
      <rPr>
        <sz val="10"/>
        <color rgb="FF000000"/>
        <rFont val="宋体"/>
        <charset val="134"/>
      </rPr>
      <t>精装概念设计完成经甲方确认后15个工作日内请款，次月30日前付款。</t>
    </r>
    <r>
      <rPr>
        <b/>
        <sz val="10"/>
        <color rgb="FF000000"/>
        <rFont val="宋体"/>
        <charset val="134"/>
      </rPr>
      <t>（创意精装修②230户型）</t>
    </r>
  </si>
  <si>
    <r>
      <rPr>
        <sz val="10"/>
        <color rgb="FF000000"/>
        <rFont val="宋体"/>
        <charset val="134"/>
      </rPr>
      <t>精装方案扩初设计完成经甲方确认后15个工作日内请款，次月30日前付款。</t>
    </r>
    <r>
      <rPr>
        <b/>
        <sz val="10"/>
        <color rgb="FF000000"/>
        <rFont val="宋体"/>
        <charset val="134"/>
      </rPr>
      <t>（创意精装修①-180户型样板间）</t>
    </r>
  </si>
  <si>
    <t>支付至暂估精装设计费的50%</t>
  </si>
  <si>
    <r>
      <rPr>
        <sz val="10"/>
        <color rgb="FF000000"/>
        <rFont val="宋体"/>
        <charset val="134"/>
      </rPr>
      <t>精装方案扩初设计完成经甲方确认后15个工作日内请款，次月30日前付款。</t>
    </r>
    <r>
      <rPr>
        <b/>
        <sz val="10"/>
        <color rgb="FF000000"/>
        <rFont val="宋体"/>
        <charset val="134"/>
      </rPr>
      <t>（创意精装修①-会所销售中心、140、125户型样板间）</t>
    </r>
  </si>
  <si>
    <r>
      <rPr>
        <sz val="10"/>
        <color rgb="FF000000"/>
        <rFont val="宋体"/>
        <charset val="134"/>
      </rPr>
      <t>精装方案扩初设计完成经甲方确认后15个工作日内请款，次月30日前付款。</t>
    </r>
    <r>
      <rPr>
        <b/>
        <sz val="10"/>
        <color rgb="FF000000"/>
        <rFont val="宋体"/>
        <charset val="134"/>
      </rPr>
      <t>（创意精装修②230户型）</t>
    </r>
  </si>
  <si>
    <r>
      <rPr>
        <sz val="10"/>
        <color rgb="FF000000"/>
        <rFont val="宋体"/>
        <charset val="134"/>
      </rPr>
      <t>精装施工图设计完成经甲方确认后15个工作日内请款，次月30日前付款。</t>
    </r>
    <r>
      <rPr>
        <b/>
        <sz val="10"/>
        <color rgb="FF000000"/>
        <rFont val="宋体"/>
        <charset val="134"/>
      </rPr>
      <t>（创意精装修①-180户型样板间）</t>
    </r>
  </si>
  <si>
    <t>支付至暂估精装设计费的80%</t>
  </si>
  <si>
    <r>
      <rPr>
        <sz val="10"/>
        <color rgb="FF000000"/>
        <rFont val="宋体"/>
        <charset val="134"/>
      </rPr>
      <t>精装施工图设计完成经甲方确认后15个工作日内请款，次月30日前付款。</t>
    </r>
    <r>
      <rPr>
        <b/>
        <sz val="10"/>
        <color rgb="FF000000"/>
        <rFont val="宋体"/>
        <charset val="134"/>
      </rPr>
      <t>（创意精装修①-会所销售中心、140、125户型样板间）</t>
    </r>
  </si>
  <si>
    <r>
      <rPr>
        <sz val="10"/>
        <color rgb="FF000000"/>
        <rFont val="宋体"/>
        <charset val="134"/>
      </rPr>
      <t>精装施工图设计完成经甲方确认后15个工作日内请款，次月30日前付款。</t>
    </r>
    <r>
      <rPr>
        <b/>
        <sz val="10"/>
        <color rgb="FF000000"/>
        <rFont val="宋体"/>
        <charset val="134"/>
      </rPr>
      <t>（创意精装修②230户型）</t>
    </r>
  </si>
  <si>
    <t>已完成到80%</t>
  </si>
  <si>
    <r>
      <rPr>
        <sz val="10"/>
        <color rgb="FF000000"/>
        <rFont val="宋体"/>
        <charset val="134"/>
      </rPr>
      <t>精装修竣工验收完成后15个工作日内请款，次月30日前付款。</t>
    </r>
    <r>
      <rPr>
        <b/>
        <sz val="10"/>
        <color rgb="FF000000"/>
        <rFont val="宋体"/>
        <charset val="134"/>
      </rPr>
      <t>（创意精装修①-180户型样板间）</t>
    </r>
  </si>
  <si>
    <t>支付至暂估精装设计费的95%</t>
  </si>
  <si>
    <r>
      <rPr>
        <sz val="10"/>
        <color rgb="FF000000"/>
        <rFont val="宋体"/>
        <charset val="134"/>
      </rPr>
      <t>精装修竣工验收完成后15个工作日内请款，次月30日前付款。。</t>
    </r>
    <r>
      <rPr>
        <b/>
        <sz val="10"/>
        <color rgb="FF000000"/>
        <rFont val="宋体"/>
        <charset val="134"/>
      </rPr>
      <t>（创意精装修①-会所销售中心、140、125户型样板间）</t>
    </r>
  </si>
  <si>
    <r>
      <rPr>
        <sz val="10"/>
        <color rgb="FF000000"/>
        <rFont val="宋体"/>
        <charset val="134"/>
      </rPr>
      <t>精装修竣工验收完成后15个工作日内请款，次月30日前付款。</t>
    </r>
    <r>
      <rPr>
        <b/>
        <sz val="10"/>
        <color rgb="FF000000"/>
        <rFont val="宋体"/>
        <charset val="134"/>
      </rPr>
      <t>（创意精装修②230户型）</t>
    </r>
  </si>
  <si>
    <r>
      <rPr>
        <sz val="10"/>
        <color rgb="FF000000"/>
        <rFont val="宋体"/>
        <charset val="134"/>
      </rPr>
      <t>结算完成后15个工作日内请款，次月30日前付款。</t>
    </r>
    <r>
      <rPr>
        <b/>
        <sz val="10"/>
        <color rgb="FF000000"/>
        <rFont val="宋体"/>
        <charset val="134"/>
      </rPr>
      <t>（创意精装修①-180户型样板间）</t>
    </r>
  </si>
  <si>
    <t>支付至精装设计费结算金额的100%</t>
  </si>
  <si>
    <r>
      <rPr>
        <sz val="10"/>
        <color rgb="FF000000"/>
        <rFont val="宋体"/>
        <charset val="134"/>
      </rPr>
      <t>结算完成后15个工作日内请款，次月30日前付款。</t>
    </r>
    <r>
      <rPr>
        <b/>
        <sz val="10"/>
        <color rgb="FF000000"/>
        <rFont val="宋体"/>
        <charset val="134"/>
      </rPr>
      <t>（创意精装修①-会所销售中心、140、125户型样板间）</t>
    </r>
  </si>
  <si>
    <r>
      <rPr>
        <sz val="10"/>
        <color rgb="FF000000"/>
        <rFont val="宋体"/>
        <charset val="134"/>
      </rPr>
      <t>结算完成后15个工作日内请款，次月30日前付款。</t>
    </r>
    <r>
      <rPr>
        <b/>
        <sz val="10"/>
        <color rgb="FF000000"/>
        <rFont val="宋体"/>
        <charset val="134"/>
      </rPr>
      <t>（创意精装修②230户型）</t>
    </r>
  </si>
  <si>
    <t>批量精装</t>
  </si>
  <si>
    <t>合同签订订并提交第一版概念性方案后 15 个工作日内请款，乙方按照甲方审核后的金额，开具相应金额的增值税专用发票，由甲方于审核后次月30日前进行进度款支付。</t>
  </si>
  <si>
    <t>支付至合同暂定金额的 15%</t>
  </si>
  <si>
    <t>2024年2月合同额调减至1859425.74元，至节点三50%比例时调整节点产值确认金额，计算方法：1859425.74*50%-已确认658327.87=271385.00</t>
  </si>
  <si>
    <t>以1909618.1为基数确认产值</t>
  </si>
  <si>
    <t>完成大区精装概念设计,提交成果并得到甲方认可后15个工作日内请款，乙方按照甲方审核后的金额，开具相应金额的增值税专用发票，由甲方于审核后次月30日前进行进度款支付。</t>
  </si>
  <si>
    <t>支付至合同暂定金额的35%</t>
  </si>
  <si>
    <t>完成大区方案扩初设计阶段最终成果，经甲方书面确认后15个工作日内请款，乙方按照甲方审核后的金额，开具相应金额的增值税专用发票，由甲方于审核后次月30日前进行进度款支付。</t>
  </si>
  <si>
    <t>支付至合同暂定金额的50%</t>
  </si>
  <si>
    <t>本次请款时修正节点1差值</t>
  </si>
  <si>
    <t>完成大区精装施工图设计,提交成果并得到甲方认可后15个工作日内请款，乙方按照甲方审核后的金额，开具相应金额的增值税专用发票，由甲方于审核后次月30日前进行进度款支付。</t>
  </si>
  <si>
    <t>支付至合同暂定金额的80%</t>
  </si>
  <si>
    <t>大区精装修竣工验收完成，竣工后15个工作日内请款，乙方按照甲方审核后的金额，开具相应金额的增值税专用发票，由甲方于审核后次月30日前进行进度款支付。</t>
  </si>
  <si>
    <t>支付至合同暂定金额的95%</t>
  </si>
  <si>
    <t>结算完成，后15个工作日内请款，乙方按照甲方审核后的金额，开具相应金额的增值税专用发票，由甲方于审核后次月30日前进行结算款支付。</t>
  </si>
  <si>
    <t>支付至合同结算 金额的100%</t>
  </si>
  <si>
    <t>BIM地下管综建模
（自揽）</t>
  </si>
  <si>
    <t>地下室44455.61</t>
  </si>
  <si>
    <t>支付至暂估BIM优化费的40%</t>
  </si>
  <si>
    <t>支付至暂估BIM优化费的95%</t>
  </si>
  <si>
    <t>支付至BIM优化费结算金额的100%</t>
  </si>
  <si>
    <t>BIM多维（自揽）</t>
  </si>
  <si>
    <t>8万元/项目</t>
  </si>
  <si>
    <t>方案通过政府相关审批（规划复函）后，经甲方审核确认后2个月内（付款审批流程完成后）付款。</t>
  </si>
  <si>
    <t>一次性支付多维方案汇报费的100%</t>
  </si>
  <si>
    <t>咨询
（自揽）</t>
  </si>
  <si>
    <t>5元/㎡</t>
  </si>
  <si>
    <t>支付至暂估设计咨询优化费的20%</t>
  </si>
  <si>
    <t>支付至暂估设计咨询优化费的70%</t>
  </si>
  <si>
    <t>取得施工图审查合格书后15个工作日内请款，次月30日前付款</t>
  </si>
  <si>
    <t>支付至暂估设计咨询优化费的95%</t>
  </si>
  <si>
    <t>支付至设计咨询优化费结算金额的100%</t>
  </si>
  <si>
    <t>施工图精审</t>
  </si>
  <si>
    <t>45万元/项目+7%管理费</t>
  </si>
  <si>
    <t>合同签订且乙方开展设计咨询工作并提供初步施工图精细化审查意见后15个工作日内请款，次月30日前付款。</t>
  </si>
  <si>
    <t>支付至暂估施工图精审费的20%</t>
  </si>
  <si>
    <t>支付至暂估施工图精审费的50%</t>
  </si>
  <si>
    <t>取得施工图审查合格书后15个工作日内请款，次月30日前付款。</t>
  </si>
  <si>
    <t>支付至暂估施工图精审费的70%</t>
  </si>
  <si>
    <t>正式施工图下发工地后15个工作日内请款，次月30日前付款。</t>
  </si>
  <si>
    <t>支付至暂估施工图精审费的95%</t>
  </si>
  <si>
    <t>提交最终版总结报告后15个工作日内请款，次月30日前付款。</t>
  </si>
  <si>
    <t>支付至施工图精审费结算金额的100%</t>
  </si>
  <si>
    <t>泛光设计</t>
  </si>
  <si>
    <t>25万元/项目+7%管理费</t>
  </si>
  <si>
    <t>乙方提交本项目展示区泛光施工图后，取得甲方认可后15个工作日内请款，次月30日前付款</t>
  </si>
  <si>
    <t>支付至暂估泛光设计费的20%</t>
  </si>
  <si>
    <t>提供大区泛光方案取得甲方认可后15个工作日内请款，次月30日前付款</t>
  </si>
  <si>
    <t>支付至暂估泛光设计费的 50%</t>
  </si>
  <si>
    <t>乙方完成泛光照明施工图设计工作，经甲方认可通过后15个工作日内请款，次月30日前付款</t>
  </si>
  <si>
    <t>支付至暂估泛光设计费的90%</t>
  </si>
  <si>
    <t>整体项目竣工验收完成后15个工作日内请款，次月30日前付款</t>
  </si>
  <si>
    <t>支付至泛光设计费结算金额的100%</t>
  </si>
  <si>
    <t>标识设计</t>
  </si>
  <si>
    <t>30万元/项目+7%管理费</t>
  </si>
  <si>
    <t>本合同签订，乙方提交本项目展示区工作方案经甲方确认后15个工作日内请款，次月30日前付款</t>
  </si>
  <si>
    <t>支付至标识设计费的20%</t>
  </si>
  <si>
    <t>提供大区标识方案图，经甲方确认后15个工作日内请款，次月30日前付款</t>
  </si>
  <si>
    <t>支付至标识设计费的50%</t>
  </si>
  <si>
    <t>乙方完成导视施工图设计工作，经相关机构审查通过后15个工作日内请款，次月30日前付款</t>
  </si>
  <si>
    <t>支付至标识设计费的90%</t>
  </si>
  <si>
    <t>支付至标识设计费结算金额的100%</t>
  </si>
  <si>
    <t>品质车库</t>
  </si>
  <si>
    <t>67.5万元/项目+7%管理费</t>
  </si>
  <si>
    <t>乙方提交本项目工作方案经甲方确认后15个工作日内请款，次月30日前付款</t>
  </si>
  <si>
    <t>支付至品质车库设计费的20%</t>
  </si>
  <si>
    <t>本项目取得施工图审查合格书后15个工作日内请款，次月30日前付款</t>
  </si>
  <si>
    <t>支付至品质车库设计费的50%</t>
  </si>
  <si>
    <t>银信，到期日25年10月10日</t>
  </si>
  <si>
    <t>提供施工图经甲方确认后15个工作日内请款，次月30日前付款</t>
  </si>
  <si>
    <t>支付至品质车库设计费的90%</t>
  </si>
  <si>
    <t>1元/平米+7%管理费</t>
  </si>
  <si>
    <t>完成项目智能化施工招标图设计，经甲方确认后15个工作日内请款，次月30日前付款。</t>
  </si>
  <si>
    <t>支付至暂估智能化设计设计费的20%</t>
  </si>
  <si>
    <t>提交经甲方确认后的全套智能化施工图并完成技术交底，经甲方确认后15个工作日内请款，次月30日前付款</t>
  </si>
  <si>
    <t>支付至暂估智能化设计设计费的90%</t>
  </si>
  <si>
    <t>智能化工程完成竣工验收，经甲方确认后后15个工作日内请款，次月30日前付款。</t>
  </si>
  <si>
    <t>支付至智能化设计费结算金额的100%</t>
  </si>
  <si>
    <t>广州市天河区梅花铝厂地块项目建设工程委托设计管理服务合同补充协议2</t>
  </si>
  <si>
    <t>CRCCRE-SJ-XM-2023-060-B2</t>
  </si>
  <si>
    <t>设计总包（精装补充）</t>
  </si>
  <si>
    <t>CRCCRE-HN-GZMH-KF.QQ.02.01-2023-001-B2</t>
  </si>
  <si>
    <t>本协议签订且提交概念性方案并经甲方确认后 15 个工作日内请款，乙方按照甲方审核后的金额，开具相应金额的增值税专用发票，由甲方于审核后次月30日前进行进度款支付。</t>
  </si>
  <si>
    <t>乙方完成方案阶段设计并经甲方确认通过后，乙方按照甲方审核后的金额，开具相应金额的增值税专用发票，由甲方于审核后次月30日前进行进度款支付。</t>
  </si>
  <si>
    <t>支付至合同暂定金额的 35%</t>
  </si>
  <si>
    <t>乙方提交第一版施工图（招标图）及主材样板，并经甲方确认后，乙方按照甲方审核后的金额，开具相应金额的增值税专用发票，由甲方于审核后次月30日前进行进度款支付。</t>
  </si>
  <si>
    <t>支付至合同暂定金额的 40%</t>
  </si>
  <si>
    <t>乙方提交最终版施工图完成施工图会审反馈并提交修改成果、完成技术交底、施工样板，并经甲方确认后，乙方按照甲方审核后的金额，开具相应金额的增值税专用发票，由甲方于审核后次月30日前进行进度款支付。</t>
  </si>
  <si>
    <t>支付至合同暂定金额的 80%</t>
  </si>
  <si>
    <t>精装修竣工验收完成，竣工后15个工作日内请款，乙方按照甲方审核后的金额，开具相应金额的增值税专用发票，由甲方于审核后次月30日前进行进度款支付。</t>
  </si>
  <si>
    <t>本协议项下的调增款项与原合同一并结算（具体结算节点以原合同约定为准），结算完成后，与原合同及补充协议1款项一并结算，具体付款安排以原合同及补充协议1约定为准。</t>
  </si>
  <si>
    <t>支付至结算金额的100%</t>
  </si>
  <si>
    <t>广州市天河区梅花铝厂地块项目建设工程委托设计管理服务合同补充协议3</t>
  </si>
  <si>
    <t>CRCCRE-SJ-XM-2023-060-B3</t>
  </si>
  <si>
    <t>方案补充</t>
  </si>
  <si>
    <t>CRCCRE-HN-GZMH-KF.QQ.02.01-2023-001-B3</t>
  </si>
  <si>
    <t>本协议签订且提交修改方案并经甲方确认后 15 个工作日内请款，乙方按照甲方审核后的金额，开具相应金额的增值税专用发票，由甲方于审核后次月30日前进行进度款支付。</t>
  </si>
  <si>
    <t>乙方提交修改方案给施工图设计单位交底，并经过施工图设计单位确认可以开展施工图工作，同时并经甲方确认后，乙方按照甲方审核后的金额，开具相应金额的增值税专用发票，由甲方于审核后次月30日前进行进度款支付。</t>
  </si>
  <si>
    <t>支付至合同暂定金额的 95%</t>
  </si>
  <si>
    <t>竣工验收完成，竣工后15个工作日内请款，乙方按照甲方审核后的金额，开具相应金额的增值税专用发票，由甲方于审核后次月30日前进行进度款支付。</t>
  </si>
  <si>
    <t>支付至合同暂定金额的100%</t>
  </si>
  <si>
    <t>广州市天河区梅花铝厂地块精装及景观委托设计管理服务合同</t>
  </si>
  <si>
    <t>CRCCRE-SJ-XM-2025-031</t>
  </si>
  <si>
    <t>景观</t>
  </si>
  <si>
    <t>CRCCRE-NS-THSXGZSTHQNLGBJNCXM-KF.QQ.02.01-2025-001</t>
  </si>
  <si>
    <t>概念设计成果经甲方确认且乙方提供发票等请款资料后2个月内(付款审批流程完成后)</t>
  </si>
  <si>
    <t>支付至暂估景观设计费的25%</t>
  </si>
  <si>
    <t>方案设计成果完成经甲方确认且乙方提供发票等请款资料后2个月内(付款审批流
程完成后)</t>
  </si>
  <si>
    <t>支付至暂估景观设计费的45%</t>
  </si>
  <si>
    <t>扩初设计成果完成经甲方确认且乙方提供发票等请款资料后2个月内(付款审批流
程完成后)</t>
  </si>
  <si>
    <t>支付至暂估景观设计费的60%</t>
  </si>
  <si>
    <t>施工图设计成果完成经甲方确认且乙方提供发票等请款资料后2个月内(付款审批流程完成后)</t>
  </si>
  <si>
    <t>支付至暂估景观设计费的80%</t>
  </si>
  <si>
    <t>施工现场配合完成经甲方确认且乙方提供发票等请款资料后2个月内(付款审批流程完成后)</t>
  </si>
  <si>
    <t>支付至暂估景观设计费的95%</t>
  </si>
  <si>
    <t>景观工程竣工验收合格，本合同办理完成结算且乙方提供发票等请款资料后2个月内(付款审批流程完成后)</t>
  </si>
  <si>
    <t>样板间精装</t>
  </si>
  <si>
    <t>合同签订并提交第一版概念性方案后15个工作日内请款且乙方提供发票等请款资料，次月30日前付款。</t>
  </si>
  <si>
    <t>支付至样板间暂估精装设计费的15%</t>
  </si>
  <si>
    <t>精装概念设计完成经甲方确认后15个工作日内请款且乙方提供发票等请款资料，次月30日前付款。</t>
  </si>
  <si>
    <t>支付至样板间暂估精装设计费的35%</t>
  </si>
  <si>
    <t>精装方案扩初设计完成经甲方确认后15个工作日内请款且乙方提供发票等请款资料，次月30日前付款。</t>
  </si>
  <si>
    <t>支付至样板间暂估精装设计费的50%</t>
  </si>
  <si>
    <t>精装施工图设计完成经甲方确认后15个工作日内请款且乙方提供发票等请款资料，次月30日前付款。</t>
  </si>
  <si>
    <t>支付至样板间暂估精装设计费的80%</t>
  </si>
  <si>
    <t>精装修竣工验收完成后15个工作日内请款且乙方提供发票等请款资料，次月30日前付款。</t>
  </si>
  <si>
    <t>支付至样板间暂估精装设计费的95%</t>
  </si>
  <si>
    <t>结算完成后15个工作日内请款且乙方提供发票等请款资料，次月30日前付款。</t>
  </si>
  <si>
    <t>支付至样板间精装设计费结算金额的100%</t>
  </si>
  <si>
    <t>棋牌室精装</t>
  </si>
  <si>
    <t>支付至棋牌室暂估精装设计费的15%</t>
  </si>
  <si>
    <t>支付至棋牌室暂估精装设计费的35%</t>
  </si>
  <si>
    <t>支付至棋牌室暂估精装设计费的50%</t>
  </si>
  <si>
    <t>支付至棋牌室暂估精装设计费的80%</t>
  </si>
  <si>
    <t>支付至棋牌室暂估精装设计费的95%</t>
  </si>
  <si>
    <t>支付至棋牌室精装设计费结算金额的100%</t>
  </si>
  <si>
    <t>合同签订并提交第一版概念性方案后 15 个工作日内请款，乙方按照甲方审核后的金额，开具相应金额的增值税专用发票及提交请款资料，由甲方于审核后次月30日前进行进度款支付。</t>
  </si>
  <si>
    <t>支付至批量精装暂定金额的 15%</t>
  </si>
  <si>
    <t>完成大区精装概念设计,提交成果并得到甲方认可后15个工作日内请款，乙方按照甲方审核后的金额，开具相应金额的增值税专用发票及提交请款资料，由甲方于审核后次月30日前进行进度款支付。</t>
  </si>
  <si>
    <t>支付至批量精装暂定金额的 35%</t>
  </si>
  <si>
    <t>完成大方案扩初设计阶段最终成果，经甲方书面确认后15个工作日内请款，乙方按照甲方审核后的金额，开具相应金额的增值税专用发票及提交请款资料，由甲方于审核后次月30日前进行进度款支付。</t>
  </si>
  <si>
    <t>支付至批量精装暂定金额的 50%</t>
  </si>
  <si>
    <t>完成大区精装施工图设计,提交成果并得到甲方认可后15个工作日内请款，乙方按照甲方审核后的金额，开具相应金额的增值税专用发票及提交请款资料，由甲方于审核后次月30日前进行进度款支付。</t>
  </si>
  <si>
    <t>支付至批量精装暂定金额的80%</t>
  </si>
  <si>
    <t>大区精装修竣工验收完成，竣工后15个工作日内请款，乙方按照甲方审核后的金额，开具相应金额的增值税专用发票及提交请款资料，由甲方于审核后次月30日前进行进度款支付。</t>
  </si>
  <si>
    <t>支付至批量精装暂定金额的95%</t>
  </si>
  <si>
    <t>结算完成，后15个工作日内请款，乙方按照甲方审核后的金额，开具相应金额的增值税专用发票及提交请款资料，由甲方于审核后次月30日前进行结算款支付。</t>
  </si>
  <si>
    <t>支付至批量精装结算 金额的100%</t>
  </si>
  <si>
    <t>乙方提交本项目工作方案经甲方确认后15个工作日内请款，乙方按照甲方审核后的金额，开具相应金额的增值税专用发票及提交请款资料，次月30日前付款。</t>
  </si>
  <si>
    <t>支付至品质车库暂定设计费的20%</t>
  </si>
  <si>
    <t>本项目取得施工图审查合格书后 15个工作日内请款，乙方按照甲方审核后的金额，开具相应金额的增值税专用发票及提交请款资料，次月 30 日前付款。</t>
  </si>
  <si>
    <t>支付至品质车库暂定设计费的50%</t>
  </si>
  <si>
    <t>提供施工图经甲方确认后15个工作日内请款，乙方按照甲方审核后的金额，开具相应金额的增值税专用发票及提交请款资料，次月 30 日前付款。</t>
  </si>
  <si>
    <t>支付至品质车库暂定设计费的90%</t>
  </si>
  <si>
    <t>整体项目竣工验收完成后15个工作日内请款，乙方按照甲方审核后的金额，开具相应金额的增值税专用发票及提交请款资料，次月30日前付款</t>
  </si>
  <si>
    <t>支付至品质车库设计费结算金额的100%</t>
  </si>
  <si>
    <t>际华园荷府项目（际华贵港项目）</t>
  </si>
  <si>
    <t xml:space="preserve">际华园荷府项目工程规划及方案设计合同
</t>
  </si>
  <si>
    <t>CRCCRE-SJ-CZ-2023-001</t>
  </si>
  <si>
    <t>贵港新兴城投有限责任公司</t>
  </si>
  <si>
    <t>总建面406636.07</t>
  </si>
  <si>
    <t>1-预付款</t>
  </si>
  <si>
    <t>合同生效后</t>
  </si>
  <si>
    <t>2-修建性详细规划</t>
  </si>
  <si>
    <t>通过修建性详细规划报建，核算面积以取得政府批复面积为准</t>
  </si>
  <si>
    <t>3-修建性详细规划</t>
  </si>
  <si>
    <t>4-单体建筑方案设计(根据开发节奏划定的地块）</t>
  </si>
  <si>
    <t>乙方提交方案设计成果并经甲方确认后</t>
  </si>
  <si>
    <t>方案确认稿——建筑方案设计通过政府主管部门审批通过，取得工程规划许可证。</t>
  </si>
  <si>
    <t>5-施工配合(根据开发节奏划定的
地块)</t>
  </si>
  <si>
    <t>取得施工图审查合格证，审核效果类的专项设计(包括但不限于装修、景观、幕墙、泛光、标识等)及施工图纸，并提供审查报告；完成结算办理工作。</t>
  </si>
  <si>
    <t>施工配合阶段对设计材料，样板，效果优化调整进行配合，确保原创方案设计效果落地。根据发包人指令参与施工现场的巡检。</t>
  </si>
  <si>
    <t>现场竣工验收完成后。</t>
  </si>
  <si>
    <t>长沙杉木村项目
（湘语洺悦）
（完成）</t>
  </si>
  <si>
    <t>CRCCRE-DC-XM-2021-016</t>
  </si>
  <si>
    <t>长沙杉木村045号地块项目规划建筑方案设计合同</t>
  </si>
  <si>
    <t>CRCCRE-SJ-CZ-2021-011</t>
  </si>
  <si>
    <t>长沙京蓉房地产开发有限公司</t>
  </si>
  <si>
    <t>方案设计：
13元/㎡
施工图咨询：
5元/㎡</t>
  </si>
  <si>
    <t>甲方人手不足协调不开，暂时没法请款</t>
  </si>
  <si>
    <t>南昌经开区JQ3030-E03项目（完成）</t>
  </si>
  <si>
    <t>CRCCRE-DC-XM-2021-024</t>
  </si>
  <si>
    <t>中国铁建·知语拾光项目规划建筑方案设计及建筑设计咨询服务合同</t>
  </si>
  <si>
    <t>CRCCRE-SJ-CZ-2021-012</t>
  </si>
  <si>
    <t>CRCCRE-ZN-NC-JY-QQ-2021-001</t>
  </si>
  <si>
    <t>南昌京源房地产开发有限公司</t>
  </si>
  <si>
    <t>方案设计：
10元/㎡
施工图咨询：5元/㎡</t>
  </si>
  <si>
    <t>方案3月份报完再请款</t>
  </si>
  <si>
    <t>规划许可证面积为136431.58㎡</t>
  </si>
  <si>
    <t>增补结算10万元</t>
  </si>
  <si>
    <t>武汉铁建国际城项目
（完成）</t>
  </si>
  <si>
    <t>CRCCRE-DC-XM-2022-014</t>
  </si>
  <si>
    <t>武汉国际城F地块项目建筑设计咨询服务合同
(案名：花语汀澜)</t>
  </si>
  <si>
    <t>CRCCRE-SJ-ZX-2022-002</t>
  </si>
  <si>
    <t>CRCCRE-ZN-WHGS-WHGJC-KF.QQ.02.05-2022-002</t>
  </si>
  <si>
    <t>原合同：169962.52
规整面积：
171873.18</t>
  </si>
  <si>
    <t>合同签订后且甲方在提交首批设计资料给乙方后，三十个工作日内</t>
  </si>
  <si>
    <t>乙方完成方案设计阶段的设计咨询工作并配合甲方取得《建设工程规划许可证》后，三十个工作日内</t>
  </si>
  <si>
    <t>首开区面积：64637平方米</t>
  </si>
  <si>
    <t>乙方提交第一版全专业施工图设计咨询报告并配合甲方通过施工图审查机构的施工图审查后，三十个工作日内</t>
  </si>
  <si>
    <t>项目竣工备案后，三十个工作日内</t>
  </si>
  <si>
    <t>规证面积：171873.18</t>
  </si>
  <si>
    <t>11月底竣工备案</t>
  </si>
  <si>
    <t>武汉国际城F地块项目
（完成）</t>
  </si>
  <si>
    <t>武汉国际城F地块项目地下室BIM管综优化服务合同</t>
  </si>
  <si>
    <t>CRCCRE-SJ-BIM-2022-010</t>
  </si>
  <si>
    <t>CRCCRE-ZN-WHGS-WHGJC-KF.QQ.02.05-2022-006</t>
  </si>
  <si>
    <t>乙方提交第一版BIM模型且经过甲方确认后，30个工作日内。</t>
  </si>
  <si>
    <t>乙方根据甲方优化后的施工图纸提交BIM咨询优化报告、完成BIM范围的交底工作且经书面确认后30个工作日内</t>
  </si>
  <si>
    <t>咨询：合肥瑶海项目
BIM:合肥长江东路项目
完成</t>
  </si>
  <si>
    <t>中国铁建合肥花语天境项目建筑设计咨询服务合同</t>
  </si>
  <si>
    <t>CRCCRE-SJ-ZX-2023-053</t>
  </si>
  <si>
    <t>CRCCRE-ZN-HFJS-HFYHQZJDLXM-KF.QQ.02.06-2023-001</t>
  </si>
  <si>
    <t>合肥京尚房地产开发有限公司</t>
  </si>
  <si>
    <t>全过程咨询：4.55元/㎡
多维汇报:
1元/㎡</t>
  </si>
  <si>
    <t>乙方提交第一版全专业施工图设计咨询报告后，三十个工作日内</t>
  </si>
  <si>
    <t>甲方完成施工图审查并取得审查合格证后，三十个工作日内</t>
  </si>
  <si>
    <t>武汉知语1901商业项目</t>
  </si>
  <si>
    <t>CRCCRE-DC-XM-2023-017</t>
  </si>
  <si>
    <t>中国铁建·武汉知语1901商业项目策划及规划方案设计服务合同</t>
  </si>
  <si>
    <t>CRCCRE-SJ-TOD-2023-053</t>
  </si>
  <si>
    <t>策划
方案设计</t>
  </si>
  <si>
    <t>CRCCRE-ZN-CDGS-WHCDXM-KF.QQ.02.05-2023-001</t>
  </si>
  <si>
    <t>项目策划：
45万
方案设计:
11.25万</t>
  </si>
  <si>
    <t>TOD：406000</t>
  </si>
  <si>
    <r>
      <rPr>
        <sz val="10"/>
        <color rgb="FF000000"/>
        <rFont val="宋体"/>
        <charset val="134"/>
      </rPr>
      <t>合同签订后，乙方提交</t>
    </r>
    <r>
      <rPr>
        <sz val="10"/>
        <color theme="1"/>
        <rFont val="宋体"/>
        <charset val="134"/>
        <scheme val="minor"/>
      </rPr>
      <t>商业策划定位及业态规划建议、完成《商业产品策略报告》，得到甲方确认之日起三十个工作日内</t>
    </r>
  </si>
  <si>
    <t>乙方提交并汇报概念总图方案，得到甲方确认之日起三十个工作日内</t>
  </si>
  <si>
    <t>要给精装中心分10万元（5.5w）</t>
  </si>
  <si>
    <t>乙方完成概念单体设计并提交全套概念方案文本，得到甲方确认之日起三十个工作日内</t>
  </si>
  <si>
    <t>方案调整、修改完成并向政府汇报，三十个工作日内</t>
  </si>
  <si>
    <t>甲方取得《规划许可证》之日起三十个工作日内</t>
  </si>
  <si>
    <t>项目竣工验收完成并办理设计费结算后三十个工作日内</t>
  </si>
  <si>
    <t>合肥可研方案设计2023-053（7个）
(完成)</t>
  </si>
  <si>
    <t>CRCCRE-SJ-CZ-2023-053</t>
  </si>
  <si>
    <t>CRCCRE-ZN-HFZY-SS-QQ-2023-003</t>
  </si>
  <si>
    <t>1.合肥经开区JK202216号地块
2.合肥政务东龙川路地块
3.合肥肥西金寨西路A-03地块
4.合肥蜀山区樊洼路地块
5.合肥包河区郎溪路地块
6.合肥经开区繁华大道以北地块
7.合肥包河南二环路与西递路交叉口地块</t>
  </si>
  <si>
    <t>合肥包河BH202308地块项目
（花语江南）</t>
  </si>
  <si>
    <t>中国铁建合肥包河BH202308地块项目
建设工程设计总包管理服务合同</t>
  </si>
  <si>
    <t>CRCCRE-SJ-XM-2023-032</t>
  </si>
  <si>
    <t>CRCCRE-ZN-HFBH-HFBHSHLXXM-KF.QQ.02.02-2023-001</t>
  </si>
  <si>
    <t>合肥京朗房地产开发有限公司</t>
  </si>
  <si>
    <t>方案设计：
20元/㎡
施工图咨询：5元/㎡
多维方案：
8万/个</t>
  </si>
  <si>
    <t>第一次现金回款211万元</t>
  </si>
  <si>
    <t>第三次银信回款100万元
2024-10-25到期</t>
  </si>
  <si>
    <t>第六次回款现金10万</t>
  </si>
  <si>
    <t>第七次回款银信20万（创二137009.38元，给项管62990.62元）</t>
  </si>
  <si>
    <t>第二次现金回款959040.11元</t>
  </si>
  <si>
    <t>第四笔现金425876.04发票回款</t>
  </si>
  <si>
    <t>还长沙总包咨询10万产值</t>
  </si>
  <si>
    <t>咨询已结清</t>
  </si>
  <si>
    <r>
      <rPr>
        <sz val="10"/>
        <color rgb="FF000000"/>
        <rFont val="宋体"/>
        <charset val="134"/>
      </rPr>
      <t xml:space="preserve">完成首开区44490.06㎡
（3#5#6#7#15#）
</t>
    </r>
    <r>
      <rPr>
        <b/>
        <sz val="10"/>
        <color rgb="FF000000"/>
        <rFont val="宋体"/>
        <charset val="134"/>
      </rPr>
      <t>第三次银信回款100万元
2024-10-25到期</t>
    </r>
  </si>
  <si>
    <t>首开区：94966.09㎡
第二次现金回款959040.11元</t>
  </si>
  <si>
    <t>BIM已结清</t>
  </si>
  <si>
    <t>第五笔现金597081.40元</t>
  </si>
  <si>
    <t>第三笔现金471963.78发票回款</t>
  </si>
  <si>
    <t>借用建筑第4笔费用，未请款</t>
  </si>
  <si>
    <t>中国铁建合肥包河BH202308地块项目建设工程设计总包管理服务合同补充协议（一）</t>
  </si>
  <si>
    <t>CRCCRE-SJ-XM-2023-032-B1</t>
  </si>
  <si>
    <t>CRCCRE-ZN-HFBH-HFBHSHLXXM-KF.QQ.02.02-2023-001-B1</t>
  </si>
  <si>
    <t>120样板间</t>
  </si>
  <si>
    <t>长沙天心区044地块项目（花语江南）</t>
  </si>
  <si>
    <t>中国铁建长沙天心炮院西项目建设工程设计总包管理服务合同</t>
  </si>
  <si>
    <t>CRCCRE-SJ-XM-2023-086</t>
  </si>
  <si>
    <t>CRCCRE-ZN-CSJA-HYJN-QQ-2023-016</t>
  </si>
  <si>
    <t>长沙京昂房地产开发有限公司</t>
  </si>
  <si>
    <t>方案设计：
16.74元/㎡
施工图咨询：3.5元/㎡
多维方案：
8万/个</t>
  </si>
  <si>
    <r>
      <rPr>
        <sz val="10"/>
        <color rgb="FFC00000"/>
        <rFont val="宋体"/>
        <charset val="134"/>
      </rPr>
      <t>第一笔5478872.18（红色字体是第一次计价）</t>
    </r>
    <r>
      <rPr>
        <sz val="10"/>
        <color rgb="FF000000"/>
        <rFont val="宋体"/>
        <charset val="134"/>
      </rPr>
      <t xml:space="preserve">
银信2024.9.23到期</t>
    </r>
  </si>
  <si>
    <r>
      <rPr>
        <b/>
        <sz val="10"/>
        <color rgb="FF000000"/>
        <rFont val="宋体"/>
        <charset val="134"/>
      </rPr>
      <t>1.第一次计价：</t>
    </r>
    <r>
      <rPr>
        <b/>
        <sz val="10"/>
        <color rgb="FFC00000"/>
        <rFont val="宋体"/>
        <charset val="134"/>
      </rPr>
      <t>5478872.18</t>
    </r>
    <r>
      <rPr>
        <b/>
        <sz val="10"/>
        <color rgb="FF000000"/>
        <rFont val="宋体"/>
        <charset val="134"/>
      </rPr>
      <t xml:space="preserve">元
2.第二次计价：
</t>
    </r>
    <r>
      <rPr>
        <b/>
        <sz val="10"/>
        <color rgb="FF00B050"/>
        <rFont val="宋体"/>
        <charset val="134"/>
      </rPr>
      <t>1006579.36</t>
    </r>
    <r>
      <rPr>
        <b/>
        <sz val="10"/>
        <color rgb="FF000000"/>
        <rFont val="宋体"/>
        <charset val="134"/>
      </rPr>
      <t>元
3.第三次计价：
495355.83元</t>
    </r>
  </si>
  <si>
    <t>第二笔988436.28元现金
（其中443535.55借用方案第四笔）</t>
  </si>
  <si>
    <t>南地块（一期）
已完成</t>
  </si>
  <si>
    <t>确认归还咨询10万产值2024.12.24
提前借用北地块创作产值</t>
  </si>
  <si>
    <t>第一笔5478872.18
银信2024.9.23到期</t>
  </si>
  <si>
    <r>
      <rPr>
        <sz val="10"/>
        <color rgb="FF000000"/>
        <rFont val="宋体"/>
        <charset val="134"/>
      </rPr>
      <t>南地块已完成：（S1、S2#栋749.30㎡，1、5、9#栋16024.15㎡，2、3、6、8、10、11、12#栋96535㎡）计容面积共计：113308.45㎡，总建筑面积为</t>
    </r>
    <r>
      <rPr>
        <b/>
        <sz val="10"/>
        <color rgb="FF000000"/>
        <rFont val="宋体"/>
        <charset val="134"/>
      </rPr>
      <t>135424.07㎡
南地块计算公式：
135424.07*3.5元=473984.25元</t>
    </r>
  </si>
  <si>
    <t>2023/12/28调整产值
（咨询借给创二10万产值，后期调整）已归还</t>
  </si>
  <si>
    <t>正在请款中</t>
  </si>
  <si>
    <t>北地块49036.93㎡</t>
  </si>
  <si>
    <t>第二笔988436.28元现金
（借用方案第四笔）</t>
  </si>
  <si>
    <t>提前确认合计443535.55</t>
  </si>
  <si>
    <t>东地块：9082㎡
南地块：25990㎡</t>
  </si>
  <si>
    <t>提前确认，借用方案</t>
  </si>
  <si>
    <t>南地块：25990㎡</t>
  </si>
  <si>
    <t>东地块：9082㎡</t>
  </si>
  <si>
    <t>第二笔988436.28元现金</t>
  </si>
  <si>
    <t>第三笔18143.08元现金</t>
  </si>
  <si>
    <t>南地块总金额：884444.60</t>
  </si>
  <si>
    <t>长沙天心区044地块项目</t>
  </si>
  <si>
    <t>中国铁建长沙天心炮院西项目建设工程设计总包管理服务合同补充协议</t>
  </si>
  <si>
    <t>CRCCRE-SJ-XM-2023-086-B1</t>
  </si>
  <si>
    <t>建筑+精装</t>
  </si>
  <si>
    <t>CRCCRE-ZN-CSJA-HYJN-QQ-2023-016-B1</t>
  </si>
  <si>
    <t>建筑方案补充</t>
  </si>
  <si>
    <t>样板间</t>
  </si>
  <si>
    <t>南光置业无锡项目</t>
  </si>
  <si>
    <t>南光城项目D07 地块二期施工图优化咨 询服务合同</t>
  </si>
  <si>
    <t>CRCCRE-SJ-ZX-2025-003</t>
  </si>
  <si>
    <t>施工图咨询</t>
  </si>
  <si>
    <t>NGWX-NGC.D072Q-QQ-024</t>
  </si>
  <si>
    <t>无锡金银岛置业有限公司</t>
  </si>
  <si>
    <t>非经济性1.5元/㎡+降本增效*4.5%</t>
  </si>
  <si>
    <t>增补</t>
  </si>
  <si>
    <t>完成 D07 地块二期报审版桩基图原工程桩位偏移及 1#楼东南角角桩施工专项咨询咨询部分工作并提交专项咨询报告纸质版报告</t>
  </si>
  <si>
    <t>本合同签订后，乙方同步跟进设计工作，提出建设性意见，确保咨询意见的及时性、准确性，并形成书面资料。待本项目取得审图合格证之后，乙方提交精细化审查意见并经双方确认后一个月之内甲方支付非经济性咨询费用的 80 %。</t>
  </si>
  <si>
    <t>乙方按合同要求完成全部工作内容，并按甲方要求报送本合同结算资料，包括最终版精细化审查总结报告，且办理完成结算后，一个月之内甲方支付非经济性咨询费用的20%。</t>
  </si>
  <si>
    <t>本项目取得审图合格证之后，乙方提交《南光城D07地块二期项目阶段性施工图优化报告》，甲 乙双方根据本项目实际已实现的降本增效价值进行计价，经双方确认后，一个月之内甲方支付经济性咨询费用的90%。</t>
  </si>
  <si>
    <t>乙方按合同要求完成全部工作  内容，并按甲方要求报送结算资 料，包括《南光城D07地块二期 项目全专业施工图优化报告》且办理完成结算后，一个月之内甲 方支付剩余的经济性咨询费用。</t>
  </si>
  <si>
    <t>南光·碧桂园项目二期D07地块二期施工图设计咨询服务合同</t>
  </si>
  <si>
    <t>CRCCRE-SJ-ZX-2023-001</t>
  </si>
  <si>
    <t>非经济性2元/平+落地降本增效价值的5%</t>
  </si>
  <si>
    <t>本合同签订，甲方提交项目相关设计资料，乙方按合同约定提出设计优化意见后，一个月之内甲方支付非经济性咨询费用的20%</t>
  </si>
  <si>
    <t>乙方提交本项目全专业施工图设计咨询报告经甲方确认后，一个月之内甲方支付非经济性咨询费用的80%。</t>
  </si>
  <si>
    <t>甲乙双方根据本项目实现的降本增效价值进行结算，经双方确认后，一个月之内甲方支付经济性咨询费用的100%。</t>
  </si>
  <si>
    <t>南通崇川五龙汇项目</t>
  </si>
  <si>
    <t>南通市CR22012地块项目设计优化咨询服务合同</t>
  </si>
  <si>
    <t>CRCCRE-SJ-ZX-2023-002</t>
  </si>
  <si>
    <t>全过程咨询</t>
  </si>
  <si>
    <t>南光锦湾商业（南通）有限公司</t>
  </si>
  <si>
    <t>全过程咨询3.25元/平米，合同按总价包干</t>
  </si>
  <si>
    <t>乙方完成方案阶段的设计咨询工作并经甲方书面确认后，三十个工作日内，且需配合工规证获取后</t>
  </si>
  <si>
    <t>乙方完成该项目设计咨询增值服务并经甲方书面确认后，三十工作日内</t>
  </si>
  <si>
    <t>乙方完成该项目设计咨询总结报告并经甲方书面确认后，三十个工作日内</t>
  </si>
  <si>
    <t>南通南澳和雅花园项目图纸精细化审查服务合同</t>
  </si>
  <si>
    <t>CRCCRE-SJ-ZX-2023-051</t>
  </si>
  <si>
    <t>固定总价30万元，折合2.15元/平米</t>
  </si>
  <si>
    <t>协议签订并生效后，甲方提交项目相关设计资料，乙方按合同约定开展精审工作经甲方书面确认无误的，且项目获取建设工程规划许可证后，三十个工作日内</t>
  </si>
  <si>
    <t>乙方提交第一版全专业施工图精审咨询报告经甲方书面确认无误的，且项目获取图审合格证后，三十个工作日内</t>
  </si>
  <si>
    <t>项目获取建设工程规划许可证及图审合格证后，乙方提交该项目精审咨询总结报告并经甲方书面确认无误的，三十个工作日内</t>
  </si>
  <si>
    <t>际华四代住宅项目</t>
  </si>
  <si>
    <t>空中庭院式生态住宅建筑设计研究服务合同</t>
  </si>
  <si>
    <t>CRCCRE-SJ-CZ-2023-057</t>
  </si>
  <si>
    <t>新兴际华资产经营管理有限公司</t>
  </si>
  <si>
    <t>预付款在合同签订后支付</t>
  </si>
  <si>
    <t>完成中期汇报，提交符合任务书内容的要求的成果，经甲方书面确认后支付</t>
  </si>
  <si>
    <t>完成终稿汇报，提交满足任务书内容要求的科研内容并通过科技创新专家组审核，经甲方书面确认后</t>
  </si>
  <si>
    <t>清远际华园项目
（完成）</t>
  </si>
  <si>
    <t>CRCCRE-DC-XM-2022-001</t>
  </si>
  <si>
    <t>广州际华园清远项目规划设计招标补偿协议</t>
  </si>
  <si>
    <t>CRCCRE-SJ-CZ-2022-006</t>
  </si>
  <si>
    <t>广东际华园投资发展有限公司</t>
  </si>
  <si>
    <t>甲方完成公开招投标，乙方未中标。本补偿协议签订后。招标人将于本协议签订后 30 日内向未中标人支付技术成果经济补偿费</t>
  </si>
  <si>
    <t>咸宁际华园项目
（完成）</t>
  </si>
  <si>
    <t>CRCCRE-DC-XM-2022-002</t>
  </si>
  <si>
    <t>咸宁际华园（二期）项目方案及施工图设计招标补偿合同</t>
  </si>
  <si>
    <t>CRCCRE-SJ-CZ-2022-007</t>
  </si>
  <si>
    <t>武汉际华园投资建设有限公司</t>
  </si>
  <si>
    <t>甲方完成公开招投标，乙方未中标。经甲方对规划设计方案质量认定，自本合同签订之日起15日内支付</t>
  </si>
  <si>
    <t>西安咸阳际华项目（完成）</t>
  </si>
  <si>
    <t>新兴际华西安际华园住宅项目（际华园兰府）招标方案补偿费支付协议</t>
  </si>
  <si>
    <t>CRCCRE-SJ-XM-2023-030</t>
  </si>
  <si>
    <t>山东绿城青和建筑设计有限公司</t>
  </si>
  <si>
    <t>甲方在收到建设单位支付的相应阶段设计费后10个工作日内支付</t>
  </si>
  <si>
    <t>中国人民大学通州新校区项目</t>
  </si>
  <si>
    <t>CRCCRE-DC-XM-2023-005</t>
  </si>
  <si>
    <t>通州人民大学校医管项目钢结构可建造BIM深化设计服务合同</t>
  </si>
  <si>
    <t>CRCCRE-SJ-BIM-2022-016</t>
  </si>
  <si>
    <t>杭萧钢构(河北)建设有限公司</t>
  </si>
  <si>
    <t>所有详图按照计划时间提交给甲方并经甲方审核通过后15个工作日内支付至合同总价的70%</t>
  </si>
  <si>
    <t>合同范围中图纸内所有构件加工制作完成后15个工作日内支付至合同总价的90%</t>
  </si>
  <si>
    <t>本工程约定的图纸范围内的所有构件现场安装完毕且无质量问题，甲方审计部门进行结算，结算经双方确认后30日内，支付剩余所有设计费用</t>
  </si>
  <si>
    <t>天津花语尚东一期项目</t>
  </si>
  <si>
    <t>CRCCRE-DC-XM-2023-003</t>
  </si>
  <si>
    <t>天津市东丽区花语尚东项目地下室BIM管综优化服务合同</t>
  </si>
  <si>
    <t>CRCCRE-SJ-BIM-2023-002</t>
  </si>
  <si>
    <t>中铁建投（天津）城市发展有限公司</t>
  </si>
  <si>
    <t>乙方提交第一版地下车库及地下室BIM模型且经过甲方确认后双方办理计价手续，次月30个工作日内甲方向乙方支付当期服务费的40%</t>
  </si>
  <si>
    <t>一期：29.12%
二期：34.56%
三期：36.32%</t>
  </si>
  <si>
    <t>一期：460000×29.12%×90%=120556.80元
二期：460000×34.56%×90%=143078.40元</t>
  </si>
  <si>
    <t>乙方根据甲方优化后的施工图纸提交BIM咨询优化报告、完成BIM范围的交底工作且经过甲方确认后双方办理计价手续，次月30个工作日内甲方向乙方支付当期服务费的50%</t>
  </si>
  <si>
    <t>乙方跟踪项目进度，完成设计变更的BIM模型更改，至项目取得竣工备案表后次月30日内甲方向乙方支付当期服务费的10%</t>
  </si>
  <si>
    <t>天津花语尚东项目三四期</t>
  </si>
  <si>
    <t>CRCCRE-DC-XM-2023-011</t>
  </si>
  <si>
    <t>天津市东丽区花语尚东项目三、四期公区及星空顶精装修设计服务合同</t>
  </si>
  <si>
    <t>CRCCRE-SJ-XM-2023-029</t>
  </si>
  <si>
    <t>提交公区精装修设计概念方案设计成果，并得到甲方书面确认，且办理完请款手续后30日内支付公区精装修设计费用的20%</t>
  </si>
  <si>
    <t xml:space="preserve">三期公区设计面积1674.69㎡、
</t>
  </si>
  <si>
    <t>提交公区精装修设计方案设计成果，并得到甲方书面确认，且办理完请款手续30日内支付公区精装修设计费用的30%</t>
  </si>
  <si>
    <t>提交公区精装修设计全套施工图纸，并得到甲方书面确认，且办理完请款手续后30日内支付公区精装修设计费用的30%</t>
  </si>
  <si>
    <t>三期公区施工图可以请</t>
  </si>
  <si>
    <t>星空顶</t>
  </si>
  <si>
    <t>提交星空顶设计全套施工图纸，并得到甲方书面确认，且办理完请款手续后30日内支付星空顶设计费用的80%</t>
  </si>
  <si>
    <t>三期星空顶可以请</t>
  </si>
  <si>
    <t>公区与星空顶</t>
  </si>
  <si>
    <t>公区精装修施工与星空顶施工全部完成并验收通过，根据合同要求办理完结算手续后30日内支付本合同额的20%</t>
  </si>
  <si>
    <t>中铁二十一局集团天津人才基地项目</t>
  </si>
  <si>
    <t>中铁二十一局集团天津人才基地项目施工图设计优化咨询服务合同</t>
  </si>
  <si>
    <t>CRCCRE-SJ-XM-2023-019</t>
  </si>
  <si>
    <t>天津德盛和置业有限公司</t>
  </si>
  <si>
    <t>非经：1元/㎡
经济：10%*优化量（上限38万）</t>
  </si>
  <si>
    <t>非经济性</t>
  </si>
  <si>
    <r>
      <rPr>
        <sz val="10"/>
        <color rgb="FF000000"/>
        <rFont val="宋体"/>
        <charset val="134"/>
      </rPr>
      <t>乙方提交第一版全专业施工图优化设计咨询报告后，经甲方确认后在30个工作日内甲方支付施工图优化设计咨询服务费</t>
    </r>
    <r>
      <rPr>
        <sz val="10"/>
        <color rgb="FF000000"/>
        <rFont val="宋体"/>
        <charset val="134"/>
        <scheme val="minor"/>
      </rPr>
      <t>中非经济性咨询优化费用的80%给乙方</t>
    </r>
  </si>
  <si>
    <t>经济性</t>
  </si>
  <si>
    <r>
      <rPr>
        <sz val="10"/>
        <color rgb="FF000000"/>
        <rFont val="宋体"/>
        <charset val="134"/>
      </rPr>
      <t>甲方完成施工图审查并取得审查合格证后，在30个工作日内甲方支付施工图优化设计咨询服务费</t>
    </r>
    <r>
      <rPr>
        <sz val="10"/>
        <color rgb="FF000000"/>
        <rFont val="宋体"/>
        <charset val="134"/>
        <scheme val="minor"/>
      </rPr>
      <t>中经济性咨询优化费用的80%给乙方</t>
    </r>
  </si>
  <si>
    <t>尾款</t>
  </si>
  <si>
    <r>
      <rPr>
        <sz val="10"/>
        <color rgb="FF000000"/>
        <rFont val="宋体"/>
        <charset val="134"/>
      </rPr>
      <t>乙方完成该项目设计咨询总结报告并经甲方认可后，在30个工作日内甲方支付施工图优化设计咨询服务费</t>
    </r>
    <r>
      <rPr>
        <sz val="10"/>
        <color rgb="FF000000"/>
        <rFont val="宋体"/>
        <charset val="134"/>
        <scheme val="minor"/>
      </rPr>
      <t>剩余全部费用给乙方</t>
    </r>
  </si>
  <si>
    <t>宿州花语华府项目</t>
  </si>
  <si>
    <t>CRCCRE-DC-XM-2023-007</t>
  </si>
  <si>
    <t>宿州花语华府项目地下室BIM管综优化服务合同</t>
  </si>
  <si>
    <t>CRCCRE-SJ-BIM-2023-013</t>
  </si>
  <si>
    <t>中铁建设-SZFZ-HT-QQ-2023-024</t>
  </si>
  <si>
    <t>中铁建投（宿州）城市发展有限公司</t>
  </si>
  <si>
    <t>4.52元/㎡</t>
  </si>
  <si>
    <t>乙方提交第一版BIM模型及图纸问题报告且经过甲方确认后，30个工作日内。</t>
  </si>
  <si>
    <t>银信2024/8/5到期</t>
  </si>
  <si>
    <t>乙方根据甲方优化后的施工图纸，完成BIM管综咨询优化报告且经书面确认后，30个工作日内。</t>
  </si>
  <si>
    <t>乙方提交BIM管综图纸、完成BIM范围的交底工作且经书面确认后，30个工作日内。</t>
  </si>
  <si>
    <t>乙方跟踪项目进度，完成设计变更的BIM模型更改，至项目取得竣工备案表后15个共工作日内双方办理计价手续，次月支付剩余合同额。</t>
  </si>
  <si>
    <t>通马路交通枢纽项目
（完成）</t>
  </si>
  <si>
    <t>CRCCRE-DC-XM-2023-024</t>
  </si>
  <si>
    <t>通马路交通枢纽项目B区钢结构可建造BIM深化设计服务合同</t>
  </si>
  <si>
    <t>CRCCRE-SJ-BIM-2023-003</t>
  </si>
  <si>
    <t>70元/㎡</t>
  </si>
  <si>
    <t>结算金额：235470元
已开票金额：211085元</t>
  </si>
  <si>
    <t>八角游乐园来临时设施改造项目的产值调整（82500元中，给工程40%，给创二20%）</t>
  </si>
  <si>
    <t>通州人民大学食堂项目</t>
  </si>
  <si>
    <t>CRCCRE-DC-XM-2023-023</t>
  </si>
  <si>
    <t>通州人民大学食堂钢结构可建造BIM深化设计服务合同</t>
  </si>
  <si>
    <t>CRCCRE-SJ-BIM-2023-006</t>
  </si>
  <si>
    <t>白云国际机场三期扩建工程三号航站楼项目</t>
  </si>
  <si>
    <t>CRCCRE-DC-XM-2023-022</t>
  </si>
  <si>
    <t>白云机场T3航站楼钢结构工程第二标段深化设计合同</t>
  </si>
  <si>
    <t>CRCCRE-SJ-BIM-2023-014</t>
  </si>
  <si>
    <t>中建三局钢构科技有限公司</t>
  </si>
  <si>
    <t>4000t</t>
  </si>
  <si>
    <t>42.4元/t</t>
  </si>
  <si>
    <t>进度款按季度计量支付，支付比例85%</t>
  </si>
  <si>
    <t>剩余15%的进度款在乙方报送图纸完
成，钢结构现场安装并验收后，双方办理结算，结算后30 天内甲方支付乙方进度款。</t>
  </si>
  <si>
    <t>清华大学通州基地千人报告厅项目</t>
  </si>
  <si>
    <t>CRCCRE-DC-XM-2024-010</t>
  </si>
  <si>
    <t>清华大学通州基地千人报告厅项目钢结构工程深化设计合同</t>
  </si>
  <si>
    <t>CRCCRE-SJ-XM-2024-012</t>
  </si>
  <si>
    <t>2950t</t>
  </si>
  <si>
    <t>59.36元/t</t>
  </si>
  <si>
    <t>回款乘以0.85</t>
  </si>
  <si>
    <t>剩余15%的进度款在乙方报送图纸完成，钢结构现场安装并验收后，双方办理结算，结算后30 天内甲方支付乙方进度款。</t>
  </si>
  <si>
    <t>雄安城际站枢纽配套工程二区项目</t>
  </si>
  <si>
    <t>CRCCRE-DC-XM-2024-011</t>
  </si>
  <si>
    <t>雄安城际站枢纽配套工程二区项目钢结构工程深化设计合同</t>
  </si>
  <si>
    <t>CRCCRE-SJ-XM-2024-014</t>
  </si>
  <si>
    <t>1600t</t>
  </si>
  <si>
    <t>49.82元/t</t>
  </si>
  <si>
    <r>
      <rPr>
        <sz val="10"/>
        <color rgb="FF000000"/>
        <rFont val="宋体"/>
        <charset val="134"/>
      </rPr>
      <t xml:space="preserve">响螺湾项目C-03地块可研
</t>
    </r>
    <r>
      <rPr>
        <sz val="10"/>
        <color rgb="FFFF0000"/>
        <rFont val="宋体"/>
        <charset val="134"/>
      </rPr>
      <t>（完结）</t>
    </r>
  </si>
  <si>
    <t>响螺湾项目C-03地块可研规划方案设计合同</t>
  </si>
  <si>
    <t>CRCCRE-SJ-CZ-2022-005</t>
  </si>
  <si>
    <t>新兴达美（天津）投资有限公司</t>
  </si>
  <si>
    <t>完成合同约定的全部工作，按甲方要求提交请款资料，在完成相应的内核机制后，甲方将于次日30日前向乙方支付合同全部款项</t>
  </si>
  <si>
    <t>沈阳大厦项目</t>
  </si>
  <si>
    <t>沈阳金融中心和C地块小学钢结构深化设计合同</t>
  </si>
  <si>
    <t>CRCCRE-SJ-SJ-2025-004</t>
  </si>
  <si>
    <t>cscec-ht2-2025101506399</t>
  </si>
  <si>
    <t>25000t</t>
  </si>
  <si>
    <t>天津响螺湾03-94地块项目</t>
  </si>
  <si>
    <t>响螺湾安阳道北侧03-94地块强排方案设计合同</t>
  </si>
  <si>
    <t>CRCCRE-SJ-CZ-2023-051</t>
  </si>
  <si>
    <t>乙方完成合同约定的全部工作，按甲方要求提交请款资料（包括不限于请款函、《工作任务单》、双方签字确认的成果文件等），且双方办理完结算手续后，甲方将于次月一次性向乙方支付结算金额的全部款项。</t>
  </si>
  <si>
    <t>扬中际华园项目</t>
  </si>
  <si>
    <t>扬中际华园项目规划方案及施工图设计合同</t>
  </si>
  <si>
    <t>CRCCRE-SJ-CZ-2022-009</t>
  </si>
  <si>
    <t>约50万平</t>
  </si>
  <si>
    <t>完成并提供第一轮方案文本及各项技术资料,经甲方审议通过并汇报政府后,支付第一笔设计费,设计人根据发包人要求提供请款材料，经发包人审核确认后，次月25日前支付</t>
  </si>
  <si>
    <t>（首开区出施工图）</t>
  </si>
  <si>
    <t>第一笔日清部分</t>
  </si>
  <si>
    <t>完成后续方案设计调整,提供完整的方案文本及各项技术资料, 经甲方审议通过并汇报政府后，得到政府等相关部门同意，具备成熟的上会条件，支付第二笔设计费，设计人根据发包人要求提供请款材料，经发包人审核确认后，次月25日前支付</t>
  </si>
  <si>
    <t>方案调整、修改完成，通过规划方案评审会(专家会、规委会）及通过政府审查后（规划复函），设计人根据发包人要求提供请款材料，经发包人审核确认后，次月25日前支付</t>
  </si>
  <si>
    <t>单体报建完成、规划方案审图盖章并取得工规证后，设计人根据发包人要求提供请款材料，经发包人审核确认后，次月25日前支付</t>
  </si>
  <si>
    <t>施工图完成并取得审查合格书后，设计人根据发包人要求提供请款材料，经发包人审核确认后，次月25日前支付</t>
  </si>
  <si>
    <t>主体结构验收通过后请，设计人根据发包人要求提供请款材料，经发包人审核确认后，次月25日前支付</t>
  </si>
  <si>
    <t>消防、节能、设备等所有专项验收通过后，设计人根据发包人要求提供请款材料，经发包人审核确认后，次月25日前支付</t>
  </si>
  <si>
    <t>施工图配合、竣工验收及备案完成、结算完毕后，设计人根据发包人要求提供请款材料，经发包人审核确认后，次月25日前支付</t>
  </si>
  <si>
    <t>南京市玄武区黑墨营NO.2019G86地块项目</t>
  </si>
  <si>
    <t>南京市玄武区黑墨营NO.2019G86地块项目地下车库设计优化咨询服务合同</t>
  </si>
  <si>
    <t>CRCCRE-SJ-GC-2020-009</t>
  </si>
  <si>
    <t>南京长江都市建筑设计股份有限公司</t>
  </si>
  <si>
    <t>施工图审查合格后30日内</t>
  </si>
  <si>
    <t>竣工验收后30日内</t>
  </si>
  <si>
    <t>华东-铁投</t>
  </si>
  <si>
    <t>CRCCRE-SJ-CZ-2021-013</t>
  </si>
  <si>
    <t>12万元/项目
12万元/项目</t>
  </si>
  <si>
    <t>乙方按照双方确认的设计阶段及相应费用，统一计入台账（附件一），并以台账为请款依据，进入付款流程。双方约定，台账自协议签订起计算，每个季度为一结算周期。乙方应于每季度最后1个月统计本季度完成工作量，并于当月25日前，按甲方要求提交本季度各项目完成情况的相关资料（包括不限于台账、请款函、成果确认单等），甲方确认无误后将于次月底向乙方支付相应款项。</t>
  </si>
  <si>
    <t xml:space="preserve">
创二：汉阳区
杨泗港ABNO项目12万元；武昌滨江商务区
项目12万元</t>
  </si>
  <si>
    <t xml:space="preserve">
创二：汉阳区
杨泗港ABNO项目12万元；武昌滨江商务区
项目12万元。</t>
  </si>
  <si>
    <t>哈尔滨总部基地项目</t>
  </si>
  <si>
    <t>CRCCRE-DC-XM-2021-013</t>
  </si>
  <si>
    <t>中国铁建黑龙江总部基地项目建筑设计咨询服务合同</t>
  </si>
  <si>
    <t>CRCCRE-SJ-ZX-2021-014</t>
  </si>
  <si>
    <t>哈尔滨京洲置业发展有限公司</t>
  </si>
  <si>
    <t>1235期规证面积为：426656.09㎡
单价：7元/㎡
合计产值为：
2687933.37元</t>
  </si>
  <si>
    <t>1235期20%
597318.53</t>
  </si>
  <si>
    <t>1235期8月出总结报告，8月份付清（100万银信）</t>
  </si>
  <si>
    <t>1235期30%
895977.79</t>
  </si>
  <si>
    <t>4期未确认产值</t>
  </si>
  <si>
    <t>哈尔滨总部基地</t>
  </si>
  <si>
    <t>哈尔滨市城市研究方案合同</t>
  </si>
  <si>
    <t>CRCCRE-SJ-CZ-2024-006</t>
  </si>
  <si>
    <t>CRCCRE-JZZY-QQ-2024-004</t>
  </si>
  <si>
    <t>5万元</t>
  </si>
  <si>
    <t>乙方完成合同约定的全部工作，按甲方要求提交请款资料（包括不限于请款函、《工作任务单》、双方签字确认的成果文件，增值税专用发票等），甲方将于请款资料审核无误后的次月30日前向乙方支付合同全部款项。</t>
  </si>
  <si>
    <t>中国铁建·黑龙江总部基地项目地下室BIM管综优化技术咨询服务合同</t>
  </si>
  <si>
    <t>CRCCRE-SJ-BIM-2022-006</t>
  </si>
  <si>
    <t>CRCCRE-DB-JZZY-QQ-2021-021</t>
  </si>
  <si>
    <t>地下管综建模：7元/㎡</t>
  </si>
  <si>
    <t>合同签订后15个工作日内,支付合同额的 20%</t>
  </si>
  <si>
    <t>乙方提交第一版地下室管线BIM模型后，15个工作日内，支付合同额的 30%</t>
  </si>
  <si>
    <t>乙方提交第一版地下室管线优化BIM报告后，15个工作日内，支付合同额的40%</t>
  </si>
  <si>
    <t>乙方提交最终版地下室BIM优化报告，15个工作日内，支付合同额的 10%，按照建筑工程规划许可证地下面积进行结算</t>
  </si>
  <si>
    <t>北方区域2024-2025年度强排协议XM-2024-002</t>
  </si>
  <si>
    <t>2024-2025年度项目前期强排规划概念方案设计合作协议</t>
  </si>
  <si>
    <t>CRCCRE-SJ-XM-2024-002</t>
  </si>
  <si>
    <t>CRCCRE-BF-SJZX-2024-001</t>
  </si>
  <si>
    <t>强排版3万；标准版8万；深化版25万。</t>
  </si>
  <si>
    <t>本合同无预付款，乙方就已完成的工作量有向甲方收取款项的权利。每季度末月（3月、6月、9月、12月）20日前，双方就每季度发生的强排费用进行阶段性确认（每宗土地在竞拍结束后方可进行费用的确认），并由甲方管理部门出具书面确认资料；乙方在25日前，按甲方管理部门要求提交本季度请款资料（包括不限于请款函、《项目成果确认单》、《季度项目结算单》及双方签字确认的成果文件等），甲方将于次月底向乙方支付本季度进度款。</t>
  </si>
  <si>
    <t>涿州荣富房地产开发有限公司
（200600）</t>
  </si>
  <si>
    <t>河北兴铁房地产开发有限公司
（92400）</t>
  </si>
  <si>
    <t>天津弘创置业有限公司
（231000）</t>
  </si>
  <si>
    <t>北京恒良悦通房地产开发有限公司
（316800）</t>
  </si>
  <si>
    <t>中铁房地产集团济南置业有限公司
（129200）</t>
  </si>
  <si>
    <t>北京恒良悦通房地产开发有限公司
（248200）</t>
  </si>
  <si>
    <t>河北兴铁房地产开发有限公司
（280600）</t>
  </si>
  <si>
    <t>中铁房地产集团济南置业有限公司
（72500）</t>
  </si>
  <si>
    <t>中铁房地产集团济南置业有限公司
（280600）</t>
  </si>
  <si>
    <t>天津弘创置业有限公司
（631600）</t>
  </si>
  <si>
    <t>涿州荣富房地产开发有限公司
（276500）</t>
  </si>
  <si>
    <t>涿州391亩地项目</t>
  </si>
  <si>
    <t>涿州高铁新城2021-08、09号地项目设计咨询服务合同</t>
  </si>
  <si>
    <t>CRCCRE-SJ-ZX-2021-016</t>
  </si>
  <si>
    <t>涿州京盛越达房地产开发有限公司</t>
  </si>
  <si>
    <t>乙方完成方案阶段的设计咨询工作，提交电子版《方案阶段设计咨询意见》，甲方取得建设工程规划许可证后30个工作日内，双方根据建设工程规划许可证面积进行结算，付至结算费用的40%</t>
  </si>
  <si>
    <t>乙方完成施工图阶段的设计咨询工作且向甲方提交优化成果（包括但不限于优化后的设计文件、设计咨询报告、施工图设计咨询意见），全专业施工图通过甲方委托的第三方审核，并取得施工图审查合格通知书后30个工作日内，付至结算费用的95%，若项目分期取得施工图审查合格证，则按分期面积分别进行结算</t>
  </si>
  <si>
    <t>乙方配合甲方以及与本工程施工所有相关单位至竣工验收并取得竣工备案表，双方办理最终结算手续，按照建设工程规划许可证建筑面积结算并支付余下的费用</t>
  </si>
  <si>
    <t>杭州片区可研项目</t>
  </si>
  <si>
    <t>2022-2024年度项目前期强排
规划概念方案设计合作协议</t>
  </si>
  <si>
    <t>CRCCRE-SJ-XM-2022-012</t>
  </si>
  <si>
    <t>CRCCRE-HD-HZ-SXJY-HYJN-QQ-2022-002</t>
  </si>
  <si>
    <t>强排版2万；标准版5万；深化版30万。</t>
  </si>
  <si>
    <t>创作一室/创作二室</t>
  </si>
  <si>
    <t>每季度末月，根据实际完成量据实结算</t>
  </si>
  <si>
    <r>
      <rPr>
        <b/>
        <sz val="10"/>
        <color rgb="FF000000"/>
        <rFont val="宋体"/>
        <charset val="134"/>
      </rPr>
      <t>为自揽项目</t>
    </r>
    <r>
      <rPr>
        <sz val="10"/>
        <color rgb="FF000000"/>
        <rFont val="宋体"/>
        <charset val="134"/>
      </rPr>
      <t xml:space="preserve">
创作二室2万：杭州临平区地块项目</t>
    </r>
  </si>
  <si>
    <r>
      <rPr>
        <b/>
        <sz val="10"/>
        <color rgb="FF000000"/>
        <rFont val="宋体"/>
        <charset val="134"/>
      </rPr>
      <t>均为外委项目
创作一室43万：</t>
    </r>
    <r>
      <rPr>
        <sz val="10"/>
        <color rgb="FF000000"/>
        <rFont val="宋体"/>
        <charset val="134"/>
      </rPr>
      <t>中铁建运河新城GS1001-17地块</t>
    </r>
    <r>
      <rPr>
        <b/>
        <sz val="10"/>
        <color rgb="FF000000"/>
        <rFont val="宋体"/>
        <charset val="134"/>
      </rPr>
      <t>5万</t>
    </r>
    <r>
      <rPr>
        <sz val="10"/>
        <color rgb="FF000000"/>
        <rFont val="宋体"/>
        <charset val="134"/>
      </rPr>
      <t>；良渚组团LZ08-1单元FG05-R21-02地块</t>
    </r>
    <r>
      <rPr>
        <b/>
        <sz val="10"/>
        <color rgb="FF000000"/>
        <rFont val="宋体"/>
        <charset val="134"/>
      </rPr>
      <t>5万</t>
    </r>
    <r>
      <rPr>
        <sz val="10"/>
        <color rgb="FF000000"/>
        <rFont val="宋体"/>
        <charset val="134"/>
      </rPr>
      <t>；华丰单元XC1005-R21-02地块</t>
    </r>
    <r>
      <rPr>
        <b/>
        <sz val="10"/>
        <color rgb="FF000000"/>
        <rFont val="宋体"/>
        <charset val="134"/>
      </rPr>
      <t>5万</t>
    </r>
    <r>
      <rPr>
        <sz val="10"/>
        <color rgb="FF000000"/>
        <rFont val="宋体"/>
        <charset val="134"/>
      </rPr>
      <t>；上塘单元FG01-R21-01地块</t>
    </r>
    <r>
      <rPr>
        <b/>
        <sz val="10"/>
        <color rgb="FF000000"/>
        <rFont val="宋体"/>
        <charset val="134"/>
      </rPr>
      <t>5万</t>
    </r>
    <r>
      <rPr>
        <sz val="10"/>
        <color rgb="FF000000"/>
        <rFont val="宋体"/>
        <charset val="134"/>
      </rPr>
      <t>；瓶窑D8地块</t>
    </r>
    <r>
      <rPr>
        <b/>
        <sz val="10"/>
        <color rgb="FF000000"/>
        <rFont val="宋体"/>
        <charset val="134"/>
      </rPr>
      <t>5万</t>
    </r>
    <r>
      <rPr>
        <sz val="10"/>
        <color rgb="FF000000"/>
        <rFont val="宋体"/>
        <charset val="134"/>
      </rPr>
      <t>；瓶窑D9地块</t>
    </r>
    <r>
      <rPr>
        <b/>
        <sz val="10"/>
        <color rgb="FF000000"/>
        <rFont val="宋体"/>
        <charset val="134"/>
      </rPr>
      <t>2万</t>
    </r>
    <r>
      <rPr>
        <sz val="10"/>
        <color rgb="FF000000"/>
        <rFont val="宋体"/>
        <charset val="134"/>
      </rPr>
      <t>；余杭组团YH-18单元（高铁枢纽中心）YH18G-R21-06地块</t>
    </r>
    <r>
      <rPr>
        <b/>
        <sz val="10"/>
        <color rgb="FF000000"/>
        <rFont val="宋体"/>
        <charset val="134"/>
      </rPr>
      <t>5万</t>
    </r>
    <r>
      <rPr>
        <sz val="10"/>
        <color rgb="FF000000"/>
        <rFont val="宋体"/>
        <charset val="134"/>
      </rPr>
      <t>；下沙中心区单元JS0405-34地块</t>
    </r>
    <r>
      <rPr>
        <b/>
        <sz val="10"/>
        <color rgb="FF000000"/>
        <rFont val="宋体"/>
        <charset val="134"/>
      </rPr>
      <t>2万</t>
    </r>
    <r>
      <rPr>
        <sz val="10"/>
        <color rgb="FF000000"/>
        <rFont val="宋体"/>
        <charset val="134"/>
      </rPr>
      <t>；中铁建-绍兴洋江西路以北1号地块</t>
    </r>
    <r>
      <rPr>
        <b/>
        <sz val="10"/>
        <color rgb="FF000000"/>
        <rFont val="宋体"/>
        <charset val="134"/>
      </rPr>
      <t>2万</t>
    </r>
    <r>
      <rPr>
        <sz val="10"/>
        <color rgb="FF000000"/>
        <rFont val="宋体"/>
        <charset val="134"/>
      </rPr>
      <t>；中铁建-绍兴洋江西路以北2号地块</t>
    </r>
    <r>
      <rPr>
        <b/>
        <sz val="10"/>
        <color rgb="FF000000"/>
        <rFont val="宋体"/>
        <charset val="134"/>
      </rPr>
      <t>2万</t>
    </r>
    <r>
      <rPr>
        <sz val="10"/>
        <color rgb="FF000000"/>
        <rFont val="宋体"/>
        <charset val="134"/>
      </rPr>
      <t>；之江度假区单元XH1705-22地块</t>
    </r>
    <r>
      <rPr>
        <b/>
        <sz val="10"/>
        <color rgb="FF000000"/>
        <rFont val="宋体"/>
        <charset val="134"/>
      </rPr>
      <t>5万</t>
    </r>
    <r>
      <rPr>
        <sz val="10"/>
        <color rgb="FF000000"/>
        <rFont val="宋体"/>
        <charset val="134"/>
      </rPr>
      <t xml:space="preserve">。
</t>
    </r>
    <r>
      <rPr>
        <b/>
        <sz val="10"/>
        <color rgb="FF000000"/>
        <rFont val="宋体"/>
        <charset val="134"/>
      </rPr>
      <t>创作二室49.5万：</t>
    </r>
    <r>
      <rPr>
        <sz val="10"/>
        <color rgb="FF000000"/>
        <rFont val="宋体"/>
        <charset val="134"/>
      </rPr>
      <t>中铁建四堡七堡单元JG1402-22地</t>
    </r>
    <r>
      <rPr>
        <b/>
        <sz val="10"/>
        <color rgb="FF000000"/>
        <rFont val="宋体"/>
        <charset val="134"/>
      </rPr>
      <t>块5万</t>
    </r>
    <r>
      <rPr>
        <sz val="10"/>
        <color rgb="FF000000"/>
        <rFont val="宋体"/>
        <charset val="134"/>
      </rPr>
      <t>；中铁建-良渚北部新城LZ10单元LZ1004-R21-08地块</t>
    </r>
    <r>
      <rPr>
        <b/>
        <sz val="10"/>
        <color rgb="FF000000"/>
        <rFont val="宋体"/>
        <charset val="134"/>
      </rPr>
      <t>5万</t>
    </r>
    <r>
      <rPr>
        <sz val="10"/>
        <color rgb="FF000000"/>
        <rFont val="宋体"/>
        <charset val="134"/>
      </rPr>
      <t>；中铁建-良渚北部新城LZ10单元LZ1004- R21-09、LZ1004-R21-10地块</t>
    </r>
    <r>
      <rPr>
        <b/>
        <sz val="10"/>
        <color rgb="FF000000"/>
        <rFont val="宋体"/>
        <charset val="134"/>
      </rPr>
      <t>5万</t>
    </r>
    <r>
      <rPr>
        <sz val="10"/>
        <color rgb="FF000000"/>
        <rFont val="宋体"/>
        <charset val="134"/>
      </rPr>
      <t>中铁建-良渚北部新城LZ10单元LZ1005 -R21 -02地块</t>
    </r>
    <r>
      <rPr>
        <b/>
        <sz val="10"/>
        <color rgb="FF000000"/>
        <rFont val="宋体"/>
        <charset val="134"/>
      </rPr>
      <t>5万</t>
    </r>
    <r>
      <rPr>
        <sz val="10"/>
        <color rgb="FF000000"/>
        <rFont val="宋体"/>
        <charset val="134"/>
      </rPr>
      <t>；中铁建-良渚北部新城LZ10单元LZ1005 -R21 -01地块</t>
    </r>
    <r>
      <rPr>
        <b/>
        <sz val="10"/>
        <color rgb="FF000000"/>
        <rFont val="宋体"/>
        <charset val="134"/>
      </rPr>
      <t>7.5万</t>
    </r>
    <r>
      <rPr>
        <sz val="10"/>
        <color rgb="FF000000"/>
        <rFont val="宋体"/>
        <charset val="134"/>
      </rPr>
      <t>；中铁建四堡七堡单元JG1404-47地块</t>
    </r>
    <r>
      <rPr>
        <b/>
        <sz val="10"/>
        <color rgb="FF000000"/>
        <rFont val="宋体"/>
        <charset val="134"/>
      </rPr>
      <t>5万</t>
    </r>
    <r>
      <rPr>
        <sz val="10"/>
        <color rgb="FF000000"/>
        <rFont val="宋体"/>
        <charset val="134"/>
      </rPr>
      <t>；中铁建-下沙元成单元JS02-03-R21-01地块</t>
    </r>
    <r>
      <rPr>
        <b/>
        <sz val="10"/>
        <color rgb="FF000000"/>
        <rFont val="宋体"/>
        <charset val="134"/>
      </rPr>
      <t>5万</t>
    </r>
    <r>
      <rPr>
        <sz val="10"/>
        <color rgb="FF000000"/>
        <rFont val="宋体"/>
        <charset val="134"/>
      </rPr>
      <t>；四堡七堡单元JG1405-41、42地块</t>
    </r>
    <r>
      <rPr>
        <b/>
        <sz val="10"/>
        <color rgb="FF000000"/>
        <rFont val="宋体"/>
        <charset val="134"/>
      </rPr>
      <t>5万</t>
    </r>
    <r>
      <rPr>
        <sz val="10"/>
        <color rgb="FF000000"/>
        <rFont val="宋体"/>
        <charset val="134"/>
      </rPr>
      <t>；东新单元XC0603-R21-03地块</t>
    </r>
    <r>
      <rPr>
        <b/>
        <sz val="10"/>
        <color rgb="FF000000"/>
        <rFont val="宋体"/>
        <charset val="134"/>
      </rPr>
      <t>5万</t>
    </r>
    <r>
      <rPr>
        <sz val="10"/>
        <color rgb="FF000000"/>
        <rFont val="宋体"/>
        <charset val="134"/>
      </rPr>
      <t>；中铁建良-绍兴越城区梅山东1号地块</t>
    </r>
    <r>
      <rPr>
        <b/>
        <sz val="10"/>
        <color rgb="FF000000"/>
        <rFont val="宋体"/>
        <charset val="134"/>
      </rPr>
      <t>2万</t>
    </r>
  </si>
  <si>
    <t>外委（创一+创二）</t>
  </si>
  <si>
    <t>湖墅单元GS0201-R21-02 地块5万；艮山门TOD项目XC0403-56上盖+白地15万；杭州市萧山区钱江世纪城北单元5万；湖墅单元GS0201-R21-03-1地块30万；</t>
  </si>
  <si>
    <t>上海片区可研项目
（22-24年）（完结）</t>
  </si>
  <si>
    <t>CRCCRE-SJ-CZ-2022-008</t>
  </si>
  <si>
    <r>
      <rPr>
        <b/>
        <sz val="10"/>
        <color rgb="FF000000"/>
        <rFont val="宋体"/>
        <charset val="134"/>
      </rPr>
      <t>均为自揽项目
创作一室89万：</t>
    </r>
    <r>
      <rPr>
        <sz val="10"/>
        <color rgb="FF000000"/>
        <rFont val="宋体"/>
        <charset val="134"/>
      </rPr>
      <t>上海青浦区西虹桥沪青平公路北48-06A地块5万；上海浦东105组团F09-01地块项目5万；上海青浦区赵巷镇佳迪路西侧B4-01地块项目5万；上海东新区新场镇古镇东单元（PDXC-02）09B-02地块项目5万；上海松江佘山北基地23A-01A号地块项目5万；上海市浦东惠南A8-3地块项目27万；上海青浦赵巷佳恒路三地块项目2万；上海马陆复华园区02-01地块项目5万；上海唐镇地块项目30万。</t>
    </r>
    <r>
      <rPr>
        <b/>
        <sz val="10"/>
        <color rgb="FF000000"/>
        <rFont val="宋体"/>
        <charset val="134"/>
      </rPr>
      <t>创作二室20万</t>
    </r>
    <r>
      <rPr>
        <sz val="10"/>
        <color rgb="FF000000"/>
        <rFont val="宋体"/>
        <charset val="134"/>
      </rPr>
      <t>：上海闵行区梅陇社区03单元01-25-02地块5万；上海闵行区七宝镇18-01、22-01地块项目5万；上海青浦区西虹桥沪青平公路北侧44-15地块项目5万；上海市浦东惠南A8-3地块项目3万；上海嘉定菊园新区30-01地块项目2万</t>
    </r>
  </si>
  <si>
    <t>上海片区可研项目（23-25年）</t>
  </si>
  <si>
    <t>2023-2025年度项目前期强排
规划概念方案设计合作协议</t>
  </si>
  <si>
    <t>CRCCRE-SJ-CZ-2023-019</t>
  </si>
  <si>
    <t>上海京沐鑫房地产有限公司</t>
  </si>
  <si>
    <t>自揽（创一）</t>
  </si>
  <si>
    <t>创一自揽：
上海青浦区赵巷镇佳环路东侧B2-01地块项目15万；上海松江区05-02地块项目2万；</t>
  </si>
  <si>
    <t>2023-2025年度项目前期强排规划概念方案设计合作协议</t>
  </si>
  <si>
    <t>CRCCRE-SJ-CZ-2023-018</t>
  </si>
  <si>
    <t>上海京淼鑫房地产有限公司</t>
  </si>
  <si>
    <t>创一自揽：上海朱家角2地块项目2万</t>
  </si>
  <si>
    <t>此部分已请款，有明细，详见区域台账</t>
  </si>
  <si>
    <t>自揽（创一+创二）</t>
  </si>
  <si>
    <r>
      <rPr>
        <sz val="10"/>
        <color rgb="FFFF0000"/>
        <rFont val="宋体"/>
        <charset val="134"/>
      </rPr>
      <t>此部分未请款，来源可研管理台账</t>
    </r>
    <r>
      <rPr>
        <sz val="10"/>
        <color rgb="FF000000"/>
        <rFont val="宋体"/>
        <charset val="134"/>
      </rPr>
      <t xml:space="preserve">
</t>
    </r>
    <r>
      <rPr>
        <b/>
        <sz val="10"/>
        <color rgb="FF000000"/>
        <rFont val="宋体"/>
        <charset val="134"/>
      </rPr>
      <t>创作一室：</t>
    </r>
    <r>
      <rPr>
        <sz val="10"/>
        <color rgb="FF000000"/>
        <rFont val="宋体"/>
        <charset val="134"/>
      </rPr>
      <t xml:space="preserve">
上海嘉定菊园50-01地块（嘉定区嘉定新城板块城北路东侧40亩）5万
上海静安地块5万
上海古美地块15万
上海闵行区梅陇社区MHPO-0303单元01-26-01地块5万
上海洋浦地块5万
上海浦东世博地块5万
</t>
    </r>
    <r>
      <rPr>
        <b/>
        <sz val="10"/>
        <color rgb="FF000000"/>
        <rFont val="宋体"/>
        <charset val="134"/>
      </rPr>
      <t>创作二室：</t>
    </r>
    <r>
      <rPr>
        <sz val="10"/>
        <color rgb="FF000000"/>
        <rFont val="宋体"/>
        <charset val="134"/>
      </rPr>
      <t xml:space="preserve">
上海浦江地块（上海市闵行区浦江镇板块浦申路东侧75亩）5万</t>
    </r>
  </si>
  <si>
    <t>未明确项目（创一+创二）</t>
  </si>
  <si>
    <t>此部分未明确项目</t>
  </si>
  <si>
    <t>CRCCRE-SJ-CZ-2023-010</t>
  </si>
  <si>
    <t>上海京泽鑫房地产开发有限公司</t>
  </si>
  <si>
    <t>外委（创一）</t>
  </si>
  <si>
    <t>上海片区可研项目（24-26年）（久其立项名称：上海片区2024-2026年度强排协议CZ-2024-007）</t>
  </si>
  <si>
    <t>2024-2026年度项目前期强排
规划概念方案设计合作协议</t>
  </si>
  <si>
    <t>CRCCRE-SJ-CZ-2024-007</t>
  </si>
  <si>
    <t>CRCCRE-HD-SHJH-SHFXXDJDXM-KF.QQ.02.05-2024-001</t>
  </si>
  <si>
    <t>上海京泓润房地产开发有限公司</t>
  </si>
  <si>
    <t>强排版2万；标准版5万；深化版30万；基坑支护0.5万</t>
  </si>
  <si>
    <t>【创一自揽】华东户型标准化</t>
  </si>
  <si>
    <t>创一</t>
  </si>
  <si>
    <t>【创一自揽】嘉定区菊园50-01地块（5万）、闵行区梅陇社区03单元01-26-01地块（5万）、浦东上钢街道Z00-0101单元37-12地块（2万）、杨浦区平凉社区02H1-01地块（5万）、杨浦区长海社区016-02地块(长海街道337街坊)（5万）</t>
  </si>
  <si>
    <t>【创一外委】杨浦区长海社区016-02地块(长海街道337街坊)</t>
  </si>
  <si>
    <t>【创一自揽】杭州市萧山区钱江世纪城北单元</t>
  </si>
  <si>
    <t>【创一自揽】杭州萧山世纪城核心区块单元19号地块</t>
  </si>
  <si>
    <t>【创一外委】杭州萧山世纪城核心区块单元19号地块</t>
  </si>
  <si>
    <t>【创一外委】徐汇区长桥街道xh315-10、xh313-16地块、川沙新镇C05-20地块</t>
  </si>
  <si>
    <t>【创二外委】详可研台账</t>
  </si>
  <si>
    <t>创二</t>
  </si>
  <si>
    <t>【创一外委】基坑</t>
  </si>
  <si>
    <t>【创二外委】基坑</t>
  </si>
  <si>
    <t>南京片区可研项目</t>
  </si>
  <si>
    <t>CRCCRE-SJ-CZ-2022-015</t>
  </si>
  <si>
    <t>南京京城房地产开发有限公司</t>
  </si>
  <si>
    <t>每季度末月，根据实际完成量据实结算（自揽）</t>
  </si>
  <si>
    <r>
      <rPr>
        <b/>
        <sz val="10"/>
        <color rgb="FF000000"/>
        <rFont val="宋体"/>
        <charset val="134"/>
      </rPr>
      <t>均为自揽项目
创作一室17万：</t>
    </r>
    <r>
      <rPr>
        <sz val="10"/>
        <color rgb="FF000000"/>
        <rFont val="宋体"/>
        <charset val="134"/>
      </rPr>
      <t>南京市江北中央商务区地块项目5万；南京新城校场大道以南汇景西路以西地块5万；南京南部新城地块项目5万；南京建邺牡丹江街东地块项目2万。</t>
    </r>
    <r>
      <rPr>
        <b/>
        <sz val="10"/>
        <color rgb="FF000000"/>
        <rFont val="宋体"/>
        <charset val="134"/>
      </rPr>
      <t>创作二室9万：</t>
    </r>
    <r>
      <rPr>
        <sz val="10"/>
        <color rgb="FF000000"/>
        <rFont val="宋体"/>
        <charset val="134"/>
      </rPr>
      <t>南京河西地块项目5万；南京江心洲中心大道项目2万；熙怡路以西、文泰街以北地块2万</t>
    </r>
  </si>
  <si>
    <r>
      <rPr>
        <b/>
        <sz val="10"/>
        <color rgb="FF000000"/>
        <rFont val="宋体"/>
        <charset val="134"/>
      </rPr>
      <t>均为外委项目
创作一室10万：</t>
    </r>
    <r>
      <rPr>
        <sz val="10"/>
        <color rgb="FF000000"/>
        <rFont val="宋体"/>
        <charset val="134"/>
      </rPr>
      <t>中铁建-浦口区丰子河路以北，康健路以东04号地块5万；中铁建-雨花台区横一路以北，迎江路以西地块(NJZCf030-11-12)-徐工A地块5万；</t>
    </r>
    <r>
      <rPr>
        <b/>
        <sz val="10"/>
        <color rgb="FF000000"/>
        <rFont val="宋体"/>
        <charset val="134"/>
      </rPr>
      <t>创作二室25万：</t>
    </r>
    <r>
      <rPr>
        <sz val="10"/>
        <color rgb="FF000000"/>
        <rFont val="宋体"/>
        <charset val="134"/>
      </rPr>
      <t>中铁建-栖霞区仙林白象片区仙林大道以北，天佑路以西（EAc030-12-48）地块5万；中铁建-栖霞区仙林白象片区仙林大道以北，天佑路以西（EAc030-12-49）地块5万；中铁建-河西南28-3号地块5万；中铁建-河西南28-5号地块5万；中铁建-河西南建邺区邺城路以北，平良大街以东地块5万</t>
    </r>
  </si>
  <si>
    <t>自揽</t>
  </si>
  <si>
    <r>
      <rPr>
        <b/>
        <sz val="10"/>
        <color rgb="FF000000"/>
        <rFont val="宋体"/>
        <charset val="134"/>
      </rPr>
      <t>均为自揽项目：</t>
    </r>
    <r>
      <rPr>
        <sz val="10"/>
        <color rgb="FF000000"/>
        <rFont val="宋体"/>
        <charset val="134"/>
      </rPr>
      <t xml:space="preserve">
</t>
    </r>
    <r>
      <rPr>
        <b/>
        <sz val="10"/>
        <color rgb="FF000000"/>
        <rFont val="宋体"/>
        <charset val="134"/>
      </rPr>
      <t>创作一室10万元</t>
    </r>
    <r>
      <rPr>
        <sz val="10"/>
        <color rgb="FF000000"/>
        <rFont val="宋体"/>
        <charset val="134"/>
      </rPr>
      <t>：南京河西南部5-3地块项目、南京龙翔地块项目</t>
    </r>
  </si>
  <si>
    <r>
      <rPr>
        <b/>
        <sz val="10"/>
        <color rgb="FF000000"/>
        <rFont val="宋体"/>
        <charset val="134"/>
      </rPr>
      <t>均为外委项目：</t>
    </r>
    <r>
      <rPr>
        <sz val="10"/>
        <color rgb="FF000000"/>
        <rFont val="宋体"/>
        <charset val="134"/>
      </rPr>
      <t xml:space="preserve">
</t>
    </r>
    <r>
      <rPr>
        <b/>
        <sz val="10"/>
        <color rgb="FF000000"/>
        <rFont val="宋体"/>
        <charset val="134"/>
      </rPr>
      <t>创作一室：</t>
    </r>
    <r>
      <rPr>
        <sz val="10"/>
        <color rgb="FFFF0000"/>
        <rFont val="宋体"/>
        <charset val="134"/>
      </rPr>
      <t>浩森5地块1.5万元（未计入）</t>
    </r>
    <r>
      <rPr>
        <sz val="10"/>
        <color rgb="FF000000"/>
        <rFont val="宋体"/>
        <charset val="134"/>
      </rPr>
      <t xml:space="preserve">；绿都2地块10万元；易墨5万
</t>
    </r>
    <r>
      <rPr>
        <b/>
        <sz val="10"/>
        <color rgb="FF000000"/>
        <rFont val="宋体"/>
        <charset val="134"/>
      </rPr>
      <t>创作二室：</t>
    </r>
    <r>
      <rPr>
        <sz val="10"/>
        <color rgb="FF000000"/>
        <rFont val="宋体"/>
        <charset val="134"/>
      </rPr>
      <t>长江都市2地块10万元</t>
    </r>
  </si>
  <si>
    <t>可研-南沙2025年度强排协议SJ-2025-003</t>
  </si>
  <si>
    <t>2025年度项目前期强排
规划概念方案设计合作协议</t>
  </si>
  <si>
    <t>CRCCRE-SJ-SJ-2025-003</t>
  </si>
  <si>
    <t>CRCCRE-NS-NSPQ-KF.QQ.02.01-2025-003</t>
  </si>
  <si>
    <t>强排2万、标准5万、深化30万</t>
  </si>
  <si>
    <t>甲乙双方就实际发生的工作量，按季度结算，单价按合同约定单价执行，乙方在25日前，按甲方管理部门要求提交本季度请款资料和增值税专用发票并经甲方审核确认后，甲方于次月底向乙方支付本季度进度款</t>
  </si>
  <si>
    <t>规划设计及建筑方案框架协议</t>
  </si>
  <si>
    <t>中国铁建南沙公司2022-2024年度规划设计及建筑方案设计战略合作协议</t>
  </si>
  <si>
    <t>CRCCRE-SJ-XM-2022-019</t>
  </si>
  <si>
    <t>苏州WG-42项目(苏州花语云萃)</t>
  </si>
  <si>
    <t>CRCCRE-DC-XM-2021-027</t>
  </si>
  <si>
    <t>苏地2021-WG-42号地块项目
建设工程委托设计管理服务合同</t>
  </si>
  <si>
    <t>CRCCRE-SJ-XM-2021-042</t>
  </si>
  <si>
    <t>苏州京兆房地产开发有限公司</t>
  </si>
  <si>
    <t>固定总价，按单价27.3元计算，其中有管理费2元</t>
  </si>
  <si>
    <t>合同签订后15个工作日内请款，次月30日前付款</t>
  </si>
  <si>
    <t>总图及单体概念方案设计完成经甲方确认后15个工作日内请款，次月30日前付款</t>
  </si>
  <si>
    <t>项目总图、建筑单专业扩初设计图纸完成，并取得政府规划方案审批通过后，15个工作日内请款，次月30日前付款</t>
  </si>
  <si>
    <t>配合所有施工图完成，并通过苏州市相关部门图审后15个工作日内请款，次月30日前付款</t>
  </si>
  <si>
    <t>配合施工完成，并经苏州市相关部门验收后，竣工验收完成后15个工作日内请款，按照《建设工程规划许可证》总建筑面积进行结算，次月30日内付款</t>
  </si>
  <si>
    <t>施工图管理</t>
  </si>
  <si>
    <t>固定总价，单价按30.65元计算
（含人防、海绵、绿建、PC专项）</t>
  </si>
  <si>
    <t>合同签订之日起15个工作日内请款，次月30日前付款</t>
  </si>
  <si>
    <t>拿到第一个施工图图审合格证后15个工作日内请款，次月30日前付款</t>
  </si>
  <si>
    <t>全部正式施工图（除红线范围内综合管线施工图）交付并通过政府或审图公司批复后15个工作日内请款，次月30日前付款</t>
  </si>
  <si>
    <t>全专业图纸根据设计咨询、BIM等意见调整优化完毕后15个工作日内请款，次月30日前付款</t>
  </si>
  <si>
    <t>所有栋号结构封顶后15个工作日内请款，次月30日前付款</t>
  </si>
  <si>
    <t>红线范围内综合管线施工图交付后15个工作日内请款，次月30日前付款</t>
  </si>
  <si>
    <t>竣工验收完成后15个工作日内请款，次月30日前付款</t>
  </si>
  <si>
    <t>固定总价，示范区单价按27.00计算</t>
  </si>
  <si>
    <t>示范区-1</t>
  </si>
  <si>
    <t>示范区概念方案完成，并经甲方确认后15个工作日内请款，次月30日前付款</t>
  </si>
  <si>
    <t>示范区-2</t>
  </si>
  <si>
    <t>示范区深化方案完成，并经甲方确认后15个工作日内请款，次月30日前付款</t>
  </si>
  <si>
    <t>示范区-3</t>
  </si>
  <si>
    <t>示范区扩初设计完成，并经甲方确认后15个工作日内请款，次月30日前付款</t>
  </si>
  <si>
    <t>示范区-4</t>
  </si>
  <si>
    <t>示范区施工图设计完成，并经甲方确认后15个工作日内请款，次月30日前付款</t>
  </si>
  <si>
    <t>示范区-5</t>
  </si>
  <si>
    <t>项目竣工交付验收完成后办理结算手续，结算手续完成后，甲方向乙方支付尾款，支付至结算总金额100%。</t>
  </si>
  <si>
    <t>固定总价，大区单价按27.00计算</t>
  </si>
  <si>
    <t>大区-1</t>
  </si>
  <si>
    <t>大区概念方案完成，并经甲方确认后15个工作日内请款，次月30日前付款</t>
  </si>
  <si>
    <t>21年未入账不包含此笔收入，包含此成本</t>
  </si>
  <si>
    <t>大区深化方案完成，并经甲方确认后15个工作日内请款，次月30日前付款</t>
  </si>
  <si>
    <t>大区扩初设计完成，并经甲方确认后15个工作日内请款，次月30日前付款</t>
  </si>
  <si>
    <t>大区施工图设计完成，并经甲方确认后15个工作日内请款，次月30日前付款</t>
  </si>
  <si>
    <t>本次请大区的款，面积按5000平米折算</t>
  </si>
  <si>
    <t>景观管理(外委补充协议，占用专项剩余金额)（集塔）</t>
  </si>
  <si>
    <t>本补充协议签订完成后，乙方完成本补充协议约定工作内容的概念方案设计，经甲方书面确认后，15个工作日内请款，次月30日内甲方向乙方支付补充协议金额的20％</t>
  </si>
  <si>
    <t>乙方完成本补充协议约定工作内容的深化方案设计，经甲方书面确认后，15个工作日内请款，次月30日内甲方向乙方支付补充协议金额的30％</t>
  </si>
  <si>
    <t>乙方完成本补充协议约定工作内容的扩初方案设计，经甲方书面确认后，15个工作日内请款，次月30日内甲方向乙方支付补充协议金额的20％</t>
  </si>
  <si>
    <t>乙方完成本补充协议约定工作内容的施工图设计工作，经甲方书面确认后，15个工作日内请款，次月30日内甲方向乙方支付至补充协议金额的25％</t>
  </si>
  <si>
    <t>工程通过竣工验收，经甲方确认办理结算手续，15个工作日内请款，次月30日内甲方向乙方支付至补充协议结算金额的100％</t>
  </si>
  <si>
    <t>批量精装管理</t>
  </si>
  <si>
    <t>固定总价，单价按452.13元/平米 *设计面积3625.91㎡</t>
  </si>
  <si>
    <t>完成方案设计并经甲方书面确认后15个工作日内请款，次月30日前付款</t>
  </si>
  <si>
    <t>完成施工图设计并经甲方书面确认后15个工作日内请款，次月30日前付款</t>
  </si>
  <si>
    <t>完成全部施工图工作及样板间施工配合并经甲方书面确认后15个工作日内请款，次月30日前付款</t>
  </si>
  <si>
    <t>工程通过竣工验收，设计人按照本合同设计内容和设计人责任的约定，完成此专项全部设计、配合、现场服务配合工作后请款，次月30日前付款</t>
  </si>
  <si>
    <t>批量精装管理(外委拓谷补充协议，占用专项剩余金额)</t>
  </si>
  <si>
    <t>1#～3#楼，5#～8# 楼，11#楼精装修硬装设计（占用专项剩余金额）（锐度）</t>
  </si>
  <si>
    <t>合同签订并提交第一版概念性方案并经甲方认可后15个工作日内请款，乙方按照甲方审核后的金额，开具相应金额的增值税 专用发票，由甲方于审核后次月30日前进行进度款支付。</t>
  </si>
  <si>
    <t>完成精装概念设计，提交成果并得到甲方认可后15个工作日内请 款，乙方按照甲方审核后的金额，开具相应金额的增值税专用发 票，由甲方于审核后次月30日前进行进度款支付。</t>
  </si>
  <si>
    <t>完成方案扩初设计阶段最终成果、材料选型，经甲方书面确认后 15个工作日内请款，乙方按照甲方审核后的金额，开具相应金额 的增值税专用发票，由甲方于审核后次月30日前进行进度款支 付。</t>
  </si>
  <si>
    <t>排版图及户内门深化、橱柜深化审核完成精装施工图设计，审图 完成后并提交成果并得到甲方认可后15个工作日内请款，乙方 按照甲方审核后的金额，开具相应金额的增值税专用发票，由甲 方于审核后次月30日前进行进度款支付。</t>
  </si>
  <si>
    <t>精装修竣工验收完成，竣工后15个工作日内请款，乙方按照甲 方审核后的金额，开具相应金额的增值税专用发票，由甲方于审 核后次月30日前进行进度款支付。</t>
  </si>
  <si>
    <t>结算完成，后15个工作日内请款，乙方按照甲方审核后的金额， 开具相应金额的增值税专用发票，由甲方于审核后次月30日前  进行结算款支付。</t>
  </si>
  <si>
    <t>配合完成产品创新研发工作，并经中国铁建房地产集团组织验收 通过后15个工作日内请款，由甲方于审核后次月30日前付款  (此项如未发生则该笔金额不予支付)</t>
  </si>
  <si>
    <t>售楼处精装管理</t>
  </si>
  <si>
    <t>固定总价，单价按872.32元/平米 *设计面积2009㎡</t>
  </si>
  <si>
    <t>完成概念方案设计并经甲方书面确认后15个工作日内请款，次月30日前付款</t>
  </si>
  <si>
    <t>完成扩初方案设计并经甲方书面确认后15个工作日内请款，次月30日前付款</t>
  </si>
  <si>
    <t>完成全部施工图工作并经甲方书面确认后15个工作日内请款，次月30日前付款</t>
  </si>
  <si>
    <t>扣款7.2万元</t>
  </si>
  <si>
    <t>固定单价2.65元*暂定总建面457311.5平米</t>
  </si>
  <si>
    <t>乙方提交第一版地下室管线BIM模型后，15个工作日内请款，次月30日前付款</t>
  </si>
  <si>
    <t>乙方提交第一版地下室管线优化BIM模型后15个工作日内请款，次月30日前付款</t>
  </si>
  <si>
    <t>乙方提交园区场地和小市政管线BIM管综优化模型和地下室、园区场地和小市政管线BIM优化报告后，15个工作日内请款，次月30日前付款</t>
  </si>
  <si>
    <t>固定单价7元*暂定总建面457311.5平米</t>
  </si>
  <si>
    <t>乙方完成施工图阶段的设计咨询工作，向甲方提交优化成果（包括但不限于优化后的设计文件、设计咨询意见）之日起15个工作日内</t>
  </si>
  <si>
    <t>取得施工图审查合格书之日起15个工作日内付款至全过程咨询优化费的100%</t>
  </si>
  <si>
    <t>专项-泛光照明设计</t>
  </si>
  <si>
    <t>本项价格明确、提交此专项工作方案并在甲方均审核通过后15个工作日内请款，次月30日内付款</t>
  </si>
  <si>
    <t>专项-节能优化</t>
  </si>
  <si>
    <t>专项-门窗幕墙设计</t>
  </si>
  <si>
    <t>专项-标识标牌设计</t>
  </si>
  <si>
    <t>专项-幕墙深化</t>
  </si>
  <si>
    <t>专项-智能化设计</t>
  </si>
  <si>
    <t>专项-基坑支护设计</t>
  </si>
  <si>
    <t>专项-地库划线设计</t>
  </si>
  <si>
    <t>专项剩余</t>
  </si>
  <si>
    <t>苏州车坊项目（苏州星樾湖滨）</t>
  </si>
  <si>
    <t>CRCCRE-DC-XM-2022-009</t>
  </si>
  <si>
    <t>苏地2022-WG-8号地块项目建设工程委托设计管理服务合同</t>
  </si>
  <si>
    <t>CRCCRE-SJ-XM-2022-018</t>
  </si>
  <si>
    <t>苏州京发房地产开发有限公司</t>
  </si>
  <si>
    <t>总建面133344.61㎡（其中洋房46483.86㎡高层46706.68㎡地库面积38323.77）</t>
  </si>
  <si>
    <t>综合单价19.55元/平米（洋房20元/平米；高层17元/平米；标准化售楼处方案费20万元/项；标准化售楼处施工图设计30万元/项；地下车库方案优化设计以及图纸修改（柱网，单车位指标优化）10元/平米）</t>
  </si>
  <si>
    <t>创作一室/项目管理中心</t>
  </si>
  <si>
    <t>成果确认单</t>
  </si>
  <si>
    <t>BIM管综建模</t>
  </si>
  <si>
    <t>地下室面积39999.88㎡；用地面积45550.05㎡</t>
  </si>
  <si>
    <t>BIM地下室管线综合6元/平米；园区小市政3元/平米；户型建模1万元/个</t>
  </si>
  <si>
    <t>施工图优化咨询</t>
  </si>
  <si>
    <t>总建面133344.61㎡</t>
  </si>
  <si>
    <t>5元/平米</t>
  </si>
  <si>
    <t>委托管理部分的设计费用的5%</t>
  </si>
  <si>
    <t>施工图设计
管理</t>
  </si>
  <si>
    <t>总建面133344.61㎡（其中人防面积9935㎡；住宅面积89607.36㎡；地下非人防面积28388.77㎡；配套面积1492.74㎡；用地面积45550.05㎡ 住宅面积89607.36㎡）</t>
  </si>
  <si>
    <t>含前期报建1元/平米；地下人防工程施工图设计；38元/平米；住宅扩初和施工图设计18.00元/平米；非人防地下室扩初和施工图设计16元/平米；配套公建扩初和施工图设计25元/平米；用地红线内室外市政道路和综合管网设计及优化修改配合1元/平米；其他服务：全项目精装修二次机电设计配合2元/平米；装配式设计6.00元/平米</t>
  </si>
  <si>
    <t>施工图设计
管理（补充协议）</t>
  </si>
  <si>
    <t>乙方完成精装送审备案后7个工作日内，甲方确认后支付补充设计费的90%</t>
  </si>
  <si>
    <t>工程竣工备案通过后7个工作日内，甲方支付补充设计费的10%</t>
  </si>
  <si>
    <t>景观设计管理</t>
  </si>
  <si>
    <t>景观占地面积37070.23㎡（示范区3000㎡；交付大区33729.07㎡；红线外景观3500.00㎡）</t>
  </si>
  <si>
    <t>示范区29元/平米；2 交付大区29元/平米；红线外景观15元/平米</t>
  </si>
  <si>
    <t>示范区部分-1</t>
  </si>
  <si>
    <t>完成示范区景观方案设计并提交成果后15个工作日内请款，次月30日前付款</t>
  </si>
  <si>
    <t>示范区部分-2</t>
  </si>
  <si>
    <t>完成示范区景观施工图设计并提交成果后15个工作日内请款，次月30日前付款</t>
  </si>
  <si>
    <t>示范区部分-3</t>
  </si>
  <si>
    <t>示范区竣工后15个工作日内请款，次月30日前付款</t>
  </si>
  <si>
    <t>交付大区部分-1</t>
  </si>
  <si>
    <t>完成大区景观方案设计并提交成果后15个工作日内请款，次月30日前付款</t>
  </si>
  <si>
    <t>交付大区部分-2</t>
  </si>
  <si>
    <t>完成大区景观施工图设计并提交成果后15个工作日内请款，次月30日前付款</t>
  </si>
  <si>
    <t>交付大区部分-3</t>
  </si>
  <si>
    <t>工程通过竣工验收，设计人按照本合同设计内容和设计人责任的约定，完成此专项全部设计、配合、现场服务配合工作后15个工作日内请款，次月30日前付款</t>
  </si>
  <si>
    <t>批量精装设计管理</t>
  </si>
  <si>
    <t>售楼处精装设计管理</t>
  </si>
  <si>
    <t>售楼处研发方案</t>
  </si>
  <si>
    <t>泛光照明</t>
  </si>
  <si>
    <t>项</t>
  </si>
  <si>
    <t>本项价格明确、提交此专项工作方案并在甲方均审核通过后15个工作日内请款，次月30日内付款（至泛光照明专项的20%）</t>
  </si>
  <si>
    <t>乙方完成泛光照明施工图设计工作，经相关机构审查通过且甲方收到本项目业主方（苏州京发房地产开发有限公司）相应款项后15个工作日内请款，次月30日内甲方向乙方支付合同额的60％；</t>
  </si>
  <si>
    <t>从项管补创二苏州深度可研产值30万元，成本记项管</t>
  </si>
  <si>
    <t>整体项目竣工验收完成且甲方收到本项目业主方（苏州京发房地产开发有限公司）相应款项后15个工作日内请款，次月30日内甲方向乙方支付合同额的20％。</t>
  </si>
  <si>
    <t>节能优化</t>
  </si>
  <si>
    <t>地上建筑面积</t>
  </si>
  <si>
    <t>本项价格明确、提交此专项工作方案并在甲方均审核通过后15个工作日内请款，次月30日内付款（至节能优化专项的20%）</t>
  </si>
  <si>
    <t>完成节能优化工作并通过政府相关部门审查、建设单位审查及施工图审查机构的审查后,且甲方收到本项目业主方（苏州京发房地产开发有限公司）相应款项后后15个工作日内请款，次月30日内付款</t>
  </si>
  <si>
    <r>
      <rPr>
        <sz val="10"/>
        <color rgb="FF000000"/>
        <rFont val="宋体"/>
        <charset val="134"/>
      </rPr>
      <t>乙方完成现场服务工作且整体项目竣工验收完成且甲方收到本项目业主方（苏州京发房地产开发有限公司）相应款项后</t>
    </r>
    <r>
      <rPr>
        <sz val="10"/>
        <color rgb="FF000000"/>
        <rFont val="宋体"/>
        <charset val="134"/>
        <scheme val="minor"/>
      </rPr>
      <t>15个工作日内请款，次月30日内付款</t>
    </r>
  </si>
  <si>
    <t>门窗栏杆幕墙等外立面设计</t>
  </si>
  <si>
    <t>本项价格明确、提交此专项工作方案并在甲方均审核通过后15个工作日内请款，次月30日内付款（至门窗栏杆幕墙等外立面设计专项的20%）</t>
  </si>
  <si>
    <t>乙方完成此专项工作施工图设计文件，经本项目业主方（苏州京发房地产开发有限公司）确认，且甲方收到本项目业主方（苏州京发房地产开发有限公司）相应款项后15个工作日内请款，次月30日内甲方向乙方支付合同额的60％；</t>
  </si>
  <si>
    <t>苏地2022-WG-8号地块项目整体竣工验收完成且甲方收到本项目业主方（苏州京发房地产开发有限公司）相应款项后15个工作日内请款，次月30日内甲方向乙方支付合同额的20％。</t>
  </si>
  <si>
    <t>标识标牌</t>
  </si>
  <si>
    <t>完成标准化设计提交设计图纸并经甲方深化图通过且甲方收到本项目业主方相应款项后15个工作日内付款</t>
  </si>
  <si>
    <t>完成楼标识设计提交设计图纸并经甲方审核通过且甲方收到本项目业主方相应款项后15个工作日内付款</t>
  </si>
  <si>
    <t>智能化设计</t>
  </si>
  <si>
    <t>本项价格明确、提交此专项工作方案并在甲方均审核通过后15个工作日内请款，次月30日内付款（至智能化专项的20%）</t>
  </si>
  <si>
    <t>乙方完成此专项设计顾问服务工作，经相关机构审查通过，且甲方收到本项目业主方（苏州京发房地产开发有限公司）相应款项后15个工作日内请款，次月30日内甲方向乙方支付合同额的60％；</t>
  </si>
  <si>
    <t>整体工程竣工验收完成后办理结算，自甲方收到本项目业主方（苏州京发房地产开发有限公司）相应款项后15个工作日内请款，次月30日内甲方向乙方支付合同额的20％。</t>
  </si>
  <si>
    <t>其他</t>
  </si>
  <si>
    <t>地库划线</t>
  </si>
  <si>
    <t>苏州工业园区2022-WG-8号地块（DK20210160）中铁建华东区域创新型销售中心方案设计研发合同</t>
  </si>
  <si>
    <t>CRCCRE-SJ-XM-2023-021</t>
  </si>
  <si>
    <t>创新型销售中心方案设计研发</t>
  </si>
  <si>
    <t>一口价20万元</t>
  </si>
  <si>
    <t>本合同签订后30个工作日内，甲方支付合同总额的20%</t>
  </si>
  <si>
    <t>乙方完成 概念设计 ，得到甲方确认后30个工作日内，甲方支付研发服务费用总额的30%</t>
  </si>
  <si>
    <t>乙方完成 方案设计 ，得到甲方确认并配合甲方完成结题汇报后30个工作日内，甲方支付研发服务费用总额的50%</t>
  </si>
  <si>
    <t>上海泗泾08-01项目（中国铁建·星樾云栖）</t>
  </si>
  <si>
    <t>CRCCRE-DC-XM-2022-011</t>
  </si>
  <si>
    <t>新建松江区泗泾镇SJSB0003单元08-01号地块商品住宅项目
建设工程委托设计管理服务合同</t>
  </si>
  <si>
    <t>CRCCRE-SJ-XM-2022-030</t>
  </si>
  <si>
    <t>建筑方案设计+BIM建模及BIM全过程咨询+设计优化咨询+管理</t>
  </si>
  <si>
    <t>一期计划首次交付时间：23.12.28</t>
  </si>
  <si>
    <t>上海泗泾01-02项目（中国铁建·花语天境）</t>
  </si>
  <si>
    <t>CRCCRE-DC-XM-2022-012</t>
  </si>
  <si>
    <t>新建松江区泗泾镇SJSB0003单元01-02号地块商品住宅项目建设工程委托设计管理服务合同</t>
  </si>
  <si>
    <t>CRCCRE-SJ-XM-2022-027</t>
  </si>
  <si>
    <t>建筑方案设计+BIM建模及BIM全过程咨询+设计优化咨询+精装设计，精装修图纸送审的配合工作(包括图框使用、图纸审查等)+管理</t>
  </si>
  <si>
    <t>上海松江中山街道C07-01地块项目（中国铁建·星樾云涧）</t>
  </si>
  <si>
    <t>CRCCRE-DC-XM-2022-013</t>
  </si>
  <si>
    <t>松江区中山街道新城主城C单元C07-01地块商品房项目建设工程委托设计管理服务合同</t>
  </si>
  <si>
    <t>CRCCRE-SJ-XM-2022-039</t>
  </si>
  <si>
    <t>立面设计+管理</t>
  </si>
  <si>
    <t>立面设计8.67+设计管理125.36</t>
  </si>
  <si>
    <t>取得政府规划部门对设计方案的批复后15个工作日内请款，次月30日前付款</t>
  </si>
  <si>
    <t>取得施工图审查机构的审图合格证后15个工作日内请款，次月30日前付款</t>
  </si>
  <si>
    <t>完成精装、景观示范区方案汇报文本后15个工作日内请款，次月30日前付款</t>
  </si>
  <si>
    <t>完成施工图联合校审（BIM组、咨询组出具修改、优化意见，完成修改）后15个工作日内请款，次月30日前付款</t>
  </si>
  <si>
    <t>全部结构封顶后15个工作日内请款，次月30日前付款</t>
  </si>
  <si>
    <t>项目竣工验收后15个工作日内请款，次月30日前付款</t>
  </si>
  <si>
    <t>上海奉贤区西渡街道D-01-11区域地块项目（中国铁建熙语）</t>
  </si>
  <si>
    <t>CRCCRE-DC-XM-2023-004</t>
  </si>
  <si>
    <t>奉贤区西渡街道D-01-11区域地块项目委托设计管理服务合同</t>
  </si>
  <si>
    <t>CRCCRE-SJ-XM-2023-027</t>
  </si>
  <si>
    <t>建筑方案设计、建筑施工图设计、景观设计、精装设计、BIM技术应用、施工图优化咨询、专项设计（基坑支护、人防设计、海绵城市、绿色建筑、智能化设计、门窗栏杆幕墙等外立面设计、综合图及产品手册、标识设计等）</t>
  </si>
  <si>
    <t>180674.52
（其中地上123281.20，地下57393.32）</t>
  </si>
  <si>
    <t>创作一室：1512173.5
项目管理中心</t>
  </si>
  <si>
    <t>上海闵行区华漕镇项目（花语前湾）</t>
  </si>
  <si>
    <t>CRCCRE-DC-XM-2023-014</t>
  </si>
  <si>
    <t>闵行区华漕镇MHPO-1402单元16-05、17-04地块项目委托设计管理服务合同</t>
  </si>
  <si>
    <t>CRCCRE-SJ-XM-2023-062</t>
  </si>
  <si>
    <t>上海京闵房地产有限公司</t>
  </si>
  <si>
    <t>230558.13（地上160518.84，地下70039.29）</t>
  </si>
  <si>
    <t>自揽部分：方案（含地库）20.23元/平米；BIM（全过程+地上地下建模及管综优化+园区小市政+多维方案汇报）12.35元/平米；施工图优化咨询3.5元/平米</t>
  </si>
  <si>
    <t>创作一室：2478713.74
项目管理中心</t>
  </si>
  <si>
    <t>取得方案批复后15个工作日内请款，次月30日前付款</t>
  </si>
  <si>
    <t>支付至暂估
合同额的10%</t>
  </si>
  <si>
    <t>取得审图合格证后15个工作日内请款，次月30日前付款</t>
  </si>
  <si>
    <t>支付至暂估
合同额的50%</t>
  </si>
  <si>
    <t>支付至暂估
合同额的65%</t>
  </si>
  <si>
    <t>支付至暂估合同额的80%</t>
  </si>
  <si>
    <t>支付至暂估
合同额的90%</t>
  </si>
  <si>
    <t>支付至合同
结算金额的100%</t>
  </si>
  <si>
    <t>西地块24年竣工，面积约12.9万平米</t>
  </si>
  <si>
    <t>内蒙古国际会议中心项目</t>
  </si>
  <si>
    <t>CRCCRE-DC-XM-2025-009</t>
  </si>
  <si>
    <t>钢结构深化设计合同</t>
  </si>
  <si>
    <t>CRCCRE-SJ-BIM-2025-005</t>
  </si>
  <si>
    <t>BIM智慧建造</t>
  </si>
  <si>
    <t>NMG-TPSH-01</t>
  </si>
  <si>
    <t>钢结构总量1100吨</t>
  </si>
  <si>
    <t>135元/吨</t>
  </si>
  <si>
    <t>合同生效之日起3日内支付乙方暂定深化设计费的预付款</t>
  </si>
  <si>
    <t>乙方交付第一批次图之后支付暂定深化设计费的25%</t>
  </si>
  <si>
    <t>乙方交付第二批次图之后支付暂定深化设计费的25%</t>
  </si>
  <si>
    <t>乙方交付第三批次图之后支付最终结算的深化设计费的100%</t>
  </si>
  <si>
    <t>上海松江新城C03A-04地块项目</t>
  </si>
  <si>
    <t>CRCCRE-DC-XM-2025-007</t>
  </si>
  <si>
    <t>上海市松江区中山街道C03A-04地块项目委托设计管理服务合同</t>
  </si>
  <si>
    <t>CRCCRE-SJ-XM-2025-018</t>
  </si>
  <si>
    <t>CRCCRE-HD-SHJJ-ZS-QQ-2025-005</t>
  </si>
  <si>
    <t>上海京涧房地产有限公司</t>
  </si>
  <si>
    <t>150392（地上102392，地下48000）</t>
  </si>
  <si>
    <t>自揽部分（BIM地下管综，6元/㎡）</t>
  </si>
  <si>
    <t>上海澄江路项目</t>
  </si>
  <si>
    <t xml:space="preserve">中国铁建澄江路项目绿色智慧化方案策划咨询服务合同
</t>
  </si>
  <si>
    <t xml:space="preserve">CRCCRE-SJ-TOD-2024-001
</t>
  </si>
  <si>
    <t>CRCCRE-HD-SHGJ-KT-2024-003</t>
  </si>
  <si>
    <t>上海广泾建设发展有限公司</t>
  </si>
  <si>
    <t>项目前期策划咨询37.5万元；绿色低碳及智慧化专题方案咨询37.5万元</t>
  </si>
  <si>
    <t>完成项目总体定位策划咨询服务并经甲方确认后，项目前期总体定位策划报告相关内容</t>
  </si>
  <si>
    <t>协助编制完成智慧化场景和绿色低碳方案，得到甲方确认后，绿色化智慧化方案成果各阶段审核意见报告，及最终方案成果报告</t>
  </si>
  <si>
    <t>苏州WG-50项目(苏州花语澜苑)</t>
  </si>
  <si>
    <t>CRCCRE-DC-XM-2021-026</t>
  </si>
  <si>
    <t>苏地2021-WG-50号地块项目建设工程委托设计管理服务合同</t>
  </si>
  <si>
    <t>CRCCRE-SJ-XM-2021-043</t>
  </si>
  <si>
    <t>方案+管理+BIM</t>
  </si>
  <si>
    <t>CRCCRE-HD-SZJH-SJ-2021-003</t>
  </si>
  <si>
    <t>苏州京宏房地产开发有限公司</t>
  </si>
  <si>
    <t>取得《建设工程规划许可证》后15个工作日内请款，次月30日前付款</t>
  </si>
  <si>
    <t>示范区开放，取得首批预售证后15个工作日内请款，次月30日前付款</t>
  </si>
  <si>
    <t>完成大区土建、精装、景观各专业施工图联合校审及现场图纸技术交底，配合成本完成大区土建、精装、景观各专业图纸转固及相关变更后15个工作日内请款，次月30日前付款</t>
  </si>
  <si>
    <t>配合完成所有现场变更，竣工图审核并加盖印章，竣工验收完成且进行设计合同结算后15个工作日内请款，次月30日前付款</t>
  </si>
  <si>
    <t>阿美达赫兰企业学院大楼项目</t>
  </si>
  <si>
    <t>阿美企业学院大楼项目4D施工模拟及动画服务合同</t>
  </si>
  <si>
    <t>CRCCRE-SJ-BIM-2023-019</t>
  </si>
  <si>
    <t>中国铁建股份公司沙特分公司</t>
  </si>
  <si>
    <t>施工论证完成后支付合同总价的20%</t>
  </si>
  <si>
    <t>根据基线完成4D模拟后支付合同总价40%</t>
  </si>
  <si>
    <t>第一笔发票5466.30美元，按照合同汇率计算为人民币39900元，5466.30/0.137=39900，2025年2月回款39900元，财务通报39731.10为扣除手续费后金额，与财务统一按扣除前的39900记账</t>
  </si>
  <si>
    <t>根据CRCC SA代表批准的月度进度报告，按月度实际进度支付20%的中期费用</t>
  </si>
  <si>
    <t>在收到所有可交付成果并经CRCC SA代表批准后的20%</t>
  </si>
  <si>
    <t>三一全球科创中心项目</t>
  </si>
  <si>
    <t>三一全球科创中心项目（1号楼15项）钢结构深化设计合同</t>
  </si>
  <si>
    <t>CRCCRE-SJ-BIM-2023-055</t>
  </si>
  <si>
    <t>中建科工041120232300803022</t>
  </si>
  <si>
    <t>中建科工集团有限公司</t>
  </si>
  <si>
    <t>10800.00吨</t>
  </si>
  <si>
    <t>46元/吨</t>
  </si>
  <si>
    <t>乙方每月的15日前向甲方提交当月完成（获得业主及设计方审批通过）施工详图设计的工作量，经甲方审核后的1个月内，甲方向乙方支付该次审核工作量设计费的95%。</t>
  </si>
  <si>
    <t>全部深化工作结束后，付至审核工作量设计费的95%，安装完毕后双方办理结算，除保留5%质保金外结清尾款。本工程钢结构安装完毕后 30  天内支付乙方剩余的5%</t>
  </si>
  <si>
    <t>回10万保理，扣除手续费金额为97798.61</t>
  </si>
  <si>
    <t>三一全球科创中心（1号楼15项）施工总承包项目钢结构深化设计合同补充协议</t>
  </si>
  <si>
    <t>CRCCRE-SJ-BIM-2023-055-B1</t>
  </si>
  <si>
    <t>中建科工041120242300828020</t>
  </si>
  <si>
    <t>1598.00吨</t>
  </si>
  <si>
    <t>新增设计费：变更签证</t>
  </si>
  <si>
    <t>光大太原金碧天下项目</t>
  </si>
  <si>
    <t>中国铁建·太原花语雅颂项目立面方案设计及施工图优化服务合同</t>
  </si>
  <si>
    <t>CRCCRE-SJ-SJ-2025-002</t>
  </si>
  <si>
    <t>立面设计+咨询</t>
  </si>
  <si>
    <t>TYJB-QT-202509-014</t>
  </si>
  <si>
    <t>太原恒颖房地产开发有限公司</t>
  </si>
  <si>
    <t>立面设计
4元/㎡
商业立面
9元/㎡
售楼处
62元/㎡
大门优化
92元/㎡
咨询优化
10%</t>
  </si>
  <si>
    <t>1-立面</t>
  </si>
  <si>
    <t>合同签订后，甲方在15个工作日内支付给乙方</t>
  </si>
  <si>
    <t>2-立面</t>
  </si>
  <si>
    <r>
      <rPr>
        <sz val="10"/>
        <color rgb="FF000000"/>
        <rFont val="宋体"/>
        <charset val="134"/>
      </rPr>
      <t>立面（1-11号楼及商业）、售楼处、大门</t>
    </r>
    <r>
      <rPr>
        <sz val="10"/>
        <color theme="1"/>
        <rFont val="宋体"/>
        <charset val="134"/>
        <scheme val="minor"/>
      </rPr>
      <t>概念方案完成后，经甲方书面确认后15个工作日内</t>
    </r>
  </si>
  <si>
    <t>3-立面</t>
  </si>
  <si>
    <t>立面（1-11号楼及商业）、售楼处、大门方案深化完成后，经甲方书面确认后15个工作日内；</t>
  </si>
  <si>
    <t>4-立面</t>
  </si>
  <si>
    <t>方案通过政府相关审批（规划复函）后，经甲方书面确认后15个工作日内；</t>
  </si>
  <si>
    <t>5-立面</t>
  </si>
  <si>
    <t>项目总图、建筑单专业扩初设计图纸完成，并取得《建设工程规划许可证》后，经甲方书面确认后15个工作日内。</t>
  </si>
  <si>
    <t>6-立面</t>
  </si>
  <si>
    <t>配合施工完成，至竣工验收完成后按照《建设工程规划许可证》各项建筑面积结算，经甲方书面确认并办理完结算工作后15个工作日内</t>
  </si>
  <si>
    <r>
      <rPr>
        <sz val="10"/>
        <color rgb="FF000000"/>
        <rFont val="宋体"/>
        <charset val="134"/>
      </rPr>
      <t>合同签订并提交第一版全专业施工图优化设计咨询报告后，甲方在15个工作日内</t>
    </r>
    <r>
      <rPr>
        <sz val="10"/>
        <color theme="1"/>
        <rFont val="宋体"/>
        <charset val="134"/>
        <scheme val="minor"/>
      </rPr>
      <t>支付给乙方</t>
    </r>
  </si>
  <si>
    <r>
      <rPr>
        <sz val="10"/>
        <color rgb="FF000000"/>
        <rFont val="宋体"/>
        <charset val="134"/>
      </rPr>
      <t>甲方完成施工图审查并取得审查合格证后，甲乙双方根据本项目实际已实现的降本增效价值进行计价，经双方书面确认后15个工作日内</t>
    </r>
    <r>
      <rPr>
        <sz val="10"/>
        <color theme="1"/>
        <rFont val="宋体"/>
        <charset val="134"/>
        <scheme val="minor"/>
      </rPr>
      <t>支付给乙方</t>
    </r>
  </si>
  <si>
    <t>乙方按合同要求完成全部工作内容，并按甲方要求报送结算资料，并经甲方认可后，经甲方书面确认并办理完结算工作后15个工作日内支付剩余经济性咨询费用给乙方</t>
  </si>
  <si>
    <t>珠海新澳半岛三期项目（澳屿花园项目）</t>
  </si>
  <si>
    <t>澳屿花园项目设计优化咨询服务合同</t>
  </si>
  <si>
    <t>CRCCRE-SJ-ZX-2024-001</t>
  </si>
  <si>
    <t>南光濠江(珠海)房地产有限公司</t>
  </si>
  <si>
    <t>精审：2元/㎡；施工图设计咨询：费率4.48%</t>
  </si>
  <si>
    <t xml:space="preserve">本合同签订且乙方开展精细化审查工作并提供精细化审查意见且经甲方确认后经甲方确认后，15个工作日内请款，次月30个工作日内甲方向乙方支付精细化审核费用的50% </t>
  </si>
  <si>
    <t xml:space="preserve">提交最终版精细化审查总结报告且经甲方确认，本项目办理完成结算后，15个工作日内请款，次月30个工作日内甲方向乙方支付精细化审核费用的100% </t>
  </si>
  <si>
    <t>设计咨询</t>
  </si>
  <si>
    <t>合同签订且乙方开展设计咨询工作并提供设计咨询优化意见后15个工作日内请款，次月30个工作日内甲方向乙方支付咨询优化费用的20%</t>
  </si>
  <si>
    <t>乙方提交施工图设计咨询报告且本项目施工图图审合格后，15个工作日内请款，次月30日前支付至咨询优化费用的60%</t>
  </si>
  <si>
    <t>甲乙双方根据本项目实现的咨询优化价值进行结算，经双方确认后，15个工作日内请款，次月30日前支付至咨询优化费用的100%</t>
  </si>
  <si>
    <t>济南遥墙机场项目</t>
  </si>
  <si>
    <t>济南遥墙机场二期改扩建工程T2航站楼、综合交通中心行李系统项目钢平台设计服务合同</t>
  </si>
  <si>
    <t>CRCCRE-SJ-BIM-2025-004</t>
  </si>
  <si>
    <t>德利九州物流自动化系统（北京）有限公司</t>
  </si>
  <si>
    <t>第一批：完成1区钢结构计算书编制、布局图（4661㎡）；5区钢结构计算书、布局图（8299㎡）；2-4区、7区、GTC区布局图（16355㎡，单价6.4）</t>
  </si>
  <si>
    <t>非权益部分100000；权益部分346000；权益部分BIM85%，咨询结构15%</t>
  </si>
  <si>
    <t>2-4、7、GTC区钢结构计算书</t>
  </si>
  <si>
    <t>其他部分</t>
  </si>
  <si>
    <t>济南遥墙机场二期改扩建工程T2航站楼、综合交通中心行李系统项目钢平台设计服务合同补充协议（一）</t>
  </si>
  <si>
    <t>CRCCRE-SJ-BIM-2025-004-B1</t>
  </si>
  <si>
    <t>7月驻场设计结算</t>
  </si>
  <si>
    <t>济南遥墙机场二期改扩建工程T2航站楼、综合交通中心行李系统项目钢平台设计服务合同补充协议（二）</t>
  </si>
  <si>
    <t>CRCCRE-SJ-BIM-2025-004-B2</t>
  </si>
  <si>
    <t>埋件图：1区5元/㎡，23305.00；2、3、4、5、7、GTC区2元/㎡，49308.00；
布局图出图：7328.75</t>
  </si>
  <si>
    <t>埋件图：1区23305.00的80%；2、3、4、5、7、GTC区49308.00的60%</t>
  </si>
  <si>
    <t>BIM85%，咨询结构15%</t>
  </si>
  <si>
    <t>城市运营</t>
  </si>
  <si>
    <t>北京房山文娱运营公司(7F-8F)精装项目</t>
  </si>
  <si>
    <t>CRCCRE-DC-XM-2024-002</t>
  </si>
  <si>
    <t>房山区长阳镇起步区6号地文化娱乐用地
项目南楼7~8层精装修设计合同</t>
  </si>
  <si>
    <t>CRCCRE-SJ-JZ-2024-002</t>
  </si>
  <si>
    <r>
      <rPr>
        <sz val="10"/>
        <color theme="1"/>
        <rFont val="宋体"/>
        <charset val="134"/>
        <scheme val="minor"/>
      </rPr>
      <t>乙方完成方案设计之日起且经甲方审核确认后</t>
    </r>
    <r>
      <rPr>
        <sz val="10"/>
        <color theme="1"/>
        <rFont val="仿宋_GB2312"/>
        <charset val="134"/>
      </rPr>
      <t>30</t>
    </r>
    <r>
      <rPr>
        <sz val="10"/>
        <color theme="1"/>
        <rFont val="宋体"/>
        <charset val="134"/>
        <scheme val="minor"/>
      </rPr>
      <t>日内。</t>
    </r>
  </si>
  <si>
    <t>实际总结算金额预计为30万元</t>
  </si>
  <si>
    <r>
      <rPr>
        <sz val="10"/>
        <color theme="1"/>
        <rFont val="宋体"/>
        <charset val="134"/>
        <scheme val="minor"/>
      </rPr>
      <t>乙方完成施工图设计且经甲方审核确认后</t>
    </r>
    <r>
      <rPr>
        <sz val="10"/>
        <color theme="1"/>
        <rFont val="仿宋_GB2312"/>
        <charset val="134"/>
      </rPr>
      <t>30</t>
    </r>
    <r>
      <rPr>
        <sz val="10"/>
        <color theme="1"/>
        <rFont val="宋体"/>
        <charset val="134"/>
        <scheme val="minor"/>
      </rPr>
      <t>日内。</t>
    </r>
  </si>
  <si>
    <r>
      <rPr>
        <sz val="10"/>
        <color theme="1"/>
        <rFont val="宋体"/>
        <charset val="134"/>
        <scheme val="minor"/>
      </rPr>
      <t>乙方完成顶层隔音降噪设计服务且经甲方审核确认后</t>
    </r>
    <r>
      <rPr>
        <sz val="10"/>
        <color theme="1"/>
        <rFont val="仿宋_GB2312"/>
        <charset val="134"/>
      </rPr>
      <t>30</t>
    </r>
    <r>
      <rPr>
        <sz val="10"/>
        <color theme="1"/>
        <rFont val="宋体"/>
        <charset val="134"/>
        <scheme val="minor"/>
      </rPr>
      <t>日内。</t>
    </r>
  </si>
  <si>
    <r>
      <rPr>
        <sz val="10"/>
        <color theme="1"/>
        <rFont val="宋体"/>
        <charset val="134"/>
        <scheme val="minor"/>
      </rPr>
      <t>乙方完成精装修施工配合工作，甲方完成内部验收工作并确认后</t>
    </r>
    <r>
      <rPr>
        <sz val="10"/>
        <color theme="1"/>
        <rFont val="仿宋_GB2312"/>
        <charset val="134"/>
      </rPr>
      <t>30</t>
    </r>
    <r>
      <rPr>
        <sz val="10"/>
        <color theme="1"/>
        <rFont val="宋体"/>
        <charset val="134"/>
        <scheme val="minor"/>
      </rPr>
      <t>日内，需向乙方支付剩余尾款。</t>
    </r>
  </si>
  <si>
    <t>西安港务区代建108亩项目</t>
  </si>
  <si>
    <t>西安港时代国港项目BIM设计项目
建筑工程协作服务合同</t>
  </si>
  <si>
    <t>CRCCRE-SJ-BIM-2025-007</t>
  </si>
  <si>
    <t>BIM地下室管综建模</t>
  </si>
  <si>
    <t>XA-20250067-XZ06</t>
  </si>
  <si>
    <t>西安基准方中建筑设计有限公司</t>
  </si>
  <si>
    <t>完成方案设计、取得政府方案设计阶段审批文件或通过专家评审后，支付暂定设计费总价的30%</t>
  </si>
  <si>
    <t>完成施工图审查，取得相应审图成果文件，提交地下室BIM模型且经过甲方确认后，支付暂定设计费总价的20%</t>
  </si>
  <si>
    <t>出具主体（建筑、结构、给排水、采暖通风、电气照明）施工蓝图，根据优化后的施工图纸提交BIM咨询优化报告，并经发包人确认完成施工交底后，支付暂定设计费总价的20%</t>
  </si>
  <si>
    <t>完成全部专项设计，出具全部专项设计施工蓝图，并经发包人确认完成施工交底后，支付暂定设计费总价的10%</t>
  </si>
  <si>
    <t>项目整体竣工验收合格，并完成结算后支付至结算价的97%</t>
  </si>
  <si>
    <t>项目投入使用两个月且无设计相关问题后支付剩余的3%</t>
  </si>
  <si>
    <t>国际集团机电工程研究路线规划报告项目</t>
  </si>
  <si>
    <t>打造“专精特新”技术发展研究服务合同</t>
  </si>
  <si>
    <t>CRCCRE-SJ-ZX-2024-002</t>
  </si>
  <si>
    <t>中国铁建国际集团有限公司</t>
  </si>
  <si>
    <t>合同签订后，乙方提交研究报告初稿，经甲方确认，并在收到乙方提供的合法有效的增值税专用发票后支付合同价款的50%;</t>
  </si>
  <si>
    <t>完成中期汇报，提交符合任务书内容的要求的成果，经甲方书面确认并在收到乙方提供的合法有效的增值税专用发票后支付合同价款的 40%，累计付至 90%;</t>
  </si>
  <si>
    <t>完成终稿汇报，提交满足任务书内容要求的科研内容并通过甲方审核验收，经甲方书面确认并在收到乙方提供的合法有效的增值税专用发票后支付合同价款的 10%，累计支付至结算价的 100%。</t>
  </si>
  <si>
    <t>项目管理中心策划设计业务支出台账</t>
  </si>
  <si>
    <t>竣工验收完成后15个工作日内请款，且甲方收到业主方（上海京沐鑫房地产有限公司）付款后，次月30日内付款至合同金额的100%</t>
  </si>
  <si>
    <t>支付节点</t>
  </si>
  <si>
    <t>外委单位履约进展</t>
  </si>
  <si>
    <t>合同名称</t>
  </si>
  <si>
    <t>外委内容</t>
  </si>
  <si>
    <t>乙方单位名称</t>
  </si>
  <si>
    <t>外委合同额</t>
  </si>
  <si>
    <t>成本计价金额</t>
  </si>
  <si>
    <t>成本入账日期</t>
  </si>
  <si>
    <t>计价金额</t>
  </si>
  <si>
    <t>计价日期</t>
  </si>
  <si>
    <t>乙方开票金额</t>
  </si>
  <si>
    <t>乙方开票日期</t>
  </si>
  <si>
    <t>支付金额</t>
  </si>
  <si>
    <t>支付时间</t>
  </si>
  <si>
    <t>应付金额</t>
  </si>
  <si>
    <t>外委进度</t>
  </si>
  <si>
    <t>累计成本</t>
  </si>
  <si>
    <t>累计收票金额</t>
  </si>
  <si>
    <t>累计支付金额</t>
  </si>
  <si>
    <t>剩余成本</t>
  </si>
  <si>
    <t>审批方式</t>
  </si>
  <si>
    <t>与外委所属收入类合同项目名称一致</t>
  </si>
  <si>
    <t>与外委所属收入类合同项目编号一致</t>
  </si>
  <si>
    <t>方案/施工图/精装等</t>
  </si>
  <si>
    <t>乙方单位全称</t>
  </si>
  <si>
    <t>单位㎡</t>
  </si>
  <si>
    <t>为含税价，手动输入</t>
  </si>
  <si>
    <t>指与收入匹配的节点收票/成本计价单金额</t>
  </si>
  <si>
    <t>开票/成本计价单</t>
  </si>
  <si>
    <t>财务计成本日期，应保证录入月份与财务一致</t>
  </si>
  <si>
    <t>为含税价</t>
  </si>
  <si>
    <t>直接开票的填“/”</t>
  </si>
  <si>
    <t>预计支出
时间字体标蓝色，日期以“年/月/10/20/30标记</t>
  </si>
  <si>
    <t>外委成本-支付金额</t>
  </si>
  <si>
    <t>公式：
此项目W列求和</t>
  </si>
  <si>
    <t>公式：
此项目AB列求和</t>
  </si>
  <si>
    <t>公式：
此项目AD列求和</t>
  </si>
  <si>
    <t>公式：合同额-
累计成本</t>
  </si>
  <si>
    <t>直接委托/招标/询价</t>
  </si>
  <si>
    <t>唐山市高新区项目</t>
  </si>
  <si>
    <t>唐山市高新区项目联合体协议书-补充协议</t>
  </si>
  <si>
    <t>CRCCRE-SJ-CZ-2019-001-B1</t>
  </si>
  <si>
    <t>新中远工程设计有限公司</t>
  </si>
  <si>
    <t>施工图单价：17.5元/平米</t>
  </si>
  <si>
    <t>成本计价单</t>
  </si>
  <si>
    <t>第一次</t>
  </si>
  <si>
    <t>第二次</t>
  </si>
  <si>
    <t>朝阳十八里店686地块等项目前期强排规划概念方案设计合同</t>
  </si>
  <si>
    <t>CRCCRE-SJ-CZ-2024-028</t>
  </si>
  <si>
    <t>澳创国际工程设计（深圳）有限公司</t>
  </si>
  <si>
    <t>9个项目</t>
  </si>
  <si>
    <t>顺义空港六期0001地块（4）
大兴西红门6035地块（25）
昌平生命科学园0056地块（4）
朝阳十八里店686地块（3）
海淀翠湖B地块（4）
朝阳崔各庄地块L02-01地块（4）
萧山区钱江世纪城北单元地块（12.5）</t>
  </si>
  <si>
    <t>线上</t>
  </si>
  <si>
    <t>石景山黄庄002地块（3）
门头沟0114地块（4）</t>
  </si>
  <si>
    <t>2023-2025年度华东区域、北方区域项目前期强排规划概念方案设计集中采购合作协议之补充协议</t>
  </si>
  <si>
    <t>CRCCRE-SJ-CZ-2023-002-B1</t>
  </si>
  <si>
    <t>海淀永丰H地块（3.8）
朝阳小红门9号地（3.8）
丰台铁营0015地块（3.8）
丰台铁营0010地块（3.8）
大兴经开区盛坊路地块（3.8）
大瓦窑L42（3.8）
大瓦窑L44（3.8）
功德寺001地块（3.8）
功德寺002地块（3.8）
朝阳三间房0006（3.8）
朝阳三间房0007（3.8）
朝阳黄衫木店（3.8）
海淀半壁店03（3.8）
海淀半壁店04（3.8）</t>
  </si>
  <si>
    <t>2024-2026年度北方区域项目前期强排规划概念方案设计集中采购合作协议</t>
  </si>
  <si>
    <t>CRCCRE-SJ-CZ-2024-013</t>
  </si>
  <si>
    <t>北京上柏建筑设计咨询有限公司</t>
  </si>
  <si>
    <t>2个项目</t>
  </si>
  <si>
    <t>朝阳小红门9号地（2）
海淀永丰H地块（5）</t>
  </si>
  <si>
    <t>CRCCRE-SJ-CZ-2024-009</t>
  </si>
  <si>
    <t>汇张思建筑设计事务所（上海）股份有限公司</t>
  </si>
  <si>
    <t>昌平小沙河005、006地块（18）
海淀廖公庄项目（宝山）0016（22）
海淀廖公庄项目（宝山）0017（22）</t>
  </si>
  <si>
    <t>可研战采</t>
  </si>
  <si>
    <t>CRCCRE-SJ-CZ-2024-011</t>
  </si>
  <si>
    <t>基准方中建筑设计股份有限公司</t>
  </si>
  <si>
    <t>1个项目</t>
  </si>
  <si>
    <t>朝阳崔各庄地块L02-01地块</t>
  </si>
  <si>
    <t>7个项目</t>
  </si>
  <si>
    <t>万泉寺（1.8）</t>
  </si>
  <si>
    <t>中铁丰台槐房村NY-030地块（4.6）
海淀朱房四街64亩地块（4.6）
海淀朱房四街59亩地块（4.6）
亦庄X24（4.6）
海淀树村（4.6）
石景山设备处（4.6）</t>
  </si>
  <si>
    <t>华东区域徐汇区长桥街道xh315-10、xh313-16地块项目、北方区域酒仙桥项目前期强排规划概念方案设计合同</t>
  </si>
  <si>
    <t>CRCCRE-SJ-CZ-2025-003</t>
  </si>
  <si>
    <t>上海大目建筑规划设计有限公司</t>
  </si>
  <si>
    <t>酒仙桥项目</t>
  </si>
  <si>
    <t>北方区域酒仙桥项目前期强排规划概念方案设计合同</t>
  </si>
  <si>
    <t>CRCCRE-SJ-CZ-2025-002</t>
  </si>
  <si>
    <t>北京易墨华夏建筑设计事务所有限公司</t>
  </si>
  <si>
    <t>北京市海淀区翠湖科技园HD00-0303-6009、6010地块R2二类居住用地项目建设工程设计合同-联合体协议书补充协议</t>
  </si>
  <si>
    <t>合同签订后20个工作日</t>
  </si>
  <si>
    <t>规划许可证批复后20个工作日</t>
  </si>
  <si>
    <t>施工图完成并取得审查合格书后20个工作日个工作日</t>
  </si>
  <si>
    <t>项目竣工验收合格后20个工作日</t>
  </si>
  <si>
    <t>海淀翠湖项目（完结）</t>
  </si>
  <si>
    <t>联合体协议书-补充协议二</t>
  </si>
  <si>
    <t>CRCCRE-SJ-CZ-2018-003-B2</t>
  </si>
  <si>
    <t>施工图单价：29元/平米</t>
  </si>
  <si>
    <t>乙方提交本补充协议所要求的“优化设计成果”后20个工作日内，甲方向乙方支付后期优化设计费总额的50%，计人民币肆拾万元（小写：[400,000.00]）。</t>
  </si>
  <si>
    <t>马家湾项目
（完成）</t>
  </si>
  <si>
    <t>技术顾问咨询合同</t>
  </si>
  <si>
    <t>CRCCRE-SJ-HS-GC-2018-009</t>
  </si>
  <si>
    <t>华通设计顾问工程有限公司</t>
  </si>
  <si>
    <t>方案单价：13元/平米</t>
  </si>
  <si>
    <t>第1次付款，全部规划方案设计完成，按照市住保办专家评审会上会深度要求完成方案册制作，通过并取得规划方案复函后，收到乙方合格的增值税专用发票后7个工作日内，支付乙方本合同总金额的30%设计费。</t>
  </si>
  <si>
    <t>第2次付款，全部专业施工图设计完成审查且通过外部审查机构审查合格后，收到乙方合格的增值税专用发票后7个工作日内，支付乙方本合同总金额的40%设计费。</t>
  </si>
  <si>
    <t>第3次付款，完成项目全部结构工程施工后，收到乙方合格的增值税专用发票后7个工作日内，支付乙方本合同总金额的10%设计费。</t>
  </si>
  <si>
    <t>第4次付款，本工程施工所有相关单位完成向主管部门完成全部备案手续后，收到乙方合格的增值税专用发票后7个工作日内，支付乙方本合同总金额的20%设计费。</t>
  </si>
  <si>
    <t>CRCCRE-SJ-GC-2018-006</t>
  </si>
  <si>
    <t>中建科技集团有限公司</t>
  </si>
  <si>
    <t>结算金额：
112500元</t>
  </si>
  <si>
    <t>计价冲销</t>
  </si>
  <si>
    <t>水牛坊项目</t>
  </si>
  <si>
    <t>CRCCRE-SJ-GC-2020-001</t>
  </si>
  <si>
    <t>结算金额：1698580元</t>
  </si>
  <si>
    <t>水牛坊项目
（完成）</t>
  </si>
  <si>
    <t>技术咨询合同</t>
  </si>
  <si>
    <t>CRCCRE-SJ-GC-2020-004</t>
  </si>
  <si>
    <t>结算金额15万</t>
  </si>
  <si>
    <t>5万计价冲销</t>
  </si>
  <si>
    <t>房山区长阳镇起步区6号地文化娱乐用地
项目南楼7~8层精装修施工图设计合同</t>
  </si>
  <si>
    <t>CRCCRE-SJ-JZ-2024-008</t>
  </si>
  <si>
    <t>北京中铁装饰工程有限公司</t>
  </si>
  <si>
    <t>乙方完成施工图设计且经甲方审核确认后15日内。</t>
  </si>
  <si>
    <t>乙方完成精装修施工配合工作，甲方完成内部验收工作并确认后15日内，需向乙方支付剩余尾款。</t>
  </si>
  <si>
    <t>CRCCRE-SJ-BIM-2020-004</t>
  </si>
  <si>
    <t>BIM建模</t>
  </si>
  <si>
    <t>北京锐微特信息技术有限公司</t>
  </si>
  <si>
    <t>BIM建模：
4元/㎡</t>
  </si>
  <si>
    <t>乙方配合施工单位完成的地下室BIM深化工作，经甲方书面确认后30个工作日内双方办理结算，结算完毕后30个工作日内</t>
  </si>
  <si>
    <r>
      <rPr>
        <sz val="10"/>
        <color rgb="FF000000"/>
        <rFont val="宋体"/>
        <charset val="134"/>
      </rPr>
      <t>海淀翠湖项目</t>
    </r>
    <r>
      <rPr>
        <sz val="10"/>
        <color rgb="FFFF0000"/>
        <rFont val="宋体"/>
        <charset val="134"/>
      </rPr>
      <t>（完结</t>
    </r>
    <r>
      <rPr>
        <sz val="10"/>
        <color rgb="FF000000"/>
        <rFont val="宋体"/>
        <charset val="134"/>
      </rPr>
      <t>）</t>
    </r>
  </si>
  <si>
    <t>联合体协议书-补充协议三</t>
  </si>
  <si>
    <t>CRCCRE-SJ-CZ-2018-003-B3</t>
  </si>
  <si>
    <t>在本补充协议签订后20个工作日内，甲方向乙方一次性支付设计费</t>
  </si>
  <si>
    <r>
      <rPr>
        <sz val="10"/>
        <color rgb="FF000000"/>
        <rFont val="宋体"/>
        <charset val="134"/>
      </rPr>
      <t>张家口万全项目</t>
    </r>
    <r>
      <rPr>
        <sz val="10"/>
        <color rgb="FFFF0000"/>
        <rFont val="宋体"/>
        <charset val="134"/>
      </rPr>
      <t>（完结）</t>
    </r>
  </si>
  <si>
    <t>张家口万全项目联合体协议书-补充协议一</t>
  </si>
  <si>
    <t>CRCCRE-SJ-CZ-2019-013</t>
  </si>
  <si>
    <t>施工图单价：19/平方，审图费：3.2元/平方</t>
  </si>
  <si>
    <t>完成外审批复，取得外审单位批文</t>
  </si>
  <si>
    <t>取得建设工程规划许可证</t>
  </si>
  <si>
    <t>施工现场服务</t>
  </si>
  <si>
    <t>CRCCRE-SJ-CZ-2020-007</t>
  </si>
  <si>
    <t>联合体协议</t>
  </si>
  <si>
    <t>住宅方案单价：15元/平米，配套方案单价18元/平方，地下室方案单价7元/平方</t>
  </si>
  <si>
    <t>全部方案设计部分完成，按照政府相关部门上会深度要求完成方案册制作，且通过业主委托的第三方审核，并取得规划许可证后，7个工作日内双方办理计价手续，累计拨付至双方估算总额60%的设计费。</t>
  </si>
  <si>
    <t>建筑专业初步设计及全专业施工图完成且通过业主委托的第三方审核，并取得施工图审查合格通知书后，7 个工作日内双方办理计价手续，按建设工程规划许可证建筑面积结算设计费用，累计拨付至双方确认结算总额 80%的设计费。</t>
  </si>
  <si>
    <t>建筑专业初步设计及全专业施工图完成且通过业主委托的第三方审核，并取得施工图审查合格通知书后，7 个工作日内双方办理计价手续，按建设工程规划许可证建筑面积结算设计费用，累计拨付至双方确认结算总额80%的设计费。</t>
  </si>
  <si>
    <t>联合体配合业主完成项目所有合同约定的设计工作及设计配合工作，全部结构工程施工后7个工作日内双方办理计价手续。按建设工程规划许可证建筑面积结算设计费用。</t>
  </si>
  <si>
    <t>联合体配合业主以及与本工程施工所有相关单位完成向主管部门全部备案手续后双方办理最终结算手续，支付余下的设计费。</t>
  </si>
  <si>
    <r>
      <rPr>
        <sz val="10"/>
        <color rgb="FF000000"/>
        <rFont val="宋体"/>
        <charset val="134"/>
      </rPr>
      <t>正定项目C号、D号地块方案</t>
    </r>
    <r>
      <rPr>
        <sz val="10"/>
        <color rgb="FFFF0000"/>
        <rFont val="宋体"/>
        <charset val="134"/>
      </rPr>
      <t>（完结）</t>
    </r>
  </si>
  <si>
    <t>联合体协议书</t>
  </si>
  <si>
    <t>CRCCRE-SJ-CZ-2020-010</t>
  </si>
  <si>
    <t>住宅方案单价：15元/平米，配套方案单价18元/平方，地下室方案单价8元/平方</t>
  </si>
  <si>
    <t>CRCCRE-SJ-CZ-2020-010-B1</t>
  </si>
  <si>
    <t>联合体协议书解除协议</t>
  </si>
  <si>
    <t>结算费用由业主方直接付款至甲方公司账户，甲方收到款项后7个工作日将乙方结算费用支付至乙方公司账号。</t>
  </si>
  <si>
    <t>铁建银信(50万)</t>
  </si>
  <si>
    <t>铁建银信(20万)</t>
  </si>
  <si>
    <t>铁建银信(277675.7)</t>
  </si>
  <si>
    <t>万全项目绿建
（完成）</t>
  </si>
  <si>
    <t>CRCCRE-SJ-GC-2020-008</t>
  </si>
  <si>
    <t>配套公建S1社区组织工作用房和居民公益性服务设施、S2菜市场、S3幼儿园、S5便利店的施工图绿色建筑设计专篇审核通过</t>
  </si>
  <si>
    <t>配套公建S4党群服务用房施工图绿色建筑设计专篇审核通过</t>
  </si>
  <si>
    <r>
      <rPr>
        <sz val="10"/>
        <color rgb="FF000000"/>
        <rFont val="宋体"/>
        <charset val="134"/>
      </rPr>
      <t>海淀翠湖项目</t>
    </r>
    <r>
      <rPr>
        <sz val="10"/>
        <color rgb="FFFF0000"/>
        <rFont val="宋体"/>
        <charset val="134"/>
      </rPr>
      <t>（完结）</t>
    </r>
  </si>
  <si>
    <t>北京市海淀区翠湖科技园HD00-0303-6009、6010地块
R2二类居住用地项目BIM技术咨询服务合同</t>
  </si>
  <si>
    <t>CRCCRE-SJ-BIM-2020-011</t>
  </si>
  <si>
    <t>山西方杰信息技术有限公司</t>
  </si>
  <si>
    <r>
      <rPr>
        <sz val="10"/>
        <color rgb="FF000000"/>
        <rFont val="宋体"/>
        <charset val="134"/>
      </rPr>
      <t>西派唐颂二期项目</t>
    </r>
    <r>
      <rPr>
        <sz val="10"/>
        <color rgb="FFFF0000"/>
        <rFont val="宋体"/>
        <charset val="134"/>
      </rPr>
      <t>（完结）</t>
    </r>
  </si>
  <si>
    <t>中国铁建西派唐颂项目二期园区场地和小市政BIM技术咨询服务合同</t>
  </si>
  <si>
    <t>CRCCRE-SJ-BIM-2020-018</t>
  </si>
  <si>
    <t>内蒙古德丰科技信息有限公司</t>
  </si>
  <si>
    <t>99303m2</t>
  </si>
  <si>
    <t>1元/m2</t>
  </si>
  <si>
    <t>本合同签订后，乙方提交第一版景观专业BIM模型、室外管线BIM模型及问题报告，并经甲方书面确认后</t>
  </si>
  <si>
    <t>乙方提交室外管线优化BIM模型、管综问题报告及其管综综合平面图，并经甲方书面确认后</t>
  </si>
  <si>
    <t>乙方配合甲方完成BIM优化工作后</t>
  </si>
  <si>
    <t>CRCCRE-SJ-BIM-2020-017</t>
  </si>
  <si>
    <t>50000m2</t>
  </si>
  <si>
    <t>3 元/m2</t>
  </si>
  <si>
    <t>本合同签订后</t>
  </si>
  <si>
    <t>乙方提交第一版地下室管线BIM模型和问题报告，经甲方书面确认后</t>
  </si>
  <si>
    <t>乙方提交第二版地下室管线BIM模型和问题报告，经甲方书面确认后</t>
  </si>
  <si>
    <r>
      <rPr>
        <sz val="10"/>
        <color rgb="FF000000"/>
        <rFont val="宋体"/>
        <charset val="134"/>
      </rPr>
      <t>正定项目A号地块BIM设计</t>
    </r>
    <r>
      <rPr>
        <sz val="10"/>
        <color rgb="FFFF0000"/>
        <rFont val="宋体"/>
        <charset val="134"/>
      </rPr>
      <t>（完结）</t>
    </r>
  </si>
  <si>
    <t>中国铁建花语城一期工程项目BIM技术咨询服务合同</t>
  </si>
  <si>
    <t>CRCCRE-SJ-BIM-2020-024</t>
  </si>
  <si>
    <t>合同签订后15个工作日内，双方办理计价手续。</t>
  </si>
  <si>
    <t>乙方提交第一版地下车库及地下室BIM模型、户型全专业建模BIM模型且经过甲方确认后15个工作日内双方办理计价手续。</t>
  </si>
  <si>
    <t>乙方在甲方提供施工图的基础上，提交园区场地和小市政BIM模型且经过甲方确认后15个工作日内双方办理计价手续。</t>
  </si>
  <si>
    <t>乙方根据甲方优化后的施工图纸提交BIM设计优化报告、完成BIM范围的交底工作、完成BIM二维出图且经过甲方确认后15个工作日内双方办理计价手续。</t>
  </si>
  <si>
    <t>乙方跟踪项目进度，完成设计变更的BIM模型更改，至项目取得竣工备案表后，次月支付剩余合同额。</t>
  </si>
  <si>
    <r>
      <rPr>
        <sz val="10"/>
        <color rgb="FF000000"/>
        <rFont val="宋体"/>
        <charset val="134"/>
      </rPr>
      <t>长春超强西街</t>
    </r>
    <r>
      <rPr>
        <sz val="10"/>
        <color rgb="FFFF0000"/>
        <rFont val="宋体"/>
        <charset val="134"/>
      </rPr>
      <t>（完结）</t>
    </r>
  </si>
  <si>
    <t>超强西街178地块项目BIM技术咨询服务合同</t>
  </si>
  <si>
    <t>CRCCRE-SJ-BIM-2020-027</t>
  </si>
  <si>
    <t xml:space="preserve"> 3 元/m2</t>
  </si>
  <si>
    <t>乙方提交第一版地下室管线BIM模型后，经甲方书面确认后，30个工作日内</t>
  </si>
  <si>
    <t>乙方提交地下室管线优化 BIM 模型及 BIM 优化报告后，经甲方书面确认后，30 个工作日内，双方办理结算手续，按照签订的成果确认单进行结算。</t>
  </si>
  <si>
    <r>
      <rPr>
        <sz val="10"/>
        <color rgb="FF000000"/>
        <rFont val="宋体"/>
        <charset val="134"/>
      </rPr>
      <t>北京城市副中心</t>
    </r>
    <r>
      <rPr>
        <sz val="10"/>
        <color rgb="FFFF0000"/>
        <rFont val="宋体"/>
        <charset val="134"/>
      </rPr>
      <t>（完结）</t>
    </r>
  </si>
  <si>
    <t>北京城市副中心二期项目170#楼
钢结构专业建模、设计问题核查、后期模型修改服务合同</t>
  </si>
  <si>
    <t>CRCCRE-SJ-BIM-2021-004</t>
  </si>
  <si>
    <t>北京数致科技有限公司</t>
  </si>
  <si>
    <t>2.6 元/m2</t>
  </si>
  <si>
    <t>乙方履行完合同约定的所有义务，提交所有深化设计图纸并经过审核后，向甲方提交结算书，双方在30天内办理结算，结算完成90天甲方支付至乙方结算价的100%。实际付款金额以甲方书面确认的结算面积对应的结算金额为准。</t>
  </si>
  <si>
    <t>江门文化中心</t>
  </si>
  <si>
    <t>中铁建代建社区文化中心项目建筑规划方案设计合同</t>
  </si>
  <si>
    <t>CRCCRE-SJ-XM-2021-017</t>
  </si>
  <si>
    <t>广州市冼剑雄联合建筑设计事务所（普通合伙）</t>
  </si>
  <si>
    <t>提交第一版概念性方案后15个工作日内请款，次月25日内付款</t>
  </si>
  <si>
    <t>规划方案调整、修改并通过市规委会并规划公示之日起15个工作日内请款，次月25日内付款</t>
  </si>
  <si>
    <t>江门文化中心项目</t>
  </si>
  <si>
    <t>中铁建代建社区文化中心项目基坑支护专项设计服务合同</t>
  </si>
  <si>
    <t>CRCCRE-SJ-XM-2021-034</t>
  </si>
  <si>
    <t>基坑</t>
  </si>
  <si>
    <t>广州市泰基工程技术有限公司</t>
  </si>
  <si>
    <t>160000（不含方案专家评审费1万元）</t>
  </si>
  <si>
    <t>本合同签订，乙方提交本项目基坑支护专项设计方案，经相关机构审查通过且甲方收到本项目业主方（江门江湾南光投资发展有限公司）相应款项后15个工作日内请款，次月30日内甲方向乙方支付合同额的20％；</t>
  </si>
  <si>
    <t>税率6%</t>
  </si>
  <si>
    <t>乙方完成基坑支护专项设计施工图，经甲方和相关机构审查通过且甲方收到本项目业主方（江门江湾南光投资发展有限公司）相应款项后15个工作日内请款，次月30日内甲方向乙方支付合同额的60％；</t>
  </si>
  <si>
    <t>竣工验收完成后，且甲方收到本项目业主方（江门江湾南光投资发展有限公司）相应款项后15个工作日内请款，次月30日内甲方向乙方支付合同额的20％。</t>
  </si>
  <si>
    <t>中铁建代建社区文化中心项目人防专项设计服务合同</t>
  </si>
  <si>
    <t>CRCCRE-SJ-XM-2021-033</t>
  </si>
  <si>
    <t>广东金辉华集团有限公司</t>
  </si>
  <si>
    <t>21.00元/平方米</t>
  </si>
  <si>
    <t>本合同签订，乙方提交本项目人防规划取得主管部门批复，且甲方收到本项目业主方（江门江湾南光投资发展有限公司）相应款项后15个工作日内请款，次月30日内甲方向乙方支付合同额的20％；</t>
  </si>
  <si>
    <t>乙方完成人防施工图设计工作，经相关机构审查通过，取得施工图审查合格证且甲方收到本项目业主方（江门江湾南光投资发展有限公司）相应款项后15个工作日内请款，次月30日内甲方向乙方支付合同额的60％；</t>
  </si>
  <si>
    <t>整体竣工验收完成且甲方收到本项目业主方（江门江湾南光投资发展有限公司）相应款项后15个工作日内请款，次月30日内甲方向乙方支付合同额的20％。</t>
  </si>
  <si>
    <t>中铁建代建社区文化中心项目海绵城市咨询服务
合同</t>
  </si>
  <si>
    <t>CRCCRE-SJ-XM-2022-007</t>
  </si>
  <si>
    <t>广州亚泰建筑设计院有限公司</t>
  </si>
  <si>
    <t>第一笔款（20%）：乙方提交方案设计阶段和初步设计阶段的成果并在甲方均审核通过后15个工作日内请款，甲方收到本项目业主方（江门江湾南光投资发展有限公司）相应款项后，次月30日内付款，</t>
  </si>
  <si>
    <t>第二笔款（60%）：乙方提交海绵城市设计正式成果并通过相关政府部门审批，并获取施工图审查合格证后15个工作日内请款，甲方收到本项目业主方（江门江湾南光投资发展有限公司）相应款项后，次月30日内付款，</t>
  </si>
  <si>
    <t>第三笔款（20%）：整体项目竣工验收完成后15个工作日内请款，甲方收到本项目业主方（江门江湾南光投资发展有限公司）相应款项后，次月30日内付款，</t>
  </si>
  <si>
    <t>中铁建代建社区文化中心项目智能化专项设计服务合同</t>
  </si>
  <si>
    <t>CRCCRE-SJ-XM-2022-013</t>
  </si>
  <si>
    <t>厦门万安智能有限公司</t>
  </si>
  <si>
    <t>本合同签订，乙方提交智能化方案设计得到甲方确认后且甲方收到本项目业主方（江门江湾南光投资发展有限公司）相应款项后15个工作日内请款，次月30日内甲方向乙方支付合同额的20％</t>
  </si>
  <si>
    <t>智能化施工图设计工作完成并经过甲方确认后，经施工图审查机构审查通过（无）且甲方收到本项目业主方（江门江湾南光投资发展有限公司）相应款项后15个工作日内请款，次月30日内甲方向乙方支付合同额的60％；</t>
  </si>
  <si>
    <t>整体工程竣工验收完成后办理结算，自甲方收到本项目业主方（江门江湾南光投资发展有限公司）相应款项后15个工作日内请款，次月30日内甲方向乙方支付合同额的20％。</t>
  </si>
  <si>
    <t>中铁建代建社区文化中心项目亮化专项设计服务合同</t>
  </si>
  <si>
    <t>CRCCRE-SJ-XM-2022-014</t>
  </si>
  <si>
    <t>亮化</t>
  </si>
  <si>
    <t>广东坤业照明工程有限公司</t>
  </si>
  <si>
    <t>1、本合同签订，乙方提交本项目泛光照明设计方案取得主管部门批复，且甲方收到本项目业主方（江门江湾南光投资发展有限公司）相应款项后15个工作日内请款，次月30日内甲方向乙方支付合同额的20％；</t>
  </si>
  <si>
    <t>2、乙方完成泛光照明施工图设计工作，经相关机构审查通过且甲方收到本项目业主方（江门江湾南光投资发展有限公司）相应款项后15个工作日内请款，次月30日内甲方向乙方支付合同额的60％；</t>
  </si>
  <si>
    <t>3、整体项目竣工验收完成且甲方收到本项目业主方（江门江湾南光投资发展有限公司）相应款项后15个工作日内请款，次月30日内甲方向乙方支付合同额的20％。</t>
  </si>
  <si>
    <t>中铁建代建社区文化中心项目节能专项设计服务合同</t>
  </si>
  <si>
    <t>CRCCRE-SJ-GC-2022-001</t>
  </si>
  <si>
    <t>节能</t>
  </si>
  <si>
    <t>广东卓骏绿色建筑科技有限公司</t>
  </si>
  <si>
    <t>0.5元/平方米</t>
  </si>
  <si>
    <t>1、本合同签订，提交设计方案经甲方确认后且甲方收到本项目业主方（江门江湾南光投资发展有限公司）相应款项后15个工作日内请款，次月30日内甲方向乙方支付合同额的20％；</t>
  </si>
  <si>
    <t>2、咨询服务成果完成并经过甲方确认后，经相关机构审查通过且甲方收到本项目业主方（江门江湾南光投资发展有限公司）相应款项后15个工作日内请款，次月30日内甲方向乙方支付合同额的60％；</t>
  </si>
  <si>
    <t>3、整体竣工验收完成，且甲方收到本项目业主方（江门江湾南光投资发展有限公司）相应款项后15个工作日内请款，次月30日内甲方向乙方支付合同额的20％。</t>
  </si>
  <si>
    <t>中铁建代建社区文化中心项目幕墙设计顾问服务</t>
  </si>
  <si>
    <t>CRCCRE-SJ-XM-2022-017</t>
  </si>
  <si>
    <t>深圳澳瑞思建筑工程咨询有限公司</t>
  </si>
  <si>
    <t>本合同签订后，乙方提交此专项工作方案并得到甲方认可后，且甲方收到本项目业主方（江门江湾南光投资发展有限公司）相应款项后15个工作日内请款，次月30日内甲方向乙方支付</t>
  </si>
  <si>
    <t>税率3%</t>
  </si>
  <si>
    <t>乙方完成此专项设计顾问服务工作，经施工图审查机构等相关机构审查通过，且甲方收到本项目业主方（江门江湾南光投资发展有限公司）相应款项后15个工作日内请款，次月30日内甲方向乙方支付</t>
  </si>
  <si>
    <t>中铁建代建社区文化中心项目整体竣工验收完成且甲方收到本项目业主方（江门江湾南光投资发展有限公司）相应款项后15个工作日内请款，次月30日内甲方向乙方支付</t>
  </si>
  <si>
    <t>中铁建代建社区文化中心项目声学、扩声系统、舞台机械、舞台灯光及投影系统设计服务合同</t>
  </si>
  <si>
    <t>CRCCRE-SJ-XM-2023-003</t>
  </si>
  <si>
    <t>华南理工大学建筑设计研究院有限公司</t>
  </si>
  <si>
    <t>本合同签订后，乙方提交此专项工作方案设计，经甲方认可后，且甲方收到本项目业主方（江门江湾南光投资发展有限公司）相应款项后15个工作日内请款，次月30日内甲方向乙方支付合同额的20％；</t>
  </si>
  <si>
    <t>乙方完成此专项设计工作，且经施工图审查机构审查通过，且甲方收到本项目业主方（江门江湾南光投资发展有限公司）相应款项后15个工作日内请款，次月30日内甲方向乙方支付合同额的60％；</t>
  </si>
  <si>
    <t>中铁建代建社区文化中心项目竣工验收合格且甲方收到本项目业主方（江门江湾南光投资发展有限公司）相应款项后15个工作日内请款，次月30日内甲方向乙方支付合同额的20％。</t>
  </si>
  <si>
    <t>中铁建代建社区文化中心
标识导视专项设计服务合同</t>
  </si>
  <si>
    <t>CRCCRE-SJ-XM-2022-025</t>
  </si>
  <si>
    <t>深圳市玖筑标识有限公司</t>
  </si>
  <si>
    <t>本合同签订，乙方提交本项目工作方案并得到甲方确认，且甲方收到本项目业主方（江门江湾南光投资发展有限公司）相应款项后15个工作日内请款，次月30日内甲方向乙方支付合同额的20％；</t>
  </si>
  <si>
    <t>乙方完成此专项标识导视施工图设计工作，经相关机构审查通过及甲方认可且甲方收到本项目业主方（江门江湾南光投资发展有限公司）相应款项后15个工作日内请款，次月30日内甲方向乙方支付合同额的60％；</t>
  </si>
  <si>
    <t>整体竣工验收完成并经过备案且甲方收到本项目业主方（江门江湾南光投资发展有限公司）相应款项后15个工作日内请款，按照《建设工程规划许可证》本项面积进行结算，次月30日内甲方向乙方支付合同额的20％。</t>
  </si>
  <si>
    <r>
      <rPr>
        <sz val="10"/>
        <color rgb="FF000000"/>
        <rFont val="宋体"/>
        <charset val="134"/>
      </rPr>
      <t>滨江学校项目</t>
    </r>
    <r>
      <rPr>
        <sz val="10"/>
        <color rgb="FFFF0000"/>
        <rFont val="宋体"/>
        <charset val="134"/>
      </rPr>
      <t>（完结）</t>
    </r>
  </si>
  <si>
    <t>滨江学校项目
立面深化设计合同</t>
  </si>
  <si>
    <t>CRCCRE-SJ-CZ-2021-008</t>
  </si>
  <si>
    <t>筑弧建筑设计（上海）事务所</t>
  </si>
  <si>
    <t>合同签订之日起30个工作日内</t>
  </si>
  <si>
    <t>提交最终外立面方案深化设计成果文件经甲方确认后30个工作日内。</t>
  </si>
  <si>
    <t>方案经代建方确认通过后30个工作日内。</t>
  </si>
  <si>
    <r>
      <rPr>
        <sz val="10"/>
        <color rgb="FF000000"/>
        <rFont val="宋体"/>
        <charset val="134"/>
      </rPr>
      <t>广州佛山市顺德区北滘TOD项目</t>
    </r>
    <r>
      <rPr>
        <sz val="10"/>
        <color rgb="FFFF0000"/>
        <rFont val="宋体"/>
        <charset val="134"/>
      </rPr>
      <t>（终止）</t>
    </r>
  </si>
  <si>
    <t>佛山市顺德区北滘TOD项目 概念规划与城市设计服务合同</t>
  </si>
  <si>
    <t>CRCCRE-SJ-TOD-2021-002</t>
  </si>
  <si>
    <t>概念规划与城市设计</t>
  </si>
  <si>
    <t>艾奕康设计与咨询（深圳）有限公司</t>
  </si>
  <si>
    <t>第一期服务费用：签订本合同后5个日历日内，甲方支付合同总额的40%作为启动金，即支付人民币 捌拾万元整（¥ 800，000）；(含税)</t>
  </si>
  <si>
    <t>第二期服务费用：乙方提交第二阶段成果并经甲方确认后5个日历日内，甲方支付合同总额的40% 作为项目第二期款项，即支付人民币捌拾万元整（¥ 800，000 ）；(含税)</t>
  </si>
  <si>
    <t>第三期服务费用：乙方提交最终成果并经甲方确认后20个日历日内，甲方支付合同总额的20%作为项目第三期款项，即支付人民币肆拾万元整（¥400，000）</t>
  </si>
  <si>
    <t>华南
（广分）</t>
  </si>
  <si>
    <t>广州市增城集丰村项目（成本记在项目管理中心本级）</t>
  </si>
  <si>
    <t>广州市增城集丰村项目建筑施工图设计委托合同</t>
  </si>
  <si>
    <t>CRCCRE-SJ-GZF-2019-015-改</t>
  </si>
  <si>
    <t>广东宏图建筑设计有限公司</t>
  </si>
  <si>
    <t>项目管理中心（广州分公司结转，财务账入项目管理中心，未分项目）</t>
  </si>
  <si>
    <t>结构封顶后次月20日前，付款比例20%</t>
  </si>
  <si>
    <t>竣工验收后次月20日内，付款比例10%</t>
  </si>
  <si>
    <t>珠海湖心路项目施工图设计合同（结算协议）</t>
  </si>
  <si>
    <t>CRCCRE-SJ-GZF-2019-009-JS</t>
  </si>
  <si>
    <t>深圳市建筑设计研究总院有限公司</t>
  </si>
  <si>
    <t>项目管理中心（广州分公司结转）</t>
  </si>
  <si>
    <t>竣工验收后支付余款</t>
  </si>
  <si>
    <t>济南郭店土河以东地块项目</t>
  </si>
  <si>
    <t>济南市历城区土河东项目地下建筑方案深化设计合同</t>
  </si>
  <si>
    <t>CRCCRE-SJ-XM-2021-039</t>
  </si>
  <si>
    <t>地下建筑方案深化设计</t>
  </si>
  <si>
    <t>山东万方建筑工程设计有限公司</t>
  </si>
  <si>
    <t>合同签订之日起20个工作日内</t>
  </si>
  <si>
    <t>提交最终地下建筑方案深化设计成果文件经甲方确认后20个工作日内</t>
  </si>
  <si>
    <t>取得«规划许可证»之日起20个工作日内</t>
  </si>
  <si>
    <t>施工配合、竣工验收完成、结算完毕20个工作日内</t>
  </si>
  <si>
    <t>涿州市A2-10地块项目
（完成）</t>
  </si>
  <si>
    <t>涿州高铁新城2020-55、56 号地项目地下室BIM管综优化技术咨询服务合同</t>
  </si>
  <si>
    <t>CRCCRE-SJ-BIM-2022-001</t>
  </si>
  <si>
    <t>北京中宣智伟科技有限公司</t>
  </si>
  <si>
    <t>本合同签订后，乙方提交第一版BIM模型、并经甲方确认且甲方收到项目业主方相应款项后15个工作日内</t>
  </si>
  <si>
    <t>乙方提交第一版BIM报告并经甲方确认且甲方收到项目业主方相应款项后15个工作日内</t>
  </si>
  <si>
    <t>乙方提交最终版BIM优化报告并经甲方确认且收到项目业主方相应款项后甲方15个工作日内</t>
  </si>
  <si>
    <r>
      <rPr>
        <sz val="10"/>
        <color rgb="FF000000"/>
        <rFont val="宋体"/>
        <charset val="134"/>
      </rPr>
      <t>江门文化中心项目</t>
    </r>
    <r>
      <rPr>
        <sz val="10"/>
        <color rgb="FFFF0000"/>
        <rFont val="宋体"/>
        <charset val="134"/>
      </rPr>
      <t>（完结）</t>
    </r>
  </si>
  <si>
    <t>中铁建代建社区文化中心项目规划和建筑方案设计招标补偿协议</t>
  </si>
  <si>
    <t>CRCCRE-SJ-XM-2021-028</t>
  </si>
  <si>
    <t>广州市设计院集团有限公司</t>
  </si>
  <si>
    <t>对经过评议认为投标方案符合招标单位的招标要求但未中标的单位，招标方给予人民币15万元（含税）的补偿，确定中标人后6个月内支付。</t>
  </si>
  <si>
    <t>CRCCRE-SJ-XM-2021-027</t>
  </si>
  <si>
    <t>中国建筑科学研究院有限公司</t>
  </si>
  <si>
    <r>
      <rPr>
        <sz val="10"/>
        <color rgb="FF000000"/>
        <rFont val="宋体"/>
        <charset val="134"/>
      </rPr>
      <t xml:space="preserve">西安西派国际项目
</t>
    </r>
    <r>
      <rPr>
        <sz val="10"/>
        <color rgb="FFFF0000"/>
        <rFont val="宋体"/>
        <charset val="134"/>
      </rPr>
      <t>（完结）</t>
    </r>
  </si>
  <si>
    <t>中国铁建·明月府邸1号地块项目
虚拟现实地产制作软件开发服务合同</t>
  </si>
  <si>
    <t>CRCCRE-SJ-BIM-2020-006</t>
  </si>
  <si>
    <t>北京五一视界数字孪生科技股份有限公司</t>
  </si>
  <si>
    <t>本合同签订后30个工作日内，甲方支付合同总价款的 20 ％</t>
  </si>
  <si>
    <t>乙方项目交付甲方验收合格后20个工作日内，甲方向乙方支付合同总价款的 70 ％</t>
  </si>
  <si>
    <t>一年维护期满后甲方向乙方支付合同款剩余 10 %</t>
  </si>
  <si>
    <t>中国铁建国际城1A、1B</t>
  </si>
  <si>
    <t>中国铁建国际城1A、1B地块社区商业集合店精装修
设计合同</t>
  </si>
  <si>
    <t>CRCCRE-SJ-CZ-2017-016</t>
  </si>
  <si>
    <t>北京和易国际室内设计有限公司</t>
  </si>
  <si>
    <t>精装面积980平米，一口价35万元</t>
  </si>
  <si>
    <t>概念设计得到甲方认可后，15个工作日内请款，次月30日前支付</t>
  </si>
  <si>
    <t>提交施工图成果后15个工作日内请款，次月30日前支付</t>
  </si>
  <si>
    <t>室内施工完成后15个工作日内请款，次月30日前支付</t>
  </si>
  <si>
    <t>苏州独墅湖</t>
  </si>
  <si>
    <t>苏州项目苏州工业园区DK20150005号地块项目
方案设计合同</t>
  </si>
  <si>
    <t>CRCCRE-SJ-CZZX-2017-010</t>
  </si>
  <si>
    <t>上海柏涛工程设计顾问有限公司</t>
  </si>
  <si>
    <t>别墅方案33元/平米</t>
  </si>
  <si>
    <t>合同签订15日内</t>
  </si>
  <si>
    <t>方案设计获得政府审批通过且获得甲方认可15日内</t>
  </si>
  <si>
    <t>方案深化设计获得甲方认可15日内</t>
  </si>
  <si>
    <t>提供图纸优化建议，施工图完成获得甲方认可并审查合格30日内</t>
  </si>
  <si>
    <t>施工配合、竣工验收完毕30日内</t>
  </si>
  <si>
    <t>CRCCRE-SJ-CZZX-2017-011</t>
  </si>
  <si>
    <t>上海日清建筑设计事务所（有限合伙）</t>
  </si>
  <si>
    <t>湖州德清项目</t>
  </si>
  <si>
    <t>德清县依山路南侧（2017）535地块工程设计委托合同</t>
  </si>
  <si>
    <t>CRCCRE-SJ-CZ-2018-035</t>
  </si>
  <si>
    <t>叠加住宅：66元/平
合院80元/平
地库方案：18元/平</t>
  </si>
  <si>
    <t>合同签订30日内</t>
  </si>
  <si>
    <t>方案设计获得政府审批通过，方案深化设计成果通过政府报批且获得甲方认可30日内</t>
  </si>
  <si>
    <t>分次付款，8月26日支付120万，11月付款2628904</t>
  </si>
  <si>
    <t>提供图纸优化建议，施工图配合完成后30日内</t>
  </si>
  <si>
    <t>后期配合（含配合主要饰面材料封样，审核幕墙、门窗等深化设计等）、竣工验收完毕30日内</t>
  </si>
  <si>
    <t>计价比例3%剩余2%结算后计价</t>
  </si>
  <si>
    <t>德清县武康街道依山路【2017】535地块项目工程设计委托合同</t>
  </si>
  <si>
    <t>CRCCRE-SJ-CZ-2018-030</t>
  </si>
  <si>
    <t>北京一语一成景观规划设计有限公司</t>
  </si>
  <si>
    <t>展示区概念方案设计成果提交并经甲方确认</t>
  </si>
  <si>
    <t>81.25万分两次付款，第一次付40万</t>
  </si>
  <si>
    <t>81.25万分两次付款，第二次付41.25万</t>
  </si>
  <si>
    <t>公共区概念方案设计成果提交并经甲方确认</t>
  </si>
  <si>
    <t>因新冠疫情，3-5月小规模纳税人税率调整为1%，应付金额为2%税差</t>
  </si>
  <si>
    <t>按照1%税率开票</t>
  </si>
  <si>
    <t>按照1%税率开票  节点比例10%</t>
  </si>
  <si>
    <t>按照1%税率开票 节点比例5%</t>
  </si>
  <si>
    <t>宁波湾头8号地</t>
  </si>
  <si>
    <t>宁波市江北区湾头地区8号地块（JB05-02-34、JB05-04-19、JB05-04-23）项目规划设计顾问咨询合同</t>
  </si>
  <si>
    <t>CRCCRE-SJ-CZ-2018-014</t>
  </si>
  <si>
    <t>提交方案深化设计成果，通过政府报批，且获得甲方确认后15日内</t>
  </si>
  <si>
    <t>外委合同额调整后为4256831.44元</t>
  </si>
  <si>
    <t>后期配合（含配合主要饰面材料封样，审核幕墙、门窗等深化设计等），竣工验收后30日内</t>
  </si>
  <si>
    <t>宁波海曙气象路</t>
  </si>
  <si>
    <t>宁波市海曙区地块项目工程设计委托合同</t>
  </si>
  <si>
    <t>CRCCRE-SJ-CZ-2018-051</t>
  </si>
  <si>
    <t>浙江东南建筑设计有限公司</t>
  </si>
  <si>
    <t>合同签订30个工作日内</t>
  </si>
  <si>
    <t>计价多记0.1元，分两次付款</t>
  </si>
  <si>
    <t>总图及单体概念方案设计完成并经认可后30 个工作日内</t>
  </si>
  <si>
    <t>项目总图、建筑单专业扩初设计图纸完成，并取得政府规划方案审批通过15 个工作日内</t>
  </si>
  <si>
    <t>1731874.65分两次支付</t>
  </si>
  <si>
    <t>配合所有施工图完成，并通过宁波市相关部门图审后30个工作日内</t>
  </si>
  <si>
    <t>分次开票，21年11月开783291.2，银信支付；2022年4月18日付600000，剩余59937.67于23年5月12日转账支付</t>
  </si>
  <si>
    <t>配合施工完成，并经宁波市相关部门验收工作后30个工作日内</t>
  </si>
  <si>
    <t>合同结算金额
6,072,915.49</t>
  </si>
  <si>
    <t>嘉兴经开项目（江南国际城）</t>
  </si>
  <si>
    <t>中国铁建·嘉兴经开2017-30地块项目规划设计顾问
咨询合</t>
  </si>
  <si>
    <t>CRCCRE-SJ-CZ-2018-021</t>
  </si>
  <si>
    <t>上海日清建筑设计事务所（有限
合伙）</t>
  </si>
  <si>
    <t>提交方案深化设计成果，通过政府报批，且获得甲方认可15日内</t>
  </si>
  <si>
    <t>根据规证面积结算</t>
  </si>
  <si>
    <t>南京雨花项目</t>
  </si>
  <si>
    <t>南京市雨花台区赛虹桥街道南西营村2017G70地块项目工程设计委托合同</t>
  </si>
  <si>
    <t>CRCCRE-SJ-CZ-2018-023</t>
  </si>
  <si>
    <t>东南院高层方案+施工图35元/平米</t>
  </si>
  <si>
    <r>
      <rPr>
        <sz val="10"/>
        <color theme="1"/>
        <rFont val="宋体"/>
        <charset val="134"/>
      </rPr>
      <t>总图、典型单体（平、立、剖面图）设计完成并得到业主方书面确认函之日起30</t>
    </r>
    <r>
      <rPr>
        <sz val="11"/>
        <color theme="1"/>
        <rFont val="宋体"/>
        <charset val="134"/>
        <scheme val="minor"/>
      </rPr>
      <t xml:space="preserve"> </t>
    </r>
    <r>
      <rPr>
        <sz val="11"/>
        <color theme="1"/>
        <rFont val="宋体"/>
        <charset val="134"/>
        <scheme val="minor"/>
      </rPr>
      <t>个工作日内</t>
    </r>
  </si>
  <si>
    <t>方案调整、修改完成并通过政府审查后（规划复函）30个工作日内</t>
  </si>
  <si>
    <t>最终扩初设计与咨询得到政府相关部门批准（取得规划许可证）30个工作日内；或甲方书面要求启动施工图设计与咨询之日起30个工作日内</t>
  </si>
  <si>
    <r>
      <rPr>
        <sz val="10"/>
        <color theme="1"/>
        <rFont val="宋体"/>
        <charset val="134"/>
      </rPr>
      <t>施工图完成并审查合格30</t>
    </r>
    <r>
      <rPr>
        <sz val="11"/>
        <color theme="1"/>
        <rFont val="宋体"/>
        <charset val="134"/>
        <scheme val="minor"/>
      </rPr>
      <t xml:space="preserve"> </t>
    </r>
    <r>
      <rPr>
        <sz val="11"/>
        <color theme="1"/>
        <rFont val="宋体"/>
        <charset val="134"/>
        <scheme val="minor"/>
      </rPr>
      <t>个工作日内</t>
    </r>
  </si>
  <si>
    <t>施工配合、竣工验收完毕30个工作日内</t>
  </si>
  <si>
    <t>天津赵沽里项目（完结）</t>
  </si>
  <si>
    <t>天津市金钟河大街南侧项目工程设计委托合同</t>
  </si>
  <si>
    <t>CRCCRE-SJ-CZ-2018-053</t>
  </si>
  <si>
    <t>天津市天友建筑设计股份有限公司</t>
  </si>
  <si>
    <t>施工图外委单价：28.5元/平米</t>
  </si>
  <si>
    <t>二三节点合并支付，根据规证面积规证面积为121629.6平米调价，外委合同额调整后为3455792.29   元</t>
  </si>
  <si>
    <t>施工图完成并审查合格30个日内支付</t>
  </si>
  <si>
    <t>项目结构主体验收合格后30日，支付施工图费用的7%，并进行结算</t>
  </si>
  <si>
    <t>竣工验收完毕30日内</t>
  </si>
  <si>
    <t>增加晒图费48322.88元（经审定最终为46128.45 ），合同结算价=3455792.29   +46128.45元=3501920.74元</t>
  </si>
  <si>
    <t>天津市金钟河大街南侧项目工程设计委托补充协议</t>
  </si>
  <si>
    <t>CRCCRE-SJ-CZ-2018-053-B1</t>
  </si>
  <si>
    <t>地库优化</t>
  </si>
  <si>
    <t>地库方案优化6元/平米</t>
  </si>
  <si>
    <t>乙方完成本合同约定的全部工作内容，甲方向乙方一次性支付上述费用</t>
  </si>
  <si>
    <t>天津市金钟河大街南侧项目工程设计委托补充协议二</t>
  </si>
  <si>
    <t>CRCCRE-SJ-CZ-2018-053-B2</t>
  </si>
  <si>
    <t>施工图调整</t>
  </si>
  <si>
    <t>天津市金钟河大街南侧项目工程设计委托补充协议三</t>
  </si>
  <si>
    <t>CRCCRE-SJ-CZ-2018-053-B3</t>
  </si>
  <si>
    <t>精装审图</t>
  </si>
  <si>
    <t>一次性支付。乙方按甲方要求提交全部设计成果并经甲方审核通过后，甲方于次月30日前向乙方支付本补充协议三设计费用的100%。</t>
  </si>
  <si>
    <t>天津赵沽里项目（外委）</t>
  </si>
  <si>
    <t>天津市金钟河大街南侧项目工程设计委托补充协议四</t>
  </si>
  <si>
    <t>CRCCRE-SJ-CZ-2018-053-B4</t>
  </si>
  <si>
    <t>竣工图绘制</t>
  </si>
  <si>
    <r>
      <rPr>
        <sz val="10"/>
        <color rgb="FF000000"/>
        <rFont val="宋体"/>
        <charset val="134"/>
      </rPr>
      <t>天津诗景广场软装</t>
    </r>
    <r>
      <rPr>
        <sz val="10"/>
        <color rgb="FFFF0000"/>
        <rFont val="宋体"/>
        <charset val="134"/>
      </rPr>
      <t>（完结）</t>
    </r>
  </si>
  <si>
    <t>天津诗景广场公寓楼样板间室内软装配饰工程合同+结算补充协议</t>
  </si>
  <si>
    <t>CRCCRE-SJ-CZ-2019-010+CRCCRE-SJ-CZ-2019-010-B1</t>
  </si>
  <si>
    <t>软装</t>
  </si>
  <si>
    <t>乙方软装配饰订购后支付</t>
  </si>
  <si>
    <t>税率13%</t>
  </si>
  <si>
    <t>乙方完成本合同范围内的全部工作并经甲方验收合格后支付</t>
  </si>
  <si>
    <t>自甲方验收合格之日起，保修期满一年支付</t>
  </si>
  <si>
    <t>南京G15地块项目</t>
  </si>
  <si>
    <t>南京江北新区NO.新区2019G15项目
 建筑施工图设计委托合同</t>
  </si>
  <si>
    <t>CRCCRE-SJ-XM-2020-007</t>
  </si>
  <si>
    <t>方案配合</t>
  </si>
  <si>
    <t>222805.33（地上156650.85，地下66154.48，其中人防部分10070.41，非人防56084.07</t>
  </si>
  <si>
    <t>方案配合报建2元/平（总建面），日照分析1元/平（地上面积）</t>
  </si>
  <si>
    <t>已按规证面积结算</t>
  </si>
  <si>
    <t>地上建筑施工图：20元/平；非人防地下室：18元/平；人防地下室：28元/平</t>
  </si>
  <si>
    <t>1022852.25承兑+83273.19银信</t>
  </si>
  <si>
    <t>903563.43现金+1087462.35银信</t>
  </si>
  <si>
    <t>PC设计及容积率奖励</t>
  </si>
  <si>
    <t>PC策划方案：12元/平（地上面积）；装配式面积奖励策划及上会：3元/平（地上面积）</t>
  </si>
  <si>
    <t>BIM：4.5元/平（总面积）</t>
  </si>
  <si>
    <t>其中882894.00银承，剩下银信</t>
  </si>
  <si>
    <t>基坑支护设计：5元/平（地下面积）</t>
  </si>
  <si>
    <t>绿建二星</t>
  </si>
  <si>
    <t>综合管网及雨污水</t>
  </si>
  <si>
    <t>0.5元/平（地上面积）</t>
  </si>
  <si>
    <t>精装修二次机电点位配合</t>
  </si>
  <si>
    <t>2元/平（地上面积）</t>
  </si>
  <si>
    <t>南京江北新区NO.新区2019G15项目
 景观设计委托合同</t>
  </si>
  <si>
    <t>CRCCRE-SJ-XM-2020-006</t>
  </si>
  <si>
    <t>成都赛肯思创享生活景观设计股份有限公司</t>
  </si>
  <si>
    <t>景观面积（67413.85）</t>
  </si>
  <si>
    <t>25元/平（景观面积）</t>
  </si>
  <si>
    <t>乙方发票少开一分钱，少付一分</t>
  </si>
  <si>
    <t>上一笔少付一分，本次多付一分钱</t>
  </si>
  <si>
    <t>24年少计价</t>
  </si>
  <si>
    <t>南京江北新区NO.新区2019G15项目
 精装设计委托合同</t>
  </si>
  <si>
    <t>CRCCRE-SJ-XM-2020-005</t>
  </si>
  <si>
    <t>苏州金螳螂建筑装饰股份有限公司</t>
  </si>
  <si>
    <t>售楼处1431.5平，样板间357平</t>
  </si>
  <si>
    <t>售楼处精装：300元/平（售楼处面积）；样板间精装：400元/平（样板间面积）；公共区域及批量精准设计：566667元/项</t>
  </si>
  <si>
    <t>南京江北新区NO.新区2019G15项目 精装设计委托合同补充合同</t>
  </si>
  <si>
    <t>CRCCRE-SJ-XM-2020-005-B1</t>
  </si>
  <si>
    <t>25#通道</t>
  </si>
  <si>
    <t>未签订</t>
  </si>
  <si>
    <t>人防设计</t>
  </si>
  <si>
    <t>天津市人防建筑科研设计院</t>
  </si>
  <si>
    <t>暂定人防面积1800平</t>
  </si>
  <si>
    <t>48元/平</t>
  </si>
  <si>
    <t>完成初步设计，并经甲方确认后15个工作日内</t>
  </si>
  <si>
    <t>完成施工图，并经甲方确认15个工作日内</t>
  </si>
  <si>
    <t>绍兴花语江南项目</t>
  </si>
  <si>
    <t>绍兴越城区曲屯1号地块项目
BIM建模及管综优化服务合同</t>
  </si>
  <si>
    <t>CRCCRE-SJ-BIM-2020-014</t>
  </si>
  <si>
    <t>地下+小市政面积178515.66</t>
  </si>
  <si>
    <t>2.33元/平，另加出图费50000</t>
  </si>
  <si>
    <t>小规模税点由3%降为1%，固定不含税价格（前三个节点税点为1%，最后一个节点3%）</t>
  </si>
  <si>
    <t>乙方提交第一版地下室管线BIM模型后，15个工作日内</t>
  </si>
  <si>
    <t>乙方提交第一版地下室管线优化BIM模型后，15个工作日内</t>
  </si>
  <si>
    <t>乙方提交园区场地和小市政管线BIM管综优化模型和地下室、园区场地和小市政管线BIM优化报告，15个工作日内</t>
  </si>
  <si>
    <t>南沙海悦国际项目</t>
  </si>
  <si>
    <t>中国铁建·海悦国际项目工程设计委托合同</t>
  </si>
  <si>
    <t>CRCCRE-SJ-CZ-2019-009</t>
  </si>
  <si>
    <t>上海沪张思建筑规划设计事务所（有限合伙）</t>
  </si>
  <si>
    <t>施工图单价：20.4元/平米</t>
  </si>
  <si>
    <t>概念方案完成，即总图设计成果提交，并得到甲方书面确认函之日起30个日历内支付</t>
  </si>
  <si>
    <t>建筑方案深化完成，即典型单体（平、立、剖面图）设计完成并得到甲方书面确认函之日起30个日历日内支付</t>
  </si>
  <si>
    <t>施工配合、竣工验收完成、结算完毕30个工作日内支付</t>
  </si>
  <si>
    <t>南沙横沥岛30、31地块项目</t>
  </si>
  <si>
    <t>广州横沥岛2021NJY-12地块项目标段一
建筑方案设计委托合同</t>
  </si>
  <si>
    <t>CRCCRE-SJ-XM-2024-010</t>
  </si>
  <si>
    <t>方案设计（平面</t>
  </si>
  <si>
    <t>住宅74157㎡；幼儿园2858㎡；公寓13825㎡</t>
  </si>
  <si>
    <t>项目总图、建筑单专业扩初设计图纸完成，并取得 《规划许可证》后15个工作日内请款，次月 30日前付款</t>
  </si>
  <si>
    <t>配合所有施工图设计完成，取得施工图审查合格证后15个工作日内请款，次月30日前付款</t>
  </si>
  <si>
    <t>配合施工完成，竣工验收通过后 15 个工作日内按照《规划许可证》建筑面积结算，次月30日内付款</t>
  </si>
  <si>
    <t>配合完成产品创新研发工作，并经中国铁建房地产集团组织验收通过后15个工作日内请款，次月 30日前付款（此项如未发生则该笔金额不予支付）</t>
  </si>
  <si>
    <t>计价单</t>
  </si>
  <si>
    <t>横沥岛2021NJY-12地块项目标段一
景观方案至施工图设计服务合同</t>
  </si>
  <si>
    <t>CRCCRE-SJ-XM-2023-103</t>
  </si>
  <si>
    <t>深圳奥雅设计股份有限公司</t>
  </si>
  <si>
    <t>大区20623.08㎡；架空层4669㎡；示范区6000㎡；红线外6102.41㎡</t>
  </si>
  <si>
    <t>大区、架空层33元/㎡；示范区40元/㎡；红线外15元/㎡</t>
  </si>
  <si>
    <t>合同签订并提交第一版概念性方案后15个工作日内请款，乙方按照甲方审核后的金额，开具相应金额的增值税专用发票，由甲方于审核后，次月30日前付款。</t>
  </si>
  <si>
    <t>方案设计成果确认后15个工作日内请款，乙方按照甲方审核后的金额，开具相应金额的增值税专用发票，由甲方于审核后，次月30日前付款。</t>
  </si>
  <si>
    <t>施工图设计成果确认后15个工作日内请款，乙方按照甲方审核后的金额，开具相应金额的增值税专用发票，由甲方于审核后，次月30日前付款。</t>
  </si>
  <si>
    <t>施工现场配合完成，并得到甲方认可后15个工作日内请款，乙方按照甲方审核后的金额，开具相应金额的增值税专用发票，由甲方于审核后，次月30日前付款。</t>
  </si>
  <si>
    <t>概念设计成果确认后15个工作日内请款，乙方按照甲方审核后的金额，开具相应金额的增值税专用发票，由甲方于审核后，次月30日前付款。</t>
  </si>
  <si>
    <t>扩初设计成果确认后15个工作日内请款，乙方按照甲方审核后的金额，开具相应金额的增值税专用发票，由甲方于审核后，次月30日前付款。</t>
  </si>
  <si>
    <t>大区5%（超总包节点）</t>
  </si>
  <si>
    <t>大区施工现场配合完成，并得到甲方认可后15个工作日内请款，乙方按照甲方审核后的金额，开具相应金额的增值税专用发票，由甲方于审核后，次月30日前付款。</t>
  </si>
  <si>
    <t>施工工程竣工验收合格，本合同办理完成结算后15个工作日内请款，乙方按照甲方审核后的金额，开具相应金额的增值税专用发票，由甲方于审核后，次月30日前付款。</t>
  </si>
  <si>
    <t>横沥岛2021NJY-12地块项目标段一275户型样板间精装方案至施工图设计服务合同</t>
  </si>
  <si>
    <t>CRCCRE-SJ-XM-2023-100</t>
  </si>
  <si>
    <t>集艾室内设计（上海）有限公司</t>
  </si>
  <si>
    <t>合同签订并提交第一版概念性方案并经甲方书面确认后 15 个工作日内请款</t>
  </si>
  <si>
    <t>完成展示区概念设计,提交成果并得到甲方书面确认后15个工作日内请款</t>
  </si>
  <si>
    <t>完成展示区方案扩初设计阶段最终成果，经甲方书面确认后15个工作日内请款</t>
  </si>
  <si>
    <t>完成展示区精装施工图设计,提交成果并得到甲方书面认可后15个工作日内请款</t>
  </si>
  <si>
    <t>展示区精装修竣工后15个工作日内请款</t>
  </si>
  <si>
    <t>结算完成，后15个工作日内请款</t>
  </si>
  <si>
    <t>配合完成产品创新研发工作，并经中国铁建房地产集团组织验收通过后 15 个工作日内请款</t>
  </si>
  <si>
    <t>广州横沥岛2021NJY-12地块项目标段一居住区规划场地分析委托合同</t>
  </si>
  <si>
    <t>CRCCRE-SJ-XM-2024-016</t>
  </si>
  <si>
    <t>场地分析（补可研及4#、5#楼方案平面）</t>
  </si>
  <si>
    <t>32361㎡（4#、5#楼）</t>
  </si>
  <si>
    <t>合同签订后，15个工作日内请款，次月30日前付款</t>
  </si>
  <si>
    <t>完成深化设计方案，经甲方确认后，15个工作日内请款，次月30日前付款</t>
  </si>
  <si>
    <t>协助施工图设计单位完成施工图设计及审查，经甲方确认后，15个工作日内请款，次月 30 日前付款</t>
  </si>
  <si>
    <t>现场建筑封顶并外立面亮相后，经甲方确认后15个工作日内请款，次月30日内付款</t>
  </si>
  <si>
    <t>完成结算后，经甲方确认后，15个工作日内请款，次月30日内付款</t>
  </si>
  <si>
    <t>横沥岛2021NTY-12地块项目标段一
售楼处、公区、365户型样板间精装方案至施工图设计服务合同</t>
  </si>
  <si>
    <t>CRCCRE-SJ-XM-2023-102</t>
  </si>
  <si>
    <t>深圳市郑中设计股份有限公司</t>
  </si>
  <si>
    <r>
      <rPr>
        <sz val="10"/>
        <color rgb="FF000000"/>
        <rFont val="宋体"/>
        <charset val="134"/>
      </rPr>
      <t>合同签订订并提交第一版概念性方案后 15 个工作日内请款</t>
    </r>
    <r>
      <rPr>
        <b/>
        <sz val="10"/>
        <color rgb="FF000000"/>
        <rFont val="宋体"/>
        <charset val="134"/>
      </rPr>
      <t>（展示区）</t>
    </r>
  </si>
  <si>
    <t>展示区15%</t>
  </si>
  <si>
    <r>
      <rPr>
        <sz val="10"/>
        <color rgb="FF000000"/>
        <rFont val="宋体"/>
        <charset val="134"/>
      </rPr>
      <t>合同签订订并提交第一版概念性方案后 15 个工作日内请款</t>
    </r>
    <r>
      <rPr>
        <b/>
        <sz val="10"/>
        <color rgb="FF000000"/>
        <rFont val="宋体"/>
        <charset val="134"/>
      </rPr>
      <t>（公区）</t>
    </r>
  </si>
  <si>
    <t>公区15%</t>
  </si>
  <si>
    <r>
      <rPr>
        <sz val="10"/>
        <color rgb="FF000000"/>
        <rFont val="宋体"/>
        <charset val="134"/>
      </rPr>
      <t>完成概念设计,提交成果并得到甲方认可后15个工作日内请款</t>
    </r>
    <r>
      <rPr>
        <b/>
        <sz val="10"/>
        <color rgb="FF000000"/>
        <rFont val="宋体"/>
        <charset val="134"/>
      </rPr>
      <t>（展示区）</t>
    </r>
  </si>
  <si>
    <t>展示区25%</t>
  </si>
  <si>
    <r>
      <rPr>
        <sz val="10"/>
        <color rgb="FF000000"/>
        <rFont val="宋体"/>
        <charset val="134"/>
      </rPr>
      <t>完成概念设计,提交成果并得到甲方认可后15个工作日内请款</t>
    </r>
    <r>
      <rPr>
        <b/>
        <sz val="10"/>
        <color rgb="FF000000"/>
        <rFont val="宋体"/>
        <charset val="134"/>
      </rPr>
      <t>（公区）</t>
    </r>
  </si>
  <si>
    <t>公区20%</t>
  </si>
  <si>
    <r>
      <rPr>
        <sz val="10"/>
        <color rgb="FF000000"/>
        <rFont val="宋体"/>
        <charset val="134"/>
      </rPr>
      <t>完成方案扩初设计阶段最终成果，经甲方书面确认后15个工作日内请款</t>
    </r>
    <r>
      <rPr>
        <b/>
        <sz val="10"/>
        <color rgb="FF000000"/>
        <rFont val="宋体"/>
        <charset val="134"/>
      </rPr>
      <t>（展示区）</t>
    </r>
  </si>
  <si>
    <r>
      <rPr>
        <sz val="10"/>
        <color rgb="FF000000"/>
        <rFont val="宋体"/>
        <charset val="134"/>
      </rPr>
      <t>完成方案扩初设计阶段最终成果，经甲方书面确认后15个工作日内请款</t>
    </r>
    <r>
      <rPr>
        <b/>
        <sz val="10"/>
        <color rgb="FF000000"/>
        <rFont val="宋体"/>
        <charset val="134"/>
      </rPr>
      <t>（公区）</t>
    </r>
  </si>
  <si>
    <r>
      <rPr>
        <sz val="10"/>
        <color rgb="FF000000"/>
        <rFont val="宋体"/>
        <charset val="134"/>
      </rPr>
      <t>完成精装施工图设计,提交成果并得到甲方认可后15个工作日内请款</t>
    </r>
    <r>
      <rPr>
        <b/>
        <sz val="10"/>
        <color rgb="FF000000"/>
        <rFont val="宋体"/>
        <charset val="134"/>
      </rPr>
      <t>（展示区）</t>
    </r>
  </si>
  <si>
    <r>
      <rPr>
        <sz val="10"/>
        <color rgb="FF000000"/>
        <rFont val="宋体"/>
        <charset val="134"/>
      </rPr>
      <t>完成精装施工图设计,提交成果并得到甲方认可后15个工作日内请款</t>
    </r>
    <r>
      <rPr>
        <b/>
        <sz val="10"/>
        <color rgb="FF000000"/>
        <rFont val="宋体"/>
        <charset val="134"/>
      </rPr>
      <t>（公区）</t>
    </r>
  </si>
  <si>
    <t>公区30%</t>
  </si>
  <si>
    <r>
      <rPr>
        <sz val="10"/>
        <color rgb="FF000000"/>
        <rFont val="宋体"/>
        <charset val="134"/>
      </rPr>
      <t>精装修竣工后15个工作日内请款</t>
    </r>
    <r>
      <rPr>
        <b/>
        <sz val="10"/>
        <color rgb="FF000000"/>
        <rFont val="宋体"/>
        <charset val="134"/>
      </rPr>
      <t>（展示区）</t>
    </r>
  </si>
  <si>
    <t>展示区5%</t>
  </si>
  <si>
    <r>
      <rPr>
        <sz val="10"/>
        <color rgb="FF000000"/>
        <rFont val="宋体"/>
        <charset val="134"/>
      </rPr>
      <t>精装修竣工后15个工作日内请款</t>
    </r>
    <r>
      <rPr>
        <b/>
        <sz val="10"/>
        <color rgb="FF000000"/>
        <rFont val="宋体"/>
        <charset val="134"/>
      </rPr>
      <t>（公区）</t>
    </r>
  </si>
  <si>
    <t>公区5%</t>
  </si>
  <si>
    <r>
      <rPr>
        <sz val="10"/>
        <color rgb="FF000000"/>
        <rFont val="宋体"/>
        <charset val="134"/>
      </rPr>
      <t>结算完成，后15个工作日内请款</t>
    </r>
    <r>
      <rPr>
        <b/>
        <sz val="10"/>
        <color rgb="FF000000"/>
        <rFont val="宋体"/>
        <charset val="134"/>
      </rPr>
      <t>（展示区）</t>
    </r>
  </si>
  <si>
    <r>
      <rPr>
        <sz val="10"/>
        <color rgb="FF000000"/>
        <rFont val="宋体"/>
        <charset val="134"/>
      </rPr>
      <t>结算完成，后15个工作日内请款</t>
    </r>
    <r>
      <rPr>
        <b/>
        <sz val="10"/>
        <color rgb="FF000000"/>
        <rFont val="宋体"/>
        <charset val="134"/>
      </rPr>
      <t>（公区）</t>
    </r>
  </si>
  <si>
    <t>横沥岛2021NJY-12地块项目标段一幕墙设计合同</t>
  </si>
  <si>
    <t>CRCCRE-SJ-XM-2024-011</t>
  </si>
  <si>
    <t>幕墙设计</t>
  </si>
  <si>
    <t>广州格雷特建筑幕墙技术有限公司</t>
  </si>
  <si>
    <t>固定总价95万，折合7.42原/㎡</t>
  </si>
  <si>
    <r>
      <rPr>
        <sz val="10"/>
        <color rgb="FF000000"/>
        <rFont val="宋体"/>
        <charset val="134"/>
      </rPr>
      <t>本合同签订生效后，乙方完成铝合金门窗、幕墙所有方案设计工作</t>
    </r>
    <r>
      <rPr>
        <b/>
        <sz val="10"/>
        <color rgb="FF000000"/>
        <rFont val="宋体"/>
        <charset val="134"/>
      </rPr>
      <t>（住宅部分）</t>
    </r>
  </si>
  <si>
    <r>
      <rPr>
        <sz val="10"/>
        <color rgb="FF000000"/>
        <rFont val="宋体"/>
        <charset val="134"/>
      </rPr>
      <t>乙方提交幕墙、门窗等施工图文件，通过施工图审查</t>
    </r>
    <r>
      <rPr>
        <b/>
        <sz val="10"/>
        <color rgb="FF000000"/>
        <rFont val="宋体"/>
        <charset val="134"/>
      </rPr>
      <t>（住宅部分）</t>
    </r>
  </si>
  <si>
    <r>
      <rPr>
        <sz val="10"/>
        <color rgb="FF000000"/>
        <rFont val="宋体"/>
        <charset val="134"/>
      </rPr>
      <t>项目过程技术配合管理，工作量完成至一半</t>
    </r>
    <r>
      <rPr>
        <b/>
        <sz val="10"/>
        <color rgb="FF000000"/>
        <rFont val="宋体"/>
        <charset val="134"/>
      </rPr>
      <t>（住宅部分）</t>
    </r>
  </si>
  <si>
    <r>
      <rPr>
        <sz val="10"/>
        <color rgb="FF000000"/>
        <rFont val="宋体"/>
        <charset val="134"/>
      </rPr>
      <t>项目整体竣工验收完成，办理完结算</t>
    </r>
    <r>
      <rPr>
        <b/>
        <sz val="10"/>
        <color rgb="FF000000"/>
        <rFont val="宋体"/>
        <charset val="134"/>
      </rPr>
      <t>（住宅部分）</t>
    </r>
  </si>
  <si>
    <r>
      <rPr>
        <sz val="10"/>
        <color rgb="FF000000"/>
        <rFont val="宋体"/>
        <charset val="134"/>
      </rPr>
      <t>本合同签订生效后，乙方完成铝合金门窗、幕墙所有方案设计工作</t>
    </r>
    <r>
      <rPr>
        <b/>
        <sz val="10"/>
        <color rgb="FF000000"/>
        <rFont val="宋体"/>
        <charset val="134"/>
      </rPr>
      <t>（商办部分）</t>
    </r>
  </si>
  <si>
    <r>
      <rPr>
        <sz val="10"/>
        <color rgb="FF000000"/>
        <rFont val="宋体"/>
        <charset val="134"/>
      </rPr>
      <t>乙方提交幕墙、门窗等施工图文件，通过施工图审查</t>
    </r>
    <r>
      <rPr>
        <b/>
        <sz val="10"/>
        <color rgb="FF000000"/>
        <rFont val="宋体"/>
        <charset val="134"/>
      </rPr>
      <t>（商办部分）</t>
    </r>
  </si>
  <si>
    <r>
      <rPr>
        <sz val="10"/>
        <color rgb="FF000000"/>
        <rFont val="宋体"/>
        <charset val="134"/>
      </rPr>
      <t>项目过程技术配合管理，工作量完成至一半</t>
    </r>
    <r>
      <rPr>
        <b/>
        <sz val="10"/>
        <color rgb="FF000000"/>
        <rFont val="宋体"/>
        <charset val="134"/>
      </rPr>
      <t>（商办部分）</t>
    </r>
  </si>
  <si>
    <r>
      <rPr>
        <sz val="10"/>
        <color rgb="FF000000"/>
        <rFont val="宋体"/>
        <charset val="134"/>
      </rPr>
      <t>项目整体竣工验收完成，办理完结算</t>
    </r>
    <r>
      <rPr>
        <b/>
        <sz val="10"/>
        <color rgb="FF000000"/>
        <rFont val="宋体"/>
        <charset val="134"/>
      </rPr>
      <t>（商办部分）</t>
    </r>
  </si>
  <si>
    <t>2021NJY-12地块项目(标段一)批量精装修硬装设计委托合同</t>
  </si>
  <si>
    <t>CRCCRE-SJ-XM-2024-043</t>
  </si>
  <si>
    <t>锐度设计集团有限公司</t>
  </si>
  <si>
    <t>合同签订并提交第一版概念性方案并经甲方审核确认后 15 个工作日内</t>
  </si>
  <si>
    <t>完成精装概念设计,提交成果并得到甲方认可后15个工作日内</t>
  </si>
  <si>
    <t>完成方案扩初设计阶段最终成果，经甲方书面确认后15个工作日内</t>
  </si>
  <si>
    <t>完成精装施工图设计,提交成果并得到甲方认可后15个工作日内</t>
  </si>
  <si>
    <t>精装修竣工备案后15个工作日内</t>
  </si>
  <si>
    <t>结算完成后15个工作日内</t>
  </si>
  <si>
    <t>CRCCRE-SJ-XM-2025-003</t>
  </si>
  <si>
    <t>矩阵纵横设计股份有限公司</t>
  </si>
  <si>
    <t>502㎡</t>
  </si>
  <si>
    <t>合同签订并提交第一版概念性方案并获得甲方认可后 15 个工作日内请款并按甲方要求提交请款材料</t>
  </si>
  <si>
    <t>完成样板间概念设计,提交成果并得到甲方认可后15个工作日内请款并按甲方要求提交请款材料</t>
  </si>
  <si>
    <t>完成样板间方案扩初设计阶段最终成果，经甲方书面确认后15个工作日内请款并按甲方要求提交请款材料</t>
  </si>
  <si>
    <t>完成样板间精装施工图设计,提交成果并得到甲方认可后15个工作日内请款并按甲方要求提交请款材料</t>
  </si>
  <si>
    <t>样板间精装修竣工后双方办理完结算15个工作日内请款并按甲方要求提交请款材料</t>
  </si>
  <si>
    <t>乙方配合完成产品创新研发工作，并经中国铁建房地产集团组织验收通过后15个工作日内，由甲方审核后次月30日前付款（此项如未发生则该笔金额不予支付）。</t>
  </si>
  <si>
    <t>2021NJY-12地块西派尊府项目5#楼200平米户型（中间户）样板间硬装设计合同</t>
  </si>
  <si>
    <t>CRCCRE-SJ-XM-2025-010</t>
  </si>
  <si>
    <t>合同签订并提交第一版概念性方案后 15 个工作日内请款</t>
  </si>
  <si>
    <t>完成样板间概念设计,提交成果并得到甲方认可后15个工作日内请款</t>
  </si>
  <si>
    <t>完成样板间方案扩初设计阶段最终成果，经甲方书面确认后15个工作日内请款</t>
  </si>
  <si>
    <t>完成样板间精装施工图设计,提交成果并得到甲方认可后15个工作日内请款</t>
  </si>
  <si>
    <t>样板间精装修竣工后15个工作日内请款</t>
  </si>
  <si>
    <t>结算完成后15个工作日内请款</t>
  </si>
  <si>
    <t>2021NJY-12地块项目（标段一）户型
优化设计合同</t>
  </si>
  <si>
    <t>CRCCRE-SJ-CZ-2024-019</t>
  </si>
  <si>
    <t>户型优化</t>
  </si>
  <si>
    <t>广州市盘古装饰设计有限公司</t>
  </si>
  <si>
    <t>130户型、142户型、200户型</t>
  </si>
  <si>
    <t>60000、70000、80000（补偿南沙公司设计费用，其中盘古11万，梁黄顾10万）</t>
  </si>
  <si>
    <t>完成三个户型优化设计，配合方案调整、修改完成经甲方确认后，15个工作日内请款，次月30日前付款</t>
  </si>
  <si>
    <t>项目总图、建筑单专业扩初设计图纸完成，并取得《规划许可证》后15个工作日内请款，次月30日前付款</t>
  </si>
  <si>
    <t>配合施工完成，竣工验收通过后双方办理结算，15个工作日内请款，次月 30 日内付款</t>
  </si>
  <si>
    <t>中铁建南沙横沥岛2021BJY-12号地块项目住宅8#楼方案设计（外立面除外）
委托合同</t>
  </si>
  <si>
    <t>CRCCRE-SJ-XM-2025-016</t>
  </si>
  <si>
    <t>天汇建筑工程设计（广州）有限公司</t>
  </si>
  <si>
    <t>25172㎡</t>
  </si>
  <si>
    <t>平面12.6元/㎡</t>
  </si>
  <si>
    <t>项目总图、建筑单专业扩初设计图纸完成，并取得《规划许可证》后，15个工作日内请款，次月30日前付款</t>
  </si>
  <si>
    <t>配合施工完成，竣工验收完成后15个工作日内按照《规划许可证》建筑面积结算，次月30日内付款</t>
  </si>
  <si>
    <t>中国铁建海悦国际补偿协议</t>
  </si>
  <si>
    <t>中国铁建海悦国际项目规划和建筑方案设计招标补偿协议</t>
  </si>
  <si>
    <t>CRCCRE-SJ-CZ-2020-005</t>
  </si>
  <si>
    <t>梁黄顾建筑设计（深圳）有限公司</t>
  </si>
  <si>
    <t>本补偿协议签订后，甲方于次月25日前向乙方支付</t>
  </si>
  <si>
    <t>泰国TOD项目</t>
  </si>
  <si>
    <t>泰国连接三机场高速铁路项目设计管理服务合同
(完成)</t>
  </si>
  <si>
    <t>CRCCRE-SJ-CZ-2018-034</t>
  </si>
  <si>
    <t>睿凡设计有限公司</t>
  </si>
  <si>
    <t>＞85000</t>
  </si>
  <si>
    <t>合同生效3日内支付预付款</t>
  </si>
  <si>
    <t>成果得到甲方确认后10个日历天日内</t>
  </si>
  <si>
    <t xml:space="preserve">顺德北滘莘村
</t>
  </si>
  <si>
    <t>中铁建佛山市顺德区北滘镇莘村180054-002地块
项目 
规划、建筑方案设计咨询服务合同</t>
  </si>
  <si>
    <t>CRCCRE-SJ-CZ-2018-007</t>
  </si>
  <si>
    <t>广东华方工程设计有限公司</t>
  </si>
  <si>
    <t>方案设计费单价：2元/平米</t>
  </si>
  <si>
    <t>合同签订20个工作日内请款, 下月30日前支付</t>
  </si>
  <si>
    <t>总图、典型单体（平、立、剖面图）设计完成并得到业主方书面确认函之日起20个工作日内请款, 下月30日前支付</t>
  </si>
  <si>
    <t>项目总规通过政府审批后20个工作日内请款，下月30日前支付</t>
  </si>
  <si>
    <t>提交方案设计文本并通过政府审批后20个工作日内请款, 下月30日前支付。按报批方案的建筑面积核算设计费用，拨付至95%</t>
  </si>
  <si>
    <t>施工图工作完成后20个工作日内请款, 下月30日前支付</t>
  </si>
  <si>
    <t>根据规证面积调整合同额，300469.57平方*2元/平方</t>
  </si>
  <si>
    <t>大兴庞各庄项目</t>
  </si>
  <si>
    <t>咨询前期顾问合同
（完成）</t>
  </si>
  <si>
    <t>CRCCRE-SJ-CH-2018-014</t>
  </si>
  <si>
    <t>策划可研</t>
  </si>
  <si>
    <t>北京思源兴业房地产服务集团股份有限公司</t>
  </si>
  <si>
    <t>单项目可研：5万</t>
  </si>
  <si>
    <t>策划中心</t>
  </si>
  <si>
    <t>在本合同签订后15个自然日内，甲方向乙方支付合同总价款费用5万</t>
  </si>
  <si>
    <r>
      <rPr>
        <sz val="10"/>
        <color rgb="FF000000"/>
        <rFont val="宋体"/>
        <charset val="134"/>
      </rPr>
      <t xml:space="preserve">合肥19#楼长租公寓精装修设计
</t>
    </r>
    <r>
      <rPr>
        <sz val="10"/>
        <color rgb="FFFF0000"/>
        <rFont val="宋体"/>
        <charset val="134"/>
      </rPr>
      <t>（完结）</t>
    </r>
  </si>
  <si>
    <t>CRCCRE-SJ-CZ-2018-036</t>
  </si>
  <si>
    <t>精装修</t>
  </si>
  <si>
    <t>精装设计费单价：一层620元/平米；四层/五层/六层/十五层300元/平米；十六层250元/平米；屋顶62元/平米</t>
  </si>
  <si>
    <t>概念设计得到甲方认可后三十个工作日内，乙方收到款后开始执行第二阶段设计。</t>
  </si>
  <si>
    <t>施工图设计完成，并提交成果后三十个工作日内，乙方收到款后开始执行下一阶段施工配合。</t>
  </si>
  <si>
    <t>结算完成后30个工作日。</t>
  </si>
  <si>
    <t>乙方已按原合同完成平面户型方案、精装修概念设计、精装修效果图设计、精装修施工图设计。因十六层方案变更需重新设计概念方案、效果图设计、 施工图纸深化设计（不包含空调、消防等专业施工图）</t>
  </si>
  <si>
    <t>大兴理想家精装修设计</t>
  </si>
  <si>
    <t>北京市大兴区黄村镇兴华大街项目住宅批量精装修设计公共区域精装修设计、展示中心精装修设计合同</t>
  </si>
  <si>
    <t>CRCCRE-SJ-CZ-2018-011</t>
  </si>
  <si>
    <t>展示中心480   住宅批量精装修及公共区域129650.7</t>
  </si>
  <si>
    <t>方案设计：展示中心200元/平米、住宅批量精装修及公共区域6.25元/平米；      施工图设计：展示中心160元/平米、住宅批量精装修及公共区域5元/平米；          施工配合：展示中心40元/平米、住宅批量精装修及公共区域1.25元/平米；</t>
  </si>
  <si>
    <t>亦庄项目</t>
  </si>
  <si>
    <t>北京经济开发区河西区 X89R2地块R2二类居住用地项目
（完成）</t>
  </si>
  <si>
    <t>CRCCRE-SJ-BIM-2020-003</t>
  </si>
  <si>
    <t>BIM建模单价：2.6元/平米</t>
  </si>
  <si>
    <t>本合同签订后次月25日前付定金</t>
  </si>
  <si>
    <t>一次性支付</t>
  </si>
  <si>
    <t>乙方提交第一版全专业管综BIM模型、图纸问题与管综问题报告后，经甲方书面确认后，30个工作日内</t>
  </si>
  <si>
    <t>乙方提交地上装配式预制构件拆分BIM模型，经甲方书面确认后，30个工作日内</t>
  </si>
  <si>
    <t>施工图配合完成，结算完毕30个日历日内支付</t>
  </si>
  <si>
    <r>
      <rPr>
        <sz val="10"/>
        <color rgb="FF000000"/>
        <rFont val="宋体"/>
        <charset val="134"/>
      </rPr>
      <t>顺德大良项目
（凤语潮鸣）</t>
    </r>
    <r>
      <rPr>
        <sz val="10"/>
        <color rgb="FFFF0000"/>
        <rFont val="宋体"/>
        <charset val="134"/>
      </rPr>
      <t>（完结）</t>
    </r>
  </si>
  <si>
    <t>中铁建佛山市顺德区大良126112-081地块项目规划、建筑方案设计顾问咨询服务合同</t>
  </si>
  <si>
    <t xml:space="preserve">CRCCRE-SJ-CZ-2018-009
</t>
  </si>
  <si>
    <t>北方-汉沙杨建筑工程设计有限公司深圳分公司</t>
  </si>
  <si>
    <t>方案：16元/平米</t>
  </si>
  <si>
    <r>
      <rPr>
        <b/>
        <sz val="10"/>
        <color rgb="FF000000"/>
        <rFont val="宋体"/>
        <charset val="134"/>
      </rPr>
      <t>尾款收入、成本计入项目管理中心</t>
    </r>
    <r>
      <rPr>
        <sz val="10"/>
        <color rgb="FF000000"/>
        <rFont val="宋体"/>
        <charset val="134"/>
      </rPr>
      <t xml:space="preserve"> 最终结算面积金额 （结算协议金额3734706.88元）</t>
    </r>
  </si>
  <si>
    <t>雄安长租公寓项目（完成）</t>
  </si>
  <si>
    <t>雄安站枢纽片区2号地项目一标段燃气管线工程施工图设计服务合同</t>
  </si>
  <si>
    <t>CRCCRE-SJ-GC-2022-009</t>
  </si>
  <si>
    <t>燃气管线</t>
  </si>
  <si>
    <t>北京优奈特能源工程技术有限公司</t>
  </si>
  <si>
    <t>本合同签订生效，乙方完成燃气施工图设计工作经甲方确认，且甲方收到本项目业主方（中铁建河北雄安城市发展有限公司）相应款项后15个工作日内请款，经甲方确认乙方请款资料无误后，次月30日内</t>
  </si>
  <si>
    <t>酒店地块</t>
  </si>
  <si>
    <t>燃气设计施工图通过审查，且甲方收到本项目业主方（中铁建河北雄安城市发展有限公司）相应款项后15个工作日内请款，经甲方确认乙方请款资料无误后，次月30日内</t>
  </si>
  <si>
    <t>整体竣工验收及结算完成，且甲方收到本项目业主方（中铁建河北雄安城市发展有限公司）相应款项后15个工作日内请款，经甲方确认乙方请款资料无误后，次月30日内</t>
  </si>
  <si>
    <t>雄安站枢纽片区2号地项目一标段燃气管线工程施工图设计服务合同补充协议</t>
  </si>
  <si>
    <t>CRCCRE-SJ-GC-2022-009-B01</t>
  </si>
  <si>
    <t>重点项目组</t>
  </si>
  <si>
    <t>本合同签订生效，乙方完成首开区地下厨房的燃气报警器施工图设计工作经甲方确认，次月30日内</t>
  </si>
  <si>
    <t>乙方完成燃气报警器施工配合，次月30日内</t>
  </si>
  <si>
    <t>整体竣工验收及结算完成，经甲方确认乙方请款资料无误后，次月30日内</t>
  </si>
  <si>
    <t>雄安站枢纽片区2号地一标段景观施工图设计委托合同</t>
  </si>
  <si>
    <t>CRCCRE-SJ-GC-2022-010</t>
  </si>
  <si>
    <t>杭州园林设计院股份有限公司</t>
  </si>
  <si>
    <t>固定单价7.33</t>
  </si>
  <si>
    <t>完成展示区景观施工图设计图纸，经甲方确认，并且甲方收到本项目业主方（中铁建河北雄安城市发展有限公司）相应款项后15个工作日内请款，次月30日前付款。</t>
  </si>
  <si>
    <t>完成首开区施工图设计图纸，经甲方确认，并且甲方收到本项目业主方（中铁建河北雄安城市发展有限公司）相应款项后15个工作日内请款，次月30日前付款。</t>
  </si>
  <si>
    <t>完成全部施工图设计图纸，经甲方确认，并且甲方收到本项目业主方（中铁建河北雄安城市发展有限公司）相应款项后15个工作日内请款，次月30日前付款。（不含酒店）</t>
  </si>
  <si>
    <r>
      <rPr>
        <sz val="10"/>
        <color rgb="FF000000"/>
        <rFont val="宋体"/>
        <charset val="134"/>
      </rPr>
      <t>完成全部施工图设计图纸，经甲方确认，并且甲方收到本项目业主方（中铁建河北雄安城市发展有限公司）相应款项后15个工作日内请款，次月30日前付款。</t>
    </r>
    <r>
      <rPr>
        <sz val="10"/>
        <color rgb="FF417FF9"/>
        <rFont val="宋体"/>
        <charset val="134"/>
      </rPr>
      <t>酒店</t>
    </r>
  </si>
  <si>
    <t>设计部分竣工验收并取得项目竣工联合验收意见书后，并且甲方收到本项目业主方（中铁建河北雄安城市发展有限公司）相应款项后15个工作日内请款，次月30日前付款。</t>
  </si>
  <si>
    <t>项目整体交付使用且双方签订结算协议书后，并且甲方收到本项目业主方（中铁建河北雄安城市发展有限公司）相应款项后15个工作日内请款，次月30日前付款。</t>
  </si>
  <si>
    <t>雄安站枢纽片区2号地项目一标段泛光照明施工图专项设计服务合同</t>
  </si>
  <si>
    <t>CRCCRE-SJ-GC-2023-001</t>
  </si>
  <si>
    <t>深圳市金泛光照明电气工程有限公司</t>
  </si>
  <si>
    <t>固定单价</t>
  </si>
  <si>
    <t>本合同签订，乙方提交各批次泛光照明施工图设计图纸，经相关机构审查通过，且甲方收到本项目业主方（中铁建河北雄安城市发展有限公司）相应款项后15个工作日内请款，次月30日内甲方向乙方支付</t>
  </si>
  <si>
    <t>各批次项目竣工验收完成且甲方收到本项目业主方（中铁建河北雄安城市发展有限公司）相应款项后15个工作日内请款，次月30日内甲方向乙方支付</t>
  </si>
  <si>
    <t>结算完成且甲方收到本项目业主方（中铁建河北雄安城市发展有限公司）相应款项后15个工作日内请款，次月30日内甲方向乙方支付</t>
  </si>
  <si>
    <t>雄安站枢纽片区2号地项目一标段变配电施工图设计委托合同</t>
  </si>
  <si>
    <t>CRCCRE-SJ-XM-2022-055</t>
  </si>
  <si>
    <t>变配电</t>
  </si>
  <si>
    <t>北京金电联供用电咨询有限公司</t>
  </si>
  <si>
    <t>乙方完成施工图设计工作的100%，经甲方确认进度后30日内</t>
  </si>
  <si>
    <t>项目送电验收合格后，经甲方确认进度后30日内</t>
  </si>
  <si>
    <t>项目整体交付使用且结算完成后30日内</t>
  </si>
  <si>
    <t>2022/</t>
  </si>
  <si>
    <t>雄安站枢纽片区2号地项目</t>
  </si>
  <si>
    <t>雄安站枢纽片区2号地项目展示中心工程概算技术劳务委托合同</t>
  </si>
  <si>
    <t>CRCCRE-SJ-GC-2022-002</t>
  </si>
  <si>
    <t>工程概算</t>
  </si>
  <si>
    <t>李进</t>
  </si>
  <si>
    <t>4500㎡</t>
  </si>
  <si>
    <t>所有成果文件及配合工作完成，经业主及甲方确认后30工作日内</t>
  </si>
  <si>
    <r>
      <rPr>
        <sz val="10"/>
        <color rgb="FF000000"/>
        <rFont val="宋体"/>
        <charset val="134"/>
      </rPr>
      <t>雄安站枢纽片区 2 号地项目一标段幕墙施工图设计合同</t>
    </r>
    <r>
      <rPr>
        <sz val="10"/>
        <color rgb="FFFF0000"/>
        <rFont val="宋体"/>
        <charset val="134"/>
      </rPr>
      <t>（完结）</t>
    </r>
  </si>
  <si>
    <t>CRCCRE-SJ-XM-2022-078</t>
  </si>
  <si>
    <t>沈阳沈飞集团铝业幕墙工程有限公司</t>
  </si>
  <si>
    <t>本合同签订生效后，乙方完成大区幕墙所有设计工作，且幕墙工程定标，甲方收到本项目业主方（中铁建河北雄安城市发展有限公司）相应款项后15个工作日内请款，次月30日前付款</t>
  </si>
  <si>
    <t>整体竣工验收完成，且甲方收到本项目业主方（中铁建河北雄安城市发展有限公司）相应款项后15个工作日内请款，次月30日前付款</t>
  </si>
  <si>
    <t>结算完成，且甲方收到本项目业主方（中铁建河北雄安城市发展有限公司）相应款项后15个工作日内请款，次月30日前付款</t>
  </si>
  <si>
    <t>雄安站枢纽片区2号地项目一标段智能化施工图专项设计服务合同</t>
  </si>
  <si>
    <t>CRCCRE-SJ-XM-2023-004</t>
  </si>
  <si>
    <t>商业1.6住宅1.0</t>
  </si>
  <si>
    <t>本合同签订，乙方提交各批次智能化施工图设计图纸，经相关机构审查通过，且甲方收到本项目业主方（中铁建河北雄安城市发展有限公司）相应款项后15个工作日内请款，次月30日内甲方向乙方支付</t>
  </si>
  <si>
    <t>酒店部分</t>
  </si>
  <si>
    <t>C1-05-01部分</t>
  </si>
  <si>
    <t>雄安站枢纽片区2号地项目（二标段）</t>
  </si>
  <si>
    <t>雄安站枢纽片区2号地项目二标段智能化
施工图设计服务合同</t>
  </si>
  <si>
    <t>CRCCRE-SJ-GC-2024-006</t>
  </si>
  <si>
    <t>本合同签订，乙方提交智能化施工图设计图纸且经甲方认可，经相关机构审查通过</t>
  </si>
  <si>
    <t>项目竣工验收完成</t>
  </si>
  <si>
    <t>双方办理完结算</t>
  </si>
  <si>
    <t>雄安站枢纽片区2号地项目二标段泛光照明施工图设计合同</t>
  </si>
  <si>
    <t>CRCCRE-SJ-ZDXMZ-2025-001</t>
  </si>
  <si>
    <t>安道（西安）照明设计有限公司</t>
  </si>
  <si>
    <t>完成专项设计工作的50%，经甲方确认进度后30日内，支付至专项设计费用的30%；</t>
  </si>
  <si>
    <t>完成专项设计工作的90%，经甲方确认进度后30日内，支付至专项设计费用的70%</t>
  </si>
  <si>
    <t>雄安站枢纽片区2号地项目一标段绿色建筑咨询服务合同</t>
  </si>
  <si>
    <t>CRCCRE-SJ-XM-2023-005</t>
  </si>
  <si>
    <t>模拟分析计算相关报告完成支付</t>
  </si>
  <si>
    <t>首开区</t>
  </si>
  <si>
    <t>二批次</t>
  </si>
  <si>
    <t>图纸外审合格支付</t>
  </si>
  <si>
    <t>竣工验收支付</t>
  </si>
  <si>
    <t>该批次交付使用后支付</t>
  </si>
  <si>
    <t>雄安站枢纽片区2号地项目一标段标识施工图设计服务合同</t>
  </si>
  <si>
    <t>CRCCRE-SJ-GC-2023-002</t>
  </si>
  <si>
    <t>本合同签订，乙方提交各批次标识施工图设计图纸，经相关机构审查通过，且甲方收到本项目业主方（中铁建河北雄安城市发展有限公司）相应款项后15个工作日内请款，次月30日内甲方向乙方支付</t>
  </si>
  <si>
    <t>雄安站枢纽片区2号地项目首开区
精装施工图设计委托合同</t>
  </si>
  <si>
    <t xml:space="preserve">CRCCRE-SJ-GC-2023-004
</t>
  </si>
  <si>
    <t>中国建筑西北设计研究院有限公司</t>
  </si>
  <si>
    <t>完成精装施工图设计,提交成果并得到甲方认可后15个工作日内请款，乙方按照甲方审核后的金额，开具相应金额的增值税专用发票，由甲方于审核后次月30日前进行进度款支付。</t>
  </si>
  <si>
    <t>精装修竣工后15个工作日内请款，乙方按照甲方审核后的金额，开具相应金额的增值税专用发票，由甲方于审核后次月30日前进行进度款支付。</t>
  </si>
  <si>
    <t>设计总包结算完成后15个工作日内请款，乙方按照甲方审核后的金额，开具相应金额的增值税专用发票，由甲方于审核后次月30日前进行结算款支付。</t>
  </si>
  <si>
    <t>雄安站枢纽片区2号地项目一标段5#展示中心全过程零碳技术咨询合同</t>
  </si>
  <si>
    <t>CRCCRE-SJ-GC-2022-004</t>
  </si>
  <si>
    <t>零碳技术咨询</t>
  </si>
  <si>
    <t>清华大学</t>
  </si>
  <si>
    <t>本合同生效后，乙方向甲方提交建筑方案设计阶段及初步设计阶段成果后，经甲方书面确认成果合格后60日内</t>
  </si>
  <si>
    <t>乙方向甲方提交施工图设计阶段成果后，经甲方书面确认成果合格后60日内</t>
  </si>
  <si>
    <t>乙方向甲方提交施工阶段和调试阶段成果后，经甲方书面确认成果合格后60日内</t>
  </si>
  <si>
    <t>乙方向甲方提交运行阶段（运行一年后）成果后，经甲方书面确认成果合格后60日内</t>
  </si>
  <si>
    <t>雄安站枢纽片区2号地项目（一标段）二批次</t>
  </si>
  <si>
    <t>雄安站枢纽片区 2 号地项目一标段二批次建筑围护系统施工图设计合同</t>
  </si>
  <si>
    <t>CRCCRE-SJ-GC-2023-006</t>
  </si>
  <si>
    <t>广州同程建筑技术有限公司</t>
  </si>
  <si>
    <t>乙方完成二批次建筑围护系统施工图设计（含招标图、结构计算书、工程概算等）相关技术文件，并经甲方那个书面确认后，向乙方支付至合同额的55%</t>
  </si>
  <si>
    <t>乙方协助甲方准备招标文件、出席相关会议，并提交详细的招标评估及中标建议的最终书面报告、配合甲方招标答疑工作，完成幕墙工程定标工作后，向乙方支付至合同额的80%;</t>
  </si>
  <si>
    <t>乙方切实履行施工期间设计配合工作，现场施工交底、发现和解决现场施工问题、审核幕墙材料送审样品及相关资料、审核施工单位提出的工程费用变更和工期延期要求，直至协助业主及建筑师完成验收，列出缺陷表，并提供设计总结报告，实际完成整体工程竣工验收后，向乙方支付至合同额的 95%。</t>
  </si>
  <si>
    <t>双方结算完成，向乙方支付至合同结算金额的100%</t>
  </si>
  <si>
    <t>雄安站枢纽片区 2 号地项目一标段
二批次建筑围护系统施工图设计合同
补充协议</t>
  </si>
  <si>
    <t>CRCCRE-SJ-GC-2023-006-B1</t>
  </si>
  <si>
    <t>本补充协议签订生效且乙方配合甲方完成首开区（5-7#楼）施工图图审签章相关工作，并取得外审合格证经甲方书面确认后一个月内支付本补充协议约定款项的100%</t>
  </si>
  <si>
    <t>雄安站枢纽片区2号地项目二标段
幕墙施工图设计合同</t>
  </si>
  <si>
    <t>CRCCRE-SJ-GC-2024-005</t>
  </si>
  <si>
    <t>乙方完成大区幕墙施工图设计工作并经甲方确认后</t>
  </si>
  <si>
    <t>乙方配合甲方完成幕墙工程定标工作并经甲方确认后</t>
  </si>
  <si>
    <t>双方办理完结算，向乙方支付合同结算金额的100%</t>
  </si>
  <si>
    <t>雄安站枢纽片区2号地项目一标段二批次
精装修施工图设计合同</t>
  </si>
  <si>
    <t>CRCCRE-SJ-GC-2023-007</t>
  </si>
  <si>
    <t>完成精装施工图设计,提交成果并得到甲方认可后 15个工作日内请款，乙方按照甲方审核后的金额，开具相应金额的增值税专用发票，由甲方于审核后次月 30 日前进行进度款支付（会所）</t>
  </si>
  <si>
    <t>完成精装施工图设计,提交成果并得到甲方认可后 15个工作日内请款，乙方按照甲方审核后的金额，开具相应金额的增值税专用发票，由甲方于审核后次月 30 日前进行进度款支付（01、02地块；05地块电梯轿厢1个）</t>
  </si>
  <si>
    <t>完成精装施工图设计,提交成果并得到甲方认可后 15个工作日内请款，乙方按照甲方审核后的金额，开具相应金额的增值税专用发票，由甲方于审核后次月 30 日前进行进度款支付</t>
  </si>
  <si>
    <t>精装修竣工后 15个工作日内请款，乙方按照甲方审核后的金额开具相应金额的增值税专用发票，由甲方于审核后次月 30日前进行进度款支付。</t>
  </si>
  <si>
    <t>设计总包结算完成后 15 个工作日内请款，乙方按照甲方审核后的金额，开具相应金额的增值税专用发票，由甲方于审核后次月 30日前进行结算款支付。</t>
  </si>
  <si>
    <t>雄安站枢纽片区2号地项目（四标段）</t>
  </si>
  <si>
    <t>雄安站枢纽片区2号地项目四标段
精装修施工图设计合同</t>
  </si>
  <si>
    <t>CRCCRE-SJ-GC-2024-008</t>
  </si>
  <si>
    <t>合同签订后并完成施工图设计工作及经甲方认可后15个工作日内请款，乙方按照甲方审核后的金额，开具相应金额的增值税专用发票，由甲方于审核后次月30日前</t>
  </si>
  <si>
    <t>乙方完成施工配合后，并得到甲方认可后15个工作日内请款，乙方按照甲方审核后的金额，开具相应金额的增值税专用发票，由甲方于审核后次月30日前</t>
  </si>
  <si>
    <t>竣工验收通过后15个工作日内请款，乙方按照甲方审核后的金额，开具相应金额的增值税专用发票，由甲方于审核后次月30日前</t>
  </si>
  <si>
    <t>交付使用后签订结算协议后15个工作日内请款，乙方按照甲方审核后的金额，开具相应金额的增值税专用发票，由甲方于审核后次月30日前</t>
  </si>
  <si>
    <t>雄安站枢纽片区2号地项目四标段
幕墙施工图设计服务合同</t>
  </si>
  <si>
    <t>CRCCRE-SJ-ZDXMZ-2024-002</t>
  </si>
  <si>
    <t>幕墙施工图</t>
  </si>
  <si>
    <t>乙方完成幕墙施工图设计工作，并经甲方确认后30个工作日内，向乙方支付至合同额的60%</t>
  </si>
  <si>
    <t>2、乙方配合甲方完成幕墙工程定标工作，并经甲方确认后30个工作日内，向乙方支付至合同额的70%；</t>
  </si>
  <si>
    <t>整体竣工验收完成，经甲方确认后30个工作日内，向乙方支付至合同额的90％</t>
  </si>
  <si>
    <t>双方办理完结算，结算完成后30个工作日内，向乙方支付至合同结算金额的100％</t>
  </si>
  <si>
    <t>雄安站枢纽片区2号地项目四标段泛光照明施工图设计合同</t>
  </si>
  <si>
    <t>CRCCRE-SJ-ZDXMZ-2025-002</t>
  </si>
  <si>
    <t>雄安站枢纽片区2号地项目四标段
工程概算造价咨询合同</t>
  </si>
  <si>
    <t>CRCCRE-SJ-ZDXMZ-2024-001</t>
  </si>
  <si>
    <t>工程概算造价咨询</t>
  </si>
  <si>
    <t>河北清扬工程造价咨询有限公司</t>
  </si>
  <si>
    <t>固定单价，0.8元/㎡</t>
  </si>
  <si>
    <t>咨询人出具土建专业概算成果文件（详见附件2）并获得委托人认可，提交概算成果文件后支付全部金额的60%</t>
  </si>
  <si>
    <t>咨询人出具安装专业概算成果文件（详见附件2）并获得委托人认可，提交概算成果文件后支付全部金额的40%</t>
  </si>
  <si>
    <t>雄安站枢纽片区2号地项目二标段变配电施工图设计服务合同</t>
  </si>
  <si>
    <t>CRCCRE-SJ-GC-2024-001</t>
  </si>
  <si>
    <t>乙方完成施工图设计工作的100%，经甲方书面确认进度后30个工作日内</t>
  </si>
  <si>
    <t>项目送电验收合格后，经甲方书面确认进度后30个工作日内</t>
  </si>
  <si>
    <t>项目整体交付使用且结算完成后30个工作日内支付结算款</t>
  </si>
  <si>
    <t>雄安站枢纽片区2号地项目二标段燃气及热力管线施工图设计服务合同</t>
  </si>
  <si>
    <t>CRCCRE-SJ-GC-2024-003</t>
  </si>
  <si>
    <t>燃气</t>
  </si>
  <si>
    <t>北京市煤气热力工程设计院有限公司</t>
  </si>
  <si>
    <t>本合同签订生效，乙方完成燃气及热力管线施工图设计工作经甲方确认后15个工作日内请款，经甲方确认乙方请款资料无误后，次月30日内甲方向乙方支付</t>
  </si>
  <si>
    <t>燃气及热力施工图通过审查后15个工作日内请款，经甲方确认乙方请款资料无误后，次月30日内甲方向乙方支付</t>
  </si>
  <si>
    <t>整体竣工验收完成双方办理结算后15个工作日内请款，经甲方确认乙方请款资料无误后，次月30日内甲方向乙方支付</t>
  </si>
  <si>
    <t>雄安站枢纽片区2号地项目二标段标识施工图设计
服务合同</t>
  </si>
  <si>
    <t>CRCCRE-SJ-GC-2024-009</t>
  </si>
  <si>
    <t>本合同签订，乙方提交各批次标识施工图设计图纸，经甲方认可并相关机构审查通过后15个工作日内请款，次月30日内甲方向乙方支付至该批次合同相应价款的60％</t>
  </si>
  <si>
    <t>各批次项目竣工验收完成后15个工作日内请款，次月30日内甲方向乙方支付至该批次合同相应价款的90％</t>
  </si>
  <si>
    <t>双方办理完结算后15个工作日内请款，次月30日内甲方向乙方支付至合同结算金额的100％</t>
  </si>
  <si>
    <t>雄安站高铁枢纽2号地二标段项目景观施工图设计委托合同</t>
  </si>
  <si>
    <t>CRCCRE-SJ-GC-2024-002</t>
  </si>
  <si>
    <t>广州普邦园林股份有限公司</t>
  </si>
  <si>
    <t>9元/㎡</t>
  </si>
  <si>
    <t>合同签订后15个工作日内请款，乙方按照甲方审核后的金额，开具相应金额的增值税专用发票，由甲方于审核后，次月30日前付款。</t>
  </si>
  <si>
    <t>雄安站枢纽片区2号地项目
四标段景观施工图设计委托合同</t>
  </si>
  <si>
    <t>CRCCRE-SJ-GC-2024-007</t>
  </si>
  <si>
    <t>住宅区22706㎡；酒店去4354㎡</t>
  </si>
  <si>
    <t>施工图设计成果提交后15个工作日内请款，乙方按照甲方审核后的金额，开具相应金额的增值税专用发票，由甲方于审核后</t>
  </si>
  <si>
    <t>施工图设计成果确认后15个工作日内请款，乙方按照甲方审核后的金额，开具相应金额的增值税专用发票，由甲方于审核后</t>
  </si>
  <si>
    <t>施工现场配合完成，并得到甲方认可后15个工作日内请款，乙方按照甲方审核后的金额，开具相应金额的增值税专用发票，由甲方于审核后</t>
  </si>
  <si>
    <t>施工工程竣工验收合格，本合同办理完成结算后15个工作日内请款，乙方按照甲方审核后的金额，开具相应金额的增值税专用发票，由甲方于审核后</t>
  </si>
  <si>
    <t>江门总部基地项目（住宅地块）</t>
  </si>
  <si>
    <t>中铁建江门总部基地项目（住宅地块）建筑方案设计合同</t>
  </si>
  <si>
    <t>CRCCRE-SJ-XM-2020-012</t>
  </si>
  <si>
    <t>四川华西建筑设计院有限公司</t>
  </si>
  <si>
    <t>274830.8  （地上面积）</t>
  </si>
  <si>
    <t>地上方案：14.6元/平米</t>
  </si>
  <si>
    <t>本合同签订后15个工作日内乙方向甲方请款，经甲方确认后次月20日内付款（一期）</t>
  </si>
  <si>
    <t>本合同签订后15个工作日内乙方向甲方请款，经甲方确认后次月20日内付款（二期）</t>
  </si>
  <si>
    <t>取得《规划许可证》之日起15个工作日内乙方向甲方请款，经甲方确认后次月20日内付款（一期）</t>
  </si>
  <si>
    <t>取得《规划许可证》之日起15个工作日内乙方向甲方请款，经甲方确认后次月20日内付款（二期）</t>
  </si>
  <si>
    <t>7月26日已支付：773508.31元；剩余部分8月10日支付</t>
  </si>
  <si>
    <t>完成向施工图设计单位进行方案提资及方案交底，并经甲方认可后15个工作日内乙方向甲方请款，经甲方确认后次月20日内付款（一期）</t>
  </si>
  <si>
    <t>完成向施工图设计单位进行方案提资及方案交底，并经甲方认可后15个工作日内乙方向甲方请款，经甲方确认后次月20日内付款（二期）</t>
  </si>
  <si>
    <t>竣工验收完成后15个工作日内乙方向甲方请款，按照《规划许可证》总建筑面积进行结算，经甲方确认后次月20日内付款（一期）</t>
  </si>
  <si>
    <t>竣工验收完成后15个工作日内乙方向甲方请款，按照《规划许可证》总建筑面积进行结算，经甲方确认后次月20日内付款（二期）</t>
  </si>
  <si>
    <t>中铁建江门总部基地项目建筑施工图设计委托合同</t>
  </si>
  <si>
    <t>CRCCRE-SJ-XM-2020-013</t>
  </si>
  <si>
    <t>总图方案539549/项；地下方案8元/平；住宅地上施工图15元/平；幼儿园商业配套18元/平；非人防18元/平；人防配合8元/平</t>
  </si>
  <si>
    <t>本合同签订后十五个工作日内请款，签订节点确认单后，次月25日内付款（一期）</t>
  </si>
  <si>
    <t>本合同签订后十五个工作日内请款，签订节点确认单后，次月25日内付款（二期）</t>
  </si>
  <si>
    <t>全部施工图设计成果完成并通过相关政府部门审批，并获取施工图审查合格证后15个工作日内请款，签订节点确认单后，次月25日内付款（一期）</t>
  </si>
  <si>
    <t>其中有20万2021年2月支付</t>
  </si>
  <si>
    <t>全部施工图设计成果完成并通过相关政府部门审批，并获取施工图审查合格证后15个工作日内请款，签订节点确认单后，次月25日内付款（二期）</t>
  </si>
  <si>
    <t>结构封顶后15个工作日内请款，签订节点确认单后，次月25日内付款（一期）</t>
  </si>
  <si>
    <t>结构封顶后15个工作日内请款，签订节点确认单后，次月25日内付款（二期）</t>
  </si>
  <si>
    <t>竣工验收完成后15个工作日内请款，签订节点确认单后，按照《规划许可证》总建筑面积进行结算，次月25日内付款（一期）</t>
  </si>
  <si>
    <t>竣工验收完成后15个工作日内请款，签订节点确认单后，按照《规划许可证》总建筑面积进行结算，次月25日内付款（二期）</t>
  </si>
  <si>
    <t>天津市河北区榆关道项目方案深化设计咨询及相关服务合同</t>
  </si>
  <si>
    <t>CRCCRE-SJ-GC-2022-005</t>
  </si>
  <si>
    <t>北京金贝加尔建筑设计有限公司</t>
  </si>
  <si>
    <t>24元/平</t>
  </si>
  <si>
    <t>合同签订且乙方提交第一版设计成果后15个工作日内支付</t>
  </si>
  <si>
    <t>本项目全部施工图设计取得图审合格证并取得甲方书面确认15个工作日内</t>
  </si>
  <si>
    <t>施工配合、竣工验收完成、结算完毕15个工作日内，按照该项目《建设工程规划许可证》建筑面积进行结算</t>
  </si>
  <si>
    <t>《天津市河北区榆关道项目方案深化设计咨询及相关服务合同》补充协议</t>
  </si>
  <si>
    <t>CRCCRE-SJ-GC-2022-005-B1</t>
  </si>
  <si>
    <t>签订本补充协议后并提交第一版设计成果后15个工作日内请款，次月30日内支付</t>
  </si>
  <si>
    <t>小规模税点由3%降为1%，固定不含税价格</t>
  </si>
  <si>
    <t>本项目全部施工图设计取得图审合格证并取得甲方书面确认15个工作日内请款，次月30日内支付</t>
  </si>
  <si>
    <t>竣工验收完成后并结算完毕15个工作日内请款，次月30日内支付</t>
  </si>
  <si>
    <r>
      <rPr>
        <sz val="10"/>
        <color rgb="FF000000"/>
        <rFont val="宋体"/>
        <charset val="134"/>
      </rPr>
      <t>中体青城生态体育公园项目</t>
    </r>
    <r>
      <rPr>
        <sz val="10"/>
        <color rgb="FFFF0000"/>
        <rFont val="宋体"/>
        <charset val="134"/>
      </rPr>
      <t>（完结）</t>
    </r>
  </si>
  <si>
    <t>CRCCRE-DC-XM-2020-009</t>
  </si>
  <si>
    <t>中铁建成都青城山生态体育公园B地块项目前期拿地规划设计服务合同</t>
  </si>
  <si>
    <t>CRCCRE-SJ-CZ-2020-015</t>
  </si>
  <si>
    <t>中锦联国际建筑设计（北京）有限公司</t>
  </si>
  <si>
    <t>包干</t>
  </si>
  <si>
    <t>设计成果提交后一次性支付</t>
  </si>
  <si>
    <t>中国铁建·花语堂项目
（完结）</t>
  </si>
  <si>
    <t>CRCCRE-SJ-BIM-2020-020</t>
  </si>
  <si>
    <t>中国铁建·花语堂项目BIM技术咨询服务合同</t>
  </si>
  <si>
    <t>固定含税单价为：2.31元</t>
  </si>
  <si>
    <t>乙方提交第一版地库、高层（1#2#3#5#6#7#8#9#10#11#）及多层（12#13#15#16#）单体BIM模型及问题报告，并经甲方书面确认后</t>
  </si>
  <si>
    <t>乙方提交第一版合院(17#18#19#20#21#)、商业（S2、S3、S4、S5、S6）及配套（换热站、垃圾站、幼儿园）单体BIM模型及问题报告，并经甲方书面确认后</t>
  </si>
  <si>
    <t>乙方提交第一版管线优化BIM模型、管综问题报告，并经甲方书面确认后</t>
  </si>
  <si>
    <t>乙方提交最终管线优化BIM模型及管综机电各专业平面图，并经甲方书面确认后</t>
  </si>
  <si>
    <t>西安西派国际1号地项目
（完成）</t>
  </si>
  <si>
    <t>CRCCRE-SJ-BIM-2020-022</t>
  </si>
  <si>
    <t>BIM建模单价：2元/平米</t>
  </si>
  <si>
    <t>本合同签订后，30个工作日后</t>
  </si>
  <si>
    <t>由于小规模纳税人，不含税金额不变，税率由3%变更为1%。</t>
  </si>
  <si>
    <t>乙方提交经过管综优化的最终版全专业BIM模型及问题报告、净高分析报告等，并经甲方书面确认后</t>
  </si>
  <si>
    <t>乙方提交最终版园区场地和小市政管线模型及问题报告，并经甲方书面确认后</t>
  </si>
  <si>
    <t>乙方提交最终版户型精装模型及问题报告，并经甲方书面确认后</t>
  </si>
  <si>
    <t>乙方配合甲方完成BIM所有优化工作后</t>
  </si>
  <si>
    <t>兰草坝02号地块项目
（完成）</t>
  </si>
  <si>
    <t>CRCCRE-SJ-BIM-2020-019</t>
  </si>
  <si>
    <t>兰草坝02号地块项目（城市综合体）BIM建模及管综优化服务</t>
  </si>
  <si>
    <t>固定含税单价为：3.14元</t>
  </si>
  <si>
    <t>乙方提交第一版全专业BIM模型、图纸问题与并经甲方书面确认后</t>
  </si>
  <si>
    <t>乙方提交地下室管线优化BIM模型、管综问题报告、净高分析、土建预留洞图和管综施工图并经甲方书面确认后</t>
  </si>
  <si>
    <t>江门总部基地项目（商办地块）</t>
  </si>
  <si>
    <t>中铁建江门总部基地项目（商办地块）建筑方案设计合同</t>
  </si>
  <si>
    <t>CRCCRE-SJ-XM-2020-020</t>
  </si>
  <si>
    <t>事建组建筑设计咨询（北京）有限公司</t>
  </si>
  <si>
    <t>商业：38634平米；公寓：155550平米；配套公建：1875平米</t>
  </si>
  <si>
    <t>规划方案：14000元/项；商业：55元/平；公寓：26元/平；配套公建：50元/平</t>
  </si>
  <si>
    <t>中铁建江门总部基地项目（商办地块）建筑施工图设计委托合同</t>
  </si>
  <si>
    <t>CRCCRE-SJ-XM-2020-019</t>
  </si>
  <si>
    <t>施工图部分</t>
  </si>
  <si>
    <t>194197.7平米</t>
  </si>
  <si>
    <t>总图：786000元/项；单体施工图及管综：27元/平</t>
  </si>
  <si>
    <t>其中7月26日已支付：643498.87元</t>
  </si>
  <si>
    <t>方案部分</t>
  </si>
  <si>
    <t>湾区之眼1430平米；售楼处2065平米；写字楼70000平米；地下室76128.7平米</t>
  </si>
  <si>
    <t>湾区之眼95元/平；售楼处42元/平；写字楼19元/平；地下10元/平</t>
  </si>
  <si>
    <t>广州花都区中央商务区组团项目（南沙）</t>
  </si>
  <si>
    <t>太原市万柏林区东社村/西府国际</t>
  </si>
  <si>
    <t>太原市万柏林区东社村HGZ-1812地块项目
建设工程设计联合体协议书-补充协议一</t>
  </si>
  <si>
    <t>太原理工大学建筑设计研究院有限公司</t>
  </si>
  <si>
    <t>甲方说暂不能请款，未封顶</t>
  </si>
  <si>
    <t>多计价和收票，和尾款一起支付</t>
  </si>
  <si>
    <t>规证：
116858.41㎡
结算额：2103451.38</t>
  </si>
  <si>
    <t>西安西派璟悦项目</t>
  </si>
  <si>
    <t>西派璟悦项目建筑方案设计服务合同</t>
  </si>
  <si>
    <t>CRCCRE-SJ-XM-2023-025</t>
  </si>
  <si>
    <t>上海承构建筑设计咨询有限公司</t>
  </si>
  <si>
    <t>高层132815，配套公建4538</t>
  </si>
  <si>
    <t>25元/㎡</t>
  </si>
  <si>
    <t>合同签订并提交第一版概念性方案并经甲方确认后15个工作日内请款，请款资料交齐且甲方审批完成后的次月30日前付款</t>
  </si>
  <si>
    <t>集采直委</t>
  </si>
  <si>
    <t>方案调整、修改完成经甲方确认后，15个工作日内请款，请款资料交齐且甲方审批完成后的次月30日前付款</t>
  </si>
  <si>
    <t>方案通过政府相关审批（规划复函）后15个工作日内请款，请款资料交齐且甲方审批完成后的次月30日前付款</t>
  </si>
  <si>
    <t>项目总图、建筑单专业扩初设计图纸完成，并取得《建设工程规划许可证》后，15个工作日内请款，请款资料交齐且甲方审批完成后的次月30日前付款</t>
  </si>
  <si>
    <t>配合所有施工图设计完成，取得施工图审查合格证后15个工作日内请款，请款资料交齐且甲方审批完成后的次月30日前付款</t>
  </si>
  <si>
    <t>配合施工完成，整体工程竣工验收完成后15个工作日内按照《建设工程规划许可证》建筑面积结算，结算办理完毕且请款资料交齐后的次月30日内付款</t>
  </si>
  <si>
    <t>配合完成产品创新研发工作，并经中国铁建房地产集团公司组织验收通过后15个工作日内请款，请款资料交齐且甲方审批完成后的次月30日前付款（此项如未发生则该笔金额不予支付）</t>
  </si>
  <si>
    <t>西派璟悦项目
景观方案至施工图设计委托合同</t>
  </si>
  <si>
    <t>CRCCRE-SJ-XM-2023-023</t>
  </si>
  <si>
    <t>广州山水比德设计股份有限公司</t>
  </si>
  <si>
    <t>示范区6000㎡，大区39987㎡</t>
  </si>
  <si>
    <t>展示区方案设计成果确认后15个工作日内请款，乙方按照甲方审核后的金额，开具相应金额的增值税专用发票，由甲方于审核后，次月30日前付款。</t>
  </si>
  <si>
    <t>西派璟悦示范区售楼处及样板间项目
精装修硬装设计委托合同</t>
  </si>
  <si>
    <t>CRCCRE-SJ-XM-2023-024</t>
  </si>
  <si>
    <t>样板间、售楼处精装</t>
  </si>
  <si>
    <t>售楼处前场422㎡，办公区128.7㎡，样板间393.8㎡</t>
  </si>
  <si>
    <t>售楼处前场、样板间1200元/㎡，售楼处后场300元/㎡</t>
  </si>
  <si>
    <t>合同签订并提交第一版概念性方案并经甲方书面确认后 15 个工作日内请款，乙方按照甲方审核后的金额，开具相应金额的增值税专用发票，由甲方于审核后次月30日前进行进度款支付。</t>
  </si>
  <si>
    <t>完成展示区概念设计,提交成果并得到甲方书面确认后15个工作日内请款，乙方按照甲方审核后的金额，开具相应金额的增值税专用发票，由甲方于审核后次月30日前进行进度款支付。</t>
  </si>
  <si>
    <t>完成展示区方案扩初设计阶段最终成果，经甲方书面确认后15个工作日内请款，乙方按照甲方审核后的金额，开具相应金额的增值税专用发票，由甲方于审核后次月30日前进行进度款支付。</t>
  </si>
  <si>
    <t>完成展示区精装施工图设计,提交成果并得到甲方书面认可后15个工作日内请款，乙方按照甲方审核后的金额，开具相应金额的增值税专用发票，由甲方于审核后次月30日前进行进度款支付。</t>
  </si>
  <si>
    <t>展示区精装修竣工后15个工作日内请款，乙方按照甲方审核后的金额，开具相应金额的增值税专用发票，由甲方于审核后次月30日前进行进度款支付。</t>
  </si>
  <si>
    <t>西派璟悦项目地下车库及地下室BIM建模技术服务合同</t>
  </si>
  <si>
    <t>CRCCRE-SJ-BIM-2023-018</t>
  </si>
  <si>
    <t>北京零壹慧建数据信息技术服务有限公司</t>
  </si>
  <si>
    <t>建筑面积暂定55005.37㎡</t>
  </si>
  <si>
    <t>固定含税单价为：2.38元/㎡</t>
  </si>
  <si>
    <t xml:space="preserve">合同签订并提交第一版地下车库及地下室BIM模型且经过甲方书面确认后2个月内(付款审批流程完成后)。 支付至暂估BIM咨询费的40%
</t>
  </si>
  <si>
    <t>乙方根据甲方优化后的施工图纸提交 BIM咨询优化报告、完成 BIM 咨询范围的交底工作且经过甲方书面确认后2个月内《付款审批流程完成后)。 支付至暂估BIM咨询费的95%</t>
  </si>
  <si>
    <t>乙方根据施工进度提交设计变更的 BIM模型更改至竣工验收完成，按照《建设工程规划许可证》地下建筑面积进行结算后 2个月内 (付款审批流程完成后)。 支付至BIM咨询费结算金额的 100%</t>
  </si>
  <si>
    <t>西派璟悦项目泛光照明设计顾问服务合同</t>
  </si>
  <si>
    <t>CRCCRE-SJ-XM-2023-028</t>
  </si>
  <si>
    <t>本合同签订生效，乙方提交方案设计及方案深化设计咨询成果通过甲方确认，且甲方收到本项目业主方（西安国际港务区京港房地产开发有限公司）相应款项后15个工作日内请款，次月30日前甲方向乙方支付合同额的30％；</t>
  </si>
  <si>
    <t>乙方提交施工图设计咨询阶段成果通过甲方确认，且甲方收到本项目业主方（西安国际港务区京港房地产开发有限公司）相应款项后15个工作日内请款，次月30日前甲方向乙方支付合同额的60％。</t>
  </si>
  <si>
    <t>乙方配合施工服务，项目竣工验收完成，通过甲方确认，且甲方收到本项目业主方（西安国际港务区京港房地产开发有限公司）相应款项后15个工作日内请款，次月30日前甲方向乙方支付至合同结算金额的100％。</t>
  </si>
  <si>
    <t>西派璟悦项目创新型售楼处
方案设计服务合同</t>
  </si>
  <si>
    <t>CRCCRE-SJ-XM-2023-031</t>
  </si>
  <si>
    <t>创新售楼处</t>
  </si>
  <si>
    <t>上海拓观建筑规划设计有限公司</t>
  </si>
  <si>
    <t>合同签订且乙方提交第一版售楼处概念性方案后15个自然日内</t>
  </si>
  <si>
    <t>售楼处扩初设计图纸完成，并取得《建设工程规划许可证》后15个自然日内</t>
  </si>
  <si>
    <t>售楼处竣工验收合格后15个自然日内</t>
  </si>
  <si>
    <t>西派璟悦项目地库方案深化设计委托合同</t>
  </si>
  <si>
    <t>CRCCRE-SJ-XM-2023-051</t>
  </si>
  <si>
    <t>地库方案深化</t>
  </si>
  <si>
    <t>固定总价（单价合6.6元/㎡）</t>
  </si>
  <si>
    <t>本合同签订并生效后，乙方提交设计方案经甲方确认后且甲方收到本项目业主方西安国际港务区京港房地产开发有限公司相应款项后15个工作日内请款，次月30日内甲方向乙方支付</t>
  </si>
  <si>
    <t>方案调整、修改完成经甲方确认后，且甲方收到本项目业主方西安国际港务区京港房地产开发有限公司相应款项后15个工作日内请款，次月30日内甲方向乙方支付</t>
  </si>
  <si>
    <t>方案通过政府相关审批（规划复函）后，经甲方确认后，且甲方收到本项目业主方西安国际港务区京港房地产开发有限公司相应款项后15个工作日内请款，次月30日内甲方向乙方支付</t>
  </si>
  <si>
    <t>本合同约定设计工作全部完成并经过甲方确认，并取得《建设工程规划许可证》后，且甲方收到本项目业主方西安国际港务区京港房地产开发有限公司相应款项后15个工作日内请款，次月30日内甲方向乙方支付</t>
  </si>
  <si>
    <t>整体竣工验收完成，且甲方收到本项目业主方西安国际港务区京港房地产开发有限公司相应款项后15个工作日内请款，次月30日内甲方向乙方支付至合同结算额</t>
  </si>
  <si>
    <t>太原市万柏林区东社村HGZ-1812地块项目建设工程设计联合体协议书-补充协议二</t>
  </si>
  <si>
    <t>CRCCRE-SJ-CZ-2018-054-B2</t>
  </si>
  <si>
    <t>西安港务区93亩项目
（西派麟悦）</t>
  </si>
  <si>
    <t>西派麟悦项目建筑方案设计委托合同</t>
  </si>
  <si>
    <t>CRCCRE-SJ-XM-2023-064</t>
  </si>
  <si>
    <t>高层18、配套30</t>
  </si>
  <si>
    <t>西安西派麟悦项目景观方案至施工图设计合同</t>
  </si>
  <si>
    <t>CRCCRE-SJ-XM-2023-058</t>
  </si>
  <si>
    <t>展示区5200㎡；大区44488㎡</t>
  </si>
  <si>
    <t>西安西派麟悦项目样板间精装方案及施工图设计合同</t>
  </si>
  <si>
    <t>CRCCRE-SJ-JZ-2023-052</t>
  </si>
  <si>
    <t>452㎡</t>
  </si>
  <si>
    <t>西安西派麟悦项目售楼处、配套公建及公区精装方案及施工图设计服务合同</t>
  </si>
  <si>
    <t>CRCCRE-SJ-JZ-2023-053</t>
  </si>
  <si>
    <t>精装售楼处、配套公建、公区（24.11增加地库坡道91892.80元，结算时处理）</t>
  </si>
  <si>
    <t>成都锐度设计顾问有限公司</t>
  </si>
  <si>
    <t>售楼处524.8㎡；配套公建4814.10㎡；公区大堂987.17㎡；公区标准层169.37㎡</t>
  </si>
  <si>
    <t>标准化售楼处350元/㎡；配套公建施工图80元/㎡；公区大堂450元/㎡；公区标准层280元/㎡</t>
  </si>
  <si>
    <t>合同签订后15个工作日内请款，乙方按照甲方审核后的金额，开具相应金额的增值税专用发票，由甲方于审核后30日内进行进度款支付。</t>
  </si>
  <si>
    <t>完成展示区方案设计,提交成果并得到甲方认可后15个工作日内请款，乙方按照甲方审核后的金额，开具相应金额的增值税专用发票，由甲方于审核后30日内进行进度款支付。</t>
  </si>
  <si>
    <t>完成展示区方案扩初设计阶段最终成果，经甲方书面确认后15个工作日内请款，乙方按照甲方审核后的金额，开具相应金额的增值税专用发票，由甲方于审核后30日内进行进度款支付。</t>
  </si>
  <si>
    <t>完成展示区精装施工图设计,提交成果并得到甲方认可后15个工作日内请款，乙方按照甲方审核后的金额，开具相应金额的增值税专用发票，由甲方于审核后30日内进行进度款支付。</t>
  </si>
  <si>
    <r>
      <rPr>
        <sz val="10"/>
        <color rgb="FF000000"/>
        <rFont val="宋体"/>
        <charset val="134"/>
      </rPr>
      <t>合同签订后15个工作日内请款，乙方按照甲方审核后的金额，开具相应金额的增值税专用发票，由甲方于审核后30日内进行进度款支付。</t>
    </r>
    <r>
      <rPr>
        <b/>
        <sz val="10"/>
        <color rgb="FF000000"/>
        <rFont val="宋体"/>
        <charset val="134"/>
      </rPr>
      <t>（公区部分）</t>
    </r>
  </si>
  <si>
    <r>
      <rPr>
        <sz val="10"/>
        <color rgb="FF000000"/>
        <rFont val="宋体"/>
        <charset val="134"/>
      </rPr>
      <t>合同签订后15个工作日内请款，乙方按照甲方审核后的金额，开具相应金额的增值税专用发票，由甲方于审核后30日内进行进度款支付。</t>
    </r>
    <r>
      <rPr>
        <b/>
        <sz val="10"/>
        <color rgb="FF000000"/>
        <rFont val="宋体"/>
        <charset val="134"/>
      </rPr>
      <t>（幼儿园部分）</t>
    </r>
  </si>
  <si>
    <r>
      <rPr>
        <sz val="10"/>
        <color rgb="FF000000"/>
        <rFont val="宋体"/>
        <charset val="134"/>
      </rPr>
      <t>合同签订后15个工作日内请款，乙方按照甲方审核后的金额，开具相应金额的增值税专用发票，由甲方于审核后30日内进行进度款支付。</t>
    </r>
    <r>
      <rPr>
        <b/>
        <sz val="10"/>
        <color rgb="FF000000"/>
        <rFont val="宋体"/>
        <charset val="134"/>
      </rPr>
      <t>（配套部分）</t>
    </r>
  </si>
  <si>
    <r>
      <rPr>
        <sz val="10"/>
        <color rgb="FF000000"/>
        <rFont val="宋体"/>
        <charset val="134"/>
      </rPr>
      <t>完成配套公建、公区精装方案设计,提交成果并得到甲方认可后15个工作日内请款，乙方按照甲方审核后的金额，开具相应金额的增值税专用发票，由甲方于审核后30日内进行进度款支付。</t>
    </r>
    <r>
      <rPr>
        <b/>
        <sz val="10"/>
        <color rgb="FF000000"/>
        <rFont val="宋体"/>
        <charset val="134"/>
      </rPr>
      <t>（公区部分）</t>
    </r>
  </si>
  <si>
    <r>
      <rPr>
        <sz val="10"/>
        <color rgb="FF000000"/>
        <rFont val="宋体"/>
        <charset val="134"/>
      </rPr>
      <t>完成配套公建、公区精装方案设计,提交成果并得到甲方认可后15个工作日内请款，乙方按照甲方审核后的金额，开具相应金额的增值税专用发票，由甲方于审核后30日内进行进度款支付。</t>
    </r>
    <r>
      <rPr>
        <b/>
        <sz val="10"/>
        <color rgb="FF000000"/>
        <rFont val="宋体"/>
        <charset val="134"/>
      </rPr>
      <t>（幼儿园部分）</t>
    </r>
  </si>
  <si>
    <r>
      <rPr>
        <sz val="10"/>
        <color rgb="FF000000"/>
        <rFont val="宋体"/>
        <charset val="134"/>
      </rPr>
      <t>完成配套公建、公区精装方案设计,提交成果并得到甲方认可后15个工作日内请款，乙方按照甲方审核后的金额，开具相应金额的增值税专用发票，由甲方于审核后30日内进行进度款支付。</t>
    </r>
    <r>
      <rPr>
        <b/>
        <sz val="10"/>
        <color rgb="FF000000"/>
        <rFont val="宋体"/>
        <charset val="134"/>
      </rPr>
      <t>（配套部分）</t>
    </r>
  </si>
  <si>
    <r>
      <rPr>
        <sz val="10"/>
        <color rgb="FF000000"/>
        <rFont val="宋体"/>
        <charset val="134"/>
      </rPr>
      <t>完成配套公建、公区方案扩初设计阶段最终成果，经甲方书面确认后15个工作日内请款，乙方按照甲方审核后的金额，开具相应金额的增值税专用发票，由甲方于审核后30日内进行进度款支付。</t>
    </r>
    <r>
      <rPr>
        <b/>
        <sz val="10"/>
        <color rgb="FF000000"/>
        <rFont val="宋体"/>
        <charset val="134"/>
      </rPr>
      <t>（公区部分）</t>
    </r>
  </si>
  <si>
    <r>
      <rPr>
        <sz val="10"/>
        <color rgb="FF000000"/>
        <rFont val="宋体"/>
        <charset val="134"/>
      </rPr>
      <t>完成配套公建、公区方案扩初设计阶段最终成果，经甲方书面确认后15个工作日内请款，乙方按照甲方审核后的金额，开具相应金额的增值税专用发票，由甲方于审核后30日内进行进度款支付。</t>
    </r>
    <r>
      <rPr>
        <b/>
        <sz val="10"/>
        <color rgb="FF000000"/>
        <rFont val="宋体"/>
        <charset val="134"/>
      </rPr>
      <t>（幼儿园部分）</t>
    </r>
  </si>
  <si>
    <r>
      <rPr>
        <sz val="10"/>
        <color rgb="FF000000"/>
        <rFont val="宋体"/>
        <charset val="134"/>
      </rPr>
      <t>完成配套公建、公区方案扩初设计阶段最终成果，经甲方书面确认后15个工作日内请款，乙方按照甲方审核后的金额，开具相应金额的增值税专用发票，由甲方于审核后30日内进行进度款支付。</t>
    </r>
    <r>
      <rPr>
        <b/>
        <sz val="10"/>
        <color rgb="FF000000"/>
        <rFont val="宋体"/>
        <charset val="134"/>
      </rPr>
      <t>（配套部分）</t>
    </r>
  </si>
  <si>
    <r>
      <rPr>
        <sz val="10"/>
        <color rgb="FF000000"/>
        <rFont val="宋体"/>
        <charset val="134"/>
      </rPr>
      <t>完成配套公建、公区精装施工图设计,提交成果并得到甲方认可后15个工作日内请款，乙方按照甲方审核后的金额，开具相应金额的增值税专用发票，由甲方于审核后30日内进行进度款支付。</t>
    </r>
    <r>
      <rPr>
        <b/>
        <sz val="10"/>
        <color rgb="FF000000"/>
        <rFont val="宋体"/>
        <charset val="134"/>
      </rPr>
      <t>（公区部分）</t>
    </r>
  </si>
  <si>
    <r>
      <rPr>
        <sz val="10"/>
        <color rgb="FF000000"/>
        <rFont val="宋体"/>
        <charset val="134"/>
      </rPr>
      <t>完成配套公建、公区精装施工图设计,提交成果并得到甲方认可后15个工作日内请款，乙方按照甲方审核后的金额，开具相应金额的增值税专用发票，由甲方于审核后30日内进行进度款支付。</t>
    </r>
    <r>
      <rPr>
        <b/>
        <sz val="10"/>
        <color rgb="FF000000"/>
        <rFont val="宋体"/>
        <charset val="134"/>
      </rPr>
      <t>（幼儿园部分）</t>
    </r>
  </si>
  <si>
    <t>完成配套公建、公区精装施工图设计,提交成果并得到甲方认可后15个工作日内请款，乙方按照甲方审核后的金额，开具相应金额的增值税专用发票，由甲方于审核后30日内进行进度款支付。</t>
  </si>
  <si>
    <r>
      <rPr>
        <sz val="10"/>
        <color rgb="FF000000"/>
        <rFont val="宋体"/>
        <charset val="134"/>
      </rPr>
      <t>工程通过竣工验收，设计人按照本合同设计内容和设计人责任的约定，完成此专项全部设计、配合、现场服务配合工作以及结算完成后15个工作日内请款，乙方按照甲方审核后的金额，开具相应金额的增值税专用发票，由甲方于审核后30日内进行结算款支付。</t>
    </r>
    <r>
      <rPr>
        <b/>
        <sz val="10"/>
        <color rgb="FF000000"/>
        <rFont val="宋体"/>
        <charset val="134"/>
      </rPr>
      <t>（公区部分）</t>
    </r>
  </si>
  <si>
    <r>
      <rPr>
        <sz val="10"/>
        <color rgb="FF000000"/>
        <rFont val="宋体"/>
        <charset val="134"/>
      </rPr>
      <t>工程通过竣工验收，设计人按照本合同设计内容和设计人责任的约定，完成此专项全部设计、配合、现场服务配合工作以及结算完成后15个工作日内请款，乙方按照甲方审核后的金额，开具相应金额的增值税专用发票，由甲方于审核后30日内进行结算款支付。</t>
    </r>
    <r>
      <rPr>
        <b/>
        <sz val="10"/>
        <color rgb="FF000000"/>
        <rFont val="宋体"/>
        <charset val="134"/>
      </rPr>
      <t>（幼儿园部分）</t>
    </r>
  </si>
  <si>
    <r>
      <rPr>
        <sz val="10"/>
        <color rgb="FF000000"/>
        <rFont val="宋体"/>
        <charset val="134"/>
      </rPr>
      <t>工程通过竣工验收，设计人按照本合同设计内容和设计人责任的约定，完成此专项全部设计、配合、现场服务配合工作以及结算完成后15个工作日内请款，乙方按照甲方审核后的金额，开具相应金额的增值税专用发票，由甲方于审核后30日内进行结算款支付。</t>
    </r>
    <r>
      <rPr>
        <b/>
        <sz val="10"/>
        <color rgb="FF000000"/>
        <rFont val="宋体"/>
        <charset val="134"/>
      </rPr>
      <t>（配套部分）</t>
    </r>
  </si>
  <si>
    <t>西安西派麟悦项目地下室BIM全专业建模技术服务合同</t>
  </si>
  <si>
    <t>CRCCRE-SJ-BIM-2023-054</t>
  </si>
  <si>
    <t>深圳前海贾维斯数据咨询有限公司</t>
  </si>
  <si>
    <t>2.7元/㎡</t>
  </si>
  <si>
    <t>乙方提交第一版全专业调整BIM模型、图纸问题与调整问题报告并经甲方书面确认后15个工作日内请款，乙方按照甲方审核后的金额，开具相应金额的增值税专用发票，由甲方于审核后次月30日前进行进度款支付。</t>
  </si>
  <si>
    <t>乙方根据甲方优化后的施工图纸提交BIM咨询优化报告、完成BIM范围的交底工作并经甲方书面确认后15个工作日内请款，乙方按照甲方审核后的金额，开具相应金额的增值税专用发票，由甲方于审核后次月30日前进行进度款支付。</t>
  </si>
  <si>
    <t>完成设计变更的BIM模型更改，至项目竣工验收后双方办理结算。15个工作日内请款，乙方按照甲方审核后的金额，开具相应金额的增值税专用发票，由甲方于审核后次月30日前进行进度款支付。</t>
  </si>
  <si>
    <t>西派麟悦项目地下室（地库）建筑方案深化设计委托合同</t>
  </si>
  <si>
    <t>CRCCRE-SJ-XM-2023-101</t>
  </si>
  <si>
    <t>7.4元/㎡</t>
  </si>
  <si>
    <t>本合同签订并生效后，乙方提交设计方案经甲方确认后且甲方收到本项目业主方西安国际港务区京港房地产开发有限公司相应款项后15个工作日内请款</t>
  </si>
  <si>
    <t>方案调整、修改完成经甲方确认后，且甲方收到本项目业主方西安国际港务区京港房地产开发有限公司相应款项后15个工作日内请款</t>
  </si>
  <si>
    <t>方案通过政府相关审批（规划复函）后，经甲方确认后，且甲方收到本项目业主方西安国际港务区京港房地产开发有限公司相应款项后15个工作日内请款</t>
  </si>
  <si>
    <t>本合同约定设计工作全部完成并经过甲方确认，并取得《施工图审查合格书》后，且甲方收到本项目业主方西安国际港务区京港房地产开发有限公司相应款项后15个工作日内请款</t>
  </si>
  <si>
    <t>整体竣工验收完成，且甲方收到本项目业主方西安国际港务区京港房地产开发有限公司相应款项后15个工作日内请款</t>
  </si>
  <si>
    <t>西安西派玺樾项目</t>
  </si>
  <si>
    <t>西安西派玺樾项目建筑方案设计委托合同</t>
  </si>
  <si>
    <t>CRCCRE-SJ-XM-2024-020</t>
  </si>
  <si>
    <t>高层130218.95㎡配套公建8428.57㎡</t>
  </si>
  <si>
    <t>高层32、配套公建45</t>
  </si>
  <si>
    <t>配合施工完成，竣工验收完成后 15 个工作日内按照《规划许可证》建筑面积结算，次月30日内付款</t>
  </si>
  <si>
    <t>西安西派玺樾小区项目景观方案至施工图设计服务合同</t>
  </si>
  <si>
    <t>CRCCRE-SJ-XM-2023-083</t>
  </si>
  <si>
    <t>广州观己景观设计有限公司</t>
  </si>
  <si>
    <t>景观展示区7500㎡；大区40516㎡</t>
  </si>
  <si>
    <t>展示区45元/㎡，大区34元/㎡</t>
  </si>
  <si>
    <t>合同签订并提交第一版概念性方案后15个工作日内请款</t>
  </si>
  <si>
    <t>方案设计成果确认后15个工作日内请款</t>
  </si>
  <si>
    <t>施工图设计成果确认后15个工作日内请款</t>
  </si>
  <si>
    <t>施工现场配合完成，并得到甲方认可后15个工作日内请款</t>
  </si>
  <si>
    <t>概念设计成果确认后15个工作日内请款</t>
  </si>
  <si>
    <t>扩初设计成果确认后15个工作日内请款</t>
  </si>
  <si>
    <t>大区施工现场配合完成，并得到甲方认可后15个工作日内请款</t>
  </si>
  <si>
    <t>施工工程竣工验收合格，本合同办理完成结算后15个工作日内请款</t>
  </si>
  <si>
    <t>西安西派玺樾小区项目
售楼处、样板间、架空层、公区精装方案及施工图设计服务合同</t>
  </si>
  <si>
    <t>CRCCRE-SJ-XM-2023-079</t>
  </si>
  <si>
    <t>精装（售楼处、样板间、架空层、公区）</t>
  </si>
  <si>
    <t>售楼处前场1200后场300，样板间1200，架空层500,公区大堂创新800、600，公区大堂复制320、300，光厅创新200、复制120，电梯轿厢15000</t>
  </si>
  <si>
    <t>合同签订订并提交第一版概念性方案后 15 个工作日内请款</t>
  </si>
  <si>
    <t>完成展示区概念设计,提交成果并得到甲方认可后15个工作日内请款</t>
  </si>
  <si>
    <t>完成展示区精装施工图设计,提交成果并得到甲方认可后15个工作日内请款</t>
  </si>
  <si>
    <t>展示区竣工后15个工作日内请款</t>
  </si>
  <si>
    <t>完成大区精装概念设计,提交成果并得到甲方认可后15个工作日内请款</t>
  </si>
  <si>
    <r>
      <rPr>
        <sz val="10"/>
        <color rgb="FF000000"/>
        <rFont val="宋体"/>
        <charset val="134"/>
      </rPr>
      <t>完成大方案扩初设计阶段最终成果，经甲方书面确认后15个工作日内请款</t>
    </r>
    <r>
      <rPr>
        <b/>
        <sz val="10"/>
        <color rgb="FF000000"/>
        <rFont val="宋体"/>
        <charset val="134"/>
      </rPr>
      <t>（首层、标准层大堂）</t>
    </r>
  </si>
  <si>
    <r>
      <rPr>
        <sz val="10"/>
        <color rgb="FF000000"/>
        <rFont val="宋体"/>
        <charset val="134"/>
      </rPr>
      <t>完成大方案扩初设计阶段最终成果，经甲方书面确认后15个工作日内请款</t>
    </r>
    <r>
      <rPr>
        <b/>
        <sz val="10"/>
        <color rgb="FF000000"/>
        <rFont val="宋体"/>
        <charset val="134"/>
      </rPr>
      <t>（光厅、电梯轿厢）</t>
    </r>
  </si>
  <si>
    <t>完成大区精装施工图设计,提交成果并得到甲方认可后15个工作日内请款</t>
  </si>
  <si>
    <t>大区30%</t>
  </si>
  <si>
    <t>工程通过竣工验收，竣工后15个工作日内请款</t>
  </si>
  <si>
    <t>西安西派玺樾小区项目公区精装方案及施工图设计服务合同</t>
  </si>
  <si>
    <t>CRCCRE-SJ-XM-2024-009</t>
  </si>
  <si>
    <t>成都九度装饰设计有限公司</t>
  </si>
  <si>
    <t>负一层、首层大堂890㎡；标准层232㎡；公共配套6100㎡</t>
  </si>
  <si>
    <t>负一层、首层大堂400元/㎡；标准层270元/㎡；公共配套80元/㎡</t>
  </si>
  <si>
    <t>合同签订并提交第一版概念性方案并经甲方书面确认后 15 个工作日内请款，乙方按照甲方审核后的金额，开具相应金额的增值税专用发票，由甲方于审核后次月30日前进行进度款支付</t>
  </si>
  <si>
    <t>完成公区精装概念设计,提交成果并得到甲方书面确认后15个工作日内请款，乙方按照甲方审核后的金额，开具相应金额的增值税专用发票，由甲方于审核后次月30日前进行进度款支付</t>
  </si>
  <si>
    <t>完成公区方案扩初设计阶段最终成果，经甲方书面确认后15个工作日内请款，乙方按照甲方审核后的金额，开具相应金额的增值税专用发票，由甲方于审核后次月30日前进行进度款支付</t>
  </si>
  <si>
    <t>完成公区精装施工图设计,提交成果并得到甲方书面认可后15个工作日内请款，乙方按照甲方审核后的金额，开具相应金额的增值税专用发票，由甲方于审核后次月30日前进行进度款支付</t>
  </si>
  <si>
    <t>公区精装修竣工验收完成，竣工后15个工作日内请款，乙方按照甲方审核后的金额，开具相应金额的增值税专用发票，由甲方于审核后次月30日前进行进度款支付</t>
  </si>
  <si>
    <t>结算完成后15个工作日内请款，乙方按照甲方审核后的金额，开具相应金额的增值税专用发票，由甲方于审核后次月30日前进行结算款支付</t>
  </si>
  <si>
    <t>配合完成产品创新研发工作，并经中国铁建房地产集团组织验收通过后 15 个工作日内请款，乙方按照甲方审定的金额，开具相应金额的增值税专用发票，由甲方于审核后次月30日前付款（此项如未发生则该笔金额不予支付）</t>
  </si>
  <si>
    <t>西安西派玺樾小区项目地库方案
深化设计委托合同</t>
  </si>
  <si>
    <t>CRCCRE-SJ-XM-2024-017</t>
  </si>
  <si>
    <t>地库57000㎡</t>
  </si>
  <si>
    <t>本合同签订并生效后，乙方提交设计方案经甲方确认后相应款项后 15 个工作日内请款，次月 30 日内甲方向乙方支付</t>
  </si>
  <si>
    <t>方案调整、修改完成经甲方确认后 15 个工作日内请款，次月 30 日内甲方向乙方支付</t>
  </si>
  <si>
    <t>方案通过政府相关审批（规划复函）后，经甲方确认后15 个工作日内请款，次月 30日内甲方向乙方支付</t>
  </si>
  <si>
    <t>本合同约定设计工作全部完成并经过甲方确认，并取得《建设工程规划许可证》 后15个工作日内请款，次月30日内甲方向乙方支付</t>
  </si>
  <si>
    <t>整体竣工验收完成后 15 个工作日内请款，次月 30日内甲方向乙方支付</t>
  </si>
  <si>
    <t>西安西派玺樾项目地下室 BIM 全专业建模技术服务合同</t>
  </si>
  <si>
    <t>CRCCRE-SJ-BIM-2024-002</t>
  </si>
  <si>
    <t>乙方提交第一版全专业调整 BIM 模型、图纸问题与调整问题报告并经甲方书面确认后 15 个工作日内请款</t>
  </si>
  <si>
    <t>乙方根据甲方优化后的施工图纸提交 BIM 咨询优化报告、完成 BIM 范围的交底工作并经甲方书面确认后 15 个工作日内请款</t>
  </si>
  <si>
    <t>完成设计变更的 BIM 模型更改，至项目竣工验收后双方办理结算后 15 个工作日内请款</t>
  </si>
  <si>
    <t>中国铁建·语澜溪项目建筑方案设计服务合同</t>
  </si>
  <si>
    <t>CRCCRE-SJ-XM-2024-022</t>
  </si>
  <si>
    <t>住宅110996㎡；配套公建4633㎡；地下38332㎡</t>
  </si>
  <si>
    <t>住宅18.5元/㎡；配套公建31元/㎡；地下7.5元/㎡</t>
  </si>
  <si>
    <t>中国铁建语澜溪项目景观方案至施工图设计委托合同</t>
  </si>
  <si>
    <t>CRCCRE-SJ-XM-2024-025</t>
  </si>
  <si>
    <t>笛东规划设计（北京）股份有限公司</t>
  </si>
  <si>
    <t>合同签订并提交第一版概念性方案并确认后15个工作日内请款，乙方按照甲方审核后的金额，开具相应金额的增值税专用发票，由甲方于审核后，次月30日前付款。</t>
  </si>
  <si>
    <t>中国铁建·语澜溪项目售楼处及架空层精装修硬装设计委托合同</t>
  </si>
  <si>
    <t>CECCRE-SJ-XM-2024-024</t>
  </si>
  <si>
    <t>精装（售楼处、架空层）</t>
  </si>
  <si>
    <t>售楼处547㎡；架空层200.3㎡</t>
  </si>
  <si>
    <t>售楼处1000元/㎡；架空层500元/㎡</t>
  </si>
  <si>
    <r>
      <rPr>
        <sz val="10"/>
        <color rgb="FF000000"/>
        <rFont val="宋体"/>
        <charset val="134"/>
      </rPr>
      <t>合同签订订并提交第一版概念性方案后 15 个工作日内请款</t>
    </r>
    <r>
      <rPr>
        <b/>
        <sz val="10"/>
        <color rgb="FF000000"/>
        <rFont val="宋体"/>
        <charset val="134"/>
      </rPr>
      <t>（售楼处）</t>
    </r>
  </si>
  <si>
    <r>
      <rPr>
        <sz val="10"/>
        <color rgb="FF000000"/>
        <rFont val="宋体"/>
        <charset val="134"/>
      </rPr>
      <t>合同签订订并提交第一版概念性方案后 15 个工作日内请款</t>
    </r>
    <r>
      <rPr>
        <b/>
        <sz val="10"/>
        <color rgb="FF000000"/>
        <rFont val="宋体"/>
        <charset val="134"/>
      </rPr>
      <t>（架空层）</t>
    </r>
  </si>
  <si>
    <r>
      <rPr>
        <sz val="10"/>
        <color rgb="FF000000"/>
        <rFont val="宋体"/>
        <charset val="134"/>
      </rPr>
      <t>完成展示区概念设计,提交成果并得到甲方认可后15个工作日内请款</t>
    </r>
    <r>
      <rPr>
        <b/>
        <sz val="10"/>
        <color rgb="FF000000"/>
        <rFont val="宋体"/>
        <charset val="134"/>
      </rPr>
      <t>（售楼处）</t>
    </r>
  </si>
  <si>
    <r>
      <rPr>
        <sz val="10"/>
        <color rgb="FF000000"/>
        <rFont val="宋体"/>
        <charset val="134"/>
      </rPr>
      <t>完成展示区概念设计,提交成果并得到甲方认可后15个工作日内请款</t>
    </r>
    <r>
      <rPr>
        <b/>
        <sz val="10"/>
        <color rgb="FF000000"/>
        <rFont val="宋体"/>
        <charset val="134"/>
      </rPr>
      <t>（架空层）</t>
    </r>
  </si>
  <si>
    <r>
      <rPr>
        <sz val="10"/>
        <color rgb="FF000000"/>
        <rFont val="宋体"/>
        <charset val="134"/>
      </rPr>
      <t>完成展示区方案扩初设计阶段最终成果，经甲方书面确认后15个工作日内请款</t>
    </r>
    <r>
      <rPr>
        <b/>
        <sz val="10"/>
        <color rgb="FF000000"/>
        <rFont val="宋体"/>
        <charset val="134"/>
      </rPr>
      <t>（售楼处）</t>
    </r>
  </si>
  <si>
    <r>
      <rPr>
        <sz val="10"/>
        <color rgb="FF000000"/>
        <rFont val="宋体"/>
        <charset val="134"/>
      </rPr>
      <t>完成展示区方案扩初设计阶段最终成果，经甲方书面确认后15个工作日内请款</t>
    </r>
    <r>
      <rPr>
        <b/>
        <sz val="10"/>
        <color rgb="FF000000"/>
        <rFont val="宋体"/>
        <charset val="134"/>
      </rPr>
      <t>（架空层</t>
    </r>
    <r>
      <rPr>
        <sz val="10"/>
        <color rgb="FF000000"/>
        <rFont val="宋体"/>
        <charset val="134"/>
      </rPr>
      <t>）</t>
    </r>
  </si>
  <si>
    <r>
      <rPr>
        <sz val="10"/>
        <color rgb="FF000000"/>
        <rFont val="宋体"/>
        <charset val="134"/>
      </rPr>
      <t>完成展示区精装施工图设计,提交成果并得到甲方认可后15个工作日内请款</t>
    </r>
    <r>
      <rPr>
        <b/>
        <sz val="10"/>
        <color rgb="FF000000"/>
        <rFont val="宋体"/>
        <charset val="134"/>
      </rPr>
      <t>（售楼处）</t>
    </r>
  </si>
  <si>
    <r>
      <rPr>
        <sz val="10"/>
        <color rgb="FF000000"/>
        <rFont val="宋体"/>
        <charset val="134"/>
      </rPr>
      <t>完成展示区精装施工图设计,提交成果并得到甲方认可后15个工作日内请款</t>
    </r>
    <r>
      <rPr>
        <b/>
        <sz val="10"/>
        <color rgb="FF000000"/>
        <rFont val="宋体"/>
        <charset val="134"/>
      </rPr>
      <t>（架空层）</t>
    </r>
  </si>
  <si>
    <t>展示区精装修竣工后办理结算，双方结算完成后15个工作日内请款</t>
  </si>
  <si>
    <t>中国铁建·语澜溪项目样板间精装方案及施工图设计服务合同</t>
  </si>
  <si>
    <t>CRCCRE-SJ-XM-2024-026</t>
  </si>
  <si>
    <t>334.8㎡</t>
  </si>
  <si>
    <t>1250元/㎡</t>
  </si>
  <si>
    <t>完成室内精装概念设计,提交成果并得到甲方书面确认后15个工作日内请款</t>
  </si>
  <si>
    <t>完成室内方案扩初设计阶段最终成果，经甲方书面确认后15个工作日内请款</t>
  </si>
  <si>
    <t>完成室内精装施工图设计,提交成果并得到甲方书面认可后15个工作日内请款</t>
  </si>
  <si>
    <t>竣工验收完成，双方办理结算，结算完成后15个工作日内请款</t>
  </si>
  <si>
    <t>中国铁建·花语澜溪项目公区及批量精装方案及施工图设计服务合同</t>
  </si>
  <si>
    <t>CRCCRE-SJ-XM-2024-023</t>
  </si>
  <si>
    <t>精装（公区及批量）</t>
  </si>
  <si>
    <t>会所200㎡；架空层复制588.70㎡；大堂创新135.20㎡；大堂复制382.07㎡；大堂套图803.84㎡；标准层创新15.2㎡；标准层复制18.70㎡；标准层套图54.4㎡；光厅复制123.07㎡；光厅套图142.92㎡；公共配套3495.15㎡</t>
  </si>
  <si>
    <t>会所600/㎡；架空层复制180/㎡；大堂创新420/㎡；大堂复制290/㎡；大堂套图200/㎡；标准层创新360/㎡；标准层复制270/㎡；标准层套图150/㎡；光厅复制180/㎡；光厅套图120/㎡；公共配套80/㎡</t>
  </si>
  <si>
    <r>
      <rPr>
        <sz val="10"/>
        <color rgb="FF000000"/>
        <rFont val="宋体"/>
        <charset val="134"/>
      </rPr>
      <t>合同签订并提交第一版概念性方案并经甲方书面确认后 15 个工作日内请款</t>
    </r>
    <r>
      <rPr>
        <b/>
        <sz val="10"/>
        <color rgb="FF000000"/>
        <rFont val="宋体"/>
        <charset val="134"/>
      </rPr>
      <t>(咖啡馆）</t>
    </r>
  </si>
  <si>
    <r>
      <rPr>
        <sz val="10"/>
        <color rgb="FF000000"/>
        <rFont val="宋体"/>
        <charset val="134"/>
      </rPr>
      <t>完成室内精装概念设计,提交成果并得到甲方书面确认后15个工作日内请款</t>
    </r>
    <r>
      <rPr>
        <b/>
        <sz val="10"/>
        <color rgb="FF000000"/>
        <rFont val="宋体"/>
        <charset val="134"/>
      </rPr>
      <t>(咖啡馆）</t>
    </r>
  </si>
  <si>
    <r>
      <rPr>
        <sz val="10"/>
        <color rgb="FF000000"/>
        <rFont val="宋体"/>
        <charset val="134"/>
      </rPr>
      <t>完成室内方案扩初设计阶段最终成果，经甲方书面确认后15个工作日内请款</t>
    </r>
    <r>
      <rPr>
        <b/>
        <sz val="10"/>
        <color rgb="FF000000"/>
        <rFont val="宋体"/>
        <charset val="134"/>
      </rPr>
      <t>(咖啡馆）</t>
    </r>
  </si>
  <si>
    <t>精装修竣工验收完成，双方办理结算，结算完成后15个工作日内请款</t>
  </si>
  <si>
    <t>西安西派和樾项目</t>
  </si>
  <si>
    <t>西安西派和樾项目地下室BIM全专业建模服务合同</t>
  </si>
  <si>
    <t>CRCCRE-SJ-BIM-2024-007</t>
  </si>
  <si>
    <t>地库57267.19㎡</t>
  </si>
  <si>
    <t>合同签订并提交地下车库及地下室BIM模型且经过甲方书面确认后15个工作日内请款，次月30日前付款。</t>
  </si>
  <si>
    <t>乙方根据甲方优化后的施工图纸提交BIM咨询优化报告、完成BIM咨询范围内的交底工作且经过甲方书面确认后15个工作日内请款，次月30日前付款。</t>
  </si>
  <si>
    <t>乙方根据施工进度提交设计变更的BIM模型更改至竣工验收完成，按照《建筑规划许可证》地下建筑面积进行结算后15个工作日内请款，次月30日前付款。</t>
  </si>
  <si>
    <t>西安井上村DK9地块项目（西派天麓）</t>
  </si>
  <si>
    <t>西派天麓项目
建筑方案设计委托合同</t>
  </si>
  <si>
    <t>CECCRE-SJ-XM-2024-027</t>
  </si>
  <si>
    <t>高层62487.97㎡；配套公建4711.97㎡；地下25091.08㎡</t>
  </si>
  <si>
    <t>高层18元/㎡；配套公建30元/㎡；地下8元/㎡</t>
  </si>
  <si>
    <t>西安DK9住宅（西派天麓项目）景观设计合同</t>
  </si>
  <si>
    <t>CRCCRE-SJ-XM-2024-045</t>
  </si>
  <si>
    <t>陌向（上海）景观设计有限公司</t>
  </si>
  <si>
    <t>合同签订并提交第一版概念性方案，经甲方确认后，次月30日前付款</t>
  </si>
  <si>
    <t>大区方案设计成果完成，经甲方确认后，次月30日前付款</t>
  </si>
  <si>
    <t>大区扩初设计成果完成，经甲方确认后，次月30日前付款</t>
  </si>
  <si>
    <t>大区施工图设计成果完成，经甲方确认后，次月30日前付款</t>
  </si>
  <si>
    <t>景观工程竣工验收合格，本合同办理完成结算后，次月30日前付款</t>
  </si>
  <si>
    <t>西派天麓项目室内精装方案及施工图设计服务合同</t>
  </si>
  <si>
    <t>CECCRE-SJ-XM-2024-028</t>
  </si>
  <si>
    <t>精装设计</t>
  </si>
  <si>
    <t>售楼处改造196.82㎡；样板间231.78㎡；大堂创新471.8㎡；标准层86.2㎡；大堂复制350.61㎡；地下电梯厅套图20.25㎡；光厅复制140.73㎡；电梯轿厢1个；配套公建2815㎡</t>
  </si>
  <si>
    <t>售楼处改造450元/㎡；样板间800元/㎡；大堂创新450元/㎡；标准层280元/㎡；大堂复制200元/㎡；地下电梯厅套图130元/㎡；光厅复制160元/㎡；电梯轿厢5000元/个；配套公建80元/㎡</t>
  </si>
  <si>
    <r>
      <rPr>
        <sz val="10"/>
        <color rgb="FF000000"/>
        <rFont val="宋体"/>
        <charset val="134"/>
      </rPr>
      <t>室内精装修竣工验收完成，竣工后15个工作日内请款</t>
    </r>
    <r>
      <rPr>
        <b/>
        <sz val="10"/>
        <color rgb="FF000000"/>
        <rFont val="宋体"/>
        <charset val="134"/>
      </rPr>
      <t>（展示区部分）</t>
    </r>
  </si>
  <si>
    <r>
      <rPr>
        <sz val="10"/>
        <color rgb="FF000000"/>
        <rFont val="宋体"/>
        <charset val="134"/>
      </rPr>
      <t>室内精装修竣工验收完成，竣工后15个工作日内请款</t>
    </r>
    <r>
      <rPr>
        <b/>
        <sz val="10"/>
        <color rgb="FF000000"/>
        <rFont val="宋体"/>
        <charset val="134"/>
      </rPr>
      <t>（公区部分）</t>
    </r>
  </si>
  <si>
    <t>室内精装修竣工验收完成，竣工后15个工作日内请款</t>
  </si>
  <si>
    <t>西派天麓项目地下室BIM全专业建模及技术服务合同</t>
  </si>
  <si>
    <t>CRCCRE-SJ-BIM-2024-004</t>
  </si>
  <si>
    <t>2.55元/㎡</t>
  </si>
  <si>
    <t>合同签订并提交BIM多维方案汇报成果，经甲方确认后15个工作日内请款，乙方按照甲方审核后的金额，开具相应金额的增值税专用发票，由甲方于审核后次月30日前进行进度款支付。</t>
  </si>
  <si>
    <t>乙方提交地下车库及地下室BIM模型且经过过甲方确认后15个工作日内请款，乙方按照甲方审核后的金额，开具相应金额的增值税专用发票，由甲方于审核后次月30日前进行进度款支付。</t>
  </si>
  <si>
    <t>项目竣工验收后双方办理结算，15个工作日内请款，乙方按照甲方审核后的金额，开具相应金额的增值税专用发票，由甲方于审核后次月30日前进行进度款支付。</t>
  </si>
  <si>
    <t>西安DK8住宅（西派天著项目）景观设计合同</t>
  </si>
  <si>
    <t>CRCCRE-SJ-XM-2024-048</t>
  </si>
  <si>
    <t>展示区6000㎡；大区59252.9㎡</t>
  </si>
  <si>
    <t>展示区57元/㎡；大区42.5元/㎡</t>
  </si>
  <si>
    <r>
      <rPr>
        <sz val="10"/>
        <color rgb="FF000000"/>
        <rFont val="宋体"/>
        <charset val="134"/>
      </rPr>
      <t>合同签订并提交第一版概念性方案，经甲方确认后，次月30日前付款。</t>
    </r>
    <r>
      <rPr>
        <b/>
        <sz val="10"/>
        <color rgb="FF000000"/>
        <rFont val="宋体"/>
        <charset val="134"/>
      </rPr>
      <t>（展示区）</t>
    </r>
  </si>
  <si>
    <r>
      <rPr>
        <sz val="10"/>
        <color rgb="FF000000"/>
        <rFont val="宋体"/>
        <charset val="134"/>
      </rPr>
      <t>方案设计成果完成，经甲方确认后，次月30日前付款。</t>
    </r>
    <r>
      <rPr>
        <b/>
        <sz val="10"/>
        <color rgb="FF000000"/>
        <rFont val="宋体"/>
        <charset val="134"/>
      </rPr>
      <t>（展示区）</t>
    </r>
  </si>
  <si>
    <r>
      <rPr>
        <sz val="10"/>
        <color rgb="FF000000"/>
        <rFont val="宋体"/>
        <charset val="134"/>
      </rPr>
      <t>扩初设计成果完成，经甲方确认后，次月30日前付款。</t>
    </r>
    <r>
      <rPr>
        <b/>
        <sz val="10"/>
        <color rgb="FF000000"/>
        <rFont val="宋体"/>
        <charset val="134"/>
      </rPr>
      <t>（展示区）</t>
    </r>
  </si>
  <si>
    <r>
      <rPr>
        <sz val="10"/>
        <color rgb="FF000000"/>
        <rFont val="宋体"/>
        <charset val="134"/>
      </rPr>
      <t>施工图设计成果完成，经甲方确认后，次月30日前付款。</t>
    </r>
    <r>
      <rPr>
        <b/>
        <sz val="10"/>
        <color rgb="FF000000"/>
        <rFont val="宋体"/>
        <charset val="134"/>
      </rPr>
      <t>（展示区）</t>
    </r>
  </si>
  <si>
    <r>
      <rPr>
        <sz val="10"/>
        <color rgb="FF000000"/>
        <rFont val="宋体"/>
        <charset val="134"/>
      </rPr>
      <t>景观工程竣工验收合格，本合同办理完成结算后，次月30日前付款。</t>
    </r>
    <r>
      <rPr>
        <b/>
        <sz val="10"/>
        <color rgb="FF000000"/>
        <rFont val="宋体"/>
        <charset val="134"/>
      </rPr>
      <t>（展示区）</t>
    </r>
  </si>
  <si>
    <r>
      <rPr>
        <sz val="10"/>
        <color rgb="FF000000"/>
        <rFont val="宋体"/>
        <charset val="134"/>
      </rPr>
      <t>合同签订并提交第一版概念性方案，经甲方确认后，次月30日前付款。</t>
    </r>
    <r>
      <rPr>
        <b/>
        <sz val="10"/>
        <color rgb="FF000000"/>
        <rFont val="宋体"/>
        <charset val="134"/>
      </rPr>
      <t>（大区）</t>
    </r>
  </si>
  <si>
    <r>
      <rPr>
        <sz val="10"/>
        <color rgb="FF000000"/>
        <rFont val="宋体"/>
        <charset val="134"/>
      </rPr>
      <t>方案设计成果完成，经甲方确认后，次月30日前付款。</t>
    </r>
    <r>
      <rPr>
        <b/>
        <sz val="10"/>
        <color rgb="FF000000"/>
        <rFont val="宋体"/>
        <charset val="134"/>
      </rPr>
      <t>（大区）</t>
    </r>
  </si>
  <si>
    <r>
      <rPr>
        <sz val="10"/>
        <color rgb="FF000000"/>
        <rFont val="宋体"/>
        <charset val="134"/>
      </rPr>
      <t>扩初设计成果完成，经甲方确认后，次月30日前付款。</t>
    </r>
    <r>
      <rPr>
        <b/>
        <sz val="10"/>
        <color rgb="FF000000"/>
        <rFont val="宋体"/>
        <charset val="134"/>
      </rPr>
      <t>（大区）</t>
    </r>
  </si>
  <si>
    <r>
      <rPr>
        <sz val="10"/>
        <color rgb="FF000000"/>
        <rFont val="宋体"/>
        <charset val="134"/>
      </rPr>
      <t>施工图设计成果完成，经甲方确认后，次月30日前付款。</t>
    </r>
    <r>
      <rPr>
        <b/>
        <sz val="10"/>
        <color rgb="FF000000"/>
        <rFont val="宋体"/>
        <charset val="134"/>
      </rPr>
      <t>（大区）</t>
    </r>
  </si>
  <si>
    <r>
      <rPr>
        <sz val="10"/>
        <color rgb="FF000000"/>
        <rFont val="宋体"/>
        <charset val="134"/>
      </rPr>
      <t>景观工程竣工验收合格，本合同办理完成结算后，次月30日前付款。</t>
    </r>
    <r>
      <rPr>
        <b/>
        <sz val="10"/>
        <color rgb="FF000000"/>
        <rFont val="宋体"/>
        <charset val="134"/>
      </rPr>
      <t>（大区）</t>
    </r>
  </si>
  <si>
    <t>西派天著项目
   样板间精装修硬装设计委托合同</t>
  </si>
  <si>
    <t>CRCCRE-SJ-XM-2024-039</t>
  </si>
  <si>
    <t>合同签订并提交第一版概念性方案并经甲方确定后 15 个工作日内请款</t>
  </si>
  <si>
    <t>样板间精装修竣工后办理结算，双方结算完成后15个工作日内请款</t>
  </si>
  <si>
    <t>西派天著项目住宅大区公区及配套公建
精装修设计合同</t>
  </si>
  <si>
    <t>CRCCRE-SJ-XM-2024-042</t>
  </si>
  <si>
    <t>完成大区方案扩初设计阶段最终成果，经甲方书面确认后15个工作日内请款</t>
  </si>
  <si>
    <t>大区精装修竣工验收完成，竣工后15个工作日内请款</t>
  </si>
  <si>
    <t>西安井上村DK8地块项目（商办）</t>
  </si>
  <si>
    <t>西安DK8商办（西派天峰中心项目）
景观设计合同</t>
  </si>
  <si>
    <t>CRCCRE-SJ-XM-2024-047</t>
  </si>
  <si>
    <r>
      <rPr>
        <sz val="10"/>
        <color rgb="FF000000"/>
        <rFont val="宋体"/>
        <charset val="134"/>
      </rPr>
      <t>合同签订并提交第一版概念性方案，经甲方确认后，</t>
    </r>
    <r>
      <rPr>
        <sz val="10.5"/>
        <color theme="1"/>
        <rFont val="仿宋"/>
        <charset val="134"/>
      </rPr>
      <t>次月30日前付款。</t>
    </r>
  </si>
  <si>
    <t>大区方案设计成果完成，经甲方确认后，次月30日前付款。</t>
  </si>
  <si>
    <t>大区扩初设计成果完成，经甲方确认后，次月30日前付款。</t>
  </si>
  <si>
    <t>大区施工图设计成果完成，经甲方确认后，次月30日前付款。</t>
  </si>
  <si>
    <t>景观工程竣工验收合格，本合同办理完成结算后，次月30日前付款。</t>
  </si>
  <si>
    <t>西派天峰中心项目售楼处精装修硬装设计委托合同</t>
  </si>
  <si>
    <t>CRCCRE-SJ-XM-2024-038</t>
  </si>
  <si>
    <t>精装（售楼处）</t>
  </si>
  <si>
    <t>深圳市布鲁盟室内设计有限公司</t>
  </si>
  <si>
    <t>900元/㎡</t>
  </si>
  <si>
    <t>合同签订并提交第一版概念性方案并经甲方认可后 15 个工作日内请款</t>
  </si>
  <si>
    <t>西派天峰中心项目交通咨询服务合同</t>
  </si>
  <si>
    <t>CRCCRE-SJ-XM-2024-041</t>
  </si>
  <si>
    <t>交通咨询</t>
  </si>
  <si>
    <t>弘达交通咨询（深圳）有限公司</t>
  </si>
  <si>
    <t>合同签订且乙方开展前期现场交通考察调研及项目交通分析预测工作后2个月内</t>
  </si>
  <si>
    <t>乙方提交《项目总体回顾和方案设计阶段的交通评议和优化建议》汇报文件初稿且经甲方确认后2个月内</t>
  </si>
  <si>
    <t>乙方提交《项目总体回顾和方案设计阶段的交通评议和优化建议》汇报文件终稿且经甲方确认后2个月内</t>
  </si>
  <si>
    <t>乙方提交《项目施工图设计阶段对内交通审核》汇报文件且经甲方确认后2个月内</t>
  </si>
  <si>
    <t>西安西派天峯中心项目（西安井上村DK9地块项目商办）</t>
  </si>
  <si>
    <t>西安DK9商办（西派天峯中心项目）
建筑方案设计委托合同</t>
  </si>
  <si>
    <t>CRCCRE-SJ-XM-2024-054</t>
  </si>
  <si>
    <t>商办26496.21㎡；配套1130.79㎡；地下11072.71㎡</t>
  </si>
  <si>
    <t>商办30；配套30；地下8</t>
  </si>
  <si>
    <t>合同签订并提交第一版概念性方案后15个工作日内请款，获得甲方认可后次月30日前付款</t>
  </si>
  <si>
    <t>方案调整、修改完成经甲方确认后，15个工作日内请款，获得甲方认可后次月30日前付款</t>
  </si>
  <si>
    <t>方案通过政府相关审批（规划复函）后15个工作日内请款，获得甲方认可后次月30日前付款</t>
  </si>
  <si>
    <t>项目总图、建筑单专业扩初设计图纸完成，并取得《规划许可证》后，获得甲方认可后15个工作日内请款，次月30日前付款</t>
  </si>
  <si>
    <t>西安DK9商办（西派天峯中心项目）室内精装方案及施工图设计服务合同</t>
  </si>
  <si>
    <t>CRCCRE-SJ-XM-2024-053</t>
  </si>
  <si>
    <t>完成室内精装概念设计,提交成果并得到甲方书面确认后15个工作日内请款，乙方按照甲方审核后的金额，开具相应金额的增值税专用发票，由甲方于审核后次月30日前进行进度款支付。</t>
  </si>
  <si>
    <t>完成室内方案扩初设计阶段最终成果，经甲方书面确认后15个工作日内请款，乙方按照甲方审核后的金额，开具相应金额的增值税专用发票，由甲方于审核后次月30日前进行进度款支付。</t>
  </si>
  <si>
    <t>完成室内精装施工图设计,提交成果并得到甲方书面认可后15个工作日内请款，乙方按照甲方审核后的金额，开具相应金额的增值税专用发票，由甲方于审核后次月30日前进行进度款支付。</t>
  </si>
  <si>
    <t>室内精装修竣工验收完成，竣工后15个工作日内请款，乙方按照甲方审核后的金额，开具相应金额的增值税专用发票，由甲方于审核后次月30日前进行进度款支付。</t>
  </si>
  <si>
    <t>西安DK9商办（西派天峯中心项目）
景观设计合同</t>
  </si>
  <si>
    <t>CRCCRE-SJ-XM-2024-046</t>
  </si>
  <si>
    <t>合同签订并提交第一版概念性方案，经甲方确认后</t>
  </si>
  <si>
    <t>中国铁建博悦项目
建筑方案设计委托合同</t>
  </si>
  <si>
    <t>CRCCRE-SJ-XM-2025-014</t>
  </si>
  <si>
    <t>配合施工完成，竣工验收完成后15个工作日内按照《规划许可证》建筑面积结算，次月30日内付款（备注：结算建筑面积依据《规划许可证》建筑面积按照集采协议10万㎡建筑面积临界值对应比例调整。）</t>
  </si>
  <si>
    <t>中国铁建博悦项目
景观方案至施工图设计委托合同</t>
  </si>
  <si>
    <t>CRCCRE-SJ-XM-2025-012</t>
  </si>
  <si>
    <t>中国铁建博悦项目
样板间精装修硬装设计委托合同</t>
  </si>
  <si>
    <t>CRCCRE-SJ-XM-2025-011</t>
  </si>
  <si>
    <t>精装设计（样板间）</t>
  </si>
  <si>
    <t>上海岳蒙设计有限公司</t>
  </si>
  <si>
    <t>合同签订并提交第一版概念性方案后 15 个工作日内请款，乙方按照甲方审核后的金额，开具相应金额的增值税专用发票，由甲方于审核后次月30日前进行进度款支付。</t>
  </si>
  <si>
    <t>完成样板间概念设计,提交成果并得到甲方认可后15个工作日内请款，乙方按照甲方审核后的金额，开具相应金额的增值税专用发票，由甲方于审核后次月30日前进行进度款支付。</t>
  </si>
  <si>
    <t>完成样板间方案扩初设计阶段最终成果，经甲方书面确认后15个工作日内请款，乙方按照甲方审核后的金额，开具相应金额的增值税专用发票，由甲方于审核后次月30日前进行进度款支付。</t>
  </si>
  <si>
    <t>完成样板间精装施工图设计,提交成果并得到甲方认可后15个工作日内请款，乙方按照甲方审核后的金额，开具相应金额的增值税专用发票，由甲方于审核后次月30日前进行进度款支付。</t>
  </si>
  <si>
    <t>样板间精装修竣工验收合格并结算完成后，15个工作日内请款，乙方按照甲方审核后的金额，开具相应金额的增值税专用发票，由甲方于审核后次月30日前进行进度款支付。</t>
  </si>
  <si>
    <t>中国铁建博悦项目
售楼处、公区及批量精装修硬装设计委托合同</t>
  </si>
  <si>
    <t>CRCCRE-SJ-XM-2025-013</t>
  </si>
  <si>
    <t>精装设计（复制售楼处、公区及批量）</t>
  </si>
  <si>
    <t>深圳市泛思特装饰工程有限公司</t>
  </si>
  <si>
    <t>完成精装概念设计,提交成果并得到甲方认可后15个工作日内请款，乙方按照甲方审核后的金额，开具相应金额的增值税专用发票，由甲方于审核后次月30日前进行进度款支付。</t>
  </si>
  <si>
    <t>完成精装方案扩初设计阶段最终成果，经甲方书面确认后15个工作日内请款，乙方按照甲方审核后的金额，开具相应金额的增值税专用发票，由甲方于审核后次月30日前进行进度款支付。</t>
  </si>
  <si>
    <t>精装修竣工验收合格且完成结算后，15个工作日内请款，乙方按照甲方审核后的金额，开具相应金额的增值税专用发票，由甲方于审核后次月30日前进行进度款支付。</t>
  </si>
  <si>
    <t>中国铁建博悦项目智能化设计委托合同</t>
  </si>
  <si>
    <t>CRCCRE-SJ-XM-2025-017</t>
  </si>
  <si>
    <t>深圳市麦驰物联股份有限公司</t>
  </si>
  <si>
    <t>0.9元/㎡</t>
  </si>
  <si>
    <t>智能化设计工作完成，提交全套智能化设计施工图并经过甲方确认，经相关机构审查通过（如有）后15个工作日内请款，次月30日前付款</t>
  </si>
  <si>
    <t>中国铁建博悦项目泛光照明、太阳能二次深化设计服务合同</t>
  </si>
  <si>
    <t>CRCCRE-SJ-XM-2025-037</t>
  </si>
  <si>
    <t>本合同签订生效，乙方提交泛光照明方案设计成果，甲方确认后15个工作日内请款，次月30日前甲方向乙方支付合同额的30％</t>
  </si>
  <si>
    <t>乙方提交施工图设计阶段成果并配合完成施工招标，甲方确认后15个工作日内请款，次月30日前甲方向乙方支付合同额的60％</t>
  </si>
  <si>
    <t>乙方配合施工服务，项目竣工验收完成，双方办理完结算手续，甲方确认后15个工作日内请款，次月30日前甲方向乙方支付至合同结算金额的100％</t>
  </si>
  <si>
    <t>广州海珠洛溪桥项目</t>
  </si>
  <si>
    <t>广州市海珠区洛溪桥西侧地块项目
景观方案至施工图设计委托合同</t>
  </si>
  <si>
    <t>CRCCRE-SJ-XM-2023-001</t>
  </si>
  <si>
    <t>景观设计（方案+施工图）</t>
  </si>
  <si>
    <t>展示区3990平米，大区9875平米</t>
  </si>
  <si>
    <t>展示区50元/平米，大区50万</t>
  </si>
  <si>
    <t>广州市海珠区洛溪桥西侧地块项目景观方案至施工图设计委托合同补充协议</t>
  </si>
  <si>
    <t>CRCCRE-SJ-XM-2023-001-B1</t>
  </si>
  <si>
    <t>方案设计成果确认后 15 个工作日内请款，乙方按照甲方审核后的金额，开具相应金额的增值税专用发票，由甲方于审核后，次月 30 日前付款，支付至补充协议暂定金额50%</t>
  </si>
  <si>
    <t>施工图设计成果确认后 15 个工作日内请款，乙方按照甲方审核后的金额，开具相应金额的增值税专用发票，由甲方于审核后，次月 30 日前付款，支付至补充协议暂定金额80%</t>
  </si>
  <si>
    <t>施工现场配合完成，并得到甲方认可后 15 个工作日内请款，乙方按照甲方审核后的金额，开具相应金额的增值税专用发票，由甲方于审核后，次月30日前付款，支付至补充协议暂定金额90%</t>
  </si>
  <si>
    <t>配合完成产品创新研发工作，并经中国铁建房地产集团组织验收通过后 15 个工作日内请款，次月 30 日前付款(此项如未发生则该笔金额不予支付)，支付至补充协议结算金额100%</t>
  </si>
  <si>
    <t>广州市海珠区洛溪桥西侧项目地下车库及地下室BIM全专业建模技术服务合同</t>
  </si>
  <si>
    <t>CRCCRE-SJ-BIM-2023-016</t>
  </si>
  <si>
    <t>内蒙古振兴数建科技有限公司</t>
  </si>
  <si>
    <t>建筑面积暂定14698.92㎡</t>
  </si>
  <si>
    <t>固定含税单价为：2.90元/㎡</t>
  </si>
  <si>
    <t>合同签订并提交第一版地下车库及地下室BIM模型且经过甲方书面确认后15个工作日内请款，次月30日前付款。 支付至暂估BIM咨询费的40%</t>
  </si>
  <si>
    <t>乙方根据甲方优化后的施工图纸提交BIM咨询优化报告、完成BIM咨询范围内的交底工作且经过甲方书面确认后15个工作日内请款，次月30日前付款。 支付至暂估BIM咨询费的95%</t>
  </si>
  <si>
    <t>乙方根据施工进度提交设计变更的BIM模型更改至竣工验收完成，按照《建筑规划许可证》地下建筑面积进行结算后15个工作日内请款，次月30日前付款。 支付至暂估BIM咨询费结算金额的100%</t>
  </si>
  <si>
    <t>广州市海珠区洛溪桥西侧地块项目精装修方案至施工图设计委托合同</t>
  </si>
  <si>
    <t>CRCCRE-SJ-XM-2023-006</t>
  </si>
  <si>
    <t>户型250、户型镜像110、公区200</t>
  </si>
  <si>
    <t>精装方案扩初设计完成，经甲方书面确认后15个工作日内请款，乙方按照甲方审核后的金额，开具相应金额的增值税专用发票，由甲方于审核后次月30日前进行进度款支付</t>
  </si>
  <si>
    <t>完成精装施工图设计,提交成果并得到甲方认可后15个工作日内请款，乙方按照甲方审核后的金额，开具相应金额的增值税专用发票，由甲方于审核后次月30日前进行进度款支付</t>
  </si>
  <si>
    <t>大区户内及公区精装修竣工后15个工作日内请款，乙方按照甲方审核后的金额，开具相应金额的增值税专用发票，由甲方于审核后次月30日前进行进度款支付</t>
  </si>
  <si>
    <t>设计总包结算完成后15个工作日内请款，乙方按照甲方审核后的金额，开具相应金额的增值税专用发票，由甲方于审核后次月30日前进行结算款支付</t>
  </si>
  <si>
    <t>广州市海珠区洛溪桥西侧地块项目
建筑方案设计委托合同</t>
  </si>
  <si>
    <t>CRCCRE-SJ-XM-2023-002</t>
  </si>
  <si>
    <t>高层32、配套公建45、地库11</t>
  </si>
  <si>
    <t>合同签订并提交第一版概念性方案且经过甲方及业主书面认可后15个工作日内请款，次月30日前付款</t>
  </si>
  <si>
    <t>方案调整、修改完成且经甲方确认后，15个工作日内请款，次月30日前付款</t>
  </si>
  <si>
    <t>配合施工完成，且整体工程竣工验收完成后15个工作日内按照《建设工程规划许可证》建筑面积结算，次月30日内付款</t>
  </si>
  <si>
    <t>江门蓬江区代建学校及社区文化中心项目
（滨江学校项目）</t>
  </si>
  <si>
    <t>江门市蓬江区代建滨江学校
结构设计优化咨询服务合同</t>
  </si>
  <si>
    <t>CRCCRE-SJ-GC-2021-004</t>
  </si>
  <si>
    <t>结构优化咨询</t>
  </si>
  <si>
    <t>中京方正（北京）工程技术有限公司</t>
  </si>
  <si>
    <t>105750（按规证面积结算）</t>
  </si>
  <si>
    <t>7元/平</t>
  </si>
  <si>
    <t>乙方完成招标版施工图结构优化（成果经甲方确认），且甲方收到本项目业主方（江门江湾南光投资发展有限公司）相应款项后</t>
  </si>
  <si>
    <t>乙方完成全部施工图结构优化，全部施工图设计成果通过相关政府部门审批获取施工图审查合格证且甲方收到本项目业主方（江门江湾南光投资发展有限公司）相应款项后</t>
  </si>
  <si>
    <t>（所有楼栋）结构封顶且甲方收到本项目业主方（江门江湾南光投资发展有限公司）相应款项后</t>
  </si>
  <si>
    <t>竣工验收完成且甲方收到本项目业主方（江门江湾南光投资发展有限公司）相应款项后（按规证面积结算）</t>
  </si>
  <si>
    <t>江门市蓬江区代建滨江学校
结构设计优化咨询服务合同补充协议</t>
  </si>
  <si>
    <t>CRCCRE-SJ-GC-2021-004-B1</t>
  </si>
  <si>
    <t>签订本补充协议后并提交招标版施工图结构优化（成果经甲方确认），且甲方收到本项目业主方（江门江湾南光投资发展有限公司）相应款项后15个工作日内请款，次月30日内甲方向乙方支付</t>
  </si>
  <si>
    <t>本项目（所有楼栋）结构封顶且甲方收到本项目业主方（江门江湾南光投资发展有限公司）相应款项后15个工作日内请款，次月30日内甲方向乙方支付</t>
  </si>
  <si>
    <t>竣工验收完成且甲方收到本项目业主方（江门江湾南光投资发展有限公司）相应款项后15个工作日内请款，次月30日内支付</t>
  </si>
  <si>
    <t>江门蓬江区文化中心项目剧场、音乐厅、工人会堂 专项设计咨询服务合同</t>
  </si>
  <si>
    <t>CRCCRE-SJ-GC-2022-007</t>
  </si>
  <si>
    <t>结构外委</t>
  </si>
  <si>
    <t>江门蓬江区代建学校及社区文化中心项目（范小+滨江+文化中心）</t>
  </si>
  <si>
    <t>江门市蓬江区代建工程项目
工程造价咨询服务合同</t>
  </si>
  <si>
    <t>CRCCRE-SJ-XM-2021-013</t>
  </si>
  <si>
    <t>造价咨询</t>
  </si>
  <si>
    <t>广东华审工程咨询有限公司</t>
  </si>
  <si>
    <t>乙方提交范罗冈小学概算成果文件报告，该报告经甲方确认，且范罗冈小学施工图设计成果通过相关政府部门审批</t>
  </si>
  <si>
    <t>乙方提交滨江学校概算成果文件报告，该报告经甲方确认，且滨江学校施工图设计成果通过相关政府部门审批</t>
  </si>
  <si>
    <t>成果未达预期，经协商按80%支付</t>
  </si>
  <si>
    <t>乙方提交中铁建代建社区文化中心概算成果文件报告，该报告经甲方确认，且中铁建代建社区文化中心施工图设计成果通过相关政府部门审批</t>
  </si>
  <si>
    <t>滨江学校项目基坑支护专项设计服务合同</t>
  </si>
  <si>
    <t>CRCCRE-SJ-XM-2021-003</t>
  </si>
  <si>
    <t>乙方提交本项目专项工作方案且甲方收到业主方相应款项后15个工作日内请款，次月30日内支付</t>
  </si>
  <si>
    <t>乙方完成基坑支护专项设计工作，经相关机构审查通过且甲方收到业主方相应款项后15个工作日内请款，次月30日内支付</t>
  </si>
  <si>
    <t>整体竣工验收完成，且甲方收到业主方相应款项后15个工作日内请款，次月30日内支付</t>
  </si>
  <si>
    <t>滨江学校项目基坑支护专项设计服务补充协议</t>
  </si>
  <si>
    <t>CRCCRE-SJ-XM-2021-003-B1</t>
  </si>
  <si>
    <r>
      <rPr>
        <sz val="10"/>
        <color rgb="FF000000"/>
        <rFont val="宋体"/>
        <charset val="134"/>
      </rPr>
      <t>江门蓬江区代建学校及社区文化中心项目
（范罗冈小学华盛校区项目）</t>
    </r>
    <r>
      <rPr>
        <sz val="10"/>
        <color rgb="FFFF0000"/>
        <rFont val="宋体"/>
        <charset val="134"/>
      </rPr>
      <t>（完结）</t>
    </r>
  </si>
  <si>
    <t>范罗冈小学华盛校区项目基坑支护专项设计服务合同</t>
  </si>
  <si>
    <t>CRCCRE-SJ-XM-2021-004</t>
  </si>
  <si>
    <r>
      <rPr>
        <sz val="10"/>
        <color rgb="FF000000"/>
        <rFont val="宋体"/>
        <charset val="134"/>
      </rPr>
      <t xml:space="preserve">温州市核心片区广化单元黄龙商贸城街坊一期地块建设项目
</t>
    </r>
    <r>
      <rPr>
        <sz val="10"/>
        <color rgb="FFFF0000"/>
        <rFont val="宋体"/>
        <charset val="134"/>
      </rPr>
      <t>（完结）</t>
    </r>
  </si>
  <si>
    <t>温州市核心片区广化单元黄龙商贸城街坊一期地块建设项目C-09、C-15地块BIM建模及管综优化服务</t>
  </si>
  <si>
    <t>CRCCRE-SJ-BIM-2021-007</t>
  </si>
  <si>
    <t>BIM建模及管综优化</t>
  </si>
  <si>
    <t>固定含税单价为：3.6元</t>
  </si>
  <si>
    <t>温州未来小学项目部
（完成）</t>
  </si>
  <si>
    <t>温州市核心片区广化单元黄龙商贸城一期C-14-2地块项目地下室BIM管综优化技术咨询服务合同</t>
  </si>
  <si>
    <t>CRCCRE-SJ-BIM-2023-001</t>
  </si>
  <si>
    <t>固定含税单价为：3元</t>
  </si>
  <si>
    <t>乙方提交地下室管线优化BIM模型及其优化报告并经甲方书面确认后</t>
  </si>
  <si>
    <t>宿州花语华府项目地下车库及地下楼座BIM建模技术服务合同</t>
  </si>
  <si>
    <t>CRCCRE-SJ-BIM-2023-051</t>
  </si>
  <si>
    <t>乙方提交第一版BIM模型及图纸问题报告且经过甲方书面确认后，30 个工作日内</t>
  </si>
  <si>
    <t>乙方根据甲方优化后的施工图纸，完成 BIM 管综咨询优化报告且经甲方书面确认后，30 个工作日内</t>
  </si>
  <si>
    <t>乙方提交 BIM 管综图纸、完成 BIM 范围的交底工作且经甲方书面确认后，30 个工作日内</t>
  </si>
  <si>
    <t>乙方跟踪项目进度,完成设计变更的BIM模型更改至项目取得竣工备案表后 15 个工作日内双方办理计价手续，次月支付剩余合同额</t>
  </si>
  <si>
    <t>天津市东丽区花语尚东项目</t>
  </si>
  <si>
    <t>天津市东丽区花语尚东项目地下车库及地下室 BIM全专业建模技术服务合同</t>
  </si>
  <si>
    <t>CRCCRE-SJ-BIM-2023-015</t>
  </si>
  <si>
    <t>固定含税单价为：2.8元</t>
  </si>
  <si>
    <t>乙方提交第一版地下车库及地下室BIM模型且经过甲方书面确认后双方办理计价手续，次月30个工作日内甲方向乙方支付当期服务费的40%;</t>
  </si>
  <si>
    <t>乙方根据甲方优化后的施工图纸提交 BIM咨询优化报告、完成 BIM 范围的交底工作目经过甲方书面确认后双方办理计价手续，次月30 个工作日内甲方向乙方支付当期服务费的50%;</t>
  </si>
  <si>
    <t>乙方跟踪项目进度，完成设计变更的BIM模型更改，至项目取得竣工备案表后次月30日内甲方向乙方支付当期服务费的 10%。</t>
  </si>
  <si>
    <t>天津市东丽区花语尚东项目（三期）地下车库及地下室BIM全专业建模技术服务合同</t>
  </si>
  <si>
    <t>CRCCRE-SJ-BIM-2023-056</t>
  </si>
  <si>
    <t>固定含税单价为：2.9元</t>
  </si>
  <si>
    <t>通马路交通枢纽项目</t>
  </si>
  <si>
    <t>通马路交通枢纽B区项目钢结构深化设计服务合同</t>
  </si>
  <si>
    <t>CRCCRE-SJ-BIM-2023-011</t>
  </si>
  <si>
    <t>天津璟祥建筑科技有限公司</t>
  </si>
  <si>
    <t>3500吨</t>
  </si>
  <si>
    <t>固定单价50元/吨</t>
  </si>
  <si>
    <t>结算金额：
75340元</t>
  </si>
  <si>
    <t>本合同约定的图纸范围内的所有构件现场安装完毕且无质量问题，甲方相关部门进行结算，结算经双方确认后30日内，支付剩余所有设计费用</t>
  </si>
  <si>
    <t>呈批件
直接付款</t>
  </si>
  <si>
    <t>西安德帮钢结构设计咨询有限公司</t>
  </si>
  <si>
    <t>呈批件直接付款</t>
  </si>
  <si>
    <t>潍坊佰森建筑科技有限公司</t>
  </si>
  <si>
    <t>通马路项目回款中（含工程、创作）只能借助游乐园项目付款，税率1%</t>
  </si>
  <si>
    <t>人大通州校医院运行中心项目钢结构深化设计服务合同</t>
  </si>
  <si>
    <t>CRCCRE-SJ-BIM-2023-012</t>
  </si>
  <si>
    <t>金地三维（北京）数字科技有限公司</t>
  </si>
  <si>
    <t>2800吨</t>
  </si>
  <si>
    <t>固定单价34元/吨</t>
  </si>
  <si>
    <t>通州人民大学食堂项目钢结构深化设计服务合同</t>
  </si>
  <si>
    <t>天津奥仕得商贸有限公司</t>
  </si>
  <si>
    <t>三一全球科创中心(1号楼等15项)施工总承包项目钢结构深化设计服务合同</t>
  </si>
  <si>
    <t>CRCCRE-SJ-BIM-2024-001</t>
  </si>
  <si>
    <t>4500吨</t>
  </si>
  <si>
    <t>固定单价34.8元/吨</t>
  </si>
  <si>
    <t>山东佰森建筑工程有限公司</t>
  </si>
  <si>
    <t>税率1%</t>
  </si>
  <si>
    <t>清华大学通州基地千人报告厅项目BIM建模及深化出图服务合同</t>
  </si>
  <si>
    <t>CRCCRE-SJ-BIM-2024-005</t>
  </si>
  <si>
    <t>石家庄琦博工程设计有限公司</t>
  </si>
  <si>
    <t>2950吨</t>
  </si>
  <si>
    <t>固定单价48.4元/吨</t>
  </si>
  <si>
    <t>进度款在乙方按照本协议约定履行合同义务并经甲方确认后，按季度计量支付，支付比例85%</t>
  </si>
  <si>
    <t>在乙方报送图纸完成，钢结构现场全部安装完成且主体结构验收通过后，双方办理结算，结算后30天内甲方支付乙方剩余15%的进度款</t>
  </si>
  <si>
    <t>扬中际华园项目概念性规划方案设计委托合同</t>
  </si>
  <si>
    <t>CRCCRE-SJ-CZ-2022-018</t>
  </si>
  <si>
    <t>概念方案</t>
  </si>
  <si>
    <t>上海日源建筑设计事务所（普通合伙）</t>
  </si>
  <si>
    <t>固定单价13.5</t>
  </si>
  <si>
    <t>合同签订，乙方提交第一版概念性方案经甲方审议通过并汇报政府后15个工作日内请款，次月30日前付款</t>
  </si>
  <si>
    <t>成本记在创二</t>
  </si>
  <si>
    <t>成本记在项目管理</t>
  </si>
  <si>
    <t>完成后续方案设计调整，提供完整的方案文本及各项技术资料，经甲方审议通过并汇报政府后，得到政府相关部门同意，具备成熟的上会条件后15个工作日内请款，次月30日前付款</t>
  </si>
  <si>
    <t>方案调整、修改完成，通过规划方案评审会（专家会、规委会）及通过政府审查后（规划复函）15个工作日内请款，次月30日前付款</t>
  </si>
  <si>
    <t>本项目单体报建完成、规划方案审图并取得工规证后15个工作日内请款，次月30日前付款</t>
  </si>
  <si>
    <t>竣工验收完成后15个工作日内按照《规划许可证》建筑面积结算，次月30日内付款</t>
  </si>
  <si>
    <t>滨江学校项目海绵城市咨询服务合同</t>
  </si>
  <si>
    <t>CRCCRE-SJ-XM-2021-006</t>
  </si>
  <si>
    <t>乙方完成海绵城市专项设计工作，经相关机构审查通过且甲方收到业主方相应款项后15个工作日内请款，次月30日内支付</t>
  </si>
  <si>
    <t>范罗冈小学华盛校区项目海绵城市咨询服务合同</t>
  </si>
  <si>
    <t>CRCCRE-SJ-XM-2021-007</t>
  </si>
  <si>
    <t>滨江学校项目人防工程专项设计合同</t>
  </si>
  <si>
    <t>CRCCRE-SJ-XM-2021-009</t>
  </si>
  <si>
    <t>21元/平（人防面积）</t>
  </si>
  <si>
    <t>乙方完成人防工程专项设计工作，经相关机构审查通过且甲方收到业主方相应款项后15个工作日内请款，次月30日内支付</t>
  </si>
  <si>
    <t>范罗冈小学华盛校区项目人防工程专项设计合同</t>
  </si>
  <si>
    <t>CRCCRE-SJ-XM-2021-010</t>
  </si>
  <si>
    <r>
      <rPr>
        <sz val="10"/>
        <color rgb="FF000000"/>
        <rFont val="宋体"/>
        <charset val="134"/>
      </rPr>
      <t>江门蓬江区代建学校及社区文化中心项目
（滨江学校项目）</t>
    </r>
    <r>
      <rPr>
        <sz val="10"/>
        <color rgb="FFFF0000"/>
        <rFont val="宋体"/>
        <charset val="134"/>
      </rPr>
      <t>（终止）</t>
    </r>
  </si>
  <si>
    <t>滨江学校项目夜景亮化专项设计服务合同</t>
  </si>
  <si>
    <t>CRCCRE-SJ-XM-2021-016</t>
  </si>
  <si>
    <t>乙方完成夜景亮化专项设计工作，经相关机构审查通过且甲方收到业主方相应款项后15个工作日内请款，次月30日内支付</t>
  </si>
  <si>
    <t>范罗冈小学华盛校区项目夜景亮化专项设计服务合同</t>
  </si>
  <si>
    <t>CRCCRE-SJ-XM-2021-015</t>
  </si>
  <si>
    <t>滨江学校项目智能化专项设计服务合同</t>
  </si>
  <si>
    <t>CRCCRE-SJ-XM-2021-012</t>
  </si>
  <si>
    <t>深圳达实智能股份有限公司</t>
  </si>
  <si>
    <t>提交智能化工作方案后且甲方收到本项目业主方相应款项后15个工作日内请款，经甲方确认乙方请款资料无误后，次月30日内甲方向乙方支付</t>
  </si>
  <si>
    <t>智能化专项设计服务合同</t>
  </si>
  <si>
    <t>设计工作完成并经过甲方确认后，经相关机构审查通过且甲方收到本项目业主方相应款项后15个工作日内请款，经甲方确认乙方请款资料无误后，次月30日内甲方向乙方支付；</t>
  </si>
  <si>
    <t>整体竣工验收完成，按照《规划许可证》本项面积进行结算，且甲方收到本项目业主方（相应款项后15个工作日内请款，经甲方确认乙方请款资料无误后，次月30日内甲方向乙方支。</t>
  </si>
  <si>
    <t>范罗冈小学华盛校区项目智能化设计服务合同</t>
  </si>
  <si>
    <t>CRCCRE-SJ-XM-2021-011</t>
  </si>
  <si>
    <t>范罗冈小学华盛校区项目市政道路专项设计服务合同</t>
  </si>
  <si>
    <t>CRCCRE-SJ-XM-2021-022</t>
  </si>
  <si>
    <t>江门市江海规划建筑设计院有限公司</t>
  </si>
  <si>
    <t>本合同签订，乙方提交本项目道路规划取得主管部门批复，且甲方收到本项目业主方（相应款项后15个工作日内请款，次月30日内甲方向乙方支付合同额的20％</t>
  </si>
  <si>
    <t>乙方完成道路施工图设计工作，经相关机构审查通过且甲方收到本项目业主方相应款项后15个工作日内请款，次月30日内甲方向乙方支付合同额的75％；</t>
  </si>
  <si>
    <t>整体竣工验收完成且甲方收到本项目业主方（江门江湾南光投资发展有限公司有限公司）相应款项后15个工作日内请款，次月30日内甲方向乙方支付合同额的5％。</t>
  </si>
  <si>
    <t>正定239-B地块项目</t>
  </si>
  <si>
    <t>CRCCRE-SJ-BIM-2021-009</t>
  </si>
  <si>
    <t>按照税率1%计价</t>
  </si>
  <si>
    <t>支付发票金额一部分</t>
  </si>
  <si>
    <t>太原武宿机场项目
（完成）</t>
  </si>
  <si>
    <t>太原武宿机场项目策划咨询顾问服务合同</t>
  </si>
  <si>
    <t>CRCCRE-SJ-CZ-2021-010</t>
  </si>
  <si>
    <t>策划咨询</t>
  </si>
  <si>
    <t>艾奕康环境规划设计（上海）有限公司</t>
  </si>
  <si>
    <t>结算金额50万元</t>
  </si>
  <si>
    <t>招投标</t>
  </si>
  <si>
    <t>完成第一阶段成果汇报并提供该阶段带水印的电子版汇报文件，得到甲方书面确认函之日后的10个工作日内；</t>
  </si>
  <si>
    <t>第二阶段付款：完成第二阶段成果汇报并提供该阶段带水印的电子版汇报文件，得到甲方书面确认函之日后的10个工作日内；</t>
  </si>
  <si>
    <t>完成最终成果验证或经甲方书面认可后的10个工作日内。</t>
  </si>
  <si>
    <t>负数计价</t>
  </si>
  <si>
    <t>西派樘樾小区项目
（完成）</t>
  </si>
  <si>
    <t>西安西派樘樾小区项目架空层及公区精装修方案及施工图设计委托合同</t>
  </si>
  <si>
    <t>CRCCRE-SJ-XM-2022-070</t>
  </si>
  <si>
    <t>精装方案及施工图设计</t>
  </si>
  <si>
    <t>展示区（样板间）精装</t>
  </si>
  <si>
    <r>
      <rPr>
        <sz val="10"/>
        <rFont val="宋体"/>
        <charset val="134"/>
      </rPr>
      <t>合同签订后15个工作日内请款，乙方按照甲方审核后的金额，开具相应金额的增值税专用发票，由甲方于审核后30日内进行进度款支付</t>
    </r>
    <r>
      <rPr>
        <sz val="10"/>
        <color theme="1"/>
        <rFont val="仿宋"/>
        <charset val="134"/>
      </rPr>
      <t>。</t>
    </r>
  </si>
  <si>
    <r>
      <rPr>
        <sz val="10"/>
        <rFont val="宋体"/>
        <charset val="134"/>
      </rPr>
      <t>完成展示区方案设计,提交成果并得到甲方认可后15个工作日内请款，乙方按照甲方审核后的金额，开具相应金额的增值税专用发票，由甲方于审核后30日内进行进度款支付</t>
    </r>
    <r>
      <rPr>
        <sz val="10"/>
        <color theme="1"/>
        <rFont val="仿宋"/>
        <charset val="134"/>
      </rPr>
      <t>。</t>
    </r>
  </si>
  <si>
    <r>
      <rPr>
        <sz val="10"/>
        <rFont val="宋体"/>
        <charset val="134"/>
      </rPr>
      <t>完成展示区方案扩初设计阶段最终成果，经甲方书面确认后15个工作日内请款，乙方按照甲方审核后的金额，开具相应金额的增值税专用发票，由甲方于审核后30日内进行进度款支付</t>
    </r>
    <r>
      <rPr>
        <sz val="10"/>
        <color theme="1"/>
        <rFont val="仿宋"/>
        <charset val="134"/>
      </rPr>
      <t>。</t>
    </r>
  </si>
  <si>
    <r>
      <rPr>
        <sz val="10"/>
        <rFont val="宋体"/>
        <charset val="134"/>
      </rPr>
      <t>完成展示区精装施工图设计,提交成果并得到甲方认可后15个工作日内请款，乙方按照甲方审核后的金额，开具相应金额的增值税专用发票，由甲方于审核后30日内进行进度款支付</t>
    </r>
    <r>
      <rPr>
        <sz val="10"/>
        <color theme="1"/>
        <rFont val="仿宋"/>
        <charset val="134"/>
      </rPr>
      <t>。</t>
    </r>
  </si>
  <si>
    <r>
      <rPr>
        <sz val="10"/>
        <rFont val="宋体"/>
        <charset val="134"/>
      </rPr>
      <t>展示区竣工后15个工作日内请款，乙方按照甲方审核后的金额，开具相应金额的增值税专用发票，由甲方于审核后30日内进行进度款支付</t>
    </r>
    <r>
      <rPr>
        <sz val="10"/>
        <color theme="1"/>
        <rFont val="仿宋"/>
        <charset val="134"/>
      </rPr>
      <t>。</t>
    </r>
  </si>
  <si>
    <t>大区架空层及公区精装</t>
  </si>
  <si>
    <r>
      <rPr>
        <sz val="10"/>
        <rFont val="宋体"/>
        <charset val="134"/>
      </rPr>
      <t>完成大区架空层及公区精装方案设计,提交成果并得到甲方认可后15个工作日内请款，乙方按照甲方审核后的金额，开具相应金额的增值税专用发票，由甲方于审核后30日内进行进度款支付</t>
    </r>
    <r>
      <rPr>
        <sz val="10"/>
        <color theme="1"/>
        <rFont val="仿宋"/>
        <charset val="134"/>
      </rPr>
      <t>。</t>
    </r>
  </si>
  <si>
    <r>
      <rPr>
        <sz val="10"/>
        <rFont val="宋体"/>
        <charset val="134"/>
      </rPr>
      <t>完成大区架空层及公区方案扩初设计阶段最终成果，经甲方书面确认后15个工作日内请款，乙方按照甲方审核后的金额，开具相应金额的增值税专用发票，由甲方于审核后30日内进行进度款支付</t>
    </r>
    <r>
      <rPr>
        <sz val="10"/>
        <color theme="1"/>
        <rFont val="仿宋"/>
        <charset val="134"/>
      </rPr>
      <t>。</t>
    </r>
  </si>
  <si>
    <r>
      <rPr>
        <sz val="10"/>
        <rFont val="宋体"/>
        <charset val="134"/>
      </rPr>
      <t>完成大区架空层及公区精装施工图设计,提交成果并得到甲方认可后15个工作日内请款，乙方按照甲方审核后的金额，开具相应金额的增值税专用发票，由甲方于审核后30日内进行进度款支付</t>
    </r>
    <r>
      <rPr>
        <sz val="10"/>
        <color theme="1"/>
        <rFont val="仿宋"/>
        <charset val="134"/>
      </rPr>
      <t>。</t>
    </r>
  </si>
  <si>
    <r>
      <rPr>
        <sz val="10"/>
        <rFont val="宋体"/>
        <charset val="134"/>
      </rPr>
      <t>工程通过竣工验收，设计人按照本合同设计内容和设计人责任的约定，完成此专项全部设计、配合、现场服务配合工作以及结算完成后15个工作日内请款，乙方按照甲方审核后的金额，开具相应金额的增值税专用发票，由甲方于审核后30日内进行结算款支付</t>
    </r>
    <r>
      <rPr>
        <sz val="10"/>
        <color theme="1"/>
        <rFont val="仿宋"/>
        <charset val="134"/>
      </rPr>
      <t>。</t>
    </r>
  </si>
  <si>
    <t>结算金额：1156325元（扣除招标代理费9634元，招标文件费800元）</t>
  </si>
  <si>
    <t>范罗冈小学华盛校区项目标识导视专项设计服务合同</t>
  </si>
  <si>
    <t>CRCCRE-SJ-XM-2021-030</t>
  </si>
  <si>
    <t>1、本合同签订，乙方提交本项目工作方案，且甲方收到本项目业主方（江门江湾南光投资发展有限公司）相应款项后15个工作日内请款，次月30日内甲方向乙方支付合同额的20％；</t>
  </si>
  <si>
    <t>2、乙方完成此专项标识导视施工图设计工作，经相关机构审查通过且甲方收到本项目业主方（江门江湾南光投资发展有限公司）相应款项后15个工作日内请款，次月30日内甲方向乙方支付合同额的60％；</t>
  </si>
  <si>
    <t>2022/9/</t>
  </si>
  <si>
    <t>3、整体竣工验收完成且甲方收到本项目业主方（江门江湾南光投资发展有限公司）相应款项后15个工作日内请款，按照《规划许可证》本项面积进行结算，次月30日内甲方向乙方支付合同额的20％。</t>
  </si>
  <si>
    <t>滨江学校项目
标识导视专项设计服务合同</t>
  </si>
  <si>
    <t>CRCCRE-SJ-XM-2021-029</t>
  </si>
  <si>
    <t>1、本合同签订，乙方提交本项目工作方案，且甲方收到本项目业主方（江门江湾南光投资发展有限公司）相应款项后15个工作日内请款，次月30日内甲方向乙方支付合同额的20％</t>
  </si>
  <si>
    <t>范罗冈小学华盛校区项目门窗、幕墙设计顾问服务合同</t>
  </si>
  <si>
    <t>CRCCRE-SJ-XM-2021-040</t>
  </si>
  <si>
    <t>门窗、幕墙</t>
  </si>
  <si>
    <t>广州世标工程咨询有限公司</t>
  </si>
  <si>
    <t>本合同签订后，乙方提交此专项工作方案后，且甲方收到本项目业主方（江门江湾南光投资发展有限公司）相应款项后15个工作日内请款，次月30日内甲方向乙方支付合同额的20％；</t>
  </si>
  <si>
    <t>乙方完成此专项设计工作，经相关机构审查通过，且甲方收到本项目业主方（江门江湾南光投资发展有限公司）相应款项后15个工作日内请款，次月30日内甲方向乙方支付合同额的60％；</t>
  </si>
  <si>
    <r>
      <rPr>
        <sz val="10"/>
        <color rgb="FF000000"/>
        <rFont val="宋体"/>
        <charset val="134"/>
      </rPr>
      <t>滨江学校项目
门窗、幕墙设计顾问服务合同</t>
    </r>
    <r>
      <rPr>
        <sz val="11"/>
        <color rgb="FF000000"/>
        <rFont val="宋体"/>
        <charset val="134"/>
      </rPr>
      <t xml:space="preserve">
</t>
    </r>
  </si>
  <si>
    <t>CRCCRE-SJ-XM-2021-041</t>
  </si>
  <si>
    <t>上海青浦赵巷项目</t>
  </si>
  <si>
    <t xml:space="preserve">
</t>
  </si>
  <si>
    <t>上海市青浦区赵巷镇置旺路东侧H4-04地块项目民防工程专项设计服务合同</t>
  </si>
  <si>
    <t>CRCCRE-SJ-XM-2021-020</t>
  </si>
  <si>
    <t>民防工程专项设计</t>
  </si>
  <si>
    <t>上海民防建筑研究设计院有限公司</t>
  </si>
  <si>
    <t>1、本合同签订，乙方提交本项目民防规划取得主管部门批复，且甲方收到本项目业主方（上海中铁京鑫房地产有限公司）相应款项后15个工作日内请款，次月30日内甲方向乙方支付合同额的20％；</t>
  </si>
  <si>
    <t>2、乙方完成民防施工图设计工作，经相关机构审查通过，取得施工图审查合格证且甲方收到本项目业主方（上海中铁京鑫房地产有限公司）相应款项后15个工作日内请款，次月30日内甲方向乙方支付合同额的60％；</t>
  </si>
  <si>
    <t>3、整体竣工验收完成且甲方收到本项目业主方（上海中铁京鑫房地产有限公司）相应款项后15个工作日内请款，次月30日内甲方向乙方支付合同额的20％。</t>
  </si>
  <si>
    <t>上海市青浦区赵巷镇置旺路东侧H4-04地块项目基坑围护专项设计服务合同</t>
  </si>
  <si>
    <t>CRCCRE-SJ-XM-2021-021</t>
  </si>
  <si>
    <t>基坑围护专项设计服务</t>
  </si>
  <si>
    <t>上海勘察设计研究院（集团）股份有限公司</t>
  </si>
  <si>
    <t>1、本合同签订，乙方提交本项目基坑围护专项设计方案，经相关机构审查通过且甲方收到本项目业主方（上海中铁京鑫房地产有限公司）相应款项后15个工作日内请款，次月30日内甲方向乙方支付合同额的30％；</t>
  </si>
  <si>
    <t>2、乙方完成基坑支护专项设计施工图，经甲方和相关机构审查通过且甲方收到本项目业主方（上海中铁京鑫房地产有限公司）相应款项后15个工作日内请款，次月30日内甲方向乙方支付合同额的60％；</t>
  </si>
  <si>
    <t>3、竣工验收完成后，且甲方收到本项目业主方（上海中铁京鑫房地产有限公司）相应款项后15个工作日内请款，次月30日内甲方向乙方支付合同额的10％。</t>
  </si>
  <si>
    <t>上海市青浦区赵巷镇置旺路东侧H4-04地块项目健康建筑建设工程设计委托合同</t>
  </si>
  <si>
    <t>CRCCRE-SJ-XM-2021-025</t>
  </si>
  <si>
    <t>上海中森建筑与工程设计顾问有限公司</t>
  </si>
  <si>
    <t>合同签订之日起15个工作日内请款，次月30日前付款，支付至施工图设计费的20%</t>
  </si>
  <si>
    <t>分次开票、支付1</t>
  </si>
  <si>
    <t>拿到第一个施工图图审合格证后15个工作日内请款，次月30日前付款，支付至施工图设计费的40%</t>
  </si>
  <si>
    <t>分次开票、支付2</t>
  </si>
  <si>
    <t>全部正式施工图（除红线范围内综合管线施工图）交付并通过政府或审图公司批复后15个工作日内请款，次月30日前付款，支付至施工图设计费的50%</t>
  </si>
  <si>
    <t>分次开票、支付3</t>
  </si>
  <si>
    <t>全专业图纸根据设计咨询、BIM等意见调整优化完毕后15个工作日内请款，次月30日前付款，支付至施工图设计费的70%</t>
  </si>
  <si>
    <t>红线范围内综合管线施工图交付后15个工作日内请款，次月30日前付款，支付至施工图设计费的85%</t>
  </si>
  <si>
    <t>计价富余下一次支付</t>
  </si>
  <si>
    <t>所有栋号结构封顶后15个工作日内请款，次月30日前付款，支付至施工图设计费的90%</t>
  </si>
  <si>
    <t>竣工验收完成后15个工作日内请款，次月30日前付款，支付至施工图设计费的100%</t>
  </si>
  <si>
    <t>海绵城市设计</t>
  </si>
  <si>
    <t>提交此专项工作方案并在甲方均审核通过后15个工作日内请款，次月30日内付款，支付至此专项设计费用的20%</t>
  </si>
  <si>
    <t>此专项设计成果完成并通过相关政府部门审批，并获取施工图审查合格证后15个工作日内请款，次月30日内付款，支付至此专项设计费用的80%</t>
  </si>
  <si>
    <t>竣工验收完成后15个工作日内请款，次月30日内付款，支付至此专项设计费用的100%</t>
  </si>
  <si>
    <t>绿建一星咨询</t>
  </si>
  <si>
    <t>PC专项</t>
  </si>
  <si>
    <t>提交此专项工作方案并在甲方均审核通过后15个工作日内请款，次月30日内付款，，支付至此专项设计费用的20%</t>
  </si>
  <si>
    <t>此专项设计成果完成并通过相关政府部门审批，并获取施工图审查合格证后15个工作日内请款，次月30日内付款，，支付至此专项设计费用的80%</t>
  </si>
  <si>
    <t>竣工验收完成后15个工作日内请款，次月30日内付款，，支付至此专项设计费用的100%</t>
  </si>
  <si>
    <t xml:space="preserve">
上海市青浦区赵巷镇青浦区赵巷镇置旺路东侧H4-04地块普通商品房项目
景观设计委托合同</t>
  </si>
  <si>
    <t>CRCCRE-SJ-XM-2021-026</t>
  </si>
  <si>
    <t>签订合同后15个工作日内请款，次月30日前付款，支付至景观设计费的15%</t>
  </si>
  <si>
    <t>完成项目方案设计并提交成果并经甲方书面确认之后15个工作日内请款，次月30日前付款，支付至景观设计费的20%</t>
  </si>
  <si>
    <t>完成项目施工图设计并提交成果并经甲方书面确认之后15个工作日内请款，次月30日前付款，支付至景观设计费的30%</t>
  </si>
  <si>
    <t>示范区竣工后15个工作日内请款，次月30日前付款，支付至景观设计费的35%</t>
  </si>
  <si>
    <t>完成项目概念设计并提交成果并经甲方书面确认之后15个工作日内请款，次月30日前付款，支付至景观设计费的40%</t>
  </si>
  <si>
    <t>完成项目方案设计并提交成果并经甲方书面确认之后15个工作日内请款，次月30日前付款，支付至景观设计费的60%</t>
  </si>
  <si>
    <t>支付计价金额一部分</t>
  </si>
  <si>
    <t>完成项目扩初设计并提交成果并经甲方书面确认之后15个工作日内请款，次月30日前付款，支付至景观设计费的70%</t>
  </si>
  <si>
    <t>完成项目施工图设计并提交成果并经甲方书面确认之后15个工作日内请款，次月30日前付款，支付至景观设计费的90%</t>
  </si>
  <si>
    <t>工程通过竣工验收，设计人按照本合同设计内容和设计人责任的约定，完成此专项全部设计、配合、现场服务配合工作后15个工作日内请款，次月30日前付款，支付至景观设计费的100%</t>
  </si>
  <si>
    <t>上海市青浦区赵巷镇置旺路东侧H4-04地块普通商品房项目精装设计委托合同</t>
  </si>
  <si>
    <t>CRCCRE-SJ-XM-2021-036</t>
  </si>
  <si>
    <t>上海栖丞室内设计工程有限公司</t>
  </si>
  <si>
    <t>完成方案设计并经甲方及政府部门书面审核通过后15个工作日内请款，次月30日前付款</t>
  </si>
  <si>
    <t>完成施工图扩初设计并经甲方及政府部门书面审核通过后15个工作日内请款，次月30日付款</t>
  </si>
  <si>
    <t>完成施工图设计并经甲方及政府部门书面审核通过后15个工作日内请款，次月30日付款</t>
  </si>
  <si>
    <t>施工图现场交底后15个工作日内请款，次月30日付款</t>
  </si>
  <si>
    <t>工程通过竣工验收，设计人按照本合同设计内容和设计人责任的约定，完成此合同全部设计、配合、现场服务配合工作后15个工作日内请款，次月30日付款</t>
  </si>
  <si>
    <t>青浦区赵巷镇置旺路东侧H4-04地块普通商品房项目幕墙设计顾问服务合同</t>
  </si>
  <si>
    <t>CRCCRE-SJ-XM-2021-053</t>
  </si>
  <si>
    <t>上海甫合幕墙设计咨询有限公司</t>
  </si>
  <si>
    <t>本合同签订后，乙方提交此专项工作方案后，且甲方收到本项目业主方（上海中铁京鑫房地产有限公司）相应款项后15个工作日内请款，次月30日内甲方向乙方支付合同额的20％；</t>
  </si>
  <si>
    <t>乙方完成此专项设计工作，经相关机构审查通过，且甲方收到本项目业主方（上海中铁京鑫房地产有限公司）相应款项后15个工作日内请款，次月30日内甲方向乙方支付合同额的60％；</t>
  </si>
  <si>
    <t>整体竣工验收完成且甲方收到本项目业主方（上海中铁京鑫房地产有限公司）相应款项后15个工作日内请款，次月30日内甲方向乙方支付合同额的20％。</t>
  </si>
  <si>
    <t>青浦区赵巷镇置旺路东侧H4-04地块普通商品房项目幕墙设计顾问服务合同补充协议</t>
  </si>
  <si>
    <t>CRCCRE-SJ-XM-2021-053-B1</t>
  </si>
  <si>
    <t>本补充协议签订完成后，乙方提交此专项工作方案后，且甲方收到本项目业主方（上海中铁京鑫房地产有限公司）相应款项后15个工作日内请款，次月30日内甲方向乙方支付补充协议金额的20％；</t>
  </si>
  <si>
    <t>乙方完成此专项设计工作，经审图机构审查通过，且甲方收到本项目业主方（上海中铁京鑫房地产有限公司）相应款项后15个工作日内请款，次月30日内甲方向乙方支付补充协议金额的60％；</t>
  </si>
  <si>
    <t>整体竣工验收完成且甲方收到本项目业主方（上海中铁京鑫房地产有限公司）相应款项后15个工作日内请款，次月30日内甲方向乙方支付补充协议金额的20％。</t>
  </si>
  <si>
    <t>青浦区赵巷镇置旺路东侧H4-04地块
普通商品房项目智能化专项设计服务合同</t>
  </si>
  <si>
    <t>CRCCRE-SJ-XM-2022-001</t>
  </si>
  <si>
    <t>浙江省广播电视服务公司</t>
  </si>
  <si>
    <t>本合同签订，提交智能化工作方案经甲方确认后且甲方收到本项目业主方（上海中铁京鑫房地产有限公司）相应款项后15个工作日内请款，次月30日内甲方向乙方支付合同额的20％；</t>
  </si>
  <si>
    <t>智能化设计工作完成并经过甲方确认后，经相关机构审查通过（如有）且甲方收到本项目业主方（上海中铁京鑫房地产有限公司）相应款项后15个工作日内请款，次月30日内甲方向乙方支付合同额的70％；</t>
  </si>
  <si>
    <t>整体竣工验收完成，且甲方收到本项目业主方（上海中铁京鑫房地产有限公司）相应款项后15个工作日内请款，次月30日内甲方向乙方支付合同额的10％。</t>
  </si>
  <si>
    <t>上海市青浦区赵巷镇置旺路东侧H4-04地块普通商品房项目调蓄池基坑围护专项设计服务合同</t>
  </si>
  <si>
    <t>CRCCRE-SJ-XM-2023-022</t>
  </si>
  <si>
    <t>调蓄池基坑支护</t>
  </si>
  <si>
    <t>上海昌发岩土工程勘察技术有限公司</t>
  </si>
  <si>
    <t>本合同签订生效，乙方完成基坑围护方案设计，通过基坑评审机构审查合格后，且甲方收到本项目业主方（上海中铁京鑫房地产有限公司）相应款项后15个工作日内请款，次月30日内，甲方向乙方支付合同额的30％</t>
  </si>
  <si>
    <t>乙方完成该专项施工图设计工作，经相关施工图审查机构审查通过且甲方收到本项目业主方（上海中铁京鑫房地产有限公司）相应款项后15个工作日内请款，次月30日内，甲方向乙方支付合同额的60％</t>
  </si>
  <si>
    <t>整体工程竣工验收完成且甲方收到本项目业主方（上海中铁京鑫房地产有限公司）相应款项后15个工作日内请款，次月30日内，甲方向乙方支付至合同结算金额的100％</t>
  </si>
  <si>
    <t>上海市青浦区赵巷镇置旺路东侧H4-04地块普通商品房项目小市政BIM全专业建模技术服务合同</t>
  </si>
  <si>
    <t>CRCCRE-SJ-BIM-2023-017</t>
  </si>
  <si>
    <t>建筑面积暂定38995.46㎡</t>
  </si>
  <si>
    <t>固定含税单价为：0.90元/㎡</t>
  </si>
  <si>
    <t>乙方提交第一版全专业调整BIM模型、图纸问题与调整问题报告并经甲方书面确认后15个工作日内请款，乙方按照甲方审核后的金额，开具相应金额的增值税专用发票，由甲方于审核后次月30日前进行进度款支付40%</t>
  </si>
  <si>
    <t>乙方根据甲方优化后的施工图纸提交BIM咨询优化报告、完成BIM范围的交底工作并经甲方书面确认后15个工作日内请款，乙方按照甲方审核后的金额，开具相应金额的增值税专用发票，由甲方于审核后次月30日前进行进度款支付55%</t>
  </si>
  <si>
    <t>完成设计变更的BIM模型更改，至项目竣工验收后双方办理结算。15个工作日内请款，乙方按照甲方审核后的金额，开具相应金额的增值税专用发票，由甲方于审核后次月30日前进行进度款支付5%</t>
  </si>
  <si>
    <t>中国铁建·贵阳铁建城项目交通专题研究技术服务合同</t>
  </si>
  <si>
    <t>CRCCRE-SJ-XM-2021-032</t>
  </si>
  <si>
    <t>上海济安交通工程咨询有限公司</t>
  </si>
  <si>
    <t>77.8公顷</t>
  </si>
  <si>
    <t>施工图单价：10.8元/100平米</t>
  </si>
  <si>
    <t>完成片区开发交通研究导则及对外交通研究分析（整体）并经甲方书面审核通过后15个工作日内</t>
  </si>
  <si>
    <t>完成总体及概念规划阶段的地块交通系统研究（低效A)并经甲方书面审核通过后15个工作日内</t>
  </si>
  <si>
    <t>单价：6340元/公顷</t>
  </si>
  <si>
    <t>完成总体及概念规划阶段的地块交通系统研究（低效B）并经甲方书面审核通过后15个工作日内</t>
  </si>
  <si>
    <t>完成施工图阶段的交通评估和施工图审核（低效A）并经甲方书面审核通过后15个工作日内</t>
  </si>
  <si>
    <t>方案单价：14元/100平米</t>
  </si>
  <si>
    <t>完成施工图阶段的交通评估和施工图审核（低效B)并经甲方书面审核通过后15个工作日内</t>
  </si>
  <si>
    <t>完成施工图阶段的交通评估和施工图审核（253地块）并经甲方书面审核通过后15个工作日内</t>
  </si>
  <si>
    <r>
      <rPr>
        <sz val="10"/>
        <color rgb="FF000000"/>
        <rFont val="宋体"/>
        <charset val="134"/>
        <scheme val="minor"/>
      </rPr>
      <t>中国铁建·贵州铁建城项目人工湖水生态</t>
    </r>
    <r>
      <rPr>
        <sz val="10"/>
        <color rgb="FF000000"/>
        <rFont val="宋体"/>
        <charset val="134"/>
        <scheme val="minor"/>
      </rPr>
      <t xml:space="preserve">
</t>
    </r>
    <r>
      <rPr>
        <sz val="10"/>
        <color rgb="FF000000"/>
        <rFont val="宋体"/>
        <charset val="134"/>
        <scheme val="minor"/>
      </rPr>
      <t>环境设计专题研究技术服务合同</t>
    </r>
  </si>
  <si>
    <t>CRCCRE-SJ-XM-2021-031</t>
  </si>
  <si>
    <t>中国水利水电科学研究院</t>
  </si>
  <si>
    <t>人工湖用地面积约为2.16万平米，湖容2.78万立方米</t>
  </si>
  <si>
    <t>完成人工湖基本参数建议及示意图、人工湖补水方案建议、人工湖水源供给方案建议并经甲方书面审核通过后15个工作日内</t>
  </si>
  <si>
    <t>完成人工湖水体循环方案建议及设备布置示意图、人工湖水质净化方案建议及示意图并经甲方书面审核通过后15个工作日内</t>
  </si>
  <si>
    <t>外委可以开票</t>
  </si>
  <si>
    <t>完成人工湖防洪排涝保障方案建议及示意图、人工湖应急补水方案建议并经甲方书面审核通过后15个工作日内</t>
  </si>
  <si>
    <t>完成人工湖防渗方案建议及示意图并经甲方书面审核通过后15个工作日内</t>
  </si>
  <si>
    <t>完成人工湖水源供给实施方案效果评价及优化建议并经甲方书面审核通过后15个工作日内</t>
  </si>
  <si>
    <t>水体循环、水质净化实施方案实际效果质量评价及优化建议并经甲方书面审核通过后15个工作日内</t>
  </si>
  <si>
    <t>完成人工湖防洪排涝保障实施方案评价及优化建议、人工湖应急补水方案评价及优化建议并经甲方书面审核通过后15个工作日内</t>
  </si>
  <si>
    <t>中国铁建·贵州铁建城项目可持续发展导则及绿建认证可行性分析顾问服务合同</t>
  </si>
  <si>
    <t>CRCCRE-SJ-XM-2021-037</t>
  </si>
  <si>
    <t>艾奕康设计与咨询（深圳）有限公司北京分公司</t>
  </si>
  <si>
    <t>总用地面积约77.8万平方米，可建设用地面积约56.04万平方米</t>
  </si>
  <si>
    <t>污水源热泵</t>
  </si>
  <si>
    <t>地缘热泵</t>
  </si>
  <si>
    <t>太阳能</t>
  </si>
  <si>
    <t>磷石膏等环保材料及资源的合理利用、废弃物管理</t>
  </si>
  <si>
    <t>苏州WG-42项目</t>
  </si>
  <si>
    <t>苏地2021-WG-42号地块项目建筑方案设计委托合同</t>
  </si>
  <si>
    <t>CRCCRE-SJ-XM-2021-044</t>
  </si>
  <si>
    <t>配合施工完成，并经苏州市相关部门验收后，竣工验收完成后15个工作日内请款次月30日内付款至合同金额的100%</t>
  </si>
  <si>
    <t>苏地2021-WG-42号地块项目施工图设计委托合同</t>
  </si>
  <si>
    <t>CRCCRE-SJ-XM-2021-045</t>
  </si>
  <si>
    <t>苏州建设（集团）规划建筑设计院有限责任公司</t>
  </si>
  <si>
    <t>苏地2021-WG-42号地块项目景观设计委托合同</t>
  </si>
  <si>
    <t>CRCCRE-SJ-XM-2021-046</t>
  </si>
  <si>
    <t>上海集塔景观建筑设计有限公司</t>
  </si>
  <si>
    <r>
      <rPr>
        <sz val="10.5"/>
        <color theme="1"/>
        <rFont val="宋体"/>
        <charset val="134"/>
        <scheme val="minor"/>
      </rPr>
      <t>示范区概念方案完成，并经甲方确认后</t>
    </r>
    <r>
      <rPr>
        <sz val="10.5"/>
        <color theme="1"/>
        <rFont val="宋体"/>
        <charset val="134"/>
        <scheme val="minor"/>
      </rPr>
      <t>15个工作日内请款，次月30日前付款</t>
    </r>
  </si>
  <si>
    <r>
      <rPr>
        <sz val="10.5"/>
        <color theme="1"/>
        <rFont val="宋体"/>
        <charset val="134"/>
        <scheme val="minor"/>
      </rPr>
      <t>示范区深化方案完成，并经甲方确认后</t>
    </r>
    <r>
      <rPr>
        <sz val="10.5"/>
        <color theme="1"/>
        <rFont val="宋体"/>
        <charset val="134"/>
        <scheme val="minor"/>
      </rPr>
      <t>15个工作日内请款，次月30日前付款</t>
    </r>
  </si>
  <si>
    <r>
      <rPr>
        <sz val="10.5"/>
        <color theme="1"/>
        <rFont val="宋体"/>
        <charset val="134"/>
        <scheme val="minor"/>
      </rPr>
      <t>示范区扩初设计完成，并经甲方确认后</t>
    </r>
    <r>
      <rPr>
        <sz val="10.5"/>
        <color theme="1"/>
        <rFont val="宋体"/>
        <charset val="134"/>
        <scheme val="minor"/>
      </rPr>
      <t>15个工作日内请款，次月30日前付款</t>
    </r>
  </si>
  <si>
    <r>
      <rPr>
        <sz val="10.5"/>
        <color theme="1"/>
        <rFont val="宋体"/>
        <charset val="134"/>
        <scheme val="minor"/>
      </rPr>
      <t>示范区施工图设计完成，并经甲方确认后</t>
    </r>
    <r>
      <rPr>
        <sz val="10.5"/>
        <color theme="1"/>
        <rFont val="宋体"/>
        <charset val="134"/>
        <scheme val="minor"/>
      </rPr>
      <t>15个工作日内请款，次月30日前付款</t>
    </r>
  </si>
  <si>
    <t>苏地2021-WG-42号地块项目景观设计委托合同补充协议</t>
  </si>
  <si>
    <t>CRCCRE-SJ-XM-2021-046-B1</t>
  </si>
  <si>
    <t>苏地2021-WG-42号地块项目批量精装设计委托合同</t>
  </si>
  <si>
    <t>CRCCRE-SJ-XM-2021-048</t>
  </si>
  <si>
    <t>苏州拓谷建筑工程有限公司</t>
  </si>
  <si>
    <t>完成全部施工图工作及样板间施工配合工作并经甲方书面确认后15个工作日内请款，次月30日前付款</t>
  </si>
  <si>
    <t>苏地2021-WG-42号地块项目批量精装设计委托合同补充协议</t>
  </si>
  <si>
    <t>CRCCRE-SJ-XM-2021-048-B1</t>
  </si>
  <si>
    <t>批量精装
（补充）</t>
  </si>
  <si>
    <t>本补充协议签订完成后，乙方提交本补充协议约定工作内容的方案设计，经甲方书面确认后，且甲方收到本项目业主方（苏州京兆房地产开发有限公司）相应款项后15个工作日内请款，次月30日内甲方向乙方支付补充协议金额的30%</t>
  </si>
  <si>
    <t>乙方完成本补充协议约定工作内容的施工图设计工作，经甲方书面确认后，且甲方收到本项目业主方（苏州京兆房地产开发有限公司）相应款项后15个工作日内请款，次月30日内甲方向乙方支付至补充协议金额的60％</t>
  </si>
  <si>
    <t>完成施工配合工作，并经甲方书面确认后，且甲方收到本项目业主方（苏州京兆房地产开发有限公司）相应款项后15个工作日内请款，次月30日内甲方向乙方支付至补充协议金额的90％</t>
  </si>
  <si>
    <t>工程通过竣工验收，经甲方确认办理结算手续，结算完成后且甲方收到本项目业主方（苏州京兆房地产开发有限公司）相应款项后15个工作日内请款，次月30日内甲方向乙方支付至补充协议结算金额的100％</t>
  </si>
  <si>
    <t>苏地2021-WG-42号地块项目售楼处精装设计委托合同</t>
  </si>
  <si>
    <t>CRCCRE-SJ-XM-2021-047</t>
  </si>
  <si>
    <t>售楼处精装</t>
  </si>
  <si>
    <t>深圳市零次方空间设计有限公司</t>
  </si>
  <si>
    <t>苏地2021-WG-42号地块项目1#～3#楼，5#～8# 楼，11#楼精装修硬装设计委托合同</t>
  </si>
  <si>
    <t>CRCCRE-SJ-XM-2024-062</t>
  </si>
  <si>
    <t>450元/平米，300元/平方米，80元/平米</t>
  </si>
  <si>
    <t>完成方案扩初设计阶段最终成果、材料选型，经甲方书面确认后 15个工作日内请款，乙方按照甲方审核后的金额，开具相应金额 的增值税专用发票，由甲方于审核后次月30日前进行进度款支付。</t>
  </si>
  <si>
    <t>苏地2021-WG-42号地块项目夜景亮化专项设计服务合同</t>
  </si>
  <si>
    <t>CRCCRE-SJ-XM-2022-005</t>
  </si>
  <si>
    <t>浙江华展工程研究设计院有限公司</t>
  </si>
  <si>
    <t>本合同签订，乙方提交本项目泛光照明设计方案取得主管部门批复，且甲方收到本项目业主方（苏州京兆房地产开发有限公司）相应款项后15个工作日内请款，次月30日内甲方向乙方支付合同额的20％；</t>
  </si>
  <si>
    <t>乙方完成泛光照明施工图设计工作，经相关机构审查通过且甲方收到本项目业主方（苏州京兆房地产开发有限公司）相应款项后15个工作日内请款，次月30日内甲方向乙方支付合同额的60％；</t>
  </si>
  <si>
    <t>整体项目竣工验收完成且甲方收到本项目业主方（苏州京兆房地产开发有限公司）相应款项后15个工作日内请款，次月30日内甲方向乙方支付合同额的20％。</t>
  </si>
  <si>
    <t>苏地2021-WG-42号地块项目基坑支护专项设计服务合同</t>
  </si>
  <si>
    <t>CRCCRE-SJ-XM-2022-008</t>
  </si>
  <si>
    <t>江苏建院营造股份有限公司</t>
  </si>
  <si>
    <t>本合同签订，乙方提交本项目基坑支护专项方案设计文件，经苏州市相城区住建局质安监站审查通过且甲方收到本项目业主方（苏州京兆房地产开发有限公司）相应款项后15个工作日内请款，次月30日内甲方向乙方支付合同额的20％；</t>
  </si>
  <si>
    <t>乙方完成该专项施工图设计工作，经相关施工图审查机构审查通过且甲方收到本项目业主方（苏州京兆房地产开发有限公司）相应款项后15个工作日内请款，次月30日内甲方向乙方支付合同额的60％；</t>
  </si>
  <si>
    <t>苏地2021-WG-42号地块项目BIM建模及管综优化服务合同</t>
  </si>
  <si>
    <t>CRCCRE-SJ-BIM-2022-002</t>
  </si>
  <si>
    <t>乙方提交第一版地下车库及地下室BIM模型且经过甲方确认后15个工作日内双方办理计价手续，按照建设工程规划许可证面积结算且支付设计费。</t>
  </si>
  <si>
    <t>乙方根据甲方优化后的施工图纸提交BIM咨询设计优化报告、完成BIM范围的交底工作、完成BIM二维出图且经过甲方确认后15个工作日内双方办理计价手续，按照建设工程规划许可证面积结算且支付设计费。</t>
  </si>
  <si>
    <t>2022/7//29</t>
  </si>
  <si>
    <t>苏地 2021-WG-42号地块项目(二、三期)园林小市政BIM 全专业建模合同</t>
  </si>
  <si>
    <t>CRCCRE-SJ-BIM-2025-002</t>
  </si>
  <si>
    <t>河北京奥工程技术咨询有限公司</t>
  </si>
  <si>
    <t>74573㎡</t>
  </si>
  <si>
    <t>乙方提交第一版全专业调整 BIM模型、图纸问题与调整问题报告并经甲方书面确认后15个工作日内请款，乙方按照甲方审核后的金额，开具相应金额的增值税专用发票由甲方于审核后次月30日前进行进度款支付。</t>
  </si>
  <si>
    <t>乙方根据甲方优化后的施工图纸提交 BIM 咨询优化报告完成BIM范围的交底工作并经甲方书面确认后15个工作日内请款，乙方按照甲方审核后的金额，开具相应金额的增值税专用发票，由甲方于审核后次月30日前进行进度款支付。</t>
  </si>
  <si>
    <t>完成设计变更的BIM模型更改，至项目竣工验收后双方办理结算。15个工作日内请款,乙方按照甲方审核后的金额,开具相应金额的增值税专用发票,由甲方于审核后次月30日前进行尾款支付。</t>
  </si>
  <si>
    <t>苏地2021-WG-42号地块项目园林小市政BIM全专业建模技术服务合同</t>
  </si>
  <si>
    <t>CRCCRE-SJ-BIM-2023-053</t>
  </si>
  <si>
    <t xml:space="preserve">第二次支付 乙方根据甲方优化后的施工图纸提交BIM咨询优化报告、完成BIM范围的交底工作并经甲方书面确认后15个工作日内请款，乙方按照甲方审核后的金额，开具相应金额的增值税专用发票，由甲方于审核后次月30日前进行进度款支付。
</t>
  </si>
  <si>
    <t>第三次支付 完成设计变更的BIM模型更改，至项目竣工验收后双方办理结算。15个工作日内请款，乙方按照甲方审核后的金额，开具相应金额的增值税专用发票，由甲方于审核后次月30日前进行进度款支付。</t>
  </si>
  <si>
    <t>兰草坝G(23)077号地块项目方案设计委托合同</t>
  </si>
  <si>
    <t>CRCCRE-SJ-CZ-2024-001</t>
  </si>
  <si>
    <t>建筑立面设计</t>
  </si>
  <si>
    <t>一期金额：1020183.55</t>
  </si>
  <si>
    <t>二期金额：896366.58</t>
  </si>
  <si>
    <t>三期金额：
180153.16</t>
  </si>
  <si>
    <t>四期金额：
201928.65</t>
  </si>
  <si>
    <t>研发</t>
  </si>
  <si>
    <t>配合完成产品创新研发工作，并经中国铁建房地产 集团组织验收通过后15个工作日内请款，次月30日前付款</t>
  </si>
  <si>
    <t>中国铁建贵阳兰草坝G(23)077号地块项目景观方案至施工图设计委托合同</t>
  </si>
  <si>
    <t>CRCCRE-SJ-XM-2024-013</t>
  </si>
  <si>
    <t>1234期首付款已完成
166258.64元</t>
  </si>
  <si>
    <t>完成1/2期概念方案15%
137002.93元</t>
  </si>
  <si>
    <t>完成1/2期方案20%
182670.58元</t>
  </si>
  <si>
    <t>完成1期施工图共计80%</t>
  </si>
  <si>
    <t>配合完成产品创新研发工作，并经中国铁建房地产集团组织验收通过后15个工作日内请款，由甲方于审核后次月30日前付款（此项如未发生则该笔金额不予支付）</t>
  </si>
  <si>
    <t>中国铁建贵阳兰草坝G(23)077号地块项目社区大堂(物业服务中心)精装设计方案至施工图设计合同</t>
  </si>
  <si>
    <t>CRCCRE-SJ-XM-2024-015</t>
  </si>
  <si>
    <t>精装
(物业服务中心)</t>
  </si>
  <si>
    <t>完成概念设计,提交成果并得到甲方书面确认后15个工作日内请款，乙方按照甲方审核后的金额，开具相应金额的增值税专用发票，由甲方于审核后次月30日前进行进度款支付。</t>
  </si>
  <si>
    <t>完成方案扩初设计阶段最终成果，经甲方书面确认后15个工作日内请款，乙方按照甲方审核后的金额，开具相应金额的增值税专用发票，由甲方于审核后次月30日前进行进度款支付。</t>
  </si>
  <si>
    <t>完成精装施工图设计,提交成果并得到甲方书面认可后15个工作日内请款，乙方按照甲方审核后的金额，开具相应金额的增值税专用发票，由甲方于审核后次月30日前进行进度款支付。</t>
  </si>
  <si>
    <t>兰草坝G(23)077号地块项目样板间及公共区域室内精装修设计委托合同</t>
  </si>
  <si>
    <t>CRCCRE-SJ-XM-2024-050</t>
  </si>
  <si>
    <t>精装
(批量精装)</t>
  </si>
  <si>
    <t>目前请款金额：347372.96元</t>
  </si>
  <si>
    <t>暂不付款</t>
  </si>
  <si>
    <t>贵阳阳明文旅城项目施工图设计合同</t>
  </si>
  <si>
    <t>CRCCRE-SJ-XM-2021-055</t>
  </si>
  <si>
    <t>航天建筑设计研究院有限公司</t>
  </si>
  <si>
    <t>40
41
42
43
地块项目施工图设计费用</t>
  </si>
  <si>
    <t>1．本合同签订后，甲方书面通知启动设计40个工作日内支付，本合同开始履行后抵作设计费。</t>
  </si>
  <si>
    <t>乙方配合概念方案及方案设计单位完成总图及建筑方案复核，并配合提交总图及建筑方案设计文件后40个工作日内</t>
  </si>
  <si>
    <t>乙方配合概念方案及方案设计单位提交总图和建筑方案报审设计文件并通过政府有关部门审查或甲方书面指示进行初步设计后40个工作日内</t>
  </si>
  <si>
    <t>乙方向甲方提交初步设计文件并经甲方确认后40个工作日内</t>
  </si>
  <si>
    <t>乙方提交初步设计文件并通过政府有关部门审查或甲方书面指示进行施工图设计后40个工作日内</t>
  </si>
  <si>
    <t>乙方向甲方提交施工图设计文件并经甲方书面确认后40个工作日内</t>
  </si>
  <si>
    <t>乙方提交的施工图报审设计文件通过政府有关部门审查或开始施工后40个工作日内</t>
  </si>
  <si>
    <t>工程竣工验收合格后且办理完竣工结算后40个工作日内</t>
  </si>
  <si>
    <t>合同签订后，甲方书面启动装配式设计方案40个工作日内，甲方支付装配式设计咨询费总额的</t>
  </si>
  <si>
    <t>经甲方及政府有关部门完成装配式建筑方案初评认定、评审后40个工作日内甲方支付装配式设计咨询费总额的</t>
  </si>
  <si>
    <t>乙方提交全部的装配式设计图纸后，在甲方确认40个工作日内，甲方支付装配式设计咨询费总额的</t>
  </si>
  <si>
    <t>项目首栋首层预制构件开始吊装之日起40个工作日内，甲方支付装配式设计咨询费总额的</t>
  </si>
  <si>
    <t>项目主体竣工验收之日起40个工作日内，甲方支付设计费总额的</t>
  </si>
  <si>
    <t>地下室人防施工图设计</t>
  </si>
  <si>
    <t>合同签订后，甲方书面启动地下室人防设计40个工作日内</t>
  </si>
  <si>
    <t>人防方案完成，并配合完成相关方案报审批复后40个工作日内</t>
  </si>
  <si>
    <t>人防施工图完成，并经人防审查合格后，获取审查合格证后40个工作日内</t>
  </si>
  <si>
    <t>本合同签订后40个工作日内支付，本合同开始履行后抵作设计费</t>
  </si>
  <si>
    <t>乙方完成全套方案设计成果并提交至甲方或政府相关部门审查通过，甲方收到乙方付款申请后，40个工作日内支付合同总额的</t>
  </si>
  <si>
    <t>乙方完成全套施工图设计成果并经甲方及政府相关部门审查通过并取得相关合格证后，甲方收到乙方付款申请后，40个工作日内支付合同总额</t>
  </si>
  <si>
    <t>工程竣工验收合格办理完成结算，并提供请款资料后40个工作日内</t>
  </si>
  <si>
    <t>绿色建筑设计</t>
  </si>
  <si>
    <t>本合同签订后40个工作日内支付，本合同开始履行后抵作设计费。乙方开展绿色建筑策划工作。在协议签订后10个工作日乙方完成绿色建筑策划方案编制，并协助甲方进行绿色建筑评价标识项目备案</t>
  </si>
  <si>
    <t>甲方收到乙方编制的绿色建筑标识申报资料，并收到乙方付款申请后，并提供请款资料后40个工作日内支付</t>
  </si>
  <si>
    <t>乙方代理申请本项目一星级绿色建筑标识，项目通过绿色建筑标识预评审会，乙方提交项目绿色建筑评价标识预评审意见后，并提供请款资料后40个工作日内支付</t>
  </si>
  <si>
    <t>工程竣工验收合格办理完成结算，并通过项目一星级绿色建筑评价标识现场认证，取得认证标识，并提供请款资料后40个工作日内支付</t>
  </si>
  <si>
    <t>苏地2021-WG-42号地块项目建筑节能优化设计咨询服务合同</t>
  </si>
  <si>
    <t>CRCCRE-SJ-XM-2022-010</t>
  </si>
  <si>
    <t>苏州硅电科技有限公司</t>
  </si>
  <si>
    <t>按照税率3%计价</t>
  </si>
  <si>
    <t>苏地2021-WG-42号地块项目门窗、幕墙设计顾问服务合同</t>
  </si>
  <si>
    <t>CRCCRE-SJ-XM-2022-071</t>
  </si>
  <si>
    <t>上海幕名工程设计有限公司</t>
  </si>
  <si>
    <t>本合同签订生效后，乙方提交此专项工作方案设计文件后并得到项目业主方（苏州京兆房地产开发有限公司）确认，且甲方收到本项目业主方（苏州京兆房地产开发有限公司）相应款项后15个工作日内请款，次月30日内甲方向乙方支付合同额的20％；</t>
  </si>
  <si>
    <t>乙方完成此专项工作施工图设计文件，经本项目业主方（苏州京兆房地产开发有限公司）确认，且甲方收到本项目业主方（苏州京兆房地产开发有限公司）相应款项后15个工作日内请款，次月30日内甲方向乙方支付合同额的60％；</t>
  </si>
  <si>
    <t>苏地2021-WG-42号地块项目整体竣工验收完成且甲方收到本项目业主方（苏州京兆房地产开发有限公司）相应款项后15个工作日内请款，次月30日内甲方向乙方支付合同额的20％。</t>
  </si>
  <si>
    <t>苏地2021-WG-42号地块项目标识标牌专项设计服务合同</t>
  </si>
  <si>
    <t>CRCCRE-SJ-XM-2022-023</t>
  </si>
  <si>
    <t>安徽见微知筑设计展示有限公司</t>
  </si>
  <si>
    <t>完成标准化设计提交设计图纸并经甲方审核通过且甲方收到本项目业主方相应款项后15个工作日内付款</t>
  </si>
  <si>
    <t>完成楼体标识设计提交设计图纸并经甲方审核通过且甲方收到本项目业主方相应款项后15个工作日内付款</t>
  </si>
  <si>
    <t>苏地2021-WG-42号地块项目智能化专项设计服务合同</t>
  </si>
  <si>
    <t>CRCCRE-SJ-XM-2022-009</t>
  </si>
  <si>
    <t>苏州明钧信息系统工程有限公司</t>
  </si>
  <si>
    <t>0.8 元/平方米</t>
  </si>
  <si>
    <t>苏地2021-WG-42号地块项目幕墙深化设计（屋顶格栅、一体化板、铝板）服务合同</t>
  </si>
  <si>
    <t>CRCCRE-SJ-XM-2023-008</t>
  </si>
  <si>
    <t>上海然铉建筑工程有限公司</t>
  </si>
  <si>
    <t>本合同签订生效后，乙方提交此专项工作深化方案后，甲方收到本项目业主方（苏州京兆房地产开发有限公司）相应款项后15个工作日内请款，次月30日前付款，向乙方支付合同额的20％</t>
  </si>
  <si>
    <t>乙方完成此专项设计深化工作，且甲方收到本项目业主方（苏州京兆房地产开发有限公司）相应款项后15个工作日内请款，次月30日前付款，向乙方支付合同额的 60％</t>
  </si>
  <si>
    <t>项目整体竣工验收完成，且甲方收到本项目业主方（苏州京兆房地产开发有限公司）相应款项后15个工作日内请款，次月30日前付款，向乙方支付至合同结算金额的100％</t>
  </si>
  <si>
    <t>苏州WG-50项目</t>
  </si>
  <si>
    <t>苏地2021-WG-50号地块项目建筑立面及售楼处方案设计委托合同</t>
  </si>
  <si>
    <t>CRCCRE-SJ-XM-2021-049</t>
  </si>
  <si>
    <t>建筑立面及售楼处方案</t>
  </si>
  <si>
    <r>
      <rPr>
        <sz val="10"/>
        <color theme="1"/>
        <rFont val="宋体"/>
        <charset val="134"/>
      </rPr>
      <t>乙方提交设计方案，经政府审批通过后15个工作日内请款，</t>
    </r>
    <r>
      <rPr>
        <sz val="10.5"/>
        <color theme="1"/>
        <rFont val="宋体"/>
        <charset val="134"/>
      </rPr>
      <t>次月30日前付款</t>
    </r>
  </si>
  <si>
    <r>
      <rPr>
        <sz val="10"/>
        <color theme="1"/>
        <rFont val="宋体"/>
        <charset val="134"/>
      </rPr>
      <t>乙方提交全部设计成果经政府审批通过且经甲方书面确认之日起15个工作日内</t>
    </r>
    <r>
      <rPr>
        <sz val="10.5"/>
        <color theme="1"/>
        <rFont val="宋体"/>
        <charset val="134"/>
      </rPr>
      <t>请款，次月30日前付款</t>
    </r>
  </si>
  <si>
    <r>
      <rPr>
        <sz val="10"/>
        <color theme="1"/>
        <rFont val="宋体"/>
        <charset val="134"/>
      </rPr>
      <t>取得《施工图图审合格证》之日起15个工作日</t>
    </r>
    <r>
      <rPr>
        <sz val="10.5"/>
        <color theme="1"/>
        <rFont val="宋体"/>
        <charset val="134"/>
      </rPr>
      <t>内请款，次月30日前付款</t>
    </r>
  </si>
  <si>
    <t>竣工验收完成后15个工作日内结算，次月30日前付款</t>
  </si>
  <si>
    <t xml:space="preserve">
苏地2021-WG-50号地块项目建筑施工图设计委托合同</t>
  </si>
  <si>
    <t>CRCCRE-SJ-XM-2021-050</t>
  </si>
  <si>
    <t>苏州科技大学设计研究院有限公司</t>
  </si>
  <si>
    <t>151831.46
（地上102852.54地下48978.92）</t>
  </si>
  <si>
    <t>实际单价在报价基础上打96折，优惠前
高层15，洋房18，公建配套25，非人防地库20，精装二次机电
设计2，PC拆分及深化6</t>
  </si>
  <si>
    <t>完成施工图扩初设计并经甲方确认后15个工作日内请款，次月30日前付款</t>
  </si>
  <si>
    <t>抗震审查通过、规划方案报批文本完成，经甲方确认且政府审批通过后 60 日内；</t>
  </si>
  <si>
    <t>取得规划许可证后 60 日内；</t>
  </si>
  <si>
    <t>施工图预会审完成后 60 日内；</t>
  </si>
  <si>
    <t>取得《施工图图审合格证》之日起15个工作日内请款，次月30日内付款</t>
  </si>
  <si>
    <t>施工图现场交底，并配合成本完成图纸转固，同时配合完成相关变更后 60 日内；</t>
  </si>
  <si>
    <t>配合完成所有现场变更，竣工图审核并加盖印章，竣工验收完成后15个工作日内请款，次月30日前付款</t>
  </si>
  <si>
    <t>进行设计合同结算；根据合作设计单位2022年度评估的结果，当评估结果为合格及以上时，向乙方支付预留设计费用，否则予以没收。</t>
  </si>
  <si>
    <t xml:space="preserve">
苏地2021-WG-50号地块项目景观设计委托合同</t>
  </si>
  <si>
    <t>CRCCRE-SJ-XM-2021-051</t>
  </si>
  <si>
    <t>苏州翰地景观设计咨询有限公司</t>
  </si>
  <si>
    <t>全区景观设计39839+市政景观4000</t>
  </si>
  <si>
    <t>全区景观设计25，市政景观5</t>
  </si>
  <si>
    <t>示范区1</t>
  </si>
  <si>
    <t>示范区2</t>
  </si>
  <si>
    <t>示范区3</t>
  </si>
  <si>
    <t>大区1</t>
  </si>
  <si>
    <t>大区2</t>
  </si>
  <si>
    <t>大区3</t>
  </si>
  <si>
    <t xml:space="preserve">
苏地2021-WG-50号地块项目精装设计委托合同</t>
  </si>
  <si>
    <t>CRCCRE-SJ-XM-2021-052</t>
  </si>
  <si>
    <t>中园生态发展（苏州）有限公司</t>
  </si>
  <si>
    <t>售楼处（施工图）300、户型样板房
（方案+施工图）1000、户型（施工图）350、公区地上部分
（方案+施工图）300、公区地上部分
（施工图）300、公区地下部分
（方案+施工图）300、公区地下部分
（施工图）200、配合报审30</t>
  </si>
  <si>
    <t>完成施工图设计并经甲方及政府部门书面审核通过后15个工作日内请款，次月30日前付款</t>
  </si>
  <si>
    <t>完成全部施工配合工作后15个工作日内请款，次月30日前付款</t>
  </si>
  <si>
    <t>苏地2021-WG-50号地块项目幕墙专项设计顾问服务合同</t>
  </si>
  <si>
    <t>CRCCRE-SJ-XM-2023-009</t>
  </si>
  <si>
    <t>门窗幕墙、栏杆、外立面涂料设计管理</t>
  </si>
  <si>
    <t>单价3.8元/㎡
固定总价</t>
  </si>
  <si>
    <t>本合同签订生效后，乙方提交此专项工作方案后，经甲方书面确认且甲方收到本项目业主方（苏州京宏房地产开发有限公司）相应款项后15个工作日内请款，次月30日前付款，向乙方支付合同额的20％</t>
  </si>
  <si>
    <t>建筑节能优化设计咨询服务合同</t>
  </si>
  <si>
    <t>乙方完成此专项设计顾问工作，经甲方书面确认且甲方收到本项目业主方（苏州京宏房地产开发有限公司）相应款项后15个工作日内请款，次月30日前付款，向乙方支付合同额的 60％</t>
  </si>
  <si>
    <t>项目整体竣工验收完成，且甲方收到本项目业主方（苏州京宏房地产开发有限公司）相应款项后15个工作日内请款，次月30日前付款，向乙方支付至合同结算金额的 100％</t>
  </si>
  <si>
    <t>要扣款，暂时先不付</t>
  </si>
  <si>
    <t>苏地2021-WG-50号地块项目建筑节能优化设计咨询服务合同</t>
  </si>
  <si>
    <t>CRCCRE-SJ-XM-2022-020</t>
  </si>
  <si>
    <t>建筑节能优化设计咨询管理</t>
  </si>
  <si>
    <t>提交此专项工作方案并在甲方均审核通过后15个工作日内请款，次月30日内付款</t>
  </si>
  <si>
    <t>获取施工图审图合格证，并提交保温深化图后，经甲方确认后15个工作日内请款，次月30日内付款</t>
  </si>
  <si>
    <t>苏地2021-WG-50号地块项目标识标牌专项设计服务合同</t>
  </si>
  <si>
    <t>CRCCRE-SJ-XM-2022-024</t>
  </si>
  <si>
    <t>标识标牌设计管理</t>
  </si>
  <si>
    <t>苏地2021-WG-50号地块项目
BIM建模及管综优化服务合同</t>
  </si>
  <si>
    <t>CRCCRE-SJ-BIM-2022-005</t>
  </si>
  <si>
    <t>北京榕昊建筑科技有限公司</t>
  </si>
  <si>
    <t>苏地2021-WG-50号地块项目智能化专项设计顾问服务合同</t>
  </si>
  <si>
    <t>CRCCRE-SJ-XM-2022-016</t>
  </si>
  <si>
    <t>苏州璟大电子工程有限公司</t>
  </si>
  <si>
    <t>1、本合同签订，乙方提交此专项工作方案后，且甲方收到本项目业主方（苏州京宏房地产开发有限公司）相应款项后15个工作日内请款，次月30日内甲方向乙方支付合同额的20％；</t>
  </si>
  <si>
    <t>2、乙方完成此专项设计顾问服务工作，经相关机构审查通过，且甲方收到本项目业主方（苏州京宏房地产开发有限公司）相应款项后15个工作日内请款，次月30日内甲方向乙方支付合同额的60％；</t>
  </si>
  <si>
    <t>3、整体工程竣工验收完成后办理结算，自甲方收到本项目业主方（苏州京宏房地产开发有限公司）相应款项后15个工作日内请款，次月30日内甲方向乙方支付合同额的20％。</t>
  </si>
  <si>
    <t>苏地2021-WG-50号地块项目
夜景亮化专项设计服务合同</t>
  </si>
  <si>
    <t>CRCCRE-SJ-XM-2022-015</t>
  </si>
  <si>
    <t>苏州皓月三千里城市建设有限公司</t>
  </si>
  <si>
    <t>建筑空间摄影</t>
  </si>
  <si>
    <t>建筑空间摄影服务合作协议</t>
  </si>
  <si>
    <t>CRCCRE-SJ-XM-2022-002</t>
  </si>
  <si>
    <t>建筑空间摄影服务</t>
  </si>
  <si>
    <t>拾间（北京）咨询有限公司</t>
  </si>
  <si>
    <t>项目管理中心
（其他成本）</t>
  </si>
  <si>
    <t>单个项目照片精修为22000元（含30张精修），超过30张的或项目选片不足30张的，均按700元/张收取；
单个视频项目为20000元（含60s视频），超出或不足60s的另行约定。</t>
  </si>
  <si>
    <t>据实结算</t>
  </si>
  <si>
    <t>1、完成中国铁建贵阳铁建城售楼处拍摄，成果为35张精修及30秒视频；
2、完成中国铁建阳明文旅城样板间拍摄，成果为15张精修及40秒视频；
完成中国铁建贵安花语墅二期拍摄，成果为20张精修及90秒视频。
（计价税率3%）</t>
  </si>
  <si>
    <t>1、完成遵义西派府售楼处拍摄，成果为30张精修及30秒视频；
2、完成遵义西派府高层/洋房拍摄，成果为30张精修；
3、完成天津花语津郡拍摄，成果为30张精修；
4、完成长春西派府拍摄，成果为33张精修。（计价税率3%）</t>
  </si>
  <si>
    <t>1、完成江门范罗岗小学及滨江学校拍摄，成果为40张精修；
2、完成佛山领秀公馆、南沙海语熙岸拍摄，成果为50张精修；
3、完成北京山屿西山著拍摄，成果为30张精修。（计价税率3%）</t>
  </si>
  <si>
    <t>合同结算金额459000元</t>
  </si>
  <si>
    <t>苏州车坊项目</t>
  </si>
  <si>
    <t>苏地2022-WG-8号地块项目
建筑施工图设计委托合同</t>
  </si>
  <si>
    <t>CRCCRE-SJ-XM-2022-022</t>
  </si>
  <si>
    <t>启迪设计集团股份有限公司</t>
  </si>
  <si>
    <t>苏地2022-WG-8号地块项目
建筑施工图设计委托合同补充协议</t>
  </si>
  <si>
    <t>CRCCRE-SJ-XM-2022-022-B1</t>
  </si>
  <si>
    <t>苏地2022-WG-8号地项目项目
景观设计委托合同</t>
  </si>
  <si>
    <t>CRCCRE-SJ-XM-2022-021</t>
  </si>
  <si>
    <t>浙江安道设计股份有限公司</t>
  </si>
  <si>
    <t>苏地2022-WG-8号地块项目精装设计委托合同</t>
  </si>
  <si>
    <t>CRCCRE-SJ-XM-2022-026</t>
  </si>
  <si>
    <t>苏州叠隐空间设计有限公司</t>
  </si>
  <si>
    <t>苏地2022-WG-8号售楼处精装设计项目精装修硬装设计委托合同</t>
  </si>
  <si>
    <t>CRCCRE-SJ-XM-2023-026</t>
  </si>
  <si>
    <t>合同签订并提交第一版概念性方案后 15 个工作日内请款，乙方按照甲方审核后的金额，开具相应金额的增值税专用发票，由甲方于审核后次月30日前进行进度款支付，支付至合同暂定 金额的 15%</t>
  </si>
  <si>
    <t>完成展示区概念设计,提交成果并得到甲方书面认可后15个工作日内请款，乙方按照甲方审核后的金额，开具相应金额的增值税专用发票，由甲方于审核后次月30日前进行进度款支付，支付至合同暂定 金额的 40%</t>
  </si>
  <si>
    <t xml:space="preserve">完成展示区方案扩初设计阶段最终成果，经甲方书面确认后15个工作日内请款，乙方按照甲方审核后的金额，开具相应金额的增值税专用发票，由甲方于审核后次月30日前进行进度款支付，支付至合同暂定 金额的 50%；
</t>
  </si>
  <si>
    <t>完成展示区精装施工图设计,提交成果并得到甲方书面认可后15个工作日内请款，乙方按照甲方审核后的金额，开具相应金额的增值税专用发票，由甲方于审核后次月30日前进行进度款支付，支付至合同暂定 金额的 80%；</t>
  </si>
  <si>
    <t>展示区精装修竣工后15个工作日内请款，乙方按照甲方审核后的金额，开具相应金额的增值税专用发票，由甲方于审核后次月30日前进行进度款支付，支付至合同暂定 金额的 85%；</t>
  </si>
  <si>
    <t>结算完成，后15个工作日内请款，乙方按照甲方审核后的金额，开具相应金额的增值税专用发票，由甲方于审核后次月30日前进行结算款支付，支付至合同结算 金额的 90%；</t>
  </si>
  <si>
    <t>配合完成产品创新研发工作，并经中国铁建房地产集团组织验收通过后 15 个工作日内请款，由甲方于审核后次月30日前付款（此项如未发生则该笔金额不予支付），支付至合同结算 金额的 100%。</t>
  </si>
  <si>
    <t xml:space="preserve">苏州2022-WG-8号地块项目BIM咨询
服务合同
</t>
  </si>
  <si>
    <t>CRCCRE-SJ-BIM-2022-011</t>
  </si>
  <si>
    <t>地下管线综合建筑面积暂定39999.88 m2；园林小市政建筑面积暂定45550.05</t>
  </si>
  <si>
    <t>地下管线综合单价为：3.0元/m2；园林小市政建筑固定含税单价为：1.0元/m2</t>
  </si>
  <si>
    <t>本合同签订生效且乙方提交了相应金额的增值税专用发票后</t>
  </si>
  <si>
    <t>乙方根据甲方优化后的施工图纸提交地库BIM咨询设计优化报告、完成地库BIM范围的交底工作、完成地库BIM二维出图且经过甲方确认后15个工作日内双方办理计价手续，按照建设工程规划许可证面积结算且支付设计费。</t>
  </si>
  <si>
    <t>乙方根据甲方优化后的施工图纸提交小市政BIM咨询设计优化报告、完成小市政BIM范围的交底工作、完成小市政BIM二维出图且经过甲方确认后15个工作日内双方办理计价手续，按照建设工程规划许可证面积结算且支付设计费。</t>
  </si>
  <si>
    <t>因小规模纳税人税率调整至1%计价冲销</t>
  </si>
  <si>
    <t>按1%重新计价，完成工作量按50%比例折减</t>
  </si>
  <si>
    <t>按3%重新计价</t>
  </si>
  <si>
    <t>苏地2022-WG-8号地块项目夜景亮化专项设计服务
合同</t>
  </si>
  <si>
    <t>CRCCRE-SJ-XM-2022-029</t>
  </si>
  <si>
    <t>本合同签订，乙方提交本项目泛光照明设计方案取得主管部门批复，且甲方收到本项目业主方（苏州京发房地产开发有限公司）相应款项后15个工作日内请款，次月30日内甲方向乙方支付合同额的20％；</t>
  </si>
  <si>
    <t xml:space="preserve">苏地2022-WG-8号地块项目建筑节能优化设计咨询服务合同
</t>
  </si>
  <si>
    <t>CRCCRE-SJ-XM-2022-032</t>
  </si>
  <si>
    <t>完成前期优化成果汇报后并在乙方前期优化成果经甲方审核通过且甲方收到本项目业主方（苏州京发房地产开发有限公司）相应款项后15个工作日内请款，次月30日内付款</t>
  </si>
  <si>
    <t>小规模税点3%</t>
  </si>
  <si>
    <r>
      <rPr>
        <sz val="10"/>
        <color rgb="FF000000"/>
        <rFont val="宋体"/>
        <charset val="134"/>
      </rPr>
      <t>乙方完成现场服务工作且整体项目竣工验收完成且甲方收到本项目业主方（苏州京发房地产开发有限公司）相应款项后</t>
    </r>
    <r>
      <rPr>
        <sz val="10"/>
        <color rgb="FF000000"/>
        <rFont val="宋体"/>
        <charset val="134"/>
        <scheme val="minor"/>
      </rPr>
      <t>15</t>
    </r>
    <r>
      <rPr>
        <sz val="10"/>
        <color rgb="FF000000"/>
        <rFont val="宋体"/>
        <charset val="134"/>
        <scheme val="minor"/>
      </rPr>
      <t>个工作日内请款，次月</t>
    </r>
    <r>
      <rPr>
        <sz val="10"/>
        <color rgb="FF000000"/>
        <rFont val="宋体"/>
        <charset val="134"/>
        <scheme val="minor"/>
      </rPr>
      <t>30</t>
    </r>
    <r>
      <rPr>
        <sz val="10"/>
        <color rgb="FF000000"/>
        <rFont val="宋体"/>
        <charset val="134"/>
        <scheme val="minor"/>
      </rPr>
      <t>日内付款</t>
    </r>
  </si>
  <si>
    <t>苏地2022-WG-8号地块项目门窗拉杆幕墙等外立面设计顾问服务合同</t>
  </si>
  <si>
    <t>CRCCRE-SJ-XM-2022-033</t>
  </si>
  <si>
    <t>本合同签订生效后，乙方提交此专项工作方案设计文件后并得到项目业主方（苏州京发房地产开发有限公司）确认，且甲方收到本项目业主方（苏州京发房地产开发有限公司）相应款项后15个工作日内请款，次月30日内甲方向乙方支付合同额的20％；</t>
  </si>
  <si>
    <t>苏地2022-WG-8号地块项目
标识标牌专项设计服务合同</t>
  </si>
  <si>
    <t>CRCCRE-SJ-XM-2022-047</t>
  </si>
  <si>
    <t>苏地2022-WG-8号地块项目智能化专项设计顾问服务合同</t>
  </si>
  <si>
    <t>CRCCRE-SJ-XM-2022-028</t>
  </si>
  <si>
    <t>本合同签订，乙方提交此专项工作方案乙方提交智能化专项方案设计且得到甲方确认后，且甲方收到本项目业主方（苏州京发房地产开发有限公司）相应款项后15个工作日内请款，次月30日内甲方向乙方支付合同额的20％；</t>
  </si>
  <si>
    <t>苏地2022-WG-8号地块项目
地库建筑方案设计委托合同</t>
  </si>
  <si>
    <t>CRCCRE-SJ-CZ-2022-017</t>
  </si>
  <si>
    <t>地库深化</t>
  </si>
  <si>
    <t>江苏浩森建筑设计有限公司</t>
  </si>
  <si>
    <t>固定单价
7元/平米</t>
  </si>
  <si>
    <t>本合同签订并生效后，乙方提交设计方案经甲方确认后且甲方收到本项目业主方苏州京发房地产开发有限公司相应款项后15个工作日内请款，次月30日内甲方向乙方支付合同额的20％；</t>
  </si>
  <si>
    <t>本合同约定设计工作全部完成并经过甲方确认后，经相关机构审查通过且甲方收到本项目业主方苏州京发房地产开发有限公司相应款项后15个工作日内请款，次月30日内甲方向乙方支付合同额的60％；</t>
  </si>
  <si>
    <t>整体竣工验收完成，且甲方收到本项目业主方苏州京发房地产开发有限公司相应款项后15个工作日内请款，次月30日内甲方向乙方支付合同额的20％。</t>
  </si>
  <si>
    <t>苏地2022-WG-8号地块项目售楼处建筑方案设计委托合同</t>
  </si>
  <si>
    <t>CRCCRE-SJ-XM-2023-011</t>
  </si>
  <si>
    <t>售楼处方案设计</t>
  </si>
  <si>
    <t>项目建筑单专业扩初设计图纸完成，并取得政府规划方案审批通过后，15个工作日内请款，次月30日前付款</t>
  </si>
  <si>
    <t>配合施工图完成，并通过图审后15个工作日内请款，次月30日前付款</t>
  </si>
  <si>
    <t>配合施工完成，竣工验收完成后15个工作日内请款，按照《建设工程规划许可证》总建筑面积进行结算，次月30日内付款</t>
  </si>
  <si>
    <t>上海片区可研</t>
  </si>
  <si>
    <t>2022-2024年度华东区域项目前期强排规划概念方案设计战略合作协议</t>
  </si>
  <si>
    <t>CRCCRE-SJ-CZ-2022-012</t>
  </si>
  <si>
    <t>强排版2万；标准版5万；深化版28万。</t>
  </si>
  <si>
    <t>浦东新区唐镇中心镇区PDP0-0405单元C-05B-02地块</t>
  </si>
  <si>
    <t>中铁京鑫</t>
  </si>
  <si>
    <t>中山街道、01-02立面可研</t>
  </si>
  <si>
    <t>中铁建新江湾城-G1-06街坊地块</t>
  </si>
  <si>
    <t>记CZ-2023-019京沐鑫</t>
  </si>
  <si>
    <t>浦东新区16号周浦站周边地区06-04地块</t>
  </si>
  <si>
    <t>记CZ-2023-018京淼鑫</t>
  </si>
  <si>
    <t>闵行区浦江镇浦江拓展大型居住社区44-01地块</t>
  </si>
  <si>
    <t>闵行区浦江镇浦江拓展大型居住社区45-01地块</t>
  </si>
  <si>
    <t>浦东新区唐镇中心镇区PDP0-0405单元C-05B-02地块立面可研</t>
  </si>
  <si>
    <t>耀华路08-2地块</t>
  </si>
  <si>
    <t>上海之鱼北侧07-01地块</t>
  </si>
  <si>
    <t>上海闵行区莘庄社区MHP0-0201单元16A-07A地块</t>
  </si>
  <si>
    <t>闵行区华漕镇MHPO-1402单元16-05、17-04地块项目</t>
  </si>
  <si>
    <t>记华漕项目</t>
  </si>
  <si>
    <t>上海徐汇区田林街道167-02（N）地块</t>
  </si>
  <si>
    <t>上海片区可研
（金泽鑫-CZ-2023-010）</t>
  </si>
  <si>
    <t>2022-2024 年度 华东区域项目前期强排规划概念方案设计战略合作协议</t>
  </si>
  <si>
    <t>CRCCRE-SJ-CZ-2022-011</t>
  </si>
  <si>
    <t>上海都市建筑设计有限公司</t>
  </si>
  <si>
    <t xml:space="preserve">强排版2万；标准版5万；深化版27万。
</t>
  </si>
  <si>
    <t>普陀北新泾pt0259a-09地块</t>
  </si>
  <si>
    <t>记CZ-2023-010京泽鑫</t>
  </si>
  <si>
    <t>累计超90万时续签</t>
  </si>
  <si>
    <t>浦东新区曹路15-01地块</t>
  </si>
  <si>
    <t>浦东新区曹路12-01地块</t>
  </si>
  <si>
    <t>环站北路地块</t>
  </si>
  <si>
    <t>嘉定新城远香湖G03-09、G04-10、G01-11地块</t>
  </si>
  <si>
    <t>嘉定新城远香湖G05A-06地块</t>
  </si>
  <si>
    <t>闵行区颛桥镇江川社区MHPO-1102单元45-02地块</t>
  </si>
  <si>
    <t>CRCCRE-SJ-CZ-2022-010</t>
  </si>
  <si>
    <t>上海市奉贤区奉贤新城13-02地块</t>
  </si>
  <si>
    <t>上海市嘉定区江桥镇北社区N2-03地块</t>
  </si>
  <si>
    <t>青浦华新镇华腾路北侧地块</t>
  </si>
  <si>
    <t>崇明区陈家镇 17-01 地块项目</t>
  </si>
  <si>
    <t>南京片区可研</t>
  </si>
  <si>
    <t>CRCCRE-SJ-CZ-2022-020</t>
  </si>
  <si>
    <t>江苏绿色都建建筑设计研究院有限公司</t>
  </si>
  <si>
    <t>强排版1.8万；标准版4.8万；深化版20万。</t>
  </si>
  <si>
    <t>中铁建-浦口区丰子河路以北，康健路以东04号地块、中铁建-雨花台区横一路以北，迎江路以西地块(NJZCf030-11-12)-徐工A地块</t>
  </si>
  <si>
    <t>铁建-栖霞区仙林白象片区仙林大道以北，天佑路以西（EAc030-12-48）地块、中铁建-栖霞区仙林白象片区仙林大道以北，天佑路以西（EAc030-12-49）地块、中铁建-河西南28-3号地块、中铁建-河西南28-5号地块、中铁建-河西南建邺区邺城路以北，平良大街以东地块</t>
  </si>
  <si>
    <t>南京市建邺区怡康街以南、黄山路以东地块、南京市竹山路以东、横二路以北地块</t>
  </si>
  <si>
    <t>CRCCRE-SJ-CZ-2022-021</t>
  </si>
  <si>
    <t>强排版2万；标准版4.8万；深化版20万。</t>
  </si>
  <si>
    <t>河西南部MCe040-04-35地块、河西中部MCe030-01-08地块</t>
  </si>
  <si>
    <t>杭州片区可研</t>
  </si>
  <si>
    <t>CRCCRE-SJ-CZ-2022-014</t>
  </si>
  <si>
    <t>浙江同舟工程设计有限公司</t>
  </si>
  <si>
    <t>强排版2万；标准版4.8万；深化版28万。</t>
  </si>
  <si>
    <t>本合同无预付款，以单个强排项目为单位计算。每季度末月（3月、6月、9月、12月）20日前，双方就每季度发生的强排费用进行阶段性确认（每宗土地在竞拍结束后方可进行费用的确认），并由甲方管理部门出具书面确认资料；乙方在每季度末月25日前，按甲方管理部门要求提交本季度请款资料</t>
  </si>
  <si>
    <t>创作一室
（无项目名称）</t>
  </si>
  <si>
    <t>杭州市萧山区钱江世纪城北单元</t>
  </si>
  <si>
    <t>CRCCRE-SJ-CZ-2022-013</t>
  </si>
  <si>
    <t>浙江同仁建筑设计有限公司</t>
  </si>
  <si>
    <t>中铁建运河新城GS1001-17地块+良渚组团LZ08-1单元FG05-R21-02地块+华丰单元XC1005-R21-02地块+上塘单元FG01-R21-01地块+瓶窑D8地块+瓶窑D9地块+余杭组团YH-18单元（高铁枢纽中心）YH18G-R21-06地块+下沙中心区单元JS0405-34地块+中铁建-绍兴洋江西路以北1号地块+中铁建-绍兴洋江西路以北2号地块</t>
  </si>
  <si>
    <t>杭州框架，财务久其未立项</t>
  </si>
  <si>
    <t>中铁建嘉兴市2022南-004号地块</t>
  </si>
  <si>
    <t>收入成本计在
上海片区可研</t>
  </si>
  <si>
    <t>中铁铁盐城大丰银杏湖南地块</t>
  </si>
  <si>
    <t>中铁建四堡七堡单元JG1402-22地块+中铁建-良渚北部新城LZ10单元LZ1004-R21-08地块+中铁建-良渚北部新城LZ10单元LZ1004- R21-09、LZ1004-R21-10地块+中铁建-良渚北部新城LZ10单元LZ1005 -R21 -02地块+中铁建-良渚北部新城LZ10单元LZ1005 -R21 -01地块+中铁建四堡七堡单元JG1404-47地块+中铁建-下沙元成单元JS02-03-R21-01地块+四堡七堡单元JG1405-41、42地块+东新单元XC0603-R21-03地块+中铁建良-绍兴越城区梅山东1号地块</t>
  </si>
  <si>
    <t>CRCCRE-SJ-CZ-2022-016</t>
  </si>
  <si>
    <t>强排版2.2万；标准版5万；深化版27万。</t>
  </si>
  <si>
    <t>金山区朱泾镇JSS2-0201单元B06a-01、B06b-01地块+金山区朱泾镇JSS2-0201单元B06a-01、B06b-01地块（新产品）+惠南东南社区PDSA-0210单元16-01地块项目+闵行区华漕镇MHP0-1403单元67-02地块概念方案设计+金山区G10地块</t>
  </si>
  <si>
    <t>嘉定区菊园50-01地块</t>
  </si>
  <si>
    <t>记CZ-2024-007京泓润</t>
  </si>
  <si>
    <t>华通可研北方区域占用</t>
  </si>
  <si>
    <t>闵行区梅陇社区03单元01-26-01地块</t>
  </si>
  <si>
    <t>京泓润
CZ-2024-007</t>
  </si>
  <si>
    <t>杨浦区平凉社区02H1-01地块</t>
  </si>
  <si>
    <t>上海浦东新区16号线周浦站06-04地块</t>
  </si>
  <si>
    <t>上海虹桥蟠龙路西侧45-06地块</t>
  </si>
  <si>
    <t>2024-2026年度华东区域项目前期强排规划概念方案设计集中采购合作协议</t>
  </si>
  <si>
    <t>CRCCRE-SJ-CZ-2024-017</t>
  </si>
  <si>
    <t>上海成执建筑设计有限公司</t>
  </si>
  <si>
    <t>强排版2万；标准版4.8万；深化版27.5万。</t>
  </si>
  <si>
    <t>无金额，久其录入1370000.00元</t>
  </si>
  <si>
    <t>上海大学新闸路地块项目</t>
  </si>
  <si>
    <t>上海大学B1-03、B1-04地块项目</t>
  </si>
  <si>
    <t>丹阳 G2354\2355 地块项目</t>
  </si>
  <si>
    <t>姜堰区三水大道西侧、正太公司南侧地块项目</t>
  </si>
  <si>
    <t>新江湾G1-06地块项目</t>
  </si>
  <si>
    <t>CRCCRE-SJ-CZ-2024-016</t>
  </si>
  <si>
    <t>上海天华建筑设计有限公司</t>
  </si>
  <si>
    <t>强排版1.2万；标准版4.9万；深化版27万。</t>
  </si>
  <si>
    <t>无金额，久其录入1335000元</t>
  </si>
  <si>
    <t>闵行区华漕社区MHP0-1404 单元39-02、40-02地块</t>
  </si>
  <si>
    <t>徐汇区斜土街道xh128D-07（龙华）地块</t>
  </si>
  <si>
    <t>CRCCRE-SJ-CZ-2024-015</t>
  </si>
  <si>
    <t>上海中房建筑设计有限公司</t>
  </si>
  <si>
    <t>强排版2万；标准版4.5万；深化版26万。</t>
  </si>
  <si>
    <t>无金额，久其录入1295000.00元</t>
  </si>
  <si>
    <t>杨浦区长海社区 016-02 地块(长海街道 337 街坊)</t>
  </si>
  <si>
    <t>川沙新镇C05-20地块</t>
  </si>
  <si>
    <t>静安区中兴社区283-22地块(152街坊)</t>
  </si>
  <si>
    <t>浦东新区北蔡模形绿地C11.01、C11-05地块</t>
  </si>
  <si>
    <t>浦东新区曹路华俊路西C1B-1地块</t>
  </si>
  <si>
    <t>新江湾城G1-06街坊</t>
  </si>
  <si>
    <t>杨浦区江湾历史文化风貌区保护规划002街坊05地块(长海街道340街坊)</t>
  </si>
  <si>
    <t>闵行区浦锦街道MP0-1302单元35-5地块</t>
  </si>
  <si>
    <t>静安区中兴社区C070201单元151b-19地块</t>
  </si>
  <si>
    <t>嘉定新城G09-2地块</t>
  </si>
  <si>
    <t>CRCCRE-SJ-CZ-2024-018</t>
  </si>
  <si>
    <t>浙江东设建筑设计有限公司</t>
  </si>
  <si>
    <t>强排版1.6万；标准版4万；深化版19.6万。</t>
  </si>
  <si>
    <t>无金额，久其录入107.2万元</t>
  </si>
  <si>
    <t>萧山信息港</t>
  </si>
  <si>
    <t>湘北单元XSCQ3101-03地块</t>
  </si>
  <si>
    <t>湘北单元XSCQ3101-R21-02地块</t>
  </si>
  <si>
    <t>2024-2026 年度华东区域项目前期强排基坑支护设计集中采购合作协议</t>
  </si>
  <si>
    <t>CRCCRE-SJ-CZ-2024-024</t>
  </si>
  <si>
    <t>可研基坑</t>
  </si>
  <si>
    <t>上海广联环境岩土工程股份有限公司</t>
  </si>
  <si>
    <t>浦东唐镇中心镇区PDP0-0405单元C-05D-03.C-05C-04地块</t>
  </si>
  <si>
    <t>浦东新区Z000602单元20B-12地块</t>
  </si>
  <si>
    <t>闵行区七宝镇古美北社区S110501单元17-01、21-01地块</t>
  </si>
  <si>
    <t>杨浦区长海社区002-05地块</t>
  </si>
  <si>
    <t>闵行区浦锦街道MHP0-1302单元35-5地块</t>
  </si>
  <si>
    <t>静安区曹家渡社区c050301单元9a-20地块</t>
  </si>
  <si>
    <t>杨浦区长海社区 016-02 地块（长海街道 337 街坊）</t>
  </si>
  <si>
    <t>杨浦区周家嘴路北侧201街坊H2-17地块</t>
  </si>
  <si>
    <t>徐汇长桥街道xh315-10、xh313-16地块</t>
  </si>
  <si>
    <t>徐汇区S030501单元N06-22地块</t>
  </si>
  <si>
    <t>CRCCRE-SJ-CZ-2024-023</t>
  </si>
  <si>
    <t>上海嘉定菊园50-01地块</t>
  </si>
  <si>
    <t>上海浦东上钢世博地块</t>
  </si>
  <si>
    <t>闵行区梅陇社区03单元（MHP0-0303）地块</t>
  </si>
  <si>
    <t>杨浦区东外滩板块平凉路南、北两地块</t>
  </si>
  <si>
    <t>徐汇区龙华板块龙华中路北侧25亩居住地块</t>
  </si>
  <si>
    <t>CRCCRE-SJ-CZ-2024-021</t>
  </si>
  <si>
    <t>江苏南通崇川R24006项目-代建项目</t>
  </si>
  <si>
    <t>苏州太湖新城项目-代建项目</t>
  </si>
  <si>
    <t>江苏丹阳G2354\2355地块项目-代建项目</t>
  </si>
  <si>
    <t>CRCCRE-SJ-CZ-2024-025</t>
  </si>
  <si>
    <t>浙江省地矿勘察院有限公司</t>
  </si>
  <si>
    <t>杭州市萧山区XS070102-32地块</t>
  </si>
  <si>
    <t>杭州上城区27号地块</t>
  </si>
  <si>
    <t>杭州市萧山北干西单元XSCQ1206-09地块</t>
  </si>
  <si>
    <t>CRCCRE-SJ-CZ-2024-022</t>
  </si>
  <si>
    <t>南京市测绘勘察研究院股份有限公司</t>
  </si>
  <si>
    <t>CRCCRE-SJ-CZ-2024-020</t>
  </si>
  <si>
    <t>杭州市勘测设计研究院有限公司</t>
  </si>
  <si>
    <t>CRCCRE-SJ-CZ-2024-014</t>
  </si>
  <si>
    <t>强排版1.6万；标准版4万；深化版25万。</t>
  </si>
  <si>
    <t>无金额，久其录入1180000.00元</t>
  </si>
  <si>
    <t>东新单元XC0607-R21-13地块</t>
  </si>
  <si>
    <t>上海泗泾01-02项目</t>
  </si>
  <si>
    <t>新建松江区泗泾镇SJSB0003单元01-02号地块商品住宅项目景观设计委托合同</t>
  </si>
  <si>
    <t>CRCCRE-SJ-XM-2022-035</t>
  </si>
  <si>
    <t>完成项目概念设计并提交成果并经甲方书面确认之后15个工作日内请款，次月30日前付款</t>
  </si>
  <si>
    <t>完成项目方案设计并提交成果并经甲方书面确认之后15个工作日内请款，次月30日前付款</t>
  </si>
  <si>
    <t>完成项目扩初设计并提交成果并经甲方书面确认之后15个工作日内请款，次月30日前付款</t>
  </si>
  <si>
    <t>完成项目施工图设计并提交成果并经甲方书面确认之后15个工作日内请款，次月30日前付款</t>
  </si>
  <si>
    <t>新建松江区泗泾镇SJSB0003单元01-02号地块商品房项目施工图设计委托合同</t>
  </si>
  <si>
    <t>CRCCRE-SJ-XM-2022-036</t>
  </si>
  <si>
    <t>上海德森建筑设计有限公司</t>
  </si>
  <si>
    <t>全专业图纸根据设计咨询、BIM等意见调整优化完毕并得到甲方认可后15个工作日内请款，次月30日前付款</t>
  </si>
  <si>
    <t>红线范围内综合管线施工图交付并经甲方认可后15个工作日内请款，次月30日前付款</t>
  </si>
  <si>
    <t>装配式</t>
  </si>
  <si>
    <t>提交此专项工作方案并在甲方审核通过后15个工作日内请款，次月30日内付款</t>
  </si>
  <si>
    <t>新建松江区泗泾镇SJSB0003单元01-02号地块商品住宅项目PC外保温拆板设计委托合同</t>
  </si>
  <si>
    <t>CRCCRE-SJ-XM-2022-073</t>
  </si>
  <si>
    <t>PC外保温拆板</t>
  </si>
  <si>
    <t>上海肃诚建筑设计有限公司</t>
  </si>
  <si>
    <r>
      <rPr>
        <sz val="10"/>
        <rFont val="宋体"/>
        <charset val="134"/>
      </rPr>
      <t>合同签订后，且甲方收到业主方（上海京沐鑫房地产有限公司）付款后</t>
    </r>
    <r>
      <rPr>
        <sz val="10.5"/>
        <color theme="1"/>
        <rFont val="宋体"/>
        <charset val="134"/>
        <scheme val="minor"/>
      </rPr>
      <t>15</t>
    </r>
    <r>
      <rPr>
        <sz val="10.5"/>
        <color theme="1"/>
        <rFont val="宋体"/>
        <charset val="134"/>
        <scheme val="minor"/>
      </rPr>
      <t>个工作日内请款，次月</t>
    </r>
    <r>
      <rPr>
        <sz val="10.5"/>
        <color theme="1"/>
        <rFont val="宋体"/>
        <charset val="134"/>
        <scheme val="minor"/>
      </rPr>
      <t>30</t>
    </r>
    <r>
      <rPr>
        <sz val="10.5"/>
        <color theme="1"/>
        <rFont val="宋体"/>
        <charset val="134"/>
        <scheme val="minor"/>
      </rPr>
      <t>日内支付</t>
    </r>
  </si>
  <si>
    <r>
      <rPr>
        <sz val="10"/>
        <rFont val="宋体"/>
        <charset val="134"/>
      </rPr>
      <t>项目拆分完成并提交图纸后且甲方收到业主方（上海京沐鑫房地产有限公司）付款后</t>
    </r>
    <r>
      <rPr>
        <sz val="10.5"/>
        <color theme="1"/>
        <rFont val="宋体"/>
        <charset val="134"/>
        <scheme val="minor"/>
      </rPr>
      <t>15</t>
    </r>
    <r>
      <rPr>
        <sz val="10.5"/>
        <color theme="1"/>
        <rFont val="宋体"/>
        <charset val="134"/>
        <scheme val="minor"/>
      </rPr>
      <t>个工作日内请款，次月</t>
    </r>
    <r>
      <rPr>
        <sz val="10.5"/>
        <color theme="1"/>
        <rFont val="宋体"/>
        <charset val="134"/>
        <scheme val="minor"/>
      </rPr>
      <t>30</t>
    </r>
    <r>
      <rPr>
        <sz val="10.5"/>
        <color theme="1"/>
        <rFont val="宋体"/>
        <charset val="134"/>
        <scheme val="minor"/>
      </rPr>
      <t>日内支付</t>
    </r>
  </si>
  <si>
    <r>
      <rPr>
        <sz val="10"/>
        <rFont val="宋体"/>
        <charset val="134"/>
      </rPr>
      <t>主体结构封顶后且甲方收到业主方（上海京沐鑫房地产有限公司）付款后</t>
    </r>
    <r>
      <rPr>
        <sz val="10.5"/>
        <color theme="1"/>
        <rFont val="宋体"/>
        <charset val="134"/>
        <scheme val="minor"/>
      </rPr>
      <t>15</t>
    </r>
    <r>
      <rPr>
        <sz val="10.5"/>
        <color theme="1"/>
        <rFont val="宋体"/>
        <charset val="134"/>
        <scheme val="minor"/>
      </rPr>
      <t>个工作日内请款，次月</t>
    </r>
    <r>
      <rPr>
        <sz val="10.5"/>
        <color theme="1"/>
        <rFont val="宋体"/>
        <charset val="134"/>
        <scheme val="minor"/>
      </rPr>
      <t>30</t>
    </r>
    <r>
      <rPr>
        <sz val="10.5"/>
        <color theme="1"/>
        <rFont val="宋体"/>
        <charset val="134"/>
        <scheme val="minor"/>
      </rPr>
      <t>日内支付</t>
    </r>
  </si>
  <si>
    <t>新建松江区泗泾镇SJSB0003单元01-02号地块商品住宅项目地库方案设计专项服务合同</t>
  </si>
  <si>
    <t>CRCCRE-SJ-CZ-2022-022</t>
  </si>
  <si>
    <t>地库</t>
  </si>
  <si>
    <t>本合同签订并生效后，乙方提交设计方案经甲方确认后且甲方收到本项目业主方上海京沐鑫房地产有限公司相应款项后15个工作日内请款，次月30日内甲方向乙方支付合同额的20％；</t>
  </si>
  <si>
    <t>本合同约定设计工作全部完成并经过甲方确认后，经相关机构审查通过且甲方收到本项目业主方上海京沐鑫房地产有限公司相应款项后15个工作日内请款，次月30日内甲方向乙方支付合同额的80％；</t>
  </si>
  <si>
    <t>整体竣工验收完成，且甲方收到本项目业主方上海京沐鑫房地产有限公司相应款项后15个工作日内请款，，结算完毕后，次月30日内甲方向乙方支付至合同结算金额的100%。</t>
  </si>
  <si>
    <t>新建松江区泗泾镇SJSB0003单元01-02号地块商品住宅项目
人防工程专项设计服务合同</t>
  </si>
  <si>
    <t>CRCCRE-SJ-XM-2022-069</t>
  </si>
  <si>
    <t>本合同签订，乙方提交本项目人防规划取得主管部门批复，且甲方收到本项目业主方（上海京沐鑫房地产有限公司）相应款项后15个工作日内请款，次月30日内甲方向乙方支付合同额的15％；</t>
  </si>
  <si>
    <t>乙方完成人防施工图设计工作，经相关机构审查通过且甲方收到本项目业主方（上海京沐鑫房地产有限公司）相应款项后15个工作日内请款，次月30日内甲方向乙方支付合同额的35％；</t>
  </si>
  <si>
    <t>人防区开始施工，经业主确认后且甲方收到本项目业主方（上海京沐鑫房地产有限公司）相应款项后15个工作日内请款，次月30日内甲方向乙方支付合同额的30％；</t>
  </si>
  <si>
    <t>整体竣工验收及结算完成且甲方收到本项目业主方（上海京沐鑫房地产有限公司）相应款项后15个工作日内请款，次月30日内甲方向乙方支付合同额的20％。</t>
  </si>
  <si>
    <t>上海泗泾01-02地块项目综合图、产品手册设计服务合同</t>
  </si>
  <si>
    <t>CRCCRE-SJ-XM-2022-045</t>
  </si>
  <si>
    <t>综合图、产品手册</t>
  </si>
  <si>
    <t>杭州欧塬建筑设计有限公司
（其中综合图133000，产品手册211000）</t>
  </si>
  <si>
    <t>固定单价（综合图洋房设计面积为 44949.14 平方米（精装楼栋，21#、22#、24#、25#、26#、27#、28#、29#、30#楼），保障房设计面积为 4648.43 平方米（17#楼），单价（含税）每平方米 2.0 元，设计费用为人民币：¥ 99195 元；PC提资图设计面积为 49597.57 平方米（仅洋房9个精装楼栋+保障房17#楼），单价（含税）每平方米 0.5 元，设计费用为人民币：¥ 24799 元；含陆套蓝图，费用为人民币：¥ 10000 元；合计费用为人民币：¥ 133994 元；优惠后费用为人民币：¥ 133000 元；
产品手册设计面积为 141312.94 平方米【总建筑面积（扣除保障房面积）】，单价（含税）每平方米 1.5 元，设计费用为人民币：¥ 211969 元，优惠后费用为人民币：¥ 211000 元；</t>
  </si>
  <si>
    <t>本合同签订生效且甲方收到本项目业主方（上海京沐鑫房地产有限公司）相应款项后15个工作日内请款，经甲方确认乙方请款资料无误后，次月30日内，甲方向乙方支付综合图设计费用的20％；</t>
  </si>
  <si>
    <t>综合图成果文件提交并经过甲方确认后，且甲方收到本项目业主方（上海京沐鑫房地产有限公司）相应款项后15个工作日内请款，经甲方确认乙方请款资料无误后，次月30日内，甲方向乙方支付综合图设计费用的60％；</t>
  </si>
  <si>
    <t>整体工程竣工验收完成后，按照《建设工程规划许可证》本项面积进行结算，且甲方收到本项目业主方（上海京沐鑫房地产有限公司）相应款项后15个工作日内请款，经甲方确认乙方请款资料无误后，次月30日内，甲方向乙方支付综合图设计费用的20％。</t>
  </si>
  <si>
    <t>本合同签订生效，且甲方收到本项目业主方（上海京沐鑫房地产有限公司）相应款项后15个工作日内请款，经甲方确认乙方请款资料无误后，次月30日内，甲方向乙方支付产品手册设计费用的20％；</t>
  </si>
  <si>
    <t>产品手册成果文件提交并经过甲方确认后，且甲方收到本项目业主方（上海京沐鑫房地产有限公司）相应款项后15个工作日内请款，经甲方确认乙方请款资料无误后，次月30日，内甲方向乙方支付产品手册设计费用的60％；</t>
  </si>
  <si>
    <t>整体工程竣工验收完成后，按照《建设工程规划许可证》本项面积进行结算，且甲方收到本项目业主方（上海京沐鑫房地产有限公司）相应款项后15个工作日内请款，经甲方确认乙方请款资料无误后，次月30日内，甲方向乙方支付产品手册设计费用的20％。</t>
  </si>
  <si>
    <t>新建松江区泗泾镇SJSB0003单元01-02号地块商品住宅项目施工图审查合同</t>
  </si>
  <si>
    <t>CRCCRE-SJ-XM-2022-040</t>
  </si>
  <si>
    <t>施工图审查</t>
  </si>
  <si>
    <t>上海中森建筑工程审图有限公司</t>
  </si>
  <si>
    <t>合同签订后 20 个工作日内，乙方向甲方开具增值税专用发票，甲方应向乙方支付建筑主体部分施工图审查费用的20%作为预付款</t>
  </si>
  <si>
    <t>在乙方出具建筑主体部分施工图审查合格证后，乙方向甲方开具增值税专用发票，甲方20个工作日内向乙方一次性支付建筑主体部分施工图审查费用的80%</t>
  </si>
  <si>
    <t>在乙方出具精装修部分施工图审查合格证后，乙方向甲方开具增值税专用发票，甲方20个工作日内向乙方一次性支付精装修部分费用</t>
  </si>
  <si>
    <t>在乙方出具幕墙部分施工图审查合格证后，乙方向甲方开具增值税专用发票，甲方20个工作日内向乙方一次性支付幕墙部分费用</t>
  </si>
  <si>
    <t>上海新建松江区泗泾SJSB0003单元01-02号地块商品房项目绿建、海绵城市设计委托合同</t>
  </si>
  <si>
    <t>CRCCRE-SJ-XM-2022-050</t>
  </si>
  <si>
    <t>上海领力建筑科技有限公司</t>
  </si>
  <si>
    <r>
      <rPr>
        <sz val="10"/>
        <rFont val="宋体"/>
        <charset val="134"/>
      </rPr>
      <t>提交此专项工作方案并在甲方、项目业主均审核通过后</t>
    </r>
    <r>
      <rPr>
        <sz val="10"/>
        <color rgb="FF000000"/>
        <rFont val="宋体"/>
        <charset val="134"/>
        <scheme val="minor"/>
      </rPr>
      <t>15</t>
    </r>
    <r>
      <rPr>
        <sz val="10"/>
        <color rgb="FF000000"/>
        <rFont val="宋体"/>
        <charset val="134"/>
        <scheme val="minor"/>
      </rPr>
      <t>个工作日内请款，次月</t>
    </r>
    <r>
      <rPr>
        <sz val="10"/>
        <color rgb="FF000000"/>
        <rFont val="宋体"/>
        <charset val="134"/>
        <scheme val="minor"/>
      </rPr>
      <t>30</t>
    </r>
    <r>
      <rPr>
        <sz val="10"/>
        <color rgb="FF000000"/>
        <rFont val="宋体"/>
        <charset val="134"/>
        <scheme val="minor"/>
      </rPr>
      <t>日内付款</t>
    </r>
  </si>
  <si>
    <r>
      <rPr>
        <sz val="10"/>
        <rFont val="宋体"/>
        <charset val="134"/>
      </rPr>
      <t>此专项设计成果完成并通过相关政府部门审批，并获取施工图审查合格证后</t>
    </r>
    <r>
      <rPr>
        <sz val="10"/>
        <color rgb="FF000000"/>
        <rFont val="宋体"/>
        <charset val="134"/>
        <scheme val="minor"/>
      </rPr>
      <t>15</t>
    </r>
    <r>
      <rPr>
        <sz val="10"/>
        <color rgb="FF000000"/>
        <rFont val="宋体"/>
        <charset val="134"/>
        <scheme val="minor"/>
      </rPr>
      <t>个工作日内请款，次月</t>
    </r>
    <r>
      <rPr>
        <sz val="10"/>
        <color rgb="FF000000"/>
        <rFont val="宋体"/>
        <charset val="134"/>
        <scheme val="minor"/>
      </rPr>
      <t>30</t>
    </r>
    <r>
      <rPr>
        <sz val="10"/>
        <color rgb="FF000000"/>
        <rFont val="宋体"/>
        <charset val="134"/>
        <scheme val="minor"/>
      </rPr>
      <t>日内付款</t>
    </r>
  </si>
  <si>
    <r>
      <rPr>
        <sz val="10"/>
        <rFont val="宋体"/>
        <charset val="134"/>
      </rPr>
      <t>竣工验收完成后</t>
    </r>
    <r>
      <rPr>
        <sz val="10"/>
        <color rgb="FF000000"/>
        <rFont val="宋体"/>
        <charset val="134"/>
        <scheme val="minor"/>
      </rPr>
      <t>15</t>
    </r>
    <r>
      <rPr>
        <sz val="10"/>
        <color rgb="FF000000"/>
        <rFont val="宋体"/>
        <charset val="134"/>
        <scheme val="minor"/>
      </rPr>
      <t>个工作日内请款，次月</t>
    </r>
    <r>
      <rPr>
        <sz val="10"/>
        <color rgb="FF000000"/>
        <rFont val="宋体"/>
        <charset val="134"/>
        <scheme val="minor"/>
      </rPr>
      <t>30</t>
    </r>
    <r>
      <rPr>
        <sz val="10"/>
        <color rgb="FF000000"/>
        <rFont val="宋体"/>
        <charset val="134"/>
        <scheme val="minor"/>
      </rPr>
      <t>日内付款</t>
    </r>
  </si>
  <si>
    <t>绿色建筑</t>
  </si>
  <si>
    <t>新建松江区泗泾镇SJSB0003单元01-02号地块商品住宅项目基坑围护专项设计服务合同</t>
  </si>
  <si>
    <t>CRCCRE-SJ-XM-2022-044</t>
  </si>
  <si>
    <r>
      <rPr>
        <sz val="10"/>
        <rFont val="宋体"/>
        <charset val="134"/>
      </rPr>
      <t>本合同签订生效，且甲方收到本项目业主方（</t>
    </r>
    <r>
      <rPr>
        <sz val="10"/>
        <color rgb="FF000000"/>
        <rFont val="宋体"/>
        <charset val="134"/>
        <scheme val="minor"/>
      </rPr>
      <t>上海京沐鑫房地产有限公司</t>
    </r>
    <r>
      <rPr>
        <sz val="10"/>
        <color rgb="FF000000"/>
        <rFont val="宋体"/>
        <charset val="134"/>
        <scheme val="minor"/>
      </rPr>
      <t>）相应款项后</t>
    </r>
    <r>
      <rPr>
        <sz val="10"/>
        <color rgb="FF000000"/>
        <rFont val="宋体"/>
        <charset val="134"/>
        <scheme val="minor"/>
      </rPr>
      <t>15</t>
    </r>
    <r>
      <rPr>
        <sz val="10"/>
        <color rgb="FF000000"/>
        <rFont val="宋体"/>
        <charset val="134"/>
        <scheme val="minor"/>
      </rPr>
      <t>个工作日内请款，经甲方确认乙方请款资料无误后</t>
    </r>
  </si>
  <si>
    <r>
      <rPr>
        <sz val="10"/>
        <rFont val="宋体"/>
        <charset val="134"/>
      </rPr>
      <t>乙方完成基坑围护设计方案评审后通过审查，且甲方收到本项目业主方（上海京沐鑫房地产有限公司限公司）相应款项后</t>
    </r>
    <r>
      <rPr>
        <sz val="10"/>
        <color rgb="FF000000"/>
        <rFont val="宋体"/>
        <charset val="134"/>
        <scheme val="minor"/>
      </rPr>
      <t>15</t>
    </r>
    <r>
      <rPr>
        <sz val="10"/>
        <color rgb="FF000000"/>
        <rFont val="宋体"/>
        <charset val="134"/>
        <scheme val="minor"/>
      </rPr>
      <t>个工作日内请款</t>
    </r>
  </si>
  <si>
    <r>
      <rPr>
        <sz val="10"/>
        <rFont val="宋体"/>
        <charset val="134"/>
      </rPr>
      <t>乙方完成该专项施工图设计工作，经相关施工图审查机构审查通过且甲方收到本项目业主方（上海京沐鑫房地产有限公司限公司）相应款项后</t>
    </r>
    <r>
      <rPr>
        <sz val="10"/>
        <color rgb="FF000000"/>
        <rFont val="宋体"/>
        <charset val="134"/>
        <scheme val="minor"/>
      </rPr>
      <t>15</t>
    </r>
    <r>
      <rPr>
        <sz val="10"/>
        <color rgb="FF000000"/>
        <rFont val="宋体"/>
        <charset val="134"/>
        <scheme val="minor"/>
      </rPr>
      <t>个工作日内请款</t>
    </r>
  </si>
  <si>
    <r>
      <rPr>
        <sz val="10"/>
        <rFont val="宋体"/>
        <charset val="134"/>
      </rPr>
      <t>整体项目竣工验收完成且甲方收到本项目业主方（上海京沐鑫房地产有限公司限公司）相应款项后</t>
    </r>
    <r>
      <rPr>
        <sz val="10"/>
        <color rgb="FF000000"/>
        <rFont val="宋体"/>
        <charset val="134"/>
        <scheme val="minor"/>
      </rPr>
      <t>15</t>
    </r>
    <r>
      <rPr>
        <sz val="10"/>
        <color rgb="FF000000"/>
        <rFont val="宋体"/>
        <charset val="134"/>
        <scheme val="minor"/>
      </rPr>
      <t>个工作日内请款</t>
    </r>
  </si>
  <si>
    <t xml:space="preserve">新建松江区泗泾镇SJSB0003单元01-02号智能化专项设计服务合同
</t>
  </si>
  <si>
    <t>CRCCRE-SJ-XM-2022-064</t>
  </si>
  <si>
    <r>
      <rPr>
        <sz val="10"/>
        <rFont val="宋体"/>
        <charset val="134"/>
      </rPr>
      <t>本合同签订，提交智能化工作方案经甲方确认后且甲方收到本项目业主方（上海京沐鑫房地产有限公司）相应款项后</t>
    </r>
    <r>
      <rPr>
        <sz val="10"/>
        <color rgb="FF000000"/>
        <rFont val="宋体"/>
        <charset val="134"/>
        <scheme val="minor"/>
      </rPr>
      <t>15</t>
    </r>
    <r>
      <rPr>
        <sz val="10"/>
        <color rgb="FF000000"/>
        <rFont val="宋体"/>
        <charset val="134"/>
        <scheme val="minor"/>
      </rPr>
      <t>个工作日内请款</t>
    </r>
  </si>
  <si>
    <r>
      <rPr>
        <sz val="10"/>
        <rFont val="宋体"/>
        <charset val="134"/>
      </rPr>
      <t>施工图设计阶段，施工图设计完成且经相关机构审查通过（如有）且甲方收到本项目业主方（上海京沐鑫房地产有限公司）相应款项后</t>
    </r>
    <r>
      <rPr>
        <sz val="10"/>
        <color rgb="FF000000"/>
        <rFont val="宋体"/>
        <charset val="134"/>
        <scheme val="minor"/>
      </rPr>
      <t>15</t>
    </r>
    <r>
      <rPr>
        <sz val="10"/>
        <color rgb="FF000000"/>
        <rFont val="宋体"/>
        <charset val="134"/>
        <scheme val="minor"/>
      </rPr>
      <t>个工作日内请款</t>
    </r>
  </si>
  <si>
    <r>
      <rPr>
        <sz val="10"/>
        <rFont val="宋体"/>
        <charset val="134"/>
      </rPr>
      <t>整体工程竣工验收且结算完成，甲方收到本项目业主方（上海京沐鑫房地产有限公司）相应款项后</t>
    </r>
    <r>
      <rPr>
        <sz val="10"/>
        <color rgb="FF000000"/>
        <rFont val="宋体"/>
        <charset val="134"/>
        <scheme val="minor"/>
      </rPr>
      <t>15</t>
    </r>
    <r>
      <rPr>
        <sz val="10"/>
        <color rgb="FF000000"/>
        <rFont val="宋体"/>
        <charset val="134"/>
        <scheme val="minor"/>
      </rPr>
      <t>个工作日内请款</t>
    </r>
  </si>
  <si>
    <t>上海泗泾01-02地块项目精装修硬装设计委托合同</t>
  </si>
  <si>
    <t>CRCCRE-SJ-JZ-2023-001</t>
  </si>
  <si>
    <t>合同签订并提交第一版概念性方案并得到甲方认可后 15 个工作日内请款，乙方按照甲方审核后的金额，开具相应金额的增值税专用发票，由甲方于审核后次月30日前进行进度款支付。</t>
  </si>
  <si>
    <t>样板间精装修竣工后15个工作日内请款，乙方按照甲方审核后的金额，开具相应金额的增值税专用发票，由甲方于审核后次月30日前进行进度款支付。</t>
  </si>
  <si>
    <t>结算完成后15个工作日内请款，乙方按照甲方审核后的金额，开具相应金额的增值税专用发票，由甲方于审核后次月30日前进行结算款支付。</t>
  </si>
  <si>
    <t>完成概念设计,提交成果并得到甲方认可后15个工作日内请款，乙方按照甲方审核后的金额，开具相应金额的增值税专用发票，由甲方于审核后次月30日前进行进度款支付。</t>
  </si>
  <si>
    <t>大区户内及公区精装修竣工后15个工作日内请款，乙方按照甲方审核后的金额，开具相应金额的增值税专用发票，由甲方于审核后次月30日前进行进度款支付。</t>
  </si>
  <si>
    <t>新建松江区泗泾镇SJSB0003单元01-02地块项目幕墙设计顾问服务合同</t>
  </si>
  <si>
    <t>CRCCRE-SJ-XM-2022-075</t>
  </si>
  <si>
    <r>
      <rPr>
        <sz val="10"/>
        <rFont val="宋体"/>
        <charset val="134"/>
      </rPr>
      <t>本合同签订生效后，乙方提交门窗、幕墙工作方案通过甲方确认，且甲方收到本项目业主方（上海京沐鑫房地产有限公司）相应款项后</t>
    </r>
    <r>
      <rPr>
        <sz val="10"/>
        <color rgb="FF000000"/>
        <rFont val="宋体"/>
        <charset val="134"/>
        <scheme val="minor"/>
      </rPr>
      <t>15</t>
    </r>
    <r>
      <rPr>
        <sz val="10"/>
        <color rgb="FF000000"/>
        <rFont val="宋体"/>
        <charset val="134"/>
        <scheme val="minor"/>
      </rPr>
      <t>个工作日内请款</t>
    </r>
  </si>
  <si>
    <r>
      <rPr>
        <sz val="10"/>
        <rFont val="宋体"/>
        <charset val="134"/>
      </rPr>
      <t>乙方完成大区门窗、幕墙所有设计工作经相关部门审查通过，且甲方收到本项目业主方（</t>
    </r>
    <r>
      <rPr>
        <sz val="10"/>
        <color rgb="FF000000"/>
        <rFont val="宋体"/>
        <charset val="134"/>
        <scheme val="minor"/>
      </rPr>
      <t>上海京沐鑫房地产有限公司</t>
    </r>
    <r>
      <rPr>
        <sz val="10"/>
        <color rgb="FF000000"/>
        <rFont val="宋体"/>
        <charset val="134"/>
        <scheme val="minor"/>
      </rPr>
      <t>）相应款项后</t>
    </r>
    <r>
      <rPr>
        <sz val="10"/>
        <color rgb="FF000000"/>
        <rFont val="宋体"/>
        <charset val="134"/>
        <scheme val="minor"/>
      </rPr>
      <t>15</t>
    </r>
    <r>
      <rPr>
        <sz val="10"/>
        <color rgb="FF000000"/>
        <rFont val="宋体"/>
        <charset val="134"/>
        <scheme val="minor"/>
      </rPr>
      <t>个工作日内请款</t>
    </r>
  </si>
  <si>
    <r>
      <rPr>
        <sz val="10"/>
        <rFont val="宋体"/>
        <charset val="134"/>
      </rPr>
      <t>整体竣工验收并结算完成，且甲方收到本项目业主方（上海京沐鑫房地产有限公司）相应款项后</t>
    </r>
    <r>
      <rPr>
        <sz val="10"/>
        <color rgb="FF000000"/>
        <rFont val="宋体"/>
        <charset val="134"/>
        <scheme val="minor"/>
      </rPr>
      <t>15</t>
    </r>
    <r>
      <rPr>
        <sz val="10"/>
        <color rgb="FF000000"/>
        <rFont val="宋体"/>
        <charset val="134"/>
        <scheme val="minor"/>
      </rPr>
      <t>个工作日内请款</t>
    </r>
  </si>
  <si>
    <t>新建松江区泗泾镇SJSB0003单元01-02号地块商品住宅项目立面方案设计委托合同</t>
  </si>
  <si>
    <t>CRCCRE-SJ-CZ-2022-026</t>
  </si>
  <si>
    <t>立面方案设计</t>
  </si>
  <si>
    <t>上海帝奥建筑设计有限公司</t>
  </si>
  <si>
    <r>
      <rPr>
        <sz val="10"/>
        <rFont val="宋体"/>
        <charset val="134"/>
      </rPr>
      <t>乙方提交设计方案，经政府审批通过后15个工作日内请款，</t>
    </r>
    <r>
      <rPr>
        <sz val="10"/>
        <color theme="1"/>
        <rFont val="宋体"/>
        <charset val="134"/>
      </rPr>
      <t>且甲方收到业主方（上海京沐鑫房地产有限公司）付款后，次月30日前付款</t>
    </r>
  </si>
  <si>
    <r>
      <rPr>
        <sz val="10"/>
        <rFont val="宋体"/>
        <charset val="134"/>
      </rPr>
      <t>乙方提交全部设计成果经政府审批通过且经甲方书面确认之日起15个工作日内请款，</t>
    </r>
    <r>
      <rPr>
        <sz val="10"/>
        <color theme="1"/>
        <rFont val="宋体"/>
        <charset val="134"/>
      </rPr>
      <t>且甲方收到业主方（上海京沐鑫房地产有限公司）付款后，次月30日前付款</t>
    </r>
  </si>
  <si>
    <r>
      <rPr>
        <sz val="10"/>
        <rFont val="宋体"/>
        <charset val="134"/>
      </rPr>
      <t>取得《施工图图审合格证》之日起15个工作日内请款，</t>
    </r>
    <r>
      <rPr>
        <sz val="10"/>
        <color theme="1"/>
        <rFont val="宋体"/>
        <charset val="134"/>
      </rPr>
      <t>且甲方收到业主方（上海京沐鑫房地产有限公司）付款后，次月30日内付款</t>
    </r>
  </si>
  <si>
    <t>竣工验收完成后15个工作日内请款且甲方收到业主方（上海京沐鑫房地产有限公司）付款后，次月30日内付款至合同金额的100%</t>
  </si>
  <si>
    <t>上海泗泾08-01项目</t>
  </si>
  <si>
    <t>上海新建松江区泗泾镇SJSB0003单元08-01号地块商品住宅项目景观设计委托合同</t>
  </si>
  <si>
    <t>CRCCRE-SJ-XM-2022-034</t>
  </si>
  <si>
    <t>上海新建松江区泗泾镇SJSB0003单元08-01号
地块商品住宅项目精装修设计委托合同</t>
  </si>
  <si>
    <t>CRCCRE-SJ-XM-2022-043</t>
  </si>
  <si>
    <t>上海彬占建筑设计咨询有限公司</t>
  </si>
  <si>
    <t>完成大区精装概念设计,提交成果并得到甲方认可后15个工作日内请款，乙方按照甲方审核后的金额，开具相应金额的增值税专用发票，由甲方于审核后30日内进行进度款支付。</t>
  </si>
  <si>
    <t>完成大方案扩初设计阶段最终成果，经甲方书面确认后15个工作日内请款，乙方按照甲方审核后的金额，开具相应金额的增值税专用发票，由甲方于审核后30日内进行进度款支付。</t>
  </si>
  <si>
    <t>完成大区精装施工图设计,提交成果并得到甲方认可后15个工作日内请款，乙方按照甲方审核后的金额，开具相应金额的增值税专用发票，由甲方于审核后30日内进行进度款支付。</t>
  </si>
  <si>
    <t>工程通过竣工验收，乙方按照本合同设计内容和设计人责任的约定，完成此专项全部设计、配合、现场服务配合工作以及结算完成后15个工作日内请款，乙方按照甲方审核后的金额，开具相应金额的增值税专用发票，由甲方于审核后30日内进行结算款支付。</t>
  </si>
  <si>
    <t>新建松江区泗泾镇SJSB0003单元08-01号地块商品房项目施工图设计委托合同</t>
  </si>
  <si>
    <t>CRCCRE-SJ-XM-2022-037</t>
  </si>
  <si>
    <r>
      <rPr>
        <sz val="10"/>
        <color rgb="FF000000"/>
        <rFont val="宋体"/>
        <charset val="134"/>
      </rPr>
      <t>全专业图纸根据设计咨询、BIM等意见调整优化完毕并得到甲方认可后</t>
    </r>
    <r>
      <rPr>
        <sz val="12"/>
        <color rgb="FF000000"/>
        <rFont val="仿宋"/>
        <charset val="134"/>
      </rPr>
      <t>15个工作日内请款，次月30日前付款</t>
    </r>
  </si>
  <si>
    <t>新建松江区泗泾镇SJSB0003单元08-01号地块商品住宅项目地库方案设计专项服务合同</t>
  </si>
  <si>
    <t>CRCCRE-SJ-CZ-2022-023</t>
  </si>
  <si>
    <t>本合同签订并生效后，乙方提交设计方案经甲方确认后且甲方收到本项目业主方上海京淼鑫房地产有限公司相应款项后15个工作日内请款，次月30日内甲方向乙方支付合同额的20％；</t>
  </si>
  <si>
    <t>本合同约定设计工作全部完成并经过甲方确认后，经相关机构审查通过且甲方收到本项目业主方上海京淼鑫房地产有限公司相应款项后15个工作日内请款，次月30日内甲方向乙方支付合同额的80％；</t>
  </si>
  <si>
    <t>整体竣工验收完成，且甲方收到本项目业主方上海京淼鑫房地产有限公司相应款项后15个工作日内请款，结算完毕后，次月30日内甲方向乙方支付至合同结算金额的100%。</t>
  </si>
  <si>
    <t>上海新建松江区泗泾镇SJSB0003单元08-01号
地块商品房项目装配式深化、绿建、海绵、PC外保温拆板设计委托合同</t>
  </si>
  <si>
    <t>CRCCRE-SJ-XM-2022-038</t>
  </si>
  <si>
    <t>海绵</t>
  </si>
  <si>
    <t>此专项设计成果完成并通过相关政府部门审批，并获取施工图审查合格证后15个工作日内请款，次月30日内付款，支付至此专项设计费用的90%</t>
  </si>
  <si>
    <t>绿建</t>
  </si>
  <si>
    <t>保温PC</t>
  </si>
  <si>
    <t>合同签订后，且甲方收到业主方（上海京淼鑫房地产有限公司）付款后15个工作日内请款，次月30日内支付，支付至此专项设计费用的20%</t>
  </si>
  <si>
    <t>项目拆分完成并提交图纸后且甲方收到业主方（上海京淼鑫房地产有限公司）付款后15个工作日内请款，次月30日内支付，支付至此专项设计费用的80%</t>
  </si>
  <si>
    <t>主体结构封顶后且甲方收到业主方（上海京淼鑫房地产有限公司）付款后15个工作日内请款，次月30日内支付，支付至此专项设计费用的100%</t>
  </si>
  <si>
    <t>新建松江区泗泾镇SJSB0003单元08-01号地块商品住宅项目施工图审查合同</t>
  </si>
  <si>
    <t>CRCCRE-SJ-XM-2022-041</t>
  </si>
  <si>
    <t>上海斯美设计审图咨询有限公司</t>
  </si>
  <si>
    <r>
      <rPr>
        <sz val="10"/>
        <color rgb="FF000000"/>
        <rFont val="宋体"/>
        <charset val="134"/>
      </rPr>
      <t>上海泗泾08-01项目</t>
    </r>
    <r>
      <rPr>
        <sz val="10"/>
        <color rgb="FFFF0000"/>
        <rFont val="宋体"/>
        <charset val="134"/>
      </rPr>
      <t>（完结）</t>
    </r>
  </si>
  <si>
    <t>上海新建松江区泗泾镇SJSB0003单元08-01号地块商品房项目地下室BIM管综优化技术咨询服务合同</t>
  </si>
  <si>
    <t>CRCCRE-SJ-BIM-2022-013</t>
  </si>
  <si>
    <t>3元/m2</t>
  </si>
  <si>
    <t>乙方提交第一版全专业管综BIM模型、图纸问题与管综问题报告并经甲方书面确认后</t>
  </si>
  <si>
    <t>新建松江区泗泾镇SJSB0003单元08-01号
地块商品住宅项目智能化专项
设计服务合同</t>
  </si>
  <si>
    <t>CRCCRE-SJ-XM-2022-063</t>
  </si>
  <si>
    <t>本合同签订，提交智能化工作方案经甲方确认后且甲方收到本项目业主方（上海京淼鑫房地产有限公司）相应款项后15个工作日内请款</t>
  </si>
  <si>
    <t>施工图设计阶段，施工图设计完成且经相关机构审查通过（如有）且甲方收到本项目业主方（上海京淼鑫房地产有限公司）相应款项后15个工作日内请款</t>
  </si>
  <si>
    <t>整体工程竣工验收且结算完成，甲方收到本项目业主方（上海京淼鑫房地产有限公司）相应款项后15个工作日内请款</t>
  </si>
  <si>
    <t>新建松江区泗泾镇 SJSB0003 单元08-01 号地块商品住宅项目民防工程专项设计
服务合同</t>
  </si>
  <si>
    <t>CRCCRE-SJ-XM-2022-059</t>
  </si>
  <si>
    <t>上海市地下空间设计研究总院有限公司</t>
  </si>
  <si>
    <t>本合同签订，乙方提交本项目民防规划取得主管部门批复，且甲方收到本项目业主方（上海京淼鑫房地产有限公司）相应款项后15个工作日内请款</t>
  </si>
  <si>
    <t>乙方完成民防施工图设计工作，经相关机构审查通过，取得施工图审查合格证且甲方收到本项目业主方（上海京淼鑫房地产有限公司）相应款项后15个工作日内请款</t>
  </si>
  <si>
    <t>整体竣工验收完成且甲方收到本项目业主方（上海京淼鑫房地产有限公司）相应款项后15个工作日内请款</t>
  </si>
  <si>
    <t>新建松江区泗泾镇SJSB0003单元08-01号地块商品住宅项目基坑围护专项设计服务合同</t>
  </si>
  <si>
    <t>CRCCRE-SJ-XM-2022-062</t>
  </si>
  <si>
    <r>
      <rPr>
        <sz val="10"/>
        <rFont val="宋体"/>
        <charset val="134"/>
      </rPr>
      <t>本合同签订生效，且甲方收到本项目业主方（上海京淼鑫房地产有限公司）相应款项后</t>
    </r>
    <r>
      <rPr>
        <sz val="10"/>
        <color rgb="FF000000"/>
        <rFont val="宋体"/>
        <charset val="134"/>
        <scheme val="minor"/>
      </rPr>
      <t>15</t>
    </r>
    <r>
      <rPr>
        <sz val="10"/>
        <color rgb="FF000000"/>
        <rFont val="宋体"/>
        <charset val="134"/>
        <scheme val="minor"/>
      </rPr>
      <t>个工作日内请款</t>
    </r>
  </si>
  <si>
    <r>
      <rPr>
        <sz val="10"/>
        <rFont val="宋体"/>
        <charset val="134"/>
      </rPr>
      <t>乙方完成基坑围护设计方案评审后通过审查，且甲方收到本项目业主方（上海京淼鑫房地产有限公司）相应款项后</t>
    </r>
    <r>
      <rPr>
        <sz val="10"/>
        <color rgb="FF000000"/>
        <rFont val="宋体"/>
        <charset val="134"/>
        <scheme val="minor"/>
      </rPr>
      <t>15</t>
    </r>
    <r>
      <rPr>
        <sz val="10"/>
        <color rgb="FF000000"/>
        <rFont val="宋体"/>
        <charset val="134"/>
        <scheme val="minor"/>
      </rPr>
      <t>个工作日内请款</t>
    </r>
  </si>
  <si>
    <r>
      <rPr>
        <sz val="10"/>
        <rFont val="宋体"/>
        <charset val="134"/>
      </rPr>
      <t>乙方完成该专项施工图设计工作，经相关施工图审查机构审查通过且甲方收到本项目业主方（上海京淼鑫房地产有限公司）相应款项后</t>
    </r>
    <r>
      <rPr>
        <sz val="10"/>
        <color rgb="FF000000"/>
        <rFont val="宋体"/>
        <charset val="134"/>
        <scheme val="minor"/>
      </rPr>
      <t>15</t>
    </r>
    <r>
      <rPr>
        <sz val="10"/>
        <color rgb="FF000000"/>
        <rFont val="宋体"/>
        <charset val="134"/>
        <scheme val="minor"/>
      </rPr>
      <t>个工作日内请款</t>
    </r>
  </si>
  <si>
    <r>
      <rPr>
        <sz val="10"/>
        <rFont val="宋体"/>
        <charset val="134"/>
      </rPr>
      <t>整体项目竣工验收完成且甲方收到本项目业主方（上海京淼鑫房地产有限公司）相应款项后</t>
    </r>
    <r>
      <rPr>
        <sz val="10"/>
        <color rgb="FF000000"/>
        <rFont val="宋体"/>
        <charset val="134"/>
        <scheme val="minor"/>
      </rPr>
      <t>15</t>
    </r>
    <r>
      <rPr>
        <sz val="10"/>
        <color rgb="FF000000"/>
        <rFont val="宋体"/>
        <charset val="134"/>
        <scheme val="minor"/>
      </rPr>
      <t>个工作日内请款</t>
    </r>
  </si>
  <si>
    <t>新建松江区泗泾镇SJSB0003单元08-01号地块商品房项目立面方案设计委托合同</t>
  </si>
  <si>
    <t>CRCCRE-SJ-XM-2022-077</t>
  </si>
  <si>
    <t>立面方案</t>
  </si>
  <si>
    <r>
      <rPr>
        <sz val="10"/>
        <rFont val="宋体"/>
        <charset val="134"/>
      </rPr>
      <t>合同签订后（抵作第一阶段设计费）且</t>
    </r>
    <r>
      <rPr>
        <sz val="10"/>
        <color theme="1"/>
        <rFont val="宋体"/>
        <charset val="134"/>
      </rPr>
      <t>甲方收到业主方（上海京沐鑫房地产有限公司）付款后，次月30日前付款</t>
    </r>
  </si>
  <si>
    <r>
      <rPr>
        <sz val="10"/>
        <rFont val="宋体"/>
        <charset val="134"/>
      </rPr>
      <t>乙方提交全部设计成果经政府审批通过且经甲方书面确认之日起15个工作日内</t>
    </r>
    <r>
      <rPr>
        <sz val="10"/>
        <color theme="1"/>
        <rFont val="宋体"/>
        <charset val="134"/>
      </rPr>
      <t>请款，且甲方收到业主方（上海京沐鑫房地产有限公司）付款后，次月30日前付款</t>
    </r>
  </si>
  <si>
    <r>
      <rPr>
        <sz val="10"/>
        <rFont val="宋体"/>
        <charset val="134"/>
      </rPr>
      <t>取得《施工图图审合格证》之日起15个工作日</t>
    </r>
    <r>
      <rPr>
        <sz val="10"/>
        <color theme="1"/>
        <rFont val="宋体"/>
        <charset val="134"/>
      </rPr>
      <t>内请款，且甲方收到业主方（上海京沐鑫房地产有限公司）付款后，次月30日内付款</t>
    </r>
  </si>
  <si>
    <r>
      <rPr>
        <sz val="10"/>
        <rFont val="宋体"/>
        <charset val="134"/>
      </rPr>
      <t>竣工验收完成后15个工作日内请款，</t>
    </r>
    <r>
      <rPr>
        <sz val="10"/>
        <color theme="1"/>
        <rFont val="宋体"/>
        <charset val="134"/>
      </rPr>
      <t>且甲方收到业主方（上海京沐鑫房地产有限公司）付款后，次月30日内付款至合同金额的100%</t>
    </r>
  </si>
  <si>
    <t>新建松江区泗泾镇SJSB0003单元08-01地块项目
幕墙设计顾问服务合同</t>
  </si>
  <si>
    <t>CRCCRE-SJ-XM-2022-076</t>
  </si>
  <si>
    <r>
      <rPr>
        <sz val="10"/>
        <rFont val="宋体"/>
        <charset val="134"/>
      </rPr>
      <t>本合同签订生效后，乙方提交门窗、幕墙工作方案通过甲方确认，且甲方收到本项目业主方（上海京淼鑫房地产有限公司）相应款项后</t>
    </r>
    <r>
      <rPr>
        <sz val="10"/>
        <color rgb="FF000000"/>
        <rFont val="宋体"/>
        <charset val="134"/>
        <scheme val="minor"/>
      </rPr>
      <t>15</t>
    </r>
    <r>
      <rPr>
        <sz val="10"/>
        <color rgb="FF000000"/>
        <rFont val="宋体"/>
        <charset val="134"/>
        <scheme val="minor"/>
      </rPr>
      <t>个工作日内请款</t>
    </r>
  </si>
  <si>
    <r>
      <rPr>
        <sz val="10"/>
        <rFont val="宋体"/>
        <charset val="134"/>
      </rPr>
      <t>乙方完成大区门窗、幕墙所有设计工作经相关部门审查通过，且甲方收到本项目业主方（上海京淼鑫房地产有限公司）相应款项后</t>
    </r>
    <r>
      <rPr>
        <sz val="10"/>
        <color rgb="FF000000"/>
        <rFont val="宋体"/>
        <charset val="134"/>
        <scheme val="minor"/>
      </rPr>
      <t>15</t>
    </r>
    <r>
      <rPr>
        <sz val="10"/>
        <color rgb="FF000000"/>
        <rFont val="宋体"/>
        <charset val="134"/>
        <scheme val="minor"/>
      </rPr>
      <t>个工作日内请款</t>
    </r>
  </si>
  <si>
    <r>
      <rPr>
        <sz val="10"/>
        <rFont val="宋体"/>
        <charset val="134"/>
      </rPr>
      <t>整体竣工验收并结算完成，且甲方收到本项目业主方（上海京淼鑫房地产有限公司）相应款项后</t>
    </r>
    <r>
      <rPr>
        <sz val="10"/>
        <color rgb="FF000000"/>
        <rFont val="宋体"/>
        <charset val="134"/>
        <scheme val="minor"/>
      </rPr>
      <t>15</t>
    </r>
    <r>
      <rPr>
        <sz val="10"/>
        <color rgb="FF000000"/>
        <rFont val="宋体"/>
        <charset val="134"/>
        <scheme val="minor"/>
      </rPr>
      <t>个工作日内请款</t>
    </r>
  </si>
  <si>
    <t>上海泗泾08-01地块项目综合图、产品手册设计服务合同</t>
  </si>
  <si>
    <t>CRCCRE-SJ-XM-2022-068</t>
  </si>
  <si>
    <t>综合图</t>
  </si>
  <si>
    <t>杭州欧塬建筑设计有限公司</t>
  </si>
  <si>
    <t>（1）本合同签订生效，且甲方收到本项目业主方（上海京淼鑫房地产有限公司）相应款项后15个工作日内请款，经甲方确认乙方请款资料无误后，次月30日内甲方向乙方支付综合图设计费用的20％；</t>
  </si>
  <si>
    <r>
      <rPr>
        <sz val="10"/>
        <rFont val="宋体"/>
        <charset val="134"/>
      </rPr>
      <t>（</t>
    </r>
    <r>
      <rPr>
        <sz val="10"/>
        <color theme="1"/>
        <rFont val="宋体"/>
        <charset val="134"/>
      </rPr>
      <t>2）综合图成果提交并经过甲方确认后，且甲方收到本项目业主方（上海京淼鑫房地产有限公司）相应款项后15个工作日内请款，经甲方确认乙方请款资料无误后，次月30日内甲方向乙方支付综合图设计费用的60％；</t>
    </r>
  </si>
  <si>
    <t>（3）综合图成果提交并经过甲方确认后，且甲方收到本项目业主方（上海京淼鑫房地产有限公司）相应款项后15个工作日内请款，经甲方确认乙方请款资料无误后，次月30日内甲方向乙方支付综合图设计费用的60％；</t>
  </si>
  <si>
    <t>（4）整体竣工验收完成，按照《建设工程规划许可证》本项面积进行结算，且甲方收到本项目业主方（上海京淼鑫房地产有限公司）相应款项后15个工作日内请款，经甲方确认乙方请款资料无误后，次月30日内甲方向乙方支付综合图设计费用的20％。</t>
  </si>
  <si>
    <t>产品手册</t>
  </si>
  <si>
    <r>
      <rPr>
        <sz val="10"/>
        <rFont val="宋体"/>
        <charset val="134"/>
      </rPr>
      <t>（</t>
    </r>
    <r>
      <rPr>
        <sz val="10"/>
        <color theme="1"/>
        <rFont val="宋体"/>
        <charset val="134"/>
      </rPr>
      <t>1）本合同签订生效，且甲方收到本项目业主方（上海京淼鑫房地产有限公司）相应款项后15个工作日内请款，经甲方确认乙方请款资料无误后，次月30日内甲方向乙方支付产品手册设计费用的20％；</t>
    </r>
  </si>
  <si>
    <t>（2）产品手册成果提交并经过甲方确认后，且甲方收到本项目业主方（上海京淼鑫房地产有限公司）相应款项后15个工作日内请款，经甲方确认乙方请款资料无误后，次月30日内甲方向乙方支付产品手册设计费用的60％；</t>
  </si>
  <si>
    <t>（3）产品手册成果提交并经过甲方确认后，且甲方收到本项目业主方（上海京淼鑫房地产有限公司）相应款项后15个工作日内请款，经甲方确认乙方请款资料无误后，次月30日内甲方向乙方支付产品手册设计费用的60％；</t>
  </si>
  <si>
    <t>（4）整体竣工验收完成，按照《建设工程规划许可证》本项面积进行结算，且甲方收到本项目业主方（上海京淼鑫房地产有限公司）相应款项后15个工作日内请款，经甲方确认乙方请款资料无误后，次月30日内甲方向乙方支付产品手册设计费用的20％。</t>
  </si>
  <si>
    <t>上海松江新城C03A-04地块项目公区（含地库、架空层）
精装修硬装设计委托合同</t>
  </si>
  <si>
    <t>CRCCRE-SJ-XM-2025-021</t>
  </si>
  <si>
    <t>公区精装</t>
  </si>
  <si>
    <t>总建面150392.00㎡</t>
  </si>
  <si>
    <t>售楼处泛会所、188架空层会所：1500元/㎡；车库及光厅350元/㎡；首层大堂，地下大堂800元/㎡。</t>
  </si>
  <si>
    <t>完成展示区概念设计,提交成果并得到甲方认可后15个工作日内请款，乙方按照甲方审核后的金额，开具相应金额的增值税专用发票，由甲方于审核后次月30日前进行进度款支付。</t>
  </si>
  <si>
    <t>完成展示区精装施工图设计,提交成果并得到甲方认可后15个工作日内请款，乙方按照甲方审核后的金额，开具相应金额的增值税专用发票，由甲方于审核后次月30日前进行进度款支付。</t>
  </si>
  <si>
    <t>展示区精装修竣工后15个工作日内请款，乙方按照甲方审核后的金额，开具相应金额的增值税专用发票，由甲方于审核后次月30日前进行结算款支付。</t>
  </si>
  <si>
    <t>上海松江新城C03A-04地块项目超低能耗咨询服务合同</t>
  </si>
  <si>
    <t>CRCCRE-SJ-XM-2025-032</t>
  </si>
  <si>
    <t>超低能耗</t>
  </si>
  <si>
    <t>15元/㎡</t>
  </si>
  <si>
    <t>合同签订后,评审报告初稿完成7个工作日内</t>
  </si>
  <si>
    <t>方案阶段超低能耗评审通过且取得专家意见后7个工作日内</t>
  </si>
  <si>
    <t>施工图超低能耗评审通过且取得专家意见后7个工作日内</t>
  </si>
  <si>
    <t>竣工验收完成后，超低能耗评审通过后，双方办理结算手续，结算完成后7个工作日内</t>
  </si>
  <si>
    <t>上海上海松江新城C03A-04地块项目施工图设计审查服务合同</t>
  </si>
  <si>
    <t>CRCCRE-SJ-XM-2025-026</t>
  </si>
  <si>
    <t>上海现咨建设工程审图有限公司</t>
  </si>
  <si>
    <t>总建面150392.00㎡；
精装设计面积91598㎡</t>
  </si>
  <si>
    <t>土建3.9元/㎡，室内精装1.0元/㎡，幕墙191111.70元/项</t>
  </si>
  <si>
    <t>在乙方出具建筑桩基部分施工图审查合格证后，15个工作日内请款，次月30日前付款，向乙方支付合同额的20%</t>
  </si>
  <si>
    <t>在乙方出具建筑主体部分施工图审查合格证后，15个工作日内请款，次月30日前付款，向乙方支付合同额的60%。</t>
  </si>
  <si>
    <t>在乙方出具精装修部分施工图审查合格证后，15个工作日内请款，次月30日前付款，向乙方支付合同额的10%。</t>
  </si>
  <si>
    <t>在乙方出具幕墙部分施工图审查合格证后，双方办理结算手续，结算完成后15个工作日内请款，次月30日前付款，向乙方支付至合同结算金额的100%。</t>
  </si>
  <si>
    <t>上海松江新城C03A-04地块项目智能化设计委托合同</t>
  </si>
  <si>
    <t>CRCCRE-SJ-XM-2025-024</t>
  </si>
  <si>
    <t>1.15元/㎡</t>
  </si>
  <si>
    <t>20251/11/25</t>
  </si>
  <si>
    <t>2026/2/30</t>
  </si>
  <si>
    <t>上海松江新城C03A-04地块项目建筑方案设计委托合同</t>
  </si>
  <si>
    <t>CRCCRE-SJ-XM-2025-027</t>
  </si>
  <si>
    <t>建筑方案设计</t>
  </si>
  <si>
    <t>住宅（高层地上）25元/㎡；住宅（叠拼地上）32元/㎡；配套公建38元/㎡；售楼处32.97万元(原价45万，优惠）</t>
  </si>
  <si>
    <t>上海松江新城C03A-04地块项目建筑方案设计委托合同补充协议</t>
  </si>
  <si>
    <t>CRCCRE-SJ-XM-2025-027-B1</t>
  </si>
  <si>
    <t>上海松江新城C03A-04地块项目地库建筑方案设计委托合同</t>
  </si>
  <si>
    <t>CRCCRE-SJ-XM-2025-046</t>
  </si>
  <si>
    <t>地块</t>
  </si>
  <si>
    <t>总建面48000㎡</t>
  </si>
  <si>
    <t>上海松江新城C03A-04地块项目建筑施工图设计委托合同</t>
  </si>
  <si>
    <t>CRCCRE-SJ-XM-2025-028</t>
  </si>
  <si>
    <t>施工图、绿建、海绵、装配式</t>
  </si>
  <si>
    <t xml:space="preserve">上海联创设计集团股份有限公司  </t>
  </si>
  <si>
    <t>地上住宅（含商业配套）19.3元/㎡；地下室18；装配式设计及PC拆板设计6；海绵城市设计3；绿色建筑咨询1.5；</t>
  </si>
  <si>
    <t>合同签订后，乙方提交第一版施工图，经甲方确认后，15个工作日内请款，次月30日前付款</t>
  </si>
  <si>
    <t>205/10/15</t>
  </si>
  <si>
    <t>甲方收到第一个施工图图审合格证后15个工作日内请款，次月30日前付款</t>
  </si>
  <si>
    <t>竣工验收完成后。双方办理结算手续，结算完成后，15个工作日内请款，次月30日前付款</t>
  </si>
  <si>
    <t>上海松江新城C03A-04地块项目
批量精装修硬装设计委托合同</t>
  </si>
  <si>
    <t>CRCCRE-SJ-XM-2025-029</t>
  </si>
  <si>
    <t>上海松江新城C03A-04地块项目
景观方案至施工图设计委托合同</t>
  </si>
  <si>
    <t>CRCCRE-SJ-XM-2025-030</t>
  </si>
  <si>
    <t>示范区38；大区30；红线外16；样板庭院5.5.万元</t>
  </si>
  <si>
    <t>示范区及样板庭院方案设计成果完成经甲方确认后2个月内（付款审批流程完成后）</t>
  </si>
  <si>
    <t>示范区及样板庭院施工图设计成果完成经甲方确认后2个月内（付款审批流程完成后）</t>
  </si>
  <si>
    <t>红线外景观及交付大区概念设计成果经甲方确认后2个月内（付款审批流程完成后）</t>
  </si>
  <si>
    <t>红线外景观及交付大区方案设计成果完成经甲方确认后2个月内（付款审批流程完成后）</t>
  </si>
  <si>
    <t>红线外景观、交付大区及样板庭院扩初设计成果完成经甲方确认后2个月内（付款审批流程完成后）</t>
  </si>
  <si>
    <t>红线外景观、交付大区及样板庭院施工图设计成果完成经甲方确认后2个月内（付款审批流程完成后）</t>
  </si>
  <si>
    <t>上海松江新城C03A-04地块项目
幕墙设计顾问服务合同</t>
  </si>
  <si>
    <t>CRCCRE-SJ-XM-2025-033</t>
  </si>
  <si>
    <t>思甫悉建筑设计咨询（上海）有限公司</t>
  </si>
  <si>
    <t>按地上建筑面积6.84元/㎡</t>
  </si>
  <si>
    <t>本合同签订生效后，乙方完成方案阶段顾问工作内容后，经甲方书面确认后15个工作日内请款，次月30日前付款</t>
  </si>
  <si>
    <t>乙方完成初步设计阶段顾问工作内容后，经甲方书面确认后15个工作日内请款，次月30日前付款</t>
  </si>
  <si>
    <t>乙方完成施工图阶段顾问工作内容后，经甲方书面确认后15个工作日内请款，次月30日前付款</t>
  </si>
  <si>
    <t>项目整体竣工验收完成，甲乙双方办理结算手续，结算完成后15个工作日内请款，次月30日前付款</t>
  </si>
  <si>
    <t>上海松江新城C03A-04地块项目
基坑围护设计服务合同</t>
  </si>
  <si>
    <t>CRCCRE-SJ-XM-2025-034</t>
  </si>
  <si>
    <t>本合同签订生效，乙方完成基坑支护方案设计，通过基坑评审机构审查合格后，15个工作日内请款</t>
  </si>
  <si>
    <t>乙方完成该专项施工图设计工作，经甲方确认后15个工作日内请款</t>
  </si>
  <si>
    <t>整体工程竣工验收完成后15个工作日内请款</t>
  </si>
  <si>
    <t>上海松江新城C03A-04地块项目
人防专项设计服务合同</t>
  </si>
  <si>
    <t>CRCCRE-SJ-XM-2025-035</t>
  </si>
  <si>
    <t>上海屹防建筑设计有限公司</t>
  </si>
  <si>
    <t>本合同签订，乙方提交本项目人防方案，经过甲方确认后15个工作日内请款，次月30日内甲方向乙方支付合同暂估总额的20％；</t>
  </si>
  <si>
    <t>乙方完成人防施工图设计工作，经相关机构审查通过后15个工作日内请款，次月30日内甲方向乙方支付合同暂估总额的60％；</t>
  </si>
  <si>
    <t>整体项目竣工验收及结算完成后15个工作日内请款，次月30日内甲方向乙方支付至合同结算金额的100％。</t>
  </si>
  <si>
    <t>2025/</t>
  </si>
  <si>
    <t>泛光</t>
  </si>
  <si>
    <t>竣工</t>
  </si>
  <si>
    <t>综合图产品手册</t>
  </si>
  <si>
    <t>合同签订，方案</t>
  </si>
  <si>
    <t>成果</t>
  </si>
  <si>
    <t>上海松江新城C03A-04地块项目会所
精装修硬装设计委托合同</t>
  </si>
  <si>
    <t>CRCCRE-SJ-XM-2025-019</t>
  </si>
  <si>
    <t>会所精装</t>
  </si>
  <si>
    <t>1150元/㎡</t>
  </si>
  <si>
    <t>完成会所概念设计,提交成果并得到甲方认可后15个工作日内请款，乙方按照甲方审核后的金额，开具相应金额的增值税专用发票，由甲方于审核后次月30日前进行进度款支付。</t>
  </si>
  <si>
    <t>完成会所方案设计阶段最终成果，经甲方书面确认后15个工作日内请款，乙方按照甲方审核后的金额，开具相应金额的增值税专用发票，由甲方于审核后次月30日前进行进度款支付。</t>
  </si>
  <si>
    <t>完成会所精装施工图设计,提交成果并得到甲方认可后15个工作日内请款，乙方按照甲方审核后的金额，开具相应金额的增值税专用发票，由甲方于审核后次月30日前进行进度款支付。</t>
  </si>
  <si>
    <t>会所精装修竣工及结算完成，后15个工作日内请款，乙方按照甲方审核后的金额，开具相应金额的增值税专用发票，由甲方于审核后次月30日前进行结算款支付。</t>
  </si>
  <si>
    <t>上海中山街道项目</t>
  </si>
  <si>
    <t>松江中山街道新城主城C单元C07-01号地块商品房项目方案设计合同</t>
  </si>
  <si>
    <t>CRCCRE-SJ-XM-2022-048</t>
  </si>
  <si>
    <t>上海致逸建筑设计有限公司</t>
  </si>
  <si>
    <t>高层住宅：83093.78平米；联排：10263.96平米；配套、商业
及会所：3081.44平米；联排地下室：1402.30平米</t>
  </si>
  <si>
    <t>高层住宅：27.75元/平米；联排、配套、商业
及会所：37.95元/平米；联排地下室：9.8元/平米</t>
  </si>
  <si>
    <t>配合所有施工图完成，并通过相关部门图审后15个工作日内请款，次月30日前付款</t>
  </si>
  <si>
    <t>配合施工完成，并经相关部门验收后，竣工验收完成后15个工作日内请款次月30日内付款至合同金额的100%</t>
  </si>
  <si>
    <t xml:space="preserve">
松江区中山街道新城主城C单元C07-01地块商品房项目施工图设计委托合同</t>
  </si>
  <si>
    <t>CRCCRE-SJ-XM-2022-049</t>
  </si>
  <si>
    <t>取得第一个施工图图审合格证后15个工作日内请款，次月30日前付款</t>
  </si>
  <si>
    <r>
      <rPr>
        <sz val="10"/>
        <rFont val="宋体"/>
        <charset val="134"/>
      </rPr>
      <t>全专业图纸根据设计咨询、BIM等意见调整优化完毕并得到甲方认可后</t>
    </r>
    <r>
      <rPr>
        <sz val="12"/>
        <color rgb="FF000000"/>
        <rFont val="仿宋"/>
        <charset val="134"/>
      </rPr>
      <t>15个工作日内请款，次月30日前付款</t>
    </r>
  </si>
  <si>
    <t>施工图图审合格证后15个工作日内请款，次月30日前付款</t>
  </si>
  <si>
    <t>松江区中山街道新城主城C单元C07-01地块商品房项目人防工程专项设计服务合同</t>
  </si>
  <si>
    <t>CRCCRE-SJ-XM-2022-061</t>
  </si>
  <si>
    <r>
      <rPr>
        <sz val="10"/>
        <rFont val="宋体"/>
        <charset val="134"/>
      </rPr>
      <t>本合同签订，乙方提交本项目人防规划经主管部门批复，且甲方收到本项目业主方（上海京泽鑫房地产开发有限公司）相应款项后</t>
    </r>
    <r>
      <rPr>
        <sz val="10"/>
        <color rgb="FF000000"/>
        <rFont val="宋体"/>
        <charset val="134"/>
        <scheme val="minor"/>
      </rPr>
      <t>15</t>
    </r>
    <r>
      <rPr>
        <sz val="10"/>
        <color rgb="FF000000"/>
        <rFont val="宋体"/>
        <charset val="134"/>
        <scheme val="minor"/>
      </rPr>
      <t>个工作日内请款</t>
    </r>
  </si>
  <si>
    <r>
      <rPr>
        <sz val="10"/>
        <rFont val="宋体"/>
        <charset val="134"/>
      </rPr>
      <t>乙方完成人防施工图设计工作，经相关机构审查通过且甲方收到本项目业主方（上海京泽鑫房地产开发有限公司）相应款项后</t>
    </r>
    <r>
      <rPr>
        <sz val="10"/>
        <color rgb="FF000000"/>
        <rFont val="宋体"/>
        <charset val="134"/>
        <scheme val="minor"/>
      </rPr>
      <t>15</t>
    </r>
    <r>
      <rPr>
        <sz val="10"/>
        <color rgb="FF000000"/>
        <rFont val="宋体"/>
        <charset val="134"/>
        <scheme val="minor"/>
      </rPr>
      <t>个工作日内请款</t>
    </r>
  </si>
  <si>
    <r>
      <rPr>
        <sz val="10"/>
        <rFont val="宋体"/>
        <charset val="134"/>
      </rPr>
      <t>人防区开始施工，经业主确认后且甲方收到本项目业主方（上海京泽鑫房地产开发有限公司）相应款项后</t>
    </r>
    <r>
      <rPr>
        <sz val="10"/>
        <color rgb="FF000000"/>
        <rFont val="宋体"/>
        <charset val="134"/>
        <scheme val="minor"/>
      </rPr>
      <t>15</t>
    </r>
    <r>
      <rPr>
        <sz val="10"/>
        <color rgb="FF000000"/>
        <rFont val="宋体"/>
        <charset val="134"/>
        <scheme val="minor"/>
      </rPr>
      <t>个工作日内请款</t>
    </r>
  </si>
  <si>
    <r>
      <rPr>
        <sz val="10"/>
        <rFont val="宋体"/>
        <charset val="134"/>
      </rPr>
      <t>整体项目竣工验收及结算完成且甲方收到本项目业主方（上海京泽鑫房地产开发有限公司）相应款项后</t>
    </r>
    <r>
      <rPr>
        <sz val="10"/>
        <color rgb="FF000000"/>
        <rFont val="宋体"/>
        <charset val="134"/>
        <scheme val="minor"/>
      </rPr>
      <t>15</t>
    </r>
    <r>
      <rPr>
        <sz val="10"/>
        <color rgb="FF000000"/>
        <rFont val="宋体"/>
        <charset val="134"/>
        <scheme val="minor"/>
      </rPr>
      <t>个工作日内请款</t>
    </r>
  </si>
  <si>
    <t>上海市松江区中山街道新城主城C单元C07-01号地块项目海绵城市、PC外保温拆板设计委托合同</t>
  </si>
  <si>
    <t>CRCCRE-SJ-XM-2022-060</t>
  </si>
  <si>
    <r>
      <rPr>
        <sz val="10"/>
        <rFont val="宋体"/>
        <charset val="134"/>
      </rPr>
      <t>提交此专项工作方案并在甲方均审核通过后</t>
    </r>
    <r>
      <rPr>
        <sz val="10"/>
        <color rgb="FF000000"/>
        <rFont val="宋体"/>
        <charset val="134"/>
        <scheme val="minor"/>
      </rPr>
      <t>15</t>
    </r>
    <r>
      <rPr>
        <sz val="10"/>
        <color rgb="FF000000"/>
        <rFont val="宋体"/>
        <charset val="134"/>
        <scheme val="minor"/>
      </rPr>
      <t>个工作日内请款，次月</t>
    </r>
    <r>
      <rPr>
        <sz val="10"/>
        <color rgb="FF000000"/>
        <rFont val="宋体"/>
        <charset val="134"/>
        <scheme val="minor"/>
      </rPr>
      <t>30</t>
    </r>
    <r>
      <rPr>
        <sz val="10"/>
        <color rgb="FF000000"/>
        <rFont val="宋体"/>
        <charset val="134"/>
        <scheme val="minor"/>
      </rPr>
      <t>日内付款</t>
    </r>
  </si>
  <si>
    <t>外保温</t>
  </si>
  <si>
    <r>
      <rPr>
        <sz val="10"/>
        <rFont val="宋体"/>
        <charset val="134"/>
      </rPr>
      <t>合同签订后，且甲方收到业主方（上海京泽鑫房地产开发有限公司）付款后</t>
    </r>
    <r>
      <rPr>
        <sz val="10"/>
        <color rgb="FF000000"/>
        <rFont val="宋体"/>
        <charset val="134"/>
        <scheme val="minor"/>
      </rPr>
      <t>15</t>
    </r>
    <r>
      <rPr>
        <sz val="10"/>
        <color rgb="FF000000"/>
        <rFont val="宋体"/>
        <charset val="134"/>
        <scheme val="minor"/>
      </rPr>
      <t>个工作日内请款，次月</t>
    </r>
    <r>
      <rPr>
        <sz val="10"/>
        <color rgb="FF000000"/>
        <rFont val="宋体"/>
        <charset val="134"/>
        <scheme val="minor"/>
      </rPr>
      <t>30</t>
    </r>
    <r>
      <rPr>
        <sz val="10"/>
        <color rgb="FF000000"/>
        <rFont val="宋体"/>
        <charset val="134"/>
        <scheme val="minor"/>
      </rPr>
      <t>日内支付</t>
    </r>
  </si>
  <si>
    <r>
      <rPr>
        <sz val="10"/>
        <rFont val="宋体"/>
        <charset val="134"/>
      </rPr>
      <t>项目拆分完成并提交图纸后且甲方收到业主方（上海京泽鑫房地产开发有限公司）付款后</t>
    </r>
    <r>
      <rPr>
        <sz val="10"/>
        <color rgb="FF000000"/>
        <rFont val="宋体"/>
        <charset val="134"/>
        <scheme val="minor"/>
      </rPr>
      <t>15</t>
    </r>
    <r>
      <rPr>
        <sz val="10"/>
        <color rgb="FF000000"/>
        <rFont val="宋体"/>
        <charset val="134"/>
        <scheme val="minor"/>
      </rPr>
      <t>个工作日内请款，次月</t>
    </r>
    <r>
      <rPr>
        <sz val="10"/>
        <color rgb="FF000000"/>
        <rFont val="宋体"/>
        <charset val="134"/>
        <scheme val="minor"/>
      </rPr>
      <t>30</t>
    </r>
    <r>
      <rPr>
        <sz val="10"/>
        <color rgb="FF000000"/>
        <rFont val="宋体"/>
        <charset val="134"/>
        <scheme val="minor"/>
      </rPr>
      <t>日内支付</t>
    </r>
  </si>
  <si>
    <r>
      <rPr>
        <sz val="10"/>
        <rFont val="宋体"/>
        <charset val="134"/>
      </rPr>
      <t>主体结构封顶后且甲方收到业主方（上海京泽鑫房地产开发有限公司）付款后</t>
    </r>
    <r>
      <rPr>
        <sz val="10"/>
        <color rgb="FF000000"/>
        <rFont val="宋体"/>
        <charset val="134"/>
        <scheme val="minor"/>
      </rPr>
      <t>15</t>
    </r>
    <r>
      <rPr>
        <sz val="10"/>
        <color rgb="FF000000"/>
        <rFont val="宋体"/>
        <charset val="134"/>
        <scheme val="minor"/>
      </rPr>
      <t>个工作日内请款，次月</t>
    </r>
    <r>
      <rPr>
        <sz val="10"/>
        <color rgb="FF000000"/>
        <rFont val="宋体"/>
        <charset val="134"/>
        <scheme val="minor"/>
      </rPr>
      <t>30</t>
    </r>
    <r>
      <rPr>
        <sz val="10"/>
        <color rgb="FF000000"/>
        <rFont val="宋体"/>
        <charset val="134"/>
        <scheme val="minor"/>
      </rPr>
      <t>日内支付</t>
    </r>
  </si>
  <si>
    <t>松江区中山街道新城主城C单元C07-01地块商品房项目综合图、产品手册设计服务合同</t>
  </si>
  <si>
    <t>CRCCRE-SJ-XM-2022-057</t>
  </si>
  <si>
    <t>六图一书</t>
  </si>
  <si>
    <r>
      <rPr>
        <sz val="10"/>
        <rFont val="宋体"/>
        <charset val="134"/>
      </rPr>
      <t>本合同签订生效且甲方收到本项目业主方（上海京泽鑫房地产开发有限公司）相应款项后</t>
    </r>
    <r>
      <rPr>
        <sz val="10"/>
        <color rgb="FF000000"/>
        <rFont val="宋体"/>
        <charset val="134"/>
        <scheme val="minor"/>
      </rPr>
      <t>15</t>
    </r>
    <r>
      <rPr>
        <sz val="10"/>
        <color rgb="FF000000"/>
        <rFont val="宋体"/>
        <charset val="134"/>
        <scheme val="minor"/>
      </rPr>
      <t>个工作日内请款</t>
    </r>
  </si>
  <si>
    <r>
      <rPr>
        <sz val="10"/>
        <rFont val="宋体"/>
        <charset val="134"/>
      </rPr>
      <t>乙方提交综合图图纸及产品手册成果经甲方确认后，且甲方收到本项目业主方（上海京泽鑫房地产开发有限公司）相应款项后</t>
    </r>
    <r>
      <rPr>
        <sz val="10"/>
        <color rgb="FF000000"/>
        <rFont val="宋体"/>
        <charset val="134"/>
        <scheme val="minor"/>
      </rPr>
      <t>15</t>
    </r>
    <r>
      <rPr>
        <sz val="10"/>
        <color rgb="FF000000"/>
        <rFont val="宋体"/>
        <charset val="134"/>
        <scheme val="minor"/>
      </rPr>
      <t>个工作日内请款</t>
    </r>
  </si>
  <si>
    <r>
      <rPr>
        <sz val="10"/>
        <rFont val="宋体"/>
        <charset val="134"/>
      </rPr>
      <t>整体工程竣工验收、结算完成后，且甲方收到本项目业主方（上海京泽鑫房地产开发有限公司）相应款项后</t>
    </r>
    <r>
      <rPr>
        <sz val="10"/>
        <color rgb="FF000000"/>
        <rFont val="宋体"/>
        <charset val="134"/>
        <scheme val="minor"/>
      </rPr>
      <t>15</t>
    </r>
    <r>
      <rPr>
        <sz val="10"/>
        <color rgb="FF000000"/>
        <rFont val="宋体"/>
        <charset val="134"/>
        <scheme val="minor"/>
      </rPr>
      <t>个工作日内请款</t>
    </r>
  </si>
  <si>
    <t>上海松江区中山街道新城主城C单元C07-01地块商品房项目BIM建模及管综优化服务合同</t>
  </si>
  <si>
    <t>CRCCRE-SJ-XM-2022-054</t>
  </si>
  <si>
    <t>悉地国际设计顾问（深圳）有限公司</t>
  </si>
  <si>
    <t>地下室43670㎡，室外管综36042㎡</t>
  </si>
  <si>
    <t>固定单价（地下室8元/㎡，室外管综6元/㎡）</t>
  </si>
  <si>
    <t>乙方完成地下车库全专业模型的建立，提交地库问题报告并经甲方确认后15个工作日内请款，次月30日前付款</t>
  </si>
  <si>
    <t>乙方提交地下室管线综合BIM模型及管线综合图并经甲方确认后15个工作日内请款，次月30日前付款</t>
  </si>
  <si>
    <t>乙方完成室外管综模型的建立，提交室外管线综合图并经甲方确认后15个工作日内请款，次月30日前付款</t>
  </si>
  <si>
    <t>松江中山街道新城主城C单元C07-01号地块商品房项目施工图审查合同</t>
  </si>
  <si>
    <t>CRCCRE-SJ-XM-2022-053</t>
  </si>
  <si>
    <t>合同签订后15个工作日内请款，次月30日前付款，甲方应向乙方支付建筑主体部分施工图审查费用的20%作为预付款，计：人民币（大写）壹拾贰万陆仟零玖拾捌元肆角肆分 （¥ 126098.44 ），预付款在本合同履行后，抵作审查费用。</t>
  </si>
  <si>
    <t>在乙方出具建筑主体部分施工图审查合格证后15个工作日内请款，次月30日前付款，甲方向乙方一次性支付建筑主体部分施工图审查费用的80%，计：人民币(大写) 伍拾万肆仟叁佰玖拾叁元柒角陆分（¥ 504393.76）。</t>
  </si>
  <si>
    <t>在乙方出具精装修部分施工图审查合格证后15个工作日内请款，次月30日前付款，甲方向乙方一次性支付精装修部分费用，计：人民币(大写) )玖万叁仟叁佰伍拾玖元捌角（¥ 93359.80）。</t>
  </si>
  <si>
    <t>在乙方出具幕墙部分施工图审查合格证后15个工作日内请款，次月30日前付款，甲方向乙方一次性支付幕墙部分费用，计：人民币(大写) 柒万元整（¥ 70000.00）。</t>
  </si>
  <si>
    <t>松江区中山街道新城主城C单元C07-01地块商品房项目装配式深化设计委托合同</t>
  </si>
  <si>
    <t>CRCCRE-SJ-XM-2022-067</t>
  </si>
  <si>
    <t>装配式深化</t>
  </si>
  <si>
    <t>苏州旭杰建筑科技股份有限公司</t>
  </si>
  <si>
    <t>完成施工图审查后15个工作日内请款，次月30日内付款</t>
  </si>
  <si>
    <t>完成深化设计成果后15个工作日内请款，次月30日内付款</t>
  </si>
  <si>
    <t>构件开始吊装，并经甲方确认后30日内</t>
  </si>
  <si>
    <t>主体封顶，并经甲方确认后30日内</t>
  </si>
  <si>
    <t>上海松江区中山街道新城主城C单元C07-01地块商品房项目
幕墙设计顾问服务合同</t>
  </si>
  <si>
    <t>CECCRE-SJ-XM-2022-051</t>
  </si>
  <si>
    <t>上海同远建筑设计咨询有限公司</t>
  </si>
  <si>
    <t>乙方提交幕墙工作方案通过甲方确认，且甲方收到本项目业主方（上海京泽鑫房地产开发有限公司）相应款项后15个工作日内请款，次月30日前付款，向乙方支付合同额的20％；</t>
  </si>
  <si>
    <t>乙方完成大区幕墙所有设计工作经相关部门审查通过，且甲方收到本项目业主方（上海京泽鑫房地产开发有限公司）相应款项后15个工作日内请款，次月30日前付款，向乙方支付合同额的75％；</t>
  </si>
  <si>
    <t>整体竣工验收并结算完成，且甲方收到本项目业主方（上海京泽鑫房地产开发有限公司）相应款项后15个工作日内请款，次月30日前付款，向乙方支付合同额的5％。</t>
  </si>
  <si>
    <t>上海松江区中山街道新城主城C单元C07-01地块商品房项目
幕墙设计顾问服务合同补充协议</t>
  </si>
  <si>
    <t>CECCRE-SJ-XM-2022-051-B1</t>
  </si>
  <si>
    <t>本协议签订后，乙方提交方案设计成果，经甲方确认后后15个工作日内请款，次月30日前付款</t>
  </si>
  <si>
    <t>乙方完成施工图设计工作，并经甲方书面确认后15个工作日内请款，次月30日前付款</t>
  </si>
  <si>
    <t>整体项目竣工验收完成，并经甲方书面确认后15个工作日内请款，次月30日内支付</t>
  </si>
  <si>
    <t>上海松江区中山街道新城主城C单元C07-01地块景观设计合同</t>
  </si>
  <si>
    <t>CRCCRE-SJ-XM-2022-052</t>
  </si>
  <si>
    <t>完成并提交概念设计成果并得到甲方认可，且甲方收到本项目业主方（上海京泽鑫房地产开发有限公司）相应款项后15个工作日内请款，次月30日内甲方向乙方支付合同额的20%，计人民币228000元整（大写：贰拾贰万捌仟元整）；</t>
  </si>
  <si>
    <t>完成并提交方案设计成果，且甲方收到本项目业主方（上海京泽鑫房地产开发有限公司）相应款项后15个工作日内请款，次月30日内甲方向乙方支付合同额的30%，计人民币 342000元整（大写： 叁拾肆万贰仟元整）；</t>
  </si>
  <si>
    <t>完成并提交初步设计成果，且甲方收到本项目业主方（上海京泽鑫房地产开发有限公司）相应款项后15个工作日内请款，次月30日内甲方向乙方支付合同额的20%，计人民币228000元整（大写：贰拾贰万捌仟元整 ）；</t>
  </si>
  <si>
    <t>完成并提交施工图设计成果，且甲方收到本项目业主方（上海京泽鑫房地产开发有限公司）相应款项后15个工作日内请款，次月30日内甲方向乙方支付合同额的20%，计人民币228000元整（大写：贰拾贰万捌仟元整  ）；</t>
  </si>
  <si>
    <t>施工配合且竣工验收后，甲方收到本项目业主方（上海京泽鑫房地产开发有限公司）相应款项后15个工作日内请款，次月30日内甲方向乙方支付合同额的10%，计人民币114000元整（大写：壹拾壹万肆仟元整 ）。</t>
  </si>
  <si>
    <t>松江区中山街道新城主城C单元C07-01地块商品房项目结构设计优化咨询服务合同</t>
  </si>
  <si>
    <t>CRCCRE-SJ-XM-2022-056</t>
  </si>
  <si>
    <t>结构优化</t>
  </si>
  <si>
    <t>上海赢时建筑科技有限公司</t>
  </si>
  <si>
    <t>施工图取得审图合格证之后，且甲方收到本项目业主方（上海京沐鑫房地产开发有限公司）相应款项后15个工作日内请款，次月30日内甲方向乙方支付合同额的15％。</t>
  </si>
  <si>
    <t>乙方提交优化报告后，经甲方初步确认优化成果满足合同约定后，且甲方收到本项目业主方（上海京沐鑫房地产开发有限公司）相应款项后15个工作日内请款，次月30日内甲方向乙方支付合同额的35%。</t>
  </si>
  <si>
    <t>经甲方成本转固后数据与合同约定的同一口径数据进行对比满足合同约定成果后，且甲方收到本项目业主方（上海京沐鑫房地产开发有限公司）相应款项后15个工作日内请款，次月30日内甲方向乙方支付合同额的45%。</t>
  </si>
  <si>
    <t>（所有楼栋）结构封顶且甲方收到本项目业主方（上海京沐鑫房地产开发有限公司）相应款项后15个工作日内请款，次月30日内甲方向乙方支付合同额的5%。</t>
  </si>
  <si>
    <t>松江区中山街道新城主城C单元C07-01地块商品房项目基坑围护专项设计服务合同</t>
  </si>
  <si>
    <t>CRCCRE-SJ-XM-2022-058</t>
  </si>
  <si>
    <t>上海市基础工程集团有限公司</t>
  </si>
  <si>
    <t>本合同签订，乙方提交本项目基坑围护专项方案设计文件，经当地评审机构专家审查通过且甲方收到本项目业主方（上海京泽鑫房地产开发有限公司）相应款项后15个工作日内请款，次月30日内甲方向乙方支付合同额的20％；</t>
  </si>
  <si>
    <t>乙方完成该专项施工图设计工作，成果经甲方确认通过甲方收到本项目业主方（上海京泽鑫房地产开发有限公司）相应款项后15个工作日内请款，次月30日内甲方向乙方支付合同额的60％；</t>
  </si>
  <si>
    <t>整体项目竣工验收完成且甲方收到本项目业主方（上海京泽鑫房地产开发有限公司）相应款项后15个工作日内请款，次月30日内甲方向乙方支付合同额的20％。</t>
  </si>
  <si>
    <t>上海松江区中山街道新城主城C单元C07-01地块商品房项目微气候设计咨询合同</t>
  </si>
  <si>
    <t>CRCCRE-SJ-XM-2022-066</t>
  </si>
  <si>
    <t>微气候</t>
  </si>
  <si>
    <t>深圳金地研发设计有限公司</t>
  </si>
  <si>
    <t>本合同签订，提交项目大区适宜活动场地初步定位评价及优化经甲方确认后且甲方收到本项目业主方（上海京泽鑫房地产开发有限公司）相应款项后15个工作日内请款，次月30日内甲方向乙方支付合同额的15％</t>
  </si>
  <si>
    <t>乙方提交《大区各地块场地定位分析评价及方案优化设计》成果完成并经相关机构审查通过（如有），且甲方收到本项目业主方（上海京泽鑫房地产开发有限公司）相应款项后15个工作日内请款，次月30日内甲方向乙方支付合同额的35％；</t>
  </si>
  <si>
    <t>乙方提交两个主要场地的《大区功能性活动场地微气候分析设计优化（含大区功能性植物分析及配置优化）》成果，且甲方收到本项目业主方（上海京泽鑫房地产开发有限公司）相应款项后15个工作日内请款，次月30日内甲方向乙方支付合同额的50％；</t>
  </si>
  <si>
    <t>上海松江区中山街道新城主城C单元C07-01地块商品房项目建筑施工图优化咨询合同</t>
  </si>
  <si>
    <t>CRCCRE-SJ-XM-2022-065</t>
  </si>
  <si>
    <t>本合同签订，首次审图意见完成并提交后甲方确认后且甲方收到本项目业主方（上海京泽鑫房地产开发有限公司）相应款项后15个工作日内请款，次月30日内甲方向乙方支付合同额的15％；</t>
  </si>
  <si>
    <t>乙方提交最终的审图报告并且经相关机构审查通过（如有）且甲方收到本项目业主方（上海京泽鑫房地产开发有限公司）相应款项后15个工作日内请款，次月30日内甲方向乙方支付合同额的85％。</t>
  </si>
  <si>
    <t>上海松江区中山街道新城主城C单元C07-01地块商品房项目室内精装修设计委托合同</t>
  </si>
  <si>
    <t>CRCCRE-SJ-XM-2022-072</t>
  </si>
  <si>
    <t>方案类</t>
  </si>
  <si>
    <t>固定单价（示范区900元/㎡，500元/㎡，385元/㎡；批量400元/㎡，350元/㎡，240元/㎡，210元/㎡。</t>
  </si>
  <si>
    <t>本合同生效后, 完成概念方案设计并经甲方书面确认后15个工作日内请款，次月30日前付款</t>
  </si>
  <si>
    <t>深化方案完成并经甲方书面确认后15个工作日内请款，次月30日前付款；</t>
  </si>
  <si>
    <t>施工图完成并经甲方书面确认后15个工作日内请款，次月30日前付款；</t>
  </si>
  <si>
    <t>工程通过竣工验收，设计人按照合同设计内容和责任约定，完成此专项全部设计、配合、现场服务配合工作后</t>
  </si>
  <si>
    <t>批量施工图类</t>
  </si>
  <si>
    <t>完成深化设计（平面系统图、平面布置图、综合天花布置图、天花照明布置图、地坪布置图、强弱电定位图、给排水定位图）并经甲方书面确认后15个工作日内请款，次月30日前付款</t>
  </si>
  <si>
    <t>完成扩初设计（综合平面系统图、材料表及材料实样、主要立面图（如：背景墙、收纳等）、二次深化设计图等）并经甲方书面确认后15个工作日内请款，次月30日前付款</t>
  </si>
  <si>
    <t>完成施工图设计（达到正式施工图要求、含施工图、材料表、材料样板），并经甲方书面确认后15个工作日内请款，次月30日前付款</t>
  </si>
  <si>
    <t>上海松江区中山街道新城主城C单元C07-01地块商品房项目门窗审核技术服务合同</t>
  </si>
  <si>
    <t>CRCCRE-SJ-XM-2023-017</t>
  </si>
  <si>
    <t>门窗专项审核</t>
  </si>
  <si>
    <t>上海安雷幕墙工程有限公司</t>
  </si>
  <si>
    <t>本合同签订生效后，乙方提交此门窗设计审核专项工作方案(后，经过甲方确认后，且甲方收到本项目业主方(上海京泽鑫房地产开发有限公司)相应款项后15个工作日内请款，次月30日前付款</t>
  </si>
  <si>
    <t>乙方提交门窗设计审图成果通过甲方确认，且甲方收到本项目业主方(上海京泽鑫房地产开发有限公司)相应款项后15个工作日内请款，次月30日前付款</t>
  </si>
  <si>
    <t>项目整体竣工验收完成，且甲方收到本项目业主方(上海京泽鑫房地产开发有限公司)相应款项后15个工作日内请款，次月30日前付款</t>
  </si>
  <si>
    <t>上海松江区中山街道新城主城C单元C07-01地块商品房项目接待中心精装设计委托合同</t>
  </si>
  <si>
    <t>CRCCRE-SJ-XM-2023-014</t>
  </si>
  <si>
    <t>接待中心精装</t>
  </si>
  <si>
    <t>上海鲲誉装饰设计有限公司</t>
  </si>
  <si>
    <t>本合同签订后，乙方提交概念方案设计成果，经甲方确认后且甲方收到本项目业主方(上海京泽鑫房地产开发有限公司)相应款项后15个工作日内请款，次月30日内甲方向乙方支付合同额的15%。</t>
  </si>
  <si>
    <t>乙方完成深化方案设计阶段，向甲方提交深化方案设计成果，经甲方确认后且甲方收到本项目业主方(上海京泽鑫房地产开发有限公司)相应款项后15个工作日内请款，次月30日内甲方向乙方支付合同额的40%。</t>
  </si>
  <si>
    <t>乙方完成施工图设计阶段，向甲方提交施工图设计成果，经甲方确认后且甲方收到本项目业主方(上海京泽鑫房地产开发有限公司)相应款项后15个工作日内请款，次月30日内甲方向乙方支付合同额的35%。</t>
  </si>
  <si>
    <t>乙方配合甲方完成该设计内容的施工并通过甲方项目验收完工后，甲方收到本项目业主方(上海京泽鑫房地产开发有限公司)相应款项后15个工作日内请款，次月30日内甲方向乙方支付至合同结算额的100%</t>
  </si>
  <si>
    <t>上海松江区中山街道新城主城C单元C07-01 地块商品房项目售楼处精装设计服务合同</t>
  </si>
  <si>
    <t>CRCCRE-SJ-XM-2023-015</t>
  </si>
  <si>
    <t>原售楼处精装</t>
  </si>
  <si>
    <t>本合同签订后，甲方收到本项目业主方（上海京泽鑫房地产开发有限公司）相应款项后15个工作日内请款，次月30日内甲方向乙方支付合同额的30%作为预付款。</t>
  </si>
  <si>
    <t>乙方完成方案设计阶段，向甲方提交深化方案设计成果，经甲方确认后且甲方收到本项目业主方（上海京泽鑫房地产开发有限公司）相应款项后15个工作日内请款，次月30日内甲方向乙方支付合同额的30%。</t>
  </si>
  <si>
    <t>乙方完成施工图设计阶段，向甲方提交施工图设计成果，经甲方确认后且甲方收到本项目业主方（上海京泽鑫房地产开发有限公司）相应款项后15个工作日内请款，次月30日内甲方向乙方支付合同额的30%。</t>
  </si>
  <si>
    <t>乙方配合甲方完成该设计内容的施工并通过甲方项目验收完工后，甲方收到本项目业主方（上海京泽鑫房地产开发有限公司）相应款项后15个工作日内请款，次月30日内甲方向乙方支付至合同结算额的100%。</t>
  </si>
  <si>
    <t>上海市松江区中山街道新城主城C单元C07-01地块商品房项目智能化专项设计服务合同</t>
  </si>
  <si>
    <t>CRCCRE-SJ-XM-2023-012</t>
  </si>
  <si>
    <t>本合同签订，提交智能化方案设计经甲方确认后且甲方收到本项目业主方(上海京泽鑫房地产开发有限公司)相应款项后15个工作日内请款，次月30日内甲方向乙方支付合同额的15%;</t>
  </si>
  <si>
    <t>智能化施工图设计阶段，施工图设计完成经甲方确认并经施工图审查机构审查通过(如有)，且甲方收到本项目业主方(上海京泽鑫房地产开发有限公司)相应款项后15个工作日内请款，次月30日内甲方向乙方支付合同额的65%;</t>
  </si>
  <si>
    <t>项目完成工程招标工作，施工单位完成项目技防方案评审通过后付款，且甲方收到本项目业主方(上海京泽鑫房地产开发有限公司)相应款项后15个工作日内请款，次月30日内甲方向乙方支付合同额的10%;</t>
  </si>
  <si>
    <t>整体工程竣工验收且结算完成，甲方收到本项目业主方(上海京泽鑫房地产开发有限公司)相应款项后15个工作日内请款，次月30日内甲方向乙方支付至合同结算额的100%。</t>
  </si>
  <si>
    <t>上海松江区中山街道新城主城C单元C07-01地块商品房项目标识设计服务合同</t>
  </si>
  <si>
    <t>CRCCRE-SJ-XM-2023-018</t>
  </si>
  <si>
    <t>宅也标识(上海)股份有限公司</t>
  </si>
  <si>
    <t>1、本合同签订完成，乙方提交概念规划方案设计文件，通过甲方确认，且甲方收到本项目业主方（上海京泽鑫房地产开发有限公司）相应款项后15个工作日内请款，次月30日内甲方向乙方支付合同额的15％；</t>
  </si>
  <si>
    <t>2、乙方提方案深化设计文件，通过甲方确认，且甲方收到本项目业主方（上海京泽鑫房地产开发有限公司）相应款项后15个工作日内请款，次月30日前甲方向乙方支付合同额的35％；</t>
  </si>
  <si>
    <t>3、乙方提交招标施工图设计文件，通过甲方确认，且甲方收到本项目业主方（上海京泽鑫房地产开发有限公司）相应款项后15个工作日内请款，次月30日前甲方向乙方支付合同额的30％。</t>
  </si>
  <si>
    <t>4、招标配合工作通过甲方确认，且甲方收到本项目业主方（上海京泽鑫房地产开发有限公司）相应款项后15个工作日内请款，次月30日前甲方向乙方支付合同额的10％。</t>
  </si>
  <si>
    <t>5、项目竣工验收通过甲方确认，且甲方收到本项目业主方（上海京泽鑫房地产开发有限公司）相应款项后15个工作日内请款，次月30日前甲方向乙方支付至合同结算金额的100％。</t>
  </si>
  <si>
    <t>上海松江区中山街道新城主城C单元C07-01地块商品房项目泛光照明设计服务合同</t>
  </si>
  <si>
    <t>CRCCRE-SJ-XM-2023-016</t>
  </si>
  <si>
    <t>上海格锐照明设计有限公司</t>
  </si>
  <si>
    <t>1、本合同签订生效，乙方提交概念方案设计通过甲方确认，且甲方收到本项目业主方（上海京泽鑫房地产开发有限公司）相应款项后15个工作日内请款，次月30日前甲方向乙方支付合同额的20％；</t>
  </si>
  <si>
    <t>2、乙方提交扩初设计阶段成果通过甲方确认，且甲方收到本项目业主方（上海京泽鑫房地产开发有限公司）相应款项后15个工作日内请款，次月30日前甲方向乙方支付合同额的35％；</t>
  </si>
  <si>
    <t>3、乙方提交施工图及招标阶段成果通过甲方确认，且甲方收到本项目业主方（上海京泽鑫房地产开发有限公司）相应款项后15个工作日内请款，次月30日前甲方向乙方支付合同额的35％。</t>
  </si>
  <si>
    <t>4、乙方配合施工服务，项目竣工验收完成，通过甲方确认，且甲方收到本项目业主方（上海京泽鑫房地产开发有限公司）相应款项后15个工作日内请款，次月30日前甲方向乙方支付至合同结算金额的100％。</t>
  </si>
  <si>
    <t>上海松江区中山街道新城主城C单元C07-01地块钢结构咨询服务合同</t>
  </si>
  <si>
    <t>CRCCRE-SJ-XM-2023-013</t>
  </si>
  <si>
    <t>钢结构</t>
  </si>
  <si>
    <t>1、乙方提交钢结构咨询方案通过甲方书面确认，且甲方收到本项目业主方（上海京泽鑫房地产开发有限公司）相应款项后15个工作日内请款，次月30日前付款，向乙方支付合同额的20％；</t>
  </si>
  <si>
    <t>2、乙方完成钢结构配合幕墙完成出图后，所有设计工作全部完成并经相关部门审查通过，且甲方收到本项目业主方（上海京泽鑫房地产开发有限公司）相应款项后15个工作日内请款，次月30日前付款，向乙方支付合同额的70％；</t>
  </si>
  <si>
    <t>3、整体竣工验收并结算完成，且甲方收到本项目业主方（上海京泽鑫房地产开发有限公司）相应款项后15个工作日内请款，次月30日前付款，向乙方支付至合同结算金额的100％。</t>
  </si>
  <si>
    <t>华东区域上海片区闵行区浦锦街道MHPO-1302单元18-01地块等项目前期强排规划概念方案设计合同</t>
  </si>
  <si>
    <t>CRCCRE-SJ-CZ-2023-012</t>
  </si>
  <si>
    <t>闵行区浦锦街道MHPO-1302单元18-01地块项目（4.95w）、嘉定区菊园新区JDC1-0501单元73-03、73-07地块项目（4.95w）、闵行区梅陇镇古美北社区112b-02、112b-05地块项目（27.80w）、奉贤区奉贤新城08单元06-02区域地块项目（4.95w）、宝山顾村0414-02 0415-01地块（4.95w）、青浦竹盈路地块（4.95w）、闵行梅陇社区06单元地块（第一轮）（4.95w）、闵行梅陇社区06单元地块（第二轮）（4.95w）、嘉定区菊园新区JDC1-0402单元06-01、06-03地块项目（4.95w）</t>
  </si>
  <si>
    <t>上海片区可研（金沐鑫-CZ-2023-019）</t>
  </si>
  <si>
    <t>华东区域上海片区梅陇02-07-07地块、杨浦平凉路地块项目前期强排规划概念方案设计合同</t>
  </si>
  <si>
    <t>CRCCRE-SJ-CZ-2024-002</t>
  </si>
  <si>
    <t>强排版19000、标准版49500、深化版278000</t>
  </si>
  <si>
    <t>梅陇02-07-07地块</t>
  </si>
  <si>
    <t>杨浦平凉路地块</t>
  </si>
  <si>
    <t>其他成本预估</t>
  </si>
  <si>
    <t>上海片区可研（金沐鑫-CZ-2023-019）+（金泽鑫-CZ-2023-010）+（京淼鑫-CZ-2023-018）</t>
  </si>
  <si>
    <t>华东区域上海片区上海之鱼北侧07-01地块等项目前期强排规划概念方案设计合同</t>
  </si>
  <si>
    <t xml:space="preserve">CRCCRE-SJ-CZ-2024-005
</t>
  </si>
  <si>
    <t>上海桃浦地块项目</t>
  </si>
  <si>
    <t>单元R21-09</t>
  </si>
  <si>
    <t>耀华地块</t>
  </si>
  <si>
    <t>上海中铁建南翔16-01地块</t>
  </si>
  <si>
    <t>华东区域上海片区菊园新区JDC1-0403单元30B-01地块等项目前期强排规划概念方案设计合同</t>
  </si>
  <si>
    <t>CRCCRE-SJ-CZ-2023-011</t>
  </si>
  <si>
    <t>菊园新区JDC1-0403单元30B-01地块项目、古美</t>
  </si>
  <si>
    <t>华漕、唐镇</t>
  </si>
  <si>
    <t>上海片区可研（中铁京鑫）</t>
  </si>
  <si>
    <t>华东区域上海片区普陀区桃浦科技智慧城（W06-1401单元）015-01地块等项目前期强排规划概念方案设计合同</t>
  </si>
  <si>
    <t>CRCCRE-SJ-CZ-2023-013</t>
  </si>
  <si>
    <t>标准版48500元；深化版272000元</t>
  </si>
  <si>
    <t>普陀区桃浦科技智慧城（W06-1401单元）015-01地块、闵行区华漕镇MHP0单元53-01地块、杨家巷村10-01、12-01地块项目、青浦区徐泾镇龙联路北侧07-02、青浦区西虹桥小涞港西侧52-20地块、宝山区南大05-04地块</t>
  </si>
  <si>
    <t>华东区域上海片区松江区永丰街道SJC10011单元H17-02号地块等项目前期强排规划概念方案设计合同</t>
  </si>
  <si>
    <t>CRCCRE-SJ-CZ-2024-004</t>
  </si>
  <si>
    <t>强排版1.94；标准版4.85；深化版27.2</t>
  </si>
  <si>
    <t>南翔镇JDC2-0203单元13-02、16-01地块</t>
  </si>
  <si>
    <t>小规模，税率3%</t>
  </si>
  <si>
    <t>嘉定新城地块</t>
  </si>
  <si>
    <t>三林地块</t>
  </si>
  <si>
    <t>新江湾地块</t>
  </si>
  <si>
    <t>山寿里（旧改）</t>
  </si>
  <si>
    <t>新闸路10地块（旧改）</t>
  </si>
  <si>
    <t>青浦区徐泾镇双联路北侧 36-01 地块</t>
  </si>
  <si>
    <t>杨浦区平凉社区01D4-06地块（平凉街道71街坊）</t>
  </si>
  <si>
    <t>西渡街道D-01-11区域地块</t>
  </si>
  <si>
    <t>单元R21-09地块</t>
  </si>
  <si>
    <t>松江区永丰街道SJC10011单元H17-02号地块</t>
  </si>
  <si>
    <t>青浦区西虹桥播东路西侧 18-01、18-03、18-04 地块</t>
  </si>
  <si>
    <t>宝山35-03地块</t>
  </si>
  <si>
    <t>上海之鱼</t>
  </si>
  <si>
    <t>桃浦049-01、050-01、051-01地块</t>
  </si>
  <si>
    <t>长宁龙柏</t>
  </si>
  <si>
    <t>文博板块D05-1地块</t>
  </si>
  <si>
    <t>文博板块808-01地块</t>
  </si>
  <si>
    <t>徐汇区长桥街道xh315-10、xh313-16地块</t>
  </si>
  <si>
    <t>2023-2025年度华东区域、北方区域项目前期强排规划概念方案设计集中采购合作协议</t>
  </si>
  <si>
    <t>CRCCRE-SJ-CZ-2023-008-B1</t>
  </si>
  <si>
    <t>强排版1.84；标准版4.60；深化版25</t>
  </si>
  <si>
    <t>上海片区可研（京淼鑫CZ-2023-018）</t>
  </si>
  <si>
    <t>华东区域慈溪慈白沙地块等项目前期强排规划
概念方案设计合同</t>
  </si>
  <si>
    <t>CRCCRE-SJ-CZ-2025-007</t>
  </si>
  <si>
    <t>慈溪慈白沙地块</t>
  </si>
  <si>
    <t>宁波鄞州区JD10-A5-1地块</t>
  </si>
  <si>
    <t>宁波江北区JB12-02-02地块</t>
  </si>
  <si>
    <t>宁波鄞州区钟公庙街道地块</t>
  </si>
  <si>
    <t>上海片区可研（金泽鑫-CZ-2023-010）</t>
  </si>
  <si>
    <t>华东区域上海片区丁桥单元JG0404-08地块等项目前期强排规划概念方案设计合同</t>
  </si>
  <si>
    <t>CRCCRE-SJ-CZ-2024-003</t>
  </si>
  <si>
    <t>浙江风格建筑规划设计有限公司</t>
  </si>
  <si>
    <t>完成丁桥单元JG0404-08地块项目、单元R21-09项目前期强排规划概念方案设计</t>
  </si>
  <si>
    <t xml:space="preserve">杭州市萧山区钱江世纪城北单元等项目
前期强排规划概念方案设计合同
</t>
  </si>
  <si>
    <t>CRCCRE-SJ-CZ-2024-029</t>
  </si>
  <si>
    <t>湖墅单元GS0201-R21-02地块</t>
  </si>
  <si>
    <t>艮山门TOD项目XC0403-56上盖+白地</t>
  </si>
  <si>
    <t>湖墅单元GS0201-R21-03-1地块</t>
  </si>
  <si>
    <t>上海奉贤区西渡街道D-01-11区域地块项目</t>
  </si>
  <si>
    <t>上海奉贤区西渡街道D-01-11区域地块项目
建筑方案设计合同</t>
  </si>
  <si>
    <t>CRCCRE-SJ-CZ-2023-052</t>
  </si>
  <si>
    <t>支付至合同金额的20%</t>
  </si>
  <si>
    <t>支付至合同金额的40%</t>
  </si>
  <si>
    <t>支付至合同金额的60%</t>
  </si>
  <si>
    <t>项目总图、建筑单专业扩初设计图纸完成，并取得《规划许可证》后，15 个工作日内请款，次月 30 日前付款</t>
  </si>
  <si>
    <t>支付至合同金额的75%</t>
  </si>
  <si>
    <t>配合所有施工图设计完成，取得施工图审查合格证后 15 个工作日内请款，次月 30 日前付款</t>
  </si>
  <si>
    <t>支付至合同金额的85%</t>
  </si>
  <si>
    <t>配合施工完成，竣工验收完成后 15 个工作日内按照《规划许可证》建筑面积结算，次月 30 日内付款</t>
  </si>
  <si>
    <t>支付至合同结算金额的90%</t>
  </si>
  <si>
    <t>配合完成产品创新研发工作，并经中国铁建房地产集团组织验收通过后 15 个工作日内请款，次月 30 日前付款（此项如未发生则该笔金额不予支付）</t>
  </si>
  <si>
    <t>支付至合同结算金额的100%</t>
  </si>
  <si>
    <t>上海奉贤区西渡街道D-01-11区域地块项目施工图设计委托合同</t>
  </si>
  <si>
    <t>CRCCRE-SJ-XM-2023-061</t>
  </si>
  <si>
    <r>
      <rPr>
        <b/>
        <sz val="10"/>
        <color rgb="FF000000"/>
        <rFont val="宋体"/>
        <charset val="134"/>
      </rPr>
      <t>总价包干</t>
    </r>
    <r>
      <rPr>
        <sz val="10"/>
        <color rgb="FF000000"/>
        <rFont val="宋体"/>
        <charset val="134"/>
      </rPr>
      <t xml:space="preserve">
施工图设计27元/㎡（总建筑面积）；装配式设计9元/平米（地上建筑面积）；精装、幕墙设计配合10万元/项目</t>
    </r>
  </si>
  <si>
    <t>乙方提交第一版施工设计图纸，经甲方确认后，15个工作日内请款，次月30日前付款</t>
  </si>
  <si>
    <t>支付至施工图设计费的20%</t>
  </si>
  <si>
    <t>拿到第一个施工图图审合格证，经甲方确认后，15个工作日内请款，次月30日前付款</t>
  </si>
  <si>
    <t>支付至施工图设计费的40%</t>
  </si>
  <si>
    <t>全部正式施工图（除红线范围内综合管线施工图）交付并通过政府或审图公司批复，经甲方确认后，15个工作日内请款，次月30日前付款</t>
  </si>
  <si>
    <t>支付至施工图设计费的50%</t>
  </si>
  <si>
    <t>全专业图纸根据设计咨询、BIM等意见调整优化完毕并得到甲方认可后，15个工作日内请款，次月30日前付款</t>
  </si>
  <si>
    <t>支付至施工图设计费的70%</t>
  </si>
  <si>
    <t>红线范围内综合管线施工图交付并经甲方认可后，15个工作日内请款，次月30日前付款</t>
  </si>
  <si>
    <t>支付至施工图设计费的80%</t>
  </si>
  <si>
    <t>所有楼栋结构封顶，经甲方确认后，15个工作日内请款，次月30日前付款</t>
  </si>
  <si>
    <t>支付至施工图设计费的85%</t>
  </si>
  <si>
    <t>竣工验收完成，经甲方确认后，15个工作日内请款，次月30日前付款</t>
  </si>
  <si>
    <t>支付至施工图设计费结算金额的100%</t>
  </si>
  <si>
    <t>乙方提交第一版装配式设计图纸，经甲方确认后，15个工作日内请款，次月30日前付款</t>
  </si>
  <si>
    <t>支付至装配式设计费的20%</t>
  </si>
  <si>
    <t>乙方完成全部装配式设计工作，经甲方确认后，15个工作日内请款，次月30日前付款</t>
  </si>
  <si>
    <t>支付至装配式设计费的80%</t>
  </si>
  <si>
    <t>支付至装配式设计费结算金额的100%</t>
  </si>
  <si>
    <t>精装、幕墙设计配合</t>
  </si>
  <si>
    <t>乙方完成幕墙设计配合工作，经甲方确认后，15个工作日内请款，次月30日前付款</t>
  </si>
  <si>
    <t>支付至精装、幕墙设计配合费的50%</t>
  </si>
  <si>
    <t>乙方完成精装设计配合工作，经甲方确认后，15个工作日内请款，次月30日前付款</t>
  </si>
  <si>
    <t>支付至精装、幕墙设计配合费结算金额的100%</t>
  </si>
  <si>
    <t>奉贤区西渡街道D-01-11区域地块项目大区、红线外景观方案及施工图设计合同</t>
  </si>
  <si>
    <t>CRCCRE-SJ-XM-2023-053</t>
  </si>
  <si>
    <t>景观暂定面积约52204（其中展示区景观面积约 10000 平方米，园区红线内景观面积约 34570方米，红线外景观面积约 7634 平方米）</t>
  </si>
  <si>
    <t>【总价包干】交付大区：27元/平方米；实体永久展示区：27元/平方米；红线外景观：15元/平方米</t>
  </si>
  <si>
    <t>整体景观设计</t>
  </si>
  <si>
    <r>
      <rPr>
        <sz val="10"/>
        <color rgb="FF000000"/>
        <rFont val="宋体"/>
        <charset val="134"/>
      </rPr>
      <t>合同签订并提交第一版概念性方案后15个工作日内请款，</t>
    </r>
    <r>
      <rPr>
        <sz val="9"/>
        <color theme="1"/>
        <rFont val="宋体"/>
        <charset val="134"/>
      </rPr>
      <t>乙方按照甲方审核后的金额，开具相应金额的增值税专用发票，由甲方于审核后，次月30日前付款。</t>
    </r>
  </si>
  <si>
    <t>支付至整体合同暂定金额10%</t>
  </si>
  <si>
    <t>展示区景观设计</t>
  </si>
  <si>
    <t>支付至展示区合同暂定金额50%</t>
  </si>
  <si>
    <t>支付至展示区合同暂定金额80%</t>
  </si>
  <si>
    <t>支付至展示区合同暂定金额90%</t>
  </si>
  <si>
    <t>大区及红线外景观设计
（计算基数调整：933390+114510-优惠金额17900=1030000）</t>
  </si>
  <si>
    <t>支付至大区合同暂定金额25%</t>
  </si>
  <si>
    <t>支付至大区合同暂定金额40%</t>
  </si>
  <si>
    <t>支付至大区合同暂定金额60%</t>
  </si>
  <si>
    <t>支付至大区合同暂定金额80%</t>
  </si>
  <si>
    <t>支付至大区合同暂定金额85%</t>
  </si>
  <si>
    <t>支付至整体合同结算金额90%</t>
  </si>
  <si>
    <t>支付至整体合同结算金额100%</t>
  </si>
  <si>
    <t>奉贤区西渡街道D-01-11区域地块项目架空层景观方案及施工图设计合同</t>
  </si>
  <si>
    <t>CRCCRE-SJ-XM-2023-055</t>
  </si>
  <si>
    <t>架空层景观设计</t>
  </si>
  <si>
    <r>
      <rPr>
        <sz val="10"/>
        <color rgb="FF000000"/>
        <rFont val="宋体"/>
        <charset val="134"/>
      </rPr>
      <t>合同签订并提交第一版概念性方案后15个工作日内请款，</t>
    </r>
    <r>
      <rPr>
        <sz val="10"/>
        <color theme="1"/>
        <rFont val="宋体"/>
        <charset val="134"/>
      </rPr>
      <t>乙方按照甲方审核后的金额，开具相应金额的增值税专用发票，由甲方于审核后，次月30日前付款。</t>
    </r>
  </si>
  <si>
    <t>支付至合同金额10%</t>
  </si>
  <si>
    <t>支付至合同金额50%</t>
  </si>
  <si>
    <t>支付至合同金额80%</t>
  </si>
  <si>
    <t>支付至合同金额90%</t>
  </si>
  <si>
    <t>结构封顶节点</t>
  </si>
  <si>
    <t>支付至合同结算金额100%</t>
  </si>
  <si>
    <t>上海市奉贤区西渡街道D-01-11区域地块项目15#及16#楼补桩施工图设计服务合同</t>
  </si>
  <si>
    <t>CRCCRE-SJ-XM-2025-001</t>
  </si>
  <si>
    <t>补桩施工图</t>
  </si>
  <si>
    <t>本合同签订生效后15个工作日内请款，经甲方确认乙方请款资料无误后，次月30日内甲方向乙方支付总合同金额的20％</t>
  </si>
  <si>
    <t>支付总合同金额的20％</t>
  </si>
  <si>
    <t>乙方完成补桩设计施工图并通过图纸外部审查后15个工作日内请款，次月30日内甲方向乙方支付合同额的70％</t>
  </si>
  <si>
    <t>支付合同额的70％</t>
  </si>
  <si>
    <t>整体项目竣工验收完成后双方办理结算手续，次月30日内甲方向乙方支付至合同结算金额的100％</t>
  </si>
  <si>
    <t>支付至合同结算金额的100％</t>
  </si>
  <si>
    <t xml:space="preserve">奉贤区西渡街道D-01-11区域地块项目售楼处、样板间及公区精装方案至施工图设计合同
</t>
  </si>
  <si>
    <t>CRCCRE-SJ-XM-2023-052</t>
  </si>
  <si>
    <t>支付至合同暂定 金额的 15%</t>
  </si>
  <si>
    <t>支付至合同暂定 金额的 40%</t>
  </si>
  <si>
    <t>支付至合同暂定 金额的 50%</t>
  </si>
  <si>
    <t>支付至合同暂定 金额的 80%</t>
  </si>
  <si>
    <t>支付至合同暂定 金额的 85%</t>
  </si>
  <si>
    <r>
      <rPr>
        <sz val="10"/>
        <color rgb="FF000000"/>
        <rFont val="宋体"/>
        <charset val="134"/>
      </rPr>
      <t>支付至合同结算</t>
    </r>
    <r>
      <rPr>
        <sz val="10"/>
        <color theme="1"/>
        <rFont val="宋体"/>
        <charset val="134"/>
      </rPr>
      <t xml:space="preserve"> 金额的 90%</t>
    </r>
  </si>
  <si>
    <r>
      <rPr>
        <sz val="10"/>
        <color rgb="FF000000"/>
        <rFont val="宋体"/>
        <charset val="134"/>
      </rPr>
      <t>支付至合同结算</t>
    </r>
    <r>
      <rPr>
        <sz val="10"/>
        <color theme="1"/>
        <rFont val="宋体"/>
        <charset val="134"/>
      </rPr>
      <t xml:space="preserve"> 金额的 100%</t>
    </r>
  </si>
  <si>
    <t>上海市奉贤区西渡街道D-01-11区域地块项目大区户内及公区精装修设计委托合同</t>
  </si>
  <si>
    <t>CRCCRE-SJ-XM-2023-063</t>
  </si>
  <si>
    <t>支付至合同暂定金额的15%</t>
  </si>
  <si>
    <t>大区精装修竣工验收完成，竣工验收合格后15个工作日内请款，乙方按照甲方审核后的金额，开具相应金额的增值税专用发票，由甲方于审核后次月30日前进行进度款支付。</t>
  </si>
  <si>
    <t>支付至合同暂定金额的85%</t>
  </si>
  <si>
    <t>上海市奉贤区西渡街道D-01-11区域地块项目大区户内及公区精装修设计委托合同补充协议</t>
  </si>
  <si>
    <t>CRCCRE-SJ-XM-2023-063-B1</t>
  </si>
  <si>
    <t>上海市奉贤区西渡街道D-01-11区域
地块项目地下车库及地下楼座BIM建模
技术服务合同</t>
  </si>
  <si>
    <t>CRCCRE-SJ-BIM-2023-052</t>
  </si>
  <si>
    <t>2.80元/m</t>
  </si>
  <si>
    <t>乙方提交第一版全专业调整BIM模型、图纸问题与调整问题报告并经甲方书面确认后15个工作日内请款，乙方按照甲方审核后的金额，开具相应金额的增值税专用发票，由甲方于审核后次月30日前进行进度款支付；</t>
  </si>
  <si>
    <t>乙方根据甲方优化后的施工图纸提交BIM咨询优化报告、完成BIM范围的交底工作并经甲方书面确认后15个工作日内请款，乙方按照甲方审核后的金额，开具相应金额的增值税专用发票，由甲方于审核后次月30日前进行进度款支付；</t>
  </si>
  <si>
    <t>上海奉贤区西渡街道D-01-11区域地块项目基坑支护专项设计服务合同</t>
  </si>
  <si>
    <t>CRCCRE-SJ-XM-2023-057</t>
  </si>
  <si>
    <t>本合同签订生效，乙方完成基坑支护方案设计，通过基坑评审机构审查合格后，且甲方收到本项目业主方（上海京泓润房地产开发有限公司）相应款项后15个工作日内请款，次月30日内，甲方向乙方支付合同额的30％；</t>
  </si>
  <si>
    <t>乙方完成该专项施工图设计工作，经甲方确认后且甲方收到本项目业主方（上海京泓润房地产开发有限公司）相应款项后15个工作日内请款，次月30日内，甲方向乙方支付合同额的60％；</t>
  </si>
  <si>
    <t>整体工程竣工验收完成且甲方收到本项目业主方（上海京泓润房地产开发有限公司）相应款项后15个工作日内请款，次月30日内，甲方向乙方支付至合同结算金额的100％。</t>
  </si>
  <si>
    <t>上海奉贤区西渡街道D-01-11区域地块项目人防工程专项设计服务合同</t>
  </si>
  <si>
    <t>CRCCRE-SJ-XM-2023-059</t>
  </si>
  <si>
    <t>人防面积12360</t>
  </si>
  <si>
    <t>本合同签订，乙方提交本项目人防方案，经过甲方确认，且甲方收到本项目业主方（上海京泓润房地产开发有限公司）相应款项后15个工作日内请款，次月30日内甲方向乙方支付合同额的20％</t>
  </si>
  <si>
    <t>乙方完成人防施工图设计工作，经相关机构审查通过且甲方收到本项目业主方（上海京泓润房地产开发有限公司）相应款项后15个工作日内请款，次月30日内甲方向乙方支付合同额的60％</t>
  </si>
  <si>
    <t>整体项目竣工验收及结算完成且甲方收到本项目业主方（上海京泓润房地产开发有限公司）相应款项后15个工作日内请款，次月30日内甲方向乙方支付至合同结算金额的100％</t>
  </si>
  <si>
    <t>上海奉贤区西渡街道D-01-11区域地块项目门窗、幕墙设计顾问服务合同</t>
  </si>
  <si>
    <t>CRCCRE-SJ-XM-2023-067</t>
  </si>
  <si>
    <t>本合同签订生效后，乙方提交门窗、栏杆、幕墙设计顾问工作方案后，经甲方书面确认且甲方收到本项目业主方（上海京泓润房地产开发有限公司）相应款项后15个工作日内请款，次月30日前付款，向乙方支付合同额的20％；</t>
  </si>
  <si>
    <t>乙方提交门窗、栏杆、幕墙设计招标图纸成果，经甲方书面确认且甲方收到本项目业主方（上海京泓润房地产开发有限公司）相应款项后15个工作日内请款，次月30日前付款，向乙方支付合同额的40％；</t>
  </si>
  <si>
    <t>乙方完成门窗、栏杆、幕墙设计顾问全部工作内容，经甲方书面确认且甲方收到本项目业主方（上海京泓润房地产开发有限公司）相应款项后15个工作日内请款，次月30日前付款，向乙方支付合同额的20％；</t>
  </si>
  <si>
    <t>项目整体竣工验收完成，且甲方收到本项目业主方（上海京泓润房地产开发有限公司）相应款项后15个工作日内请款，次月30日前付款，向乙方支付至合同结算金额的100％</t>
  </si>
  <si>
    <t>上海奉贤区西渡街道D-01-11区域地块项目
海绵城市设计咨询服务合同</t>
  </si>
  <si>
    <t>CRCCRE-SJ-XM-2023-071</t>
  </si>
  <si>
    <t>总用地面积66059.60</t>
  </si>
  <si>
    <t>提交海绵城市设计咨询方案并在甲方均审核通过后15个工作日内请款，次月30日内付款</t>
  </si>
  <si>
    <t>支付至合同额的20%</t>
  </si>
  <si>
    <t>完成海绵城市设计咨询全部工作内容并通过相关政府部门审批，出具施工图并通过施工图审查合格后15个工作日内请款，次月30日内付款</t>
  </si>
  <si>
    <t>支付至合同额的80%</t>
  </si>
  <si>
    <t>整体项目竣工验收完成后15个工作日内请款，次月30日内付款</t>
  </si>
  <si>
    <t>上海奉贤区西渡街道D-01-11区域地块项目绿色建筑设计咨询服务合同</t>
  </si>
  <si>
    <t>CRCCRE-SJ-XM-2023-066</t>
  </si>
  <si>
    <t>提交绿色建筑设计咨询服务方案并在甲方、项目业主均审核通过后15个工作日内请款，次月30日内付款</t>
  </si>
  <si>
    <t>完成所有绿色建筑设计咨询服务工作，提交相应成果并通过相关政府部门审批，并获取施工图审查合格证后15个工作日内请款，次月30日内付款</t>
  </si>
  <si>
    <t>支付至合同金额的80%</t>
  </si>
  <si>
    <t>上海闵行区华漕镇项目</t>
  </si>
  <si>
    <t>上海华漕项目建筑方案设计委托合同</t>
  </si>
  <si>
    <t>CRCCRE-SJ-CZ-2023-055</t>
  </si>
  <si>
    <t>项目总图、建筑单专业扩初设计图纸完成，并取得《规划许可证》后，15个工作日内请款，次月 30日前付款</t>
  </si>
  <si>
    <t>配合所有施工图设计完成，取得施工图审查合格证后 15 个工作日内请款，次月30日前付款</t>
  </si>
  <si>
    <t>配合完成产品创新研发工作，并经中国铁建房地产集团组织验收通过后15个工作日内请款，次月 30 日前付款（此项如未发生则该笔金额不予支付）</t>
  </si>
  <si>
    <t>上海闵行区华漕镇MHPO-1402单元16-05、17-04地块项目施工图设计委托合同</t>
  </si>
  <si>
    <t>CRCCRE-SJ-XM-2023-082</t>
  </si>
  <si>
    <t>施工图及专项配合</t>
  </si>
  <si>
    <t>支付至施工图设计费的90%</t>
  </si>
  <si>
    <t>乙方提交第一版海绵城市设计图纸，经甲方确认后，15个工作日内请款，次月30日前付款</t>
  </si>
  <si>
    <t>支付至海绵城市设计费的20%</t>
  </si>
  <si>
    <t>乙方完成全部海绵城市设计工作，经甲方确认后，15个工作日内请款，次月30日前付款</t>
  </si>
  <si>
    <t>支付至海绵城市设计费的80%</t>
  </si>
  <si>
    <t>支付至海绵城市设计费结算金额的100%</t>
  </si>
  <si>
    <t>精装设计配合</t>
  </si>
  <si>
    <t>支付至精装设计配合费结算金额的100%</t>
  </si>
  <si>
    <t>上海华漕项目景观方案至施工图设计委托合同</t>
  </si>
  <si>
    <t>CRCCRE-SJ-XM-2023-069</t>
  </si>
  <si>
    <t>本项目景观暂定面积约 59698平方米。其中临时展示区景观面积约4604平方米，一期展示区景观面积约4672平方米，二期展示区景观面积约2111平方米，16-05地块大区景观面积约26802平方米，17-04地块大区景观面积约13047平方米，红线外市政地块景观面积约8462 平方米</t>
  </si>
  <si>
    <t>临时展示区30元/平米；展示区80元/平米；大区28元/平米；红线外市政12元/平米</t>
  </si>
  <si>
    <t>整体景观设计-1</t>
  </si>
  <si>
    <t>展示区景观设计-2</t>
  </si>
  <si>
    <t>展示区景观设计-3</t>
  </si>
  <si>
    <t>展示区景观设计-4</t>
  </si>
  <si>
    <t>大区及红线外景观设计-5</t>
  </si>
  <si>
    <t>大区及红线外景观设计-6</t>
  </si>
  <si>
    <t>大区及红线外景观设计-7</t>
  </si>
  <si>
    <t>支付至大区合同暂定金额40.4%
（本次完成了红线外市政地块部分面积的24%=2012.9㎡）</t>
  </si>
  <si>
    <t xml:space="preserve">支付至大区合同暂定金额60%
</t>
  </si>
  <si>
    <t>大区及红线外景观设计-8</t>
  </si>
  <si>
    <t xml:space="preserve">
（本次完成了大区地块部分面积26802㎡</t>
  </si>
  <si>
    <t>大区及红线外景观设计-9</t>
  </si>
  <si>
    <t>整体景观设计-10</t>
  </si>
  <si>
    <t>206/12/30</t>
  </si>
  <si>
    <t>其他-11</t>
  </si>
  <si>
    <t>上海华漕项目批量精装修施工图设计委托合同</t>
  </si>
  <si>
    <t>CRCCRE-SJ-XM-2023-075</t>
  </si>
  <si>
    <t>户内：方案复制及施工图400元/平米；主力户型施工图300元/平米；镜像、变异户型150元/㎡</t>
  </si>
  <si>
    <t>完成大方案扩初设计阶段最终成果，经甲方书面确认后15个工作日内请款，乙方按照甲方审核后的金额，开具相应金额的增值税专用发票，由甲方于审核后次月30日前进行进度款支付。</t>
  </si>
  <si>
    <t>上海华漕项目售楼处、样板间精装方案及施工图设计服务合同</t>
  </si>
  <si>
    <t>CRCCRE-SJ-XM-2023-076</t>
  </si>
  <si>
    <t>售楼处、样板间精装</t>
  </si>
  <si>
    <t>支付至合同暂定金额的 50%</t>
  </si>
  <si>
    <t>支付至合同暂定金额的 85%</t>
  </si>
  <si>
    <t>支付至合同结算金额的 90%</t>
  </si>
  <si>
    <t>支付至合同结算金额的 100%</t>
  </si>
  <si>
    <t>闵行区华漕镇 MHPO-1402 单元 16-0517-04 地块住宅项目主楼地下室、地下车库及小市政BIM 全专业建模技术服务合同</t>
  </si>
  <si>
    <t>CRCCRE-SJ-BIM-2023-057</t>
  </si>
  <si>
    <t>乙方提交第一版地下车库及地下室 BIM 模型且经过甲方书面确认后双方办理计价手续，次月 30 日前甲方向乙方支付当期服务费的 30%</t>
  </si>
  <si>
    <t>乙方根据甲方优化后的地下车库及单体施工图纸提交 BIM 咨询优化报告、BIM 出图及技术交底工作目经过甲方书面确认后双方办理计价手续，次月30日前甲方向乙方支付当期服务费的 30%</t>
  </si>
  <si>
    <t>乙方根据甲方提供小市政图纸完成小市政 BIM 管综优化并提交相关 BIM成果目经过甲方书面确认后双方办理计价手续，次月 30 日前甲方向乙方支付当期服务费的 35%</t>
  </si>
  <si>
    <t>乙方跟踪项目进度，完成设计变更的 BIM 模型更改，至项目取得竣工备案表后次月 30 日前甲方向乙方支付当期服务费的 5%</t>
  </si>
  <si>
    <t>上海闵行区华漕镇MHPO-1402单元16-05、17-04地块项目绿色建筑设计咨询服务合同</t>
  </si>
  <si>
    <t>CRCCRE-SJ-XM-2023-088</t>
  </si>
  <si>
    <t>整体项目竣工验收合格后15个工作日内请款，次月30日内付款</t>
  </si>
  <si>
    <t>上海闵行区华漕镇MHPO-1402单元16-05、17-04地块项目智能化专项设计服务合同</t>
  </si>
  <si>
    <t>CRCCRE-SJ-XM-2023-084</t>
  </si>
  <si>
    <t>本合同签订，提交智能化工作方案经甲方确认后且甲方收到本项目业主方（上海京闵房地产有限公司）相应款项后15个工作日内请款，次月30日内甲方向乙方支付合同额的15％；</t>
  </si>
  <si>
    <t>施工图设计阶段，施工图设计完成且经相关机构审查通过（如有）且甲方收到本项目业主方（上海京闵房地产有限公司）相应款项后15个工作日内请款，次月30日内甲方向乙方支付合同额的65％；</t>
  </si>
  <si>
    <t>整体工程竣工验收且结算完成，甲方收到本项目业主方（上海京闵房地产有限公司）相应款项后15个工作日内请款，次月30日内甲方向乙方支付至合同结算金额的100％。</t>
  </si>
  <si>
    <t>上海闵行区华漕镇MHPO-1402单元16-05、17-04地块项目基坑支护设计服务合同</t>
  </si>
  <si>
    <t>CRCCRE-SJ-XM-2023-094</t>
  </si>
  <si>
    <t>1．本合同签订生效，乙方完成基坑支护方案设计，通过基坑评审机构审查合格后，且甲方收到本项目业主方（上海京闵房地产有限公司）相应款项后15个工作日内请款，次月30日内，甲方向乙方支付合同额的30％，即支付人民币：171000元；</t>
  </si>
  <si>
    <t>2．乙方完成该专项施工图设计工作，经甲方确认后且甲方收到本项目业主方（上海京闵房地产有限公司）相应款项后15个工作日内请款，次月30日内，甲方向乙方支付合同额的60％，即支付人民币：342000元；</t>
  </si>
  <si>
    <t>3．整体工程竣工验收完成且甲方收到本项目业主方（上海京闵房地产有限公司）相应款项后15个工作日内请款，次月30日内，甲方向乙方支付至合同结算金额的100％。</t>
  </si>
  <si>
    <t>上海闵行华漕镇MHPO-1402单元16-05、17-04地块项目施工图设计审查服务合同</t>
  </si>
  <si>
    <t>CRCCRE-SJ-XM-2023-095</t>
  </si>
  <si>
    <t>上海虹核工程审图有限公司</t>
  </si>
  <si>
    <t>在乙方出具建筑主体部分施工图审查合格证后，经甲方书面确认且甲方收到本项目业主方（上海京闵房地产有限公司）相应款项后15个工作日内请款，次月30日前付款，向乙方支付合同额的80%。</t>
  </si>
  <si>
    <t>在乙方出具精装修部分施工图审查合格证后，经甲方书面确认且甲方收到本项目业主方（上海京闵房地产有限公司）相应款项后15个工作日内请款，次月30日前付款，向乙方支付合同额的10%。</t>
  </si>
  <si>
    <t>在乙方出具幕墙部分施工图审查合格证后，经甲方书面确认且甲方收到本项目业主方（上海京闵房地产有限公司）相应款项后15个工作日内请款，次月30日前付款，向乙方支付至合同结算金额的100%。</t>
  </si>
  <si>
    <t>上海闵行区华漕镇MHPO-1402单元16-05、17-04地块项目门窗、栏杆、幕墙设计顾问
服务合同</t>
  </si>
  <si>
    <t>CECCRE-SJ-XM-2023-091</t>
  </si>
  <si>
    <t>门窗、栏杆、幕墙</t>
  </si>
  <si>
    <t>本合同签订生效后，乙方提交此专项工作方案后，经甲方书面确认且甲方收到本项目业主方（上海京闵房地产有限公司）相应款项后15个工作日内请款，次月30日前付款，向乙方支付合同额的20％</t>
  </si>
  <si>
    <t>乙方完成此专项设计顾问工作，经甲方书面确认且甲方收到本项目业主方（上海京闵房地产有限公司）相应款项后15个工作日内请款，次月30日前付款，向乙方支付合同额的 60％</t>
  </si>
  <si>
    <t xml:space="preserve">
3、项目整体竣工验收完成，且甲方收到本项目业主方（上海京闵房地产有限公司）相应款项后15个工作日内请款，次月30日前付款，向乙方支付至合同结算金额的 100％</t>
  </si>
  <si>
    <t>上海闵行区华漕镇MHPO-1402单元16-05、17-04地块项目人防专项设计服务合同</t>
  </si>
  <si>
    <t>CRCCRE-SJ-XM-2023-097</t>
  </si>
  <si>
    <t>本合同签订，乙方提交本项目人防方案，经过甲方确认，且甲方收到本项目业主方（上海京闵房地产有限公司）相应款项后15个工作日内请款，次月30日内甲方向乙方支付合同额的20％</t>
  </si>
  <si>
    <t>乙方完成人防施工图设计工作，经相关机构审查通过且甲方收到本项目业主方（上海京闵房地产有限公司）相应款项后15个工作日内请款，次月30日内甲方向乙方支付合同额的60％</t>
  </si>
  <si>
    <t>整体项目竣工验收及结算完成且甲方收到本项目业主方（上海京闵房地产有限公司）相应款项后15个工作日内请款，次月30日内甲方向乙方支付至合同结算金额的100％</t>
  </si>
  <si>
    <t>上海闵行区华漕镇MHPO-1402单元16-05、17-04地块项目地库方案设计服务合同</t>
  </si>
  <si>
    <t>CRCCRE-SJ-CZ-2023-056</t>
  </si>
  <si>
    <t>1、本合同签订并生效后，乙方提交设计方案经甲方确认后且甲方收到本项目业主方（上海京闵房地产有限公司）相应款项后15个工作日内请款，次月30日内甲方向乙方支付合同额的20％；</t>
  </si>
  <si>
    <r>
      <rPr>
        <sz val="10"/>
        <color rgb="FF000000"/>
        <rFont val="宋体"/>
        <charset val="134"/>
      </rPr>
      <t>2、</t>
    </r>
    <r>
      <rPr>
        <sz val="10"/>
        <color theme="1"/>
        <rFont val="宋体"/>
        <charset val="134"/>
      </rPr>
      <t>本合同约定设计工作全部完成并经过甲方确认，并取得《建设工程规划许可证》且甲方收到本项目业主方（上海京闵房地产有限公司）相应款项后15个工作日内请款，次月30日内甲方向乙方支付至合同额的80％；</t>
    </r>
  </si>
  <si>
    <t>3、整体竣工验收完成后，15个工作日内双方办理结算手续，结算完成后且甲方收到本项目业主方（上海京闵房地产有限公司）相应款项后，次月30日内甲方向乙方支付至合同结算额的100％。</t>
  </si>
  <si>
    <t>上海闵行区华漕镇MHPO-1402单元16-05、17-04地块项目精细化审图服务合同</t>
  </si>
  <si>
    <t>CRCCRE-SJ-XM-2023-092</t>
  </si>
  <si>
    <t>精细化审图</t>
  </si>
  <si>
    <t>杭州万融工程设计有限公司</t>
  </si>
  <si>
    <t>本合同签订，乙方完成施工图阶段精细化审查意见后，经甲方确认且甲方收到本项目业主方（上海京闵房地产有限公司）相应款项后15个工作日内请款，次月30日内甲方向乙方支付合同额的60％；</t>
  </si>
  <si>
    <t>2.本项目取得施工图审查合格书后，且甲方收到本项目业主方（上海京闵房地产有限公司）相应款项后15个工作日内请款，次月30日内甲方向乙方支付合同额的20%；</t>
  </si>
  <si>
    <t>3.整体项目竣工验收合格后，且甲方收到本项目业主方（上海京闵房地产有限公司）相应款项后15个工作日内请款，次月30日内甲方向乙方支付合同结算额的100%；</t>
  </si>
  <si>
    <t>上海闵行区华漕镇MHPO-1402单元16-05、17-04地块项目泛光照明设计合同</t>
  </si>
  <si>
    <t xml:space="preserve">CRCCRE-SJ-XM-2024-004 </t>
  </si>
  <si>
    <t>苏州尚明堂照明设计有限公司</t>
  </si>
  <si>
    <t>本合同签订生效，乙方提交方案设计及方案深化设计成果通过甲方确认，且甲方收到本项目业主方（上海京闵房地产有限公司）相应款项后15个工作日内请款，次月30日前甲方向乙方支付合同额的20％；</t>
  </si>
  <si>
    <t>乙方提交施工图设计阶段成果通过甲方确认，且甲方收到本项目业主方（上海京闵房地产有限公司）相应款项后15个工作日内请款，次月30日前甲方向乙方支付合同额的60％。</t>
  </si>
  <si>
    <t>乙方配合施工服务，项目竣工验收完成，通过甲方确认，且甲方收到本项目业主方（上海京闵房地产有限公司）相应款项后15个工作日内请款，次月30日前甲方向乙方支付至合同结算金额的100％。</t>
  </si>
  <si>
    <t>上海闵行区华漕镇MHPO-1402单元16-05、17-04地块项目标识设计服务合同</t>
  </si>
  <si>
    <t>CRCCRE-SJ-XM-2024-003</t>
  </si>
  <si>
    <t>苏州苏凡环境工程有限公司</t>
  </si>
  <si>
    <t>本合同签订完成，乙方提交方案设计文件，通过甲方确认，且甲方收到本项目业主方（上海京闵房地产有限公司）相应款项后15个工作日内请款，次月30日内甲方向乙方支付设计费的20％；</t>
  </si>
  <si>
    <t>乙方提交施工图设计文件，通过甲方确认，且甲方收到本项目业主方（上海京闵房地产有限公司）相应款项后15个工作日内请款，次月30日前甲方向乙方支付设计费的60％。</t>
  </si>
  <si>
    <t>项目竣工验收通过甲方确认，且甲方收到本项目业主方（上海京闵房地产有限公司）相应款项后15个工作日内请款，次月30日前甲方向乙方支付至设计费的100％。</t>
  </si>
  <si>
    <t>上海闵行区华漕镇MHPO-1402单元16-05、17-04地块项目综合图、产品手册设计服务合同</t>
  </si>
  <si>
    <t>CRCCRE-SJ-XM-2023-098</t>
  </si>
  <si>
    <t>本合同签订生效，乙方提交综合图工作成果，且甲方收到本项目业主方（上海京闵房地产有限公司）相应款项后15个工作日内请款，经甲方确认乙方请款资料无误后，次月30日前付款；</t>
  </si>
  <si>
    <t>综合图成果提交并经过甲方确认后，且甲方收到本项目业主方（上海京闵房地产有限公司）相应款项后15个工作日内请款，经甲方确认乙方请款资料无误后，次月30日前付款；</t>
  </si>
  <si>
    <t>本合同签订生效，乙方提交产品手册工作成果，且甲方收到本项目业主方（上海京闵房地产有限公司）相应款项后15个工作日内请款，经甲方确认乙方请款资料无误后，次月30日前付款；</t>
  </si>
  <si>
    <t>产品手册成果提交并经过甲方确认后，且甲方收到本项目业主方（上海京闵房地产有限公司）相应款项后15个工作日内请款，经甲方确认乙方请款资料无误后，次月30日前付款，</t>
  </si>
  <si>
    <t>项目整体竣工验收完成，甲乙双方办理结算手续，且甲方收到本项目业主方（上海京闵房地产有限公司）相应款项后15个工作日内请款，经甲方确认乙方请款资料无误后，次月30日前付款</t>
  </si>
  <si>
    <t>广州天河区梅花铝厂项目</t>
  </si>
  <si>
    <t>广州市天河区梅花铝厂地块项目建筑方案设计委托合同</t>
  </si>
  <si>
    <t>CRCCRE-SJ-XM-2023-070</t>
  </si>
  <si>
    <t>高层32、高层25、配套公建45、售楼处30万元/个</t>
  </si>
  <si>
    <t>多计价（23年消化西派玺樾的方案成本，合计含税251.64万元）</t>
  </si>
  <si>
    <t>4月付至50%比例</t>
  </si>
  <si>
    <t>项目总图、建筑单专业扩初设计图纸完成，并取得 《规划许可证》后，15 个工作日内请款，次月 30 日前付款。</t>
  </si>
  <si>
    <t>复函记70%比例收入</t>
  </si>
  <si>
    <t>配合所有施工图设计完成，取得施工图审查合格证 后 15 个工作日内请款，次月 30 日前付款。</t>
  </si>
  <si>
    <t>配合施工完成，竣工验收完成后 15 个工作日内按 照《规划许可证》建筑面积结算，次月 30 日内付款。</t>
  </si>
  <si>
    <t>支付至合同金额的90%</t>
  </si>
  <si>
    <t>25年少计价</t>
  </si>
  <si>
    <t>配合完成产品创新研发工作，并经中国铁建房地产 集团组织验收通过后 15 个工作日内请款，次月 30 日前付款（此项如未发生则该笔金额不予支付）</t>
  </si>
  <si>
    <t>支付至合同金额的100%</t>
  </si>
  <si>
    <t>广州市天河区梅花铝厂地块项目景观方案至施工图设计委托合同及其补充协议</t>
  </si>
  <si>
    <t>CRCCRE-SJ-XM-2023-068（CRCCRE-SJ-XM-2023-068-B1）</t>
  </si>
  <si>
    <t>展示区45、交付大区架空层及泛会所34</t>
  </si>
  <si>
    <r>
      <rPr>
        <sz val="10"/>
        <color rgb="FF000000"/>
        <rFont val="宋体"/>
        <charset val="134"/>
      </rPr>
      <t>合同签订并提交第一版概念性方案后15个工作日内请款，乙方按照甲方审核后的金额，开具相应金额的增值税专用发票，由甲方于审核后，次月30日前付款。</t>
    </r>
    <r>
      <rPr>
        <b/>
        <sz val="10"/>
        <color rgb="FF000000"/>
        <rFont val="宋体"/>
        <charset val="134"/>
      </rPr>
      <t>（展示区360,000.00，交付大区、架空层及泛会所1,766,070.84）</t>
    </r>
  </si>
  <si>
    <t>按补充协议金额的10%支付</t>
  </si>
  <si>
    <t>计价基数为原合同额</t>
  </si>
  <si>
    <t>多计价（23年消化西派玺樾的方案成本，合计含税251.64万元），计价基数为原合同额</t>
  </si>
  <si>
    <t>合同金额变更为1673504.00（其中展示区
893260
元，大区
780244
元）临时展示区356320.00元；展示区前场135000.00元；实体展示区150000.00元；架空层251940</t>
  </si>
  <si>
    <t>补充
协议</t>
  </si>
  <si>
    <r>
      <rPr>
        <sz val="10"/>
        <color rgb="FF000000"/>
        <rFont val="宋体"/>
        <charset val="134"/>
      </rPr>
      <t xml:space="preserve">方案设计成果确认后15个工作日内请款，乙方按照甲方审核后的金额，开具相应金额的增值税专用发票，由甲方于审核后，次月30日前付款。
</t>
    </r>
    <r>
      <rPr>
        <b/>
        <sz val="10"/>
        <color rgb="FF000000"/>
        <rFont val="宋体"/>
        <charset val="134"/>
      </rPr>
      <t>（临时展示区356320.00）</t>
    </r>
  </si>
  <si>
    <t>支付至临时展示区合同暂定金额50%</t>
  </si>
  <si>
    <t>冲抵第一次
计价差值</t>
  </si>
  <si>
    <r>
      <rPr>
        <sz val="10"/>
        <color rgb="FF000000"/>
        <rFont val="宋体"/>
        <charset val="134"/>
      </rPr>
      <t xml:space="preserve">施工图设计成果确认后15个工作日内请款，乙方按照甲方审核后的金额，开具相应金额的增值税专用发票，由甲方于审核后，次月30日前付款。
</t>
    </r>
    <r>
      <rPr>
        <b/>
        <sz val="10"/>
        <color rgb="FF000000"/>
        <rFont val="宋体"/>
        <charset val="134"/>
      </rPr>
      <t>（临时展示区356320.00）</t>
    </r>
  </si>
  <si>
    <t>支付至临时展示区合同暂定金额80%</t>
  </si>
  <si>
    <r>
      <rPr>
        <sz val="10"/>
        <color rgb="FF000000"/>
        <rFont val="宋体"/>
        <charset val="134"/>
      </rPr>
      <t xml:space="preserve">施工现场配合完成，并得到甲方认可后15个工作日内请款，乙方按照甲方审核后的金额，开具相应金额的 增值税专用发票，由甲方于审核后，次月30日前付款。
</t>
    </r>
    <r>
      <rPr>
        <b/>
        <sz val="10"/>
        <color rgb="FF000000"/>
        <rFont val="宋体"/>
        <charset val="134"/>
      </rPr>
      <t>（临时展示区356320.00）</t>
    </r>
  </si>
  <si>
    <t>支付至临时展示区合同暂定金额90%</t>
  </si>
  <si>
    <r>
      <rPr>
        <sz val="10"/>
        <color rgb="FF000000"/>
        <rFont val="宋体"/>
        <charset val="134"/>
      </rPr>
      <t xml:space="preserve">方案设计成果确认后15个工作日内请款，乙方按照甲方审核后的金额，开具相应金额的增值税专用发票，由甲方于审核后，次月30日前付款。
</t>
    </r>
    <r>
      <rPr>
        <b/>
        <sz val="10"/>
        <color rgb="FF000000"/>
        <rFont val="宋体"/>
        <charset val="134"/>
      </rPr>
      <t>（展示区前场135000.00）</t>
    </r>
  </si>
  <si>
    <t>支付至展示区前场合同暂定金额50%</t>
  </si>
  <si>
    <r>
      <rPr>
        <sz val="10"/>
        <color rgb="FF000000"/>
        <rFont val="宋体"/>
        <charset val="134"/>
      </rPr>
      <t xml:space="preserve">施工图设计成果确认后15个工作日内请款，乙方按照甲方审核后的金额，开具相应金额的增值税专用发票，由甲方于审核后，次月30日前付款。
</t>
    </r>
    <r>
      <rPr>
        <b/>
        <sz val="10"/>
        <color rgb="FF000000"/>
        <rFont val="宋体"/>
        <charset val="134"/>
      </rPr>
      <t>（展示区前场135000.00）</t>
    </r>
  </si>
  <si>
    <t>支付至展示区前场合同暂定金额80%</t>
  </si>
  <si>
    <r>
      <rPr>
        <sz val="10"/>
        <color rgb="FF000000"/>
        <rFont val="宋体"/>
        <charset val="134"/>
      </rPr>
      <t xml:space="preserve">施工现场配合完成，并得到甲方认可后15个工作日内请款，乙方按照甲方审核后的金额，开具相应金额的 增值税专用发票，由甲方于审核后，次月30日前付款。
</t>
    </r>
    <r>
      <rPr>
        <b/>
        <sz val="10"/>
        <color rgb="FF000000"/>
        <rFont val="宋体"/>
        <charset val="134"/>
      </rPr>
      <t>（展示区前场135000.00）</t>
    </r>
  </si>
  <si>
    <t>支付至展示区前场合同暂定金额90%</t>
  </si>
  <si>
    <r>
      <rPr>
        <sz val="10"/>
        <color rgb="FF000000"/>
        <rFont val="宋体"/>
        <charset val="134"/>
      </rPr>
      <t xml:space="preserve">扩初设计成果确认后15个工作日内请款，乙方按照甲方审核后的金额，开具相应金额的增值税专用发票，由甲方于审核后，次月30日前付款。
</t>
    </r>
    <r>
      <rPr>
        <b/>
        <sz val="10"/>
        <color rgb="FF000000"/>
        <rFont val="宋体"/>
        <charset val="134"/>
      </rPr>
      <t>（实体展示区150000.00）</t>
    </r>
  </si>
  <si>
    <t>支付至实体展示区合同暂定金额65%</t>
  </si>
  <si>
    <r>
      <rPr>
        <sz val="10"/>
        <color rgb="FF000000"/>
        <rFont val="宋体"/>
        <charset val="134"/>
      </rPr>
      <t xml:space="preserve">施工图设计成果确认后15个工作日内请款，乙方按照甲方审核后的金额，开具相应金额的增值税专用发票，由甲方于审核后，次月30日前付款。
</t>
    </r>
    <r>
      <rPr>
        <b/>
        <sz val="10"/>
        <color rgb="FF000000"/>
        <rFont val="宋体"/>
        <charset val="134"/>
      </rPr>
      <t>（实体展示区150000.00）</t>
    </r>
  </si>
  <si>
    <t>支付至实体展示区合同暂定金额80%</t>
  </si>
  <si>
    <r>
      <rPr>
        <sz val="10"/>
        <color rgb="FF000000"/>
        <rFont val="宋体"/>
        <charset val="134"/>
      </rPr>
      <t xml:space="preserve">施工现场配合完成，并得到甲方认可后15个工作日内请款，乙方按照甲方审核后的金额，开具相应金额的 增值税专用发票，由甲方于审核后，次月30日前付款。
</t>
    </r>
    <r>
      <rPr>
        <b/>
        <sz val="10"/>
        <color rgb="FF000000"/>
        <rFont val="宋体"/>
        <charset val="134"/>
      </rPr>
      <t>（实体展示区150000.00）</t>
    </r>
  </si>
  <si>
    <t>支付至实体展示区合同暂定金额90%</t>
  </si>
  <si>
    <r>
      <rPr>
        <sz val="10"/>
        <color rgb="FF000000"/>
        <rFont val="宋体"/>
        <charset val="134"/>
      </rPr>
      <t xml:space="preserve">方案设计成果确认后15个工作日内请款，乙方按照甲方审核后的金额，开具相应金额的增值税专用发票，由甲方于审核后，次月30日前付款。
</t>
    </r>
    <r>
      <rPr>
        <b/>
        <sz val="10"/>
        <color rgb="FF000000"/>
        <rFont val="宋体"/>
        <charset val="134"/>
      </rPr>
      <t>（架空层景观251940.00）</t>
    </r>
  </si>
  <si>
    <t>支付至架空层合同暂定金额45%</t>
  </si>
  <si>
    <r>
      <rPr>
        <sz val="10"/>
        <color rgb="FF000000"/>
        <rFont val="宋体"/>
        <charset val="134"/>
      </rPr>
      <t xml:space="preserve">扩初设计成果确认后15个工作日内请款，乙方按照甲方审核后的金额，开具相应金额的增值税专用发票，由甲方于审核后，次月30日前付款。
</t>
    </r>
    <r>
      <rPr>
        <b/>
        <sz val="10"/>
        <color rgb="FF000000"/>
        <rFont val="宋体"/>
        <charset val="134"/>
      </rPr>
      <t>（架空层景观251940.00）</t>
    </r>
  </si>
  <si>
    <t>支付至架空层合同暂定金额65%</t>
  </si>
  <si>
    <r>
      <rPr>
        <sz val="10"/>
        <color rgb="FF000000"/>
        <rFont val="宋体"/>
        <charset val="134"/>
      </rPr>
      <t xml:space="preserve">施工图设计成果确认后15个工作日内请款，乙方按照甲方审核后的金额，开具相应金额的增值税专用发票，由甲方于审核后，次月30日前付款。
</t>
    </r>
    <r>
      <rPr>
        <b/>
        <sz val="10"/>
        <color rgb="FF000000"/>
        <rFont val="宋体"/>
        <charset val="134"/>
      </rPr>
      <t>（架空层景观251940.00）</t>
    </r>
  </si>
  <si>
    <t>支付至架空层合同暂定金额80%</t>
  </si>
  <si>
    <r>
      <rPr>
        <sz val="10"/>
        <color rgb="FF000000"/>
        <rFont val="宋体"/>
        <charset val="134"/>
      </rPr>
      <t xml:space="preserve">大区施工现场配合完成，并得到甲方认可后15个工作日内请款，乙方按照甲方审核后的金额，开具相应金额的 增值税专用发票，由甲方于审核后，次月30日前付款。
</t>
    </r>
    <r>
      <rPr>
        <b/>
        <sz val="10"/>
        <color rgb="FF000000"/>
        <rFont val="宋体"/>
        <charset val="134"/>
      </rPr>
      <t>（架空层景观251940.00）</t>
    </r>
  </si>
  <si>
    <t>支付至架空层合同暂定金额85%</t>
  </si>
  <si>
    <r>
      <rPr>
        <sz val="10"/>
        <color rgb="FF000000"/>
        <rFont val="宋体"/>
        <charset val="134"/>
      </rPr>
      <t xml:space="preserve">深化方案设计成果确认后15个工作日内请款，乙方按照甲方审核后的金额，开具相应金额的增值税专用发票，由甲方于审核后，次月30日前付款。
</t>
    </r>
    <r>
      <rPr>
        <b/>
        <sz val="10"/>
        <color rgb="FF000000"/>
        <rFont val="宋体"/>
        <charset val="134"/>
      </rPr>
      <t>（大区非核心区景观设计422184.00）</t>
    </r>
  </si>
  <si>
    <t>支付至大区非核心区合同暂定金额45%</t>
  </si>
  <si>
    <r>
      <rPr>
        <sz val="10"/>
        <color rgb="FF000000"/>
        <rFont val="宋体"/>
        <charset val="134"/>
      </rPr>
      <t xml:space="preserve">扩初设计成果确认后15个工作日内请款，乙方按照甲方审核后的金额，开具相应金额的增值税专用发票，由甲方于审核后，次月30日前付款。
</t>
    </r>
    <r>
      <rPr>
        <b/>
        <sz val="10"/>
        <color rgb="FF000000"/>
        <rFont val="宋体"/>
        <charset val="134"/>
      </rPr>
      <t>（大区非核心区景观设计422184.00）</t>
    </r>
  </si>
  <si>
    <t>支付至大区非核心区合同暂定金额65%</t>
  </si>
  <si>
    <r>
      <rPr>
        <sz val="10"/>
        <color rgb="FF000000"/>
        <rFont val="宋体"/>
        <charset val="134"/>
      </rPr>
      <t>施工图设计成果确认后15个工作日内请款，乙方按照甲方审核后的金额，开具相应金额的增值税专用发票，由甲方于审核后，次月30日前付款。</t>
    </r>
    <r>
      <rPr>
        <b/>
        <sz val="10"/>
        <color rgb="FF000000"/>
        <rFont val="宋体"/>
        <charset val="134"/>
      </rPr>
      <t>（大区非核心区景观设计422184.00）</t>
    </r>
  </si>
  <si>
    <t>支付至大区非核心区合同暂定金额80%</t>
  </si>
  <si>
    <r>
      <rPr>
        <sz val="10"/>
        <color rgb="FF000000"/>
        <rFont val="宋体"/>
        <charset val="134"/>
      </rPr>
      <t>大区施工现场配合完成，并得到甲方认可后15个工作日内请款，乙方按照甲方审核后的金额，开具相应金额的增值税专用发票，由甲方于审核后，次月30日前付款。</t>
    </r>
    <r>
      <rPr>
        <b/>
        <sz val="10"/>
        <color rgb="FF000000"/>
        <rFont val="宋体"/>
        <charset val="134"/>
      </rPr>
      <t>（大区非核心区景观设计422184.00）</t>
    </r>
  </si>
  <si>
    <t>支付至大区非核心区合同暂定金额85%</t>
  </si>
  <si>
    <r>
      <rPr>
        <sz val="10"/>
        <color rgb="FF000000"/>
        <rFont val="宋体"/>
        <charset val="134"/>
      </rPr>
      <t>扩初设计成果确认后15个工作日内请款，乙方按照甲方审核后的金额，开具相应金额的增值税专用发票，由甲方于审核后，次月30日前付款。</t>
    </r>
    <r>
      <rPr>
        <b/>
        <sz val="10"/>
        <color rgb="FF000000"/>
        <rFont val="宋体"/>
        <charset val="134"/>
      </rPr>
      <t>（大区核心区358060.00）</t>
    </r>
  </si>
  <si>
    <t>支付至大区核心区合同暂定金额65%</t>
  </si>
  <si>
    <r>
      <rPr>
        <sz val="10"/>
        <color rgb="FF000000"/>
        <rFont val="宋体"/>
        <charset val="134"/>
      </rPr>
      <t>施工图设计成果确认后15个工作日内请款，乙方按照甲方审核后的金额，开具相应金额的增值税专用发票，由甲方于审核后，次月30日前付款。</t>
    </r>
    <r>
      <rPr>
        <b/>
        <sz val="10"/>
        <color rgb="FF000000"/>
        <rFont val="宋体"/>
        <charset val="134"/>
      </rPr>
      <t>（大区核心区358060.00）</t>
    </r>
  </si>
  <si>
    <r>
      <rPr>
        <sz val="10"/>
        <color rgb="FF000000"/>
        <rFont val="宋体"/>
        <charset val="134"/>
      </rPr>
      <t>大区施工现场配合完成，并得到甲方认可后15个工作日内请款，乙方按照甲方审核后的金额，开具相应金额的增值税专用发票，由甲方于审核后，次月30日前付款。</t>
    </r>
    <r>
      <rPr>
        <b/>
        <sz val="10"/>
        <color rgb="FF000000"/>
        <rFont val="宋体"/>
        <charset val="134"/>
      </rPr>
      <t>（大区核心区358060.00）</t>
    </r>
  </si>
  <si>
    <r>
      <rPr>
        <sz val="10"/>
        <color rgb="FF000000"/>
        <rFont val="宋体"/>
        <charset val="134"/>
      </rPr>
      <t>施工工程竣工验收合格，本合同办理完成结算后15个工作日内请款，乙方按照甲方审核后的金额，开具相应金额的增值税专用发票，由甲方于审核后，次月30日前付款。</t>
    </r>
    <r>
      <rPr>
        <b/>
        <sz val="10"/>
        <color rgb="FF000000"/>
        <rFont val="宋体"/>
        <charset val="134"/>
      </rPr>
      <t>（整体）即大区核心区、非核心区5%+架空层5%</t>
    </r>
  </si>
  <si>
    <r>
      <rPr>
        <sz val="10"/>
        <color rgb="FF000000"/>
        <rFont val="宋体"/>
        <charset val="134"/>
      </rPr>
      <t>配合完成产品创新研发工作，并经中国铁建房地产集团组织验收通过后 15 个工作日内请款，次月30日前付款（此项如未发生则该笔金额不予支付）</t>
    </r>
    <r>
      <rPr>
        <b/>
        <sz val="10"/>
        <color rgb="FF000000"/>
        <rFont val="宋体"/>
        <charset val="134"/>
      </rPr>
      <t>（整体）</t>
    </r>
  </si>
  <si>
    <t>广州市天河区梅花铝厂地块项目售楼处、样板间及公区精装修硬装设计委托合同</t>
  </si>
  <si>
    <t>CRCCRE-SJ-XM-2023-085</t>
  </si>
  <si>
    <t>售楼处、样板间及公区</t>
  </si>
  <si>
    <t>4月付至50%</t>
  </si>
  <si>
    <t>广州市天河区梅花铝厂地块项目
样板间精装修硬装设计委托合同</t>
  </si>
  <si>
    <t>CRCCRE-SJ-XM-2023-072</t>
  </si>
  <si>
    <t>404平米
（180、230户型）</t>
  </si>
  <si>
    <t>创意样板间1200元/㎡；套图500元/㎡</t>
  </si>
  <si>
    <t>合同签订并提交第一版概念性方案并经甲方书面确认后 15 个工作日内请款，乙方按照甲方审核后的金额，开具相应金额的增值税专用发票，由甲方于审核后次月30日前进行进度款支付。
【230户型387600元；180户型299200元】</t>
  </si>
  <si>
    <t>支付至合同暂定 金额的15%</t>
  </si>
  <si>
    <t>230户型</t>
  </si>
  <si>
    <t>180户型</t>
  </si>
  <si>
    <t>完成展示区概念设计,提交成果并得到甲方书面确认后15个工作日内请款，乙方按照甲方审核后的金额，开具相应金额的增值税专用发票，由甲方于审核后次月30日前进行进度款支付。
【230户型387600元；180户型299200元】</t>
  </si>
  <si>
    <t>支付至合同暂定 金额的40%</t>
  </si>
  <si>
    <t>完成展示区方案扩初设计阶段最终成果，经甲方书面确认后15个工作日内请款，乙方按照甲方审核后的金额，开具相应金额的增值税专用发票，由甲方于审核后次月30日前进行进度款支付。
【230户型387600元；180户型299200元】</t>
  </si>
  <si>
    <t>支付至合同暂定 金额的50%</t>
  </si>
  <si>
    <t>完成展示区精装施工图设计,提交成果并得到甲方书面认可后15个工作日内请款，乙方按照甲方审核后的金额，开具相应金额的增值税专用发票，由甲方于审核后次月30日前进行进度款支付。
【230户型387600元；180户型299200元】</t>
  </si>
  <si>
    <t>支付至合同暂定 金额的80%</t>
  </si>
  <si>
    <t>展示区精装修竣工后15个工作日内请款，乙方按照甲方审核后的金额，开具相应金额的增值税专用发票，由甲方于审核后次月30日前进行进度款支付。
【230户型387600元；180户型299200元】</t>
  </si>
  <si>
    <t>支付至合同暂定 金额的85%</t>
  </si>
  <si>
    <t>结算完成，后15个工作日内请款，乙方按照甲方审核后的金额，开具相应金额的增值税专用发票，由甲方于审核后次月30日前进行结算款支付。
【230户型387600元；180户型299200元】</t>
  </si>
  <si>
    <t>支付至合同结算 金额的90%</t>
  </si>
  <si>
    <t>配合完成产品创新研发工作，并经中国铁建房地产集团组织验收通过后 15 个工作日内请款，由甲方于审核后次月30日前付款（此项如未发生则该笔金额不予支付）
【230户型387600元；180户型299200元】</t>
  </si>
  <si>
    <t>广州市天河区梅花铝厂项目标识设计服务合同</t>
  </si>
  <si>
    <t>CRCCRE-SJ-XM-2023-090</t>
  </si>
  <si>
    <t>深圳市之星设计有限公司</t>
  </si>
  <si>
    <t>本合同签订完成，乙方提交本项目展示区工作方案经甲方确认，且甲方收到本项目业主方(广州市天河区顺信房地产有限公司) 相应款项后 15 个工作日内请款，次月30日内甲方向乙方支付至合同设计费的20%;</t>
  </si>
  <si>
    <t>乙方提交大区标识方案图，经甲方确认，且甲方收到本项目业主方 (广州市天河区顺信房地产有限公司) 相应款项后 15 个工作日内请款，次月 30 日内甲方向乙方支付至合同设计费的 50%;</t>
  </si>
  <si>
    <t>乙方完成导视施工图设计工作，经相关机构审查通过后，且甲方收到本项目业主方(广州市天河区顺信房地产有限公司) 相应款项后 15 个工作日内请款，次月 30 日内甲方向乙方支付至合同设计费的 90%</t>
  </si>
  <si>
    <t>整体项目竣工验收完成后，且甲方收到本项目业主方(广州市天河区顺信房地产有限公司)相应款项后 15 个工作日内请款，次月 30 日内甲方向乙方支付至合同设计费的 100%。</t>
  </si>
  <si>
    <t>广州市天河区梅花铝厂项目批量精装设计服务合同</t>
  </si>
  <si>
    <t>CRCCRE-SJ-JZ-2023-054</t>
  </si>
  <si>
    <t>完成大区方案扩初设计阶段最终成果，经甲方书面确认后15个工作日内请款，乙方按照甲方审核后的金额，开具相应金额的增值税专用发票，由甲方于审核后次月30日前进行进度款支付</t>
  </si>
  <si>
    <t>广州市天河区梅花铝厂项目建筑施工图精细化审查服务合同</t>
  </si>
  <si>
    <t>CRCCRE-SJ-XM-2023-080</t>
  </si>
  <si>
    <t>2.2元/㎡</t>
  </si>
  <si>
    <t>本合同签订生效，乙方开展设计咨询工作并提供初步施工图精细化审查意见后，经甲方确认且甲方收到本项目业主方（广州市天河区顺信房地产有限公司）相应款项后15个工作日内请款，次月30日内甲方向乙方支付合同额的20％；</t>
  </si>
  <si>
    <t>本项目取得《建设工程规划许可证》后，且甲方收到本项目业主方（广州市天河区顺信房地产有限公司）相应款项后15个工作日内请款，次月30日内甲方向乙方支付至合同额的50%；</t>
  </si>
  <si>
    <t>本项目取得施工图审查合格书后，且甲方收到本项目业主方（广州市天河区顺信房地产有限公司）相应款项后15个工作日内请款，次月30日内甲方向乙方支付至合同额的70%；</t>
  </si>
  <si>
    <t>本项目正式施工图下发工地后，且甲方收到本项目业主方（广州市天河区顺信房地产有限公司）相应款项后15个工作日内请款，次月30日内甲方向乙方支付至合同额的95%；</t>
  </si>
  <si>
    <t>提交最终版总结报告后，且甲方收到本项目业主方（广州市天河区顺信房地产有限公司）相应款项后15个工作日内请款，次月30日内甲方向乙方支付合同额的100%；</t>
  </si>
  <si>
    <t>广州市天河区梅花铝厂项目
泛光照明设计服务合同</t>
  </si>
  <si>
    <t>CRCCRE-SJ-XM-2023-081</t>
  </si>
  <si>
    <t>深圳尚曦照明设计有限公司</t>
  </si>
  <si>
    <t>本合同签订生效，乙方提交本项目展示区泛光施工图后，取得甲方认可后15个工作日内请款，次月30日前付款，且甲方收到本项目业主方（广州市天河区顺信房地产有限公司）相应款项后15个工作日内请款，次月30日前甲方向乙方支付合同额的20％；</t>
  </si>
  <si>
    <t>乙方提供大区泛光方案取得甲方认可后15个工作日内请款，次月30日前付款，且甲方收到本项目业主方（广州市天河区顺信房地产有限公司）相应款项后15个工作日内请款，次月30日前甲方向乙方支付至合同额的50％。</t>
  </si>
  <si>
    <t>乙方完成泛光照明施工图设计工作，经甲方认可通过后15个工作日内请款，次月30日前付款，且甲方收到本项目业主方（广州市天河区顺信房地产有限公司）相应款项后15个工作日内请款，次月30日前甲方向乙方支付至合同额的90％。</t>
  </si>
  <si>
    <t>整体项目竣工验收完成后15个工作日内请款，次月30日前付款，且甲方收到本项目业主方（广州市天河区顺信房地产有限公司）相应款项后15个工作日内请款，次月30日前甲方向乙方支付至合同结算金额的100%。</t>
  </si>
  <si>
    <t>广州市天河区梅花铝厂地块项目
品质车库设计委托合同</t>
  </si>
  <si>
    <t>CRCCRE-SJ-XM-2023-089</t>
  </si>
  <si>
    <t>秒差距（西安）空间设计研究院有限公司</t>
  </si>
  <si>
    <t>固定总价
（单价16）</t>
  </si>
  <si>
    <t>本合同签订并生效后,乙方提交本项目工作方案经甲方确认后，甲方收到本项目业主方(广州市天河区顺信房地产有限公司) 相应款项后 15 个工作日内请款，次月 30 日内甲方向了方支付至合同额的20%</t>
  </si>
  <si>
    <t>本项目地库施工图设计取得施工图审查合格书后。且甲方收到本项目业主方(广州市天河区顺信房地产有限公司) 相应款项后 15 个工作日内请款，次月 30 日内甲方向7方支付至合同额的50%:</t>
  </si>
  <si>
    <t>乙方提交本项目施工图经甲方确认后，甲方收到本项目业主方(广州市天河区顺信房地产有限公司) 相应款项后 15 个工作日内请款，次月 30 日内甲方向乙方支付至合同额的90%:</t>
  </si>
  <si>
    <t>整体竣工验收完成，且甲方收到本项目业主方《广州市天河区顺信房地产有限公司) 相应款项后 15 个工作日内请款，次月30 日内甲方向乙方支付至合同结算额的100%。</t>
  </si>
  <si>
    <t>广州市天河区梅花铝厂项目智能化专项设计服务合同</t>
  </si>
  <si>
    <t>CRCCRE-SJ-XM-2023-078</t>
  </si>
  <si>
    <t>本合同签订，提交智能化方案设计经甲方确认后且甲方收到本项目业主方（广州市天河区顺信房地产有限公司）相应款项后15个工作日内请款，次月30日内甲方向乙方支付合同额的20％
【总包合同节点：完成项目智能化施工招标图设计，经甲方确认后15个工作日内请款，次月30日前付款。】</t>
  </si>
  <si>
    <t>智能化施工图设计阶段，施工图设计完成经甲方确认并经施工图审查机构审查通过（如有），且甲方收到本项目业主方（广州市天河区顺信房地产有限公司）相应款项后15个工作日内请款，次月30日内甲方向乙方支付合同额的90％；【总包合同节点：提交经甲方确认后的全套智能化施工图并完成技术交底】</t>
  </si>
  <si>
    <t>整体智能化工程完成竣工验收，经甲方收到本项目业主方（广州市天河区顺信房地产有限公司）相应款项后15个工作日内请款，次月30日内甲方向乙方支付至合同结算额的100％。【总包合同节点：智能化工程完成竣工验收】</t>
  </si>
  <si>
    <t>广州市天河区梅花铝厂地块项目地下室BIM全专业建模及技术服务合同</t>
  </si>
  <si>
    <t>CRCCRE-SJ-BIM-2024-003</t>
  </si>
  <si>
    <t>2.8元/㎡</t>
  </si>
  <si>
    <t>合同签订并提交第一版地下车库及地下室BIM模型且经过甲方书面确认后15个工作日内请款，次月30日前付款。</t>
  </si>
  <si>
    <t>广州市天河区梅花铝厂项目
批量精装设计服务合同补充协议</t>
  </si>
  <si>
    <t>CRCCRE-SJ-JZ-2023-054-B1</t>
  </si>
  <si>
    <t>本协议项下的调增款项与原合同一并结算（具体结算节点以原合同约定为准）。</t>
  </si>
  <si>
    <t>中国铁建·黑龙江总部基地项目BIM建模及管综优化服务合同</t>
  </si>
  <si>
    <t>CRCCRE-SJ-BIM-2022-008</t>
  </si>
  <si>
    <t>中国铁建花语城二期工程项目BIM咨询服务合同</t>
  </si>
  <si>
    <t>CRCCRE-SJ-BIM-2022-012</t>
  </si>
  <si>
    <t>北京华茂云信息科技有限公司</t>
  </si>
  <si>
    <t>合同签订后并由乙方提供增值税专用发票后10个工作日内</t>
  </si>
  <si>
    <t>提交全专业BIM模型并经甲方书面确认后且乙方提供增值税专用发票10个工作日内</t>
  </si>
  <si>
    <t>完成咨询工作并经甲方书面确认人后且乙方提供增值税专用发票10个工作日内</t>
  </si>
  <si>
    <t>中国铁建花语城四期工程项目地下室BIM全专业建模技术服务合同</t>
  </si>
  <si>
    <t>CRCCRE-SJ-BIM-2023-004</t>
  </si>
  <si>
    <t>正定项目C号、D号地块咨询</t>
  </si>
  <si>
    <t>中国铁建花语城二期、四期项目施工图设计咨询服务合同</t>
  </si>
  <si>
    <t>CRCCRE-SJ-XM-2023-007</t>
  </si>
  <si>
    <t>广州市博思建筑设计咨询有限公司</t>
  </si>
  <si>
    <t>合同签订后，甲方在甲方与乙方共同确认的时间内提交首批设计资料（施工图蓝图）给乙方后，三十个工作日内</t>
  </si>
  <si>
    <t>结算金额：
1097474.90元</t>
  </si>
  <si>
    <t>乙方提交第一版全专业施工图设计咨询报告且经过甲方书面确认后，三十个工作日内</t>
  </si>
  <si>
    <t>乙方完成该项目设计咨询总结报告并经甲方书面认可后，三十个工作日内</t>
  </si>
  <si>
    <t>武汉国际城F地块项目地下室BIM全专业建模技术服务合同</t>
  </si>
  <si>
    <t>CRCCRE-SJ-BIM-2023-005</t>
  </si>
  <si>
    <t>本合同签订后15个工作日内请款，乙方按照甲方审核后的金额</t>
  </si>
  <si>
    <t>乙方提交第一版全专业调整BIM模型、图纸问题与调整问题报告并经甲方书面确认后15个工作日内请款</t>
  </si>
  <si>
    <t>乙方提交地下室管线调整BIM模型及其报告并经甲方书面确认后15个工作日内请款</t>
  </si>
  <si>
    <t>乙方配合甲方完成BIM优化工作后15 个工作日内请款</t>
  </si>
  <si>
    <t>武汉知语1901商业项目
概念规划方案设计委托合同</t>
  </si>
  <si>
    <t>CRCCRE-SJ-TOD-2023-054</t>
  </si>
  <si>
    <t>概念规划设计</t>
  </si>
  <si>
    <t>梁黄顾建筑设计
（深圳）有限公司</t>
  </si>
  <si>
    <t>合同签订生效且乙方提交第一版概念性方案经甲方审议通过后15个工作日内请款</t>
  </si>
  <si>
    <t>完成后续方案设计调整，提供完整的概念方案文本及各项技术资料，经业主方审议通过后15个工作日内请款</t>
  </si>
  <si>
    <t>方案调整、修改完成，建设工程规划许可证下发后15个工作日内请款</t>
  </si>
  <si>
    <t>竣工验收完成后15个工作日内按照合同金额结算</t>
  </si>
  <si>
    <t>合肥包河BH202308地块项目</t>
  </si>
  <si>
    <t>包河BH202308地块项目批量精装修施工图设计服务合同</t>
  </si>
  <si>
    <t>CRCCRE-SJ-XM-2023-065</t>
  </si>
  <si>
    <t>精装
（批量精装）</t>
  </si>
  <si>
    <t>合同签订订并提交第一版概念性方案后15个工作日内请款</t>
  </si>
  <si>
    <t>完成大方案扩初设计阶段最终成果，经甲方书面确认后15个工作日内请款</t>
  </si>
  <si>
    <t>合肥包河BH202308地块项目售楼处及样板间、公区精装方案及施工图设计服务合同</t>
  </si>
  <si>
    <t>CRCCRE-SJ-XM-2023-033</t>
  </si>
  <si>
    <t>精装（售楼处及样板间）</t>
  </si>
  <si>
    <t>合同签订并提交第一版概念性方案设计文件并经甲方书面确认后 15个工作日内请款</t>
  </si>
  <si>
    <t>完成展示区概念设计，提交设计成果文件并得到甲方书面确认后15个工作日内请款</t>
  </si>
  <si>
    <t>完成展示区精装施工图设计，提交成果并得到甲方书面认可后15 个工作日内请款</t>
  </si>
  <si>
    <t>配合完成产品创新研发工作，并经中国铁建房地产集团组织验收通过后 15 个工作日内请款， 由甲方于审核后次月30日前付款（此项如未发生则该笔金额不予支付）</t>
  </si>
  <si>
    <t>合肥包河BH202308地块项目售楼处及样板间、公区精装方案及施工图设计服务合同补充协议（一）</t>
  </si>
  <si>
    <t>CRCCRE-SJ-XM-2023-033-B1</t>
  </si>
  <si>
    <t>合肥包河BH202308地块项目景观方案至施工图设计服务合同</t>
  </si>
  <si>
    <t>CRCCRE-SJ-XM-2023-056</t>
  </si>
  <si>
    <t>景观
整体</t>
  </si>
  <si>
    <t>展示区</t>
  </si>
  <si>
    <t>大区及红线外</t>
  </si>
  <si>
    <t>配合完成产品创新研发工作《高辨识度建筑外立面及大门围墙形象研究》，并经中国铁建房地产集团组织验收通过后 15 个工作日内请款，次月30日前付款（此项如未发生则该笔金额不予支付）</t>
  </si>
  <si>
    <t>中铁建长沙天心炮院西项目售楼处及样板间精装方案至施工图设计服务合同</t>
  </si>
  <si>
    <t>CRCCRE-SJ-XM-2023-096</t>
  </si>
  <si>
    <t>中铁建长沙天心炮院西项目售楼处及样板间精装方案至施工图设计服务合同补充协议</t>
  </si>
  <si>
    <t>CRCCRE-SJ-XM-2023-096-B1</t>
  </si>
  <si>
    <t>中铁建长沙天心炮院西项目大区精装方案至施工图设计服务合同</t>
  </si>
  <si>
    <t>CRCCRE-SJ-XM-2024-008</t>
  </si>
  <si>
    <t>中铁建长沙天心炮院西项目景观方案至施工图设计服务合同</t>
  </si>
  <si>
    <t>CRCCRE-SJ-XM-2023-099</t>
  </si>
  <si>
    <t>北地块：55972㎡</t>
  </si>
  <si>
    <t>合肥包河BH202308地块项目
立面设计服务合同</t>
  </si>
  <si>
    <t>CRCCRE-SJ-CZ-2024-008</t>
  </si>
  <si>
    <t>上海木七建筑设计有限公司</t>
  </si>
  <si>
    <t>乙方提交立面概念设计方案经甲方确认后，次月30日前支付至合同金额的30%；</t>
  </si>
  <si>
    <t>乙方完成所有建筑单体的立面方案设计并提交相关成果后，次月30日前支付至合同金额的80%；</t>
  </si>
  <si>
    <t>乙方提交最终外立面方案深化设计成果，经业主方采用并完成相关配合工作后，次月30日前支付至合同金额的90%；</t>
  </si>
  <si>
    <t>项目竣工验收完成后，双方那个根据《规划许可证》面积结算，次月30日前支付至合同结算金额的100%。</t>
  </si>
  <si>
    <t>上海市奉贤区西渡街道D-01-11区域地块项目地库方案设计合同</t>
  </si>
  <si>
    <t>CRCCRE-SJ-CZ-2023-054</t>
  </si>
  <si>
    <t>本合同签订并生效后，乙方提交设计方案经甲方确认后且甲方收到本项目业主方（上海京泓润房地产开发有限公司）相应款项后15个工作日内请款，次月30日内甲方向乙方支付合同额的20％；</t>
  </si>
  <si>
    <t>本合同约定设计工作全部完成并经过甲方确认，并取得《建设工程规划许可证》且甲方收到本项目业主方（上海京泓润房地产开发有限公司）相应款项后15个工作日内请款，次月30日内甲方向乙方支付至合同额的80％；</t>
  </si>
  <si>
    <t>整体竣工验收完成后，15个工作日内双方办理结算手续，结算完成后且甲方收到本项目业主方（上海京泓润房地产开发有限公司）相应款项后，次月30日内甲方向乙方支付至合同结算额的100％。</t>
  </si>
  <si>
    <t>上海奉贤区西渡街道D-01-11区域地块项目智能化设计服务合同</t>
  </si>
  <si>
    <t>CRCCRE-SJ-XM-2023-077</t>
  </si>
  <si>
    <t>本合同签订，提交智能化工作方案经甲方确认后且甲方收到本项目业主方（上海京泓润房地产开发有限公司）相应款项后15个工作日内请款，次月30日内甲方向乙方支付合同额的15％；</t>
  </si>
  <si>
    <t>施工图设计阶段，施工图设计完成且经相关机构审查通过（如有）且甲方收到本项目业主方（上海京泓润房地产开发有限公司）相应款项后15个工作日内请款，次月30日内甲方向乙方支付合同额的65％；</t>
  </si>
  <si>
    <t>整体工程竣工验收且结算完成，甲方收到本项目业主方（上海京泓润房地产开发有限公司）相应款项后15个工作日内请款，次月30日内甲方向乙方支付至合同结算金额的100％。</t>
  </si>
  <si>
    <t>上海奉贤区西渡街道D-01-11区域地块项目泛光照明设计服务合同</t>
  </si>
  <si>
    <t xml:space="preserve"> CRCCRE-SJ-XM-2025-006  </t>
  </si>
  <si>
    <t>本合同签订生效，乙方提交方案设计及方案深化设计成果通过甲方确认后15个工作日内请款，次月30日前甲方向乙方支付合同额的20％；</t>
  </si>
  <si>
    <t>乙方提交施工图设计阶段成果通过甲方确认后15个工作日内请款，次月30日前甲方向乙方支付合同额的60％。</t>
  </si>
  <si>
    <t>乙方配合施工服务，项目竣工验收完成，通过甲方确认，双方办理结算手续，结算完成后后15个工作日内请款，次月30日前甲方向乙方支付至合同结算金额的100％。</t>
  </si>
  <si>
    <t>上海奉贤区西渡街道D-01-11区域地块项目综合图、产品手册设计服务合同</t>
  </si>
  <si>
    <t>CRCCRE-SJ-XM-2023-093</t>
  </si>
  <si>
    <t>综合图、产品手册设计</t>
  </si>
  <si>
    <r>
      <rPr>
        <sz val="10"/>
        <color rgb="FF000000"/>
        <rFont val="宋体"/>
        <charset val="134"/>
        <scheme val="minor"/>
      </rPr>
      <t>本合同签订生效，乙方提交综合图工作成果，且甲方收到本项目业主方（上海京泓润房地产开发有限公司）相应款项后15个工作日内请款，经甲方确认乙方请款资料无误后，次月30日前付款</t>
    </r>
    <r>
      <rPr>
        <sz val="12"/>
        <color theme="1"/>
        <rFont val="仿宋"/>
        <charset val="134"/>
      </rPr>
      <t>；</t>
    </r>
  </si>
  <si>
    <t>综合图成果提交并经过甲方确认后，且甲方收到本项目业主方（上海京泓润房地产开发有限公司）相应款项后15个工作日内请款，经甲方确认乙方请款资料无误后，次月30日前付款；</t>
  </si>
  <si>
    <r>
      <rPr>
        <sz val="10"/>
        <color rgb="FF000000"/>
        <rFont val="宋体"/>
        <charset val="134"/>
        <scheme val="minor"/>
      </rPr>
      <t>本合同签订生效，乙方提交产品手册工作成果，且甲方收到本项目业主方（上海京泓润房地产开发有限公司）相应款项后15个工作日内请款，经甲方确认乙方请款资料无误后，次月30日前付款</t>
    </r>
    <r>
      <rPr>
        <sz val="12"/>
        <color theme="1"/>
        <rFont val="仿宋"/>
        <charset val="134"/>
      </rPr>
      <t>；</t>
    </r>
  </si>
  <si>
    <t>产品手册成果提交并经过甲方确认后，且甲方收到本项目业主方（上海京泓润房地产开发有限公司）相应款项后15个工作日内请款，经甲方确认乙方请款资料无误后，次月30日前付款；</t>
  </si>
  <si>
    <t>项目整体竣工验收完成，甲乙双方办理结算手续，且甲方收到本项目业主方（上海京泓润房地产开发有限公司）相应款项后15个工作日内请款，经甲方确认乙方请款资料无误后，次月30日前付款；</t>
  </si>
  <si>
    <t>北京市通州区梨园镇强力家居土地一级开发项目FZX-0303-6007地块R2二类居住用地项目建筑方案设计委托合同</t>
  </si>
  <si>
    <t>CRCCRE-SJ-XM-2025-025</t>
  </si>
  <si>
    <t>方案调整、修改完成经甲方确认后，15个工作日内请款</t>
  </si>
  <si>
    <t>方案通过政府相关审批（规划复函）后15个工作日内请款</t>
  </si>
  <si>
    <t>项目总图、建筑单专业扩初设计图纸完成，并取得《建设工程规划许可证》后15个工作日内请款</t>
  </si>
  <si>
    <t>配合所有施工图设计完成，取得施工图审查合格证后15个工作日内请款</t>
  </si>
  <si>
    <t>配合施工完成，竣工验收完成后15个工作日内按照《建设工程规划许可证》建筑面积结算</t>
  </si>
  <si>
    <t>北京市通州区梨园镇强力家居土地一级开发项目FZX-0303-6007地块R2二类居住用地项目景观方案至施工图设计委托合同</t>
  </si>
  <si>
    <t>CRCCRE-SJ-XM-2025-023</t>
  </si>
  <si>
    <t>合同签订并提交大区概念设计成果经甲方确认后2个月内</t>
  </si>
  <si>
    <t>北京市通州区梨园镇强力家居土地一级开发项目FZX-0303-6007地块R2二类居住用地项目精装修硬装设计委托合同</t>
  </si>
  <si>
    <t>CRCCRE-SJ-XM-2025-022</t>
  </si>
  <si>
    <t>1-精装展示区</t>
  </si>
  <si>
    <t>2-精装展示区</t>
  </si>
  <si>
    <t>3-精装展示区</t>
  </si>
  <si>
    <t>4-精装展示区</t>
  </si>
  <si>
    <t>5-精装展示区</t>
  </si>
  <si>
    <t>6-精装展示区</t>
  </si>
  <si>
    <t>结算完成，后15个工作日内请款，乙方按照甲方审核后的金额，开具相应金额的增值税专用发票，由甲方于审核后次月30日前进行结算款支付</t>
  </si>
  <si>
    <t>1-精装大区</t>
  </si>
  <si>
    <t>2-精装大区</t>
  </si>
  <si>
    <t>3-精装大区</t>
  </si>
  <si>
    <t>4-精装大区</t>
  </si>
  <si>
    <t>5-精装大区</t>
  </si>
  <si>
    <t>6-精装大区</t>
  </si>
  <si>
    <t>成都市双流区麓湖76亩项目</t>
  </si>
  <si>
    <t>中铁建天府新区华阳街道2023-50166号住兼商地块项目户内、公区及架空层精装修硬装设计委托合同</t>
  </si>
  <si>
    <t>CRCCRE-SJ-XM-2023-104</t>
  </si>
  <si>
    <t>深圳市极尚建设集团股份有限公司</t>
  </si>
  <si>
    <t>中铁建华阳街道2023-50166号（住兼商）地块项目售楼部、公区及样板间精装修硬装设计委托合同</t>
  </si>
  <si>
    <t>CRCCRE-SJ-XM-2024-001</t>
  </si>
  <si>
    <t>精装
（售楼处及样板间）</t>
  </si>
  <si>
    <t>中铁建华阳街道2023-50166号（住兼商）地块项目精装修硬装设计委托合同补充协议</t>
  </si>
  <si>
    <t>CRCCRE-SJ-XM-2024-001-B1</t>
  </si>
  <si>
    <t>精装
（样板间）</t>
  </si>
  <si>
    <t>本协议签订后，乙方提交精装设计成果后经甲方书面认可，新增新风格165户型样板间款项则一次性付清</t>
  </si>
  <si>
    <t>中铁建华阳街道2023-50166号（住兼商）地块项目建筑方案设计服务合同</t>
  </si>
  <si>
    <t>CRCCRE-SJ-XM-2023-106</t>
  </si>
  <si>
    <t>合同签订并提交第一版概念性方案后，经甲方确认后2个月内（付款审批流程完成后）</t>
  </si>
  <si>
    <t>方案调整、修改完成经甲方确认后2个月内（付款审批流程完成后）</t>
  </si>
  <si>
    <t>方案通过政府相关审批（规划复函）后，经甲方确认后2个月内（付款审批流程完成后）</t>
  </si>
  <si>
    <t>项目总图、建筑单专业扩初设计图纸完成，并取得《建设工程规划许可证》后，经甲方确认后2个月内（付款审批流程完成后）</t>
  </si>
  <si>
    <t>中铁建天府新区华阳街道2023-50166号住兼商地块项目景观设计委托合同</t>
  </si>
  <si>
    <t>CRCCRE-SJ-XM-2023-105</t>
  </si>
  <si>
    <t>广州怡境规划设计有限公司</t>
  </si>
  <si>
    <r>
      <rPr>
        <sz val="10"/>
        <color rgb="FF000000"/>
        <rFont val="宋体"/>
        <charset val="134"/>
      </rPr>
      <t>合同签订并提交第一版概念性方案后15个工作日内请款，</t>
    </r>
    <r>
      <rPr>
        <sz val="9"/>
        <color rgb="FF000000"/>
        <rFont val="宋体"/>
        <charset val="134"/>
      </rPr>
      <t>乙方按照甲方审核后的金额，开具相应金额的增值税专用发票，由甲方于审核后，次月30日前付款。</t>
    </r>
  </si>
  <si>
    <t>成都76亩地项目地下室BIM建模及管综优化合同</t>
  </si>
  <si>
    <t>CRCCRE-SJ-BIM-2024-015</t>
  </si>
  <si>
    <t>乙方根据甲方优化后的施工图纸提交BIM咨询优化报告、完成BIM范围的交底工作并经甲方书面确认后15个工作日内请款</t>
  </si>
  <si>
    <t>完成设计变更的BIM模型更改，至项目竣工验收后双方办理结算。15个工作日内请款</t>
  </si>
  <si>
    <t>成都高新区76亩项目南区地下室BIM建模及管综优化合同</t>
  </si>
  <si>
    <t>CRCCRE-SJ-BIM-2024-016</t>
  </si>
  <si>
    <t>成都锦江区31亩项目</t>
  </si>
  <si>
    <t>成都锦江区31亩地项目地下室BIM建模及管综优化合同</t>
  </si>
  <si>
    <t>CRCCRE-SJ-BIM-2024-013</t>
  </si>
  <si>
    <t>成都锦江区31亩住宅及配套(12号地块)项目建筑方案设计委托合同</t>
  </si>
  <si>
    <t>CRCCRE-SJ-XM-2024-057</t>
  </si>
  <si>
    <t>上海正象建筑设计事务所有限公司</t>
  </si>
  <si>
    <t>合同签订并提交第一版概念性方案并经甲方认可后15个工作日内请款</t>
  </si>
  <si>
    <t>项目总图、建筑单专业扩初设计图纸完成，并取得《规划许可证》后，15个工作日内请款</t>
  </si>
  <si>
    <t>配合完成产品创新研发工作，并经中国铁建房地产集团组织验收通过后15个工作日内请款，次月30日前付款</t>
  </si>
  <si>
    <t>成都锦江区31亩住宅及配套(12号地块)项目景观方案至施工图设计委托合同</t>
  </si>
  <si>
    <t>CRCCRE-SJ-XM-2024-056</t>
  </si>
  <si>
    <t>景观设计
（方案+施工图）</t>
  </si>
  <si>
    <t>17584.70
（展示区4306.00
大区13278.70）</t>
  </si>
  <si>
    <t>合同签订并提交第一版概念性方案并经甲方确认后15个工作日内请款，乙方按照甲方审核后的金额，开具相应金额的增值税专用发票，由甲方于审核后，次月30日前付款。</t>
  </si>
  <si>
    <t>成都锦江区31亩住宅及配套(12号地块)项目售楼处及样板间精装修设计合同</t>
  </si>
  <si>
    <t>CRCCRE-SJ-XM-2024-058</t>
  </si>
  <si>
    <t>精装修竣工备案并完成结算后15个工作日内，乙方根据甲方要求提交请款材料</t>
  </si>
  <si>
    <t>成都锦江区31亩住宅及配套(12号地块)项目大区批量精装设计服务合同</t>
  </si>
  <si>
    <t>CRCCRE-SJ-XM-2024-059</t>
  </si>
  <si>
    <t>精装修竣工备案并完成结算后15个工作日内</t>
  </si>
  <si>
    <t>武侯区51亩住宅及配套项目</t>
  </si>
  <si>
    <t>成都武侯区51亩住宅及配套设施项目地下室BIM管综优化服务合同</t>
  </si>
  <si>
    <t>CRCCRE-SJ-BIM-2024-014</t>
  </si>
  <si>
    <t>高新西区25亩项目地下室BIM管综优化合同</t>
  </si>
  <si>
    <t>CRCCRE-SJ-BIM-2024-012</t>
  </si>
  <si>
    <t>上海市杨浦区延吉街道 201 街坊(长白社区 H2-17 地块)项目</t>
  </si>
  <si>
    <t>上海市杨浦区延吉街道 201 街坊(长白社区H2-17地块)
项目前期强排规划概念方案设计合同</t>
  </si>
  <si>
    <t>CRCCRE-SJ-CZ-2024-027</t>
  </si>
  <si>
    <t>标准版4.5万元</t>
  </si>
  <si>
    <t>CRCCRE-SJ-CZ-2023-009-B1</t>
  </si>
  <si>
    <t>强排版1.75；标准版4.5；深化版27</t>
  </si>
  <si>
    <t>无金额，久其录入</t>
  </si>
  <si>
    <t>强排版1.8；标准版3.8；深化版23</t>
  </si>
  <si>
    <t>CRCCRE-SJ-CZ-2023-004-B1</t>
  </si>
  <si>
    <t>强排版1.78；标准版4.45；深化版25.8</t>
  </si>
  <si>
    <t>CRCCRE-SJ-CZ-2023-005-B1</t>
  </si>
  <si>
    <t>强排版1.5；标准版5；深化版27</t>
  </si>
  <si>
    <t>CRCCRE-SJ-CZ-2023-007-B1</t>
  </si>
  <si>
    <t>强排版1.9；标准版4.5；深化版27</t>
  </si>
  <si>
    <t>华东区域上海市闵行区莘庄13A-10A地块
项目</t>
  </si>
  <si>
    <t>华东区域上海市闵行区莘庄13A-10A地块
项目前期强排规划概念方案设计合同</t>
  </si>
  <si>
    <t>CRCCRE-SJ-CZ-2025-004</t>
  </si>
  <si>
    <t>华东区域东新单元 XC0607-R21-13 地块项目</t>
  </si>
  <si>
    <t>华东区域东新单元 XC0607-R21-13 地块项目前期强排规划概念方案设计合同</t>
  </si>
  <si>
    <t>CRCCRE-SJ-CZ-2025-005</t>
  </si>
  <si>
    <t>华东区域宁波慈溪白沙202005#-A-B地块项目</t>
  </si>
  <si>
    <t>华东区域宁波慈溪白沙202005#-A-B地块项目前期强排规划概念方案设计合同</t>
  </si>
  <si>
    <t>CRCCRE-SJ-CZ-2025-006</t>
  </si>
  <si>
    <t>武侯区51亩住宅及配套项目建筑方案设计委托合同</t>
  </si>
  <si>
    <t>CECCRE-SJ-XM-2024-032</t>
  </si>
  <si>
    <t>武侯区51亩住宅及配套项目批量精装修设计委托合同</t>
  </si>
  <si>
    <t>CECCRE-SJ-XM-2024-036</t>
  </si>
  <si>
    <t>武侯区51亩住宅及配套项目售楼部、会所精装修设计委托合同</t>
  </si>
  <si>
    <t>CRCCRE-SJ-XM-2024-040</t>
  </si>
  <si>
    <t>深圳市梓人环境设计有限公司</t>
  </si>
  <si>
    <t>武侯区51亩住宅及配套项目景观方案至施工图设计委托合同</t>
  </si>
  <si>
    <t>CRCCRE-SJ-XM-2024-035</t>
  </si>
  <si>
    <t>26788
（展示区4900
大区21888）</t>
  </si>
  <si>
    <t>上海松江区中山街道新城主城C单元C07-01地块商品房项目室内精装修设计委托合同补充协议</t>
  </si>
  <si>
    <t>CRCCRE-SJ-XM-2022-072-B1</t>
  </si>
  <si>
    <t>工程通过竣工验收，设计人按照合同设计内容和责任约定，完成此专项全部设计、配合、现场服务配合工作后次月30日内支付</t>
  </si>
  <si>
    <t>松江区中山街道新城主城C单元C07-01地块商品房项目人防工程专项设计服务合同补充协议</t>
  </si>
  <si>
    <t>CRCCRE-SJ-XM-2022-061-B1</t>
  </si>
  <si>
    <t>民防标识标牌开始施工，并经甲方书面确认后15个工作日内请款，次月30日前付款</t>
  </si>
  <si>
    <t>上海松江区中山街道新城主城C单元C07-01地块商品房项目接待中心精装设计委托合同补充协议</t>
  </si>
  <si>
    <t>CRCCRE-SJ-XM-2023-014-B1</t>
  </si>
  <si>
    <t>本协议签订后，乙方提交概念方案设计成果，经甲方确认后后15个工作日内请款，次月30日前付款</t>
  </si>
  <si>
    <t>乙方完成深化方案设计阶段，向甲方提交深化方案设计成果，并经甲方书面确认后15个工作日内请款，次月30日前付款</t>
  </si>
  <si>
    <t>乙方完成施工图设计阶段，向甲方提交施工图设计成果，并经甲方书面确认后15个工作日内请款，次月30日前付款</t>
  </si>
  <si>
    <t>乙方配合甲方完成该设计内容的施工并通过甲方项目验收完工后，并经甲方书面确认后15个工作日内请款，次月30日内支付</t>
  </si>
  <si>
    <t>成都武侯区54.63亩住宅及配套设施项目建筑方案设计委托合同</t>
  </si>
  <si>
    <t>CRCCRE-SJ-XM-2025-042</t>
  </si>
  <si>
    <t>含税单价：27元/㎡，展示区固定总价405000</t>
  </si>
  <si>
    <t>成都武侯区54、63亩住宅及配套设施项目售楼处及样板间精装方案至施工图设计委托合同</t>
  </si>
  <si>
    <t>CRCCRE-SJ-XM-2025-043</t>
  </si>
  <si>
    <t>总建面95923.34</t>
  </si>
  <si>
    <t>售楼处1300；样板间1900；架空层400；公区14#100；10#首层大堂800，标准层700；11#首层大堂800，标准层695，地下大堂480，地下光厅350</t>
  </si>
  <si>
    <t>合同签订并提交第一版概念性方案后 15 个工作日内请款，甲方于审核后次月30日前进行进度款支付</t>
  </si>
  <si>
    <t>完成展示区概念设计,提交成果并得到甲方认可后15个工作日内请款，甲方于审核后次月30日前进行进度款支付。</t>
  </si>
  <si>
    <t>完成展示区方案扩初设计阶段最终成果，经甲方书面确认后15个工作日内请款，甲方于审核后次月30日前进行进度款支付。</t>
  </si>
  <si>
    <t>完成展示区精装施工图设计,提交成果并得到甲方认可后15个工作日内请款，甲方于审核后次月30日前进行进度款支付。</t>
  </si>
  <si>
    <t>展示区精装修竣工验收合格，本合同办理完结算后15个工作日内请款，甲方于审核后次月30日前进行进度款支付。</t>
  </si>
  <si>
    <t>配合完成产品创新研发工作，并经铁建房地产集团组织验收通过后 15 个工作日内请款，由甲方于审核后次月30日前付款（此项如未发生则该笔金额不予支付）</t>
  </si>
  <si>
    <t>成都武侯区54、63亩住宅及配套设施项目大区批量精装设计服务合同</t>
  </si>
  <si>
    <t>CRCCRE-SJ-XM-2025-044</t>
  </si>
  <si>
    <t>展示区450；精装房9#楼125小面宽400，其他130；大区公区首层200/290,大区公区（地下大堂走道）200/290,大区公区（地下光厅）120；大区架空层270</t>
  </si>
  <si>
    <t>合同签订并提交第一版概念性方案并经甲方审核确认后 15 个工作日内请款，甲方审核确认后，次月30日前进行进度款支付。</t>
  </si>
  <si>
    <t>完成精装概念设计,提交成果并得到甲方认可后15个工作日内，甲方于审核确认后，次月30日前进行进度款支付</t>
  </si>
  <si>
    <t>完成方案扩初设计阶段最终成果，经甲方书面确认后15个工作日内，甲方于审核确认后，次月30日前进行进度款支付。</t>
  </si>
  <si>
    <t>完成精装施工图设计,提交成果并得到甲方认可后15个工作日内，甲方于审核确认后，次月30日前进行进度款支付。</t>
  </si>
  <si>
    <t>精装修竣工备案并完成结算后15个工作日内，乙方根据甲方要求提交请款材料，方于审核确认后，次月30日前进行进度款支付。</t>
  </si>
  <si>
    <t>乙方配合完成产品创新研发工作，并经铁建房地产集团组织验收通过后15个工作日内，由甲方审核后次月30日前付款（此项如未发生则该笔金额不予支付）</t>
  </si>
  <si>
    <t>成都武侯区54、63亩住宅及配套设施项目景观方案至施工图设计委托合同</t>
  </si>
  <si>
    <t>CRCCRE-SJ-XM-2025-045</t>
  </si>
  <si>
    <t>展示区38，大区30</t>
  </si>
  <si>
    <t>1-大区</t>
  </si>
  <si>
    <t>2-大区</t>
  </si>
  <si>
    <t>3-大区</t>
  </si>
  <si>
    <t>4-大区</t>
  </si>
  <si>
    <t>5-大区</t>
  </si>
  <si>
    <t>6-大区</t>
  </si>
  <si>
    <t>大区施工现场配合完成经甲方确认后2个月内</t>
  </si>
  <si>
    <t>7-大区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</si>
</sst>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m/d;@"/>
    <numFmt numFmtId="178" formatCode="0.00_ "/>
    <numFmt numFmtId="179" formatCode="0.00_ ;[Red]\-0.00\ "/>
    <numFmt numFmtId="180" formatCode="0_);[Red]\(0\)"/>
    <numFmt numFmtId="181" formatCode="0_ "/>
  </numFmts>
  <fonts count="118">
    <font>
      <sz val="11"/>
      <color theme="1"/>
      <name val="宋体"/>
      <charset val="134"/>
      <scheme val="minor"/>
    </font>
    <font>
      <sz val="10"/>
      <color theme="1"/>
      <name val="宋体"/>
      <charset val="134"/>
      <scheme val="minor"/>
    </font>
    <font>
      <sz val="10"/>
      <color theme="1"/>
      <name val="宋体"/>
      <charset val="134"/>
    </font>
    <font>
      <sz val="10"/>
      <color rgb="FF000000"/>
      <name val="宋体"/>
      <charset val="134"/>
      <scheme val="minor"/>
    </font>
    <font>
      <sz val="11"/>
      <color rgb="FF000000"/>
      <name val="宋体"/>
      <charset val="134"/>
      <scheme val="minor"/>
    </font>
    <font>
      <sz val="11"/>
      <color rgb="FFFF0000"/>
      <name val="宋体"/>
      <charset val="134"/>
      <scheme val="minor"/>
    </font>
    <font>
      <sz val="10"/>
      <color rgb="FF417FF9"/>
      <name val="宋体"/>
      <charset val="134"/>
      <scheme val="minor"/>
    </font>
    <font>
      <sz val="10"/>
      <color rgb="FF000000"/>
      <name val="宋体"/>
      <charset val="134"/>
    </font>
    <font>
      <b/>
      <sz val="10"/>
      <color rgb="FF000000"/>
      <name val="宋体"/>
      <charset val="134"/>
    </font>
    <font>
      <b/>
      <sz val="10"/>
      <color theme="1"/>
      <name val="宋体"/>
      <charset val="134"/>
      <scheme val="minor"/>
    </font>
    <font>
      <b/>
      <sz val="10"/>
      <color theme="1"/>
      <name val="宋体"/>
      <charset val="134"/>
    </font>
    <font>
      <sz val="10"/>
      <color rgb="FF417FF9"/>
      <name val="宋体"/>
      <charset val="134"/>
    </font>
    <font>
      <b/>
      <sz val="10"/>
      <name val="宋体"/>
      <charset val="134"/>
    </font>
    <font>
      <sz val="10"/>
      <name val="宋体"/>
      <charset val="134"/>
    </font>
    <font>
      <sz val="10"/>
      <color indexed="8"/>
      <name val="宋体"/>
      <charset val="134"/>
    </font>
    <font>
      <b/>
      <sz val="10"/>
      <color rgb="FF417FF9"/>
      <name val="宋体"/>
      <charset val="134"/>
    </font>
    <font>
      <sz val="10"/>
      <color rgb="FF5B9BD5"/>
      <name val="宋体"/>
      <charset val="134"/>
    </font>
    <font>
      <sz val="10"/>
      <color rgb="FFFF0000"/>
      <name val="宋体"/>
      <charset val="134"/>
    </font>
    <font>
      <b/>
      <sz val="10"/>
      <color rgb="FF000000"/>
      <name val="宋体"/>
      <charset val="134"/>
      <scheme val="minor"/>
    </font>
    <font>
      <sz val="10"/>
      <color rgb="FFFF0000"/>
      <name val="宋体"/>
      <charset val="134"/>
      <scheme val="minor"/>
    </font>
    <font>
      <b/>
      <sz val="10"/>
      <color rgb="FFFF0000"/>
      <name val="宋体"/>
      <charset val="134"/>
      <scheme val="minor"/>
    </font>
    <font>
      <sz val="10"/>
      <color rgb="FF000000"/>
      <name val="仿宋"/>
      <charset val="134"/>
    </font>
    <font>
      <sz val="10.5"/>
      <color theme="1"/>
      <name val="仿宋"/>
      <charset val="134"/>
    </font>
    <font>
      <sz val="10.5"/>
      <color theme="1"/>
      <name val="宋体"/>
      <charset val="134"/>
      <scheme val="minor"/>
    </font>
    <font>
      <sz val="10.5"/>
      <color rgb="FF417FF9"/>
      <name val="仿宋"/>
      <charset val="134"/>
    </font>
    <font>
      <b/>
      <sz val="10"/>
      <color rgb="FF417FF9"/>
      <name val="宋体"/>
      <charset val="134"/>
      <scheme val="minor"/>
    </font>
    <font>
      <sz val="10.5"/>
      <color rgb="FF000000"/>
      <name val="仿宋"/>
      <charset val="134"/>
    </font>
    <font>
      <b/>
      <sz val="10.5"/>
      <color rgb="FF417FF9"/>
      <name val="仿宋"/>
      <charset val="134"/>
    </font>
    <font>
      <sz val="11"/>
      <color rgb="FF000000"/>
      <name val="宋体"/>
      <charset val="134"/>
    </font>
    <font>
      <sz val="10"/>
      <color rgb="FF417FF9"/>
      <name val="仿宋"/>
      <charset val="134"/>
    </font>
    <font>
      <sz val="10.5"/>
      <color rgb="FF000000"/>
      <name val="宋体"/>
      <charset val="134"/>
      <scheme val="minor"/>
    </font>
    <font>
      <sz val="10.5"/>
      <color rgb="FF417FF9"/>
      <name val="宋体"/>
      <charset val="134"/>
      <scheme val="minor"/>
    </font>
    <font>
      <b/>
      <sz val="10.5"/>
      <color rgb="FF000000"/>
      <name val="宋体"/>
      <charset val="134"/>
      <scheme val="minor"/>
    </font>
    <font>
      <b/>
      <sz val="10.5"/>
      <color rgb="FF417FF9"/>
      <name val="宋体"/>
      <charset val="134"/>
      <scheme val="minor"/>
    </font>
    <font>
      <sz val="11"/>
      <color theme="1"/>
      <name val="宋体"/>
      <charset val="134"/>
    </font>
    <font>
      <sz val="11"/>
      <color rgb="FFFF0000"/>
      <name val="宋体"/>
      <charset val="134"/>
    </font>
    <font>
      <sz val="10"/>
      <color rgb="FF44546A"/>
      <name val="宋体"/>
      <charset val="134"/>
      <scheme val="minor"/>
    </font>
    <font>
      <sz val="10"/>
      <color rgb="FF000000"/>
      <name val="微软雅黑"/>
      <charset val="134"/>
    </font>
    <font>
      <sz val="10"/>
      <color rgb="FFC00000"/>
      <name val="宋体"/>
      <charset val="134"/>
    </font>
    <font>
      <sz val="9"/>
      <color rgb="FF000000"/>
      <name val="宋体"/>
      <charset val="134"/>
    </font>
    <font>
      <sz val="10.5"/>
      <color rgb="FF000000"/>
      <name val="宋体"/>
      <charset val="134"/>
    </font>
    <font>
      <b/>
      <sz val="10"/>
      <color rgb="FF000000"/>
      <name val="仿宋"/>
      <charset val="134"/>
    </font>
    <font>
      <b/>
      <sz val="10"/>
      <color rgb="FF417FF9"/>
      <name val="仿宋"/>
      <charset val="134"/>
    </font>
    <font>
      <b/>
      <sz val="10.5"/>
      <color rgb="FF000000"/>
      <name val="宋体"/>
      <charset val="134"/>
    </font>
    <font>
      <b/>
      <sz val="11"/>
      <color theme="1"/>
      <name val="宋体"/>
      <charset val="134"/>
      <scheme val="minor"/>
    </font>
    <font>
      <sz val="11"/>
      <color rgb="FF417FF9"/>
      <name val="宋体"/>
      <charset val="134"/>
      <scheme val="minor"/>
    </font>
    <font>
      <u/>
      <sz val="10"/>
      <color rgb="FF0000FF"/>
      <name val="宋体"/>
      <charset val="134"/>
      <scheme val="minor"/>
    </font>
    <font>
      <sz val="10"/>
      <name val="宋体"/>
      <charset val="134"/>
      <scheme val="minor"/>
    </font>
    <font>
      <u/>
      <sz val="10"/>
      <color rgb="FF800080"/>
      <name val="宋体"/>
      <charset val="134"/>
      <scheme val="minor"/>
    </font>
    <font>
      <sz val="10"/>
      <color rgb="FF4472C4"/>
      <name val="宋体"/>
      <charset val="134"/>
      <scheme val="minor"/>
    </font>
    <font>
      <b/>
      <sz val="11"/>
      <color rgb="FF000000"/>
      <name val="宋体"/>
      <charset val="134"/>
    </font>
    <font>
      <b/>
      <sz val="12"/>
      <color rgb="FF000000"/>
      <name val="宋体"/>
      <charset val="134"/>
    </font>
    <font>
      <b/>
      <sz val="12"/>
      <color theme="1"/>
      <name val="宋体"/>
      <charset val="134"/>
      <scheme val="minor"/>
    </font>
    <font>
      <b/>
      <sz val="11"/>
      <color rgb="FF417FF9"/>
      <name val="宋体"/>
      <charset val="134"/>
      <scheme val="minor"/>
    </font>
    <font>
      <sz val="10"/>
      <color rgb="FF5B9BD5"/>
      <name val="宋体"/>
      <charset val="134"/>
      <scheme val="minor"/>
    </font>
    <font>
      <sz val="24"/>
      <color rgb="FF000000"/>
      <name val="宋体"/>
      <charset val="134"/>
    </font>
    <font>
      <sz val="24"/>
      <color theme="1"/>
      <name val="宋体"/>
      <charset val="134"/>
      <scheme val="minor"/>
    </font>
    <font>
      <sz val="10"/>
      <color theme="6" tint="0.6"/>
      <name val="宋体"/>
      <charset val="134"/>
      <scheme val="minor"/>
    </font>
    <font>
      <sz val="10.5"/>
      <color rgb="FF000000"/>
      <name val="新宋体"/>
      <charset val="134"/>
    </font>
    <font>
      <sz val="10.5"/>
      <color theme="1"/>
      <name val="Calibri"/>
      <charset val="134"/>
    </font>
    <font>
      <sz val="10"/>
      <color rgb="FF000000"/>
      <name val="Microsoft YaHei"/>
      <charset val="134"/>
    </font>
    <font>
      <b/>
      <sz val="10"/>
      <color rgb="FFC00000"/>
      <name val="宋体"/>
      <charset val="134"/>
    </font>
    <font>
      <sz val="10"/>
      <color rgb="FFC00000"/>
      <name val="宋体"/>
      <charset val="134"/>
      <scheme val="minor"/>
    </font>
    <font>
      <sz val="11"/>
      <color rgb="FF5B9BD5"/>
      <name val="宋体"/>
      <charset val="134"/>
      <scheme val="minor"/>
    </font>
    <font>
      <sz val="10"/>
      <color rgb="FF4472C4"/>
      <name val="宋体"/>
      <charset val="134"/>
    </font>
    <font>
      <b/>
      <sz val="11"/>
      <color rgb="FF000000"/>
      <name val="宋体"/>
      <charset val="134"/>
      <scheme val="minor"/>
    </font>
    <font>
      <b/>
      <sz val="10"/>
      <color rgb="FFFFFF00"/>
      <name val="宋体"/>
      <charset val="134"/>
    </font>
    <font>
      <u/>
      <sz val="10"/>
      <color rgb="FF0000FF"/>
      <name val="宋体"/>
      <charset val="134"/>
    </font>
    <font>
      <sz val="9"/>
      <color theme="1"/>
      <name val="宋体"/>
      <charset val="134"/>
      <scheme val="minor"/>
    </font>
    <font>
      <b/>
      <sz val="10"/>
      <color rgb="FF800080"/>
      <name val="宋体"/>
      <charset val="134"/>
    </font>
    <font>
      <b/>
      <sz val="10"/>
      <color rgb="FF800080"/>
      <name val="宋体"/>
      <charset val="134"/>
      <scheme val="minor"/>
    </font>
    <font>
      <sz val="10"/>
      <color rgb="FF800080"/>
      <name val="宋体"/>
      <charset val="134"/>
      <scheme val="minor"/>
    </font>
    <font>
      <b/>
      <sz val="10"/>
      <color rgb="FFFF0000"/>
      <name val="宋体"/>
      <charset val="134"/>
    </font>
    <font>
      <sz val="10"/>
      <color rgb="FFFFC000"/>
      <name val="宋体"/>
      <charset val="134"/>
    </font>
    <font>
      <sz val="10"/>
      <name val="宋体"/>
      <charset val="0"/>
      <scheme val="minor"/>
    </font>
    <font>
      <sz val="10"/>
      <color theme="1"/>
      <name val="仿宋_GB2312"/>
      <charset val="134"/>
    </font>
    <font>
      <sz val="16"/>
      <color rgb="FF000000"/>
      <name val="宋体"/>
      <charset val="134"/>
    </font>
    <font>
      <sz val="10"/>
      <color rgb="FF000000"/>
      <name val="SimSun"/>
      <charset val="134"/>
    </font>
    <font>
      <sz val="10"/>
      <color rgb="FF2E75B6"/>
      <name val="宋体"/>
      <charset val="134"/>
      <scheme val="minor"/>
    </font>
    <font>
      <sz val="10"/>
      <color rgb="FFF8CBAD"/>
      <name val="宋体"/>
      <charset val="134"/>
      <scheme val="minor"/>
    </font>
    <font>
      <sz val="10.5"/>
      <color theme="1"/>
      <name val="宋体"/>
      <charset val="134"/>
    </font>
    <font>
      <sz val="8"/>
      <color rgb="FF000000"/>
      <name val="宋体"/>
      <charset val="134"/>
    </font>
    <font>
      <b/>
      <u/>
      <sz val="10"/>
      <color rgb="FF0000FF"/>
      <name val="宋体"/>
      <charset val="134"/>
    </font>
    <font>
      <sz val="14"/>
      <color rgb="FF000000"/>
      <name val="宋体"/>
      <charset val="134"/>
    </font>
    <font>
      <sz val="12"/>
      <color rgb="FF000000"/>
      <name val="宋体"/>
      <charset val="134"/>
    </font>
    <font>
      <sz val="10"/>
      <color rgb="FF000000"/>
      <name val="仿宋_GB2312"/>
      <charset val="134"/>
    </font>
    <font>
      <sz val="9"/>
      <color rgb="FF000000"/>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Times New Roman"/>
      <charset val="134"/>
    </font>
    <font>
      <sz val="12"/>
      <color rgb="FF000000"/>
      <name val="仿宋"/>
      <charset val="134"/>
    </font>
    <font>
      <sz val="10"/>
      <color theme="1"/>
      <name val="仿宋"/>
      <charset val="134"/>
    </font>
    <font>
      <sz val="9"/>
      <color theme="1"/>
      <name val="宋体"/>
      <charset val="134"/>
    </font>
    <font>
      <sz val="10.5"/>
      <color theme="1"/>
      <name val="仿宋_GB2312"/>
      <charset val="134"/>
    </font>
    <font>
      <sz val="12"/>
      <color theme="1"/>
      <name val="仿宋"/>
      <charset val="134"/>
    </font>
    <font>
      <b/>
      <sz val="10"/>
      <color rgb="FF00B050"/>
      <name val="宋体"/>
      <charset val="134"/>
    </font>
    <font>
      <sz val="10"/>
      <color rgb="FF2E75B6"/>
      <name val="宋体"/>
      <charset val="134"/>
    </font>
    <font>
      <sz val="10"/>
      <color theme="1"/>
      <name val="新宋体"/>
      <charset val="134"/>
    </font>
    <font>
      <sz val="12"/>
      <color rgb="FF000000"/>
      <name val="宋体"/>
      <charset val="134"/>
      <scheme val="minor"/>
    </font>
    <font>
      <sz val="9"/>
      <name val="宋体"/>
      <charset val="0"/>
    </font>
    <font>
      <b/>
      <sz val="9"/>
      <name val="宋体"/>
      <charset val="0"/>
    </font>
  </fonts>
  <fills count="123">
    <fill>
      <patternFill patternType="none"/>
    </fill>
    <fill>
      <patternFill patternType="gray125"/>
    </fill>
    <fill>
      <patternFill patternType="solid">
        <fgColor rgb="FFFFE699"/>
        <bgColor indexed="64"/>
      </patternFill>
    </fill>
    <fill>
      <patternFill patternType="solid">
        <fgColor rgb="FFFFF2CC"/>
        <bgColor indexed="64"/>
      </patternFill>
    </fill>
    <fill>
      <patternFill patternType="solid">
        <fgColor rgb="FFFFF2CA"/>
        <bgColor indexed="64"/>
      </patternFill>
    </fill>
    <fill>
      <patternFill patternType="solid">
        <fgColor rgb="FFFBE5D6"/>
        <bgColor indexed="64"/>
      </patternFill>
    </fill>
    <fill>
      <patternFill patternType="solid">
        <fgColor rgb="FFC5E0B4"/>
        <bgColor indexed="64"/>
      </patternFill>
    </fill>
    <fill>
      <patternFill patternType="solid">
        <fgColor rgb="FFEBB5FF"/>
        <bgColor indexed="64"/>
      </patternFill>
    </fill>
    <fill>
      <patternFill patternType="solid">
        <fgColor rgb="FFFFE8F5"/>
        <bgColor indexed="64"/>
      </patternFill>
    </fill>
    <fill>
      <patternFill patternType="solid">
        <fgColor rgb="FFF4B183"/>
        <bgColor indexed="64"/>
      </patternFill>
    </fill>
    <fill>
      <patternFill patternType="solid">
        <fgColor rgb="FFC5DFB3"/>
        <bgColor indexed="64"/>
      </patternFill>
    </fill>
    <fill>
      <patternFill patternType="solid">
        <fgColor rgb="FFBDD7EE"/>
        <bgColor indexed="64"/>
      </patternFill>
    </fill>
    <fill>
      <patternFill patternType="solid">
        <fgColor rgb="FFDAE3F3"/>
        <bgColor indexed="64"/>
      </patternFill>
    </fill>
    <fill>
      <patternFill patternType="solid">
        <fgColor rgb="FFF8CBAD"/>
        <bgColor indexed="64"/>
      </patternFill>
    </fill>
    <fill>
      <patternFill patternType="solid">
        <fgColor rgb="FFE2F0D9"/>
        <bgColor indexed="64"/>
      </patternFill>
    </fill>
    <fill>
      <patternFill patternType="solid">
        <fgColor rgb="FFDEEBF7"/>
        <bgColor indexed="64"/>
      </patternFill>
    </fill>
    <fill>
      <patternFill patternType="solid">
        <fgColor rgb="FFEBEE91"/>
        <bgColor indexed="64"/>
      </patternFill>
    </fill>
    <fill>
      <patternFill patternType="solid">
        <fgColor rgb="FFFFFF00"/>
        <bgColor indexed="64"/>
      </patternFill>
    </fill>
    <fill>
      <patternFill patternType="solid">
        <fgColor rgb="FFB4C7E7"/>
        <bgColor indexed="64"/>
      </patternFill>
    </fill>
    <fill>
      <patternFill patternType="solid">
        <fgColor rgb="FFD6DCE5"/>
        <bgColor indexed="64"/>
      </patternFill>
    </fill>
    <fill>
      <patternFill patternType="solid">
        <fgColor rgb="FF9DC3E6"/>
        <bgColor indexed="64"/>
      </patternFill>
    </fill>
    <fill>
      <patternFill patternType="solid">
        <fgColor rgb="FFFFBFF0"/>
        <bgColor indexed="64"/>
      </patternFill>
    </fill>
    <fill>
      <patternFill patternType="solid">
        <fgColor rgb="FF9EE0FF"/>
        <bgColor indexed="64"/>
      </patternFill>
    </fill>
    <fill>
      <patternFill patternType="solid">
        <fgColor rgb="FFADB9CA"/>
        <bgColor indexed="64"/>
      </patternFill>
    </fill>
    <fill>
      <patternFill patternType="solid">
        <fgColor rgb="FFFFADCF"/>
        <bgColor indexed="64"/>
      </patternFill>
    </fill>
    <fill>
      <patternFill patternType="solid">
        <fgColor rgb="FFD8BCFB"/>
        <bgColor indexed="64"/>
      </patternFill>
    </fill>
    <fill>
      <patternFill patternType="solid">
        <fgColor rgb="FFD9D9D9"/>
        <bgColor indexed="64"/>
      </patternFill>
    </fill>
    <fill>
      <patternFill patternType="solid">
        <fgColor theme="7" tint="0.8"/>
        <bgColor indexed="64"/>
      </patternFill>
    </fill>
    <fill>
      <patternFill patternType="solid">
        <fgColor theme="0"/>
        <bgColor indexed="64"/>
      </patternFill>
    </fill>
    <fill>
      <patternFill patternType="solid">
        <fgColor rgb="FFFFFFFF"/>
        <bgColor indexed="64"/>
      </patternFill>
    </fill>
    <fill>
      <patternFill patternType="solid">
        <fgColor rgb="FFBFBFBF"/>
        <bgColor indexed="64"/>
      </patternFill>
    </fill>
    <fill>
      <patternFill patternType="solid">
        <fgColor rgb="FFE4C2E7"/>
        <bgColor indexed="64"/>
      </patternFill>
    </fill>
    <fill>
      <patternFill patternType="solid">
        <fgColor rgb="FFEEAB8A"/>
        <bgColor indexed="64"/>
      </patternFill>
    </fill>
    <fill>
      <patternFill patternType="solid">
        <fgColor rgb="FF80F7BC"/>
        <bgColor indexed="64"/>
      </patternFill>
    </fill>
    <fill>
      <patternFill patternType="solid">
        <fgColor rgb="FFFFC391"/>
        <bgColor indexed="64"/>
      </patternFill>
    </fill>
    <fill>
      <patternFill patternType="solid">
        <fgColor rgb="FFFAFF96"/>
        <bgColor indexed="64"/>
      </patternFill>
    </fill>
    <fill>
      <patternFill patternType="solid">
        <fgColor rgb="FFFFAFA3"/>
        <bgColor indexed="64"/>
      </patternFill>
    </fill>
    <fill>
      <patternFill patternType="solid">
        <fgColor rgb="FFFF57B9"/>
        <bgColor indexed="64"/>
      </patternFill>
    </fill>
    <fill>
      <patternFill patternType="solid">
        <fgColor rgb="FF00B0F0"/>
        <bgColor indexed="64"/>
      </patternFill>
    </fill>
    <fill>
      <patternFill patternType="solid">
        <fgColor rgb="FFDBDBDB"/>
        <bgColor indexed="64"/>
      </patternFill>
    </fill>
    <fill>
      <patternFill patternType="solid">
        <fgColor rgb="FF8FAADC"/>
        <bgColor indexed="64"/>
      </patternFill>
    </fill>
    <fill>
      <patternFill patternType="solid">
        <fgColor rgb="FFFB9ED9"/>
        <bgColor indexed="64"/>
      </patternFill>
    </fill>
    <fill>
      <patternFill patternType="solid">
        <fgColor rgb="FF8497B0"/>
        <bgColor indexed="64"/>
      </patternFill>
    </fill>
    <fill>
      <patternFill patternType="solid">
        <fgColor rgb="FFA9D18E"/>
        <bgColor indexed="64"/>
      </patternFill>
    </fill>
    <fill>
      <patternFill patternType="solid">
        <fgColor rgb="FFFCE4D6"/>
        <bgColor indexed="64"/>
      </patternFill>
    </fill>
    <fill>
      <patternFill patternType="solid">
        <fgColor rgb="FF5B9BD5"/>
        <bgColor indexed="64"/>
      </patternFill>
    </fill>
    <fill>
      <patternFill patternType="solid">
        <fgColor rgb="FFFFFEB0"/>
        <bgColor indexed="64"/>
      </patternFill>
    </fill>
    <fill>
      <patternFill patternType="solid">
        <fgColor rgb="FFC4BDFF"/>
        <bgColor indexed="64"/>
      </patternFill>
    </fill>
    <fill>
      <patternFill patternType="solid">
        <fgColor rgb="FFCFFFF6"/>
        <bgColor indexed="64"/>
      </patternFill>
    </fill>
    <fill>
      <patternFill patternType="solid">
        <fgColor rgb="FFFF0000"/>
        <bgColor indexed="64"/>
      </patternFill>
    </fill>
    <fill>
      <patternFill patternType="solid">
        <fgColor rgb="FFED7D31"/>
        <bgColor indexed="64"/>
      </patternFill>
    </fill>
    <fill>
      <patternFill patternType="solid">
        <fgColor theme="0" tint="-0.15"/>
        <bgColor indexed="64"/>
      </patternFill>
    </fill>
    <fill>
      <patternFill patternType="solid">
        <fgColor theme="0" tint="-0.05"/>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7" tint="0.6"/>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3" tint="0.599993896298105"/>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rgb="FFFFC000"/>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7"/>
        <bgColor indexed="64"/>
      </patternFill>
    </fill>
    <fill>
      <patternFill patternType="solid">
        <fgColor theme="6" tint="0.599993896298105"/>
        <bgColor indexed="64"/>
      </patternFill>
    </fill>
    <fill>
      <patternFill patternType="solid">
        <fgColor theme="3" tint="0.799981688894314"/>
        <bgColor indexed="64"/>
      </patternFill>
    </fill>
    <fill>
      <patternFill patternType="solid">
        <fgColor theme="9" tint="0.6"/>
        <bgColor indexed="64"/>
      </patternFill>
    </fill>
    <fill>
      <patternFill patternType="solid">
        <fgColor theme="2"/>
        <bgColor indexed="64"/>
      </patternFill>
    </fill>
    <fill>
      <patternFill patternType="solid">
        <fgColor theme="2" tint="-0.0999786370433668"/>
        <bgColor indexed="64"/>
      </patternFill>
    </fill>
    <fill>
      <patternFill patternType="solid">
        <fgColor theme="9" tint="0.8"/>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5" tint="0.8"/>
        <bgColor indexed="64"/>
      </patternFill>
    </fill>
    <fill>
      <patternFill patternType="solid">
        <fgColor theme="8" tint="0.6"/>
        <bgColor indexed="64"/>
      </patternFill>
    </fill>
    <fill>
      <patternFill patternType="solid">
        <fgColor theme="7" tint="0.4"/>
        <bgColor indexed="64"/>
      </patternFill>
    </fill>
    <fill>
      <patternFill patternType="solid">
        <fgColor rgb="FFFFD966"/>
        <bgColor indexed="64"/>
      </patternFill>
    </fill>
    <fill>
      <patternFill patternType="solid">
        <fgColor rgb="FFFF91C3"/>
        <bgColor indexed="64"/>
      </patternFill>
    </fill>
    <fill>
      <patternFill patternType="solid">
        <fgColor rgb="FF69FFC5"/>
        <bgColor indexed="64"/>
      </patternFill>
    </fill>
    <fill>
      <patternFill patternType="solid">
        <fgColor rgb="FFE7E6E6"/>
        <bgColor indexed="64"/>
      </patternFill>
    </fill>
    <fill>
      <patternFill patternType="solid">
        <fgColor rgb="FFFBE3D5"/>
        <bgColor indexed="64"/>
      </patternFill>
    </fill>
    <fill>
      <patternFill patternType="solid">
        <fgColor theme="4" tint="0.6"/>
        <bgColor indexed="64"/>
      </patternFill>
    </fill>
    <fill>
      <patternFill patternType="solid">
        <fgColor rgb="FFF2F2F2"/>
        <bgColor indexed="64"/>
      </patternFill>
    </fill>
    <fill>
      <patternFill patternType="solid">
        <fgColor rgb="FFE2EFDA"/>
        <bgColor indexed="64"/>
      </patternFill>
    </fill>
    <fill>
      <patternFill patternType="solid">
        <fgColor rgb="FF7030A0"/>
        <bgColor indexed="64"/>
      </patternFill>
    </fill>
    <fill>
      <patternFill patternType="solid">
        <fgColor rgb="FF45FFEC"/>
        <bgColor indexed="64"/>
      </patternFill>
    </fill>
    <fill>
      <patternFill patternType="solid">
        <fgColor rgb="FFFF9061"/>
        <bgColor indexed="64"/>
      </patternFill>
    </fill>
    <fill>
      <patternFill patternType="solid">
        <fgColor rgb="FF9C91FF"/>
        <bgColor indexed="64"/>
      </patternFill>
    </fill>
    <fill>
      <patternFill patternType="solid">
        <fgColor rgb="FF85A5FF"/>
        <bgColor indexed="64"/>
      </patternFill>
    </fill>
    <fill>
      <patternFill patternType="solid">
        <fgColor rgb="FFFF91DA"/>
        <bgColor indexed="64"/>
      </patternFill>
    </fill>
    <fill>
      <patternFill patternType="solid">
        <fgColor rgb="FF82FFB6"/>
        <bgColor indexed="64"/>
      </patternFill>
    </fill>
    <fill>
      <patternFill patternType="solid">
        <fgColor rgb="FFFFDC96"/>
        <bgColor indexed="64"/>
      </patternFill>
    </fill>
    <fill>
      <patternFill patternType="solid">
        <fgColor rgb="FFC294FF"/>
        <bgColor indexed="64"/>
      </patternFill>
    </fill>
    <fill>
      <patternFill patternType="solid">
        <fgColor rgb="FFABF0FF"/>
        <bgColor indexed="64"/>
      </patternFill>
    </fill>
    <fill>
      <patternFill patternType="solid">
        <fgColor rgb="FFFFA6E6"/>
        <bgColor indexed="64"/>
      </patternFill>
    </fill>
    <fill>
      <patternFill patternType="solid">
        <fgColor rgb="FFCFD4FF"/>
        <bgColor indexed="64"/>
      </patternFill>
    </fill>
    <fill>
      <patternFill patternType="solid">
        <fgColor rgb="FFD1FFC7"/>
        <bgColor indexed="64"/>
      </patternFill>
    </fill>
    <fill>
      <patternFill patternType="solid">
        <fgColor rgb="FFFFC4B0"/>
        <bgColor indexed="64"/>
      </patternFill>
    </fill>
    <fill>
      <patternFill patternType="solid">
        <fgColor rgb="FFC7E0FF"/>
        <bgColor indexed="64"/>
      </patternFill>
    </fill>
    <fill>
      <patternFill patternType="solid">
        <fgColor rgb="FFB3B8FF"/>
        <bgColor indexed="64"/>
      </patternFill>
    </fill>
    <fill>
      <patternFill patternType="solid">
        <fgColor rgb="FFC9C9C9"/>
        <bgColor indexed="64"/>
      </patternFill>
    </fill>
    <fill>
      <patternFill patternType="solid">
        <fgColor rgb="FFD0CECE"/>
        <bgColor indexed="64"/>
      </patternFill>
    </fill>
    <fill>
      <patternFill patternType="solid">
        <fgColor rgb="FFDAC9FF"/>
        <bgColor indexed="64"/>
      </patternFill>
    </fill>
    <fill>
      <patternFill patternType="solid">
        <fgColor rgb="FFF5AEB6"/>
        <bgColor indexed="64"/>
      </patternFill>
    </fill>
    <fill>
      <patternFill patternType="solid">
        <fgColor rgb="FFFF9EBE"/>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s>
  <borders count="7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rgb="FF000000"/>
      </left>
      <right/>
      <top style="thin">
        <color rgb="FF000000"/>
      </top>
      <bottom style="thin">
        <color rgb="FF000000"/>
      </bottom>
      <diagonal/>
    </border>
    <border>
      <left/>
      <right style="thin">
        <color auto="1"/>
      </right>
      <top/>
      <bottom/>
      <diagonal/>
    </border>
    <border>
      <left style="thin">
        <color auto="1"/>
      </left>
      <right style="thin">
        <color auto="1"/>
      </right>
      <top style="thin">
        <color rgb="FF000000"/>
      </top>
      <bottom/>
      <diagonal/>
    </border>
    <border>
      <left/>
      <right style="thin">
        <color auto="1"/>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bottom/>
      <diagonal/>
    </border>
    <border>
      <left style="thin">
        <color rgb="FF000000"/>
      </left>
      <right style="thin">
        <color auto="1"/>
      </right>
      <top/>
      <bottom style="thin">
        <color auto="1"/>
      </bottom>
      <diagonal/>
    </border>
    <border>
      <left/>
      <right style="thin">
        <color rgb="FF000000"/>
      </right>
      <top style="thin">
        <color rgb="FF000000"/>
      </top>
      <bottom style="thin">
        <color rgb="FF000000"/>
      </bottom>
      <diagonal/>
    </border>
    <border>
      <left style="thin">
        <color auto="1"/>
      </left>
      <right style="thin">
        <color auto="1"/>
      </right>
      <top/>
      <bottom style="thin">
        <color rgb="FF000000"/>
      </bottom>
      <diagonal/>
    </border>
    <border>
      <left style="thin">
        <color rgb="FF000000"/>
      </left>
      <right/>
      <top/>
      <bottom style="thin">
        <color rgb="FF000000"/>
      </bottom>
      <diagonal/>
    </border>
    <border>
      <left style="thin">
        <color auto="1"/>
      </left>
      <right style="medium">
        <color auto="1"/>
      </right>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medium">
        <color auto="1"/>
      </left>
      <right style="thin">
        <color auto="1"/>
      </right>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right style="thin">
        <color rgb="FF000000"/>
      </right>
      <top/>
      <bottom style="thin">
        <color rgb="FF000000"/>
      </bottom>
      <diagonal/>
    </border>
    <border>
      <left/>
      <right/>
      <top style="thin">
        <color auto="1"/>
      </top>
      <bottom style="thin">
        <color auto="1"/>
      </bottom>
      <diagonal/>
    </border>
    <border>
      <left/>
      <right style="thin">
        <color rgb="FF000000"/>
      </right>
      <top style="thin">
        <color rgb="FF000000"/>
      </top>
      <bottom/>
      <diagonal/>
    </border>
    <border>
      <left/>
      <right style="thin">
        <color rgb="FF000000"/>
      </right>
      <top/>
      <bottom/>
      <diagonal/>
    </border>
    <border>
      <left/>
      <right style="medium">
        <color auto="1"/>
      </right>
      <top style="thin">
        <color auto="1"/>
      </top>
      <bottom/>
      <diagonal/>
    </border>
    <border>
      <left/>
      <right style="medium">
        <color auto="1"/>
      </right>
      <top/>
      <bottom/>
      <diagonal/>
    </border>
    <border>
      <left style="thin">
        <color rgb="FF000000"/>
      </left>
      <right style="thin">
        <color auto="1"/>
      </right>
      <top style="thin">
        <color rgb="FF000000"/>
      </top>
      <bottom/>
      <diagonal/>
    </border>
    <border>
      <left/>
      <right style="thin">
        <color auto="1"/>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7"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0" fillId="107" borderId="66" applyNumberFormat="0" applyFont="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2" fillId="0" borderId="67" applyNumberFormat="0" applyFill="0" applyAlignment="0" applyProtection="0">
      <alignment vertical="center"/>
    </xf>
    <xf numFmtId="0" fontId="93" fillId="0" borderId="67" applyNumberFormat="0" applyFill="0" applyAlignment="0" applyProtection="0">
      <alignment vertical="center"/>
    </xf>
    <xf numFmtId="0" fontId="94" fillId="0" borderId="68" applyNumberFormat="0" applyFill="0" applyAlignment="0" applyProtection="0">
      <alignment vertical="center"/>
    </xf>
    <xf numFmtId="0" fontId="94" fillId="0" borderId="0" applyNumberFormat="0" applyFill="0" applyBorder="0" applyAlignment="0" applyProtection="0">
      <alignment vertical="center"/>
    </xf>
    <xf numFmtId="0" fontId="95" fillId="108" borderId="69" applyNumberFormat="0" applyAlignment="0" applyProtection="0">
      <alignment vertical="center"/>
    </xf>
    <xf numFmtId="0" fontId="96" fillId="84" borderId="70" applyNumberFormat="0" applyAlignment="0" applyProtection="0">
      <alignment vertical="center"/>
    </xf>
    <xf numFmtId="0" fontId="97" fillId="84" borderId="69" applyNumberFormat="0" applyAlignment="0" applyProtection="0">
      <alignment vertical="center"/>
    </xf>
    <xf numFmtId="0" fontId="98" fillId="109" borderId="71" applyNumberFormat="0" applyAlignment="0" applyProtection="0">
      <alignment vertical="center"/>
    </xf>
    <xf numFmtId="0" fontId="99" fillId="0" borderId="72" applyNumberFormat="0" applyFill="0" applyAlignment="0" applyProtection="0">
      <alignment vertical="center"/>
    </xf>
    <xf numFmtId="0" fontId="100" fillId="0" borderId="73" applyNumberFormat="0" applyFill="0" applyAlignment="0" applyProtection="0">
      <alignment vertical="center"/>
    </xf>
    <xf numFmtId="0" fontId="101" fillId="110" borderId="0" applyNumberFormat="0" applyBorder="0" applyAlignment="0" applyProtection="0">
      <alignment vertical="center"/>
    </xf>
    <xf numFmtId="0" fontId="102" fillId="111" borderId="0" applyNumberFormat="0" applyBorder="0" applyAlignment="0" applyProtection="0">
      <alignment vertical="center"/>
    </xf>
    <xf numFmtId="0" fontId="103" fillId="112" borderId="0" applyNumberFormat="0" applyBorder="0" applyAlignment="0" applyProtection="0">
      <alignment vertical="center"/>
    </xf>
    <xf numFmtId="0" fontId="104" fillId="113" borderId="0" applyNumberFormat="0" applyBorder="0" applyAlignment="0" applyProtection="0">
      <alignment vertical="center"/>
    </xf>
    <xf numFmtId="0" fontId="105" fillId="60" borderId="0" applyNumberFormat="0" applyBorder="0" applyAlignment="0" applyProtection="0">
      <alignment vertical="center"/>
    </xf>
    <xf numFmtId="0" fontId="105" fillId="54" borderId="0" applyNumberFormat="0" applyBorder="0" applyAlignment="0" applyProtection="0">
      <alignment vertical="center"/>
    </xf>
    <xf numFmtId="0" fontId="104" fillId="114" borderId="0" applyNumberFormat="0" applyBorder="0" applyAlignment="0" applyProtection="0">
      <alignment vertical="center"/>
    </xf>
    <xf numFmtId="0" fontId="104" fillId="115" borderId="0" applyNumberFormat="0" applyBorder="0" applyAlignment="0" applyProtection="0">
      <alignment vertical="center"/>
    </xf>
    <xf numFmtId="0" fontId="105" fillId="62" borderId="0" applyNumberFormat="0" applyBorder="0" applyAlignment="0" applyProtection="0">
      <alignment vertical="center"/>
    </xf>
    <xf numFmtId="0" fontId="105" fillId="73" borderId="0" applyNumberFormat="0" applyBorder="0" applyAlignment="0" applyProtection="0">
      <alignment vertical="center"/>
    </xf>
    <xf numFmtId="0" fontId="104" fillId="116" borderId="0" applyNumberFormat="0" applyBorder="0" applyAlignment="0" applyProtection="0">
      <alignment vertical="center"/>
    </xf>
    <xf numFmtId="0" fontId="104" fillId="117" borderId="0" applyNumberFormat="0" applyBorder="0" applyAlignment="0" applyProtection="0">
      <alignment vertical="center"/>
    </xf>
    <xf numFmtId="0" fontId="105" fillId="74" borderId="0" applyNumberFormat="0" applyBorder="0" applyAlignment="0" applyProtection="0">
      <alignment vertical="center"/>
    </xf>
    <xf numFmtId="0" fontId="105" fillId="67" borderId="0" applyNumberFormat="0" applyBorder="0" applyAlignment="0" applyProtection="0">
      <alignment vertical="center"/>
    </xf>
    <xf numFmtId="0" fontId="104" fillId="118" borderId="0" applyNumberFormat="0" applyBorder="0" applyAlignment="0" applyProtection="0">
      <alignment vertical="center"/>
    </xf>
    <xf numFmtId="0" fontId="104" fillId="66" borderId="0" applyNumberFormat="0" applyBorder="0" applyAlignment="0" applyProtection="0">
      <alignment vertical="center"/>
    </xf>
    <xf numFmtId="0" fontId="105" fillId="53" borderId="0" applyNumberFormat="0" applyBorder="0" applyAlignment="0" applyProtection="0">
      <alignment vertical="center"/>
    </xf>
    <xf numFmtId="0" fontId="105" fillId="59" borderId="0" applyNumberFormat="0" applyBorder="0" applyAlignment="0" applyProtection="0">
      <alignment vertical="center"/>
    </xf>
    <xf numFmtId="0" fontId="104" fillId="57" borderId="0" applyNumberFormat="0" applyBorder="0" applyAlignment="0" applyProtection="0">
      <alignment vertical="center"/>
    </xf>
    <xf numFmtId="0" fontId="104" fillId="119" borderId="0" applyNumberFormat="0" applyBorder="0" applyAlignment="0" applyProtection="0">
      <alignment vertical="center"/>
    </xf>
    <xf numFmtId="0" fontId="105" fillId="120" borderId="0" applyNumberFormat="0" applyBorder="0" applyAlignment="0" applyProtection="0">
      <alignment vertical="center"/>
    </xf>
    <xf numFmtId="0" fontId="105" fillId="64" borderId="0" applyNumberFormat="0" applyBorder="0" applyAlignment="0" applyProtection="0">
      <alignment vertical="center"/>
    </xf>
    <xf numFmtId="0" fontId="104" fillId="121" borderId="0" applyNumberFormat="0" applyBorder="0" applyAlignment="0" applyProtection="0">
      <alignment vertical="center"/>
    </xf>
    <xf numFmtId="0" fontId="104" fillId="122" borderId="0" applyNumberFormat="0" applyBorder="0" applyAlignment="0" applyProtection="0">
      <alignment vertical="center"/>
    </xf>
    <xf numFmtId="0" fontId="105" fillId="61" borderId="0" applyNumberFormat="0" applyBorder="0" applyAlignment="0" applyProtection="0">
      <alignment vertical="center"/>
    </xf>
    <xf numFmtId="0" fontId="105" fillId="65" borderId="0" applyNumberFormat="0" applyBorder="0" applyAlignment="0" applyProtection="0">
      <alignment vertical="center"/>
    </xf>
    <xf numFmtId="0" fontId="104" fillId="56" borderId="0" applyNumberFormat="0" applyBorder="0" applyAlignment="0" applyProtection="0">
      <alignment vertical="center"/>
    </xf>
  </cellStyleXfs>
  <cellXfs count="7310">
    <xf numFmtId="0" fontId="0" fillId="0" borderId="0" xfId="0">
      <alignment vertical="center"/>
    </xf>
    <xf numFmtId="0" fontId="1" fillId="0" borderId="0" xfId="0" applyFont="1" applyFill="1">
      <alignment vertical="center"/>
    </xf>
    <xf numFmtId="0" fontId="2" fillId="0" borderId="0" xfId="0" applyFont="1" applyFill="1">
      <alignment vertical="center"/>
    </xf>
    <xf numFmtId="0" fontId="1" fillId="2" borderId="0" xfId="0" applyFont="1" applyFill="1">
      <alignment vertical="center"/>
    </xf>
    <xf numFmtId="0" fontId="1" fillId="3" borderId="0" xfId="0" applyFont="1" applyFill="1">
      <alignment vertical="center"/>
    </xf>
    <xf numFmtId="0" fontId="3" fillId="3" borderId="0" xfId="0" applyFont="1" applyFill="1">
      <alignment vertical="center"/>
    </xf>
    <xf numFmtId="0" fontId="1" fillId="0" borderId="0" xfId="0" applyFont="1">
      <alignment vertical="center"/>
    </xf>
    <xf numFmtId="0" fontId="1" fillId="2" borderId="1" xfId="0" applyFont="1" applyFill="1" applyBorder="1">
      <alignment vertical="center"/>
    </xf>
    <xf numFmtId="0" fontId="1" fillId="4" borderId="0" xfId="0" applyFont="1" applyFill="1">
      <alignment vertical="center"/>
    </xf>
    <xf numFmtId="0" fontId="1" fillId="4" borderId="1" xfId="0" applyFont="1" applyFill="1" applyBorder="1">
      <alignment vertical="center"/>
    </xf>
    <xf numFmtId="0" fontId="3" fillId="0" borderId="0" xfId="0" applyFont="1">
      <alignment vertical="center"/>
    </xf>
    <xf numFmtId="0" fontId="1" fillId="3" borderId="1" xfId="0" applyFont="1" applyFill="1" applyBorder="1">
      <alignment vertical="center"/>
    </xf>
    <xf numFmtId="0" fontId="4" fillId="0" borderId="0" xfId="0" applyFont="1">
      <alignment vertical="center"/>
    </xf>
    <xf numFmtId="0" fontId="0" fillId="0" borderId="0" xfId="0" applyFill="1">
      <alignment vertical="center"/>
    </xf>
    <xf numFmtId="0" fontId="5" fillId="5" borderId="0" xfId="0" applyFont="1" applyFill="1">
      <alignment vertical="center"/>
    </xf>
    <xf numFmtId="0" fontId="0" fillId="3" borderId="0" xfId="0" applyFill="1">
      <alignment vertical="center"/>
    </xf>
    <xf numFmtId="0" fontId="1" fillId="6" borderId="0" xfId="0" applyFont="1" applyFill="1">
      <alignment vertical="center"/>
    </xf>
    <xf numFmtId="0" fontId="3" fillId="4" borderId="0" xfId="0" applyFont="1" applyFill="1">
      <alignment vertical="center"/>
    </xf>
    <xf numFmtId="0" fontId="1" fillId="7" borderId="0" xfId="0" applyFont="1" applyFill="1">
      <alignment vertical="center"/>
    </xf>
    <xf numFmtId="0" fontId="1" fillId="8" borderId="0" xfId="0" applyFont="1" applyFill="1">
      <alignment vertical="center"/>
    </xf>
    <xf numFmtId="0" fontId="1" fillId="0" borderId="0" xfId="0" applyFont="1" applyAlignment="1">
      <alignment vertical="center" wrapText="1"/>
    </xf>
    <xf numFmtId="0" fontId="0" fillId="0" borderId="0" xfId="0" applyAlignment="1">
      <alignment vertical="center" wrapText="1"/>
    </xf>
    <xf numFmtId="0" fontId="1" fillId="9" borderId="0" xfId="0" applyFont="1" applyFill="1">
      <alignment vertical="center"/>
    </xf>
    <xf numFmtId="0" fontId="1" fillId="0" borderId="1" xfId="0" applyFont="1" applyFill="1" applyBorder="1">
      <alignment vertical="center"/>
    </xf>
    <xf numFmtId="0" fontId="0" fillId="0" borderId="1" xfId="0" applyFill="1" applyBorder="1">
      <alignment vertical="center"/>
    </xf>
    <xf numFmtId="0" fontId="1" fillId="10" borderId="0" xfId="0" applyFont="1" applyFill="1">
      <alignment vertical="center"/>
    </xf>
    <xf numFmtId="0" fontId="1" fillId="11" borderId="0" xfId="0" applyFont="1" applyFill="1">
      <alignment vertical="center"/>
    </xf>
    <xf numFmtId="0" fontId="1" fillId="12" borderId="0" xfId="0" applyFont="1" applyFill="1">
      <alignment vertical="center"/>
    </xf>
    <xf numFmtId="0" fontId="0" fillId="12" borderId="0" xfId="0" applyFill="1">
      <alignment vertical="center"/>
    </xf>
    <xf numFmtId="0" fontId="6" fillId="0" borderId="0" xfId="0" applyFont="1" applyFill="1">
      <alignment vertical="center"/>
    </xf>
    <xf numFmtId="0" fontId="1" fillId="0" borderId="1" xfId="0" applyFont="1" applyBorder="1">
      <alignment vertical="center"/>
    </xf>
    <xf numFmtId="0" fontId="1" fillId="13" borderId="0" xfId="0" applyFont="1" applyFill="1">
      <alignment vertical="center"/>
    </xf>
    <xf numFmtId="0" fontId="1" fillId="0" borderId="0" xfId="0" applyFont="1" applyAlignment="1">
      <alignment horizontal="center" vertical="center"/>
    </xf>
    <xf numFmtId="0" fontId="1" fillId="0" borderId="0" xfId="0" applyFont="1" applyFill="1" applyAlignment="1">
      <alignment horizontal="center" vertical="center"/>
    </xf>
    <xf numFmtId="0" fontId="1" fillId="0" borderId="1" xfId="0" applyFont="1" applyBorder="1" applyAlignment="1">
      <alignment horizontal="center" vertical="center"/>
    </xf>
    <xf numFmtId="0" fontId="1" fillId="5" borderId="0" xfId="0" applyFont="1" applyFill="1" applyAlignment="1">
      <alignment horizontal="center" vertical="center"/>
    </xf>
    <xf numFmtId="0" fontId="1" fillId="14" borderId="0" xfId="0" applyFont="1" applyFill="1" applyAlignment="1">
      <alignment horizontal="center" vertical="center"/>
    </xf>
    <xf numFmtId="0" fontId="1" fillId="3"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14" borderId="1" xfId="0" applyFont="1" applyFill="1" applyBorder="1" applyAlignment="1">
      <alignment horizontal="center" vertical="center"/>
    </xf>
    <xf numFmtId="0" fontId="1" fillId="4" borderId="0" xfId="0" applyFont="1" applyFill="1" applyAlignment="1">
      <alignment horizontal="center" vertical="center"/>
    </xf>
    <xf numFmtId="0" fontId="1" fillId="15" borderId="1" xfId="0" applyFont="1" applyFill="1" applyBorder="1" applyAlignment="1">
      <alignment horizontal="center" vertical="center"/>
    </xf>
    <xf numFmtId="0" fontId="1" fillId="16" borderId="1" xfId="0" applyFont="1" applyFill="1" applyBorder="1" applyAlignment="1">
      <alignment horizontal="center" vertical="center"/>
    </xf>
    <xf numFmtId="0" fontId="1" fillId="0" borderId="2" xfId="0" applyFont="1" applyBorder="1" applyAlignment="1">
      <alignment horizontal="center" vertical="center"/>
    </xf>
    <xf numFmtId="0" fontId="1" fillId="14" borderId="0" xfId="0" applyFont="1" applyFill="1">
      <alignment vertical="center"/>
    </xf>
    <xf numFmtId="0" fontId="1" fillId="17" borderId="0" xfId="0" applyFont="1" applyFill="1">
      <alignment vertical="center"/>
    </xf>
    <xf numFmtId="0" fontId="1" fillId="5" borderId="0" xfId="0" applyFont="1" applyFill="1">
      <alignment vertical="center"/>
    </xf>
    <xf numFmtId="0" fontId="1" fillId="18" borderId="0" xfId="0" applyFont="1" applyFill="1">
      <alignment vertical="center"/>
    </xf>
    <xf numFmtId="0" fontId="1" fillId="19" borderId="0" xfId="0" applyFont="1" applyFill="1">
      <alignment vertical="center"/>
    </xf>
    <xf numFmtId="0" fontId="1" fillId="20" borderId="0" xfId="0" applyFont="1" applyFill="1">
      <alignment vertical="center"/>
    </xf>
    <xf numFmtId="0" fontId="1" fillId="21" borderId="0" xfId="0" applyFont="1" applyFill="1">
      <alignment vertical="center"/>
    </xf>
    <xf numFmtId="0" fontId="1" fillId="22" borderId="0" xfId="0" applyFont="1" applyFill="1">
      <alignment vertical="center"/>
    </xf>
    <xf numFmtId="0" fontId="1" fillId="23" borderId="0" xfId="0" applyFont="1" applyFill="1">
      <alignment vertical="center"/>
    </xf>
    <xf numFmtId="0" fontId="1" fillId="24" borderId="0" xfId="0" applyFont="1" applyFill="1">
      <alignment vertical="center"/>
    </xf>
    <xf numFmtId="0" fontId="1" fillId="25" borderId="0" xfId="0" applyFont="1" applyFill="1">
      <alignment vertical="center"/>
    </xf>
    <xf numFmtId="0" fontId="1" fillId="15" borderId="0" xfId="0" applyFont="1" applyFill="1">
      <alignment vertical="center"/>
    </xf>
    <xf numFmtId="0" fontId="6" fillId="3" borderId="0" xfId="0" applyFont="1" applyFill="1">
      <alignment vertical="center"/>
    </xf>
    <xf numFmtId="0" fontId="3" fillId="0" borderId="0" xfId="0" applyFont="1" applyFill="1">
      <alignment vertical="center"/>
    </xf>
    <xf numFmtId="0" fontId="1" fillId="26" borderId="0" xfId="0" applyFont="1" applyFill="1">
      <alignment vertical="center"/>
    </xf>
    <xf numFmtId="0" fontId="7" fillId="0" borderId="0" xfId="0" applyFont="1" applyFill="1">
      <alignment vertical="center"/>
    </xf>
    <xf numFmtId="0" fontId="1" fillId="18" borderId="1" xfId="0" applyFont="1" applyFill="1" applyBorder="1">
      <alignment vertical="center"/>
    </xf>
    <xf numFmtId="0" fontId="1" fillId="5" borderId="1" xfId="0" applyFont="1" applyFill="1" applyBorder="1">
      <alignment vertical="center"/>
    </xf>
    <xf numFmtId="0" fontId="2" fillId="0" borderId="0" xfId="0" applyFont="1">
      <alignment vertical="center"/>
    </xf>
    <xf numFmtId="49" fontId="2" fillId="0" borderId="0" xfId="0" applyNumberFormat="1" applyFont="1">
      <alignment vertical="center"/>
    </xf>
    <xf numFmtId="176" fontId="2" fillId="0" borderId="0" xfId="0" applyNumberFormat="1" applyFont="1">
      <alignment vertical="center"/>
    </xf>
    <xf numFmtId="0" fontId="2" fillId="0" borderId="0" xfId="0" applyFont="1" applyAlignment="1">
      <alignment horizontal="center" vertical="center" wrapText="1"/>
    </xf>
    <xf numFmtId="0" fontId="2" fillId="0" borderId="0" xfId="0" applyFont="1" applyAlignment="1">
      <alignment horizontal="center" vertical="center"/>
    </xf>
    <xf numFmtId="176" fontId="2" fillId="0" borderId="0" xfId="0" applyNumberFormat="1" applyFont="1" applyAlignment="1">
      <alignment horizontal="center" vertical="center"/>
    </xf>
    <xf numFmtId="176" fontId="7" fillId="0" borderId="0" xfId="0" applyNumberFormat="1" applyFont="1" applyAlignment="1">
      <alignment horizontal="center" vertical="center"/>
    </xf>
    <xf numFmtId="0" fontId="7" fillId="0" borderId="0" xfId="0" applyFont="1" applyAlignment="1">
      <alignment horizontal="center" vertical="center"/>
    </xf>
    <xf numFmtId="0" fontId="8" fillId="0" borderId="0" xfId="0" applyFont="1" applyFill="1" applyAlignment="1">
      <alignment horizontal="center" vertical="center"/>
    </xf>
    <xf numFmtId="0" fontId="9" fillId="0" borderId="0" xfId="0" applyFont="1" applyFill="1" applyAlignment="1">
      <alignment horizontal="center" vertical="center"/>
    </xf>
    <xf numFmtId="49" fontId="9" fillId="0" borderId="0" xfId="0" applyNumberFormat="1" applyFont="1" applyFill="1" applyAlignment="1">
      <alignment horizontal="center" vertical="center"/>
    </xf>
    <xf numFmtId="0" fontId="8" fillId="0" borderId="1" xfId="0" applyFont="1" applyFill="1" applyBorder="1" applyAlignment="1">
      <alignment horizontal="center" vertical="center"/>
    </xf>
    <xf numFmtId="177" fontId="10" fillId="0" borderId="1" xfId="0" applyNumberFormat="1" applyFont="1" applyFill="1" applyBorder="1" applyAlignment="1">
      <alignment horizontal="center" vertical="center"/>
    </xf>
    <xf numFmtId="49" fontId="10" fillId="0" borderId="1" xfId="0" applyNumberFormat="1" applyFont="1" applyFill="1" applyBorder="1" applyAlignment="1">
      <alignment horizontal="center" vertical="center"/>
    </xf>
    <xf numFmtId="0" fontId="10" fillId="0" borderId="1" xfId="0" applyFont="1" applyFill="1" applyBorder="1" applyAlignment="1">
      <alignment horizontal="center" vertical="center"/>
    </xf>
    <xf numFmtId="49" fontId="8" fillId="0" borderId="1" xfId="0" applyNumberFormat="1" applyFont="1" applyFill="1" applyBorder="1" applyAlignment="1">
      <alignment horizontal="center" vertical="center"/>
    </xf>
    <xf numFmtId="0" fontId="10" fillId="0" borderId="3" xfId="0" applyFont="1" applyFill="1" applyBorder="1">
      <alignment vertical="center"/>
    </xf>
    <xf numFmtId="177" fontId="7" fillId="0" borderId="4" xfId="0" applyNumberFormat="1" applyFont="1" applyFill="1" applyBorder="1" applyAlignment="1">
      <alignment horizontal="center" vertical="center" wrapText="1"/>
    </xf>
    <xf numFmtId="49" fontId="2" fillId="0" borderId="4" xfId="0"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xf>
    <xf numFmtId="177" fontId="2" fillId="0" borderId="5" xfId="0" applyNumberFormat="1" applyFont="1" applyFill="1" applyBorder="1" applyAlignment="1">
      <alignment horizontal="center" vertical="center" wrapText="1"/>
    </xf>
    <xf numFmtId="49" fontId="2" fillId="0" borderId="5" xfId="0" applyNumberFormat="1"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xf>
    <xf numFmtId="177" fontId="2" fillId="0" borderId="6" xfId="0" applyNumberFormat="1" applyFont="1" applyFill="1" applyBorder="1" applyAlignment="1">
      <alignment horizontal="center" vertical="center"/>
    </xf>
    <xf numFmtId="49" fontId="7" fillId="0" borderId="6" xfId="0" applyNumberFormat="1" applyFont="1" applyFill="1" applyBorder="1" applyAlignment="1">
      <alignment horizontal="center" vertical="center" wrapText="1"/>
    </xf>
    <xf numFmtId="0" fontId="2" fillId="0" borderId="3" xfId="0" applyFont="1" applyFill="1" applyBorder="1" applyAlignment="1">
      <alignment horizontal="center" vertical="center"/>
    </xf>
    <xf numFmtId="177" fontId="2" fillId="0" borderId="3" xfId="0" applyNumberFormat="1" applyFont="1" applyFill="1" applyBorder="1" applyAlignment="1">
      <alignment horizontal="center" vertical="center"/>
    </xf>
    <xf numFmtId="49" fontId="7" fillId="0" borderId="3" xfId="0" applyNumberFormat="1" applyFont="1" applyFill="1" applyBorder="1" applyAlignment="1">
      <alignment horizontal="center" vertical="center" wrapText="1"/>
    </xf>
    <xf numFmtId="0" fontId="2" fillId="0" borderId="7" xfId="0" applyFont="1" applyFill="1" applyBorder="1" applyAlignment="1">
      <alignment horizontal="center" vertical="center"/>
    </xf>
    <xf numFmtId="177" fontId="2" fillId="0" borderId="1" xfId="0" applyNumberFormat="1" applyFont="1" applyFill="1" applyBorder="1" applyAlignment="1">
      <alignment horizontal="center" vertical="center"/>
    </xf>
    <xf numFmtId="49" fontId="7"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8" xfId="0" applyFont="1" applyFill="1" applyBorder="1" applyAlignment="1">
      <alignment horizontal="center" vertical="center"/>
    </xf>
    <xf numFmtId="177" fontId="2" fillId="0" borderId="4" xfId="0" applyNumberFormat="1" applyFont="1" applyFill="1" applyBorder="1" applyAlignment="1">
      <alignment horizontal="center" vertical="center"/>
    </xf>
    <xf numFmtId="49" fontId="7" fillId="0" borderId="4" xfId="0" applyNumberFormat="1" applyFont="1" applyFill="1" applyBorder="1" applyAlignment="1">
      <alignment horizontal="center" vertical="center" wrapText="1"/>
    </xf>
    <xf numFmtId="177" fontId="2" fillId="0" borderId="5" xfId="0" applyNumberFormat="1" applyFont="1" applyFill="1" applyBorder="1" applyAlignment="1">
      <alignment horizontal="center" vertical="center"/>
    </xf>
    <xf numFmtId="49" fontId="7" fillId="0" borderId="5" xfId="0" applyNumberFormat="1" applyFont="1" applyFill="1" applyBorder="1" applyAlignment="1">
      <alignment horizontal="center" vertical="center" wrapText="1"/>
    </xf>
    <xf numFmtId="0" fontId="2" fillId="0" borderId="4" xfId="0" applyFont="1" applyFill="1" applyBorder="1" applyAlignment="1">
      <alignment horizontal="center" vertical="center"/>
    </xf>
    <xf numFmtId="0" fontId="2" fillId="2" borderId="5" xfId="0" applyFont="1" applyFill="1" applyBorder="1" applyAlignment="1">
      <alignment horizontal="center" vertical="center"/>
    </xf>
    <xf numFmtId="177" fontId="2" fillId="2" borderId="5" xfId="0" applyNumberFormat="1" applyFont="1" applyFill="1" applyBorder="1" applyAlignment="1">
      <alignment horizontal="center" vertical="center"/>
    </xf>
    <xf numFmtId="49" fontId="7" fillId="2" borderId="5" xfId="0" applyNumberFormat="1" applyFont="1" applyFill="1" applyBorder="1" applyAlignment="1">
      <alignment horizontal="center" vertical="center" wrapText="1"/>
    </xf>
    <xf numFmtId="49" fontId="2" fillId="2" borderId="5" xfId="0" applyNumberFormat="1" applyFont="1" applyFill="1" applyBorder="1" applyAlignment="1">
      <alignment horizontal="center" vertical="center" wrapText="1"/>
    </xf>
    <xf numFmtId="0" fontId="2" fillId="3" borderId="5" xfId="0" applyFont="1" applyFill="1" applyBorder="1" applyAlignment="1">
      <alignment horizontal="center" vertical="center"/>
    </xf>
    <xf numFmtId="177" fontId="2" fillId="3" borderId="5" xfId="0" applyNumberFormat="1" applyFont="1" applyFill="1" applyBorder="1" applyAlignment="1">
      <alignment horizontal="center" vertical="center"/>
    </xf>
    <xf numFmtId="49" fontId="7" fillId="3" borderId="5" xfId="0" applyNumberFormat="1" applyFont="1" applyFill="1" applyBorder="1" applyAlignment="1">
      <alignment horizontal="center" vertical="center" wrapText="1"/>
    </xf>
    <xf numFmtId="49" fontId="2" fillId="3" borderId="5" xfId="0" applyNumberFormat="1" applyFont="1" applyFill="1" applyBorder="1" applyAlignment="1">
      <alignment horizontal="center" vertical="center" wrapText="1"/>
    </xf>
    <xf numFmtId="49" fontId="2" fillId="3" borderId="5" xfId="0" applyNumberFormat="1" applyFont="1" applyFill="1" applyBorder="1" applyAlignment="1">
      <alignment horizontal="center" vertical="center"/>
    </xf>
    <xf numFmtId="0" fontId="7" fillId="14" borderId="6" xfId="0" applyFont="1" applyFill="1" applyBorder="1" applyAlignment="1">
      <alignment horizontal="center" vertical="center"/>
    </xf>
    <xf numFmtId="177" fontId="7" fillId="14" borderId="6" xfId="0" applyNumberFormat="1" applyFont="1" applyFill="1" applyBorder="1" applyAlignment="1">
      <alignment horizontal="center" vertical="center"/>
    </xf>
    <xf numFmtId="49" fontId="7" fillId="14" borderId="6" xfId="0" applyNumberFormat="1" applyFont="1" applyFill="1" applyBorder="1" applyAlignment="1">
      <alignment horizontal="center" vertical="center" wrapText="1"/>
    </xf>
    <xf numFmtId="0" fontId="7" fillId="14" borderId="3" xfId="0" applyFont="1" applyFill="1" applyBorder="1" applyAlignment="1">
      <alignment horizontal="center" vertical="center"/>
    </xf>
    <xf numFmtId="177" fontId="7" fillId="14" borderId="3" xfId="0" applyNumberFormat="1" applyFont="1" applyFill="1" applyBorder="1" applyAlignment="1">
      <alignment horizontal="center" vertical="center"/>
    </xf>
    <xf numFmtId="49" fontId="7" fillId="14" borderId="3" xfId="0" applyNumberFormat="1" applyFont="1" applyFill="1" applyBorder="1" applyAlignment="1">
      <alignment horizontal="center" vertical="center" wrapText="1"/>
    </xf>
    <xf numFmtId="0" fontId="2" fillId="14" borderId="3" xfId="0" applyFont="1" applyFill="1" applyBorder="1" applyAlignment="1">
      <alignment horizontal="center" vertical="center"/>
    </xf>
    <xf numFmtId="49" fontId="2" fillId="14" borderId="3" xfId="0" applyNumberFormat="1" applyFont="1" applyFill="1" applyBorder="1" applyAlignment="1">
      <alignment horizontal="center" vertical="center" wrapText="1"/>
    </xf>
    <xf numFmtId="0" fontId="7" fillId="3" borderId="5" xfId="0" applyFont="1" applyFill="1" applyBorder="1" applyAlignment="1">
      <alignment horizontal="center" vertical="center"/>
    </xf>
    <xf numFmtId="177" fontId="7" fillId="3" borderId="5" xfId="0" applyNumberFormat="1" applyFont="1" applyFill="1" applyBorder="1" applyAlignment="1">
      <alignment horizontal="center" vertical="center"/>
    </xf>
    <xf numFmtId="0" fontId="10" fillId="0" borderId="1"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6" xfId="0" applyFont="1" applyFill="1" applyBorder="1" applyAlignment="1">
      <alignment horizontal="center" vertical="center"/>
    </xf>
    <xf numFmtId="0" fontId="7" fillId="0" borderId="3" xfId="0" applyFont="1" applyFill="1" applyBorder="1" applyAlignment="1">
      <alignment horizontal="center" vertical="center" wrapText="1"/>
    </xf>
    <xf numFmtId="0" fontId="7" fillId="0" borderId="3" xfId="0" applyFont="1" applyFill="1" applyBorder="1" applyAlignment="1">
      <alignment horizontal="center" vertical="center"/>
    </xf>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7" fillId="0" borderId="4" xfId="0" applyFont="1" applyFill="1" applyBorder="1" applyAlignment="1">
      <alignment horizontal="center" vertical="center" wrapText="1"/>
    </xf>
    <xf numFmtId="0" fontId="7" fillId="0" borderId="4" xfId="0" applyFont="1" applyFill="1" applyBorder="1" applyAlignment="1">
      <alignment horizontal="center" vertical="center"/>
    </xf>
    <xf numFmtId="0" fontId="7" fillId="0" borderId="5" xfId="0" applyFont="1" applyFill="1" applyBorder="1" applyAlignment="1">
      <alignment horizontal="center" vertical="center" wrapText="1"/>
    </xf>
    <xf numFmtId="0" fontId="7" fillId="0"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7" fillId="14" borderId="6" xfId="0" applyFont="1" applyFill="1" applyBorder="1" applyAlignment="1">
      <alignment horizontal="center" vertical="center" wrapText="1"/>
    </xf>
    <xf numFmtId="0" fontId="7" fillId="14" borderId="3" xfId="0" applyFont="1" applyFill="1" applyBorder="1" applyAlignment="1">
      <alignment horizontal="center" vertical="center" wrapText="1"/>
    </xf>
    <xf numFmtId="0" fontId="2" fillId="14" borderId="3" xfId="0" applyFont="1" applyFill="1" applyBorder="1" applyAlignment="1">
      <alignment horizontal="center" vertical="center" wrapText="1"/>
    </xf>
    <xf numFmtId="0" fontId="7" fillId="3" borderId="5" xfId="0" applyFont="1" applyFill="1" applyBorder="1" applyAlignment="1">
      <alignment horizontal="center" vertical="center" wrapText="1"/>
    </xf>
    <xf numFmtId="176" fontId="9" fillId="0" borderId="0" xfId="0" applyNumberFormat="1" applyFont="1" applyFill="1" applyAlignment="1">
      <alignment horizontal="center" vertical="center"/>
    </xf>
    <xf numFmtId="176" fontId="10" fillId="0" borderId="1" xfId="0" applyNumberFormat="1" applyFont="1" applyFill="1" applyBorder="1" applyAlignment="1">
      <alignment horizontal="center" vertical="center"/>
    </xf>
    <xf numFmtId="178" fontId="2" fillId="0" borderId="4" xfId="0" applyNumberFormat="1" applyFont="1" applyFill="1" applyBorder="1" applyAlignment="1">
      <alignment horizontal="center" vertical="center" wrapText="1"/>
    </xf>
    <xf numFmtId="0" fontId="10" fillId="0" borderId="8" xfId="0" applyFont="1" applyFill="1" applyBorder="1" applyAlignment="1">
      <alignment horizontal="center" vertical="center"/>
    </xf>
    <xf numFmtId="178" fontId="2" fillId="0" borderId="5" xfId="0" applyNumberFormat="1" applyFont="1" applyFill="1" applyBorder="1" applyAlignment="1">
      <alignment horizontal="center" vertical="center"/>
    </xf>
    <xf numFmtId="178" fontId="2" fillId="0" borderId="9" xfId="0" applyNumberFormat="1" applyFont="1" applyFill="1" applyBorder="1" applyAlignment="1">
      <alignment horizontal="center" vertical="center"/>
    </xf>
    <xf numFmtId="178" fontId="2" fillId="0" borderId="7" xfId="0" applyNumberFormat="1" applyFont="1" applyFill="1" applyBorder="1" applyAlignment="1">
      <alignment horizontal="center" vertical="center"/>
    </xf>
    <xf numFmtId="0" fontId="7" fillId="0" borderId="2" xfId="0" applyFont="1" applyFill="1" applyBorder="1" applyAlignment="1">
      <alignment horizontal="center" vertical="center"/>
    </xf>
    <xf numFmtId="178" fontId="2" fillId="0" borderId="1" xfId="0" applyNumberFormat="1" applyFont="1" applyFill="1" applyBorder="1" applyAlignment="1">
      <alignment horizontal="center" vertical="center"/>
    </xf>
    <xf numFmtId="0" fontId="7" fillId="0" borderId="10" xfId="0" applyFont="1" applyFill="1" applyBorder="1" applyAlignment="1">
      <alignment horizontal="center" vertical="center"/>
    </xf>
    <xf numFmtId="0" fontId="7" fillId="0" borderId="11" xfId="0" applyFont="1" applyFill="1" applyBorder="1" applyAlignment="1">
      <alignment horizontal="center" vertical="center"/>
    </xf>
    <xf numFmtId="178" fontId="2" fillId="0" borderId="8" xfId="0" applyNumberFormat="1" applyFont="1" applyFill="1" applyBorder="1" applyAlignment="1">
      <alignment horizontal="center" vertical="center"/>
    </xf>
    <xf numFmtId="178" fontId="2" fillId="0" borderId="12" xfId="0" applyNumberFormat="1" applyFont="1" applyFill="1" applyBorder="1" applyAlignment="1">
      <alignment horizontal="center" vertical="center"/>
    </xf>
    <xf numFmtId="178" fontId="2" fillId="2" borderId="5" xfId="0" applyNumberFormat="1" applyFont="1" applyFill="1" applyBorder="1" applyAlignment="1">
      <alignment horizontal="center" vertical="center"/>
    </xf>
    <xf numFmtId="178" fontId="7" fillId="3" borderId="5" xfId="0" applyNumberFormat="1" applyFont="1" applyFill="1" applyBorder="1" applyAlignment="1">
      <alignment horizontal="center" vertical="center" wrapText="1"/>
    </xf>
    <xf numFmtId="178" fontId="2" fillId="3" borderId="5" xfId="0" applyNumberFormat="1" applyFont="1" applyFill="1" applyBorder="1" applyAlignment="1">
      <alignment horizontal="center" vertical="center"/>
    </xf>
    <xf numFmtId="0" fontId="2" fillId="14" borderId="6" xfId="0" applyFont="1" applyFill="1" applyBorder="1" applyAlignment="1">
      <alignment horizontal="center" vertical="center"/>
    </xf>
    <xf numFmtId="178" fontId="2" fillId="14" borderId="6" xfId="0" applyNumberFormat="1" applyFont="1" applyFill="1" applyBorder="1" applyAlignment="1">
      <alignment horizontal="center" vertical="center"/>
    </xf>
    <xf numFmtId="178" fontId="2" fillId="14" borderId="3" xfId="0" applyNumberFormat="1" applyFont="1" applyFill="1" applyBorder="1" applyAlignment="1">
      <alignment horizontal="center" vertical="center"/>
    </xf>
    <xf numFmtId="178" fontId="7" fillId="3" borderId="5" xfId="0" applyNumberFormat="1" applyFont="1" applyFill="1" applyBorder="1" applyAlignment="1">
      <alignment horizontal="center" vertical="center"/>
    </xf>
    <xf numFmtId="0" fontId="9" fillId="0" borderId="0" xfId="0" applyFont="1" applyFill="1" applyAlignment="1">
      <alignment horizontal="center" vertical="center" wrapText="1"/>
    </xf>
    <xf numFmtId="0" fontId="10" fillId="0" borderId="1" xfId="0" applyFont="1" applyFill="1" applyBorder="1" applyAlignment="1">
      <alignment vertical="center"/>
    </xf>
    <xf numFmtId="0" fontId="7" fillId="0" borderId="13"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14" xfId="0" applyFont="1" applyFill="1" applyBorder="1" applyAlignment="1">
      <alignment horizontal="center" vertical="center"/>
    </xf>
    <xf numFmtId="9" fontId="2" fillId="0" borderId="5" xfId="3" applyFont="1" applyFill="1" applyBorder="1" applyAlignment="1">
      <alignment horizontal="center" vertical="center"/>
    </xf>
    <xf numFmtId="0" fontId="2" fillId="0" borderId="5" xfId="0" applyFont="1" applyFill="1" applyBorder="1" applyAlignment="1">
      <alignment vertical="center" wrapText="1"/>
    </xf>
    <xf numFmtId="0" fontId="2" fillId="0" borderId="6" xfId="0" applyFont="1" applyFill="1" applyBorder="1" applyAlignment="1">
      <alignment horizontal="center" vertical="center" wrapText="1"/>
    </xf>
    <xf numFmtId="0" fontId="2" fillId="0" borderId="3" xfId="0" applyFont="1" applyFill="1" applyBorder="1" applyAlignment="1">
      <alignment vertical="center" wrapText="1"/>
    </xf>
    <xf numFmtId="0" fontId="2" fillId="0" borderId="15" xfId="0" applyFont="1" applyFill="1" applyBorder="1" applyAlignment="1">
      <alignment horizontal="center" vertical="center"/>
    </xf>
    <xf numFmtId="0" fontId="7" fillId="0" borderId="2" xfId="0" applyFont="1" applyFill="1" applyBorder="1" applyAlignment="1">
      <alignment horizontal="left" vertical="center" wrapText="1"/>
    </xf>
    <xf numFmtId="9" fontId="2" fillId="0" borderId="16" xfId="3" applyNumberFormat="1" applyFont="1" applyFill="1" applyBorder="1" applyAlignment="1">
      <alignment horizontal="center" vertical="center"/>
    </xf>
    <xf numFmtId="176" fontId="2" fillId="0" borderId="6" xfId="0" applyNumberFormat="1" applyFont="1" applyFill="1" applyBorder="1" applyAlignment="1">
      <alignment horizontal="center" vertical="center"/>
    </xf>
    <xf numFmtId="0" fontId="2" fillId="0" borderId="0" xfId="0" applyFont="1" applyFill="1" applyAlignment="1">
      <alignment horizontal="center" vertical="center"/>
    </xf>
    <xf numFmtId="0" fontId="7" fillId="0" borderId="10" xfId="0" applyFont="1" applyFill="1" applyBorder="1" applyAlignment="1">
      <alignment horizontal="left" vertical="center" wrapText="1"/>
    </xf>
    <xf numFmtId="176" fontId="2" fillId="0" borderId="3" xfId="0" applyNumberFormat="1" applyFont="1" applyFill="1" applyBorder="1" applyAlignment="1">
      <alignment horizontal="center" vertical="center"/>
    </xf>
    <xf numFmtId="0" fontId="2" fillId="0" borderId="17" xfId="0" applyFont="1" applyFill="1" applyBorder="1" applyAlignment="1">
      <alignment horizontal="center" vertical="center"/>
    </xf>
    <xf numFmtId="0" fontId="7" fillId="0" borderId="11" xfId="0" applyFont="1" applyFill="1" applyBorder="1" applyAlignment="1">
      <alignment horizontal="left" vertical="center" wrapText="1"/>
    </xf>
    <xf numFmtId="176" fontId="2" fillId="0" borderId="4" xfId="0" applyNumberFormat="1" applyFont="1" applyFill="1" applyBorder="1" applyAlignment="1">
      <alignment horizontal="center" vertical="center"/>
    </xf>
    <xf numFmtId="0" fontId="7" fillId="0" borderId="15" xfId="0" applyFont="1" applyFill="1" applyBorder="1" applyAlignment="1">
      <alignment horizontal="center" vertical="center"/>
    </xf>
    <xf numFmtId="9" fontId="2" fillId="0" borderId="18" xfId="3" applyNumberFormat="1" applyFont="1" applyFill="1" applyBorder="1" applyAlignment="1">
      <alignment horizontal="center" vertical="center"/>
    </xf>
    <xf numFmtId="176" fontId="2" fillId="0" borderId="5" xfId="0" applyNumberFormat="1" applyFont="1" applyFill="1" applyBorder="1" applyAlignment="1">
      <alignment horizontal="center" vertical="center"/>
    </xf>
    <xf numFmtId="9" fontId="2" fillId="0" borderId="1" xfId="3" applyNumberFormat="1" applyFont="1" applyFill="1" applyBorder="1" applyAlignment="1">
      <alignment horizontal="center" vertical="center"/>
    </xf>
    <xf numFmtId="0" fontId="7" fillId="0" borderId="1" xfId="0" applyFont="1" applyFill="1" applyBorder="1" applyAlignment="1">
      <alignment horizontal="left" vertical="center" wrapText="1"/>
    </xf>
    <xf numFmtId="176" fontId="11" fillId="0" borderId="16" xfId="0" applyNumberFormat="1" applyFont="1" applyFill="1" applyBorder="1" applyAlignment="1">
      <alignment horizontal="center" vertical="center"/>
    </xf>
    <xf numFmtId="0" fontId="2" fillId="0" borderId="19" xfId="0" applyFont="1" applyFill="1" applyBorder="1" applyAlignment="1">
      <alignment horizontal="center" vertical="center"/>
    </xf>
    <xf numFmtId="0" fontId="7" fillId="0" borderId="4" xfId="0" applyFont="1" applyFill="1" applyBorder="1" applyAlignment="1">
      <alignment vertical="center" wrapText="1"/>
    </xf>
    <xf numFmtId="9" fontId="2" fillId="0" borderId="4" xfId="3" applyNumberFormat="1" applyFont="1" applyFill="1" applyBorder="1" applyAlignment="1">
      <alignment horizontal="center" vertical="center"/>
    </xf>
    <xf numFmtId="176" fontId="7" fillId="0" borderId="5" xfId="0" applyNumberFormat="1" applyFont="1" applyFill="1" applyBorder="1" applyAlignment="1">
      <alignment horizontal="center" vertical="center"/>
    </xf>
    <xf numFmtId="0" fontId="2" fillId="0" borderId="16" xfId="0" applyFont="1" applyFill="1" applyBorder="1" applyAlignment="1">
      <alignment horizontal="center" vertical="center"/>
    </xf>
    <xf numFmtId="9" fontId="2" fillId="0" borderId="5" xfId="3" applyNumberFormat="1" applyFont="1" applyFill="1" applyBorder="1" applyAlignment="1">
      <alignment horizontal="center" vertical="center"/>
    </xf>
    <xf numFmtId="0" fontId="7" fillId="0" borderId="6" xfId="0" applyFont="1" applyFill="1" applyBorder="1" applyAlignment="1">
      <alignment vertical="center" wrapText="1"/>
    </xf>
    <xf numFmtId="176" fontId="7" fillId="0" borderId="6" xfId="0" applyNumberFormat="1" applyFont="1" applyFill="1" applyBorder="1" applyAlignment="1">
      <alignment horizontal="center" vertical="center"/>
    </xf>
    <xf numFmtId="0" fontId="7" fillId="0" borderId="17" xfId="0" applyFont="1" applyFill="1" applyBorder="1" applyAlignment="1">
      <alignment horizontal="center" vertical="center"/>
    </xf>
    <xf numFmtId="176" fontId="7" fillId="0" borderId="4" xfId="0" applyNumberFormat="1" applyFont="1" applyFill="1" applyBorder="1" applyAlignment="1">
      <alignment horizontal="center" vertical="center"/>
    </xf>
    <xf numFmtId="0" fontId="2" fillId="0" borderId="16" xfId="0" applyFont="1" applyFill="1" applyBorder="1" applyAlignment="1">
      <alignment horizontal="center" vertical="center" wrapText="1"/>
    </xf>
    <xf numFmtId="0" fontId="7" fillId="0" borderId="4" xfId="0" applyFont="1" applyFill="1" applyBorder="1" applyAlignment="1">
      <alignment horizontal="left" vertical="center" wrapText="1"/>
    </xf>
    <xf numFmtId="9" fontId="2" fillId="0" borderId="5" xfId="3" applyNumberFormat="1" applyFont="1" applyFill="1" applyBorder="1" applyAlignment="1">
      <alignment horizontal="center" vertical="center" wrapText="1"/>
    </xf>
    <xf numFmtId="0" fontId="7" fillId="0" borderId="5" xfId="0" applyFont="1" applyFill="1" applyBorder="1" applyAlignment="1">
      <alignment vertical="center" wrapText="1"/>
    </xf>
    <xf numFmtId="9" fontId="2" fillId="0" borderId="5" xfId="3" applyFont="1" applyFill="1" applyBorder="1" applyAlignment="1">
      <alignment horizontal="center" vertical="center" wrapText="1"/>
    </xf>
    <xf numFmtId="0" fontId="2" fillId="2" borderId="6" xfId="0" applyFont="1" applyFill="1" applyBorder="1" applyAlignment="1">
      <alignment horizontal="center" vertical="center" wrapText="1"/>
    </xf>
    <xf numFmtId="9" fontId="2" fillId="2" borderId="5" xfId="3" applyFont="1" applyFill="1" applyBorder="1" applyAlignment="1">
      <alignment horizontal="center" vertical="center" wrapText="1"/>
    </xf>
    <xf numFmtId="0" fontId="2" fillId="2" borderId="6"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5" xfId="0" applyFont="1" applyFill="1" applyBorder="1" applyAlignment="1">
      <alignment vertical="center" wrapText="1"/>
    </xf>
    <xf numFmtId="9" fontId="2" fillId="3" borderId="5" xfId="3" applyFont="1" applyFill="1" applyBorder="1" applyAlignment="1">
      <alignment horizontal="center" vertical="center" wrapText="1"/>
    </xf>
    <xf numFmtId="0" fontId="2" fillId="3" borderId="6"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vertical="center" wrapText="1"/>
    </xf>
    <xf numFmtId="9" fontId="2" fillId="3" borderId="5" xfId="3" applyFont="1" applyFill="1" applyBorder="1" applyAlignment="1">
      <alignment horizontal="center" vertical="center"/>
    </xf>
    <xf numFmtId="9" fontId="2" fillId="3" borderId="5" xfId="3" applyNumberFormat="1" applyFont="1" applyFill="1" applyBorder="1" applyAlignment="1" applyProtection="1">
      <alignment horizontal="center" vertical="center"/>
    </xf>
    <xf numFmtId="9" fontId="2" fillId="3" borderId="5" xfId="3" applyNumberFormat="1" applyFont="1" applyFill="1" applyBorder="1" applyAlignment="1">
      <alignment horizontal="center" vertical="center"/>
    </xf>
    <xf numFmtId="0" fontId="2" fillId="3" borderId="4" xfId="0" applyFont="1" applyFill="1" applyBorder="1" applyAlignment="1">
      <alignment vertical="center" wrapText="1"/>
    </xf>
    <xf numFmtId="0" fontId="2" fillId="0" borderId="4" xfId="0" applyFont="1" applyFill="1" applyBorder="1" applyAlignment="1">
      <alignment vertical="center" wrapText="1"/>
    </xf>
    <xf numFmtId="0" fontId="2" fillId="3" borderId="6" xfId="0" applyFont="1" applyFill="1" applyBorder="1" applyAlignment="1">
      <alignment horizontal="left" vertical="center" wrapText="1"/>
    </xf>
    <xf numFmtId="0" fontId="2" fillId="3" borderId="3" xfId="0" applyFont="1" applyFill="1" applyBorder="1" applyAlignment="1">
      <alignment horizontal="center" vertical="center"/>
    </xf>
    <xf numFmtId="0" fontId="2" fillId="3" borderId="3" xfId="0" applyFont="1" applyFill="1" applyBorder="1" applyAlignment="1">
      <alignment horizontal="left" vertical="center" wrapText="1"/>
    </xf>
    <xf numFmtId="9" fontId="2" fillId="14" borderId="5" xfId="3" applyNumberFormat="1" applyFont="1" applyFill="1" applyBorder="1" applyAlignment="1">
      <alignment horizontal="center" vertical="center"/>
    </xf>
    <xf numFmtId="0" fontId="7" fillId="3" borderId="5" xfId="0" applyFont="1" applyFill="1" applyBorder="1">
      <alignment vertical="center"/>
    </xf>
    <xf numFmtId="9" fontId="7" fillId="3" borderId="5" xfId="3" applyNumberFormat="1" applyFont="1" applyFill="1" applyBorder="1" applyAlignment="1">
      <alignment horizontal="center" vertical="center"/>
    </xf>
    <xf numFmtId="176" fontId="1" fillId="0" borderId="0" xfId="0" applyNumberFormat="1" applyFont="1" applyFill="1" applyAlignment="1">
      <alignment horizontal="center" vertical="center"/>
    </xf>
    <xf numFmtId="176" fontId="2" fillId="0" borderId="1" xfId="0" applyNumberFormat="1" applyFont="1" applyFill="1" applyBorder="1" applyAlignment="1">
      <alignment horizontal="center" vertical="center"/>
    </xf>
    <xf numFmtId="177" fontId="12" fillId="0" borderId="1" xfId="0" applyNumberFormat="1" applyFont="1" applyFill="1" applyBorder="1" applyAlignment="1">
      <alignment horizontal="center" vertical="center"/>
    </xf>
    <xf numFmtId="178" fontId="2" fillId="0" borderId="13" xfId="0" applyNumberFormat="1" applyFont="1" applyFill="1" applyBorder="1" applyAlignment="1">
      <alignment horizontal="center" vertical="center" wrapText="1"/>
    </xf>
    <xf numFmtId="0" fontId="13" fillId="0" borderId="19" xfId="0" applyFont="1" applyFill="1" applyBorder="1" applyAlignment="1">
      <alignment horizontal="center" vertical="center" wrapText="1"/>
    </xf>
    <xf numFmtId="177" fontId="2" fillId="0" borderId="19" xfId="0" applyNumberFormat="1" applyFont="1" applyFill="1" applyBorder="1" applyAlignment="1">
      <alignment horizontal="center" vertical="center" wrapText="1"/>
    </xf>
    <xf numFmtId="0" fontId="2" fillId="0" borderId="19" xfId="0" applyFont="1" applyFill="1" applyBorder="1" applyAlignment="1">
      <alignment horizontal="center" vertical="center" wrapText="1"/>
    </xf>
    <xf numFmtId="178" fontId="2" fillId="0" borderId="6" xfId="0" applyNumberFormat="1" applyFont="1" applyFill="1" applyBorder="1" applyAlignment="1">
      <alignment horizontal="center" vertical="center" wrapText="1"/>
    </xf>
    <xf numFmtId="177" fontId="2" fillId="0" borderId="6" xfId="0" applyNumberFormat="1" applyFont="1" applyFill="1" applyBorder="1" applyAlignment="1">
      <alignment horizontal="center" vertical="center" wrapText="1"/>
    </xf>
    <xf numFmtId="177" fontId="2" fillId="0" borderId="4" xfId="0" applyNumberFormat="1" applyFont="1" applyFill="1" applyBorder="1" applyAlignment="1">
      <alignment horizontal="center" vertical="center" wrapText="1"/>
    </xf>
    <xf numFmtId="177" fontId="7" fillId="0" borderId="5" xfId="0" applyNumberFormat="1" applyFont="1" applyFill="1" applyBorder="1" applyAlignment="1">
      <alignment horizontal="center" vertical="center" wrapText="1"/>
    </xf>
    <xf numFmtId="14" fontId="7" fillId="0" borderId="6" xfId="0" applyNumberFormat="1" applyFont="1" applyFill="1" applyBorder="1" applyAlignment="1">
      <alignment horizontal="center" vertical="center"/>
    </xf>
    <xf numFmtId="176" fontId="3" fillId="0" borderId="0" xfId="0" applyNumberFormat="1" applyFont="1" applyFill="1" applyAlignment="1">
      <alignment horizontal="center" vertical="center"/>
    </xf>
    <xf numFmtId="176" fontId="7" fillId="0" borderId="3" xfId="0" applyNumberFormat="1" applyFont="1" applyFill="1" applyBorder="1" applyAlignment="1">
      <alignment horizontal="center" vertical="center"/>
    </xf>
    <xf numFmtId="14" fontId="7" fillId="0" borderId="3" xfId="0" applyNumberFormat="1" applyFont="1" applyFill="1" applyBorder="1" applyAlignment="1">
      <alignment horizontal="center" vertical="center"/>
    </xf>
    <xf numFmtId="14" fontId="7" fillId="0" borderId="4" xfId="0" applyNumberFormat="1" applyFont="1" applyFill="1" applyBorder="1" applyAlignment="1">
      <alignment horizontal="center" vertical="center"/>
    </xf>
    <xf numFmtId="14" fontId="7" fillId="0" borderId="5" xfId="0" applyNumberFormat="1" applyFont="1" applyFill="1" applyBorder="1" applyAlignment="1">
      <alignment horizontal="center" vertical="center"/>
    </xf>
    <xf numFmtId="176" fontId="11" fillId="0" borderId="5" xfId="0" applyNumberFormat="1" applyFont="1" applyFill="1" applyBorder="1" applyAlignment="1">
      <alignment horizontal="center" vertical="center"/>
    </xf>
    <xf numFmtId="0" fontId="11" fillId="0" borderId="5" xfId="0" applyFont="1" applyFill="1" applyBorder="1" applyAlignment="1">
      <alignment horizontal="center" vertical="center"/>
    </xf>
    <xf numFmtId="14" fontId="11" fillId="0" borderId="5" xfId="0" applyNumberFormat="1" applyFont="1" applyFill="1" applyBorder="1" applyAlignment="1">
      <alignment horizontal="center" vertical="center"/>
    </xf>
    <xf numFmtId="14" fontId="2" fillId="0" borderId="5" xfId="0" applyNumberFormat="1" applyFont="1" applyFill="1" applyBorder="1" applyAlignment="1">
      <alignment horizontal="center" vertical="center"/>
    </xf>
    <xf numFmtId="177" fontId="7" fillId="0" borderId="5" xfId="0" applyNumberFormat="1" applyFont="1" applyFill="1" applyBorder="1" applyAlignment="1">
      <alignment horizontal="center" vertical="center"/>
    </xf>
    <xf numFmtId="177" fontId="11" fillId="0" borderId="5" xfId="0" applyNumberFormat="1" applyFont="1" applyFill="1" applyBorder="1" applyAlignment="1">
      <alignment horizontal="center" vertical="center"/>
    </xf>
    <xf numFmtId="0" fontId="7" fillId="2" borderId="5" xfId="0" applyFont="1" applyFill="1" applyBorder="1" applyAlignment="1">
      <alignment horizontal="center" vertical="center"/>
    </xf>
    <xf numFmtId="177" fontId="7" fillId="2" borderId="5" xfId="0" applyNumberFormat="1" applyFont="1" applyFill="1" applyBorder="1" applyAlignment="1">
      <alignment horizontal="center" vertical="center"/>
    </xf>
    <xf numFmtId="0" fontId="7" fillId="2" borderId="6" xfId="0" applyFont="1" applyFill="1" applyBorder="1" applyAlignment="1">
      <alignment horizontal="center" vertical="center"/>
    </xf>
    <xf numFmtId="177" fontId="7" fillId="2" borderId="6" xfId="0" applyNumberFormat="1" applyFont="1" applyFill="1" applyBorder="1" applyAlignment="1">
      <alignment horizontal="center" vertical="center"/>
    </xf>
    <xf numFmtId="0" fontId="7" fillId="2" borderId="4" xfId="0" applyFont="1" applyFill="1" applyBorder="1" applyAlignment="1">
      <alignment horizontal="center" vertical="center"/>
    </xf>
    <xf numFmtId="177" fontId="7" fillId="2" borderId="4" xfId="0" applyNumberFormat="1" applyFont="1" applyFill="1" applyBorder="1" applyAlignment="1">
      <alignment horizontal="center" vertical="center"/>
    </xf>
    <xf numFmtId="0" fontId="7" fillId="3" borderId="6" xfId="0" applyFont="1" applyFill="1" applyBorder="1" applyAlignment="1">
      <alignment horizontal="center" vertical="center"/>
    </xf>
    <xf numFmtId="177" fontId="2" fillId="3" borderId="6" xfId="0" applyNumberFormat="1" applyFont="1" applyFill="1" applyBorder="1" applyAlignment="1">
      <alignment horizontal="center" vertical="center"/>
    </xf>
    <xf numFmtId="177" fontId="2" fillId="3" borderId="4" xfId="0" applyNumberFormat="1" applyFont="1" applyFill="1" applyBorder="1" applyAlignment="1">
      <alignment horizontal="center" vertical="center"/>
    </xf>
    <xf numFmtId="0" fontId="8" fillId="3" borderId="5" xfId="0" applyFont="1" applyFill="1" applyBorder="1" applyAlignment="1">
      <alignment horizontal="center" vertical="center"/>
    </xf>
    <xf numFmtId="177" fontId="7" fillId="0" borderId="6" xfId="0" applyNumberFormat="1" applyFont="1" applyFill="1" applyBorder="1" applyAlignment="1">
      <alignment horizontal="center" vertical="center"/>
    </xf>
    <xf numFmtId="177" fontId="7" fillId="0" borderId="4" xfId="0" applyNumberFormat="1" applyFont="1" applyFill="1" applyBorder="1" applyAlignment="1">
      <alignment horizontal="center" vertical="center"/>
    </xf>
    <xf numFmtId="179" fontId="7" fillId="3" borderId="5" xfId="0" applyNumberFormat="1" applyFont="1" applyFill="1" applyBorder="1" applyAlignment="1">
      <alignment horizontal="center" vertical="center"/>
    </xf>
    <xf numFmtId="176" fontId="8" fillId="14" borderId="6" xfId="0" applyNumberFormat="1" applyFont="1" applyFill="1" applyBorder="1" applyAlignment="1">
      <alignment horizontal="center" vertical="center"/>
    </xf>
    <xf numFmtId="0" fontId="8" fillId="14" borderId="6" xfId="0" applyFont="1" applyFill="1" applyBorder="1" applyAlignment="1">
      <alignment horizontal="center" vertical="center"/>
    </xf>
    <xf numFmtId="177" fontId="8" fillId="14" borderId="6" xfId="0" applyNumberFormat="1" applyFont="1" applyFill="1" applyBorder="1" applyAlignment="1">
      <alignment horizontal="center" vertical="center"/>
    </xf>
    <xf numFmtId="176" fontId="7" fillId="14" borderId="6" xfId="0" applyNumberFormat="1" applyFont="1" applyFill="1" applyBorder="1" applyAlignment="1">
      <alignment horizontal="center" vertical="center"/>
    </xf>
    <xf numFmtId="176" fontId="8" fillId="14" borderId="3" xfId="0" applyNumberFormat="1" applyFont="1" applyFill="1" applyBorder="1" applyAlignment="1">
      <alignment horizontal="center" vertical="center"/>
    </xf>
    <xf numFmtId="0" fontId="8" fillId="14" borderId="3" xfId="0" applyFont="1" applyFill="1" applyBorder="1" applyAlignment="1">
      <alignment horizontal="center" vertical="center"/>
    </xf>
    <xf numFmtId="177" fontId="8" fillId="14" borderId="3" xfId="0" applyNumberFormat="1" applyFont="1" applyFill="1" applyBorder="1" applyAlignment="1">
      <alignment horizontal="center" vertical="center"/>
    </xf>
    <xf numFmtId="176" fontId="7" fillId="14" borderId="3" xfId="0" applyNumberFormat="1" applyFont="1" applyFill="1" applyBorder="1" applyAlignment="1">
      <alignment horizontal="center" vertical="center"/>
    </xf>
    <xf numFmtId="4" fontId="7" fillId="3" borderId="6" xfId="0" applyNumberFormat="1" applyFont="1" applyFill="1" applyBorder="1" applyAlignment="1">
      <alignment horizontal="center" vertical="center"/>
    </xf>
    <xf numFmtId="177" fontId="7" fillId="3" borderId="6" xfId="0" applyNumberFormat="1" applyFont="1" applyFill="1" applyBorder="1" applyAlignment="1">
      <alignment horizontal="center" vertical="center"/>
    </xf>
    <xf numFmtId="176" fontId="8" fillId="0" borderId="1" xfId="0" applyNumberFormat="1" applyFont="1" applyFill="1" applyBorder="1" applyAlignment="1">
      <alignment horizontal="center" vertical="center"/>
    </xf>
    <xf numFmtId="14" fontId="2" fillId="0" borderId="5" xfId="0" applyNumberFormat="1" applyFont="1" applyFill="1" applyBorder="1" applyAlignment="1">
      <alignment horizontal="center" vertical="center" wrapText="1"/>
    </xf>
    <xf numFmtId="14" fontId="2" fillId="0" borderId="6" xfId="0" applyNumberFormat="1" applyFont="1" applyFill="1" applyBorder="1" applyAlignment="1">
      <alignment horizontal="center" vertical="center" wrapText="1"/>
    </xf>
    <xf numFmtId="14" fontId="2" fillId="0" borderId="4" xfId="0" applyNumberFormat="1" applyFont="1" applyFill="1" applyBorder="1" applyAlignment="1">
      <alignment horizontal="center" vertical="center" wrapText="1"/>
    </xf>
    <xf numFmtId="14" fontId="7" fillId="0" borderId="9" xfId="0" applyNumberFormat="1" applyFont="1" applyFill="1" applyBorder="1" applyAlignment="1">
      <alignment horizontal="center" vertical="center"/>
    </xf>
    <xf numFmtId="177" fontId="7" fillId="0" borderId="1" xfId="0" applyNumberFormat="1" applyFont="1" applyFill="1" applyBorder="1" applyAlignment="1">
      <alignment horizontal="center" vertical="center"/>
    </xf>
    <xf numFmtId="14" fontId="7" fillId="0" borderId="7" xfId="0" applyNumberFormat="1" applyFont="1" applyFill="1" applyBorder="1" applyAlignment="1">
      <alignment horizontal="center" vertical="center"/>
    </xf>
    <xf numFmtId="14" fontId="7" fillId="0" borderId="8" xfId="0" applyNumberFormat="1" applyFont="1" applyFill="1" applyBorder="1" applyAlignment="1">
      <alignment horizontal="center" vertical="center"/>
    </xf>
    <xf numFmtId="14" fontId="7" fillId="0" borderId="12" xfId="0" applyNumberFormat="1" applyFont="1" applyFill="1" applyBorder="1" applyAlignment="1">
      <alignment horizontal="center" vertical="center"/>
    </xf>
    <xf numFmtId="0" fontId="11" fillId="0" borderId="1" xfId="0" applyFont="1" applyFill="1" applyBorder="1" applyAlignment="1">
      <alignment horizontal="center" vertical="center"/>
    </xf>
    <xf numFmtId="14" fontId="11" fillId="0" borderId="12" xfId="0" applyNumberFormat="1" applyFont="1" applyFill="1" applyBorder="1" applyAlignment="1">
      <alignment horizontal="center" vertical="center"/>
    </xf>
    <xf numFmtId="177" fontId="11" fillId="0" borderId="1" xfId="0" applyNumberFormat="1" applyFont="1" applyFill="1" applyBorder="1" applyAlignment="1">
      <alignment horizontal="center" vertical="center"/>
    </xf>
    <xf numFmtId="177" fontId="7" fillId="0" borderId="2" xfId="0" applyNumberFormat="1" applyFont="1" applyFill="1" applyBorder="1" applyAlignment="1">
      <alignment horizontal="center" vertical="center"/>
    </xf>
    <xf numFmtId="177" fontId="7" fillId="0" borderId="11" xfId="0" applyNumberFormat="1" applyFont="1" applyFill="1" applyBorder="1" applyAlignment="1">
      <alignment horizontal="center" vertical="center"/>
    </xf>
    <xf numFmtId="177" fontId="7" fillId="0" borderId="4" xfId="0" applyNumberFormat="1" applyFont="1" applyFill="1" applyBorder="1">
      <alignment vertical="center"/>
    </xf>
    <xf numFmtId="14" fontId="2" fillId="0" borderId="5" xfId="0" applyNumberFormat="1" applyFont="1" applyFill="1" applyBorder="1">
      <alignment vertical="center"/>
    </xf>
    <xf numFmtId="177" fontId="2" fillId="0" borderId="5" xfId="0" applyNumberFormat="1" applyFont="1" applyFill="1" applyBorder="1">
      <alignment vertical="center"/>
    </xf>
    <xf numFmtId="177" fontId="2" fillId="2" borderId="5" xfId="0" applyNumberFormat="1" applyFont="1" applyFill="1" applyBorder="1">
      <alignment vertical="center"/>
    </xf>
    <xf numFmtId="14" fontId="2" fillId="3" borderId="6" xfId="0" applyNumberFormat="1" applyFont="1" applyFill="1" applyBorder="1" applyAlignment="1">
      <alignment horizontal="center" vertical="center"/>
    </xf>
    <xf numFmtId="14" fontId="2" fillId="3" borderId="4" xfId="0" applyNumberFormat="1" applyFont="1" applyFill="1" applyBorder="1" applyAlignment="1">
      <alignment horizontal="center" vertical="center"/>
    </xf>
    <xf numFmtId="14" fontId="2" fillId="3" borderId="5" xfId="0" applyNumberFormat="1" applyFont="1" applyFill="1" applyBorder="1" applyAlignment="1">
      <alignment horizontal="center" vertical="center"/>
    </xf>
    <xf numFmtId="177" fontId="2" fillId="3" borderId="5" xfId="0" applyNumberFormat="1" applyFont="1" applyFill="1" applyBorder="1">
      <alignment vertical="center"/>
    </xf>
    <xf numFmtId="14" fontId="7" fillId="3" borderId="12" xfId="0" applyNumberFormat="1" applyFont="1" applyFill="1" applyBorder="1" applyAlignment="1">
      <alignment horizontal="center" vertical="center"/>
    </xf>
    <xf numFmtId="0" fontId="7" fillId="3" borderId="1" xfId="0" applyFont="1" applyFill="1" applyBorder="1" applyAlignment="1">
      <alignment horizontal="center" vertical="center"/>
    </xf>
    <xf numFmtId="177" fontId="7" fillId="3" borderId="16" xfId="0" applyNumberFormat="1" applyFont="1" applyFill="1" applyBorder="1">
      <alignment vertical="center"/>
    </xf>
    <xf numFmtId="0" fontId="7" fillId="3" borderId="4" xfId="0" applyFont="1" applyFill="1" applyBorder="1" applyAlignment="1">
      <alignment horizontal="center" vertical="center"/>
    </xf>
    <xf numFmtId="0" fontId="11" fillId="0" borderId="6"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4"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177" fontId="2" fillId="14" borderId="6" xfId="0" applyNumberFormat="1" applyFont="1" applyFill="1" applyBorder="1">
      <alignment vertical="center"/>
    </xf>
    <xf numFmtId="0" fontId="7" fillId="14" borderId="5" xfId="0" applyFont="1" applyFill="1" applyBorder="1" applyAlignment="1">
      <alignment horizontal="center" vertical="center"/>
    </xf>
    <xf numFmtId="0" fontId="11" fillId="14" borderId="5" xfId="0" applyFont="1" applyFill="1" applyBorder="1" applyAlignment="1">
      <alignment horizontal="center" vertical="center"/>
    </xf>
    <xf numFmtId="14" fontId="7" fillId="3" borderId="6"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11" fillId="0" borderId="4"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13" xfId="0" applyFont="1" applyFill="1" applyBorder="1">
      <alignment vertical="center"/>
    </xf>
    <xf numFmtId="0" fontId="2" fillId="0" borderId="5" xfId="0" applyNumberFormat="1" applyFont="1" applyFill="1" applyBorder="1" applyAlignment="1">
      <alignment horizontal="center" vertical="center"/>
    </xf>
    <xf numFmtId="0" fontId="2" fillId="0" borderId="5" xfId="0" applyFont="1" applyFill="1" applyBorder="1">
      <alignment vertical="center"/>
    </xf>
    <xf numFmtId="0" fontId="10" fillId="0" borderId="6" xfId="0" applyFont="1" applyFill="1" applyBorder="1" applyAlignment="1">
      <alignment horizontal="center" vertical="center"/>
    </xf>
    <xf numFmtId="14" fontId="7" fillId="0" borderId="1" xfId="0" applyNumberFormat="1" applyFont="1" applyFill="1" applyBorder="1" applyAlignment="1">
      <alignment horizontal="center" vertical="center"/>
    </xf>
    <xf numFmtId="0" fontId="2" fillId="0" borderId="16" xfId="0" applyFont="1" applyFill="1" applyBorder="1">
      <alignment vertical="center"/>
    </xf>
    <xf numFmtId="14" fontId="11" fillId="0" borderId="1" xfId="0" applyNumberFormat="1" applyFont="1" applyFill="1" applyBorder="1" applyAlignment="1">
      <alignment horizontal="center" vertical="center"/>
    </xf>
    <xf numFmtId="0" fontId="2" fillId="0" borderId="11" xfId="0" applyFont="1" applyFill="1" applyBorder="1" applyAlignment="1">
      <alignment horizontal="center" vertical="center"/>
    </xf>
    <xf numFmtId="14" fontId="7" fillId="0" borderId="16" xfId="0" applyNumberFormat="1" applyFont="1" applyFill="1" applyBorder="1" applyAlignment="1">
      <alignment horizontal="center" vertical="center"/>
    </xf>
    <xf numFmtId="14" fontId="2" fillId="2" borderId="5" xfId="0" applyNumberFormat="1" applyFont="1" applyFill="1" applyBorder="1" applyAlignment="1">
      <alignment horizontal="center" vertical="center"/>
    </xf>
    <xf numFmtId="0" fontId="2" fillId="2" borderId="5" xfId="0" applyFont="1" applyFill="1" applyBorder="1">
      <alignment vertical="center"/>
    </xf>
    <xf numFmtId="14" fontId="7" fillId="2" borderId="5" xfId="0" applyNumberFormat="1" applyFont="1" applyFill="1" applyBorder="1" applyAlignment="1">
      <alignment horizontal="center" vertical="center"/>
    </xf>
    <xf numFmtId="0" fontId="2" fillId="3" borderId="5" xfId="0" applyFont="1" applyFill="1" applyBorder="1">
      <alignment vertical="center"/>
    </xf>
    <xf numFmtId="14" fontId="7" fillId="3" borderId="5" xfId="0" applyNumberFormat="1" applyFont="1" applyFill="1" applyBorder="1" applyAlignment="1">
      <alignment horizontal="center" vertical="center"/>
    </xf>
    <xf numFmtId="0" fontId="7" fillId="3" borderId="5" xfId="0" applyFont="1" applyFill="1" applyBorder="1" applyAlignment="1">
      <alignment vertical="center" wrapText="1"/>
    </xf>
    <xf numFmtId="0" fontId="7" fillId="3" borderId="6" xfId="0" applyFont="1" applyFill="1" applyBorder="1" applyAlignment="1">
      <alignment horizontal="center" vertical="center" wrapText="1"/>
    </xf>
    <xf numFmtId="0" fontId="7" fillId="3" borderId="3" xfId="0" applyFont="1" applyFill="1" applyBorder="1" applyAlignment="1">
      <alignment horizontal="center" vertical="center" wrapText="1"/>
    </xf>
    <xf numFmtId="14" fontId="2" fillId="0" borderId="12" xfId="0" applyNumberFormat="1" applyFont="1" applyFill="1" applyBorder="1" applyAlignment="1">
      <alignment horizontal="center" vertical="center"/>
    </xf>
    <xf numFmtId="0" fontId="2" fillId="0" borderId="20" xfId="0" applyFont="1" applyFill="1" applyBorder="1" applyAlignment="1">
      <alignment horizontal="center" vertical="center"/>
    </xf>
    <xf numFmtId="0" fontId="2" fillId="0" borderId="1" xfId="0" applyFont="1" applyFill="1" applyBorder="1" applyAlignment="1">
      <alignment horizontal="center" vertical="center" wrapText="1"/>
    </xf>
    <xf numFmtId="0" fontId="11" fillId="0" borderId="20" xfId="0" applyFont="1" applyFill="1" applyBorder="1" applyAlignment="1">
      <alignment horizontal="center" vertical="center"/>
    </xf>
    <xf numFmtId="14" fontId="11" fillId="0" borderId="6" xfId="0" applyNumberFormat="1" applyFont="1" applyFill="1" applyBorder="1" applyAlignment="1">
      <alignment horizontal="center" vertical="center"/>
    </xf>
    <xf numFmtId="14" fontId="11" fillId="0" borderId="3" xfId="0" applyNumberFormat="1" applyFont="1" applyFill="1" applyBorder="1" applyAlignment="1">
      <alignment horizontal="center" vertical="center"/>
    </xf>
    <xf numFmtId="14" fontId="11" fillId="0" borderId="4"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7" fillId="3" borderId="3" xfId="0" applyFont="1" applyFill="1" applyBorder="1" applyAlignment="1">
      <alignment horizontal="center" vertical="center"/>
    </xf>
    <xf numFmtId="14" fontId="7" fillId="3" borderId="4" xfId="0" applyNumberFormat="1" applyFont="1" applyFill="1" applyBorder="1" applyAlignment="1">
      <alignment horizontal="center" vertical="center"/>
    </xf>
    <xf numFmtId="0" fontId="2" fillId="3" borderId="11" xfId="0" applyFont="1" applyFill="1" applyBorder="1" applyAlignment="1">
      <alignment horizontal="center" vertical="center"/>
    </xf>
    <xf numFmtId="14" fontId="11" fillId="3" borderId="4" xfId="0" applyNumberFormat="1" applyFont="1" applyFill="1" applyBorder="1" applyAlignment="1">
      <alignment horizontal="center" vertical="center"/>
    </xf>
    <xf numFmtId="14" fontId="11" fillId="3" borderId="5"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7" fillId="3" borderId="4" xfId="0" applyFont="1" applyFill="1" applyBorder="1">
      <alignment vertical="center"/>
    </xf>
    <xf numFmtId="14" fontId="7" fillId="14" borderId="5" xfId="0" applyNumberFormat="1" applyFont="1" applyFill="1" applyBorder="1" applyAlignment="1">
      <alignment horizontal="center" vertical="center"/>
    </xf>
    <xf numFmtId="0" fontId="11" fillId="14" borderId="1" xfId="0" applyFont="1" applyFill="1" applyBorder="1" applyAlignment="1">
      <alignment horizontal="center" vertical="center"/>
    </xf>
    <xf numFmtId="0" fontId="7" fillId="14" borderId="5" xfId="0" applyFont="1" applyFill="1" applyBorder="1">
      <alignment vertical="center"/>
    </xf>
    <xf numFmtId="0" fontId="2" fillId="14" borderId="5" xfId="0" applyFont="1" applyFill="1" applyBorder="1">
      <alignment vertical="center"/>
    </xf>
    <xf numFmtId="14" fontId="11" fillId="14" borderId="5" xfId="0" applyNumberFormat="1" applyFont="1" applyFill="1" applyBorder="1" applyAlignment="1">
      <alignment horizontal="center" vertical="center"/>
    </xf>
    <xf numFmtId="0" fontId="2" fillId="14" borderId="1" xfId="0" applyFont="1" applyFill="1" applyBorder="1" applyAlignment="1">
      <alignment horizontal="center" vertical="center"/>
    </xf>
    <xf numFmtId="0" fontId="10" fillId="0" borderId="1" xfId="0" applyFont="1" applyFill="1" applyBorder="1">
      <alignment vertical="center"/>
    </xf>
    <xf numFmtId="0" fontId="2" fillId="0" borderId="8" xfId="0" applyFont="1" applyFill="1" applyBorder="1">
      <alignment vertical="center"/>
    </xf>
    <xf numFmtId="0" fontId="2" fillId="0" borderId="13" xfId="0" applyFont="1" applyFill="1" applyBorder="1" applyAlignment="1">
      <alignment vertical="center" wrapText="1"/>
    </xf>
    <xf numFmtId="0" fontId="2" fillId="14" borderId="5" xfId="0" applyFont="1" applyFill="1" applyBorder="1" applyAlignment="1">
      <alignment horizontal="center" vertical="center"/>
    </xf>
    <xf numFmtId="0" fontId="2" fillId="14" borderId="5" xfId="0" applyFont="1" applyFill="1" applyBorder="1" applyAlignment="1">
      <alignment horizontal="center" vertical="center" wrapText="1"/>
    </xf>
    <xf numFmtId="0" fontId="2" fillId="0" borderId="8" xfId="0" applyFont="1" applyFill="1" applyBorder="1" applyAlignment="1">
      <alignment vertical="center" wrapText="1"/>
    </xf>
    <xf numFmtId="0" fontId="2" fillId="0" borderId="11" xfId="0" applyFont="1" applyFill="1" applyBorder="1" applyAlignment="1">
      <alignment horizontal="center" vertical="center" wrapText="1"/>
    </xf>
    <xf numFmtId="49" fontId="7" fillId="3" borderId="5" xfId="0" applyNumberFormat="1" applyFont="1" applyFill="1" applyBorder="1" applyAlignment="1">
      <alignment horizontal="center" vertical="center"/>
    </xf>
    <xf numFmtId="0" fontId="2" fillId="27" borderId="5" xfId="0" applyFont="1" applyFill="1" applyBorder="1" applyAlignment="1">
      <alignment horizontal="center" vertical="center"/>
    </xf>
    <xf numFmtId="177" fontId="2" fillId="27" borderId="5" xfId="0" applyNumberFormat="1" applyFont="1" applyFill="1" applyBorder="1" applyAlignment="1">
      <alignment horizontal="center" vertical="center"/>
    </xf>
    <xf numFmtId="49" fontId="7" fillId="27" borderId="5" xfId="0" applyNumberFormat="1" applyFont="1" applyFill="1" applyBorder="1" applyAlignment="1">
      <alignment horizontal="center" vertical="center" wrapText="1"/>
    </xf>
    <xf numFmtId="49" fontId="2" fillId="27" borderId="5" xfId="0" applyNumberFormat="1" applyFont="1" applyFill="1" applyBorder="1" applyAlignment="1">
      <alignment horizontal="center" vertical="center" wrapText="1"/>
    </xf>
    <xf numFmtId="49" fontId="7" fillId="3" borderId="6" xfId="0" applyNumberFormat="1" applyFont="1" applyFill="1" applyBorder="1" applyAlignment="1">
      <alignment horizontal="center" vertical="center" wrapText="1"/>
    </xf>
    <xf numFmtId="177" fontId="2" fillId="3" borderId="3" xfId="0" applyNumberFormat="1" applyFont="1" applyFill="1" applyBorder="1" applyAlignment="1">
      <alignment horizontal="center" vertical="center"/>
    </xf>
    <xf numFmtId="49" fontId="7" fillId="3" borderId="3" xfId="0" applyNumberFormat="1" applyFont="1" applyFill="1" applyBorder="1" applyAlignment="1">
      <alignment horizontal="center" vertical="center" wrapText="1"/>
    </xf>
    <xf numFmtId="177" fontId="2" fillId="3" borderId="1" xfId="0" applyNumberFormat="1" applyFont="1" applyFill="1" applyBorder="1" applyAlignment="1">
      <alignment horizontal="center" vertical="center"/>
    </xf>
    <xf numFmtId="49" fontId="7" fillId="3" borderId="1"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xf>
    <xf numFmtId="177" fontId="2" fillId="2" borderId="3" xfId="0" applyNumberFormat="1" applyFont="1" applyFill="1" applyBorder="1" applyAlignment="1">
      <alignment horizontal="center" vertical="center"/>
    </xf>
    <xf numFmtId="0" fontId="7" fillId="2" borderId="3" xfId="0" applyFont="1" applyFill="1" applyBorder="1" applyAlignment="1">
      <alignment horizontal="center" vertical="center" wrapText="1"/>
    </xf>
    <xf numFmtId="177" fontId="2" fillId="2" borderId="4" xfId="0" applyNumberFormat="1" applyFont="1" applyFill="1" applyBorder="1" applyAlignment="1">
      <alignment horizontal="center" vertical="center"/>
    </xf>
    <xf numFmtId="0" fontId="14" fillId="2" borderId="1" xfId="0" applyFont="1" applyFill="1" applyBorder="1" applyAlignment="1">
      <alignment horizontal="center" vertical="center"/>
    </xf>
    <xf numFmtId="177" fontId="13" fillId="2" borderId="1" xfId="0" applyNumberFormat="1" applyFont="1" applyFill="1" applyBorder="1" applyAlignment="1">
      <alignment horizontal="center" vertical="center"/>
    </xf>
    <xf numFmtId="49" fontId="7"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14" fillId="2" borderId="2" xfId="0" applyFont="1" applyFill="1" applyBorder="1" applyAlignment="1">
      <alignment horizontal="center" vertical="center"/>
    </xf>
    <xf numFmtId="177" fontId="13" fillId="2" borderId="2" xfId="0" applyNumberFormat="1" applyFont="1" applyFill="1" applyBorder="1" applyAlignment="1">
      <alignment horizontal="center" vertical="center"/>
    </xf>
    <xf numFmtId="49" fontId="7" fillId="2" borderId="2" xfId="0" applyNumberFormat="1" applyFont="1" applyFill="1" applyBorder="1" applyAlignment="1">
      <alignment horizontal="center" vertical="center" wrapText="1"/>
    </xf>
    <xf numFmtId="0" fontId="14" fillId="2" borderId="10" xfId="0" applyFont="1" applyFill="1" applyBorder="1" applyAlignment="1">
      <alignment horizontal="center" vertical="center"/>
    </xf>
    <xf numFmtId="177" fontId="13" fillId="2" borderId="10" xfId="0" applyNumberFormat="1" applyFont="1" applyFill="1" applyBorder="1" applyAlignment="1">
      <alignment horizontal="center" vertical="center"/>
    </xf>
    <xf numFmtId="49" fontId="2" fillId="2" borderId="10" xfId="0" applyNumberFormat="1" applyFont="1" applyFill="1" applyBorder="1" applyAlignment="1">
      <alignment horizontal="center" vertical="center" wrapText="1"/>
    </xf>
    <xf numFmtId="0" fontId="14" fillId="2" borderId="11" xfId="0" applyFont="1" applyFill="1" applyBorder="1" applyAlignment="1">
      <alignment horizontal="center" vertical="center"/>
    </xf>
    <xf numFmtId="177" fontId="13" fillId="2" borderId="11" xfId="0" applyNumberFormat="1" applyFont="1" applyFill="1" applyBorder="1" applyAlignment="1">
      <alignment horizontal="center" vertical="center"/>
    </xf>
    <xf numFmtId="49" fontId="2" fillId="2" borderId="11" xfId="0" applyNumberFormat="1" applyFont="1" applyFill="1" applyBorder="1" applyAlignment="1">
      <alignment horizontal="center" vertical="center" wrapText="1"/>
    </xf>
    <xf numFmtId="0" fontId="14" fillId="15" borderId="1" xfId="0" applyFont="1" applyFill="1" applyBorder="1" applyAlignment="1">
      <alignment horizontal="center" vertical="center"/>
    </xf>
    <xf numFmtId="177" fontId="13" fillId="15" borderId="1" xfId="0" applyNumberFormat="1" applyFont="1" applyFill="1" applyBorder="1" applyAlignment="1">
      <alignment horizontal="center" vertical="center"/>
    </xf>
    <xf numFmtId="49" fontId="7" fillId="15" borderId="0" xfId="0" applyNumberFormat="1" applyFont="1" applyFill="1" applyAlignment="1">
      <alignment horizontal="center" vertical="center" wrapText="1"/>
    </xf>
    <xf numFmtId="0" fontId="2" fillId="15" borderId="1" xfId="0" applyFont="1" applyFill="1" applyBorder="1" applyAlignment="1">
      <alignment horizontal="center" vertical="center" wrapText="1"/>
    </xf>
    <xf numFmtId="49" fontId="1" fillId="15" borderId="0" xfId="0" applyNumberFormat="1" applyFont="1" applyFill="1" applyAlignment="1">
      <alignment horizontal="center" vertical="center" wrapText="1"/>
    </xf>
    <xf numFmtId="0" fontId="14" fillId="15" borderId="2" xfId="0" applyFont="1" applyFill="1" applyBorder="1" applyAlignment="1">
      <alignment horizontal="center" vertical="center"/>
    </xf>
    <xf numFmtId="177" fontId="13" fillId="15" borderId="2" xfId="0" applyNumberFormat="1" applyFont="1" applyFill="1" applyBorder="1" applyAlignment="1">
      <alignment horizontal="center" vertical="center"/>
    </xf>
    <xf numFmtId="0" fontId="2" fillId="15" borderId="2" xfId="0" applyFont="1" applyFill="1" applyBorder="1" applyAlignment="1">
      <alignment horizontal="center" vertical="center" wrapText="1"/>
    </xf>
    <xf numFmtId="0" fontId="7" fillId="6" borderId="1" xfId="0" applyFont="1" applyFill="1" applyBorder="1" applyAlignment="1">
      <alignment horizontal="center" vertical="center"/>
    </xf>
    <xf numFmtId="177" fontId="13" fillId="6" borderId="1" xfId="0" applyNumberFormat="1" applyFont="1" applyFill="1" applyBorder="1" applyAlignment="1">
      <alignment horizontal="center" vertical="center"/>
    </xf>
    <xf numFmtId="49" fontId="7"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0" fontId="14" fillId="6" borderId="1" xfId="0" applyFont="1" applyFill="1" applyBorder="1" applyAlignment="1">
      <alignment horizontal="center" vertical="center"/>
    </xf>
    <xf numFmtId="49" fontId="2" fillId="6" borderId="1" xfId="0" applyNumberFormat="1" applyFont="1" applyFill="1" applyBorder="1" applyAlignment="1">
      <alignment horizontal="center" vertical="center" wrapText="1"/>
    </xf>
    <xf numFmtId="0" fontId="7" fillId="15" borderId="10" xfId="0" applyFont="1" applyFill="1" applyBorder="1" applyAlignment="1">
      <alignment horizontal="center" vertical="center"/>
    </xf>
    <xf numFmtId="177" fontId="13" fillId="15" borderId="10" xfId="0" applyNumberFormat="1" applyFont="1" applyFill="1" applyBorder="1" applyAlignment="1">
      <alignment horizontal="center" vertical="center"/>
    </xf>
    <xf numFmtId="49" fontId="7" fillId="15" borderId="10" xfId="0" applyNumberFormat="1"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27" borderId="5"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7" fillId="2" borderId="10" xfId="0" applyFont="1" applyFill="1" applyBorder="1" applyAlignment="1">
      <alignment horizontal="center" vertical="center" wrapText="1"/>
    </xf>
    <xf numFmtId="0" fontId="2" fillId="2" borderId="10" xfId="0" applyFont="1" applyFill="1" applyBorder="1" applyAlignment="1">
      <alignment horizontal="center" vertical="center"/>
    </xf>
    <xf numFmtId="0" fontId="7" fillId="2" borderId="11" xfId="0" applyFont="1" applyFill="1" applyBorder="1" applyAlignment="1">
      <alignment horizontal="center" vertical="center" wrapText="1"/>
    </xf>
    <xf numFmtId="0" fontId="2" fillId="2" borderId="11"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2" fillId="15" borderId="1" xfId="0" applyFont="1" applyFill="1" applyBorder="1" applyAlignment="1">
      <alignment horizontal="center" vertical="center"/>
    </xf>
    <xf numFmtId="0" fontId="7" fillId="15" borderId="2" xfId="0" applyFont="1" applyFill="1" applyBorder="1" applyAlignment="1">
      <alignment horizontal="center" vertical="center" wrapText="1"/>
    </xf>
    <xf numFmtId="0" fontId="2" fillId="15" borderId="2" xfId="0" applyFont="1" applyFill="1" applyBorder="1" applyAlignment="1">
      <alignment horizontal="center" vertical="center"/>
    </xf>
    <xf numFmtId="0" fontId="7" fillId="6"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7" fillId="15" borderId="10" xfId="0" applyFont="1" applyFill="1" applyBorder="1" applyAlignment="1">
      <alignment horizontal="center" vertical="center" wrapText="1"/>
    </xf>
    <xf numFmtId="178" fontId="2" fillId="27" borderId="5" xfId="0" applyNumberFormat="1" applyFont="1" applyFill="1" applyBorder="1" applyAlignment="1">
      <alignment horizontal="center" vertical="center"/>
    </xf>
    <xf numFmtId="0" fontId="7" fillId="27" borderId="5" xfId="0" applyFont="1" applyFill="1" applyBorder="1" applyAlignment="1">
      <alignment horizontal="center" vertical="center"/>
    </xf>
    <xf numFmtId="178" fontId="2" fillId="3" borderId="6" xfId="0" applyNumberFormat="1" applyFont="1" applyFill="1" applyBorder="1" applyAlignment="1">
      <alignment horizontal="center" vertical="center"/>
    </xf>
    <xf numFmtId="178" fontId="2" fillId="3" borderId="3"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xf>
    <xf numFmtId="178" fontId="2" fillId="2" borderId="1" xfId="0" applyNumberFormat="1" applyFont="1" applyFill="1" applyBorder="1" applyAlignment="1">
      <alignment horizontal="center" vertical="center"/>
    </xf>
    <xf numFmtId="0" fontId="13" fillId="2" borderId="2" xfId="0" applyFont="1" applyFill="1" applyBorder="1" applyAlignment="1">
      <alignment horizontal="center" vertical="center" wrapText="1"/>
    </xf>
    <xf numFmtId="0" fontId="7" fillId="2" borderId="1" xfId="0" applyFont="1" applyFill="1" applyBorder="1" applyAlignment="1">
      <alignment horizontal="center" vertical="center"/>
    </xf>
    <xf numFmtId="0" fontId="13"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178" fontId="2" fillId="2" borderId="2" xfId="0" applyNumberFormat="1" applyFont="1" applyFill="1" applyBorder="1" applyAlignment="1">
      <alignment horizontal="center" vertical="center"/>
    </xf>
    <xf numFmtId="178" fontId="2" fillId="2" borderId="10" xfId="0" applyNumberFormat="1" applyFont="1" applyFill="1" applyBorder="1" applyAlignment="1">
      <alignment horizontal="center" vertical="center"/>
    </xf>
    <xf numFmtId="0" fontId="7" fillId="2" borderId="10" xfId="0" applyFont="1" applyFill="1" applyBorder="1" applyAlignment="1">
      <alignment horizontal="center" vertical="center"/>
    </xf>
    <xf numFmtId="178" fontId="2" fillId="2" borderId="11" xfId="0" applyNumberFormat="1" applyFont="1" applyFill="1" applyBorder="1" applyAlignment="1">
      <alignment horizontal="center" vertical="center"/>
    </xf>
    <xf numFmtId="0" fontId="13" fillId="15" borderId="1" xfId="0" applyFont="1" applyFill="1" applyBorder="1" applyAlignment="1">
      <alignment horizontal="center" vertical="center" wrapText="1"/>
    </xf>
    <xf numFmtId="178" fontId="2" fillId="15" borderId="1" xfId="0" applyNumberFormat="1" applyFont="1" applyFill="1" applyBorder="1" applyAlignment="1">
      <alignment horizontal="center" vertical="center"/>
    </xf>
    <xf numFmtId="0" fontId="13" fillId="15" borderId="2" xfId="0" applyFont="1" applyFill="1" applyBorder="1" applyAlignment="1">
      <alignment horizontal="center" vertical="center" wrapText="1"/>
    </xf>
    <xf numFmtId="178" fontId="2" fillId="15" borderId="2" xfId="0" applyNumberFormat="1" applyFont="1" applyFill="1" applyBorder="1" applyAlignment="1">
      <alignment horizontal="center" vertical="center"/>
    </xf>
    <xf numFmtId="0" fontId="13" fillId="6" borderId="1" xfId="0" applyFont="1" applyFill="1" applyBorder="1" applyAlignment="1">
      <alignment horizontal="center" vertical="center" wrapText="1"/>
    </xf>
    <xf numFmtId="178" fontId="7" fillId="6" borderId="1" xfId="0" applyNumberFormat="1" applyFont="1" applyFill="1" applyBorder="1" applyAlignment="1">
      <alignment horizontal="center" vertical="center" wrapText="1"/>
    </xf>
    <xf numFmtId="178" fontId="2" fillId="6" borderId="1" xfId="0" applyNumberFormat="1" applyFont="1" applyFill="1" applyBorder="1" applyAlignment="1">
      <alignment horizontal="center" vertical="center" wrapText="1"/>
    </xf>
    <xf numFmtId="0" fontId="13" fillId="15" borderId="10" xfId="0" applyFont="1" applyFill="1" applyBorder="1" applyAlignment="1">
      <alignment horizontal="center" vertical="center" wrapText="1"/>
    </xf>
    <xf numFmtId="178" fontId="7" fillId="15" borderId="10" xfId="0" applyNumberFormat="1" applyFont="1" applyFill="1" applyBorder="1" applyAlignment="1">
      <alignment horizontal="center" vertical="center" wrapText="1"/>
    </xf>
    <xf numFmtId="9" fontId="2" fillId="2" borderId="5" xfId="3" applyNumberFormat="1" applyFont="1" applyFill="1" applyBorder="1" applyAlignment="1">
      <alignment horizontal="center" vertical="center"/>
    </xf>
    <xf numFmtId="0" fontId="2" fillId="27" borderId="5" xfId="0" applyFont="1" applyFill="1" applyBorder="1">
      <alignment vertical="center"/>
    </xf>
    <xf numFmtId="9" fontId="2" fillId="27" borderId="5" xfId="3" applyNumberFormat="1" applyFont="1" applyFill="1" applyBorder="1" applyAlignment="1">
      <alignment horizontal="center" vertical="center"/>
    </xf>
    <xf numFmtId="0" fontId="2" fillId="27" borderId="6" xfId="0" applyFont="1" applyFill="1" applyBorder="1" applyAlignment="1">
      <alignment horizontal="center" vertical="center"/>
    </xf>
    <xf numFmtId="0" fontId="2" fillId="27" borderId="4" xfId="0" applyFont="1" applyFill="1" applyBorder="1" applyAlignment="1">
      <alignment horizontal="center" vertical="center"/>
    </xf>
    <xf numFmtId="0" fontId="2" fillId="0" borderId="3" xfId="0" applyFont="1" applyFill="1" applyBorder="1" applyAlignment="1">
      <alignment horizontal="center" vertical="center" wrapText="1"/>
    </xf>
    <xf numFmtId="0" fontId="2" fillId="0" borderId="6" xfId="0" applyFont="1" applyFill="1" applyBorder="1" applyAlignment="1">
      <alignment horizontal="left" vertical="center" wrapText="1"/>
    </xf>
    <xf numFmtId="0" fontId="2" fillId="0" borderId="4" xfId="0" applyFont="1" applyFill="1" applyBorder="1" applyAlignment="1">
      <alignment horizontal="left" vertical="center" wrapText="1"/>
    </xf>
    <xf numFmtId="0" fontId="7" fillId="3" borderId="4" xfId="0" applyFont="1" applyFill="1" applyBorder="1" applyAlignment="1">
      <alignment horizontal="center" vertical="center" wrapText="1"/>
    </xf>
    <xf numFmtId="0" fontId="2" fillId="3" borderId="16" xfId="0" applyFont="1" applyFill="1" applyBorder="1" applyAlignment="1">
      <alignment horizontal="center" vertical="center"/>
    </xf>
    <xf numFmtId="0" fontId="2" fillId="3" borderId="12" xfId="0" applyFont="1" applyFill="1" applyBorder="1" applyAlignment="1">
      <alignment horizontal="center" vertical="center"/>
    </xf>
    <xf numFmtId="9" fontId="2" fillId="2" borderId="6" xfId="3" applyNumberFormat="1" applyFont="1" applyFill="1" applyBorder="1" applyAlignment="1">
      <alignment horizontal="center" vertical="center"/>
    </xf>
    <xf numFmtId="0" fontId="13" fillId="2" borderId="1" xfId="0" applyFont="1" applyFill="1" applyBorder="1" applyAlignment="1">
      <alignment horizontal="left" vertical="center" wrapText="1"/>
    </xf>
    <xf numFmtId="10" fontId="13" fillId="2" borderId="1" xfId="0" applyNumberFormat="1" applyFont="1" applyFill="1" applyBorder="1" applyAlignment="1" applyProtection="1">
      <alignment horizontal="center" vertical="center" wrapText="1"/>
    </xf>
    <xf numFmtId="0" fontId="2" fillId="2" borderId="19" xfId="0" applyFont="1" applyFill="1" applyBorder="1" applyAlignment="1">
      <alignment horizontal="center" vertical="center"/>
    </xf>
    <xf numFmtId="0" fontId="13" fillId="2" borderId="4" xfId="0" applyFont="1" applyFill="1" applyBorder="1" applyAlignment="1">
      <alignment horizontal="left" vertical="center" wrapText="1"/>
    </xf>
    <xf numFmtId="10" fontId="13" fillId="2" borderId="4" xfId="0" applyNumberFormat="1" applyFont="1" applyFill="1" applyBorder="1" applyAlignment="1" applyProtection="1">
      <alignment horizontal="center" vertical="center" wrapText="1"/>
    </xf>
    <xf numFmtId="0" fontId="2" fillId="2" borderId="21" xfId="0" applyFont="1" applyFill="1" applyBorder="1" applyAlignment="1">
      <alignment horizontal="center" vertical="center"/>
    </xf>
    <xf numFmtId="0" fontId="13" fillId="2" borderId="3" xfId="0" applyFont="1" applyFill="1" applyBorder="1" applyAlignment="1">
      <alignment horizontal="left" vertical="center" wrapText="1"/>
    </xf>
    <xf numFmtId="10" fontId="13" fillId="2" borderId="3" xfId="0" applyNumberFormat="1" applyFont="1" applyFill="1" applyBorder="1" applyAlignment="1" applyProtection="1">
      <alignment horizontal="center" vertical="center" wrapText="1"/>
    </xf>
    <xf numFmtId="0" fontId="13" fillId="2" borderId="11" xfId="0" applyFont="1" applyFill="1" applyBorder="1" applyAlignment="1">
      <alignment horizontal="left" vertical="center" wrapText="1"/>
    </xf>
    <xf numFmtId="10" fontId="13" fillId="2" borderId="11" xfId="0" applyNumberFormat="1" applyFont="1" applyFill="1" applyBorder="1" applyAlignment="1" applyProtection="1">
      <alignment horizontal="center" vertical="center" wrapText="1"/>
    </xf>
    <xf numFmtId="2" fontId="2" fillId="2" borderId="11" xfId="0" applyNumberFormat="1" applyFont="1" applyFill="1" applyBorder="1" applyAlignment="1">
      <alignment horizontal="center" vertical="center"/>
    </xf>
    <xf numFmtId="2" fontId="2" fillId="2" borderId="1" xfId="0" applyNumberFormat="1" applyFont="1" applyFill="1" applyBorder="1" applyAlignment="1">
      <alignment horizontal="center" vertical="center"/>
    </xf>
    <xf numFmtId="0" fontId="2" fillId="15" borderId="19" xfId="0" applyFont="1" applyFill="1" applyBorder="1" applyAlignment="1">
      <alignment horizontal="center" vertical="center"/>
    </xf>
    <xf numFmtId="0" fontId="13" fillId="15" borderId="4" xfId="0" applyFont="1" applyFill="1" applyBorder="1" applyAlignment="1">
      <alignment horizontal="left" vertical="center" wrapText="1"/>
    </xf>
    <xf numFmtId="10" fontId="13" fillId="15" borderId="4" xfId="0" applyNumberFormat="1" applyFont="1" applyFill="1" applyBorder="1" applyAlignment="1" applyProtection="1">
      <alignment horizontal="center" vertical="center" wrapText="1"/>
    </xf>
    <xf numFmtId="2" fontId="2" fillId="15" borderId="4" xfId="0" applyNumberFormat="1" applyFont="1" applyFill="1" applyBorder="1" applyAlignment="1">
      <alignment horizontal="center" vertical="center"/>
    </xf>
    <xf numFmtId="0" fontId="2" fillId="15" borderId="21" xfId="0" applyFont="1" applyFill="1" applyBorder="1" applyAlignment="1">
      <alignment horizontal="center" vertical="center"/>
    </xf>
    <xf numFmtId="0" fontId="13" fillId="15" borderId="3" xfId="0" applyFont="1" applyFill="1" applyBorder="1" applyAlignment="1">
      <alignment horizontal="center" vertical="center" wrapText="1"/>
    </xf>
    <xf numFmtId="10" fontId="13" fillId="15" borderId="3" xfId="0" applyNumberFormat="1" applyFont="1" applyFill="1" applyBorder="1" applyAlignment="1" applyProtection="1">
      <alignment horizontal="center" vertical="center" wrapText="1"/>
    </xf>
    <xf numFmtId="2" fontId="7" fillId="15" borderId="3" xfId="0" applyNumberFormat="1" applyFont="1" applyFill="1" applyBorder="1" applyAlignment="1">
      <alignment horizontal="center" vertical="center"/>
    </xf>
    <xf numFmtId="0" fontId="13" fillId="15" borderId="4" xfId="0" applyFont="1" applyFill="1" applyBorder="1" applyAlignment="1">
      <alignment horizontal="center" vertical="center" wrapText="1"/>
    </xf>
    <xf numFmtId="2" fontId="7" fillId="15" borderId="4" xfId="0" applyNumberFormat="1" applyFont="1" applyFill="1" applyBorder="1" applyAlignment="1">
      <alignment horizontal="center" vertical="center"/>
    </xf>
    <xf numFmtId="0" fontId="13" fillId="15" borderId="3" xfId="0" applyFont="1" applyFill="1" applyBorder="1" applyAlignment="1">
      <alignment horizontal="left" vertical="center" wrapText="1"/>
    </xf>
    <xf numFmtId="2" fontId="2" fillId="15" borderId="3" xfId="0" applyNumberFormat="1" applyFont="1" applyFill="1" applyBorder="1" applyAlignment="1">
      <alignment horizontal="center" vertical="center"/>
    </xf>
    <xf numFmtId="0" fontId="7" fillId="6" borderId="1" xfId="0" applyFont="1" applyFill="1" applyBorder="1" applyAlignment="1">
      <alignment horizontal="left" vertical="center" wrapText="1"/>
    </xf>
    <xf numFmtId="10" fontId="13" fillId="6" borderId="1" xfId="0" applyNumberFormat="1" applyFont="1" applyFill="1" applyBorder="1" applyAlignment="1" applyProtection="1">
      <alignment horizontal="center" vertical="center" wrapText="1"/>
    </xf>
    <xf numFmtId="2" fontId="2" fillId="6" borderId="1" xfId="0" applyNumberFormat="1" applyFont="1" applyFill="1" applyBorder="1" applyAlignment="1">
      <alignment horizontal="center" vertical="center"/>
    </xf>
    <xf numFmtId="2" fontId="7" fillId="6" borderId="1" xfId="0" applyNumberFormat="1" applyFont="1" applyFill="1" applyBorder="1" applyAlignment="1">
      <alignment horizontal="center" vertical="center"/>
    </xf>
    <xf numFmtId="0" fontId="7" fillId="15" borderId="4" xfId="0" applyFont="1" applyFill="1" applyBorder="1" applyAlignment="1">
      <alignment horizontal="left" vertical="center" wrapText="1"/>
    </xf>
    <xf numFmtId="0" fontId="7" fillId="15" borderId="3" xfId="0" applyFont="1" applyFill="1" applyBorder="1" applyAlignment="1">
      <alignment horizontal="center" vertical="center" wrapText="1"/>
    </xf>
    <xf numFmtId="0" fontId="7" fillId="15" borderId="3" xfId="0" applyFont="1" applyFill="1" applyBorder="1" applyAlignment="1">
      <alignment horizontal="left" vertical="center" wrapText="1"/>
    </xf>
    <xf numFmtId="177" fontId="7" fillId="3" borderId="3" xfId="0" applyNumberFormat="1" applyFont="1" applyFill="1" applyBorder="1" applyAlignment="1">
      <alignment horizontal="center" vertical="center"/>
    </xf>
    <xf numFmtId="177" fontId="7" fillId="3" borderId="4" xfId="0" applyNumberFormat="1" applyFont="1" applyFill="1" applyBorder="1" applyAlignment="1">
      <alignment horizontal="center" vertical="center"/>
    </xf>
    <xf numFmtId="0" fontId="7" fillId="27" borderId="6" xfId="0" applyFont="1" applyFill="1" applyBorder="1" applyAlignment="1">
      <alignment horizontal="center" vertical="center"/>
    </xf>
    <xf numFmtId="177" fontId="7" fillId="27" borderId="6" xfId="0" applyNumberFormat="1" applyFont="1" applyFill="1" applyBorder="1" applyAlignment="1">
      <alignment horizontal="center" vertical="center"/>
    </xf>
    <xf numFmtId="0" fontId="7" fillId="27" borderId="4" xfId="0" applyFont="1" applyFill="1" applyBorder="1" applyAlignment="1">
      <alignment horizontal="center" vertical="center"/>
    </xf>
    <xf numFmtId="177" fontId="7" fillId="27" borderId="4" xfId="0" applyNumberFormat="1" applyFont="1" applyFill="1" applyBorder="1" applyAlignment="1">
      <alignment horizontal="center" vertical="center"/>
    </xf>
    <xf numFmtId="177" fontId="7" fillId="0" borderId="3" xfId="0" applyNumberFormat="1" applyFont="1" applyFill="1" applyBorder="1" applyAlignment="1">
      <alignment horizontal="center" vertical="center"/>
    </xf>
    <xf numFmtId="2" fontId="7" fillId="0" borderId="6" xfId="0" applyNumberFormat="1" applyFont="1" applyFill="1" applyBorder="1" applyAlignment="1">
      <alignment horizontal="center" vertical="center"/>
    </xf>
    <xf numFmtId="2" fontId="7" fillId="0" borderId="4" xfId="0" applyNumberFormat="1" applyFont="1" applyFill="1" applyBorder="1" applyAlignment="1">
      <alignment horizontal="center" vertical="center"/>
    </xf>
    <xf numFmtId="2" fontId="2" fillId="0" borderId="5" xfId="0" applyNumberFormat="1" applyFont="1" applyFill="1" applyBorder="1" applyAlignment="1">
      <alignment horizontal="center" vertical="center"/>
    </xf>
    <xf numFmtId="177" fontId="11" fillId="3" borderId="5" xfId="0" applyNumberFormat="1" applyFont="1" applyFill="1" applyBorder="1" applyAlignment="1">
      <alignment horizontal="center" vertical="center"/>
    </xf>
    <xf numFmtId="0" fontId="7" fillId="2" borderId="3" xfId="0" applyFont="1" applyFill="1" applyBorder="1" applyAlignment="1">
      <alignment horizontal="center" vertical="center"/>
    </xf>
    <xf numFmtId="177" fontId="7" fillId="2" borderId="3" xfId="0" applyNumberFormat="1" applyFont="1" applyFill="1" applyBorder="1" applyAlignment="1">
      <alignment horizontal="center" vertical="center"/>
    </xf>
    <xf numFmtId="177" fontId="2" fillId="2" borderId="1" xfId="0" applyNumberFormat="1" applyFont="1" applyFill="1" applyBorder="1" applyAlignment="1">
      <alignment horizontal="center" vertical="center"/>
    </xf>
    <xf numFmtId="0" fontId="7" fillId="2" borderId="2" xfId="0" applyFont="1" applyFill="1" applyBorder="1" applyAlignment="1">
      <alignment horizontal="center" vertical="center"/>
    </xf>
    <xf numFmtId="177" fontId="7" fillId="2" borderId="1" xfId="0" applyNumberFormat="1" applyFont="1" applyFill="1" applyBorder="1" applyAlignment="1">
      <alignment horizontal="center" vertical="center"/>
    </xf>
    <xf numFmtId="0" fontId="7" fillId="2" borderId="11" xfId="0" applyFont="1" applyFill="1" applyBorder="1" applyAlignment="1">
      <alignment horizontal="center" vertical="center"/>
    </xf>
    <xf numFmtId="177" fontId="7" fillId="2" borderId="2" xfId="0" applyNumberFormat="1" applyFont="1" applyFill="1" applyBorder="1" applyAlignment="1">
      <alignment horizontal="center" vertical="center"/>
    </xf>
    <xf numFmtId="177" fontId="7" fillId="2" borderId="11" xfId="0" applyNumberFormat="1" applyFont="1" applyFill="1" applyBorder="1" applyAlignment="1">
      <alignment horizontal="center" vertical="center"/>
    </xf>
    <xf numFmtId="177" fontId="7" fillId="2" borderId="10" xfId="0" applyNumberFormat="1" applyFont="1" applyFill="1" applyBorder="1" applyAlignment="1">
      <alignment horizontal="center" vertical="center"/>
    </xf>
    <xf numFmtId="176" fontId="7" fillId="15" borderId="4" xfId="0" applyNumberFormat="1" applyFont="1" applyFill="1" applyBorder="1" applyAlignment="1">
      <alignment horizontal="center" vertical="center"/>
    </xf>
    <xf numFmtId="0" fontId="7" fillId="15" borderId="4" xfId="0" applyFont="1" applyFill="1" applyBorder="1" applyAlignment="1">
      <alignment horizontal="center" vertical="center"/>
    </xf>
    <xf numFmtId="177" fontId="7" fillId="15" borderId="4" xfId="0" applyNumberFormat="1" applyFont="1" applyFill="1" applyBorder="1" applyAlignment="1">
      <alignment horizontal="center" vertical="center"/>
    </xf>
    <xf numFmtId="176" fontId="7" fillId="15" borderId="3" xfId="0" applyNumberFormat="1" applyFont="1" applyFill="1" applyBorder="1" applyAlignment="1">
      <alignment horizontal="center" vertical="center"/>
    </xf>
    <xf numFmtId="0" fontId="7" fillId="15" borderId="3" xfId="0" applyFont="1" applyFill="1" applyBorder="1" applyAlignment="1">
      <alignment horizontal="center" vertical="center"/>
    </xf>
    <xf numFmtId="177" fontId="7" fillId="15" borderId="3" xfId="0" applyNumberFormat="1" applyFont="1" applyFill="1" applyBorder="1" applyAlignment="1">
      <alignment horizontal="center" vertical="center"/>
    </xf>
    <xf numFmtId="176" fontId="11" fillId="15" borderId="3" xfId="0" applyNumberFormat="1" applyFont="1" applyFill="1" applyBorder="1" applyAlignment="1">
      <alignment horizontal="center" vertical="center"/>
    </xf>
    <xf numFmtId="0" fontId="11" fillId="15" borderId="3" xfId="0" applyFont="1" applyFill="1" applyBorder="1" applyAlignment="1">
      <alignment horizontal="center" vertical="center"/>
    </xf>
    <xf numFmtId="177" fontId="11" fillId="15" borderId="3" xfId="0" applyNumberFormat="1" applyFont="1" applyFill="1" applyBorder="1" applyAlignment="1">
      <alignment horizontal="center" vertical="center"/>
    </xf>
    <xf numFmtId="176" fontId="7" fillId="6" borderId="1" xfId="0" applyNumberFormat="1" applyFont="1" applyFill="1" applyBorder="1" applyAlignment="1">
      <alignment horizontal="center" vertical="center"/>
    </xf>
    <xf numFmtId="177" fontId="7" fillId="6" borderId="1" xfId="0" applyNumberFormat="1" applyFont="1" applyFill="1" applyBorder="1" applyAlignment="1">
      <alignment horizontal="center" vertical="center"/>
    </xf>
    <xf numFmtId="176" fontId="11" fillId="6" borderId="1" xfId="0" applyNumberFormat="1" applyFont="1" applyFill="1" applyBorder="1" applyAlignment="1">
      <alignment horizontal="center" vertical="center"/>
    </xf>
    <xf numFmtId="0" fontId="11" fillId="6" borderId="1" xfId="0" applyFont="1" applyFill="1" applyBorder="1" applyAlignment="1">
      <alignment horizontal="center" vertical="center"/>
    </xf>
    <xf numFmtId="177" fontId="11" fillId="6" borderId="1" xfId="0" applyNumberFormat="1" applyFont="1" applyFill="1" applyBorder="1" applyAlignment="1">
      <alignment horizontal="center" vertical="center"/>
    </xf>
    <xf numFmtId="14" fontId="7" fillId="3" borderId="3" xfId="0" applyNumberFormat="1" applyFont="1" applyFill="1" applyBorder="1" applyAlignment="1">
      <alignment horizontal="center" vertical="center"/>
    </xf>
    <xf numFmtId="176" fontId="7" fillId="3" borderId="3" xfId="0" applyNumberFormat="1" applyFont="1" applyFill="1" applyBorder="1" applyAlignment="1">
      <alignment horizontal="center" vertical="center"/>
    </xf>
    <xf numFmtId="176" fontId="7" fillId="3" borderId="4" xfId="0" applyNumberFormat="1" applyFont="1" applyFill="1" applyBorder="1" applyAlignment="1">
      <alignment horizontal="center" vertical="center"/>
    </xf>
    <xf numFmtId="14" fontId="2" fillId="27" borderId="5" xfId="0" applyNumberFormat="1" applyFont="1" applyFill="1" applyBorder="1">
      <alignment vertical="center"/>
    </xf>
    <xf numFmtId="14" fontId="7" fillId="27" borderId="6" xfId="0" applyNumberFormat="1" applyFont="1" applyFill="1" applyBorder="1" applyAlignment="1">
      <alignment horizontal="center" vertical="center"/>
    </xf>
    <xf numFmtId="177" fontId="7" fillId="27" borderId="5" xfId="0" applyNumberFormat="1" applyFont="1" applyFill="1" applyBorder="1">
      <alignment vertical="center"/>
    </xf>
    <xf numFmtId="14" fontId="7" fillId="27" borderId="4" xfId="0" applyNumberFormat="1" applyFont="1" applyFill="1" applyBorder="1" applyAlignment="1">
      <alignment horizontal="center" vertical="center"/>
    </xf>
    <xf numFmtId="14" fontId="2" fillId="27" borderId="5" xfId="0" applyNumberFormat="1" applyFont="1" applyFill="1" applyBorder="1" applyAlignment="1">
      <alignment horizontal="center" vertical="center"/>
    </xf>
    <xf numFmtId="177" fontId="2" fillId="27" borderId="5" xfId="0" applyNumberFormat="1" applyFont="1" applyFill="1" applyBorder="1">
      <alignment vertical="center"/>
    </xf>
    <xf numFmtId="177" fontId="2" fillId="0" borderId="6" xfId="0" applyNumberFormat="1" applyFont="1" applyFill="1" applyBorder="1">
      <alignment vertical="center"/>
    </xf>
    <xf numFmtId="0" fontId="7" fillId="0" borderId="16" xfId="0" applyFont="1" applyFill="1" applyBorder="1" applyAlignment="1">
      <alignment horizontal="center" vertical="center"/>
    </xf>
    <xf numFmtId="177" fontId="2" fillId="0" borderId="4" xfId="0" applyNumberFormat="1" applyFont="1" applyFill="1" applyBorder="1">
      <alignment vertical="center"/>
    </xf>
    <xf numFmtId="2" fontId="7" fillId="0" borderId="5" xfId="0" applyNumberFormat="1" applyFont="1" applyFill="1" applyBorder="1" applyAlignment="1">
      <alignment horizontal="center" vertical="center"/>
    </xf>
    <xf numFmtId="177" fontId="7" fillId="0" borderId="5" xfId="0" applyNumberFormat="1" applyFont="1" applyFill="1" applyBorder="1">
      <alignment vertical="center"/>
    </xf>
    <xf numFmtId="14" fontId="2" fillId="0" borderId="6" xfId="0" applyNumberFormat="1" applyFont="1" applyFill="1" applyBorder="1" applyAlignment="1">
      <alignment horizontal="center" vertical="center"/>
    </xf>
    <xf numFmtId="177" fontId="7" fillId="0" borderId="12" xfId="0" applyNumberFormat="1" applyFont="1" applyFill="1" applyBorder="1" applyAlignment="1">
      <alignment horizontal="center" vertical="center"/>
    </xf>
    <xf numFmtId="14" fontId="2" fillId="0" borderId="4" xfId="0" applyNumberFormat="1" applyFont="1" applyFill="1" applyBorder="1" applyAlignment="1">
      <alignment horizontal="center" vertical="center"/>
    </xf>
    <xf numFmtId="177" fontId="2" fillId="0" borderId="12" xfId="0" applyNumberFormat="1" applyFont="1" applyFill="1" applyBorder="1" applyAlignment="1">
      <alignment horizontal="center" vertical="center"/>
    </xf>
    <xf numFmtId="0" fontId="15" fillId="0" borderId="4" xfId="0" applyFont="1" applyFill="1" applyBorder="1" applyAlignment="1">
      <alignment horizontal="center" vertical="center"/>
    </xf>
    <xf numFmtId="14" fontId="2" fillId="3" borderId="3" xfId="0" applyNumberFormat="1" applyFont="1" applyFill="1" applyBorder="1" applyAlignment="1">
      <alignment horizontal="center" vertical="center"/>
    </xf>
    <xf numFmtId="177" fontId="7" fillId="3" borderId="6" xfId="0" applyNumberFormat="1" applyFont="1" applyFill="1" applyBorder="1">
      <alignment vertical="center"/>
    </xf>
    <xf numFmtId="177" fontId="2" fillId="3" borderId="1" xfId="0" applyNumberFormat="1" applyFont="1" applyFill="1" applyBorder="1">
      <alignment vertical="center"/>
    </xf>
    <xf numFmtId="14" fontId="7" fillId="2" borderId="3" xfId="0" applyNumberFormat="1" applyFont="1" applyFill="1" applyBorder="1" applyAlignment="1">
      <alignment horizontal="center" vertical="center"/>
    </xf>
    <xf numFmtId="0" fontId="7" fillId="2" borderId="7" xfId="0" applyFont="1" applyFill="1" applyBorder="1" applyAlignment="1">
      <alignment horizontal="center" vertical="center"/>
    </xf>
    <xf numFmtId="0" fontId="7" fillId="2" borderId="22" xfId="0" applyFont="1" applyFill="1" applyBorder="1" applyAlignment="1">
      <alignment horizontal="center" vertical="center"/>
    </xf>
    <xf numFmtId="177" fontId="7" fillId="2" borderId="23" xfId="0" applyNumberFormat="1" applyFont="1" applyFill="1" applyBorder="1" applyAlignment="1">
      <alignment horizontal="center" vertical="center"/>
    </xf>
    <xf numFmtId="0" fontId="2" fillId="2" borderId="16" xfId="0" applyFont="1" applyFill="1" applyBorder="1" applyAlignment="1">
      <alignment horizontal="center" vertical="center"/>
    </xf>
    <xf numFmtId="177" fontId="7" fillId="2" borderId="21" xfId="0" applyNumberFormat="1" applyFont="1" applyFill="1" applyBorder="1" applyAlignment="1">
      <alignment horizontal="center" vertical="center"/>
    </xf>
    <xf numFmtId="0" fontId="7" fillId="2" borderId="18" xfId="0" applyFont="1" applyFill="1" applyBorder="1" applyAlignment="1">
      <alignment horizontal="center" vertical="center"/>
    </xf>
    <xf numFmtId="0" fontId="7" fillId="2" borderId="18" xfId="0" applyFont="1" applyFill="1" applyBorder="1">
      <alignment vertical="center"/>
    </xf>
    <xf numFmtId="14" fontId="2" fillId="2" borderId="1" xfId="0" applyNumberFormat="1" applyFont="1" applyFill="1" applyBorder="1" applyAlignment="1">
      <alignment horizontal="center" vertical="center"/>
    </xf>
    <xf numFmtId="14" fontId="7" fillId="2" borderId="1" xfId="0" applyNumberFormat="1" applyFont="1" applyFill="1" applyBorder="1" applyAlignment="1">
      <alignment horizontal="center" vertical="center"/>
    </xf>
    <xf numFmtId="14" fontId="7" fillId="2" borderId="2" xfId="0" applyNumberFormat="1" applyFont="1" applyFill="1" applyBorder="1" applyAlignment="1">
      <alignment horizontal="center" vertical="center"/>
    </xf>
    <xf numFmtId="14" fontId="7" fillId="2" borderId="11" xfId="0" applyNumberFormat="1" applyFont="1" applyFill="1" applyBorder="1" applyAlignment="1">
      <alignment horizontal="center" vertical="center"/>
    </xf>
    <xf numFmtId="14" fontId="2" fillId="2" borderId="2" xfId="0" applyNumberFormat="1" applyFont="1" applyFill="1" applyBorder="1" applyAlignment="1">
      <alignment horizontal="center" vertical="center"/>
    </xf>
    <xf numFmtId="14" fontId="2" fillId="2" borderId="3" xfId="0" applyNumberFormat="1" applyFont="1" applyFill="1" applyBorder="1" applyAlignment="1">
      <alignment horizontal="center" vertical="center"/>
    </xf>
    <xf numFmtId="14" fontId="7" fillId="2" borderId="4" xfId="0" applyNumberFormat="1" applyFont="1" applyFill="1" applyBorder="1" applyAlignment="1">
      <alignment horizontal="center" vertical="center"/>
    </xf>
    <xf numFmtId="14" fontId="7" fillId="2" borderId="10" xfId="0" applyNumberFormat="1" applyFont="1" applyFill="1" applyBorder="1" applyAlignment="1">
      <alignment horizontal="center" vertical="center"/>
    </xf>
    <xf numFmtId="14" fontId="2" fillId="2" borderId="10" xfId="0" applyNumberFormat="1" applyFont="1" applyFill="1" applyBorder="1" applyAlignment="1">
      <alignment horizontal="center" vertical="center"/>
    </xf>
    <xf numFmtId="14" fontId="7" fillId="15" borderId="4" xfId="0" applyNumberFormat="1" applyFont="1" applyFill="1" applyBorder="1" applyAlignment="1">
      <alignment horizontal="center" vertical="center"/>
    </xf>
    <xf numFmtId="176" fontId="2" fillId="15" borderId="4" xfId="0" applyNumberFormat="1" applyFont="1" applyFill="1" applyBorder="1" applyAlignment="1">
      <alignment horizontal="center" vertical="center"/>
    </xf>
    <xf numFmtId="14" fontId="2" fillId="15" borderId="4" xfId="0" applyNumberFormat="1" applyFont="1" applyFill="1" applyBorder="1" applyAlignment="1">
      <alignment horizontal="center" vertical="center"/>
    </xf>
    <xf numFmtId="14" fontId="7" fillId="15" borderId="3" xfId="0" applyNumberFormat="1" applyFont="1" applyFill="1" applyBorder="1" applyAlignment="1">
      <alignment horizontal="center" vertical="center"/>
    </xf>
    <xf numFmtId="14" fontId="11" fillId="15" borderId="3" xfId="0" applyNumberFormat="1" applyFont="1" applyFill="1" applyBorder="1" applyAlignment="1">
      <alignment horizontal="center" vertical="center"/>
    </xf>
    <xf numFmtId="176" fontId="2" fillId="15" borderId="3" xfId="0" applyNumberFormat="1" applyFont="1" applyFill="1" applyBorder="1" applyAlignment="1">
      <alignment horizontal="center" vertical="center"/>
    </xf>
    <xf numFmtId="0" fontId="2" fillId="15" borderId="3" xfId="0" applyFont="1" applyFill="1" applyBorder="1" applyAlignment="1">
      <alignment horizontal="center" vertical="center"/>
    </xf>
    <xf numFmtId="14" fontId="2" fillId="6" borderId="1" xfId="0" applyNumberFormat="1" applyFont="1" applyFill="1" applyBorder="1" applyAlignment="1">
      <alignment horizontal="center" vertical="center"/>
    </xf>
    <xf numFmtId="14" fontId="7" fillId="6" borderId="1" xfId="0" applyNumberFormat="1" applyFont="1" applyFill="1" applyBorder="1" applyAlignment="1">
      <alignment horizontal="center" vertical="center"/>
    </xf>
    <xf numFmtId="14" fontId="11" fillId="6" borderId="1" xfId="0" applyNumberFormat="1" applyFont="1" applyFill="1" applyBorder="1" applyAlignment="1">
      <alignment horizontal="center" vertical="center"/>
    </xf>
    <xf numFmtId="176" fontId="2" fillId="6" borderId="1" xfId="0" applyNumberFormat="1" applyFont="1" applyFill="1" applyBorder="1" applyAlignment="1">
      <alignment horizontal="center" vertical="center"/>
    </xf>
    <xf numFmtId="14" fontId="2" fillId="15" borderId="1" xfId="0" applyNumberFormat="1" applyFont="1" applyFill="1" applyBorder="1" applyAlignment="1">
      <alignment horizontal="center" vertical="center"/>
    </xf>
    <xf numFmtId="176" fontId="11" fillId="15" borderId="1" xfId="0" applyNumberFormat="1" applyFont="1" applyFill="1" applyBorder="1" applyAlignment="1">
      <alignment horizontal="center" vertical="center"/>
    </xf>
    <xf numFmtId="176" fontId="2" fillId="15" borderId="1" xfId="0" applyNumberFormat="1" applyFont="1" applyFill="1" applyBorder="1" applyAlignment="1">
      <alignment horizontal="center" vertical="center"/>
    </xf>
    <xf numFmtId="14" fontId="11" fillId="15" borderId="7" xfId="0" applyNumberFormat="1" applyFont="1" applyFill="1" applyBorder="1" applyAlignment="1">
      <alignment horizontal="center" vertical="center"/>
    </xf>
    <xf numFmtId="176" fontId="2" fillId="15" borderId="2" xfId="0" applyNumberFormat="1" applyFont="1" applyFill="1" applyBorder="1" applyAlignment="1">
      <alignment horizontal="center" vertical="center"/>
    </xf>
    <xf numFmtId="14" fontId="2" fillId="2" borderId="5" xfId="0" applyNumberFormat="1" applyFont="1" applyFill="1" applyBorder="1">
      <alignment vertical="center"/>
    </xf>
    <xf numFmtId="14" fontId="7" fillId="27" borderId="5" xfId="0" applyNumberFormat="1" applyFont="1" applyFill="1" applyBorder="1">
      <alignment vertical="center"/>
    </xf>
    <xf numFmtId="14" fontId="7" fillId="27" borderId="5" xfId="0" applyNumberFormat="1" applyFont="1" applyFill="1" applyBorder="1" applyAlignment="1">
      <alignment horizontal="center" vertical="center"/>
    </xf>
    <xf numFmtId="2" fontId="2" fillId="0" borderId="1" xfId="0" applyNumberFormat="1" applyFont="1" applyFill="1" applyBorder="1" applyAlignment="1">
      <alignment horizontal="center" vertical="center"/>
    </xf>
    <xf numFmtId="14" fontId="15" fillId="0" borderId="5" xfId="0" applyNumberFormat="1" applyFont="1" applyFill="1" applyBorder="1" applyAlignment="1">
      <alignment horizontal="center" vertical="center"/>
    </xf>
    <xf numFmtId="14" fontId="7" fillId="2" borderId="4" xfId="0" applyNumberFormat="1" applyFont="1" applyFill="1" applyBorder="1">
      <alignment vertical="center"/>
    </xf>
    <xf numFmtId="14" fontId="7" fillId="2" borderId="6" xfId="0" applyNumberFormat="1" applyFont="1" applyFill="1" applyBorder="1">
      <alignment vertical="center"/>
    </xf>
    <xf numFmtId="0" fontId="2" fillId="2" borderId="6" xfId="0" applyFont="1" applyFill="1" applyBorder="1">
      <alignment vertical="center"/>
    </xf>
    <xf numFmtId="178" fontId="7" fillId="2" borderId="1" xfId="0" applyNumberFormat="1" applyFont="1" applyFill="1" applyBorder="1" applyAlignment="1">
      <alignment horizontal="center" vertical="center"/>
    </xf>
    <xf numFmtId="0" fontId="2" fillId="2" borderId="1" xfId="0" applyFont="1" applyFill="1" applyBorder="1">
      <alignment vertical="center"/>
    </xf>
    <xf numFmtId="178" fontId="7" fillId="2" borderId="4" xfId="0" applyNumberFormat="1" applyFont="1" applyFill="1" applyBorder="1" applyAlignment="1">
      <alignment horizontal="center" vertical="center"/>
    </xf>
    <xf numFmtId="0" fontId="2" fillId="2" borderId="4" xfId="0" applyFont="1" applyFill="1" applyBorder="1">
      <alignment vertical="center"/>
    </xf>
    <xf numFmtId="178" fontId="7" fillId="2" borderId="3" xfId="0" applyNumberFormat="1" applyFont="1" applyFill="1" applyBorder="1" applyAlignment="1">
      <alignment horizontal="center" vertical="center"/>
    </xf>
    <xf numFmtId="0" fontId="2" fillId="2" borderId="3" xfId="0" applyFont="1" applyFill="1" applyBorder="1">
      <alignment vertical="center"/>
    </xf>
    <xf numFmtId="178" fontId="7" fillId="2" borderId="10" xfId="0" applyNumberFormat="1" applyFont="1" applyFill="1" applyBorder="1" applyAlignment="1">
      <alignment horizontal="center" vertical="center"/>
    </xf>
    <xf numFmtId="0" fontId="2" fillId="2" borderId="11" xfId="0" applyFont="1" applyFill="1" applyBorder="1">
      <alignment vertical="center"/>
    </xf>
    <xf numFmtId="178" fontId="7" fillId="2" borderId="11" xfId="0" applyNumberFormat="1" applyFont="1" applyFill="1" applyBorder="1" applyAlignment="1">
      <alignment horizontal="center" vertical="center"/>
    </xf>
    <xf numFmtId="0" fontId="11" fillId="2" borderId="1" xfId="0" applyFont="1" applyFill="1" applyBorder="1" applyAlignment="1">
      <alignment horizontal="center" vertical="center"/>
    </xf>
    <xf numFmtId="0" fontId="11" fillId="15" borderId="8" xfId="0" applyFont="1" applyFill="1" applyBorder="1" applyAlignment="1">
      <alignment horizontal="center" vertical="center"/>
    </xf>
    <xf numFmtId="178" fontId="7" fillId="15" borderId="4" xfId="0" applyNumberFormat="1" applyFont="1" applyFill="1" applyBorder="1" applyAlignment="1">
      <alignment horizontal="center" vertical="center"/>
    </xf>
    <xf numFmtId="0" fontId="2" fillId="15" borderId="4" xfId="0" applyFont="1" applyFill="1" applyBorder="1">
      <alignment vertical="center"/>
    </xf>
    <xf numFmtId="0" fontId="11" fillId="15" borderId="7" xfId="0" applyFont="1" applyFill="1" applyBorder="1" applyAlignment="1">
      <alignment horizontal="center" vertical="center"/>
    </xf>
    <xf numFmtId="178" fontId="7" fillId="15" borderId="3" xfId="0" applyNumberFormat="1" applyFont="1" applyFill="1" applyBorder="1" applyAlignment="1">
      <alignment horizontal="center" vertical="center"/>
    </xf>
    <xf numFmtId="0" fontId="2" fillId="15" borderId="3" xfId="0" applyFont="1" applyFill="1" applyBorder="1">
      <alignment vertical="center"/>
    </xf>
    <xf numFmtId="178" fontId="7" fillId="6" borderId="1" xfId="0" applyNumberFormat="1" applyFont="1" applyFill="1" applyBorder="1" applyAlignment="1">
      <alignment horizontal="center" vertical="center"/>
    </xf>
    <xf numFmtId="0" fontId="2" fillId="6" borderId="1" xfId="0" applyFont="1" applyFill="1" applyBorder="1">
      <alignment vertical="center"/>
    </xf>
    <xf numFmtId="0" fontId="11" fillId="15" borderId="17" xfId="0" applyFont="1" applyFill="1" applyBorder="1" applyAlignment="1">
      <alignment horizontal="center" vertical="center"/>
    </xf>
    <xf numFmtId="177" fontId="11" fillId="15" borderId="4" xfId="0" applyNumberFormat="1" applyFont="1" applyFill="1" applyBorder="1" applyAlignment="1">
      <alignment horizontal="center" vertical="center"/>
    </xf>
    <xf numFmtId="177" fontId="11" fillId="15" borderId="1" xfId="0" applyNumberFormat="1" applyFont="1" applyFill="1" applyBorder="1" applyAlignment="1">
      <alignment horizontal="center" vertical="center"/>
    </xf>
    <xf numFmtId="177" fontId="11" fillId="15" borderId="2" xfId="0" applyNumberFormat="1" applyFont="1" applyFill="1" applyBorder="1" applyAlignment="1">
      <alignment horizontal="center" vertical="center"/>
    </xf>
    <xf numFmtId="0" fontId="11" fillId="15" borderId="0" xfId="0" applyFont="1" applyFill="1" applyBorder="1" applyAlignment="1">
      <alignment horizontal="center" vertical="center"/>
    </xf>
    <xf numFmtId="0" fontId="2" fillId="2" borderId="22" xfId="0" applyFont="1" applyFill="1" applyBorder="1" applyAlignment="1">
      <alignment horizontal="center" vertical="center"/>
    </xf>
    <xf numFmtId="0" fontId="2" fillId="15" borderId="8" xfId="0" applyFont="1" applyFill="1" applyBorder="1">
      <alignment vertical="center"/>
    </xf>
    <xf numFmtId="0" fontId="2" fillId="15" borderId="10" xfId="0" applyFont="1" applyFill="1" applyBorder="1" applyAlignment="1">
      <alignment horizontal="center" vertical="center"/>
    </xf>
    <xf numFmtId="0" fontId="2" fillId="15" borderId="7" xfId="0" applyFont="1" applyFill="1" applyBorder="1">
      <alignment vertical="center"/>
    </xf>
    <xf numFmtId="0" fontId="2" fillId="6" borderId="2" xfId="0" applyFont="1" applyFill="1" applyBorder="1" applyAlignment="1">
      <alignment horizontal="center" vertical="center"/>
    </xf>
    <xf numFmtId="0" fontId="2" fillId="6" borderId="10" xfId="0" applyFont="1" applyFill="1" applyBorder="1" applyAlignment="1">
      <alignment horizontal="center" vertical="center"/>
    </xf>
    <xf numFmtId="0" fontId="2" fillId="6" borderId="11" xfId="0" applyFont="1" applyFill="1" applyBorder="1" applyAlignment="1">
      <alignment horizontal="center" vertical="center"/>
    </xf>
    <xf numFmtId="0" fontId="2" fillId="0" borderId="5" xfId="0" applyFont="1" applyBorder="1" applyAlignment="1">
      <alignment horizontal="center" vertical="center"/>
    </xf>
    <xf numFmtId="0" fontId="2" fillId="15" borderId="3"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10"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2" fillId="15" borderId="7" xfId="0" applyFont="1" applyFill="1" applyBorder="1" applyAlignment="1">
      <alignment horizontal="center" vertical="center"/>
    </xf>
    <xf numFmtId="0" fontId="14" fillId="15" borderId="10" xfId="0" applyFont="1" applyFill="1" applyBorder="1" applyAlignment="1">
      <alignment horizontal="center" vertical="center"/>
    </xf>
    <xf numFmtId="49" fontId="2" fillId="15" borderId="10" xfId="0" applyNumberFormat="1" applyFont="1" applyFill="1" applyBorder="1" applyAlignment="1">
      <alignment horizontal="center" vertical="center" wrapText="1"/>
    </xf>
    <xf numFmtId="0" fontId="7" fillId="15" borderId="1" xfId="0" applyFont="1" applyFill="1" applyBorder="1" applyAlignment="1">
      <alignment horizontal="center" vertical="center"/>
    </xf>
    <xf numFmtId="49" fontId="7" fillId="15" borderId="1" xfId="0" applyNumberFormat="1" applyFont="1" applyFill="1" applyBorder="1" applyAlignment="1">
      <alignment horizontal="center" vertical="center" wrapText="1"/>
    </xf>
    <xf numFmtId="0" fontId="14" fillId="4" borderId="1" xfId="0" applyFont="1" applyFill="1" applyBorder="1" applyAlignment="1">
      <alignment horizontal="center" vertical="center"/>
    </xf>
    <xf numFmtId="177" fontId="13" fillId="4" borderId="1" xfId="0" applyNumberFormat="1" applyFont="1" applyFill="1" applyBorder="1" applyAlignment="1">
      <alignment horizontal="center" vertical="center"/>
    </xf>
    <xf numFmtId="49" fontId="7"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0" fontId="14" fillId="4" borderId="2" xfId="0" applyFont="1" applyFill="1" applyBorder="1" applyAlignment="1">
      <alignment horizontal="center" vertical="center"/>
    </xf>
    <xf numFmtId="177" fontId="13" fillId="4"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14" fillId="5" borderId="1" xfId="0" applyFont="1" applyFill="1" applyBorder="1" applyAlignment="1">
      <alignment horizontal="center" vertical="center"/>
    </xf>
    <xf numFmtId="177" fontId="13" fillId="5" borderId="1" xfId="0" applyNumberFormat="1" applyFont="1" applyFill="1" applyBorder="1" applyAlignment="1">
      <alignment horizontal="center" vertical="center"/>
    </xf>
    <xf numFmtId="49" fontId="7"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7" fillId="5" borderId="2" xfId="0" applyFont="1" applyFill="1" applyBorder="1" applyAlignment="1">
      <alignment horizontal="center" vertical="center" wrapText="1"/>
    </xf>
    <xf numFmtId="177" fontId="13" fillId="5" borderId="2" xfId="0" applyNumberFormat="1" applyFont="1" applyFill="1" applyBorder="1" applyAlignment="1">
      <alignment horizontal="center" vertical="center"/>
    </xf>
    <xf numFmtId="49" fontId="7" fillId="5"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0" fontId="14" fillId="5" borderId="11" xfId="0" applyFont="1" applyFill="1" applyBorder="1" applyAlignment="1">
      <alignment horizontal="center" vertical="center" wrapText="1"/>
    </xf>
    <xf numFmtId="177" fontId="13" fillId="5" borderId="11" xfId="0" applyNumberFormat="1" applyFont="1" applyFill="1" applyBorder="1" applyAlignment="1">
      <alignment horizontal="center" vertical="center"/>
    </xf>
    <xf numFmtId="49" fontId="2" fillId="5" borderId="11" xfId="0" applyNumberFormat="1" applyFont="1" applyFill="1" applyBorder="1" applyAlignment="1">
      <alignment horizontal="center" vertical="center" wrapText="1"/>
    </xf>
    <xf numFmtId="0" fontId="2" fillId="5" borderId="11" xfId="0" applyFont="1" applyFill="1" applyBorder="1" applyAlignment="1">
      <alignment horizontal="center" vertical="center" wrapText="1"/>
    </xf>
    <xf numFmtId="0" fontId="7" fillId="0" borderId="2" xfId="0" applyFont="1" applyFill="1" applyBorder="1" applyAlignment="1">
      <alignment horizontal="center" vertical="center" wrapText="1"/>
    </xf>
    <xf numFmtId="177" fontId="13" fillId="0" borderId="2" xfId="0" applyNumberFormat="1" applyFont="1" applyFill="1" applyBorder="1" applyAlignment="1">
      <alignment horizontal="center" vertical="center"/>
    </xf>
    <xf numFmtId="49" fontId="7" fillId="0" borderId="2" xfId="0" applyNumberFormat="1" applyFont="1" applyFill="1" applyBorder="1" applyAlignment="1">
      <alignment horizontal="center" vertical="center" wrapText="1"/>
    </xf>
    <xf numFmtId="0" fontId="2" fillId="0" borderId="10" xfId="0" applyFont="1" applyFill="1" applyBorder="1" applyAlignment="1">
      <alignment horizontal="center" vertical="center" wrapText="1"/>
    </xf>
    <xf numFmtId="0" fontId="7" fillId="0" borderId="10" xfId="0" applyFont="1" applyFill="1" applyBorder="1" applyAlignment="1">
      <alignment horizontal="center" vertical="center" wrapText="1"/>
    </xf>
    <xf numFmtId="177" fontId="13" fillId="0" borderId="10" xfId="0" applyNumberFormat="1" applyFont="1" applyFill="1" applyBorder="1" applyAlignment="1">
      <alignment horizontal="center" vertical="center"/>
    </xf>
    <xf numFmtId="49" fontId="7" fillId="0" borderId="10" xfId="0" applyNumberFormat="1" applyFont="1" applyFill="1" applyBorder="1" applyAlignment="1">
      <alignment horizontal="center" vertical="center" wrapText="1"/>
    </xf>
    <xf numFmtId="177" fontId="13" fillId="0" borderId="1" xfId="0" applyNumberFormat="1" applyFont="1" applyFill="1" applyBorder="1" applyAlignment="1">
      <alignment horizontal="center" vertical="center"/>
    </xf>
    <xf numFmtId="0" fontId="14" fillId="0" borderId="1" xfId="0" applyFont="1" applyFill="1" applyBorder="1" applyAlignment="1">
      <alignment horizontal="center" vertical="center"/>
    </xf>
    <xf numFmtId="49" fontId="2" fillId="0" borderId="1" xfId="0" applyNumberFormat="1" applyFont="1" applyFill="1" applyBorder="1" applyAlignment="1">
      <alignment horizontal="center" vertical="center" wrapText="1"/>
    </xf>
    <xf numFmtId="49" fontId="7" fillId="2" borderId="10" xfId="0" applyNumberFormat="1" applyFont="1" applyFill="1" applyBorder="1" applyAlignment="1">
      <alignment horizontal="center" vertical="center" wrapText="1"/>
    </xf>
    <xf numFmtId="0" fontId="7" fillId="14" borderId="11" xfId="0" applyFont="1" applyFill="1" applyBorder="1" applyAlignment="1">
      <alignment horizontal="center" vertical="center"/>
    </xf>
    <xf numFmtId="177" fontId="13" fillId="14" borderId="11" xfId="0" applyNumberFormat="1" applyFont="1" applyFill="1" applyBorder="1" applyAlignment="1">
      <alignment horizontal="center" vertical="center"/>
    </xf>
    <xf numFmtId="49" fontId="7" fillId="14" borderId="11" xfId="0" applyNumberFormat="1" applyFont="1" applyFill="1" applyBorder="1" applyAlignment="1">
      <alignment horizontal="center" vertical="center" wrapText="1"/>
    </xf>
    <xf numFmtId="0" fontId="2" fillId="14" borderId="11" xfId="0" applyFont="1" applyFill="1" applyBorder="1" applyAlignment="1">
      <alignment horizontal="center" vertical="center" wrapText="1"/>
    </xf>
    <xf numFmtId="14" fontId="2" fillId="4" borderId="1" xfId="0" applyNumberFormat="1" applyFont="1" applyFill="1" applyBorder="1" applyAlignment="1">
      <alignment horizontal="center" vertical="center" wrapText="1"/>
    </xf>
    <xf numFmtId="0" fontId="2" fillId="0" borderId="11" xfId="0" applyFont="1" applyBorder="1" applyAlignment="1">
      <alignment horizontal="center" vertical="center"/>
    </xf>
    <xf numFmtId="177" fontId="2" fillId="28" borderId="11" xfId="0" applyNumberFormat="1" applyFont="1" applyFill="1" applyBorder="1" applyAlignment="1">
      <alignment horizontal="center" vertical="center" wrapText="1"/>
    </xf>
    <xf numFmtId="49" fontId="2" fillId="28" borderId="11" xfId="0" applyNumberFormat="1"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0" borderId="1" xfId="0" applyFont="1" applyBorder="1" applyAlignment="1">
      <alignment horizontal="center" vertical="center"/>
    </xf>
    <xf numFmtId="177" fontId="2" fillId="28" borderId="1" xfId="0" applyNumberFormat="1" applyFont="1" applyFill="1" applyBorder="1" applyAlignment="1">
      <alignment horizontal="center" vertical="center" wrapText="1"/>
    </xf>
    <xf numFmtId="49" fontId="2"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49" fontId="7" fillId="28" borderId="1" xfId="0" applyNumberFormat="1" applyFont="1" applyFill="1" applyBorder="1" applyAlignment="1">
      <alignment horizontal="center" vertical="center" wrapText="1"/>
    </xf>
    <xf numFmtId="177" fontId="2" fillId="0" borderId="1" xfId="0" applyNumberFormat="1" applyFont="1" applyBorder="1" applyAlignment="1">
      <alignment horizontal="center" vertical="center"/>
    </xf>
    <xf numFmtId="49" fontId="2" fillId="0" borderId="1" xfId="0" applyNumberFormat="1" applyFont="1" applyBorder="1" applyAlignment="1">
      <alignment horizontal="center" vertical="center" wrapText="1"/>
    </xf>
    <xf numFmtId="0" fontId="2" fillId="29" borderId="1" xfId="0" applyFont="1" applyFill="1" applyBorder="1" applyAlignment="1">
      <alignment horizontal="center" vertical="center"/>
    </xf>
    <xf numFmtId="177" fontId="2" fillId="29" borderId="1" xfId="0" applyNumberFormat="1" applyFont="1" applyFill="1" applyBorder="1" applyAlignment="1">
      <alignment horizontal="center" vertical="center"/>
    </xf>
    <xf numFmtId="49" fontId="2" fillId="29" borderId="1" xfId="0" applyNumberFormat="1" applyFont="1" applyFill="1" applyBorder="1" applyAlignment="1">
      <alignment horizontal="center" vertical="center" wrapText="1"/>
    </xf>
    <xf numFmtId="178" fontId="2" fillId="15" borderId="10" xfId="0" applyNumberFormat="1" applyFont="1" applyFill="1" applyBorder="1" applyAlignment="1">
      <alignment horizontal="center" vertical="center" wrapText="1"/>
    </xf>
    <xf numFmtId="0" fontId="7"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7" fillId="4" borderId="2" xfId="0" applyFont="1" applyFill="1" applyBorder="1" applyAlignment="1">
      <alignment horizontal="center" vertical="center" wrapText="1"/>
    </xf>
    <xf numFmtId="0" fontId="2" fillId="4" borderId="2" xfId="0" applyFont="1" applyFill="1" applyBorder="1" applyAlignment="1">
      <alignment horizontal="center" vertical="center"/>
    </xf>
    <xf numFmtId="0" fontId="2" fillId="5" borderId="10" xfId="0" applyFont="1" applyFill="1" applyBorder="1" applyAlignment="1">
      <alignment horizontal="center" vertical="center" wrapText="1"/>
    </xf>
    <xf numFmtId="0" fontId="7" fillId="5" borderId="10" xfId="0" applyFont="1" applyFill="1" applyBorder="1" applyAlignment="1">
      <alignment horizontal="center" vertical="center" wrapText="1"/>
    </xf>
    <xf numFmtId="0" fontId="7" fillId="14" borderId="1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29" borderId="1" xfId="0" applyFont="1" applyFill="1" applyBorder="1" applyAlignment="1">
      <alignment horizontal="center" vertical="center" wrapText="1"/>
    </xf>
    <xf numFmtId="0" fontId="7" fillId="15" borderId="21" xfId="0" applyFont="1" applyFill="1" applyBorder="1" applyAlignment="1">
      <alignment horizontal="center" vertical="center"/>
    </xf>
    <xf numFmtId="178" fontId="2" fillId="6" borderId="1" xfId="0" applyNumberFormat="1" applyFont="1" applyFill="1" applyBorder="1" applyAlignment="1">
      <alignment horizontal="center" vertical="center"/>
    </xf>
    <xf numFmtId="0" fontId="7" fillId="6" borderId="10" xfId="0" applyFont="1" applyFill="1" applyBorder="1" applyAlignment="1">
      <alignment horizontal="center" vertical="center" wrapText="1"/>
    </xf>
    <xf numFmtId="178" fontId="2" fillId="6" borderId="10" xfId="0" applyNumberFormat="1" applyFont="1" applyFill="1" applyBorder="1" applyAlignment="1">
      <alignment horizontal="center" vertical="center"/>
    </xf>
    <xf numFmtId="0" fontId="7" fillId="6" borderId="11" xfId="0" applyFont="1" applyFill="1" applyBorder="1" applyAlignment="1">
      <alignment horizontal="center" vertical="center" wrapText="1"/>
    </xf>
    <xf numFmtId="178" fontId="2" fillId="6" borderId="11" xfId="0" applyNumberFormat="1" applyFont="1" applyFill="1" applyBorder="1" applyAlignment="1">
      <alignment horizontal="center" vertical="center"/>
    </xf>
    <xf numFmtId="0" fontId="7" fillId="15" borderId="11" xfId="0" applyFont="1" applyFill="1" applyBorder="1" applyAlignment="1">
      <alignment horizontal="center" vertical="center" wrapText="1"/>
    </xf>
    <xf numFmtId="178" fontId="2" fillId="15" borderId="11" xfId="0" applyNumberFormat="1" applyFont="1" applyFill="1" applyBorder="1" applyAlignment="1">
      <alignment horizontal="center" vertical="center"/>
    </xf>
    <xf numFmtId="0" fontId="13" fillId="4" borderId="1" xfId="0" applyFont="1" applyFill="1" applyBorder="1" applyAlignment="1">
      <alignment horizontal="center" vertical="center" wrapText="1"/>
    </xf>
    <xf numFmtId="178" fontId="2" fillId="4" borderId="1" xfId="0" applyNumberFormat="1" applyFont="1" applyFill="1" applyBorder="1" applyAlignment="1">
      <alignment horizontal="center" vertical="center"/>
    </xf>
    <xf numFmtId="0" fontId="13" fillId="4" borderId="2" xfId="0" applyFont="1" applyFill="1" applyBorder="1" applyAlignment="1">
      <alignment horizontal="center" vertical="center" wrapText="1"/>
    </xf>
    <xf numFmtId="178" fontId="2" fillId="4" borderId="2" xfId="0" applyNumberFormat="1" applyFont="1" applyFill="1" applyBorder="1" applyAlignment="1">
      <alignment horizontal="center" vertical="center"/>
    </xf>
    <xf numFmtId="0" fontId="13" fillId="5" borderId="1" xfId="0" applyFont="1" applyFill="1" applyBorder="1" applyAlignment="1">
      <alignment horizontal="center" vertical="center" wrapText="1"/>
    </xf>
    <xf numFmtId="178" fontId="2" fillId="5" borderId="1" xfId="0" applyNumberFormat="1" applyFont="1" applyFill="1" applyBorder="1" applyAlignment="1">
      <alignment horizontal="center" vertical="center"/>
    </xf>
    <xf numFmtId="0" fontId="13" fillId="5" borderId="2" xfId="0" applyFont="1" applyFill="1" applyBorder="1" applyAlignment="1">
      <alignment horizontal="center" vertical="center" wrapText="1"/>
    </xf>
    <xf numFmtId="178" fontId="2" fillId="5" borderId="2" xfId="0" applyNumberFormat="1" applyFont="1" applyFill="1" applyBorder="1" applyAlignment="1">
      <alignment horizontal="center" vertical="center"/>
    </xf>
    <xf numFmtId="0" fontId="13" fillId="5" borderId="10" xfId="0" applyFont="1" applyFill="1" applyBorder="1" applyAlignment="1">
      <alignment horizontal="center" vertical="center" wrapText="1"/>
    </xf>
    <xf numFmtId="178" fontId="2" fillId="5" borderId="10" xfId="0" applyNumberFormat="1" applyFont="1" applyFill="1" applyBorder="1" applyAlignment="1">
      <alignment horizontal="center" vertical="center"/>
    </xf>
    <xf numFmtId="0" fontId="13" fillId="0" borderId="2" xfId="0" applyFont="1" applyFill="1" applyBorder="1" applyAlignment="1">
      <alignment horizontal="center" vertical="center" wrapText="1"/>
    </xf>
    <xf numFmtId="0" fontId="2" fillId="0" borderId="2" xfId="0" applyFont="1" applyFill="1" applyBorder="1" applyAlignment="1">
      <alignment horizontal="center" vertical="center" wrapText="1"/>
    </xf>
    <xf numFmtId="178" fontId="2" fillId="0" borderId="2" xfId="0" applyNumberFormat="1" applyFont="1" applyFill="1" applyBorder="1" applyAlignment="1">
      <alignment horizontal="center" vertical="center"/>
    </xf>
    <xf numFmtId="0" fontId="7" fillId="0" borderId="24" xfId="0" applyFont="1" applyFill="1" applyBorder="1" applyAlignment="1">
      <alignment horizontal="center" vertical="center" wrapText="1"/>
    </xf>
    <xf numFmtId="0" fontId="13" fillId="0" borderId="10" xfId="0" applyFont="1" applyFill="1" applyBorder="1" applyAlignment="1">
      <alignment horizontal="center" vertical="center" wrapText="1"/>
    </xf>
    <xf numFmtId="178" fontId="2" fillId="0" borderId="10" xfId="0" applyNumberFormat="1" applyFont="1" applyFill="1" applyBorder="1" applyAlignment="1">
      <alignment horizontal="center" vertical="center"/>
    </xf>
    <xf numFmtId="0" fontId="7" fillId="0" borderId="25"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3" fillId="14" borderId="11" xfId="0" applyFont="1" applyFill="1" applyBorder="1" applyAlignment="1">
      <alignment horizontal="center" vertical="center" wrapText="1"/>
    </xf>
    <xf numFmtId="178" fontId="2" fillId="14" borderId="11" xfId="0" applyNumberFormat="1" applyFont="1" applyFill="1" applyBorder="1" applyAlignment="1">
      <alignment horizontal="center" vertical="center"/>
    </xf>
    <xf numFmtId="178" fontId="2" fillId="4" borderId="1" xfId="0" applyNumberFormat="1" applyFont="1" applyFill="1" applyBorder="1" applyAlignment="1">
      <alignment horizontal="center" vertical="center" wrapText="1"/>
    </xf>
    <xf numFmtId="0" fontId="2" fillId="4" borderId="1" xfId="0" applyFont="1" applyFill="1" applyBorder="1" applyAlignment="1">
      <alignment horizontal="left" vertical="center" wrapText="1"/>
    </xf>
    <xf numFmtId="176" fontId="2" fillId="4" borderId="1" xfId="0" applyNumberFormat="1" applyFont="1" applyFill="1" applyBorder="1" applyAlignment="1">
      <alignment horizontal="center" vertical="center"/>
    </xf>
    <xf numFmtId="178" fontId="2" fillId="4" borderId="2" xfId="0" applyNumberFormat="1" applyFont="1" applyFill="1" applyBorder="1" applyAlignment="1">
      <alignment horizontal="center" vertical="center" wrapText="1"/>
    </xf>
    <xf numFmtId="0" fontId="2" fillId="4" borderId="2" xfId="0" applyFont="1" applyFill="1" applyBorder="1" applyAlignment="1">
      <alignment horizontal="left" vertical="center" wrapText="1"/>
    </xf>
    <xf numFmtId="176" fontId="2" fillId="4" borderId="2" xfId="0" applyNumberFormat="1" applyFont="1" applyFill="1" applyBorder="1" applyAlignment="1">
      <alignment horizontal="center" vertical="center"/>
    </xf>
    <xf numFmtId="0" fontId="2" fillId="28" borderId="11" xfId="0" applyFont="1" applyFill="1" applyBorder="1" applyAlignment="1">
      <alignment horizontal="center" vertical="center"/>
    </xf>
    <xf numFmtId="0" fontId="2" fillId="0" borderId="11" xfId="0" applyFont="1" applyBorder="1" applyAlignment="1">
      <alignment horizontal="center" vertical="center" wrapText="1"/>
    </xf>
    <xf numFmtId="178" fontId="2" fillId="0" borderId="11" xfId="0" applyNumberFormat="1" applyFont="1" applyBorder="1" applyAlignment="1">
      <alignment horizontal="center" vertical="center"/>
    </xf>
    <xf numFmtId="0" fontId="2" fillId="28" borderId="1" xfId="0" applyFont="1" applyFill="1" applyBorder="1" applyAlignment="1">
      <alignment horizontal="center" vertical="center"/>
    </xf>
    <xf numFmtId="178" fontId="2" fillId="0" borderId="1" xfId="0" applyNumberFormat="1" applyFont="1" applyBorder="1" applyAlignment="1">
      <alignment horizontal="center" vertical="center"/>
    </xf>
    <xf numFmtId="178" fontId="2" fillId="29" borderId="1" xfId="0" applyNumberFormat="1" applyFont="1" applyFill="1" applyBorder="1" applyAlignment="1">
      <alignment horizontal="center" vertical="center"/>
    </xf>
    <xf numFmtId="0" fontId="2" fillId="0" borderId="2" xfId="0" applyFont="1" applyFill="1" applyBorder="1" applyAlignment="1">
      <alignment horizontal="center" vertical="center"/>
    </xf>
    <xf numFmtId="0" fontId="7" fillId="6" borderId="2" xfId="0" applyFont="1" applyFill="1" applyBorder="1" applyAlignment="1">
      <alignment horizontal="center" vertical="center" wrapText="1"/>
    </xf>
    <xf numFmtId="0" fontId="7" fillId="6" borderId="11" xfId="0" applyFont="1" applyFill="1" applyBorder="1" applyAlignment="1">
      <alignment horizontal="left" vertical="center" wrapText="1"/>
    </xf>
    <xf numFmtId="0" fontId="2" fillId="6" borderId="19" xfId="0" applyFont="1" applyFill="1" applyBorder="1" applyAlignment="1">
      <alignment horizontal="center" vertical="center"/>
    </xf>
    <xf numFmtId="0" fontId="7" fillId="6" borderId="4" xfId="0" applyFont="1" applyFill="1" applyBorder="1" applyAlignment="1">
      <alignment horizontal="left" vertical="center" wrapText="1"/>
    </xf>
    <xf numFmtId="2" fontId="2" fillId="6" borderId="4" xfId="0" applyNumberFormat="1" applyFont="1" applyFill="1" applyBorder="1" applyAlignment="1">
      <alignment horizontal="center" vertical="center"/>
    </xf>
    <xf numFmtId="0" fontId="2" fillId="4" borderId="19" xfId="0" applyFont="1" applyFill="1" applyBorder="1" applyAlignment="1">
      <alignment horizontal="center" vertical="center"/>
    </xf>
    <xf numFmtId="0" fontId="13" fillId="4" borderId="4" xfId="0" applyFont="1" applyFill="1" applyBorder="1" applyAlignment="1">
      <alignment horizontal="left" vertical="center" wrapText="1"/>
    </xf>
    <xf numFmtId="10" fontId="13" fillId="4" borderId="4" xfId="0" applyNumberFormat="1" applyFont="1" applyFill="1" applyBorder="1" applyAlignment="1" applyProtection="1">
      <alignment horizontal="center" vertical="center" wrapText="1"/>
    </xf>
    <xf numFmtId="2" fontId="2" fillId="4" borderId="4" xfId="0" applyNumberFormat="1" applyFont="1" applyFill="1" applyBorder="1" applyAlignment="1">
      <alignment horizontal="center" vertical="center"/>
    </xf>
    <xf numFmtId="0" fontId="2" fillId="4" borderId="21" xfId="0" applyFont="1" applyFill="1" applyBorder="1" applyAlignment="1">
      <alignment horizontal="center" vertical="center"/>
    </xf>
    <xf numFmtId="0" fontId="13" fillId="4" borderId="3" xfId="0" applyFont="1" applyFill="1" applyBorder="1" applyAlignment="1">
      <alignment horizontal="left" vertical="center" wrapText="1"/>
    </xf>
    <xf numFmtId="10" fontId="13" fillId="4" borderId="3" xfId="0" applyNumberFormat="1" applyFont="1" applyFill="1" applyBorder="1" applyAlignment="1" applyProtection="1">
      <alignment horizontal="center" vertical="center" wrapText="1"/>
    </xf>
    <xf numFmtId="2" fontId="2" fillId="4" borderId="3"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7" fillId="5" borderId="1" xfId="0" applyFont="1" applyFill="1" applyBorder="1" applyAlignment="1">
      <alignment horizontal="left" vertical="center" wrapText="1"/>
    </xf>
    <xf numFmtId="10" fontId="13" fillId="5" borderId="1" xfId="0" applyNumberFormat="1" applyFont="1" applyFill="1" applyBorder="1" applyAlignment="1" applyProtection="1">
      <alignment horizontal="center" vertical="center" wrapText="1"/>
    </xf>
    <xf numFmtId="2" fontId="2" fillId="5" borderId="1" xfId="0" applyNumberFormat="1" applyFont="1" applyFill="1" applyBorder="1" applyAlignment="1">
      <alignment horizontal="center" vertical="center"/>
    </xf>
    <xf numFmtId="0" fontId="7" fillId="5" borderId="1" xfId="0" applyFont="1" applyFill="1" applyBorder="1" applyAlignment="1">
      <alignment horizontal="center" vertical="center"/>
    </xf>
    <xf numFmtId="0" fontId="2" fillId="5" borderId="19" xfId="0" applyFont="1" applyFill="1" applyBorder="1" applyAlignment="1">
      <alignment horizontal="center" vertical="center"/>
    </xf>
    <xf numFmtId="0" fontId="7" fillId="5" borderId="4" xfId="0" applyFont="1" applyFill="1" applyBorder="1" applyAlignment="1">
      <alignment horizontal="left" vertical="center" wrapText="1"/>
    </xf>
    <xf numFmtId="10" fontId="13" fillId="5" borderId="4" xfId="0" applyNumberFormat="1" applyFont="1" applyFill="1" applyBorder="1" applyAlignment="1" applyProtection="1">
      <alignment horizontal="center" vertical="center" wrapText="1"/>
    </xf>
    <xf numFmtId="2" fontId="2" fillId="5" borderId="4" xfId="0" applyNumberFormat="1" applyFont="1" applyFill="1" applyBorder="1" applyAlignment="1">
      <alignment horizontal="center" vertical="center"/>
    </xf>
    <xf numFmtId="0" fontId="2" fillId="5" borderId="21" xfId="0" applyFont="1" applyFill="1" applyBorder="1" applyAlignment="1">
      <alignment horizontal="center" vertical="center"/>
    </xf>
    <xf numFmtId="0" fontId="7" fillId="5" borderId="3" xfId="0" applyFont="1" applyFill="1" applyBorder="1" applyAlignment="1">
      <alignment horizontal="left" vertical="center" wrapText="1"/>
    </xf>
    <xf numFmtId="10" fontId="13" fillId="5" borderId="3" xfId="0" applyNumberFormat="1" applyFont="1" applyFill="1" applyBorder="1" applyAlignment="1" applyProtection="1">
      <alignment horizontal="center" vertical="center" wrapText="1"/>
    </xf>
    <xf numFmtId="2" fontId="2" fillId="5" borderId="3" xfId="0" applyNumberFormat="1" applyFont="1" applyFill="1" applyBorder="1" applyAlignment="1">
      <alignment horizontal="center" vertical="center"/>
    </xf>
    <xf numFmtId="0" fontId="7" fillId="0" borderId="23" xfId="0" applyFont="1" applyFill="1" applyBorder="1" applyAlignment="1">
      <alignment horizontal="center" vertical="center" wrapText="1"/>
    </xf>
    <xf numFmtId="10" fontId="13" fillId="0" borderId="23" xfId="0" applyNumberFormat="1" applyFont="1" applyFill="1" applyBorder="1" applyAlignment="1" applyProtection="1">
      <alignment horizontal="center" vertical="center" wrapText="1"/>
    </xf>
    <xf numFmtId="2" fontId="2" fillId="0" borderId="23" xfId="0" applyNumberFormat="1" applyFont="1" applyFill="1" applyBorder="1" applyAlignment="1">
      <alignment horizontal="center" vertical="center"/>
    </xf>
    <xf numFmtId="0" fontId="7" fillId="0" borderId="19" xfId="0" applyFont="1" applyFill="1" applyBorder="1" applyAlignment="1">
      <alignment horizontal="center" vertical="center" wrapText="1"/>
    </xf>
    <xf numFmtId="10" fontId="13" fillId="0" borderId="19" xfId="0" applyNumberFormat="1" applyFont="1" applyFill="1" applyBorder="1" applyAlignment="1" applyProtection="1">
      <alignment horizontal="center" vertical="center" wrapText="1"/>
    </xf>
    <xf numFmtId="2" fontId="2" fillId="0" borderId="19" xfId="0" applyNumberFormat="1" applyFont="1" applyFill="1" applyBorder="1" applyAlignment="1">
      <alignment horizontal="center" vertical="center"/>
    </xf>
    <xf numFmtId="10" fontId="13" fillId="0" borderId="4" xfId="0" applyNumberFormat="1" applyFont="1" applyFill="1" applyBorder="1" applyAlignment="1" applyProtection="1">
      <alignment horizontal="center" vertical="center" wrapText="1"/>
    </xf>
    <xf numFmtId="2" fontId="2" fillId="0" borderId="8" xfId="0" applyNumberFormat="1" applyFont="1" applyFill="1" applyBorder="1" applyAlignment="1">
      <alignment horizontal="center" vertical="center"/>
    </xf>
    <xf numFmtId="2" fontId="2" fillId="0" borderId="4" xfId="0" applyNumberFormat="1" applyFont="1" applyFill="1" applyBorder="1" applyAlignment="1">
      <alignment horizontal="center" vertical="center"/>
    </xf>
    <xf numFmtId="0" fontId="7" fillId="2" borderId="4" xfId="0" applyFont="1" applyFill="1" applyBorder="1" applyAlignment="1">
      <alignment horizontal="left" vertical="center" wrapText="1"/>
    </xf>
    <xf numFmtId="2" fontId="2" fillId="2" borderId="4" xfId="0" applyNumberFormat="1" applyFont="1" applyFill="1" applyBorder="1" applyAlignment="1">
      <alignment horizontal="center" vertical="center"/>
    </xf>
    <xf numFmtId="0" fontId="7" fillId="2" borderId="7" xfId="0" applyFont="1" applyFill="1" applyBorder="1" applyAlignment="1">
      <alignment horizontal="center" vertical="center" wrapText="1"/>
    </xf>
    <xf numFmtId="2" fontId="2" fillId="2" borderId="21" xfId="0" applyNumberFormat="1" applyFont="1" applyFill="1" applyBorder="1" applyAlignment="1">
      <alignment horizontal="center" vertical="center"/>
    </xf>
    <xf numFmtId="0" fontId="7" fillId="2" borderId="8" xfId="0" applyFont="1" applyFill="1" applyBorder="1" applyAlignment="1">
      <alignment horizontal="center" vertical="center" wrapText="1"/>
    </xf>
    <xf numFmtId="10" fontId="13" fillId="2" borderId="8" xfId="0" applyNumberFormat="1" applyFont="1" applyFill="1" applyBorder="1" applyAlignment="1" applyProtection="1">
      <alignment horizontal="center" vertical="center" wrapText="1"/>
    </xf>
    <xf numFmtId="0" fontId="1" fillId="2" borderId="1" xfId="0" applyFont="1" applyFill="1" applyBorder="1" applyAlignment="1">
      <alignment horizontal="center" vertical="center"/>
    </xf>
    <xf numFmtId="0" fontId="2" fillId="14" borderId="19" xfId="0" applyFont="1" applyFill="1" applyBorder="1" applyAlignment="1">
      <alignment horizontal="center" vertical="center"/>
    </xf>
    <xf numFmtId="0" fontId="7" fillId="14" borderId="4" xfId="0" applyFont="1" applyFill="1" applyBorder="1" applyAlignment="1">
      <alignment horizontal="left" vertical="center" wrapText="1"/>
    </xf>
    <xf numFmtId="10" fontId="13" fillId="14" borderId="4" xfId="0" applyNumberFormat="1" applyFont="1" applyFill="1" applyBorder="1" applyAlignment="1" applyProtection="1">
      <alignment horizontal="center" vertical="center" wrapText="1"/>
    </xf>
    <xf numFmtId="2" fontId="2" fillId="14" borderId="4" xfId="0" applyNumberFormat="1" applyFont="1" applyFill="1" applyBorder="1" applyAlignment="1">
      <alignment horizontal="center" vertical="center"/>
    </xf>
    <xf numFmtId="10" fontId="14" fillId="4" borderId="4" xfId="0" applyNumberFormat="1" applyFont="1" applyFill="1" applyBorder="1" applyAlignment="1">
      <alignment horizontal="center" vertical="center" wrapText="1"/>
    </xf>
    <xf numFmtId="0" fontId="2" fillId="4" borderId="4" xfId="0" applyFont="1" applyFill="1" applyBorder="1" applyAlignment="1">
      <alignment horizontal="center" vertical="center"/>
    </xf>
    <xf numFmtId="0" fontId="2" fillId="4" borderId="18" xfId="0" applyFont="1" applyFill="1" applyBorder="1" applyAlignment="1">
      <alignment horizontal="center" vertical="center"/>
    </xf>
    <xf numFmtId="0" fontId="13" fillId="4" borderId="6" xfId="0" applyFont="1" applyFill="1" applyBorder="1" applyAlignment="1">
      <alignment horizontal="center" vertical="center" wrapText="1"/>
    </xf>
    <xf numFmtId="10" fontId="14" fillId="4" borderId="6" xfId="0" applyNumberFormat="1" applyFont="1" applyFill="1" applyBorder="1" applyAlignment="1">
      <alignment horizontal="center" vertical="center" wrapText="1"/>
    </xf>
    <xf numFmtId="0" fontId="2" fillId="4" borderId="6" xfId="0" applyFont="1" applyFill="1" applyBorder="1" applyAlignment="1">
      <alignment horizontal="center" vertical="center"/>
    </xf>
    <xf numFmtId="0" fontId="13" fillId="4" borderId="3" xfId="0" applyFont="1" applyFill="1" applyBorder="1" applyAlignment="1">
      <alignment horizontal="center" vertical="center" wrapText="1"/>
    </xf>
    <xf numFmtId="10" fontId="14" fillId="4" borderId="3" xfId="0" applyNumberFormat="1" applyFont="1" applyFill="1" applyBorder="1" applyAlignment="1">
      <alignment horizontal="center" vertical="center" wrapText="1"/>
    </xf>
    <xf numFmtId="0" fontId="2" fillId="4" borderId="3" xfId="0" applyFont="1" applyFill="1" applyBorder="1" applyAlignment="1">
      <alignment horizontal="center" vertical="center"/>
    </xf>
    <xf numFmtId="0" fontId="13" fillId="4" borderId="1" xfId="0" applyFont="1" applyFill="1" applyBorder="1" applyAlignment="1">
      <alignment horizontal="left" vertical="center" wrapText="1"/>
    </xf>
    <xf numFmtId="10" fontId="14" fillId="4" borderId="1" xfId="0" applyNumberFormat="1" applyFont="1" applyFill="1" applyBorder="1" applyAlignment="1">
      <alignment horizontal="center" vertical="center" wrapText="1"/>
    </xf>
    <xf numFmtId="0" fontId="2" fillId="0" borderId="11" xfId="0" applyFont="1" applyBorder="1" applyAlignment="1">
      <alignment vertical="center" wrapText="1"/>
    </xf>
    <xf numFmtId="9" fontId="2" fillId="0" borderId="11" xfId="0" applyNumberFormat="1" applyFont="1" applyBorder="1" applyAlignment="1">
      <alignment horizontal="center" vertical="center"/>
    </xf>
    <xf numFmtId="0" fontId="2" fillId="0" borderId="1" xfId="0" applyFont="1" applyBorder="1" applyAlignment="1">
      <alignment vertical="center" wrapText="1"/>
    </xf>
    <xf numFmtId="9" fontId="2" fillId="0" borderId="1" xfId="0" applyNumberFormat="1" applyFont="1" applyBorder="1" applyAlignment="1">
      <alignment horizontal="center" vertical="center"/>
    </xf>
    <xf numFmtId="9" fontId="2" fillId="0" borderId="1" xfId="0" applyNumberFormat="1" applyFont="1" applyFill="1" applyBorder="1" applyAlignment="1" applyProtection="1">
      <alignment horizontal="center" vertical="center"/>
    </xf>
    <xf numFmtId="9" fontId="2" fillId="0" borderId="1" xfId="0" applyNumberFormat="1" applyFont="1" applyBorder="1" applyAlignment="1">
      <alignment horizontal="center" vertical="center" wrapText="1"/>
    </xf>
    <xf numFmtId="178" fontId="2" fillId="0" borderId="1" xfId="0" applyNumberFormat="1" applyFont="1" applyBorder="1" applyAlignment="1">
      <alignment horizontal="center" vertical="center" wrapText="1"/>
    </xf>
    <xf numFmtId="0" fontId="2" fillId="29" borderId="1" xfId="0" applyFont="1" applyFill="1" applyBorder="1" applyAlignment="1">
      <alignment vertical="center" wrapText="1"/>
    </xf>
    <xf numFmtId="9" fontId="2" fillId="29"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9" fontId="2" fillId="0" borderId="2" xfId="0" applyNumberFormat="1" applyFont="1" applyBorder="1" applyAlignment="1">
      <alignment horizontal="center" vertical="center" wrapText="1"/>
    </xf>
    <xf numFmtId="178" fontId="2" fillId="0" borderId="2" xfId="0" applyNumberFormat="1" applyFont="1" applyBorder="1" applyAlignment="1">
      <alignment horizontal="center" vertical="center"/>
    </xf>
    <xf numFmtId="176" fontId="7" fillId="6" borderId="2" xfId="0" applyNumberFormat="1" applyFont="1" applyFill="1" applyBorder="1" applyAlignment="1">
      <alignment horizontal="center" vertical="center"/>
    </xf>
    <xf numFmtId="0" fontId="7" fillId="6" borderId="2" xfId="0" applyFont="1" applyFill="1" applyBorder="1" applyAlignment="1">
      <alignment horizontal="center" vertical="center"/>
    </xf>
    <xf numFmtId="177" fontId="7" fillId="6" borderId="2" xfId="0" applyNumberFormat="1" applyFont="1" applyFill="1" applyBorder="1" applyAlignment="1">
      <alignment horizontal="center" vertical="center"/>
    </xf>
    <xf numFmtId="176" fontId="7" fillId="6" borderId="11" xfId="0" applyNumberFormat="1" applyFont="1" applyFill="1" applyBorder="1" applyAlignment="1">
      <alignment horizontal="center" vertical="center"/>
    </xf>
    <xf numFmtId="0" fontId="7" fillId="6" borderId="11" xfId="0" applyFont="1" applyFill="1" applyBorder="1" applyAlignment="1">
      <alignment horizontal="center" vertical="center"/>
    </xf>
    <xf numFmtId="177" fontId="7" fillId="6" borderId="11" xfId="0" applyNumberFormat="1" applyFont="1" applyFill="1" applyBorder="1" applyAlignment="1">
      <alignment horizontal="center" vertical="center"/>
    </xf>
    <xf numFmtId="176" fontId="7" fillId="6" borderId="4" xfId="0" applyNumberFormat="1" applyFont="1" applyFill="1" applyBorder="1" applyAlignment="1">
      <alignment horizontal="center" vertical="center"/>
    </xf>
    <xf numFmtId="177" fontId="7" fillId="6" borderId="4" xfId="0" applyNumberFormat="1" applyFont="1" applyFill="1" applyBorder="1" applyAlignment="1">
      <alignment horizontal="center" vertical="center"/>
    </xf>
    <xf numFmtId="2" fontId="7" fillId="6" borderId="4" xfId="0" applyNumberFormat="1" applyFont="1" applyFill="1" applyBorder="1" applyAlignment="1">
      <alignment horizontal="center" vertical="center"/>
    </xf>
    <xf numFmtId="0" fontId="7" fillId="6" borderId="4" xfId="0" applyFont="1" applyFill="1" applyBorder="1" applyAlignment="1">
      <alignment horizontal="center" vertical="center"/>
    </xf>
    <xf numFmtId="176" fontId="2" fillId="6" borderId="4" xfId="0" applyNumberFormat="1" applyFont="1" applyFill="1" applyBorder="1" applyAlignment="1">
      <alignment horizontal="center" vertical="center"/>
    </xf>
    <xf numFmtId="177" fontId="7" fillId="15" borderId="8" xfId="0" applyNumberFormat="1" applyFont="1" applyFill="1" applyBorder="1" applyAlignment="1">
      <alignment horizontal="center" vertical="center"/>
    </xf>
    <xf numFmtId="14" fontId="2" fillId="15" borderId="11" xfId="0" applyNumberFormat="1" applyFont="1" applyFill="1" applyBorder="1" applyAlignment="1">
      <alignment horizontal="center" vertical="center"/>
    </xf>
    <xf numFmtId="176" fontId="2" fillId="15" borderId="11" xfId="0" applyNumberFormat="1" applyFont="1" applyFill="1" applyBorder="1" applyAlignment="1">
      <alignment horizontal="center" vertical="center"/>
    </xf>
    <xf numFmtId="176" fontId="16" fillId="15" borderId="4" xfId="0" applyNumberFormat="1" applyFont="1" applyFill="1" applyBorder="1" applyAlignment="1">
      <alignment horizontal="center" vertical="center"/>
    </xf>
    <xf numFmtId="176" fontId="2" fillId="4" borderId="4" xfId="0" applyNumberFormat="1" applyFont="1" applyFill="1" applyBorder="1" applyAlignment="1">
      <alignment horizontal="center" vertical="center"/>
    </xf>
    <xf numFmtId="0" fontId="7" fillId="4" borderId="4" xfId="0" applyFont="1" applyFill="1" applyBorder="1" applyAlignment="1">
      <alignment horizontal="center" vertical="center"/>
    </xf>
    <xf numFmtId="177" fontId="7" fillId="4" borderId="4" xfId="0" applyNumberFormat="1" applyFont="1" applyFill="1" applyBorder="1" applyAlignment="1">
      <alignment horizontal="center" vertical="center"/>
    </xf>
    <xf numFmtId="176" fontId="2" fillId="4" borderId="3" xfId="0" applyNumberFormat="1" applyFont="1" applyFill="1" applyBorder="1" applyAlignment="1">
      <alignment horizontal="center" vertical="center"/>
    </xf>
    <xf numFmtId="0" fontId="7" fillId="4" borderId="3" xfId="0" applyFont="1" applyFill="1" applyBorder="1" applyAlignment="1">
      <alignment horizontal="center" vertical="center"/>
    </xf>
    <xf numFmtId="177" fontId="7" fillId="4" borderId="3" xfId="0" applyNumberFormat="1" applyFont="1" applyFill="1" applyBorder="1" applyAlignment="1">
      <alignment horizontal="center" vertical="center"/>
    </xf>
    <xf numFmtId="176" fontId="7" fillId="5" borderId="1" xfId="0" applyNumberFormat="1" applyFont="1" applyFill="1" applyBorder="1" applyAlignment="1">
      <alignment horizontal="center" vertical="center"/>
    </xf>
    <xf numFmtId="177" fontId="7" fillId="5" borderId="1" xfId="0" applyNumberFormat="1" applyFont="1" applyFill="1" applyBorder="1" applyAlignment="1">
      <alignment horizontal="center" vertical="center"/>
    </xf>
    <xf numFmtId="176" fontId="11" fillId="5" borderId="1" xfId="0" applyNumberFormat="1" applyFont="1" applyFill="1" applyBorder="1" applyAlignment="1">
      <alignment horizontal="center" vertical="center"/>
    </xf>
    <xf numFmtId="0" fontId="11" fillId="5" borderId="1" xfId="0" applyFont="1" applyFill="1" applyBorder="1" applyAlignment="1">
      <alignment horizontal="center" vertical="center"/>
    </xf>
    <xf numFmtId="177" fontId="11" fillId="5" borderId="1" xfId="0" applyNumberFormat="1" applyFont="1" applyFill="1" applyBorder="1" applyAlignment="1">
      <alignment horizontal="center" vertical="center"/>
    </xf>
    <xf numFmtId="176" fontId="7" fillId="5" borderId="4" xfId="0" applyNumberFormat="1" applyFont="1" applyFill="1" applyBorder="1" applyAlignment="1">
      <alignment horizontal="center" vertical="center"/>
    </xf>
    <xf numFmtId="0" fontId="7" fillId="5" borderId="4" xfId="0" applyFont="1" applyFill="1" applyBorder="1" applyAlignment="1">
      <alignment horizontal="center" vertical="center"/>
    </xf>
    <xf numFmtId="177" fontId="7" fillId="5" borderId="4" xfId="0" applyNumberFormat="1" applyFont="1" applyFill="1" applyBorder="1" applyAlignment="1">
      <alignment horizontal="center" vertical="center"/>
    </xf>
    <xf numFmtId="176" fontId="7" fillId="5" borderId="3" xfId="0" applyNumberFormat="1" applyFont="1" applyFill="1" applyBorder="1" applyAlignment="1">
      <alignment horizontal="center" vertical="center"/>
    </xf>
    <xf numFmtId="0" fontId="7" fillId="5" borderId="3" xfId="0" applyFont="1" applyFill="1" applyBorder="1" applyAlignment="1">
      <alignment horizontal="center" vertical="center"/>
    </xf>
    <xf numFmtId="177" fontId="7" fillId="5" borderId="3" xfId="0" applyNumberFormat="1" applyFont="1" applyFill="1" applyBorder="1" applyAlignment="1">
      <alignment horizontal="center" vertical="center"/>
    </xf>
    <xf numFmtId="2" fontId="8" fillId="0" borderId="23" xfId="0" applyNumberFormat="1" applyFont="1" applyFill="1" applyBorder="1" applyAlignment="1">
      <alignment horizontal="center" vertical="center"/>
    </xf>
    <xf numFmtId="0" fontId="8" fillId="0" borderId="23" xfId="0" applyFont="1" applyFill="1" applyBorder="1" applyAlignment="1">
      <alignment horizontal="center" vertical="center"/>
    </xf>
    <xf numFmtId="177" fontId="8" fillId="0" borderId="23" xfId="0" applyNumberFormat="1" applyFont="1" applyFill="1" applyBorder="1" applyAlignment="1">
      <alignment horizontal="center" vertical="center"/>
    </xf>
    <xf numFmtId="0" fontId="7" fillId="0" borderId="23" xfId="0" applyFont="1" applyFill="1" applyBorder="1" applyAlignment="1">
      <alignment horizontal="center" vertical="center"/>
    </xf>
    <xf numFmtId="2" fontId="8" fillId="0" borderId="21" xfId="0" applyNumberFormat="1" applyFont="1" applyFill="1" applyBorder="1" applyAlignment="1">
      <alignment horizontal="center" vertical="center"/>
    </xf>
    <xf numFmtId="0" fontId="8" fillId="0" borderId="21" xfId="0" applyFont="1" applyFill="1" applyBorder="1" applyAlignment="1">
      <alignment horizontal="center" vertical="center"/>
    </xf>
    <xf numFmtId="177" fontId="8" fillId="0" borderId="21" xfId="0" applyNumberFormat="1" applyFont="1" applyFill="1" applyBorder="1" applyAlignment="1">
      <alignment horizontal="center" vertical="center"/>
    </xf>
    <xf numFmtId="0" fontId="7" fillId="0" borderId="21" xfId="0" applyFont="1" applyFill="1" applyBorder="1" applyAlignment="1">
      <alignment horizontal="center" vertical="center"/>
    </xf>
    <xf numFmtId="2" fontId="7" fillId="0" borderId="1" xfId="0" applyNumberFormat="1" applyFont="1" applyFill="1" applyBorder="1" applyAlignment="1">
      <alignment horizontal="center" vertical="center"/>
    </xf>
    <xf numFmtId="177" fontId="11" fillId="0" borderId="4" xfId="0" applyNumberFormat="1" applyFont="1" applyFill="1" applyBorder="1" applyAlignment="1">
      <alignment horizontal="center" vertical="center"/>
    </xf>
    <xf numFmtId="2" fontId="2" fillId="2" borderId="3" xfId="0" applyNumberFormat="1" applyFont="1" applyFill="1" applyBorder="1" applyAlignment="1">
      <alignment horizontal="center" vertical="center"/>
    </xf>
    <xf numFmtId="0" fontId="3" fillId="2" borderId="1" xfId="0" applyFont="1" applyFill="1" applyBorder="1" applyAlignment="1">
      <alignment horizontal="center" vertical="center"/>
    </xf>
    <xf numFmtId="176" fontId="7" fillId="14" borderId="4" xfId="0" applyNumberFormat="1" applyFont="1" applyFill="1" applyBorder="1" applyAlignment="1">
      <alignment horizontal="center" vertical="center"/>
    </xf>
    <xf numFmtId="0" fontId="7" fillId="14" borderId="4" xfId="0" applyFont="1" applyFill="1" applyBorder="1" applyAlignment="1">
      <alignment horizontal="center" vertical="center"/>
    </xf>
    <xf numFmtId="177" fontId="7" fillId="14" borderId="4" xfId="0" applyNumberFormat="1" applyFont="1" applyFill="1" applyBorder="1" applyAlignment="1">
      <alignment horizontal="center" vertical="center"/>
    </xf>
    <xf numFmtId="0" fontId="7" fillId="4" borderId="4" xfId="0" applyFont="1" applyFill="1" applyBorder="1" applyAlignment="1">
      <alignment horizontal="center" vertical="center" wrapText="1"/>
    </xf>
    <xf numFmtId="177" fontId="7" fillId="4" borderId="4" xfId="0" applyNumberFormat="1" applyFont="1" applyFill="1" applyBorder="1" applyAlignment="1">
      <alignment horizontal="center" vertical="center" wrapText="1"/>
    </xf>
    <xf numFmtId="176" fontId="2" fillId="4" borderId="6" xfId="0" applyNumberFormat="1" applyFont="1" applyFill="1" applyBorder="1" applyAlignment="1">
      <alignment horizontal="center" vertical="center"/>
    </xf>
    <xf numFmtId="0" fontId="7" fillId="4" borderId="3" xfId="0" applyFont="1" applyFill="1" applyBorder="1" applyAlignment="1">
      <alignment horizontal="center" vertical="center" wrapText="1"/>
    </xf>
    <xf numFmtId="177" fontId="7" fillId="4" borderId="6" xfId="0" applyNumberFormat="1" applyFont="1" applyFill="1" applyBorder="1" applyAlignment="1">
      <alignment horizontal="center" vertical="center" wrapText="1"/>
    </xf>
    <xf numFmtId="0" fontId="7" fillId="4" borderId="6" xfId="0" applyFont="1" applyFill="1" applyBorder="1" applyAlignment="1">
      <alignment horizontal="center" vertical="center"/>
    </xf>
    <xf numFmtId="177" fontId="7" fillId="4" borderId="3" xfId="0" applyNumberFormat="1" applyFont="1" applyFill="1" applyBorder="1" applyAlignment="1">
      <alignment horizontal="center" vertical="center" wrapText="1"/>
    </xf>
    <xf numFmtId="177" fontId="7" fillId="4" borderId="26" xfId="0" applyNumberFormat="1" applyFont="1" applyFill="1" applyBorder="1" applyAlignment="1">
      <alignment horizontal="center" vertical="center" wrapText="1"/>
    </xf>
    <xf numFmtId="0" fontId="7" fillId="4" borderId="1" xfId="0" applyFont="1" applyFill="1" applyBorder="1" applyAlignment="1">
      <alignment horizontal="center" vertical="center"/>
    </xf>
    <xf numFmtId="177" fontId="7" fillId="0" borderId="27" xfId="0" applyNumberFormat="1" applyFont="1" applyFill="1" applyBorder="1" applyAlignment="1">
      <alignment horizontal="center" vertical="center" wrapText="1"/>
    </xf>
    <xf numFmtId="177" fontId="7" fillId="0" borderId="28" xfId="0" applyNumberFormat="1" applyFont="1" applyFill="1" applyBorder="1" applyAlignment="1">
      <alignment horizontal="center" vertical="center" wrapText="1"/>
    </xf>
    <xf numFmtId="14" fontId="2" fillId="0" borderId="1" xfId="0" applyNumberFormat="1" applyFont="1" applyBorder="1" applyAlignment="1">
      <alignment horizontal="center" vertical="center" wrapText="1"/>
    </xf>
    <xf numFmtId="177" fontId="2" fillId="0" borderId="1" xfId="0" applyNumberFormat="1" applyFont="1" applyBorder="1" applyAlignment="1">
      <alignment horizontal="center" vertical="center" wrapText="1"/>
    </xf>
    <xf numFmtId="178" fontId="7" fillId="0" borderId="1" xfId="0" applyNumberFormat="1" applyFont="1" applyFill="1" applyBorder="1" applyAlignment="1">
      <alignment horizontal="center" vertical="center"/>
    </xf>
    <xf numFmtId="177" fontId="3" fillId="0" borderId="1" xfId="0" applyNumberFormat="1" applyFont="1" applyFill="1" applyBorder="1" applyAlignment="1">
      <alignment horizontal="center" vertical="center"/>
    </xf>
    <xf numFmtId="178" fontId="7" fillId="0" borderId="1" xfId="0" applyNumberFormat="1" applyFont="1" applyBorder="1" applyAlignment="1">
      <alignment horizontal="center" vertical="center"/>
    </xf>
    <xf numFmtId="14" fontId="7" fillId="15" borderId="8" xfId="0" applyNumberFormat="1" applyFont="1" applyFill="1" applyBorder="1" applyAlignment="1">
      <alignment horizontal="center" vertical="center"/>
    </xf>
    <xf numFmtId="176" fontId="2" fillId="6" borderId="11" xfId="0" applyNumberFormat="1" applyFont="1" applyFill="1" applyBorder="1" applyAlignment="1">
      <alignment horizontal="center" vertical="center"/>
    </xf>
    <xf numFmtId="14" fontId="2" fillId="6" borderId="11" xfId="0" applyNumberFormat="1" applyFont="1" applyFill="1" applyBorder="1" applyAlignment="1">
      <alignment horizontal="center" vertical="center"/>
    </xf>
    <xf numFmtId="177" fontId="7" fillId="6" borderId="8" xfId="0" applyNumberFormat="1" applyFont="1" applyFill="1" applyBorder="1" applyAlignment="1">
      <alignment horizontal="center" vertical="center"/>
    </xf>
    <xf numFmtId="176" fontId="11" fillId="15" borderId="4" xfId="0" applyNumberFormat="1" applyFont="1" applyFill="1" applyBorder="1" applyAlignment="1">
      <alignment horizontal="center" vertical="center"/>
    </xf>
    <xf numFmtId="14" fontId="2" fillId="4" borderId="3" xfId="0" applyNumberFormat="1" applyFont="1" applyFill="1" applyBorder="1" applyAlignment="1">
      <alignment horizontal="center" vertical="center"/>
    </xf>
    <xf numFmtId="176" fontId="2" fillId="5" borderId="1" xfId="0" applyNumberFormat="1" applyFont="1" applyFill="1" applyBorder="1" applyAlignment="1">
      <alignment horizontal="center" vertical="center"/>
    </xf>
    <xf numFmtId="14" fontId="11" fillId="5" borderId="1" xfId="0" applyNumberFormat="1" applyFont="1" applyFill="1" applyBorder="1" applyAlignment="1">
      <alignment horizontal="center" vertical="center"/>
    </xf>
    <xf numFmtId="14" fontId="7" fillId="5" borderId="4" xfId="0" applyNumberFormat="1" applyFont="1" applyFill="1" applyBorder="1" applyAlignment="1">
      <alignment horizontal="center" vertical="center"/>
    </xf>
    <xf numFmtId="0" fontId="2" fillId="5" borderId="4" xfId="0" applyFont="1" applyFill="1" applyBorder="1" applyAlignment="1">
      <alignment horizontal="center" vertical="center"/>
    </xf>
    <xf numFmtId="14" fontId="2" fillId="5" borderId="4" xfId="0" applyNumberFormat="1" applyFont="1" applyFill="1" applyBorder="1" applyAlignment="1">
      <alignment horizontal="center" vertical="center"/>
    </xf>
    <xf numFmtId="176" fontId="2" fillId="5" borderId="4" xfId="0" applyNumberFormat="1" applyFont="1" applyFill="1" applyBorder="1" applyAlignment="1">
      <alignment horizontal="center" vertical="center"/>
    </xf>
    <xf numFmtId="0" fontId="2" fillId="5" borderId="3" xfId="0" applyFont="1" applyFill="1" applyBorder="1" applyAlignment="1">
      <alignment horizontal="center" vertical="center"/>
    </xf>
    <xf numFmtId="176" fontId="2" fillId="5" borderId="3" xfId="0" applyNumberFormat="1" applyFont="1" applyFill="1" applyBorder="1" applyAlignment="1">
      <alignment horizontal="center" vertical="center"/>
    </xf>
    <xf numFmtId="177" fontId="7" fillId="0" borderId="23" xfId="0" applyNumberFormat="1" applyFont="1" applyFill="1" applyBorder="1" applyAlignment="1">
      <alignment horizontal="center" vertical="center"/>
    </xf>
    <xf numFmtId="0" fontId="2" fillId="0" borderId="23" xfId="0" applyFont="1" applyFill="1" applyBorder="1" applyAlignment="1">
      <alignment horizontal="center" vertical="center"/>
    </xf>
    <xf numFmtId="14" fontId="2" fillId="0" borderId="23" xfId="0" applyNumberFormat="1" applyFont="1" applyFill="1" applyBorder="1" applyAlignment="1">
      <alignment horizontal="center" vertical="center"/>
    </xf>
    <xf numFmtId="176" fontId="10" fillId="0" borderId="29" xfId="0" applyNumberFormat="1" applyFont="1" applyFill="1" applyBorder="1" applyAlignment="1">
      <alignment horizontal="center" vertical="center"/>
    </xf>
    <xf numFmtId="177" fontId="7" fillId="0" borderId="21" xfId="0" applyNumberFormat="1" applyFont="1" applyFill="1" applyBorder="1" applyAlignment="1">
      <alignment horizontal="center" vertical="center"/>
    </xf>
    <xf numFmtId="0" fontId="2" fillId="0" borderId="21" xfId="0" applyFont="1" applyFill="1" applyBorder="1" applyAlignment="1">
      <alignment horizontal="center" vertical="center"/>
    </xf>
    <xf numFmtId="14" fontId="2" fillId="0" borderId="21" xfId="0" applyNumberFormat="1" applyFont="1" applyFill="1" applyBorder="1" applyAlignment="1">
      <alignment horizontal="center" vertical="center"/>
    </xf>
    <xf numFmtId="176" fontId="10" fillId="0" borderId="21" xfId="0" applyNumberFormat="1" applyFont="1" applyFill="1" applyBorder="1" applyAlignment="1">
      <alignment horizontal="center" vertical="center"/>
    </xf>
    <xf numFmtId="14" fontId="2" fillId="0" borderId="1" xfId="0" applyNumberFormat="1" applyFont="1" applyFill="1" applyBorder="1" applyAlignment="1">
      <alignment horizontal="center" vertical="center"/>
    </xf>
    <xf numFmtId="0" fontId="2" fillId="0" borderId="10" xfId="0" applyFont="1" applyFill="1" applyBorder="1" applyAlignment="1">
      <alignment horizontal="center" vertical="center"/>
    </xf>
    <xf numFmtId="14" fontId="2" fillId="2" borderId="4" xfId="0" applyNumberFormat="1" applyFont="1" applyFill="1" applyBorder="1" applyAlignment="1">
      <alignment horizontal="center" vertical="center"/>
    </xf>
    <xf numFmtId="0" fontId="3" fillId="2" borderId="4" xfId="0" applyFont="1" applyFill="1" applyBorder="1" applyAlignment="1">
      <alignment horizontal="center" vertical="center"/>
    </xf>
    <xf numFmtId="14" fontId="7" fillId="14" borderId="4" xfId="0" applyNumberFormat="1" applyFont="1" applyFill="1" applyBorder="1" applyAlignment="1">
      <alignment horizontal="center" vertical="center"/>
    </xf>
    <xf numFmtId="176" fontId="2" fillId="14" borderId="4" xfId="0" applyNumberFormat="1" applyFont="1" applyFill="1" applyBorder="1" applyAlignment="1">
      <alignment horizontal="center" vertical="center"/>
    </xf>
    <xf numFmtId="14" fontId="2" fillId="14" borderId="4" xfId="0" applyNumberFormat="1" applyFont="1" applyFill="1" applyBorder="1" applyAlignment="1">
      <alignment horizontal="center" vertical="center"/>
    </xf>
    <xf numFmtId="176" fontId="7" fillId="4" borderId="4" xfId="0" applyNumberFormat="1" applyFont="1" applyFill="1" applyBorder="1" applyAlignment="1">
      <alignment horizontal="center" vertical="center"/>
    </xf>
    <xf numFmtId="14" fontId="7" fillId="4" borderId="6" xfId="0" applyNumberFormat="1" applyFont="1" applyFill="1" applyBorder="1" applyAlignment="1">
      <alignment horizontal="center" vertical="center" wrapText="1"/>
    </xf>
    <xf numFmtId="10" fontId="7" fillId="4" borderId="3" xfId="0" applyNumberFormat="1" applyFont="1" applyFill="1" applyBorder="1" applyAlignment="1">
      <alignment horizontal="center" vertical="center" wrapText="1"/>
    </xf>
    <xf numFmtId="14" fontId="7" fillId="4" borderId="1" xfId="0" applyNumberFormat="1" applyFont="1" applyFill="1" applyBorder="1" applyAlignment="1">
      <alignment horizontal="center" vertical="center" wrapText="1"/>
    </xf>
    <xf numFmtId="176" fontId="7" fillId="4" borderId="1" xfId="0" applyNumberFormat="1" applyFont="1" applyFill="1" applyBorder="1" applyAlignment="1">
      <alignment horizontal="center" vertical="center"/>
    </xf>
    <xf numFmtId="10" fontId="11" fillId="0" borderId="3" xfId="0" applyNumberFormat="1" applyFont="1" applyFill="1" applyBorder="1" applyAlignment="1">
      <alignment horizontal="center" vertical="center" wrapText="1"/>
    </xf>
    <xf numFmtId="10" fontId="11" fillId="0" borderId="4" xfId="0" applyNumberFormat="1" applyFont="1" applyFill="1" applyBorder="1" applyAlignment="1">
      <alignment horizontal="center" vertical="center" wrapText="1"/>
    </xf>
    <xf numFmtId="177" fontId="3" fillId="0" borderId="1" xfId="0" applyNumberFormat="1" applyFont="1" applyBorder="1" applyAlignment="1">
      <alignment horizontal="center" vertical="center"/>
    </xf>
    <xf numFmtId="14" fontId="7" fillId="0" borderId="1" xfId="0" applyNumberFormat="1" applyFont="1" applyBorder="1" applyAlignment="1">
      <alignment horizontal="center" vertical="center"/>
    </xf>
    <xf numFmtId="177" fontId="2" fillId="0" borderId="1" xfId="0" applyNumberFormat="1" applyFont="1" applyBorder="1">
      <alignment vertical="center"/>
    </xf>
    <xf numFmtId="14" fontId="2" fillId="0" borderId="1" xfId="0" applyNumberFormat="1" applyFont="1" applyBorder="1" applyAlignment="1">
      <alignment horizontal="center" vertical="center"/>
    </xf>
    <xf numFmtId="14" fontId="2" fillId="29" borderId="1" xfId="0" applyNumberFormat="1" applyFont="1" applyFill="1" applyBorder="1" applyAlignment="1">
      <alignment horizontal="center" vertical="center"/>
    </xf>
    <xf numFmtId="14" fontId="7" fillId="29" borderId="1" xfId="0" applyNumberFormat="1" applyFont="1" applyFill="1" applyBorder="1" applyAlignment="1">
      <alignment horizontal="center" vertical="center"/>
    </xf>
    <xf numFmtId="0" fontId="7" fillId="29" borderId="1" xfId="0" applyFont="1" applyFill="1" applyBorder="1" applyAlignment="1">
      <alignment horizontal="center" vertical="center"/>
    </xf>
    <xf numFmtId="177" fontId="7" fillId="15" borderId="1" xfId="0" applyNumberFormat="1" applyFont="1" applyFill="1" applyBorder="1" applyAlignment="1">
      <alignment horizontal="center" vertical="center"/>
    </xf>
    <xf numFmtId="177" fontId="7" fillId="15" borderId="11" xfId="0" applyNumberFormat="1" applyFont="1" applyFill="1" applyBorder="1" applyAlignment="1">
      <alignment horizontal="center" vertical="center"/>
    </xf>
    <xf numFmtId="178" fontId="7" fillId="6" borderId="2" xfId="0" applyNumberFormat="1" applyFont="1" applyFill="1" applyBorder="1" applyAlignment="1">
      <alignment horizontal="center" vertical="center"/>
    </xf>
    <xf numFmtId="178" fontId="7" fillId="6" borderId="10" xfId="0" applyNumberFormat="1" applyFont="1" applyFill="1" applyBorder="1" applyAlignment="1">
      <alignment horizontal="center" vertical="center"/>
    </xf>
    <xf numFmtId="178" fontId="7" fillId="6" borderId="11" xfId="0" applyNumberFormat="1" applyFont="1" applyFill="1" applyBorder="1" applyAlignment="1">
      <alignment horizontal="center" vertical="center"/>
    </xf>
    <xf numFmtId="177" fontId="11" fillId="6" borderId="4" xfId="0" applyNumberFormat="1" applyFont="1" applyFill="1" applyBorder="1" applyAlignment="1">
      <alignment horizontal="center" vertical="center"/>
    </xf>
    <xf numFmtId="0" fontId="11" fillId="6" borderId="17" xfId="0" applyFont="1" applyFill="1" applyBorder="1" applyAlignment="1">
      <alignment horizontal="center" vertical="center"/>
    </xf>
    <xf numFmtId="178" fontId="7" fillId="6" borderId="4" xfId="0" applyNumberFormat="1" applyFont="1" applyFill="1" applyBorder="1" applyAlignment="1">
      <alignment horizontal="center" vertical="center"/>
    </xf>
    <xf numFmtId="0" fontId="2" fillId="6" borderId="4" xfId="0" applyFont="1" applyFill="1" applyBorder="1">
      <alignment vertical="center"/>
    </xf>
    <xf numFmtId="0" fontId="11" fillId="4" borderId="8" xfId="0" applyFont="1" applyFill="1" applyBorder="1" applyAlignment="1">
      <alignment horizontal="center" vertical="center"/>
    </xf>
    <xf numFmtId="178" fontId="7" fillId="4" borderId="4" xfId="0" applyNumberFormat="1" applyFont="1" applyFill="1" applyBorder="1" applyAlignment="1">
      <alignment horizontal="center" vertical="center"/>
    </xf>
    <xf numFmtId="0" fontId="2" fillId="4" borderId="4" xfId="0" applyFont="1" applyFill="1" applyBorder="1">
      <alignment vertical="center"/>
    </xf>
    <xf numFmtId="0" fontId="11" fillId="4" borderId="7" xfId="0" applyFont="1" applyFill="1" applyBorder="1" applyAlignment="1">
      <alignment horizontal="center" vertical="center"/>
    </xf>
    <xf numFmtId="178" fontId="7" fillId="4" borderId="3" xfId="0" applyNumberFormat="1" applyFont="1" applyFill="1" applyBorder="1" applyAlignment="1">
      <alignment horizontal="center" vertical="center"/>
    </xf>
    <xf numFmtId="0" fontId="2" fillId="4" borderId="3" xfId="0" applyFont="1" applyFill="1" applyBorder="1">
      <alignment vertical="center"/>
    </xf>
    <xf numFmtId="178" fontId="7" fillId="5" borderId="1" xfId="0" applyNumberFormat="1" applyFont="1" applyFill="1" applyBorder="1" applyAlignment="1">
      <alignment horizontal="center" vertical="center"/>
    </xf>
    <xf numFmtId="0" fontId="2" fillId="5" borderId="1" xfId="0" applyFont="1" applyFill="1" applyBorder="1">
      <alignment vertical="center"/>
    </xf>
    <xf numFmtId="178" fontId="7" fillId="5" borderId="4" xfId="0" applyNumberFormat="1" applyFont="1" applyFill="1" applyBorder="1" applyAlignment="1">
      <alignment horizontal="center" vertical="center"/>
    </xf>
    <xf numFmtId="0" fontId="2" fillId="5" borderId="4" xfId="0" applyFont="1" applyFill="1" applyBorder="1">
      <alignment vertical="center"/>
    </xf>
    <xf numFmtId="177" fontId="11" fillId="5" borderId="3" xfId="0" applyNumberFormat="1" applyFont="1" applyFill="1" applyBorder="1" applyAlignment="1">
      <alignment horizontal="center" vertical="center"/>
    </xf>
    <xf numFmtId="0" fontId="11" fillId="5" borderId="2" xfId="0" applyFont="1" applyFill="1" applyBorder="1" applyAlignment="1">
      <alignment horizontal="center" vertical="center"/>
    </xf>
    <xf numFmtId="178" fontId="7" fillId="5" borderId="3" xfId="0" applyNumberFormat="1" applyFont="1" applyFill="1" applyBorder="1" applyAlignment="1">
      <alignment horizontal="center" vertical="center"/>
    </xf>
    <xf numFmtId="0" fontId="2" fillId="5" borderId="3" xfId="0" applyFont="1" applyFill="1" applyBorder="1">
      <alignment vertical="center"/>
    </xf>
    <xf numFmtId="0" fontId="7" fillId="5" borderId="2" xfId="0" applyFont="1" applyFill="1" applyBorder="1" applyAlignment="1">
      <alignment horizontal="center" vertical="center"/>
    </xf>
    <xf numFmtId="0" fontId="2" fillId="0" borderId="1" xfId="0" applyFont="1" applyFill="1" applyBorder="1">
      <alignment vertical="center"/>
    </xf>
    <xf numFmtId="178" fontId="7" fillId="0" borderId="4" xfId="0" applyNumberFormat="1" applyFont="1" applyFill="1" applyBorder="1" applyAlignment="1">
      <alignment horizontal="center" vertical="center"/>
    </xf>
    <xf numFmtId="0" fontId="2" fillId="0" borderId="4" xfId="0" applyFont="1" applyFill="1" applyBorder="1">
      <alignment vertical="center"/>
    </xf>
    <xf numFmtId="0" fontId="11" fillId="0" borderId="11" xfId="0" applyFont="1" applyFill="1" applyBorder="1" applyAlignment="1">
      <alignment horizontal="center" vertical="center"/>
    </xf>
    <xf numFmtId="177" fontId="7" fillId="0" borderId="10" xfId="0" applyNumberFormat="1" applyFont="1" applyFill="1" applyBorder="1" applyAlignment="1">
      <alignment horizontal="center" vertical="center"/>
    </xf>
    <xf numFmtId="0" fontId="11" fillId="14" borderId="8" xfId="0" applyFont="1" applyFill="1" applyBorder="1" applyAlignment="1">
      <alignment horizontal="center" vertical="center"/>
    </xf>
    <xf numFmtId="178" fontId="7" fillId="14" borderId="4" xfId="0" applyNumberFormat="1" applyFont="1" applyFill="1" applyBorder="1" applyAlignment="1">
      <alignment horizontal="center" vertical="center"/>
    </xf>
    <xf numFmtId="0" fontId="2" fillId="14" borderId="4" xfId="0" applyFont="1" applyFill="1" applyBorder="1">
      <alignment vertical="center"/>
    </xf>
    <xf numFmtId="14" fontId="7" fillId="4" borderId="4" xfId="0" applyNumberFormat="1" applyFont="1" applyFill="1" applyBorder="1" applyAlignment="1">
      <alignment horizontal="center" vertical="center" wrapText="1"/>
    </xf>
    <xf numFmtId="176" fontId="7" fillId="4" borderId="8" xfId="0" applyNumberFormat="1" applyFont="1" applyFill="1" applyBorder="1" applyAlignment="1">
      <alignment horizontal="center" vertical="center"/>
    </xf>
    <xf numFmtId="14" fontId="7" fillId="4" borderId="3" xfId="0" applyNumberFormat="1" applyFont="1" applyFill="1" applyBorder="1" applyAlignment="1">
      <alignment horizontal="center" vertical="center"/>
    </xf>
    <xf numFmtId="14" fontId="7" fillId="4" borderId="19" xfId="0" applyNumberFormat="1" applyFont="1" applyFill="1" applyBorder="1" applyAlignment="1">
      <alignment horizontal="center" vertical="center"/>
    </xf>
    <xf numFmtId="176" fontId="7" fillId="4" borderId="9" xfId="0" applyNumberFormat="1" applyFont="1" applyFill="1" applyBorder="1" applyAlignment="1">
      <alignment horizontal="center" vertical="center"/>
    </xf>
    <xf numFmtId="14" fontId="7" fillId="4" borderId="18" xfId="0" applyNumberFormat="1" applyFont="1" applyFill="1" applyBorder="1" applyAlignment="1">
      <alignment horizontal="center" vertical="center"/>
    </xf>
    <xf numFmtId="176" fontId="7" fillId="4" borderId="7" xfId="0" applyNumberFormat="1" applyFont="1" applyFill="1" applyBorder="1" applyAlignment="1">
      <alignment horizontal="center" vertical="center"/>
    </xf>
    <xf numFmtId="14" fontId="7" fillId="4" borderId="21" xfId="0" applyNumberFormat="1" applyFont="1" applyFill="1" applyBorder="1" applyAlignment="1">
      <alignment horizontal="center" vertical="center"/>
    </xf>
    <xf numFmtId="14" fontId="7" fillId="4" borderId="1" xfId="0" applyNumberFormat="1" applyFont="1" applyFill="1" applyBorder="1" applyAlignment="1">
      <alignment horizontal="center" vertical="center"/>
    </xf>
    <xf numFmtId="176" fontId="2" fillId="4" borderId="20" xfId="0" applyNumberFormat="1" applyFont="1" applyFill="1" applyBorder="1" applyAlignment="1">
      <alignment horizontal="center" vertical="center"/>
    </xf>
    <xf numFmtId="14" fontId="7" fillId="4" borderId="30" xfId="0" applyNumberFormat="1" applyFont="1" applyFill="1" applyBorder="1" applyAlignment="1">
      <alignment horizontal="center" vertical="center"/>
    </xf>
    <xf numFmtId="14" fontId="7" fillId="4" borderId="29" xfId="0" applyNumberFormat="1" applyFont="1" applyFill="1" applyBorder="1" applyAlignment="1">
      <alignment horizontal="center" vertical="center"/>
    </xf>
    <xf numFmtId="14" fontId="2" fillId="0" borderId="11" xfId="0" applyNumberFormat="1" applyFont="1" applyBorder="1" applyAlignment="1">
      <alignment horizontal="center" vertical="center" wrapText="1"/>
    </xf>
    <xf numFmtId="0" fontId="2" fillId="0" borderId="11" xfId="0" applyFont="1" applyBorder="1" applyAlignment="1">
      <alignment horizontal="left" vertical="center" wrapText="1"/>
    </xf>
    <xf numFmtId="0" fontId="10"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lignment vertical="center"/>
    </xf>
    <xf numFmtId="0" fontId="2" fillId="29" borderId="1" xfId="0" applyFont="1" applyFill="1" applyBorder="1" applyAlignment="1">
      <alignment horizontal="left" vertical="center" wrapText="1"/>
    </xf>
    <xf numFmtId="0" fontId="7" fillId="29" borderId="1" xfId="0" applyFont="1" applyFill="1" applyBorder="1" applyAlignment="1">
      <alignment horizontal="left" vertical="center" wrapText="1"/>
    </xf>
    <xf numFmtId="0" fontId="2" fillId="6" borderId="8" xfId="0" applyFont="1" applyFill="1" applyBorder="1">
      <alignment vertical="center"/>
    </xf>
    <xf numFmtId="0" fontId="2" fillId="4" borderId="8" xfId="0" applyFont="1" applyFill="1" applyBorder="1">
      <alignment vertical="center"/>
    </xf>
    <xf numFmtId="0" fontId="2" fillId="4" borderId="11" xfId="0" applyFont="1" applyFill="1" applyBorder="1" applyAlignment="1">
      <alignment horizontal="center" vertical="center"/>
    </xf>
    <xf numFmtId="0" fontId="2" fillId="4" borderId="7" xfId="0" applyFont="1" applyFill="1" applyBorder="1">
      <alignment vertical="center"/>
    </xf>
    <xf numFmtId="0" fontId="2" fillId="5" borderId="8" xfId="0" applyFont="1" applyFill="1" applyBorder="1">
      <alignment vertical="center"/>
    </xf>
    <xf numFmtId="0" fontId="2" fillId="5" borderId="2" xfId="0" applyFont="1" applyFill="1" applyBorder="1" applyAlignment="1">
      <alignment horizontal="center" vertical="center"/>
    </xf>
    <xf numFmtId="0" fontId="2" fillId="5" borderId="7" xfId="0" applyFont="1" applyFill="1" applyBorder="1">
      <alignment vertical="center"/>
    </xf>
    <xf numFmtId="0" fontId="2" fillId="5" borderId="10" xfId="0" applyFont="1" applyFill="1" applyBorder="1" applyAlignment="1">
      <alignment horizontal="center" vertical="center"/>
    </xf>
    <xf numFmtId="0" fontId="2" fillId="2" borderId="8" xfId="0" applyFont="1" applyFill="1" applyBorder="1">
      <alignment vertical="center"/>
    </xf>
    <xf numFmtId="0" fontId="2" fillId="14" borderId="8" xfId="0" applyFont="1" applyFill="1" applyBorder="1">
      <alignment vertical="center"/>
    </xf>
    <xf numFmtId="0" fontId="2" fillId="14" borderId="11" xfId="0" applyFont="1" applyFill="1" applyBorder="1" applyAlignment="1">
      <alignment horizontal="center" vertical="center"/>
    </xf>
    <xf numFmtId="0" fontId="7" fillId="4" borderId="8" xfId="0" applyFont="1" applyFill="1" applyBorder="1" applyAlignment="1">
      <alignment horizontal="center" vertical="center"/>
    </xf>
    <xf numFmtId="0" fontId="7" fillId="4" borderId="9" xfId="0" applyFont="1" applyFill="1" applyBorder="1" applyAlignment="1">
      <alignment horizontal="center" vertical="center"/>
    </xf>
    <xf numFmtId="0" fontId="7" fillId="4" borderId="7"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10" xfId="0" applyFont="1" applyFill="1" applyBorder="1" applyAlignment="1">
      <alignment horizontal="center" vertical="center" wrapText="1"/>
    </xf>
    <xf numFmtId="0" fontId="2" fillId="4" borderId="10" xfId="0" applyFont="1" applyFill="1" applyBorder="1" applyAlignment="1">
      <alignment horizontal="center" vertical="center"/>
    </xf>
    <xf numFmtId="0" fontId="2" fillId="0" borderId="11" xfId="0" applyFont="1" applyBorder="1">
      <alignment vertical="center"/>
    </xf>
    <xf numFmtId="0" fontId="2" fillId="0" borderId="2" xfId="0" applyFont="1" applyBorder="1" applyAlignment="1">
      <alignment horizontal="center" vertical="center"/>
    </xf>
    <xf numFmtId="177" fontId="2" fillId="0" borderId="2" xfId="0" applyNumberFormat="1" applyFont="1" applyBorder="1" applyAlignment="1">
      <alignment horizontal="center" vertical="center"/>
    </xf>
    <xf numFmtId="49" fontId="2" fillId="0" borderId="2" xfId="0" applyNumberFormat="1" applyFont="1" applyBorder="1" applyAlignment="1">
      <alignment horizontal="center" vertical="center" wrapText="1"/>
    </xf>
    <xf numFmtId="0" fontId="2" fillId="0" borderId="10" xfId="0" applyFont="1" applyBorder="1" applyAlignment="1">
      <alignment horizontal="center" vertical="center"/>
    </xf>
    <xf numFmtId="177" fontId="2" fillId="0" borderId="10" xfId="0" applyNumberFormat="1" applyFont="1" applyBorder="1" applyAlignment="1">
      <alignment horizontal="center" vertical="center"/>
    </xf>
    <xf numFmtId="49" fontId="2" fillId="0" borderId="10" xfId="0" applyNumberFormat="1" applyFont="1" applyBorder="1" applyAlignment="1">
      <alignment horizontal="center" vertical="center" wrapText="1"/>
    </xf>
    <xf numFmtId="177" fontId="2" fillId="0" borderId="10" xfId="0" applyNumberFormat="1" applyFont="1" applyFill="1" applyBorder="1" applyAlignment="1">
      <alignment horizontal="center" vertical="center"/>
    </xf>
    <xf numFmtId="49" fontId="2" fillId="0" borderId="10" xfId="0" applyNumberFormat="1" applyFont="1" applyFill="1" applyBorder="1" applyAlignment="1">
      <alignment horizontal="center" vertical="center" wrapText="1"/>
    </xf>
    <xf numFmtId="177" fontId="2" fillId="0" borderId="11" xfId="0" applyNumberFormat="1" applyFont="1" applyBorder="1" applyAlignment="1">
      <alignment horizontal="center" vertical="center"/>
    </xf>
    <xf numFmtId="49" fontId="2" fillId="0" borderId="1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49" fontId="7" fillId="29" borderId="1" xfId="0" applyNumberFormat="1" applyFont="1" applyFill="1" applyBorder="1" applyAlignment="1">
      <alignment horizontal="center" vertical="center" wrapText="1"/>
    </xf>
    <xf numFmtId="0" fontId="7" fillId="29" borderId="1" xfId="0" applyFont="1" applyFill="1" applyBorder="1" applyAlignment="1">
      <alignment horizontal="center" vertical="center" wrapText="1"/>
    </xf>
    <xf numFmtId="14" fontId="7" fillId="29" borderId="1"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0" fontId="2" fillId="0" borderId="10" xfId="0" applyFont="1" applyBorder="1" applyAlignment="1">
      <alignment horizontal="center" vertical="center" wrapText="1"/>
    </xf>
    <xf numFmtId="178" fontId="2" fillId="0" borderId="10" xfId="0" applyNumberFormat="1"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31" xfId="0" applyFont="1" applyBorder="1" applyAlignment="1">
      <alignment horizontal="center" vertical="center"/>
    </xf>
    <xf numFmtId="0" fontId="7" fillId="0" borderId="1" xfId="0" applyFont="1" applyBorder="1" applyAlignment="1">
      <alignment horizontal="center" vertical="center"/>
    </xf>
    <xf numFmtId="178" fontId="7" fillId="29" borderId="1" xfId="0" applyNumberFormat="1" applyFont="1" applyFill="1" applyBorder="1" applyAlignment="1">
      <alignment horizontal="center" vertical="center"/>
    </xf>
    <xf numFmtId="178" fontId="2" fillId="29" borderId="1" xfId="0" applyNumberFormat="1" applyFont="1" applyFill="1" applyBorder="1" applyAlignment="1">
      <alignment horizontal="center" vertical="center" wrapText="1"/>
    </xf>
    <xf numFmtId="9" fontId="2" fillId="0" borderId="11" xfId="0" applyNumberFormat="1" applyFont="1" applyBorder="1" applyAlignment="1">
      <alignment horizontal="center" vertical="center" wrapText="1"/>
    </xf>
    <xf numFmtId="9" fontId="2" fillId="0" borderId="1" xfId="0" applyNumberFormat="1" applyFont="1" applyBorder="1" applyAlignment="1">
      <alignment horizontal="center" vertical="top" wrapText="1"/>
    </xf>
    <xf numFmtId="0" fontId="2" fillId="0" borderId="1" xfId="0" applyFont="1" applyBorder="1" applyAlignment="1">
      <alignment vertical="top" wrapText="1"/>
    </xf>
    <xf numFmtId="0" fontId="2" fillId="29" borderId="1" xfId="0" applyFont="1" applyFill="1" applyBorder="1" applyAlignment="1">
      <alignment vertical="top" wrapText="1"/>
    </xf>
    <xf numFmtId="9" fontId="2" fillId="29" borderId="1" xfId="0" applyNumberFormat="1" applyFont="1" applyFill="1" applyBorder="1" applyAlignment="1">
      <alignment horizontal="center" vertical="top" wrapText="1"/>
    </xf>
    <xf numFmtId="0" fontId="2" fillId="0" borderId="2" xfId="0" applyFont="1" applyBorder="1" applyAlignment="1">
      <alignment horizontal="center" vertical="top" wrapText="1"/>
    </xf>
    <xf numFmtId="9" fontId="2" fillId="0" borderId="2" xfId="0" applyNumberFormat="1" applyFont="1" applyBorder="1" applyAlignment="1">
      <alignment horizontal="center" vertical="top" wrapText="1"/>
    </xf>
    <xf numFmtId="178" fontId="7" fillId="0" borderId="2" xfId="0" applyNumberFormat="1" applyFont="1" applyBorder="1" applyAlignment="1">
      <alignment horizontal="center" vertical="center"/>
    </xf>
    <xf numFmtId="9" fontId="2" fillId="0" borderId="10" xfId="0" applyNumberFormat="1" applyFont="1" applyBorder="1" applyAlignment="1">
      <alignment horizontal="center" vertical="center" wrapText="1"/>
    </xf>
    <xf numFmtId="9" fontId="2" fillId="0" borderId="1" xfId="3" applyFont="1" applyBorder="1" applyAlignment="1">
      <alignment horizontal="center" vertical="center"/>
    </xf>
    <xf numFmtId="9" fontId="2" fillId="0" borderId="2" xfId="3" applyFont="1" applyBorder="1" applyAlignment="1">
      <alignment horizontal="center" vertical="center"/>
    </xf>
    <xf numFmtId="0" fontId="7" fillId="0" borderId="10" xfId="0" applyFont="1" applyBorder="1" applyAlignment="1">
      <alignment horizontal="center" vertical="center"/>
    </xf>
    <xf numFmtId="9" fontId="7" fillId="0" borderId="1" xfId="3" applyFont="1" applyBorder="1" applyAlignment="1">
      <alignment horizontal="center" vertical="center"/>
    </xf>
    <xf numFmtId="0" fontId="7" fillId="0" borderId="1" xfId="0" applyFont="1" applyBorder="1" applyAlignment="1">
      <alignment vertical="center" wrapText="1"/>
    </xf>
    <xf numFmtId="0" fontId="7" fillId="29" borderId="1" xfId="0" applyFont="1" applyFill="1" applyBorder="1" applyAlignment="1">
      <alignment vertical="center" wrapText="1"/>
    </xf>
    <xf numFmtId="9" fontId="2" fillId="29" borderId="1" xfId="0" applyNumberFormat="1" applyFont="1" applyFill="1" applyBorder="1" applyAlignment="1">
      <alignment horizontal="center" vertical="center"/>
    </xf>
    <xf numFmtId="0" fontId="2" fillId="0" borderId="1" xfId="0" applyFont="1" applyBorder="1" applyAlignment="1">
      <alignment vertical="center"/>
    </xf>
    <xf numFmtId="0" fontId="1" fillId="29" borderId="1" xfId="0" applyFont="1" applyFill="1" applyBorder="1" applyAlignment="1">
      <alignment vertical="center" wrapText="1"/>
    </xf>
    <xf numFmtId="0" fontId="1" fillId="0" borderId="1" xfId="0" applyFont="1" applyFill="1" applyBorder="1" applyAlignment="1">
      <alignment vertical="center"/>
    </xf>
    <xf numFmtId="0" fontId="1" fillId="0" borderId="1" xfId="0" applyFont="1" applyFill="1" applyBorder="1" applyAlignment="1">
      <alignment vertical="center" wrapText="1"/>
    </xf>
    <xf numFmtId="178" fontId="8" fillId="0" borderId="1" xfId="0" applyNumberFormat="1" applyFont="1" applyFill="1" applyBorder="1" applyAlignment="1">
      <alignment horizontal="center" vertical="center"/>
    </xf>
    <xf numFmtId="178" fontId="17" fillId="0" borderId="1" xfId="0" applyNumberFormat="1" applyFont="1" applyBorder="1" applyAlignment="1">
      <alignment horizontal="center" vertical="center"/>
    </xf>
    <xf numFmtId="178" fontId="10" fillId="29" borderId="1" xfId="0" applyNumberFormat="1" applyFont="1" applyFill="1" applyBorder="1" applyAlignment="1">
      <alignment horizontal="center" vertical="center"/>
    </xf>
    <xf numFmtId="178" fontId="8" fillId="0" borderId="2" xfId="0" applyNumberFormat="1" applyFont="1" applyBorder="1" applyAlignment="1">
      <alignment horizontal="center" vertical="center"/>
    </xf>
    <xf numFmtId="0" fontId="7" fillId="0" borderId="2" xfId="0" applyFont="1" applyBorder="1" applyAlignment="1">
      <alignment horizontal="center" vertical="center"/>
    </xf>
    <xf numFmtId="177" fontId="7" fillId="0" borderId="2" xfId="0" applyNumberFormat="1" applyFont="1" applyBorder="1" applyAlignment="1">
      <alignment horizontal="center" vertical="center"/>
    </xf>
    <xf numFmtId="178" fontId="8" fillId="0" borderId="11" xfId="0" applyNumberFormat="1" applyFont="1" applyBorder="1" applyAlignment="1">
      <alignment horizontal="center" vertical="center"/>
    </xf>
    <xf numFmtId="0" fontId="7" fillId="0" borderId="11" xfId="0" applyFont="1" applyBorder="1" applyAlignment="1">
      <alignment horizontal="center" vertical="center"/>
    </xf>
    <xf numFmtId="177" fontId="7" fillId="0" borderId="1" xfId="0" applyNumberFormat="1" applyFont="1" applyBorder="1" applyAlignment="1">
      <alignment horizontal="center" vertical="center"/>
    </xf>
    <xf numFmtId="178" fontId="7" fillId="0" borderId="11" xfId="0" applyNumberFormat="1" applyFont="1" applyBorder="1" applyAlignment="1">
      <alignment horizontal="center" vertical="center"/>
    </xf>
    <xf numFmtId="2" fontId="2" fillId="0" borderId="2" xfId="0" applyNumberFormat="1" applyFont="1" applyBorder="1" applyAlignment="1">
      <alignment horizontal="center" vertical="center"/>
    </xf>
    <xf numFmtId="2" fontId="2" fillId="0" borderId="10" xfId="0" applyNumberFormat="1" applyFont="1" applyBorder="1" applyAlignment="1">
      <alignment horizontal="center" vertical="center"/>
    </xf>
    <xf numFmtId="2" fontId="2" fillId="0" borderId="11" xfId="0" applyNumberFormat="1" applyFont="1" applyBorder="1" applyAlignment="1">
      <alignment horizontal="center" vertical="center"/>
    </xf>
    <xf numFmtId="2" fontId="7" fillId="0" borderId="1" xfId="0" applyNumberFormat="1" applyFont="1" applyBorder="1" applyAlignment="1">
      <alignment horizontal="center" vertical="center"/>
    </xf>
    <xf numFmtId="176" fontId="3" fillId="0" borderId="1" xfId="0" applyNumberFormat="1" applyFont="1" applyBorder="1" applyAlignment="1">
      <alignment horizontal="center" vertical="center"/>
    </xf>
    <xf numFmtId="176" fontId="18" fillId="0" borderId="1" xfId="0" applyNumberFormat="1" applyFont="1" applyBorder="1" applyAlignment="1">
      <alignment horizontal="center" vertical="center"/>
    </xf>
    <xf numFmtId="2" fontId="2" fillId="0" borderId="1" xfId="0" applyNumberFormat="1" applyFont="1" applyBorder="1" applyAlignment="1">
      <alignment horizontal="center" vertical="center"/>
    </xf>
    <xf numFmtId="178" fontId="7" fillId="0" borderId="1" xfId="0" applyNumberFormat="1" applyFont="1" applyFill="1" applyBorder="1" applyAlignment="1">
      <alignment horizontal="center" vertical="center" wrapText="1"/>
    </xf>
    <xf numFmtId="177" fontId="7" fillId="29" borderId="1" xfId="0" applyNumberFormat="1" applyFont="1" applyFill="1" applyBorder="1" applyAlignment="1">
      <alignment horizontal="center" vertical="center" wrapText="1"/>
    </xf>
    <xf numFmtId="176" fontId="2" fillId="29" borderId="1" xfId="0" applyNumberFormat="1" applyFont="1" applyFill="1" applyBorder="1" applyAlignment="1">
      <alignment horizontal="center" vertical="center" wrapText="1"/>
    </xf>
    <xf numFmtId="178" fontId="7" fillId="0" borderId="1" xfId="0" applyNumberFormat="1" applyFont="1" applyBorder="1" applyAlignment="1">
      <alignment horizontal="center" vertical="center" wrapText="1"/>
    </xf>
    <xf numFmtId="0" fontId="10" fillId="29" borderId="1" xfId="0" applyFont="1" applyFill="1" applyBorder="1" applyAlignment="1">
      <alignment horizontal="center" vertical="center"/>
    </xf>
    <xf numFmtId="177" fontId="7" fillId="0" borderId="11" xfId="0" applyNumberFormat="1" applyFont="1" applyBorder="1" applyAlignment="1">
      <alignment horizontal="center" vertical="center"/>
    </xf>
    <xf numFmtId="0" fontId="8" fillId="0" borderId="1" xfId="0" applyFont="1" applyBorder="1" applyAlignment="1">
      <alignment horizontal="center" vertical="center"/>
    </xf>
    <xf numFmtId="14" fontId="2" fillId="0" borderId="2" xfId="0" applyNumberFormat="1" applyFont="1" applyBorder="1" applyAlignment="1">
      <alignment horizontal="center" vertical="center"/>
    </xf>
    <xf numFmtId="14" fontId="2" fillId="0" borderId="11" xfId="0" applyNumberFormat="1" applyFont="1" applyBorder="1" applyAlignment="1">
      <alignment horizontal="center" vertical="center"/>
    </xf>
    <xf numFmtId="14" fontId="2" fillId="0" borderId="10" xfId="0" applyNumberFormat="1" applyFont="1" applyBorder="1" applyAlignment="1">
      <alignment horizontal="center" vertical="center"/>
    </xf>
    <xf numFmtId="14" fontId="7" fillId="0" borderId="2" xfId="0" applyNumberFormat="1" applyFont="1" applyBorder="1" applyAlignment="1">
      <alignment horizontal="center" vertical="center"/>
    </xf>
    <xf numFmtId="14" fontId="7" fillId="0" borderId="11" xfId="0" applyNumberFormat="1" applyFont="1" applyBorder="1" applyAlignment="1">
      <alignment horizontal="center" vertical="center"/>
    </xf>
    <xf numFmtId="14" fontId="1" fillId="0" borderId="1" xfId="0" applyNumberFormat="1" applyFont="1" applyBorder="1" applyAlignment="1">
      <alignment horizontal="center" vertical="center"/>
    </xf>
    <xf numFmtId="14" fontId="2" fillId="29" borderId="1" xfId="0" applyNumberFormat="1" applyFont="1" applyFill="1" applyBorder="1" applyAlignment="1">
      <alignment horizontal="center" vertical="center" wrapText="1"/>
    </xf>
    <xf numFmtId="177" fontId="2" fillId="29" borderId="1" xfId="0" applyNumberFormat="1" applyFont="1" applyFill="1" applyBorder="1" applyAlignment="1">
      <alignment horizontal="center" vertical="center" wrapText="1"/>
    </xf>
    <xf numFmtId="0" fontId="2" fillId="29" borderId="2" xfId="0" applyFont="1" applyFill="1" applyBorder="1" applyAlignment="1">
      <alignment horizontal="center" vertical="center" wrapText="1"/>
    </xf>
    <xf numFmtId="0" fontId="2" fillId="29" borderId="10" xfId="0" applyFont="1" applyFill="1" applyBorder="1" applyAlignment="1">
      <alignment horizontal="center" vertical="center" wrapText="1"/>
    </xf>
    <xf numFmtId="0" fontId="2" fillId="29" borderId="11" xfId="0" applyFont="1" applyFill="1" applyBorder="1" applyAlignment="1">
      <alignment horizontal="center" vertical="center" wrapText="1"/>
    </xf>
    <xf numFmtId="177" fontId="2" fillId="29" borderId="1" xfId="0" applyNumberFormat="1" applyFont="1" applyFill="1" applyBorder="1" applyAlignment="1">
      <alignment vertical="center" wrapText="1"/>
    </xf>
    <xf numFmtId="177" fontId="2" fillId="0" borderId="1" xfId="0" applyNumberFormat="1" applyFont="1" applyBorder="1" applyAlignment="1">
      <alignment vertical="center" wrapText="1"/>
    </xf>
    <xf numFmtId="178" fontId="11" fillId="0" borderId="1" xfId="0" applyNumberFormat="1" applyFont="1" applyBorder="1" applyAlignment="1">
      <alignment horizontal="center" vertical="center" wrapText="1"/>
    </xf>
    <xf numFmtId="9" fontId="7" fillId="0" borderId="1" xfId="0" applyNumberFormat="1" applyFont="1" applyBorder="1" applyAlignment="1">
      <alignment horizontal="left" vertical="center" wrapText="1"/>
    </xf>
    <xf numFmtId="0" fontId="11" fillId="0" borderId="1" xfId="0" applyFont="1" applyBorder="1" applyAlignment="1">
      <alignment horizontal="center" vertical="center"/>
    </xf>
    <xf numFmtId="0" fontId="11" fillId="0" borderId="1" xfId="0" applyFont="1" applyBorder="1" applyAlignment="1">
      <alignment horizontal="left" vertical="center" wrapText="1"/>
    </xf>
    <xf numFmtId="0" fontId="2" fillId="0" borderId="1" xfId="0" applyNumberFormat="1" applyFont="1" applyBorder="1" applyAlignment="1">
      <alignment horizontal="center" vertical="center"/>
    </xf>
    <xf numFmtId="0" fontId="7" fillId="0" borderId="2"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 xfId="0" applyFont="1" applyBorder="1" applyAlignment="1">
      <alignment horizontal="left" vertical="center" wrapText="1"/>
    </xf>
    <xf numFmtId="0" fontId="2" fillId="29" borderId="1" xfId="0" applyFont="1" applyFill="1" applyBorder="1">
      <alignment vertical="center"/>
    </xf>
    <xf numFmtId="0" fontId="2" fillId="29" borderId="2" xfId="0" applyFont="1" applyFill="1" applyBorder="1">
      <alignment vertical="center"/>
    </xf>
    <xf numFmtId="176" fontId="2" fillId="0" borderId="1" xfId="0" applyNumberFormat="1" applyFont="1" applyBorder="1" applyAlignment="1">
      <alignment horizontal="center" vertical="center"/>
    </xf>
    <xf numFmtId="14" fontId="11" fillId="0" borderId="1" xfId="0" applyNumberFormat="1" applyFont="1" applyBorder="1" applyAlignment="1">
      <alignment horizontal="center" vertical="center" wrapText="1"/>
    </xf>
    <xf numFmtId="14" fontId="7" fillId="2" borderId="1" xfId="0" applyNumberFormat="1" applyFont="1" applyFill="1" applyBorder="1" applyAlignment="1">
      <alignment horizontal="center" vertical="center" wrapText="1"/>
    </xf>
    <xf numFmtId="14" fontId="7" fillId="0" borderId="2" xfId="0" applyNumberFormat="1" applyFont="1" applyFill="1" applyBorder="1" applyAlignment="1">
      <alignment horizontal="center" vertical="center" wrapText="1"/>
    </xf>
    <xf numFmtId="0" fontId="7" fillId="0" borderId="11" xfId="0" applyFont="1" applyFill="1" applyBorder="1" applyAlignment="1">
      <alignment horizontal="center" vertical="center" wrapText="1"/>
    </xf>
    <xf numFmtId="49" fontId="2" fillId="0" borderId="11" xfId="0" applyNumberFormat="1" applyFont="1" applyFill="1" applyBorder="1" applyAlignment="1">
      <alignment horizontal="center" vertical="center" wrapText="1"/>
    </xf>
    <xf numFmtId="14" fontId="7" fillId="0" borderId="1" xfId="0" applyNumberFormat="1" applyFont="1" applyBorder="1" applyAlignment="1">
      <alignment horizontal="center" vertical="center" wrapText="1"/>
    </xf>
    <xf numFmtId="177" fontId="2" fillId="28" borderId="2" xfId="0" applyNumberFormat="1" applyFont="1" applyFill="1" applyBorder="1" applyAlignment="1">
      <alignment horizontal="center" vertical="center" wrapText="1"/>
    </xf>
    <xf numFmtId="49" fontId="2" fillId="28" borderId="2" xfId="0" applyNumberFormat="1" applyFont="1" applyFill="1" applyBorder="1" applyAlignment="1">
      <alignment horizontal="center" vertical="center" wrapText="1"/>
    </xf>
    <xf numFmtId="0" fontId="2" fillId="28" borderId="2" xfId="0" applyFont="1" applyFill="1" applyBorder="1" applyAlignment="1">
      <alignment horizontal="center" vertical="center" wrapText="1"/>
    </xf>
    <xf numFmtId="177" fontId="2" fillId="4" borderId="1" xfId="0" applyNumberFormat="1" applyFont="1" applyFill="1" applyBorder="1" applyAlignment="1">
      <alignment horizontal="center" vertical="center" wrapText="1"/>
    </xf>
    <xf numFmtId="0" fontId="7" fillId="20" borderId="1" xfId="0" applyFont="1" applyFill="1" applyBorder="1" applyAlignment="1">
      <alignment horizontal="center" vertical="center"/>
    </xf>
    <xf numFmtId="177" fontId="2" fillId="20" borderId="1" xfId="0" applyNumberFormat="1" applyFont="1" applyFill="1" applyBorder="1" applyAlignment="1">
      <alignment horizontal="center" vertical="center" wrapText="1"/>
    </xf>
    <xf numFmtId="49" fontId="7" fillId="20" borderId="1" xfId="0" applyNumberFormat="1" applyFont="1" applyFill="1" applyBorder="1" applyAlignment="1">
      <alignment horizontal="center" vertical="center" wrapText="1"/>
    </xf>
    <xf numFmtId="0" fontId="2" fillId="20" borderId="1" xfId="0" applyFont="1" applyFill="1" applyBorder="1" applyAlignment="1">
      <alignment horizontal="center" vertical="center"/>
    </xf>
    <xf numFmtId="49" fontId="2" fillId="20" borderId="1" xfId="0" applyNumberFormat="1" applyFont="1" applyFill="1" applyBorder="1" applyAlignment="1">
      <alignment horizontal="center" vertical="center" wrapText="1"/>
    </xf>
    <xf numFmtId="177" fontId="7" fillId="20" borderId="1" xfId="0" applyNumberFormat="1" applyFont="1" applyFill="1" applyBorder="1" applyAlignment="1">
      <alignment horizontal="center" vertical="center" wrapText="1"/>
    </xf>
    <xf numFmtId="0" fontId="7" fillId="20" borderId="1" xfId="0" applyFont="1" applyFill="1" applyBorder="1" applyAlignment="1">
      <alignment horizontal="center" vertical="center" wrapText="1"/>
    </xf>
    <xf numFmtId="0" fontId="2" fillId="20" borderId="1" xfId="0" applyFont="1" applyFill="1" applyBorder="1" applyAlignment="1">
      <alignment horizontal="center" vertical="center" wrapText="1"/>
    </xf>
    <xf numFmtId="178" fontId="2" fillId="2" borderId="1" xfId="0" applyNumberFormat="1" applyFont="1" applyFill="1" applyBorder="1" applyAlignment="1">
      <alignment horizontal="center" vertical="center" wrapText="1"/>
    </xf>
    <xf numFmtId="178" fontId="2" fillId="0" borderId="2" xfId="0" applyNumberFormat="1" applyFont="1" applyFill="1" applyBorder="1" applyAlignment="1">
      <alignment horizontal="center" vertical="center" wrapText="1"/>
    </xf>
    <xf numFmtId="178" fontId="2" fillId="0" borderId="10" xfId="0" applyNumberFormat="1" applyFont="1" applyFill="1" applyBorder="1" applyAlignment="1">
      <alignment horizontal="center" vertical="center" wrapText="1"/>
    </xf>
    <xf numFmtId="178" fontId="2" fillId="0" borderId="11" xfId="0" applyNumberFormat="1" applyFont="1" applyFill="1" applyBorder="1" applyAlignment="1">
      <alignment horizontal="center" vertical="center" wrapText="1"/>
    </xf>
    <xf numFmtId="178" fontId="7" fillId="29" borderId="1" xfId="0" applyNumberFormat="1" applyFont="1" applyFill="1" applyBorder="1" applyAlignment="1">
      <alignment horizontal="center" vertical="center" wrapText="1"/>
    </xf>
    <xf numFmtId="0" fontId="2" fillId="28" borderId="2" xfId="0" applyFont="1" applyFill="1" applyBorder="1" applyAlignment="1">
      <alignment horizontal="center" vertical="center"/>
    </xf>
    <xf numFmtId="178" fontId="2" fillId="20" borderId="1" xfId="0" applyNumberFormat="1" applyFont="1" applyFill="1" applyBorder="1" applyAlignment="1">
      <alignment horizontal="center" vertical="center"/>
    </xf>
    <xf numFmtId="178" fontId="7" fillId="20" borderId="1" xfId="0" applyNumberFormat="1" applyFont="1" applyFill="1" applyBorder="1" applyAlignment="1">
      <alignment horizontal="center" vertical="center"/>
    </xf>
    <xf numFmtId="0" fontId="1" fillId="0" borderId="1" xfId="0" applyFont="1" applyBorder="1" applyAlignment="1">
      <alignment vertical="center" wrapText="1"/>
    </xf>
    <xf numFmtId="0" fontId="7" fillId="2" borderId="1" xfId="0" applyFont="1" applyFill="1" applyBorder="1" applyAlignment="1">
      <alignment vertical="center" wrapText="1"/>
    </xf>
    <xf numFmtId="9" fontId="2" fillId="2" borderId="1" xfId="0" applyNumberFormat="1" applyFont="1" applyFill="1" applyBorder="1" applyAlignment="1">
      <alignment horizontal="center" vertical="center" wrapText="1"/>
    </xf>
    <xf numFmtId="0" fontId="1" fillId="2" borderId="1" xfId="0" applyFont="1" applyFill="1" applyBorder="1" applyAlignment="1">
      <alignment vertical="center" wrapText="1"/>
    </xf>
    <xf numFmtId="9" fontId="1" fillId="0" borderId="1" xfId="0" applyNumberFormat="1" applyFont="1" applyFill="1" applyBorder="1" applyAlignment="1">
      <alignment horizontal="center" vertical="center" wrapText="1"/>
    </xf>
    <xf numFmtId="178" fontId="2"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2" fillId="0" borderId="21" xfId="0" applyFont="1" applyFill="1" applyBorder="1" applyAlignment="1">
      <alignment horizontal="center" vertical="center" wrapText="1"/>
    </xf>
    <xf numFmtId="9" fontId="2" fillId="0" borderId="3" xfId="0" applyNumberFormat="1" applyFont="1" applyFill="1" applyBorder="1" applyAlignment="1">
      <alignment horizontal="center" vertical="center"/>
    </xf>
    <xf numFmtId="176" fontId="2" fillId="0" borderId="32" xfId="0" applyNumberFormat="1" applyFont="1" applyFill="1" applyBorder="1" applyAlignment="1">
      <alignment horizontal="center" vertical="center"/>
    </xf>
    <xf numFmtId="9" fontId="2" fillId="0" borderId="4" xfId="0" applyNumberFormat="1" applyFont="1" applyFill="1" applyBorder="1" applyAlignment="1">
      <alignment horizontal="center" vertical="center"/>
    </xf>
    <xf numFmtId="176" fontId="2" fillId="0" borderId="14" xfId="0" applyNumberFormat="1" applyFont="1" applyFill="1" applyBorder="1" applyAlignment="1">
      <alignment horizontal="center" vertical="center"/>
    </xf>
    <xf numFmtId="9" fontId="2" fillId="0" borderId="5" xfId="0" applyNumberFormat="1" applyFont="1" applyFill="1" applyBorder="1" applyAlignment="1">
      <alignment horizontal="center" vertical="center"/>
    </xf>
    <xf numFmtId="176" fontId="2" fillId="0" borderId="33" xfId="0" applyNumberFormat="1" applyFont="1" applyFill="1" applyBorder="1" applyAlignment="1">
      <alignment horizontal="center" vertical="center"/>
    </xf>
    <xf numFmtId="0" fontId="2" fillId="0" borderId="18" xfId="0" applyFont="1" applyFill="1" applyBorder="1" applyAlignment="1">
      <alignment horizontal="center" vertical="center" wrapText="1"/>
    </xf>
    <xf numFmtId="9" fontId="2" fillId="0" borderId="6" xfId="0" applyNumberFormat="1" applyFont="1" applyFill="1" applyBorder="1" applyAlignment="1">
      <alignment horizontal="center" vertical="center"/>
    </xf>
    <xf numFmtId="176" fontId="2" fillId="0" borderId="34" xfId="0" applyNumberFormat="1" applyFont="1" applyFill="1" applyBorder="1" applyAlignment="1">
      <alignment horizontal="center" vertical="center"/>
    </xf>
    <xf numFmtId="0" fontId="2" fillId="0" borderId="6" xfId="0" applyFont="1" applyFill="1" applyBorder="1" applyAlignment="1">
      <alignment vertical="center" wrapText="1"/>
    </xf>
    <xf numFmtId="9" fontId="2" fillId="4" borderId="2" xfId="0" applyNumberFormat="1" applyFont="1" applyFill="1" applyBorder="1" applyAlignment="1">
      <alignment horizontal="center" vertical="center"/>
    </xf>
    <xf numFmtId="0" fontId="2" fillId="4" borderId="11" xfId="0" applyFont="1" applyFill="1" applyBorder="1" applyAlignment="1">
      <alignment horizontal="center" vertical="center" wrapText="1"/>
    </xf>
    <xf numFmtId="0" fontId="7" fillId="4" borderId="11" xfId="0" applyFont="1" applyFill="1" applyBorder="1" applyAlignment="1">
      <alignment horizontal="center" vertical="center" wrapText="1"/>
    </xf>
    <xf numFmtId="9" fontId="2" fillId="4" borderId="11" xfId="0" applyNumberFormat="1" applyFont="1" applyFill="1" applyBorder="1" applyAlignment="1">
      <alignment horizontal="center" vertical="center"/>
    </xf>
    <xf numFmtId="176" fontId="2" fillId="4" borderId="11" xfId="0" applyNumberFormat="1" applyFont="1" applyFill="1" applyBorder="1" applyAlignment="1">
      <alignment horizontal="center" vertical="center"/>
    </xf>
    <xf numFmtId="0" fontId="7" fillId="4" borderId="1" xfId="0" applyFont="1" applyFill="1" applyBorder="1" applyAlignment="1">
      <alignment vertical="center" wrapText="1"/>
    </xf>
    <xf numFmtId="9" fontId="2" fillId="4" borderId="1" xfId="0" applyNumberFormat="1" applyFont="1" applyFill="1" applyBorder="1" applyAlignment="1">
      <alignment horizontal="center" vertical="center"/>
    </xf>
    <xf numFmtId="0" fontId="7" fillId="4" borderId="11" xfId="0" applyFont="1" applyFill="1" applyBorder="1" applyAlignment="1">
      <alignment vertical="center" wrapText="1"/>
    </xf>
    <xf numFmtId="0" fontId="7" fillId="20" borderId="1" xfId="0" applyFont="1" applyFill="1" applyBorder="1" applyAlignment="1">
      <alignment vertical="center" wrapText="1"/>
    </xf>
    <xf numFmtId="9" fontId="2" fillId="20" borderId="1" xfId="0" applyNumberFormat="1" applyFont="1" applyFill="1" applyBorder="1" applyAlignment="1">
      <alignment horizontal="center" vertical="center"/>
    </xf>
    <xf numFmtId="176" fontId="2" fillId="20" borderId="1" xfId="0" applyNumberFormat="1" applyFont="1" applyFill="1" applyBorder="1" applyAlignment="1">
      <alignment horizontal="center" vertical="center"/>
    </xf>
    <xf numFmtId="9" fontId="7" fillId="20" borderId="1" xfId="0" applyNumberFormat="1" applyFont="1" applyFill="1" applyBorder="1" applyAlignment="1">
      <alignment horizontal="center" vertical="center"/>
    </xf>
    <xf numFmtId="176" fontId="7" fillId="20" borderId="1" xfId="0" applyNumberFormat="1" applyFont="1" applyFill="1" applyBorder="1" applyAlignment="1">
      <alignment horizontal="center" vertical="center"/>
    </xf>
    <xf numFmtId="177" fontId="7"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177" fontId="6" fillId="0" borderId="1" xfId="0" applyNumberFormat="1" applyFont="1" applyBorder="1" applyAlignment="1">
      <alignment horizontal="center" vertical="center"/>
    </xf>
    <xf numFmtId="177" fontId="7" fillId="2" borderId="1" xfId="0" applyNumberFormat="1" applyFont="1" applyFill="1" applyBorder="1" applyAlignment="1">
      <alignment horizontal="center" vertical="center" wrapText="1"/>
    </xf>
    <xf numFmtId="178" fontId="7" fillId="2" borderId="1" xfId="0" applyNumberFormat="1" applyFont="1" applyFill="1" applyBorder="1" applyAlignment="1">
      <alignment horizontal="center" vertical="center" wrapText="1"/>
    </xf>
    <xf numFmtId="177" fontId="3" fillId="2" borderId="1" xfId="0" applyNumberFormat="1" applyFont="1" applyFill="1" applyBorder="1" applyAlignment="1">
      <alignment horizontal="center" vertical="center"/>
    </xf>
    <xf numFmtId="178" fontId="11"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177" fontId="6" fillId="2" borderId="1" xfId="0" applyNumberFormat="1" applyFont="1" applyFill="1" applyBorder="1" applyAlignment="1">
      <alignment horizontal="center" vertical="center"/>
    </xf>
    <xf numFmtId="177" fontId="7" fillId="0" borderId="1" xfId="0" applyNumberFormat="1" applyFont="1" applyFill="1" applyBorder="1" applyAlignment="1">
      <alignment horizontal="center" vertical="center" wrapText="1"/>
    </xf>
    <xf numFmtId="178" fontId="11" fillId="0" borderId="1" xfId="0" applyNumberFormat="1" applyFont="1" applyFill="1" applyBorder="1" applyAlignment="1">
      <alignment horizontal="center" vertical="center" wrapText="1"/>
    </xf>
    <xf numFmtId="177" fontId="11" fillId="0" borderId="1" xfId="0" applyNumberFormat="1" applyFont="1" applyBorder="1" applyAlignment="1">
      <alignment horizontal="center" vertical="center" wrapText="1"/>
    </xf>
    <xf numFmtId="176" fontId="2" fillId="0" borderId="35" xfId="0" applyNumberFormat="1" applyFont="1" applyFill="1" applyBorder="1" applyAlignment="1">
      <alignment horizontal="center" vertical="center" wrapText="1"/>
    </xf>
    <xf numFmtId="177" fontId="2" fillId="0" borderId="3" xfId="0" applyNumberFormat="1" applyFont="1" applyFill="1" applyBorder="1" applyAlignment="1">
      <alignment horizontal="center" vertical="center" wrapText="1"/>
    </xf>
    <xf numFmtId="176" fontId="2" fillId="0" borderId="21" xfId="0" applyNumberFormat="1" applyFont="1" applyBorder="1" applyAlignment="1">
      <alignment horizontal="center" vertical="center" wrapText="1"/>
    </xf>
    <xf numFmtId="176" fontId="2" fillId="0" borderId="13" xfId="0" applyNumberFormat="1" applyFont="1" applyFill="1" applyBorder="1" applyAlignment="1">
      <alignment horizontal="center" vertical="center" wrapText="1"/>
    </xf>
    <xf numFmtId="176" fontId="2" fillId="0" borderId="19" xfId="0" applyNumberFormat="1" applyFont="1" applyBorder="1" applyAlignment="1">
      <alignment horizontal="center" vertical="center" wrapText="1"/>
    </xf>
    <xf numFmtId="176" fontId="2" fillId="0" borderId="36" xfId="0" applyNumberFormat="1" applyFont="1" applyFill="1" applyBorder="1" applyAlignment="1">
      <alignment horizontal="center" vertical="center" wrapText="1"/>
    </xf>
    <xf numFmtId="176" fontId="2" fillId="0" borderId="16" xfId="0" applyNumberFormat="1" applyFont="1" applyBorder="1" applyAlignment="1">
      <alignment horizontal="center" vertical="center" wrapText="1"/>
    </xf>
    <xf numFmtId="176" fontId="2" fillId="0" borderId="37" xfId="0" applyNumberFormat="1" applyFont="1" applyFill="1" applyBorder="1" applyAlignment="1">
      <alignment horizontal="center" vertical="center" wrapText="1"/>
    </xf>
    <xf numFmtId="176" fontId="2" fillId="0" borderId="18" xfId="0" applyNumberFormat="1" applyFont="1" applyBorder="1" applyAlignment="1">
      <alignment horizontal="center" vertical="center" wrapText="1"/>
    </xf>
    <xf numFmtId="176" fontId="11" fillId="0" borderId="37" xfId="0" applyNumberFormat="1" applyFont="1" applyFill="1" applyBorder="1" applyAlignment="1">
      <alignment horizontal="center" vertical="center" wrapText="1"/>
    </xf>
    <xf numFmtId="0" fontId="11" fillId="0" borderId="18" xfId="0" applyFont="1" applyFill="1" applyBorder="1" applyAlignment="1">
      <alignment horizontal="center" vertical="center" wrapText="1"/>
    </xf>
    <xf numFmtId="177" fontId="11" fillId="0" borderId="18" xfId="0" applyNumberFormat="1" applyFont="1" applyFill="1" applyBorder="1" applyAlignment="1">
      <alignment horizontal="center" vertical="center" wrapText="1"/>
    </xf>
    <xf numFmtId="176" fontId="8" fillId="4" borderId="2" xfId="0" applyNumberFormat="1" applyFont="1" applyFill="1" applyBorder="1" applyAlignment="1">
      <alignment horizontal="center" vertical="center" wrapText="1"/>
    </xf>
    <xf numFmtId="0" fontId="8" fillId="4" borderId="2" xfId="0" applyFont="1" applyFill="1" applyBorder="1" applyAlignment="1">
      <alignment horizontal="center" vertical="center" wrapText="1"/>
    </xf>
    <xf numFmtId="177" fontId="8" fillId="4" borderId="2"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8" fillId="4" borderId="11" xfId="0" applyNumberFormat="1" applyFont="1" applyFill="1" applyBorder="1" applyAlignment="1">
      <alignment horizontal="center" vertical="center" wrapText="1"/>
    </xf>
    <xf numFmtId="0" fontId="8" fillId="4" borderId="11" xfId="0" applyFont="1" applyFill="1" applyBorder="1" applyAlignment="1">
      <alignment horizontal="center" vertical="center" wrapText="1"/>
    </xf>
    <xf numFmtId="177" fontId="8" fillId="4" borderId="11" xfId="0" applyNumberFormat="1" applyFont="1" applyFill="1" applyBorder="1" applyAlignment="1">
      <alignment horizontal="center" vertical="center" wrapText="1"/>
    </xf>
    <xf numFmtId="176" fontId="2" fillId="4" borderId="11" xfId="0" applyNumberFormat="1" applyFont="1" applyFill="1" applyBorder="1" applyAlignment="1">
      <alignment horizontal="center" vertical="center" wrapText="1"/>
    </xf>
    <xf numFmtId="176" fontId="8" fillId="4"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177" fontId="8" fillId="4" borderId="1"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11" fillId="4" borderId="1" xfId="0" applyNumberFormat="1" applyFont="1" applyFill="1" applyBorder="1" applyAlignment="1">
      <alignment horizontal="center" vertical="center" wrapText="1"/>
    </xf>
    <xf numFmtId="0" fontId="11" fillId="4" borderId="1" xfId="0" applyFont="1" applyFill="1" applyBorder="1" applyAlignment="1">
      <alignment horizontal="center" vertical="center" wrapText="1"/>
    </xf>
    <xf numFmtId="177" fontId="11" fillId="4" borderId="1" xfId="0" applyNumberFormat="1" applyFont="1" applyFill="1" applyBorder="1" applyAlignment="1">
      <alignment horizontal="center" vertical="center" wrapText="1"/>
    </xf>
    <xf numFmtId="176" fontId="7" fillId="4" borderId="1" xfId="0" applyNumberFormat="1" applyFont="1" applyFill="1" applyBorder="1" applyAlignment="1">
      <alignment horizontal="center" vertical="center" wrapText="1"/>
    </xf>
    <xf numFmtId="176" fontId="8" fillId="20" borderId="1" xfId="0" applyNumberFormat="1" applyFont="1" applyFill="1" applyBorder="1" applyAlignment="1">
      <alignment horizontal="center" vertical="center" wrapText="1"/>
    </xf>
    <xf numFmtId="176" fontId="7" fillId="20" borderId="1" xfId="0" applyNumberFormat="1" applyFont="1" applyFill="1" applyBorder="1" applyAlignment="1">
      <alignment horizontal="center" vertical="center" wrapText="1"/>
    </xf>
    <xf numFmtId="0" fontId="8" fillId="20" borderId="1" xfId="0" applyFont="1" applyFill="1" applyBorder="1" applyAlignment="1">
      <alignment horizontal="center" vertical="center" wrapText="1"/>
    </xf>
    <xf numFmtId="177" fontId="8" fillId="20" borderId="1" xfId="0" applyNumberFormat="1" applyFont="1" applyFill="1" applyBorder="1" applyAlignment="1">
      <alignment horizontal="center" vertical="center" wrapText="1"/>
    </xf>
    <xf numFmtId="177" fontId="2" fillId="2" borderId="1" xfId="0" applyNumberFormat="1" applyFont="1" applyFill="1" applyBorder="1" applyAlignment="1">
      <alignment vertical="center" wrapText="1"/>
    </xf>
    <xf numFmtId="14" fontId="2" fillId="2" borderId="1" xfId="0" applyNumberFormat="1"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vertical="center" wrapText="1"/>
    </xf>
    <xf numFmtId="14" fontId="2" fillId="0" borderId="3" xfId="0" applyNumberFormat="1" applyFont="1" applyBorder="1" applyAlignment="1">
      <alignment horizontal="center" vertical="center" wrapText="1"/>
    </xf>
    <xf numFmtId="14" fontId="7" fillId="0" borderId="21" xfId="0" applyNumberFormat="1" applyFont="1" applyBorder="1" applyAlignment="1">
      <alignment horizontal="center" vertical="center"/>
    </xf>
    <xf numFmtId="176" fontId="2" fillId="0" borderId="3" xfId="0" applyNumberFormat="1" applyFont="1" applyBorder="1" applyAlignment="1">
      <alignment horizontal="center" vertical="center"/>
    </xf>
    <xf numFmtId="14" fontId="2" fillId="0" borderId="4" xfId="0" applyNumberFormat="1" applyFont="1" applyBorder="1" applyAlignment="1">
      <alignment horizontal="center" vertical="center" wrapText="1"/>
    </xf>
    <xf numFmtId="14" fontId="7" fillId="0" borderId="19" xfId="0" applyNumberFormat="1" applyFont="1" applyBorder="1" applyAlignment="1">
      <alignment horizontal="center" vertical="center"/>
    </xf>
    <xf numFmtId="176" fontId="2" fillId="0" borderId="4" xfId="0" applyNumberFormat="1" applyFont="1" applyBorder="1" applyAlignment="1">
      <alignment horizontal="center" vertical="center"/>
    </xf>
    <xf numFmtId="14" fontId="2" fillId="0" borderId="5" xfId="0" applyNumberFormat="1" applyFont="1" applyBorder="1" applyAlignment="1">
      <alignment horizontal="center" vertical="center" wrapText="1"/>
    </xf>
    <xf numFmtId="14" fontId="2" fillId="0" borderId="16" xfId="0" applyNumberFormat="1" applyFont="1" applyBorder="1" applyAlignment="1">
      <alignment horizontal="center" vertical="center" wrapText="1"/>
    </xf>
    <xf numFmtId="176" fontId="2" fillId="0" borderId="5" xfId="0" applyNumberFormat="1" applyFont="1" applyBorder="1" applyAlignment="1">
      <alignment horizontal="center" vertical="center"/>
    </xf>
    <xf numFmtId="14" fontId="2" fillId="0" borderId="6" xfId="0" applyNumberFormat="1" applyFont="1" applyBorder="1" applyAlignment="1">
      <alignment horizontal="center" vertical="center" wrapText="1"/>
    </xf>
    <xf numFmtId="176" fontId="2" fillId="0" borderId="6" xfId="0" applyNumberFormat="1" applyFont="1" applyBorder="1" applyAlignment="1">
      <alignment horizontal="center" vertical="center"/>
    </xf>
    <xf numFmtId="0" fontId="2" fillId="0" borderId="6" xfId="0" applyFont="1" applyBorder="1" applyAlignment="1">
      <alignment horizontal="center" vertical="center" wrapText="1"/>
    </xf>
    <xf numFmtId="176" fontId="2" fillId="0" borderId="6" xfId="0" applyNumberFormat="1" applyFont="1" applyBorder="1" applyAlignment="1">
      <alignment horizontal="center" vertical="center" wrapText="1"/>
    </xf>
    <xf numFmtId="177" fontId="2" fillId="0" borderId="9" xfId="0" applyNumberFormat="1" applyFont="1" applyBorder="1" applyAlignment="1">
      <alignment horizontal="center" vertical="center" wrapText="1"/>
    </xf>
    <xf numFmtId="176" fontId="11" fillId="0" borderId="1" xfId="0" applyNumberFormat="1" applyFont="1" applyFill="1" applyBorder="1" applyAlignment="1">
      <alignment horizontal="center" vertical="center" wrapText="1"/>
    </xf>
    <xf numFmtId="177" fontId="7" fillId="4" borderId="2" xfId="0" applyNumberFormat="1" applyFont="1" applyFill="1" applyBorder="1" applyAlignment="1">
      <alignment horizontal="center" vertical="center" wrapText="1"/>
    </xf>
    <xf numFmtId="177" fontId="7" fillId="4" borderId="11" xfId="0" applyNumberFormat="1" applyFont="1" applyFill="1" applyBorder="1" applyAlignment="1">
      <alignment horizontal="center" vertical="center" wrapText="1"/>
    </xf>
    <xf numFmtId="177" fontId="7" fillId="4" borderId="1" xfId="0" applyNumberFormat="1" applyFont="1" applyFill="1" applyBorder="1" applyAlignment="1">
      <alignment horizontal="center" vertical="center" wrapText="1"/>
    </xf>
    <xf numFmtId="176" fontId="2" fillId="2" borderId="1" xfId="0" applyNumberFormat="1" applyFont="1" applyFill="1" applyBorder="1" applyAlignment="1">
      <alignment horizontal="center" vertical="center"/>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vertical="center" wrapText="1"/>
    </xf>
    <xf numFmtId="0" fontId="7" fillId="29" borderId="2" xfId="0" applyFont="1" applyFill="1" applyBorder="1" applyAlignment="1">
      <alignment horizontal="center" vertical="center" wrapText="1"/>
    </xf>
    <xf numFmtId="0" fontId="7" fillId="29" borderId="10" xfId="0" applyFont="1" applyFill="1" applyBorder="1" applyAlignment="1">
      <alignment horizontal="center" vertical="center" wrapText="1"/>
    </xf>
    <xf numFmtId="0" fontId="7" fillId="29" borderId="11" xfId="0" applyFont="1" applyFill="1" applyBorder="1" applyAlignment="1">
      <alignment horizontal="center" vertical="center" wrapText="1"/>
    </xf>
    <xf numFmtId="14" fontId="2" fillId="0" borderId="3" xfId="0" applyNumberFormat="1" applyFont="1" applyBorder="1" applyAlignment="1">
      <alignment horizontal="center" vertical="center"/>
    </xf>
    <xf numFmtId="176" fontId="2" fillId="0" borderId="7" xfId="2" applyNumberFormat="1" applyFont="1" applyBorder="1" applyAlignment="1">
      <alignment horizontal="center" vertical="center"/>
    </xf>
    <xf numFmtId="0" fontId="2" fillId="0" borderId="7" xfId="0" applyFont="1" applyBorder="1" applyAlignment="1">
      <alignment horizontal="center" vertical="center"/>
    </xf>
    <xf numFmtId="0" fontId="2" fillId="0" borderId="35" xfId="0" applyFont="1" applyBorder="1" applyAlignment="1">
      <alignment horizontal="center" vertical="center"/>
    </xf>
    <xf numFmtId="14" fontId="2" fillId="0" borderId="4" xfId="0" applyNumberFormat="1" applyFont="1" applyBorder="1" applyAlignment="1">
      <alignment horizontal="center" vertical="center"/>
    </xf>
    <xf numFmtId="176" fontId="2" fillId="0" borderId="8" xfId="2" applyNumberFormat="1" applyFont="1" applyBorder="1" applyAlignment="1">
      <alignment horizontal="center" vertical="center"/>
    </xf>
    <xf numFmtId="0" fontId="2" fillId="0" borderId="8" xfId="0" applyFont="1" applyBorder="1" applyAlignment="1">
      <alignment horizontal="center" vertical="center"/>
    </xf>
    <xf numFmtId="0" fontId="2" fillId="0" borderId="13" xfId="0" applyFont="1" applyBorder="1" applyAlignment="1">
      <alignment horizontal="center" vertical="center"/>
    </xf>
    <xf numFmtId="14" fontId="2" fillId="0" borderId="5" xfId="0" applyNumberFormat="1" applyFont="1" applyBorder="1" applyAlignment="1">
      <alignment horizontal="center" vertical="center"/>
    </xf>
    <xf numFmtId="178" fontId="2" fillId="0" borderId="12" xfId="0" applyNumberFormat="1" applyFont="1" applyBorder="1" applyAlignment="1">
      <alignment horizontal="center" vertical="center"/>
    </xf>
    <xf numFmtId="0" fontId="2" fillId="0" borderId="12" xfId="0" applyFont="1" applyBorder="1">
      <alignment vertical="center"/>
    </xf>
    <xf numFmtId="0" fontId="2" fillId="0" borderId="36" xfId="0" applyFont="1" applyBorder="1" applyAlignment="1">
      <alignment horizontal="center" vertical="center"/>
    </xf>
    <xf numFmtId="0" fontId="2" fillId="0" borderId="12" xfId="0" applyFont="1" applyBorder="1" applyAlignment="1">
      <alignment horizontal="center" vertical="center"/>
    </xf>
    <xf numFmtId="0" fontId="2" fillId="0" borderId="36" xfId="0" applyFont="1" applyBorder="1">
      <alignment vertical="center"/>
    </xf>
    <xf numFmtId="14" fontId="11" fillId="0" borderId="18" xfId="0" applyNumberFormat="1" applyFont="1" applyBorder="1" applyAlignment="1">
      <alignment horizontal="center" vertical="center"/>
    </xf>
    <xf numFmtId="0" fontId="2" fillId="0" borderId="9" xfId="0" applyFont="1" applyBorder="1">
      <alignment vertical="center"/>
    </xf>
    <xf numFmtId="0" fontId="2" fillId="0" borderId="37" xfId="0" applyFont="1" applyBorder="1">
      <alignment vertical="center"/>
    </xf>
    <xf numFmtId="14" fontId="2" fillId="4" borderId="1" xfId="0" applyNumberFormat="1" applyFont="1" applyFill="1" applyBorder="1" applyAlignment="1">
      <alignment horizontal="center" vertical="center"/>
    </xf>
    <xf numFmtId="0" fontId="2" fillId="4" borderId="1" xfId="0" applyFont="1" applyFill="1" applyBorder="1">
      <alignment vertical="center"/>
    </xf>
    <xf numFmtId="0" fontId="10" fillId="4" borderId="1" xfId="0" applyFont="1" applyFill="1" applyBorder="1" applyAlignment="1">
      <alignment horizontal="center" vertical="center"/>
    </xf>
    <xf numFmtId="14" fontId="2" fillId="20" borderId="1" xfId="0" applyNumberFormat="1" applyFont="1" applyFill="1" applyBorder="1" applyAlignment="1">
      <alignment horizontal="center" vertical="center"/>
    </xf>
    <xf numFmtId="0" fontId="2" fillId="20" borderId="1" xfId="0" applyFont="1" applyFill="1" applyBorder="1">
      <alignment vertical="center"/>
    </xf>
    <xf numFmtId="14" fontId="7" fillId="20" borderId="1" xfId="0" applyNumberFormat="1" applyFont="1" applyFill="1" applyBorder="1" applyAlignment="1">
      <alignment horizontal="center" vertical="center"/>
    </xf>
    <xf numFmtId="0" fontId="7" fillId="20" borderId="1" xfId="0" applyFont="1" applyFill="1" applyBorder="1">
      <alignment vertical="center"/>
    </xf>
    <xf numFmtId="0" fontId="2" fillId="0" borderId="4" xfId="0" applyFont="1" applyBorder="1" applyAlignment="1">
      <alignment horizontal="center" vertical="center"/>
    </xf>
    <xf numFmtId="0" fontId="2" fillId="0" borderId="37" xfId="0" applyFont="1" applyBorder="1" applyAlignment="1">
      <alignment horizontal="center" vertical="center"/>
    </xf>
    <xf numFmtId="0" fontId="2" fillId="0" borderId="6" xfId="0" applyFont="1" applyBorder="1" applyAlignment="1">
      <alignment horizontal="center" vertical="center"/>
    </xf>
    <xf numFmtId="0" fontId="2" fillId="0" borderId="9" xfId="0" applyFont="1" applyBorder="1" applyAlignment="1">
      <alignment horizontal="center" vertical="center"/>
    </xf>
    <xf numFmtId="0" fontId="7" fillId="21" borderId="1" xfId="0" applyFont="1" applyFill="1" applyBorder="1" applyAlignment="1">
      <alignment horizontal="center" vertical="center"/>
    </xf>
    <xf numFmtId="177" fontId="2" fillId="21" borderId="1" xfId="0" applyNumberFormat="1" applyFont="1" applyFill="1" applyBorder="1" applyAlignment="1">
      <alignment horizontal="center" vertical="center" wrapText="1"/>
    </xf>
    <xf numFmtId="49" fontId="7" fillId="21" borderId="1" xfId="0" applyNumberFormat="1" applyFont="1" applyFill="1" applyBorder="1" applyAlignment="1">
      <alignment horizontal="center" vertical="center" wrapText="1"/>
    </xf>
    <xf numFmtId="0" fontId="2" fillId="21" borderId="1" xfId="0" applyFont="1" applyFill="1" applyBorder="1" applyAlignment="1">
      <alignment horizontal="center" vertical="center" wrapText="1"/>
    </xf>
    <xf numFmtId="0" fontId="2" fillId="21" borderId="1" xfId="0" applyFont="1" applyFill="1" applyBorder="1" applyAlignment="1">
      <alignment horizontal="center" vertical="center"/>
    </xf>
    <xf numFmtId="49" fontId="2" fillId="21" borderId="1" xfId="0" applyNumberFormat="1" applyFont="1" applyFill="1" applyBorder="1" applyAlignment="1">
      <alignment horizontal="center" vertical="center" wrapText="1"/>
    </xf>
    <xf numFmtId="0" fontId="7" fillId="20" borderId="2" xfId="0" applyFont="1" applyFill="1" applyBorder="1" applyAlignment="1">
      <alignment horizontal="center" vertical="center"/>
    </xf>
    <xf numFmtId="177" fontId="2" fillId="20" borderId="2" xfId="0" applyNumberFormat="1" applyFont="1" applyFill="1" applyBorder="1" applyAlignment="1">
      <alignment horizontal="center" vertical="center" wrapText="1"/>
    </xf>
    <xf numFmtId="49" fontId="7" fillId="20" borderId="2" xfId="0" applyNumberFormat="1" applyFont="1" applyFill="1" applyBorder="1" applyAlignment="1">
      <alignment horizontal="center" vertical="center" wrapText="1"/>
    </xf>
    <xf numFmtId="0" fontId="2" fillId="20" borderId="10" xfId="0" applyFont="1" applyFill="1" applyBorder="1" applyAlignment="1">
      <alignment horizontal="center" vertical="center"/>
    </xf>
    <xf numFmtId="177" fontId="2" fillId="20" borderId="10" xfId="0" applyNumberFormat="1" applyFont="1" applyFill="1" applyBorder="1" applyAlignment="1">
      <alignment horizontal="center" vertical="center" wrapText="1"/>
    </xf>
    <xf numFmtId="49" fontId="2" fillId="20" borderId="10" xfId="0" applyNumberFormat="1" applyFont="1" applyFill="1" applyBorder="1" applyAlignment="1">
      <alignment horizontal="center" vertical="center" wrapText="1"/>
    </xf>
    <xf numFmtId="0" fontId="2" fillId="20" borderId="11" xfId="0" applyFont="1" applyFill="1" applyBorder="1" applyAlignment="1">
      <alignment horizontal="center" vertical="center"/>
    </xf>
    <xf numFmtId="177" fontId="2" fillId="20" borderId="11" xfId="0" applyNumberFormat="1" applyFont="1" applyFill="1" applyBorder="1" applyAlignment="1">
      <alignment horizontal="center" vertical="center" wrapText="1"/>
    </xf>
    <xf numFmtId="0" fontId="7" fillId="10" borderId="1" xfId="0" applyFont="1" applyFill="1" applyBorder="1" applyAlignment="1">
      <alignment horizontal="center" vertical="center"/>
    </xf>
    <xf numFmtId="177" fontId="2" fillId="10" borderId="1" xfId="0" applyNumberFormat="1" applyFont="1" applyFill="1" applyBorder="1" applyAlignment="1">
      <alignment horizontal="center" vertical="center" wrapText="1"/>
    </xf>
    <xf numFmtId="49" fontId="7" fillId="10" borderId="2" xfId="0" applyNumberFormat="1"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10" borderId="1" xfId="0" applyFont="1" applyFill="1" applyBorder="1" applyAlignment="1">
      <alignment horizontal="center" vertical="center"/>
    </xf>
    <xf numFmtId="49" fontId="2" fillId="10" borderId="10" xfId="0" applyNumberFormat="1" applyFont="1" applyFill="1" applyBorder="1" applyAlignment="1">
      <alignment horizontal="center" vertical="center" wrapText="1"/>
    </xf>
    <xf numFmtId="0" fontId="2" fillId="10" borderId="10" xfId="0" applyFont="1" applyFill="1" applyBorder="1" applyAlignment="1">
      <alignment horizontal="center" vertical="center" wrapText="1"/>
    </xf>
    <xf numFmtId="49" fontId="2" fillId="10" borderId="11" xfId="0" applyNumberFormat="1" applyFont="1" applyFill="1" applyBorder="1" applyAlignment="1">
      <alignment horizontal="center" vertical="center" wrapText="1"/>
    </xf>
    <xf numFmtId="0" fontId="2" fillId="10" borderId="11" xfId="0" applyFont="1" applyFill="1" applyBorder="1" applyAlignment="1">
      <alignment horizontal="center" vertical="center" wrapText="1"/>
    </xf>
    <xf numFmtId="0" fontId="7" fillId="22" borderId="3" xfId="0" applyFont="1" applyFill="1" applyBorder="1" applyAlignment="1">
      <alignment horizontal="center" vertical="center"/>
    </xf>
    <xf numFmtId="177" fontId="2" fillId="22" borderId="3" xfId="0" applyNumberFormat="1" applyFont="1" applyFill="1" applyBorder="1" applyAlignment="1">
      <alignment horizontal="center" vertical="center" wrapText="1"/>
    </xf>
    <xf numFmtId="49" fontId="7" fillId="22" borderId="3" xfId="0" applyNumberFormat="1" applyFont="1" applyFill="1" applyBorder="1" applyAlignment="1">
      <alignment horizontal="center" vertical="center" wrapText="1"/>
    </xf>
    <xf numFmtId="0" fontId="2" fillId="22" borderId="3" xfId="0" applyFont="1" applyFill="1" applyBorder="1" applyAlignment="1">
      <alignment horizontal="center" vertical="center"/>
    </xf>
    <xf numFmtId="49" fontId="2" fillId="22" borderId="3" xfId="0" applyNumberFormat="1" applyFont="1" applyFill="1" applyBorder="1" applyAlignment="1">
      <alignment horizontal="center" vertical="center" wrapText="1"/>
    </xf>
    <xf numFmtId="0" fontId="7" fillId="13" borderId="1" xfId="0" applyFont="1" applyFill="1" applyBorder="1" applyAlignment="1">
      <alignment horizontal="center" vertical="center"/>
    </xf>
    <xf numFmtId="177" fontId="2" fillId="13" borderId="2" xfId="0" applyNumberFormat="1" applyFont="1" applyFill="1" applyBorder="1" applyAlignment="1">
      <alignment horizontal="center" vertical="center" wrapText="1"/>
    </xf>
    <xf numFmtId="49" fontId="7" fillId="13" borderId="2" xfId="0" applyNumberFormat="1" applyFont="1" applyFill="1" applyBorder="1" applyAlignment="1">
      <alignment horizontal="center" vertical="center" wrapText="1"/>
    </xf>
    <xf numFmtId="0" fontId="2" fillId="13" borderId="1" xfId="0" applyFont="1" applyFill="1" applyBorder="1" applyAlignment="1">
      <alignment horizontal="center" vertical="center"/>
    </xf>
    <xf numFmtId="177" fontId="2" fillId="13" borderId="10" xfId="0" applyNumberFormat="1" applyFont="1" applyFill="1" applyBorder="1" applyAlignment="1">
      <alignment horizontal="center" vertical="center" wrapText="1"/>
    </xf>
    <xf numFmtId="49" fontId="2" fillId="13" borderId="10" xfId="0" applyNumberFormat="1" applyFont="1" applyFill="1" applyBorder="1" applyAlignment="1">
      <alignment horizontal="center" vertical="center" wrapText="1"/>
    </xf>
    <xf numFmtId="177" fontId="2" fillId="13" borderId="11" xfId="0" applyNumberFormat="1" applyFont="1" applyFill="1" applyBorder="1" applyAlignment="1">
      <alignment horizontal="center" vertical="center" wrapText="1"/>
    </xf>
    <xf numFmtId="49" fontId="2" fillId="13" borderId="11" xfId="0" applyNumberFormat="1" applyFont="1" applyFill="1" applyBorder="1" applyAlignment="1">
      <alignment horizontal="center" vertical="center" wrapText="1"/>
    </xf>
    <xf numFmtId="177" fontId="2" fillId="6" borderId="2" xfId="0" applyNumberFormat="1" applyFont="1" applyFill="1" applyBorder="1" applyAlignment="1">
      <alignment horizontal="center" vertical="center" wrapText="1"/>
    </xf>
    <xf numFmtId="49" fontId="7" fillId="6" borderId="2" xfId="0" applyNumberFormat="1" applyFont="1" applyFill="1" applyBorder="1" applyAlignment="1">
      <alignment horizontal="center" vertical="center" wrapText="1"/>
    </xf>
    <xf numFmtId="177" fontId="2" fillId="6" borderId="10" xfId="0" applyNumberFormat="1" applyFont="1" applyFill="1" applyBorder="1" applyAlignment="1">
      <alignment horizontal="center" vertical="center" wrapText="1"/>
    </xf>
    <xf numFmtId="49" fontId="7" fillId="6" borderId="10" xfId="0" applyNumberFormat="1" applyFont="1" applyFill="1" applyBorder="1" applyAlignment="1">
      <alignment horizontal="center" vertical="center" wrapText="1"/>
    </xf>
    <xf numFmtId="177" fontId="7" fillId="6" borderId="10" xfId="0" applyNumberFormat="1" applyFont="1" applyFill="1" applyBorder="1" applyAlignment="1">
      <alignment horizontal="center" vertical="center" wrapText="1"/>
    </xf>
    <xf numFmtId="49" fontId="2" fillId="6" borderId="10" xfId="0" applyNumberFormat="1" applyFont="1" applyFill="1" applyBorder="1" applyAlignment="1">
      <alignment horizontal="center" vertical="center" wrapText="1"/>
    </xf>
    <xf numFmtId="177" fontId="2" fillId="6" borderId="11" xfId="0" applyNumberFormat="1" applyFont="1" applyFill="1" applyBorder="1" applyAlignment="1">
      <alignment horizontal="center" vertical="center" wrapText="1"/>
    </xf>
    <xf numFmtId="49" fontId="2" fillId="6" borderId="11" xfId="0" applyNumberFormat="1" applyFont="1" applyFill="1" applyBorder="1" applyAlignment="1">
      <alignment horizontal="center" vertical="center" wrapText="1"/>
    </xf>
    <xf numFmtId="0" fontId="7" fillId="21" borderId="2" xfId="0" applyFont="1" applyFill="1" applyBorder="1" applyAlignment="1">
      <alignment horizontal="center" vertical="center"/>
    </xf>
    <xf numFmtId="14" fontId="7" fillId="21" borderId="2" xfId="0" applyNumberFormat="1" applyFont="1" applyFill="1" applyBorder="1" applyAlignment="1">
      <alignment horizontal="center" vertical="center"/>
    </xf>
    <xf numFmtId="0" fontId="7" fillId="21" borderId="2" xfId="0" applyFont="1" applyFill="1" applyBorder="1" applyAlignment="1">
      <alignment horizontal="center" vertical="center" wrapText="1"/>
    </xf>
    <xf numFmtId="0" fontId="7" fillId="21" borderId="10" xfId="0" applyFont="1" applyFill="1" applyBorder="1" applyAlignment="1">
      <alignment horizontal="center" vertical="center"/>
    </xf>
    <xf numFmtId="14" fontId="7" fillId="21" borderId="10" xfId="0" applyNumberFormat="1" applyFont="1" applyFill="1" applyBorder="1" applyAlignment="1">
      <alignment horizontal="center" vertical="center"/>
    </xf>
    <xf numFmtId="0" fontId="7" fillId="21" borderId="10" xfId="0" applyFont="1" applyFill="1" applyBorder="1" applyAlignment="1">
      <alignment horizontal="center" vertical="center" wrapText="1"/>
    </xf>
    <xf numFmtId="0" fontId="7" fillId="21" borderId="1" xfId="0" applyFont="1" applyFill="1" applyBorder="1" applyAlignment="1">
      <alignment horizontal="center" vertical="center" wrapText="1"/>
    </xf>
    <xf numFmtId="0" fontId="7" fillId="20" borderId="2" xfId="0" applyFont="1" applyFill="1" applyBorder="1" applyAlignment="1">
      <alignment horizontal="center" vertical="center" wrapText="1"/>
    </xf>
    <xf numFmtId="0" fontId="2" fillId="20" borderId="10" xfId="0" applyFont="1" applyFill="1" applyBorder="1" applyAlignment="1">
      <alignment horizontal="center" vertical="center" wrapText="1"/>
    </xf>
    <xf numFmtId="0" fontId="7" fillId="10" borderId="2" xfId="0" applyFont="1" applyFill="1" applyBorder="1" applyAlignment="1">
      <alignment horizontal="center" vertical="center" wrapText="1"/>
    </xf>
    <xf numFmtId="0" fontId="7" fillId="22" borderId="3" xfId="0" applyFont="1" applyFill="1" applyBorder="1" applyAlignment="1">
      <alignment horizontal="center" vertical="center" wrapText="1"/>
    </xf>
    <xf numFmtId="0" fontId="2" fillId="22" borderId="3" xfId="0" applyFont="1" applyFill="1" applyBorder="1" applyAlignment="1">
      <alignment horizontal="center" vertical="center" wrapText="1"/>
    </xf>
    <xf numFmtId="0" fontId="7" fillId="13" borderId="2"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13" borderId="11" xfId="0" applyFont="1" applyFill="1" applyBorder="1" applyAlignment="1">
      <alignment horizontal="center" vertical="center" wrapText="1"/>
    </xf>
    <xf numFmtId="178" fontId="2" fillId="21" borderId="1" xfId="0" applyNumberFormat="1" applyFont="1" applyFill="1" applyBorder="1" applyAlignment="1">
      <alignment horizontal="center" vertical="center"/>
    </xf>
    <xf numFmtId="178" fontId="2" fillId="20" borderId="2" xfId="0" applyNumberFormat="1" applyFont="1" applyFill="1" applyBorder="1" applyAlignment="1">
      <alignment horizontal="center" vertical="center"/>
    </xf>
    <xf numFmtId="178" fontId="2" fillId="20" borderId="10" xfId="0" applyNumberFormat="1" applyFont="1" applyFill="1" applyBorder="1" applyAlignment="1">
      <alignment horizontal="center" vertical="center"/>
    </xf>
    <xf numFmtId="0" fontId="2" fillId="10" borderId="2" xfId="0" applyFont="1" applyFill="1" applyBorder="1" applyAlignment="1">
      <alignment horizontal="center" vertical="center"/>
    </xf>
    <xf numFmtId="178" fontId="2" fillId="10" borderId="2" xfId="0" applyNumberFormat="1" applyFont="1" applyFill="1" applyBorder="1" applyAlignment="1">
      <alignment horizontal="center" vertical="center"/>
    </xf>
    <xf numFmtId="0" fontId="7" fillId="10" borderId="2" xfId="0" applyFont="1" applyFill="1" applyBorder="1" applyAlignment="1">
      <alignment horizontal="center" vertical="center"/>
    </xf>
    <xf numFmtId="0" fontId="2" fillId="10" borderId="10" xfId="0" applyFont="1" applyFill="1" applyBorder="1" applyAlignment="1">
      <alignment horizontal="center" vertical="center"/>
    </xf>
    <xf numFmtId="178" fontId="2" fillId="10" borderId="10" xfId="0" applyNumberFormat="1" applyFont="1" applyFill="1" applyBorder="1" applyAlignment="1">
      <alignment horizontal="center" vertical="center"/>
    </xf>
    <xf numFmtId="0" fontId="2" fillId="10" borderId="11" xfId="0" applyFont="1" applyFill="1" applyBorder="1" applyAlignment="1">
      <alignment horizontal="center" vertical="center"/>
    </xf>
    <xf numFmtId="178" fontId="2" fillId="10" borderId="11" xfId="0" applyNumberFormat="1" applyFont="1" applyFill="1" applyBorder="1" applyAlignment="1">
      <alignment horizontal="center" vertical="center"/>
    </xf>
    <xf numFmtId="178" fontId="2" fillId="22" borderId="3" xfId="0" applyNumberFormat="1" applyFont="1" applyFill="1" applyBorder="1" applyAlignment="1">
      <alignment horizontal="center" vertical="center"/>
    </xf>
    <xf numFmtId="0" fontId="7" fillId="22" borderId="7" xfId="0" applyFont="1" applyFill="1" applyBorder="1" applyAlignment="1">
      <alignment horizontal="center" vertical="center"/>
    </xf>
    <xf numFmtId="0" fontId="2" fillId="22" borderId="7" xfId="0" applyFont="1" applyFill="1" applyBorder="1" applyAlignment="1">
      <alignment horizontal="center" vertical="center"/>
    </xf>
    <xf numFmtId="0" fontId="2" fillId="13" borderId="2" xfId="0" applyFont="1" applyFill="1" applyBorder="1" applyAlignment="1">
      <alignment horizontal="center" vertical="center"/>
    </xf>
    <xf numFmtId="0" fontId="2" fillId="13" borderId="2" xfId="0" applyFont="1" applyFill="1" applyBorder="1" applyAlignment="1">
      <alignment horizontal="center" vertical="center" wrapText="1"/>
    </xf>
    <xf numFmtId="178" fontId="2" fillId="13" borderId="1" xfId="0" applyNumberFormat="1" applyFont="1" applyFill="1" applyBorder="1" applyAlignment="1">
      <alignment horizontal="center" vertical="center"/>
    </xf>
    <xf numFmtId="0" fontId="7" fillId="13" borderId="2" xfId="0" applyFont="1" applyFill="1" applyBorder="1" applyAlignment="1">
      <alignment horizontal="center" vertical="center"/>
    </xf>
    <xf numFmtId="0" fontId="2" fillId="13" borderId="10" xfId="0" applyFont="1" applyFill="1" applyBorder="1" applyAlignment="1">
      <alignment horizontal="center" vertical="center"/>
    </xf>
    <xf numFmtId="0" fontId="2" fillId="13" borderId="11" xfId="0" applyFont="1" applyFill="1" applyBorder="1" applyAlignment="1">
      <alignment horizontal="center" vertical="center"/>
    </xf>
    <xf numFmtId="178" fontId="2" fillId="13" borderId="11" xfId="0" applyNumberFormat="1" applyFont="1" applyFill="1" applyBorder="1" applyAlignment="1">
      <alignment horizontal="center" vertical="center"/>
    </xf>
    <xf numFmtId="178" fontId="2" fillId="6" borderId="2" xfId="0" applyNumberFormat="1" applyFont="1" applyFill="1" applyBorder="1" applyAlignment="1">
      <alignment horizontal="center" vertical="center"/>
    </xf>
    <xf numFmtId="0" fontId="7" fillId="6" borderId="10" xfId="0" applyFont="1" applyFill="1" applyBorder="1" applyAlignment="1">
      <alignment horizontal="center" vertical="center"/>
    </xf>
    <xf numFmtId="176" fontId="7" fillId="21" borderId="2" xfId="0" applyNumberFormat="1" applyFont="1" applyFill="1" applyBorder="1" applyAlignment="1">
      <alignment horizontal="center" vertical="center" wrapText="1"/>
    </xf>
    <xf numFmtId="176" fontId="2" fillId="21" borderId="10" xfId="0" applyNumberFormat="1" applyFont="1" applyFill="1" applyBorder="1" applyAlignment="1">
      <alignment horizontal="center" vertical="center" wrapText="1"/>
    </xf>
    <xf numFmtId="9" fontId="7" fillId="20" borderId="2" xfId="0" applyNumberFormat="1" applyFont="1" applyFill="1" applyBorder="1" applyAlignment="1">
      <alignment horizontal="center" vertical="center"/>
    </xf>
    <xf numFmtId="176" fontId="2" fillId="20" borderId="2" xfId="0" applyNumberFormat="1" applyFont="1" applyFill="1" applyBorder="1" applyAlignment="1">
      <alignment horizontal="center" vertical="center"/>
    </xf>
    <xf numFmtId="0" fontId="7" fillId="20" borderId="10" xfId="0" applyFont="1" applyFill="1" applyBorder="1" applyAlignment="1">
      <alignment horizontal="center" vertical="center" wrapText="1"/>
    </xf>
    <xf numFmtId="9" fontId="7" fillId="20" borderId="11" xfId="0" applyNumberFormat="1" applyFont="1" applyFill="1" applyBorder="1" applyAlignment="1">
      <alignment horizontal="center" vertical="center"/>
    </xf>
    <xf numFmtId="176" fontId="2" fillId="20" borderId="11" xfId="0" applyNumberFormat="1" applyFont="1" applyFill="1" applyBorder="1" applyAlignment="1">
      <alignment horizontal="center" vertical="center"/>
    </xf>
    <xf numFmtId="0" fontId="7" fillId="20" borderId="11" xfId="0" applyFont="1" applyFill="1" applyBorder="1" applyAlignment="1">
      <alignment horizontal="center" vertical="center" wrapText="1"/>
    </xf>
    <xf numFmtId="9" fontId="7" fillId="20" borderId="1" xfId="0" applyNumberFormat="1" applyFont="1" applyFill="1" applyBorder="1" applyAlignment="1">
      <alignment horizontal="center" vertical="center" wrapText="1"/>
    </xf>
    <xf numFmtId="0" fontId="7" fillId="21" borderId="1" xfId="0" applyFont="1" applyFill="1" applyBorder="1" applyAlignment="1">
      <alignment vertical="center" wrapText="1"/>
    </xf>
    <xf numFmtId="9" fontId="2" fillId="21" borderId="1" xfId="0" applyNumberFormat="1" applyFont="1" applyFill="1" applyBorder="1" applyAlignment="1">
      <alignment horizontal="center" vertical="center"/>
    </xf>
    <xf numFmtId="176" fontId="2" fillId="21" borderId="1" xfId="0" applyNumberFormat="1" applyFont="1" applyFill="1" applyBorder="1" applyAlignment="1">
      <alignment horizontal="center" vertical="center"/>
    </xf>
    <xf numFmtId="0" fontId="2" fillId="20" borderId="2" xfId="0" applyFont="1" applyFill="1" applyBorder="1" applyAlignment="1">
      <alignment horizontal="center" vertical="center" wrapText="1"/>
    </xf>
    <xf numFmtId="9" fontId="2" fillId="20" borderId="2" xfId="0" applyNumberFormat="1" applyFont="1" applyFill="1" applyBorder="1" applyAlignment="1">
      <alignment horizontal="center" vertical="center"/>
    </xf>
    <xf numFmtId="0" fontId="7" fillId="20" borderId="11" xfId="0" applyFont="1" applyFill="1" applyBorder="1" applyAlignment="1">
      <alignment vertical="center" wrapText="1"/>
    </xf>
    <xf numFmtId="9" fontId="2" fillId="20" borderId="11" xfId="0" applyNumberFormat="1" applyFont="1" applyFill="1" applyBorder="1" applyAlignment="1">
      <alignment horizontal="center" vertical="center"/>
    </xf>
    <xf numFmtId="0" fontId="7" fillId="10" borderId="1" xfId="0" applyFont="1" applyFill="1" applyBorder="1" applyAlignment="1">
      <alignment vertical="center" wrapText="1"/>
    </xf>
    <xf numFmtId="9" fontId="7" fillId="10" borderId="1" xfId="0" applyNumberFormat="1" applyFont="1" applyFill="1" applyBorder="1" applyAlignment="1">
      <alignment horizontal="center" vertical="center"/>
    </xf>
    <xf numFmtId="176" fontId="2" fillId="10" borderId="1" xfId="0" applyNumberFormat="1" applyFont="1" applyFill="1" applyBorder="1" applyAlignment="1">
      <alignment horizontal="center" vertical="center"/>
    </xf>
    <xf numFmtId="9" fontId="7" fillId="10" borderId="2" xfId="0" applyNumberFormat="1" applyFont="1" applyFill="1" applyBorder="1" applyAlignment="1">
      <alignment horizontal="center" vertical="center"/>
    </xf>
    <xf numFmtId="176" fontId="2" fillId="10" borderId="2" xfId="0" applyNumberFormat="1" applyFont="1" applyFill="1" applyBorder="1" applyAlignment="1">
      <alignment horizontal="center" vertical="center"/>
    </xf>
    <xf numFmtId="0" fontId="7" fillId="10" borderId="11" xfId="0" applyFont="1" applyFill="1" applyBorder="1" applyAlignment="1">
      <alignment horizontal="center" vertical="center" wrapText="1"/>
    </xf>
    <xf numFmtId="9" fontId="7" fillId="10" borderId="11" xfId="0" applyNumberFormat="1" applyFont="1" applyFill="1" applyBorder="1" applyAlignment="1">
      <alignment horizontal="center" vertical="center"/>
    </xf>
    <xf numFmtId="176" fontId="2" fillId="10" borderId="11" xfId="0" applyNumberFormat="1" applyFont="1" applyFill="1" applyBorder="1" applyAlignment="1">
      <alignment horizontal="center" vertical="center"/>
    </xf>
    <xf numFmtId="0" fontId="2" fillId="10" borderId="1" xfId="0" applyFont="1" applyFill="1" applyBorder="1" applyAlignment="1">
      <alignment horizontal="center" vertical="center" wrapText="1"/>
    </xf>
    <xf numFmtId="9" fontId="2" fillId="10" borderId="1" xfId="0" applyNumberFormat="1" applyFont="1" applyFill="1" applyBorder="1" applyAlignment="1">
      <alignment horizontal="center" vertical="center"/>
    </xf>
    <xf numFmtId="0" fontId="2" fillId="22" borderId="1" xfId="0" applyFont="1" applyFill="1" applyBorder="1" applyAlignment="1">
      <alignment horizontal="center" vertical="center" wrapText="1"/>
    </xf>
    <xf numFmtId="0" fontId="7" fillId="22" borderId="19" xfId="0" applyFont="1" applyFill="1" applyBorder="1" applyAlignment="1">
      <alignment vertical="center" wrapText="1"/>
    </xf>
    <xf numFmtId="9" fontId="2" fillId="22" borderId="7" xfId="0" applyNumberFormat="1" applyFont="1" applyFill="1" applyBorder="1" applyAlignment="1">
      <alignment horizontal="center" vertical="center"/>
    </xf>
    <xf numFmtId="176" fontId="2" fillId="22" borderId="1" xfId="0" applyNumberFormat="1" applyFont="1" applyFill="1" applyBorder="1" applyAlignment="1">
      <alignment horizontal="center" vertical="center"/>
    </xf>
    <xf numFmtId="0" fontId="2" fillId="22" borderId="2" xfId="0" applyFont="1" applyFill="1" applyBorder="1" applyAlignment="1">
      <alignment horizontal="center" vertical="center" wrapText="1"/>
    </xf>
    <xf numFmtId="0" fontId="7" fillId="22" borderId="0" xfId="0" applyFont="1" applyFill="1" applyBorder="1" applyAlignment="1">
      <alignment horizontal="center" vertical="center" wrapText="1"/>
    </xf>
    <xf numFmtId="9" fontId="2" fillId="22" borderId="1" xfId="0" applyNumberFormat="1" applyFont="1" applyFill="1" applyBorder="1" applyAlignment="1">
      <alignment horizontal="center" vertical="center"/>
    </xf>
    <xf numFmtId="176" fontId="2" fillId="22" borderId="2" xfId="0" applyNumberFormat="1" applyFont="1" applyFill="1" applyBorder="1" applyAlignment="1">
      <alignment horizontal="center" vertical="center"/>
    </xf>
    <xf numFmtId="0" fontId="2" fillId="22" borderId="11" xfId="0" applyFont="1" applyFill="1" applyBorder="1" applyAlignment="1">
      <alignment horizontal="center" vertical="center" wrapText="1"/>
    </xf>
    <xf numFmtId="0" fontId="7" fillId="22" borderId="17" xfId="0" applyFont="1" applyFill="1" applyBorder="1" applyAlignment="1">
      <alignment vertical="center" wrapText="1"/>
    </xf>
    <xf numFmtId="176" fontId="2" fillId="22" borderId="11" xfId="0" applyNumberFormat="1" applyFont="1" applyFill="1" applyBorder="1" applyAlignment="1">
      <alignment horizontal="center" vertical="center"/>
    </xf>
    <xf numFmtId="0" fontId="7" fillId="22" borderId="21" xfId="0" applyFont="1" applyFill="1" applyBorder="1" applyAlignment="1">
      <alignment horizontal="center" vertical="center" wrapText="1"/>
    </xf>
    <xf numFmtId="9" fontId="2" fillId="22" borderId="8" xfId="0" applyNumberFormat="1" applyFont="1" applyFill="1" applyBorder="1" applyAlignment="1">
      <alignment horizontal="center" vertical="center"/>
    </xf>
    <xf numFmtId="0" fontId="7" fillId="22" borderId="21" xfId="0" applyFont="1" applyFill="1" applyBorder="1" applyAlignment="1">
      <alignment vertical="center" wrapText="1"/>
    </xf>
    <xf numFmtId="0" fontId="2" fillId="13" borderId="1" xfId="0" applyFont="1" applyFill="1" applyBorder="1" applyAlignment="1">
      <alignment horizontal="center" vertical="center" wrapText="1"/>
    </xf>
    <xf numFmtId="0" fontId="7" fillId="13" borderId="1" xfId="0" applyFont="1" applyFill="1" applyBorder="1" applyAlignment="1">
      <alignment vertical="center" wrapText="1"/>
    </xf>
    <xf numFmtId="9" fontId="2" fillId="13" borderId="1" xfId="0" applyNumberFormat="1" applyFont="1" applyFill="1" applyBorder="1" applyAlignment="1">
      <alignment horizontal="center" vertical="center"/>
    </xf>
    <xf numFmtId="176" fontId="2" fillId="13" borderId="1" xfId="0" applyNumberFormat="1" applyFont="1" applyFill="1" applyBorder="1" applyAlignment="1">
      <alignment horizontal="center" vertical="center"/>
    </xf>
    <xf numFmtId="0" fontId="2" fillId="6" borderId="1" xfId="0" applyNumberFormat="1" applyFont="1" applyFill="1" applyBorder="1" applyAlignment="1">
      <alignment horizontal="center" vertical="center" wrapText="1"/>
    </xf>
    <xf numFmtId="9" fontId="7" fillId="6" borderId="1" xfId="0" applyNumberFormat="1" applyFont="1" applyFill="1" applyBorder="1" applyAlignment="1">
      <alignment horizontal="center" vertical="center" wrapText="1"/>
    </xf>
    <xf numFmtId="9" fontId="2" fillId="6" borderId="1" xfId="0" applyNumberFormat="1" applyFont="1" applyFill="1" applyBorder="1" applyAlignment="1">
      <alignment horizontal="center" vertical="center"/>
    </xf>
    <xf numFmtId="0" fontId="2" fillId="6" borderId="2" xfId="0" applyNumberFormat="1" applyFont="1" applyFill="1" applyBorder="1" applyAlignment="1">
      <alignment horizontal="center" vertical="center" wrapText="1"/>
    </xf>
    <xf numFmtId="9" fontId="7" fillId="6" borderId="2" xfId="0" applyNumberFormat="1" applyFont="1" applyFill="1" applyBorder="1" applyAlignment="1">
      <alignment horizontal="center" vertical="center" wrapText="1"/>
    </xf>
    <xf numFmtId="9" fontId="2" fillId="6" borderId="2" xfId="0" applyNumberFormat="1" applyFont="1" applyFill="1" applyBorder="1" applyAlignment="1">
      <alignment horizontal="center" vertical="center"/>
    </xf>
    <xf numFmtId="176" fontId="2" fillId="6" borderId="2" xfId="0" applyNumberFormat="1" applyFont="1" applyFill="1" applyBorder="1" applyAlignment="1">
      <alignment horizontal="center" vertical="center"/>
    </xf>
    <xf numFmtId="0" fontId="7" fillId="6" borderId="11" xfId="0" applyNumberFormat="1" applyFont="1" applyFill="1" applyBorder="1" applyAlignment="1">
      <alignment horizontal="center" vertical="center" wrapText="1"/>
    </xf>
    <xf numFmtId="9" fontId="7" fillId="6" borderId="11" xfId="0" applyNumberFormat="1" applyFont="1" applyFill="1" applyBorder="1" applyAlignment="1">
      <alignment horizontal="center" vertical="center" wrapText="1"/>
    </xf>
    <xf numFmtId="9" fontId="7" fillId="6" borderId="11" xfId="0" applyNumberFormat="1" applyFont="1" applyFill="1" applyBorder="1" applyAlignment="1">
      <alignment horizontal="center" vertical="center"/>
    </xf>
    <xf numFmtId="0" fontId="7" fillId="6" borderId="1" xfId="0" applyNumberFormat="1" applyFont="1" applyFill="1" applyBorder="1" applyAlignment="1">
      <alignment horizontal="center" vertical="center" wrapText="1"/>
    </xf>
    <xf numFmtId="9" fontId="7" fillId="6" borderId="1" xfId="0" applyNumberFormat="1" applyFont="1" applyFill="1" applyBorder="1" applyAlignment="1">
      <alignment horizontal="center" vertical="center"/>
    </xf>
    <xf numFmtId="0" fontId="2" fillId="21" borderId="1" xfId="0" applyNumberFormat="1" applyFont="1" applyFill="1" applyBorder="1" applyAlignment="1">
      <alignment horizontal="center" vertical="center" wrapText="1"/>
    </xf>
    <xf numFmtId="9" fontId="7" fillId="21" borderId="1" xfId="0" applyNumberFormat="1" applyFont="1" applyFill="1" applyBorder="1" applyAlignment="1">
      <alignment horizontal="center" vertical="center" wrapText="1"/>
    </xf>
    <xf numFmtId="176" fontId="11" fillId="20" borderId="1" xfId="0" applyNumberFormat="1" applyFont="1" applyFill="1" applyBorder="1" applyAlignment="1">
      <alignment horizontal="center" vertical="center" wrapText="1"/>
    </xf>
    <xf numFmtId="0" fontId="11" fillId="20" borderId="1" xfId="0" applyFont="1" applyFill="1" applyBorder="1" applyAlignment="1">
      <alignment horizontal="center" vertical="center" wrapText="1"/>
    </xf>
    <xf numFmtId="177" fontId="11" fillId="20" borderId="1" xfId="0" applyNumberFormat="1" applyFont="1" applyFill="1" applyBorder="1" applyAlignment="1">
      <alignment horizontal="center" vertical="center" wrapText="1"/>
    </xf>
    <xf numFmtId="176" fontId="2" fillId="20" borderId="1" xfId="0" applyNumberFormat="1" applyFont="1" applyFill="1" applyBorder="1" applyAlignment="1">
      <alignment horizontal="center" vertical="center" wrapText="1"/>
    </xf>
    <xf numFmtId="176" fontId="2" fillId="21" borderId="1" xfId="0" applyNumberFormat="1" applyFont="1" applyFill="1" applyBorder="1" applyAlignment="1">
      <alignment horizontal="center" vertical="center" wrapText="1"/>
    </xf>
    <xf numFmtId="176" fontId="10" fillId="20" borderId="1" xfId="0" applyNumberFormat="1" applyFont="1" applyFill="1" applyBorder="1" applyAlignment="1">
      <alignment horizontal="center" vertical="center" wrapText="1"/>
    </xf>
    <xf numFmtId="176" fontId="15" fillId="20" borderId="1" xfId="0" applyNumberFormat="1" applyFont="1" applyFill="1" applyBorder="1" applyAlignment="1">
      <alignment horizontal="center" vertical="center" wrapText="1"/>
    </xf>
    <xf numFmtId="176" fontId="11" fillId="20" borderId="1" xfId="0" applyNumberFormat="1" applyFont="1" applyFill="1" applyBorder="1" applyAlignment="1">
      <alignment horizontal="center" vertical="center"/>
    </xf>
    <xf numFmtId="176" fontId="2" fillId="10" borderId="1" xfId="0" applyNumberFormat="1" applyFont="1" applyFill="1" applyBorder="1" applyAlignment="1">
      <alignment horizontal="center" vertical="center" wrapText="1"/>
    </xf>
    <xf numFmtId="0" fontId="7" fillId="10" borderId="1" xfId="0" applyFont="1" applyFill="1" applyBorder="1" applyAlignment="1">
      <alignment horizontal="center" vertical="center" wrapText="1"/>
    </xf>
    <xf numFmtId="176" fontId="2" fillId="10" borderId="2" xfId="0" applyNumberFormat="1" applyFont="1" applyFill="1" applyBorder="1" applyAlignment="1">
      <alignment horizontal="center" vertical="center" wrapText="1"/>
    </xf>
    <xf numFmtId="177" fontId="2" fillId="10" borderId="2" xfId="0" applyNumberFormat="1" applyFont="1" applyFill="1" applyBorder="1" applyAlignment="1">
      <alignment horizontal="center" vertical="center" wrapText="1"/>
    </xf>
    <xf numFmtId="176" fontId="2" fillId="10" borderId="11" xfId="0" applyNumberFormat="1" applyFont="1" applyFill="1" applyBorder="1" applyAlignment="1">
      <alignment horizontal="center" vertical="center" wrapText="1"/>
    </xf>
    <xf numFmtId="177" fontId="2" fillId="10" borderId="11" xfId="0" applyNumberFormat="1" applyFont="1" applyFill="1" applyBorder="1" applyAlignment="1">
      <alignment horizontal="center" vertical="center" wrapText="1"/>
    </xf>
    <xf numFmtId="176" fontId="11" fillId="10" borderId="1" xfId="0" applyNumberFormat="1" applyFont="1" applyFill="1" applyBorder="1" applyAlignment="1">
      <alignment horizontal="center" vertical="center" wrapText="1"/>
    </xf>
    <xf numFmtId="0" fontId="11" fillId="10" borderId="1" xfId="0" applyFont="1" applyFill="1" applyBorder="1" applyAlignment="1">
      <alignment horizontal="center" vertical="center" wrapText="1"/>
    </xf>
    <xf numFmtId="177" fontId="11" fillId="10" borderId="1" xfId="0" applyNumberFormat="1" applyFont="1" applyFill="1" applyBorder="1" applyAlignment="1">
      <alignment horizontal="center" vertical="center" wrapText="1"/>
    </xf>
    <xf numFmtId="176" fontId="2" fillId="22" borderId="1" xfId="0" applyNumberFormat="1" applyFont="1" applyFill="1" applyBorder="1" applyAlignment="1">
      <alignment horizontal="center" vertical="center" wrapText="1"/>
    </xf>
    <xf numFmtId="0" fontId="7" fillId="22" borderId="1" xfId="0" applyFont="1" applyFill="1" applyBorder="1" applyAlignment="1">
      <alignment horizontal="center" vertical="center" wrapText="1"/>
    </xf>
    <xf numFmtId="177" fontId="2" fillId="22" borderId="1" xfId="0" applyNumberFormat="1" applyFont="1" applyFill="1" applyBorder="1" applyAlignment="1">
      <alignment horizontal="center" vertical="center" wrapText="1"/>
    </xf>
    <xf numFmtId="176" fontId="11" fillId="22" borderId="1" xfId="0" applyNumberFormat="1" applyFont="1" applyFill="1" applyBorder="1" applyAlignment="1">
      <alignment horizontal="center" vertical="center" wrapText="1"/>
    </xf>
    <xf numFmtId="0" fontId="11" fillId="22" borderId="1" xfId="0" applyFont="1" applyFill="1" applyBorder="1" applyAlignment="1">
      <alignment horizontal="center" vertical="center" wrapText="1"/>
    </xf>
    <xf numFmtId="177" fontId="11" fillId="22" borderId="1" xfId="0" applyNumberFormat="1" applyFont="1" applyFill="1" applyBorder="1" applyAlignment="1">
      <alignment horizontal="center" vertical="center" wrapText="1"/>
    </xf>
    <xf numFmtId="176" fontId="8" fillId="22" borderId="1" xfId="0" applyNumberFormat="1" applyFont="1" applyFill="1" applyBorder="1" applyAlignment="1">
      <alignment horizontal="center" vertical="center" wrapText="1"/>
    </xf>
    <xf numFmtId="0" fontId="8" fillId="22" borderId="1" xfId="0" applyFont="1" applyFill="1" applyBorder="1" applyAlignment="1">
      <alignment horizontal="center" vertical="center" wrapText="1"/>
    </xf>
    <xf numFmtId="177" fontId="8" fillId="22" borderId="1" xfId="0" applyNumberFormat="1" applyFont="1" applyFill="1" applyBorder="1" applyAlignment="1">
      <alignment horizontal="center" vertical="center" wrapText="1"/>
    </xf>
    <xf numFmtId="176" fontId="2" fillId="22" borderId="2" xfId="0" applyNumberFormat="1" applyFont="1" applyFill="1" applyBorder="1" applyAlignment="1">
      <alignment horizontal="center" vertical="center" wrapText="1"/>
    </xf>
    <xf numFmtId="177" fontId="2" fillId="22" borderId="2" xfId="0" applyNumberFormat="1" applyFont="1" applyFill="1" applyBorder="1" applyAlignment="1">
      <alignment horizontal="center" vertical="center" wrapText="1"/>
    </xf>
    <xf numFmtId="176" fontId="10" fillId="13" borderId="1" xfId="0" applyNumberFormat="1" applyFont="1" applyFill="1" applyBorder="1" applyAlignment="1">
      <alignment horizontal="center" vertical="center" wrapText="1"/>
    </xf>
    <xf numFmtId="0" fontId="8" fillId="13" borderId="1" xfId="0" applyFont="1" applyFill="1" applyBorder="1" applyAlignment="1">
      <alignment horizontal="center" vertical="center" wrapText="1"/>
    </xf>
    <xf numFmtId="177" fontId="10" fillId="13" borderId="1" xfId="0" applyNumberFormat="1" applyFont="1" applyFill="1" applyBorder="1" applyAlignment="1">
      <alignment horizontal="center" vertical="center" wrapText="1"/>
    </xf>
    <xf numFmtId="176" fontId="2" fillId="13" borderId="1" xfId="0" applyNumberFormat="1" applyFont="1" applyFill="1" applyBorder="1" applyAlignment="1">
      <alignment horizontal="center" vertical="center" wrapText="1"/>
    </xf>
    <xf numFmtId="176" fontId="7" fillId="13" borderId="1" xfId="0" applyNumberFormat="1" applyFont="1" applyFill="1" applyBorder="1" applyAlignment="1">
      <alignment horizontal="center" vertical="center" wrapText="1"/>
    </xf>
    <xf numFmtId="0" fontId="7" fillId="13" borderId="1" xfId="0" applyFont="1" applyFill="1" applyBorder="1" applyAlignment="1">
      <alignment horizontal="center" vertical="center" wrapText="1"/>
    </xf>
    <xf numFmtId="177" fontId="7" fillId="13" borderId="1" xfId="0" applyNumberFormat="1" applyFont="1" applyFill="1" applyBorder="1" applyAlignment="1">
      <alignment horizontal="center" vertical="center" wrapText="1"/>
    </xf>
    <xf numFmtId="176" fontId="11" fillId="13" borderId="1" xfId="0" applyNumberFormat="1" applyFont="1" applyFill="1" applyBorder="1" applyAlignment="1">
      <alignment horizontal="center" vertical="center" wrapText="1"/>
    </xf>
    <xf numFmtId="0" fontId="11" fillId="13" borderId="1" xfId="0" applyFont="1" applyFill="1" applyBorder="1" applyAlignment="1">
      <alignment horizontal="center" vertical="center" wrapText="1"/>
    </xf>
    <xf numFmtId="177" fontId="11" fillId="13" borderId="1" xfId="0" applyNumberFormat="1" applyFont="1" applyFill="1" applyBorder="1" applyAlignment="1">
      <alignment horizontal="center" vertical="center" wrapText="1"/>
    </xf>
    <xf numFmtId="177" fontId="2" fillId="13" borderId="1" xfId="0" applyNumberFormat="1" applyFont="1" applyFill="1" applyBorder="1" applyAlignment="1">
      <alignment horizontal="center" vertical="center" wrapText="1"/>
    </xf>
    <xf numFmtId="176" fontId="7" fillId="6" borderId="1" xfId="0" applyNumberFormat="1" applyFont="1" applyFill="1" applyBorder="1" applyAlignment="1">
      <alignment horizontal="center" vertical="center" wrapText="1"/>
    </xf>
    <xf numFmtId="177" fontId="7" fillId="6" borderId="1" xfId="0" applyNumberFormat="1" applyFont="1" applyFill="1" applyBorder="1" applyAlignment="1">
      <alignment horizontal="center" vertical="center" wrapText="1"/>
    </xf>
    <xf numFmtId="176" fontId="7" fillId="6" borderId="2" xfId="0" applyNumberFormat="1" applyFont="1" applyFill="1" applyBorder="1" applyAlignment="1">
      <alignment horizontal="center" vertical="center" wrapText="1"/>
    </xf>
    <xf numFmtId="177" fontId="7" fillId="6" borderId="2" xfId="0" applyNumberFormat="1" applyFont="1" applyFill="1" applyBorder="1" applyAlignment="1">
      <alignment horizontal="center" vertical="center" wrapText="1"/>
    </xf>
    <xf numFmtId="176" fontId="7" fillId="6" borderId="11" xfId="0" applyNumberFormat="1" applyFont="1" applyFill="1" applyBorder="1" applyAlignment="1">
      <alignment horizontal="center" vertical="center" wrapText="1"/>
    </xf>
    <xf numFmtId="177" fontId="7" fillId="6" borderId="11" xfId="0" applyNumberFormat="1" applyFont="1" applyFill="1" applyBorder="1" applyAlignment="1">
      <alignment horizontal="center" vertical="center" wrapText="1"/>
    </xf>
    <xf numFmtId="176" fontId="2" fillId="6" borderId="1" xfId="0" applyNumberFormat="1" applyFont="1" applyFill="1" applyBorder="1" applyAlignment="1">
      <alignment horizontal="center" vertical="center" wrapText="1"/>
    </xf>
    <xf numFmtId="177" fontId="2" fillId="6" borderId="1" xfId="0" applyNumberFormat="1" applyFont="1" applyFill="1" applyBorder="1" applyAlignment="1">
      <alignment horizontal="center" vertical="center" wrapText="1"/>
    </xf>
    <xf numFmtId="14" fontId="2" fillId="21" borderId="1" xfId="0" applyNumberFormat="1" applyFont="1" applyFill="1" applyBorder="1" applyAlignment="1">
      <alignment horizontal="center" vertical="center" wrapText="1"/>
    </xf>
    <xf numFmtId="14" fontId="2" fillId="20" borderId="1" xfId="0" applyNumberFormat="1" applyFont="1" applyFill="1" applyBorder="1" applyAlignment="1">
      <alignment horizontal="center" vertical="center" wrapText="1"/>
    </xf>
    <xf numFmtId="14" fontId="2" fillId="10" borderId="1" xfId="0" applyNumberFormat="1" applyFont="1" applyFill="1" applyBorder="1" applyAlignment="1">
      <alignment horizontal="center" vertical="center" wrapText="1"/>
    </xf>
    <xf numFmtId="14" fontId="2" fillId="10" borderId="2" xfId="0" applyNumberFormat="1" applyFont="1" applyFill="1" applyBorder="1" applyAlignment="1">
      <alignment horizontal="center" vertical="center" wrapText="1"/>
    </xf>
    <xf numFmtId="14" fontId="2" fillId="10" borderId="11" xfId="0" applyNumberFormat="1" applyFont="1" applyFill="1" applyBorder="1" applyAlignment="1">
      <alignment horizontal="center" vertical="center" wrapText="1"/>
    </xf>
    <xf numFmtId="176" fontId="11" fillId="10" borderId="1" xfId="0" applyNumberFormat="1" applyFont="1" applyFill="1" applyBorder="1" applyAlignment="1">
      <alignment horizontal="center" vertical="center"/>
    </xf>
    <xf numFmtId="14" fontId="2" fillId="22" borderId="1" xfId="0" applyNumberFormat="1" applyFont="1" applyFill="1" applyBorder="1" applyAlignment="1">
      <alignment horizontal="center" vertical="center" wrapText="1"/>
    </xf>
    <xf numFmtId="177" fontId="7" fillId="22" borderId="1" xfId="0" applyNumberFormat="1" applyFont="1" applyFill="1" applyBorder="1" applyAlignment="1">
      <alignment horizontal="center" vertical="center" wrapText="1"/>
    </xf>
    <xf numFmtId="176" fontId="10" fillId="22" borderId="1" xfId="0" applyNumberFormat="1" applyFont="1" applyFill="1" applyBorder="1" applyAlignment="1">
      <alignment horizontal="center" vertical="center" wrapText="1"/>
    </xf>
    <xf numFmtId="14" fontId="2" fillId="22" borderId="2" xfId="0" applyNumberFormat="1" applyFont="1" applyFill="1" applyBorder="1" applyAlignment="1">
      <alignment horizontal="center" vertical="center" wrapText="1"/>
    </xf>
    <xf numFmtId="14" fontId="2" fillId="13" borderId="1" xfId="0" applyNumberFormat="1" applyFont="1" applyFill="1" applyBorder="1" applyAlignment="1">
      <alignment horizontal="center" vertical="center" wrapText="1"/>
    </xf>
    <xf numFmtId="176" fontId="10" fillId="13" borderId="1" xfId="0" applyNumberFormat="1" applyFont="1" applyFill="1" applyBorder="1" applyAlignment="1">
      <alignment horizontal="center" vertical="center"/>
    </xf>
    <xf numFmtId="14" fontId="2" fillId="6" borderId="1" xfId="0" applyNumberFormat="1" applyFont="1" applyFill="1" applyBorder="1" applyAlignment="1">
      <alignment horizontal="center" vertical="center" wrapText="1"/>
    </xf>
    <xf numFmtId="176" fontId="10" fillId="6" borderId="1" xfId="0" applyNumberFormat="1" applyFont="1" applyFill="1" applyBorder="1" applyAlignment="1">
      <alignment horizontal="center" vertical="center" wrapText="1"/>
    </xf>
    <xf numFmtId="14" fontId="7" fillId="6" borderId="1" xfId="0" applyNumberFormat="1" applyFont="1" applyFill="1" applyBorder="1" applyAlignment="1">
      <alignment horizontal="center" vertical="center" wrapText="1"/>
    </xf>
    <xf numFmtId="0" fontId="10" fillId="20" borderId="1" xfId="0" applyFont="1" applyFill="1" applyBorder="1" applyAlignment="1">
      <alignment horizontal="center" vertical="center"/>
    </xf>
    <xf numFmtId="14" fontId="2" fillId="21" borderId="1" xfId="0" applyNumberFormat="1" applyFont="1" applyFill="1" applyBorder="1" applyAlignment="1">
      <alignment horizontal="center" vertical="center"/>
    </xf>
    <xf numFmtId="0" fontId="2" fillId="21" borderId="1" xfId="0" applyFont="1" applyFill="1" applyBorder="1">
      <alignment vertical="center"/>
    </xf>
    <xf numFmtId="14" fontId="2" fillId="10" borderId="1" xfId="0" applyNumberFormat="1" applyFont="1" applyFill="1" applyBorder="1" applyAlignment="1">
      <alignment horizontal="center" vertical="center"/>
    </xf>
    <xf numFmtId="0" fontId="2" fillId="10" borderId="1" xfId="0" applyFont="1" applyFill="1" applyBorder="1">
      <alignment vertical="center"/>
    </xf>
    <xf numFmtId="14" fontId="11" fillId="10" borderId="1" xfId="0" applyNumberFormat="1" applyFont="1" applyFill="1" applyBorder="1" applyAlignment="1">
      <alignment horizontal="center" vertical="center"/>
    </xf>
    <xf numFmtId="14" fontId="2" fillId="22" borderId="1" xfId="0" applyNumberFormat="1" applyFont="1" applyFill="1" applyBorder="1" applyAlignment="1">
      <alignment horizontal="center" vertical="center"/>
    </xf>
    <xf numFmtId="0" fontId="2" fillId="22" borderId="1" xfId="0" applyFont="1" applyFill="1" applyBorder="1">
      <alignment vertical="center"/>
    </xf>
    <xf numFmtId="0" fontId="2" fillId="22" borderId="1" xfId="0" applyFont="1" applyFill="1" applyBorder="1" applyAlignment="1">
      <alignment horizontal="center" vertical="center"/>
    </xf>
    <xf numFmtId="14" fontId="2" fillId="22" borderId="2" xfId="0" applyNumberFormat="1" applyFont="1" applyFill="1" applyBorder="1" applyAlignment="1">
      <alignment horizontal="center" vertical="center"/>
    </xf>
    <xf numFmtId="0" fontId="2" fillId="22" borderId="2" xfId="0" applyFont="1" applyFill="1" applyBorder="1">
      <alignment vertical="center"/>
    </xf>
    <xf numFmtId="0" fontId="2" fillId="22" borderId="2" xfId="0" applyFont="1" applyFill="1" applyBorder="1" applyAlignment="1">
      <alignment horizontal="center" vertical="center"/>
    </xf>
    <xf numFmtId="14" fontId="2" fillId="13" borderId="1" xfId="0" applyNumberFormat="1" applyFont="1" applyFill="1" applyBorder="1" applyAlignment="1">
      <alignment horizontal="center" vertical="center"/>
    </xf>
    <xf numFmtId="0" fontId="2" fillId="13" borderId="1" xfId="0" applyFont="1" applyFill="1" applyBorder="1">
      <alignment vertical="center"/>
    </xf>
    <xf numFmtId="0" fontId="7" fillId="6" borderId="1" xfId="0" applyFont="1" applyFill="1" applyBorder="1">
      <alignment vertical="center"/>
    </xf>
    <xf numFmtId="0" fontId="7" fillId="21" borderId="11" xfId="0" applyFont="1" applyFill="1" applyBorder="1" applyAlignment="1">
      <alignment horizontal="center" vertical="center"/>
    </xf>
    <xf numFmtId="0" fontId="7" fillId="30" borderId="1" xfId="0" applyFont="1" applyFill="1" applyBorder="1" applyAlignment="1">
      <alignment horizontal="center" vertical="center"/>
    </xf>
    <xf numFmtId="177" fontId="2" fillId="30" borderId="2" xfId="0" applyNumberFormat="1" applyFont="1" applyFill="1" applyBorder="1" applyAlignment="1">
      <alignment horizontal="center" vertical="center" wrapText="1"/>
    </xf>
    <xf numFmtId="49" fontId="7" fillId="30" borderId="2" xfId="0" applyNumberFormat="1" applyFont="1" applyFill="1" applyBorder="1" applyAlignment="1">
      <alignment horizontal="center" vertical="center" wrapText="1"/>
    </xf>
    <xf numFmtId="177" fontId="2" fillId="30" borderId="10" xfId="0" applyNumberFormat="1" applyFont="1" applyFill="1" applyBorder="1" applyAlignment="1">
      <alignment horizontal="center" vertical="center" wrapText="1"/>
    </xf>
    <xf numFmtId="49" fontId="7" fillId="30" borderId="10" xfId="0" applyNumberFormat="1" applyFont="1" applyFill="1" applyBorder="1" applyAlignment="1">
      <alignment horizontal="center" vertical="center" wrapText="1"/>
    </xf>
    <xf numFmtId="0" fontId="2" fillId="30" borderId="1" xfId="0" applyFont="1" applyFill="1" applyBorder="1" applyAlignment="1">
      <alignment horizontal="center" vertical="center"/>
    </xf>
    <xf numFmtId="49" fontId="2" fillId="30" borderId="10" xfId="0" applyNumberFormat="1" applyFont="1" applyFill="1" applyBorder="1" applyAlignment="1">
      <alignment horizontal="center" vertical="center" wrapText="1"/>
    </xf>
    <xf numFmtId="177" fontId="2" fillId="30" borderId="11" xfId="0" applyNumberFormat="1" applyFont="1" applyFill="1" applyBorder="1" applyAlignment="1">
      <alignment horizontal="center" vertical="center" wrapText="1"/>
    </xf>
    <xf numFmtId="49" fontId="2" fillId="30" borderId="11" xfId="0" applyNumberFormat="1" applyFont="1" applyFill="1" applyBorder="1" applyAlignment="1">
      <alignment horizontal="center" vertical="center" wrapText="1"/>
    </xf>
    <xf numFmtId="0" fontId="2" fillId="21" borderId="10" xfId="0" applyFont="1" applyFill="1" applyBorder="1" applyAlignment="1">
      <alignment horizontal="center" vertical="center"/>
    </xf>
    <xf numFmtId="0" fontId="2" fillId="21" borderId="10" xfId="0" applyFont="1" applyFill="1" applyBorder="1" applyAlignment="1">
      <alignment horizontal="center" vertical="center" wrapText="1"/>
    </xf>
    <xf numFmtId="0" fontId="2" fillId="21" borderId="11" xfId="0" applyFont="1" applyFill="1" applyBorder="1" applyAlignment="1">
      <alignment horizontal="center" vertical="center"/>
    </xf>
    <xf numFmtId="0" fontId="2" fillId="21" borderId="11" xfId="0" applyFont="1" applyFill="1" applyBorder="1" applyAlignment="1">
      <alignment horizontal="center" vertical="center" wrapText="1"/>
    </xf>
    <xf numFmtId="0" fontId="7" fillId="18" borderId="1" xfId="0" applyFont="1" applyFill="1" applyBorder="1" applyAlignment="1">
      <alignment horizontal="center" vertical="center"/>
    </xf>
    <xf numFmtId="177" fontId="2" fillId="18" borderId="2" xfId="0" applyNumberFormat="1" applyFont="1" applyFill="1" applyBorder="1" applyAlignment="1">
      <alignment horizontal="center" vertical="center" wrapText="1"/>
    </xf>
    <xf numFmtId="49" fontId="7" fillId="18" borderId="2" xfId="0" applyNumberFormat="1" applyFont="1" applyFill="1" applyBorder="1" applyAlignment="1">
      <alignment horizontal="center" vertical="center" wrapText="1"/>
    </xf>
    <xf numFmtId="0" fontId="2" fillId="18" borderId="1" xfId="0" applyFont="1" applyFill="1" applyBorder="1" applyAlignment="1">
      <alignment horizontal="center" vertical="center"/>
    </xf>
    <xf numFmtId="177" fontId="2" fillId="18" borderId="10" xfId="0" applyNumberFormat="1" applyFont="1" applyFill="1" applyBorder="1" applyAlignment="1">
      <alignment horizontal="center" vertical="center" wrapText="1"/>
    </xf>
    <xf numFmtId="49" fontId="2" fillId="18" borderId="10" xfId="0" applyNumberFormat="1" applyFont="1" applyFill="1" applyBorder="1" applyAlignment="1">
      <alignment horizontal="center" vertical="center" wrapText="1"/>
    </xf>
    <xf numFmtId="177" fontId="2" fillId="18" borderId="11" xfId="0" applyNumberFormat="1" applyFont="1" applyFill="1" applyBorder="1" applyAlignment="1">
      <alignment horizontal="center" vertical="center" wrapText="1"/>
    </xf>
    <xf numFmtId="49" fontId="2" fillId="18" borderId="11" xfId="0" applyNumberFormat="1" applyFont="1" applyFill="1" applyBorder="1" applyAlignment="1">
      <alignment horizontal="center" vertical="center" wrapText="1"/>
    </xf>
    <xf numFmtId="177" fontId="2" fillId="28" borderId="4" xfId="0" applyNumberFormat="1" applyFont="1" applyFill="1" applyBorder="1" applyAlignment="1">
      <alignment horizontal="center" vertical="center" wrapText="1"/>
    </xf>
    <xf numFmtId="49" fontId="2" fillId="28" borderId="4" xfId="0" applyNumberFormat="1" applyFont="1" applyFill="1" applyBorder="1" applyAlignment="1">
      <alignment horizontal="center" vertical="center" wrapText="1"/>
    </xf>
    <xf numFmtId="0" fontId="2" fillId="28" borderId="4" xfId="0" applyFont="1" applyFill="1" applyBorder="1" applyAlignment="1">
      <alignment horizontal="center" vertical="center" wrapText="1"/>
    </xf>
    <xf numFmtId="49" fontId="2" fillId="3" borderId="6" xfId="0" applyNumberFormat="1" applyFont="1" applyFill="1" applyBorder="1" applyAlignment="1">
      <alignment horizontal="center" vertical="center" wrapText="1"/>
    </xf>
    <xf numFmtId="49" fontId="2" fillId="3" borderId="3" xfId="0" applyNumberFormat="1" applyFont="1" applyFill="1" applyBorder="1" applyAlignment="1">
      <alignment horizontal="center" vertical="center" wrapText="1"/>
    </xf>
    <xf numFmtId="177" fontId="2" fillId="0" borderId="6" xfId="0" applyNumberFormat="1" applyFont="1" applyBorder="1" applyAlignment="1">
      <alignment horizontal="center" vertical="center"/>
    </xf>
    <xf numFmtId="49" fontId="2" fillId="0" borderId="6" xfId="0" applyNumberFormat="1" applyFont="1" applyBorder="1" applyAlignment="1">
      <alignment horizontal="center" vertical="center" wrapText="1"/>
    </xf>
    <xf numFmtId="0" fontId="2" fillId="0" borderId="3" xfId="0" applyFont="1" applyBorder="1" applyAlignment="1">
      <alignment horizontal="center" vertical="center"/>
    </xf>
    <xf numFmtId="177" fontId="2" fillId="0" borderId="3" xfId="0" applyNumberFormat="1" applyFont="1" applyBorder="1" applyAlignment="1">
      <alignment horizontal="center" vertical="center"/>
    </xf>
    <xf numFmtId="49" fontId="2" fillId="0" borderId="3" xfId="0" applyNumberFormat="1" applyFont="1" applyBorder="1" applyAlignment="1">
      <alignment horizontal="center" vertical="center" wrapText="1"/>
    </xf>
    <xf numFmtId="177" fontId="2" fillId="3" borderId="5" xfId="0" applyNumberFormat="1" applyFont="1" applyFill="1" applyBorder="1" applyAlignment="1">
      <alignment horizontal="center" vertical="center" wrapText="1"/>
    </xf>
    <xf numFmtId="49" fontId="7" fillId="0" borderId="6" xfId="0" applyNumberFormat="1" applyFont="1" applyBorder="1" applyAlignment="1">
      <alignment horizontal="center" vertical="center" wrapText="1"/>
    </xf>
    <xf numFmtId="177" fontId="2" fillId="0" borderId="4" xfId="0" applyNumberFormat="1" applyFont="1" applyBorder="1" applyAlignment="1">
      <alignment horizontal="center" vertical="center"/>
    </xf>
    <xf numFmtId="49" fontId="2" fillId="0" borderId="4" xfId="0" applyNumberFormat="1" applyFont="1" applyBorder="1" applyAlignment="1">
      <alignment horizontal="center" vertical="center" wrapText="1"/>
    </xf>
    <xf numFmtId="177" fontId="2" fillId="2" borderId="6" xfId="0" applyNumberFormat="1" applyFont="1" applyFill="1" applyBorder="1" applyAlignment="1">
      <alignment horizontal="center" vertical="center"/>
    </xf>
    <xf numFmtId="49" fontId="7" fillId="2" borderId="6"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0" fontId="2" fillId="2" borderId="0" xfId="0" applyFont="1" applyFill="1" applyBorder="1" applyAlignment="1">
      <alignment horizontal="center" vertical="center"/>
    </xf>
    <xf numFmtId="49" fontId="2" fillId="3" borderId="1" xfId="0" applyNumberFormat="1" applyFont="1" applyFill="1" applyBorder="1" applyAlignment="1">
      <alignment horizontal="center" vertical="center" wrapText="1"/>
    </xf>
    <xf numFmtId="0" fontId="7" fillId="30" borderId="2" xfId="0" applyFont="1" applyFill="1" applyBorder="1" applyAlignment="1">
      <alignment horizontal="center" vertical="center" wrapText="1"/>
    </xf>
    <xf numFmtId="0" fontId="7" fillId="30" borderId="10" xfId="0" applyFont="1" applyFill="1" applyBorder="1" applyAlignment="1">
      <alignment horizontal="center" vertical="center" wrapText="1"/>
    </xf>
    <xf numFmtId="0" fontId="2" fillId="30" borderId="10" xfId="0" applyFont="1" applyFill="1" applyBorder="1" applyAlignment="1">
      <alignment horizontal="center" vertical="center" wrapText="1"/>
    </xf>
    <xf numFmtId="0" fontId="2" fillId="30" borderId="11" xfId="0" applyFont="1" applyFill="1" applyBorder="1" applyAlignment="1">
      <alignment horizontal="center" vertical="center" wrapText="1"/>
    </xf>
    <xf numFmtId="0" fontId="7" fillId="18" borderId="2" xfId="0" applyFont="1" applyFill="1" applyBorder="1" applyAlignment="1">
      <alignment horizontal="center" vertical="center" wrapText="1"/>
    </xf>
    <xf numFmtId="0" fontId="2" fillId="18" borderId="10" xfId="0" applyFont="1" applyFill="1" applyBorder="1" applyAlignment="1">
      <alignment horizontal="center" vertical="center" wrapText="1"/>
    </xf>
    <xf numFmtId="0" fontId="2" fillId="18" borderId="11"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xf numFmtId="0" fontId="7" fillId="2" borderId="5"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3" borderId="9"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7" fillId="3" borderId="1" xfId="0" applyFont="1" applyFill="1" applyBorder="1" applyAlignment="1">
      <alignment horizontal="center" vertical="center" wrapText="1"/>
    </xf>
    <xf numFmtId="176" fontId="2" fillId="21" borderId="11" xfId="0" applyNumberFormat="1" applyFont="1" applyFill="1" applyBorder="1" applyAlignment="1">
      <alignment horizontal="center" vertical="center" wrapText="1"/>
    </xf>
    <xf numFmtId="178" fontId="2" fillId="21" borderId="11" xfId="0" applyNumberFormat="1" applyFont="1" applyFill="1" applyBorder="1" applyAlignment="1">
      <alignment horizontal="center" vertical="center"/>
    </xf>
    <xf numFmtId="178" fontId="2" fillId="30" borderId="1" xfId="0" applyNumberFormat="1" applyFont="1" applyFill="1" applyBorder="1" applyAlignment="1">
      <alignment horizontal="center" vertical="center"/>
    </xf>
    <xf numFmtId="0" fontId="7" fillId="30" borderId="2" xfId="0" applyFont="1" applyFill="1" applyBorder="1" applyAlignment="1">
      <alignment horizontal="center" vertical="center"/>
    </xf>
    <xf numFmtId="0" fontId="7" fillId="30" borderId="10" xfId="0" applyFont="1" applyFill="1" applyBorder="1" applyAlignment="1">
      <alignment horizontal="center" vertical="center"/>
    </xf>
    <xf numFmtId="0" fontId="2" fillId="30" borderId="10" xfId="0" applyFont="1" applyFill="1" applyBorder="1" applyAlignment="1">
      <alignment horizontal="center" vertical="center"/>
    </xf>
    <xf numFmtId="0" fontId="2" fillId="30" borderId="11" xfId="0" applyFont="1" applyFill="1" applyBorder="1" applyAlignment="1">
      <alignment horizontal="center" vertical="center"/>
    </xf>
    <xf numFmtId="176" fontId="7" fillId="21" borderId="2" xfId="0" applyNumberFormat="1" applyFont="1" applyFill="1" applyBorder="1" applyAlignment="1">
      <alignment horizontal="center" vertical="center"/>
    </xf>
    <xf numFmtId="176" fontId="2" fillId="21" borderId="10" xfId="0" applyNumberFormat="1" applyFont="1" applyFill="1" applyBorder="1" applyAlignment="1">
      <alignment horizontal="center" vertical="center"/>
    </xf>
    <xf numFmtId="176" fontId="2" fillId="21" borderId="11" xfId="0" applyNumberFormat="1" applyFont="1" applyFill="1" applyBorder="1" applyAlignment="1">
      <alignment horizontal="center" vertical="center"/>
    </xf>
    <xf numFmtId="0" fontId="2" fillId="18" borderId="2" xfId="0" applyFont="1" applyFill="1" applyBorder="1" applyAlignment="1">
      <alignment horizontal="center" vertical="center" wrapText="1"/>
    </xf>
    <xf numFmtId="178" fontId="2" fillId="18" borderId="2" xfId="0" applyNumberFormat="1" applyFont="1" applyFill="1" applyBorder="1" applyAlignment="1">
      <alignment horizontal="center" vertical="center"/>
    </xf>
    <xf numFmtId="0" fontId="7" fillId="18" borderId="2" xfId="0" applyFont="1" applyFill="1" applyBorder="1" applyAlignment="1">
      <alignment horizontal="center" vertical="center"/>
    </xf>
    <xf numFmtId="178" fontId="2" fillId="18" borderId="10" xfId="0" applyNumberFormat="1" applyFont="1" applyFill="1" applyBorder="1" applyAlignment="1">
      <alignment horizontal="center" vertical="center"/>
    </xf>
    <xf numFmtId="0" fontId="2" fillId="18" borderId="10" xfId="0" applyFont="1" applyFill="1" applyBorder="1" applyAlignment="1">
      <alignment horizontal="center" vertical="center"/>
    </xf>
    <xf numFmtId="178" fontId="2" fillId="18" borderId="11" xfId="0" applyNumberFormat="1" applyFont="1" applyFill="1" applyBorder="1" applyAlignment="1">
      <alignment horizontal="center" vertical="center"/>
    </xf>
    <xf numFmtId="0" fontId="2" fillId="18" borderId="11" xfId="0" applyFont="1" applyFill="1" applyBorder="1" applyAlignment="1">
      <alignment horizontal="center" vertical="center"/>
    </xf>
    <xf numFmtId="0" fontId="2" fillId="28" borderId="4" xfId="0" applyFont="1" applyFill="1" applyBorder="1" applyAlignment="1">
      <alignment horizontal="center" vertical="center"/>
    </xf>
    <xf numFmtId="178" fontId="2" fillId="0" borderId="4" xfId="0" applyNumberFormat="1" applyFont="1" applyBorder="1" applyAlignment="1">
      <alignment horizontal="center" vertical="center"/>
    </xf>
    <xf numFmtId="0" fontId="2" fillId="28" borderId="6" xfId="0" applyFont="1" applyFill="1" applyBorder="1" applyAlignment="1">
      <alignment horizontal="center" vertical="center"/>
    </xf>
    <xf numFmtId="178" fontId="2" fillId="0" borderId="5" xfId="0" applyNumberFormat="1" applyFont="1" applyBorder="1" applyAlignment="1">
      <alignment horizontal="center" vertical="center"/>
    </xf>
    <xf numFmtId="0" fontId="2" fillId="0" borderId="12" xfId="0" applyFont="1" applyFill="1" applyBorder="1" applyAlignment="1">
      <alignment horizontal="center" vertical="center"/>
    </xf>
    <xf numFmtId="0" fontId="2" fillId="28" borderId="3" xfId="0" applyFont="1" applyFill="1" applyBorder="1" applyAlignment="1">
      <alignment horizontal="center" vertical="center"/>
    </xf>
    <xf numFmtId="0" fontId="2" fillId="0" borderId="18" xfId="0" applyFont="1" applyBorder="1" applyAlignment="1">
      <alignment horizontal="center" vertical="center" wrapText="1"/>
    </xf>
    <xf numFmtId="178" fontId="2" fillId="0" borderId="6" xfId="0" applyNumberFormat="1" applyFont="1" applyBorder="1" applyAlignment="1">
      <alignment horizontal="center" vertical="center"/>
    </xf>
    <xf numFmtId="0" fontId="2" fillId="0" borderId="21" xfId="0" applyFont="1" applyBorder="1" applyAlignment="1">
      <alignment horizontal="center" vertical="center" wrapText="1"/>
    </xf>
    <xf numFmtId="178" fontId="2" fillId="0" borderId="3" xfId="0" applyNumberFormat="1" applyFont="1" applyBorder="1" applyAlignment="1">
      <alignment horizontal="center" vertical="center"/>
    </xf>
    <xf numFmtId="0" fontId="2" fillId="0" borderId="19" xfId="0" applyFont="1" applyBorder="1" applyAlignment="1">
      <alignment horizontal="center" vertical="center" wrapText="1"/>
    </xf>
    <xf numFmtId="0" fontId="2" fillId="3" borderId="18" xfId="0" applyFont="1" applyFill="1" applyBorder="1" applyAlignment="1">
      <alignment horizontal="center" vertical="center" wrapText="1"/>
    </xf>
    <xf numFmtId="0" fontId="7" fillId="2" borderId="15" xfId="0" applyFont="1" applyFill="1" applyBorder="1" applyAlignment="1">
      <alignment horizontal="center" vertical="center" wrapText="1"/>
    </xf>
    <xf numFmtId="178" fontId="2" fillId="2" borderId="6" xfId="0" applyNumberFormat="1" applyFont="1" applyFill="1" applyBorder="1" applyAlignment="1">
      <alignment horizontal="center" vertical="center"/>
    </xf>
    <xf numFmtId="0" fontId="2" fillId="2" borderId="0" xfId="0" applyFont="1" applyFill="1" applyAlignment="1">
      <alignment horizontal="center" vertical="center" wrapText="1"/>
    </xf>
    <xf numFmtId="178" fontId="2" fillId="2" borderId="3" xfId="0" applyNumberFormat="1" applyFont="1" applyFill="1" applyBorder="1" applyAlignment="1">
      <alignment horizontal="center" vertical="center"/>
    </xf>
    <xf numFmtId="2" fontId="2" fillId="6" borderId="10" xfId="0" applyNumberFormat="1" applyFont="1" applyFill="1" applyBorder="1" applyAlignment="1">
      <alignment horizontal="center" vertical="center"/>
    </xf>
    <xf numFmtId="0" fontId="17" fillId="6" borderId="10" xfId="0" applyFont="1" applyFill="1" applyBorder="1" applyAlignment="1">
      <alignment horizontal="center" vertical="center" wrapText="1"/>
    </xf>
    <xf numFmtId="2" fontId="7" fillId="6" borderId="10" xfId="0" applyNumberFormat="1" applyFont="1" applyFill="1" applyBorder="1" applyAlignment="1">
      <alignment horizontal="center" vertical="center"/>
    </xf>
    <xf numFmtId="0" fontId="2" fillId="30" borderId="1" xfId="0" applyFont="1" applyFill="1" applyBorder="1" applyAlignment="1">
      <alignment horizontal="center" vertical="center" wrapText="1"/>
    </xf>
    <xf numFmtId="0" fontId="7" fillId="30" borderId="1" xfId="0" applyFont="1" applyFill="1" applyBorder="1" applyAlignment="1">
      <alignment vertical="center" wrapText="1"/>
    </xf>
    <xf numFmtId="9" fontId="2" fillId="30" borderId="1" xfId="0" applyNumberFormat="1" applyFont="1" applyFill="1" applyBorder="1" applyAlignment="1">
      <alignment horizontal="center" vertical="center"/>
    </xf>
    <xf numFmtId="176" fontId="2" fillId="30" borderId="1" xfId="0" applyNumberFormat="1" applyFont="1" applyFill="1" applyBorder="1" applyAlignment="1">
      <alignment horizontal="center" vertical="center"/>
    </xf>
    <xf numFmtId="0" fontId="2" fillId="30" borderId="2" xfId="0" applyFont="1" applyFill="1" applyBorder="1" applyAlignment="1">
      <alignment horizontal="center" vertical="center" wrapText="1"/>
    </xf>
    <xf numFmtId="9" fontId="2" fillId="30" borderId="2" xfId="0" applyNumberFormat="1" applyFont="1" applyFill="1" applyBorder="1" applyAlignment="1">
      <alignment horizontal="center" vertical="center"/>
    </xf>
    <xf numFmtId="176" fontId="2" fillId="30" borderId="2" xfId="0" applyNumberFormat="1" applyFont="1" applyFill="1" applyBorder="1" applyAlignment="1">
      <alignment horizontal="center" vertical="center"/>
    </xf>
    <xf numFmtId="0" fontId="7" fillId="30" borderId="11" xfId="0" applyFont="1" applyFill="1" applyBorder="1" applyAlignment="1">
      <alignment vertical="center" wrapText="1"/>
    </xf>
    <xf numFmtId="9" fontId="2" fillId="30" borderId="11" xfId="0" applyNumberFormat="1" applyFont="1" applyFill="1" applyBorder="1" applyAlignment="1">
      <alignment horizontal="center" vertical="center"/>
    </xf>
    <xf numFmtId="176" fontId="2" fillId="30" borderId="11" xfId="0" applyNumberFormat="1" applyFont="1" applyFill="1" applyBorder="1" applyAlignment="1">
      <alignment horizontal="center" vertical="center"/>
    </xf>
    <xf numFmtId="0" fontId="2" fillId="18" borderId="1" xfId="0" applyFont="1" applyFill="1" applyBorder="1" applyAlignment="1">
      <alignment horizontal="center" vertical="center" wrapText="1"/>
    </xf>
    <xf numFmtId="0" fontId="7" fillId="18" borderId="1" xfId="0" applyFont="1" applyFill="1" applyBorder="1" applyAlignment="1">
      <alignment horizontal="center" vertical="center" wrapText="1"/>
    </xf>
    <xf numFmtId="10" fontId="1" fillId="18" borderId="1" xfId="0" applyNumberFormat="1" applyFont="1" applyFill="1" applyBorder="1" applyAlignment="1">
      <alignment horizontal="center" vertical="center" wrapText="1"/>
    </xf>
    <xf numFmtId="176" fontId="2" fillId="18" borderId="1" xfId="0" applyNumberFormat="1" applyFont="1" applyFill="1" applyBorder="1" applyAlignment="1">
      <alignment horizontal="center" vertical="center"/>
    </xf>
    <xf numFmtId="0" fontId="2" fillId="0" borderId="4" xfId="0" applyFont="1" applyBorder="1" applyAlignment="1">
      <alignment vertical="center" wrapText="1"/>
    </xf>
    <xf numFmtId="9" fontId="2" fillId="0" borderId="4" xfId="0" applyNumberFormat="1" applyFont="1" applyBorder="1" applyAlignment="1">
      <alignment horizontal="center" vertical="center"/>
    </xf>
    <xf numFmtId="176" fontId="2" fillId="0" borderId="14" xfId="0" applyNumberFormat="1" applyFont="1" applyBorder="1" applyAlignment="1">
      <alignment horizontal="center" vertical="center"/>
    </xf>
    <xf numFmtId="0" fontId="2" fillId="3" borderId="16" xfId="0" applyFont="1" applyFill="1" applyBorder="1" applyAlignment="1">
      <alignment horizontal="center" vertical="center" wrapText="1"/>
    </xf>
    <xf numFmtId="9" fontId="2" fillId="3" borderId="5" xfId="0" applyNumberFormat="1" applyFont="1" applyFill="1" applyBorder="1" applyAlignment="1">
      <alignment horizontal="center" vertical="center" wrapText="1"/>
    </xf>
    <xf numFmtId="0" fontId="2" fillId="3" borderId="33" xfId="0" applyFont="1" applyFill="1" applyBorder="1" applyAlignment="1">
      <alignment horizontal="center" vertical="center"/>
    </xf>
    <xf numFmtId="0" fontId="2" fillId="3" borderId="34" xfId="0" applyFont="1" applyFill="1" applyBorder="1" applyAlignment="1">
      <alignment horizontal="center" vertical="center"/>
    </xf>
    <xf numFmtId="0" fontId="2" fillId="0" borderId="16" xfId="0" applyFont="1" applyBorder="1" applyAlignment="1">
      <alignment horizontal="center" vertical="center" wrapText="1"/>
    </xf>
    <xf numFmtId="0" fontId="2" fillId="0" borderId="5" xfId="0" applyFont="1" applyBorder="1" applyAlignment="1">
      <alignment vertical="center" wrapText="1"/>
    </xf>
    <xf numFmtId="10" fontId="2" fillId="0" borderId="12" xfId="0" applyNumberFormat="1" applyFont="1" applyBorder="1" applyAlignment="1">
      <alignment horizontal="center" vertical="center" wrapText="1"/>
    </xf>
    <xf numFmtId="0" fontId="2" fillId="3" borderId="18" xfId="0" applyFont="1" applyFill="1" applyBorder="1" applyAlignment="1">
      <alignment horizontal="center" vertical="center"/>
    </xf>
    <xf numFmtId="9" fontId="2" fillId="3" borderId="9" xfId="0" applyNumberFormat="1" applyFont="1" applyFill="1" applyBorder="1" applyAlignment="1">
      <alignment horizontal="center" vertical="center"/>
    </xf>
    <xf numFmtId="0" fontId="2" fillId="3" borderId="19" xfId="0" applyFont="1" applyFill="1" applyBorder="1" applyAlignment="1">
      <alignment horizontal="center" vertical="center"/>
    </xf>
    <xf numFmtId="9" fontId="2" fillId="3" borderId="8" xfId="0" applyNumberFormat="1" applyFont="1" applyFill="1" applyBorder="1" applyAlignment="1">
      <alignment horizontal="center" vertical="center"/>
    </xf>
    <xf numFmtId="9" fontId="2" fillId="2" borderId="5" xfId="0" applyNumberFormat="1" applyFont="1" applyFill="1" applyBorder="1" applyAlignment="1">
      <alignment horizontal="center" vertical="center" wrapText="1"/>
    </xf>
    <xf numFmtId="9" fontId="2" fillId="0" borderId="5" xfId="0" applyNumberFormat="1" applyFont="1" applyFill="1" applyBorder="1" applyAlignment="1">
      <alignment horizontal="center" vertical="center" wrapText="1"/>
    </xf>
    <xf numFmtId="10" fontId="2" fillId="0" borderId="5" xfId="0" applyNumberFormat="1" applyFont="1" applyBorder="1" applyAlignment="1">
      <alignment horizontal="center" vertical="center" wrapText="1"/>
    </xf>
    <xf numFmtId="0" fontId="2" fillId="3" borderId="6" xfId="0" applyFont="1" applyFill="1" applyBorder="1">
      <alignment vertical="center"/>
    </xf>
    <xf numFmtId="9" fontId="2" fillId="3" borderId="6" xfId="0" applyNumberFormat="1" applyFont="1" applyFill="1" applyBorder="1" applyAlignment="1">
      <alignment horizontal="center" vertical="center" wrapText="1"/>
    </xf>
    <xf numFmtId="0" fontId="2" fillId="3" borderId="9" xfId="0" applyFont="1" applyFill="1" applyBorder="1" applyAlignment="1">
      <alignment horizontal="center" vertical="center"/>
    </xf>
    <xf numFmtId="0" fontId="2" fillId="2" borderId="18" xfId="0" applyFont="1" applyFill="1" applyBorder="1" applyAlignment="1">
      <alignment horizontal="center" vertical="center" wrapText="1"/>
    </xf>
    <xf numFmtId="0" fontId="7" fillId="2" borderId="6" xfId="0" applyFont="1" applyFill="1" applyBorder="1" applyAlignment="1">
      <alignment vertical="center" wrapText="1"/>
    </xf>
    <xf numFmtId="9" fontId="2" fillId="2" borderId="6" xfId="0" applyNumberFormat="1" applyFont="1" applyFill="1" applyBorder="1" applyAlignment="1">
      <alignment horizontal="center" vertical="center" wrapText="1"/>
    </xf>
    <xf numFmtId="176" fontId="2" fillId="2" borderId="9" xfId="0" applyNumberFormat="1" applyFont="1" applyFill="1" applyBorder="1" applyAlignment="1">
      <alignment horizontal="center" vertical="center"/>
    </xf>
    <xf numFmtId="0" fontId="2" fillId="2" borderId="21" xfId="0" applyFont="1" applyFill="1" applyBorder="1" applyAlignment="1">
      <alignment horizontal="center" vertical="center" wrapText="1"/>
    </xf>
    <xf numFmtId="0" fontId="11" fillId="2" borderId="6" xfId="0" applyFont="1" applyFill="1" applyBorder="1" applyAlignment="1">
      <alignment vertical="center" wrapText="1"/>
    </xf>
    <xf numFmtId="9" fontId="2" fillId="2" borderId="3" xfId="0" applyNumberFormat="1" applyFont="1" applyFill="1" applyBorder="1" applyAlignment="1">
      <alignment horizontal="center" vertical="center" wrapText="1"/>
    </xf>
    <xf numFmtId="176" fontId="2" fillId="2" borderId="7" xfId="0" applyNumberFormat="1" applyFont="1" applyFill="1" applyBorder="1" applyAlignment="1">
      <alignment horizontal="center" vertical="center"/>
    </xf>
    <xf numFmtId="0" fontId="7" fillId="3" borderId="1" xfId="0" applyFont="1" applyFill="1" applyBorder="1" applyAlignment="1">
      <alignment vertical="center" wrapText="1"/>
    </xf>
    <xf numFmtId="9" fontId="2" fillId="3" borderId="1"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xf>
    <xf numFmtId="0" fontId="7" fillId="6" borderId="21" xfId="0" applyFont="1" applyFill="1" applyBorder="1" applyAlignment="1">
      <alignment horizontal="center" vertical="center" wrapText="1"/>
    </xf>
    <xf numFmtId="0" fontId="7" fillId="6" borderId="3" xfId="0" applyFont="1" applyFill="1" applyBorder="1" applyAlignment="1">
      <alignment vertical="center" wrapText="1"/>
    </xf>
    <xf numFmtId="9" fontId="2" fillId="6" borderId="3" xfId="0" applyNumberFormat="1" applyFont="1" applyFill="1" applyBorder="1" applyAlignment="1">
      <alignment horizontal="center" vertical="center" wrapText="1"/>
    </xf>
    <xf numFmtId="176" fontId="3" fillId="6" borderId="7" xfId="0" applyNumberFormat="1" applyFont="1" applyFill="1" applyBorder="1" applyAlignment="1">
      <alignment horizontal="center" vertical="center"/>
    </xf>
    <xf numFmtId="0" fontId="7" fillId="6" borderId="18" xfId="0" applyFont="1" applyFill="1" applyBorder="1" applyAlignment="1">
      <alignment horizontal="center" vertical="center" wrapText="1"/>
    </xf>
    <xf numFmtId="0" fontId="7" fillId="6" borderId="6" xfId="0" applyFont="1" applyFill="1" applyBorder="1" applyAlignment="1">
      <alignment vertical="center" wrapText="1"/>
    </xf>
    <xf numFmtId="9" fontId="2" fillId="6" borderId="6" xfId="0" applyNumberFormat="1" applyFont="1" applyFill="1" applyBorder="1" applyAlignment="1">
      <alignment horizontal="center" vertical="center" wrapText="1"/>
    </xf>
    <xf numFmtId="176" fontId="3" fillId="6" borderId="9" xfId="0" applyNumberFormat="1" applyFont="1" applyFill="1" applyBorder="1" applyAlignment="1">
      <alignment horizontal="center" vertical="center"/>
    </xf>
    <xf numFmtId="9" fontId="7" fillId="6" borderId="6" xfId="0" applyNumberFormat="1" applyFont="1" applyFill="1" applyBorder="1" applyAlignment="1">
      <alignment horizontal="center" vertical="center" wrapText="1"/>
    </xf>
    <xf numFmtId="176" fontId="10" fillId="21" borderId="1" xfId="0" applyNumberFormat="1" applyFont="1" applyFill="1" applyBorder="1" applyAlignment="1">
      <alignment horizontal="center" vertical="center" wrapText="1"/>
    </xf>
    <xf numFmtId="0" fontId="8" fillId="21" borderId="1" xfId="0" applyFont="1" applyFill="1" applyBorder="1" applyAlignment="1">
      <alignment horizontal="center" vertical="center" wrapText="1"/>
    </xf>
    <xf numFmtId="177" fontId="10" fillId="21" borderId="1" xfId="0" applyNumberFormat="1" applyFont="1" applyFill="1" applyBorder="1" applyAlignment="1">
      <alignment horizontal="center" vertical="center" wrapText="1"/>
    </xf>
    <xf numFmtId="176" fontId="10" fillId="30" borderId="1" xfId="0" applyNumberFormat="1" applyFont="1" applyFill="1" applyBorder="1" applyAlignment="1">
      <alignment horizontal="center" vertical="center" wrapText="1"/>
    </xf>
    <xf numFmtId="0" fontId="8" fillId="30" borderId="1" xfId="0" applyFont="1" applyFill="1" applyBorder="1" applyAlignment="1">
      <alignment horizontal="center" vertical="center" wrapText="1"/>
    </xf>
    <xf numFmtId="177" fontId="10" fillId="30" borderId="1" xfId="0" applyNumberFormat="1" applyFont="1" applyFill="1" applyBorder="1" applyAlignment="1">
      <alignment horizontal="center" vertical="center" wrapText="1"/>
    </xf>
    <xf numFmtId="176" fontId="2" fillId="30" borderId="1" xfId="0" applyNumberFormat="1" applyFont="1" applyFill="1" applyBorder="1" applyAlignment="1">
      <alignment horizontal="center" vertical="center" wrapText="1"/>
    </xf>
    <xf numFmtId="176" fontId="11" fillId="30" borderId="1" xfId="0" applyNumberFormat="1" applyFont="1" applyFill="1" applyBorder="1" applyAlignment="1">
      <alignment horizontal="center" vertical="center" wrapText="1"/>
    </xf>
    <xf numFmtId="0" fontId="11" fillId="30" borderId="1" xfId="0" applyFont="1" applyFill="1" applyBorder="1" applyAlignment="1">
      <alignment horizontal="center" vertical="center" wrapText="1"/>
    </xf>
    <xf numFmtId="177" fontId="11" fillId="30" borderId="1" xfId="0" applyNumberFormat="1" applyFont="1" applyFill="1" applyBorder="1" applyAlignment="1">
      <alignment horizontal="center" vertical="center" wrapText="1"/>
    </xf>
    <xf numFmtId="177" fontId="2" fillId="30" borderId="1" xfId="0" applyNumberFormat="1" applyFont="1" applyFill="1" applyBorder="1" applyAlignment="1">
      <alignment horizontal="center" vertical="center" wrapText="1"/>
    </xf>
    <xf numFmtId="0" fontId="7" fillId="30" borderId="1" xfId="0" applyFont="1" applyFill="1" applyBorder="1" applyAlignment="1">
      <alignment horizontal="center" vertical="center" wrapText="1"/>
    </xf>
    <xf numFmtId="176" fontId="11" fillId="21" borderId="1" xfId="0" applyNumberFormat="1" applyFont="1" applyFill="1" applyBorder="1" applyAlignment="1">
      <alignment horizontal="center" vertical="center" wrapText="1"/>
    </xf>
    <xf numFmtId="0" fontId="11" fillId="21" borderId="1" xfId="0" applyFont="1" applyFill="1" applyBorder="1" applyAlignment="1">
      <alignment horizontal="center" vertical="center" wrapText="1"/>
    </xf>
    <xf numFmtId="177" fontId="11" fillId="21" borderId="1" xfId="0" applyNumberFormat="1" applyFont="1" applyFill="1" applyBorder="1" applyAlignment="1">
      <alignment horizontal="center" vertical="center" wrapText="1"/>
    </xf>
    <xf numFmtId="176" fontId="2" fillId="18" borderId="1" xfId="0" applyNumberFormat="1" applyFont="1" applyFill="1" applyBorder="1" applyAlignment="1">
      <alignment horizontal="center" vertical="center" wrapText="1"/>
    </xf>
    <xf numFmtId="177" fontId="2" fillId="18" borderId="1" xfId="0" applyNumberFormat="1" applyFont="1" applyFill="1" applyBorder="1" applyAlignment="1">
      <alignment horizontal="center" vertical="center" wrapText="1"/>
    </xf>
    <xf numFmtId="176" fontId="2" fillId="0" borderId="13" xfId="0" applyNumberFormat="1" applyFont="1" applyBorder="1" applyAlignment="1">
      <alignment horizontal="center" vertical="center" wrapText="1"/>
    </xf>
    <xf numFmtId="177" fontId="2" fillId="0" borderId="19" xfId="0" applyNumberFormat="1" applyFont="1" applyBorder="1" applyAlignment="1">
      <alignment horizontal="center" vertical="center" wrapText="1"/>
    </xf>
    <xf numFmtId="0" fontId="2" fillId="3" borderId="36" xfId="0" applyFont="1" applyFill="1" applyBorder="1" applyAlignment="1">
      <alignment horizontal="center" vertical="center" wrapText="1"/>
    </xf>
    <xf numFmtId="177" fontId="2" fillId="3" borderId="16" xfId="0" applyNumberFormat="1" applyFont="1" applyFill="1" applyBorder="1" applyAlignment="1">
      <alignment horizontal="center" vertical="center" wrapText="1"/>
    </xf>
    <xf numFmtId="176" fontId="2" fillId="0" borderId="16" xfId="0" applyNumberFormat="1" applyFont="1" applyBorder="1" applyAlignment="1">
      <alignment horizontal="center" vertical="center"/>
    </xf>
    <xf numFmtId="176" fontId="2" fillId="0" borderId="18" xfId="0" applyNumberFormat="1" applyFont="1" applyBorder="1" applyAlignment="1">
      <alignment horizontal="center" vertical="center"/>
    </xf>
    <xf numFmtId="177" fontId="7" fillId="3" borderId="18" xfId="0" applyNumberFormat="1" applyFont="1" applyFill="1" applyBorder="1" applyAlignment="1">
      <alignment horizontal="center" vertical="center"/>
    </xf>
    <xf numFmtId="177" fontId="7" fillId="3" borderId="19" xfId="0" applyNumberFormat="1" applyFont="1" applyFill="1" applyBorder="1" applyAlignment="1">
      <alignment horizontal="center" vertical="center"/>
    </xf>
    <xf numFmtId="0" fontId="2" fillId="3" borderId="19" xfId="0" applyFont="1" applyFill="1" applyBorder="1" applyAlignment="1">
      <alignment horizontal="center" vertical="center" wrapText="1"/>
    </xf>
    <xf numFmtId="177" fontId="7" fillId="2" borderId="5" xfId="0" applyNumberFormat="1" applyFont="1" applyFill="1" applyBorder="1" applyAlignment="1">
      <alignment horizontal="center" vertical="center" wrapText="1"/>
    </xf>
    <xf numFmtId="176" fontId="2" fillId="0" borderId="12" xfId="0" applyNumberFormat="1" applyFont="1" applyBorder="1" applyAlignment="1">
      <alignment horizontal="center" vertical="center"/>
    </xf>
    <xf numFmtId="176" fontId="7" fillId="0" borderId="12" xfId="0" applyNumberFormat="1" applyFont="1" applyBorder="1" applyAlignment="1">
      <alignment horizontal="center" vertical="center"/>
    </xf>
    <xf numFmtId="0" fontId="7" fillId="0" borderId="4" xfId="0" applyFont="1" applyBorder="1" applyAlignment="1">
      <alignment horizontal="center" vertical="center" wrapText="1"/>
    </xf>
    <xf numFmtId="177" fontId="7" fillId="0" borderId="4" xfId="0" applyNumberFormat="1" applyFont="1" applyBorder="1" applyAlignment="1">
      <alignment horizontal="center" vertical="center"/>
    </xf>
    <xf numFmtId="0" fontId="8" fillId="17" borderId="9"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6" xfId="0" applyFont="1" applyFill="1" applyBorder="1" applyAlignment="1">
      <alignment horizontal="center" vertical="center" wrapText="1"/>
    </xf>
    <xf numFmtId="177" fontId="11" fillId="2" borderId="6" xfId="0" applyNumberFormat="1" applyFont="1" applyFill="1" applyBorder="1" applyAlignment="1">
      <alignment horizontal="center" vertical="center"/>
    </xf>
    <xf numFmtId="0" fontId="2" fillId="2" borderId="9" xfId="0" applyFont="1" applyFill="1" applyBorder="1" applyAlignment="1">
      <alignment horizontal="center" vertical="center"/>
    </xf>
    <xf numFmtId="0" fontId="3" fillId="6" borderId="7" xfId="0" applyNumberFormat="1" applyFont="1" applyFill="1" applyBorder="1" applyAlignment="1">
      <alignment horizontal="center" vertical="center"/>
    </xf>
    <xf numFmtId="0" fontId="7" fillId="6" borderId="7" xfId="0" applyFont="1" applyFill="1" applyBorder="1" applyAlignment="1">
      <alignment horizontal="center" vertical="center" wrapText="1"/>
    </xf>
    <xf numFmtId="0" fontId="3" fillId="6" borderId="21" xfId="0" applyNumberFormat="1" applyFont="1" applyFill="1" applyBorder="1" applyAlignment="1">
      <alignment horizontal="center" vertical="center"/>
    </xf>
    <xf numFmtId="0" fontId="3" fillId="6" borderId="9" xfId="0" applyNumberFormat="1" applyFont="1" applyFill="1" applyBorder="1" applyAlignment="1">
      <alignment horizontal="center" vertical="center"/>
    </xf>
    <xf numFmtId="0" fontId="7" fillId="6" borderId="9" xfId="0" applyFont="1" applyFill="1" applyBorder="1" applyAlignment="1">
      <alignment horizontal="center" vertical="center" wrapText="1"/>
    </xf>
    <xf numFmtId="0" fontId="3" fillId="6" borderId="18" xfId="0" applyNumberFormat="1" applyFont="1" applyFill="1" applyBorder="1" applyAlignment="1">
      <alignment horizontal="center" vertical="center"/>
    </xf>
    <xf numFmtId="176" fontId="18" fillId="6" borderId="9" xfId="0" applyNumberFormat="1" applyFont="1" applyFill="1" applyBorder="1" applyAlignment="1">
      <alignment horizontal="center" vertical="center"/>
    </xf>
    <xf numFmtId="0" fontId="8" fillId="6" borderId="9" xfId="0" applyFont="1" applyFill="1" applyBorder="1" applyAlignment="1">
      <alignment horizontal="center" vertical="center" wrapText="1"/>
    </xf>
    <xf numFmtId="177" fontId="8" fillId="6" borderId="1" xfId="0" applyNumberFormat="1" applyFont="1" applyFill="1" applyBorder="1" applyAlignment="1">
      <alignment horizontal="center" vertical="center"/>
    </xf>
    <xf numFmtId="176" fontId="3" fillId="6" borderId="18" xfId="0" applyNumberFormat="1" applyFont="1" applyFill="1" applyBorder="1" applyAlignment="1">
      <alignment horizontal="center" vertical="center"/>
    </xf>
    <xf numFmtId="4" fontId="6" fillId="6" borderId="9" xfId="0" applyNumberFormat="1" applyFont="1" applyFill="1" applyBorder="1" applyAlignment="1">
      <alignment horizontal="center" vertical="center"/>
    </xf>
    <xf numFmtId="0" fontId="11" fillId="6" borderId="9" xfId="0" applyFont="1" applyFill="1" applyBorder="1" applyAlignment="1">
      <alignment horizontal="center" vertical="center" wrapText="1"/>
    </xf>
    <xf numFmtId="0" fontId="6" fillId="6" borderId="9" xfId="0" applyNumberFormat="1" applyFont="1" applyFill="1" applyBorder="1" applyAlignment="1">
      <alignment horizontal="center" vertical="center"/>
    </xf>
    <xf numFmtId="0" fontId="3" fillId="6" borderId="6" xfId="0" applyNumberFormat="1" applyFont="1" applyFill="1" applyBorder="1" applyAlignment="1">
      <alignment horizontal="center" vertical="center"/>
    </xf>
    <xf numFmtId="14" fontId="11" fillId="30" borderId="1" xfId="0" applyNumberFormat="1" applyFont="1" applyFill="1" applyBorder="1" applyAlignment="1">
      <alignment horizontal="center" vertical="center" wrapText="1"/>
    </xf>
    <xf numFmtId="14" fontId="2" fillId="30" borderId="1" xfId="0" applyNumberFormat="1" applyFont="1" applyFill="1" applyBorder="1" applyAlignment="1">
      <alignment horizontal="center" vertical="center" wrapText="1"/>
    </xf>
    <xf numFmtId="176" fontId="10" fillId="30" borderId="1" xfId="0" applyNumberFormat="1" applyFont="1" applyFill="1" applyBorder="1" applyAlignment="1">
      <alignment horizontal="center" vertical="center"/>
    </xf>
    <xf numFmtId="14" fontId="11" fillId="21" borderId="1" xfId="0" applyNumberFormat="1" applyFont="1" applyFill="1" applyBorder="1" applyAlignment="1">
      <alignment horizontal="center" vertical="center" wrapText="1"/>
    </xf>
    <xf numFmtId="176" fontId="11" fillId="21" borderId="1" xfId="0" applyNumberFormat="1" applyFont="1" applyFill="1" applyBorder="1" applyAlignment="1">
      <alignment horizontal="center" vertical="center"/>
    </xf>
    <xf numFmtId="14" fontId="2" fillId="18" borderId="1" xfId="0" applyNumberFormat="1" applyFont="1" applyFill="1" applyBorder="1" applyAlignment="1">
      <alignment horizontal="center" vertical="center" wrapText="1"/>
    </xf>
    <xf numFmtId="176" fontId="10" fillId="18" borderId="1" xfId="0" applyNumberFormat="1" applyFont="1" applyFill="1" applyBorder="1" applyAlignment="1">
      <alignment horizontal="center" vertical="center" wrapText="1"/>
    </xf>
    <xf numFmtId="176" fontId="2" fillId="0" borderId="4" xfId="0" applyNumberFormat="1" applyFont="1" applyBorder="1" applyAlignment="1">
      <alignment horizontal="center" vertical="center" wrapText="1"/>
    </xf>
    <xf numFmtId="14" fontId="2" fillId="3" borderId="16" xfId="0" applyNumberFormat="1" applyFont="1" applyFill="1" applyBorder="1" applyAlignment="1">
      <alignment horizontal="center" vertical="center" wrapText="1"/>
    </xf>
    <xf numFmtId="14" fontId="7" fillId="3" borderId="18" xfId="0" applyNumberFormat="1" applyFont="1" applyFill="1" applyBorder="1" applyAlignment="1">
      <alignment horizontal="center" vertical="center"/>
    </xf>
    <xf numFmtId="14" fontId="7" fillId="3" borderId="19" xfId="0" applyNumberFormat="1" applyFont="1" applyFill="1" applyBorder="1" applyAlignment="1">
      <alignment horizontal="center" vertical="center"/>
    </xf>
    <xf numFmtId="14" fontId="7" fillId="2" borderId="5" xfId="0" applyNumberFormat="1" applyFont="1" applyFill="1" applyBorder="1" applyAlignment="1">
      <alignment horizontal="center" vertical="center" wrapText="1"/>
    </xf>
    <xf numFmtId="177" fontId="2" fillId="3" borderId="9" xfId="0" applyNumberFormat="1" applyFont="1" applyFill="1" applyBorder="1" applyAlignment="1">
      <alignment horizontal="center" vertical="center"/>
    </xf>
    <xf numFmtId="177" fontId="2" fillId="3" borderId="7" xfId="0" applyNumberFormat="1" applyFont="1" applyFill="1" applyBorder="1" applyAlignment="1">
      <alignment horizontal="center" vertical="center"/>
    </xf>
    <xf numFmtId="0" fontId="2" fillId="3" borderId="10" xfId="0" applyFont="1" applyFill="1" applyBorder="1" applyAlignment="1">
      <alignment horizontal="center" vertical="center"/>
    </xf>
    <xf numFmtId="177" fontId="2" fillId="3" borderId="8" xfId="0" applyNumberFormat="1" applyFont="1" applyFill="1" applyBorder="1" applyAlignment="1">
      <alignment horizontal="center" vertical="center"/>
    </xf>
    <xf numFmtId="176" fontId="2" fillId="0" borderId="8" xfId="0" applyNumberFormat="1" applyFont="1" applyBorder="1" applyAlignment="1">
      <alignment horizontal="center" vertical="center"/>
    </xf>
    <xf numFmtId="177" fontId="2" fillId="3" borderId="6" xfId="0" applyNumberFormat="1" applyFont="1" applyFill="1" applyBorder="1">
      <alignment vertical="center"/>
    </xf>
    <xf numFmtId="14" fontId="2" fillId="2" borderId="6" xfId="0" applyNumberFormat="1" applyFont="1" applyFill="1" applyBorder="1" applyAlignment="1">
      <alignment horizontal="center" vertical="center"/>
    </xf>
    <xf numFmtId="176" fontId="2" fillId="2" borderId="6" xfId="0" applyNumberFormat="1" applyFont="1" applyFill="1" applyBorder="1" applyAlignment="1">
      <alignment horizontal="center" vertical="center"/>
    </xf>
    <xf numFmtId="177" fontId="2" fillId="2" borderId="6" xfId="0" applyNumberFormat="1" applyFont="1" applyFill="1" applyBorder="1">
      <alignment vertical="center"/>
    </xf>
    <xf numFmtId="176" fontId="10" fillId="2" borderId="6" xfId="0" applyNumberFormat="1" applyFont="1" applyFill="1" applyBorder="1" applyAlignment="1">
      <alignment horizontal="center" vertical="center"/>
    </xf>
    <xf numFmtId="14" fontId="2" fillId="3" borderId="1" xfId="0" applyNumberFormat="1" applyFont="1" applyFill="1" applyBorder="1" applyAlignment="1">
      <alignment horizontal="center" vertical="center"/>
    </xf>
    <xf numFmtId="176" fontId="3" fillId="6" borderId="21" xfId="0" applyNumberFormat="1" applyFont="1" applyFill="1" applyBorder="1" applyAlignment="1">
      <alignment horizontal="center" vertical="center"/>
    </xf>
    <xf numFmtId="177" fontId="2" fillId="6" borderId="3" xfId="0" applyNumberFormat="1" applyFont="1" applyFill="1" applyBorder="1">
      <alignment vertical="center"/>
    </xf>
    <xf numFmtId="177" fontId="2" fillId="6" borderId="6" xfId="0" applyNumberFormat="1" applyFont="1" applyFill="1" applyBorder="1">
      <alignment vertical="center"/>
    </xf>
    <xf numFmtId="176" fontId="7" fillId="6" borderId="6" xfId="0" applyNumberFormat="1" applyFont="1" applyFill="1" applyBorder="1" applyAlignment="1">
      <alignment horizontal="center" vertical="center"/>
    </xf>
    <xf numFmtId="177" fontId="7" fillId="6" borderId="6" xfId="0" applyNumberFormat="1" applyFont="1" applyFill="1" applyBorder="1" applyAlignment="1">
      <alignment horizontal="center" vertical="center"/>
    </xf>
    <xf numFmtId="176" fontId="2" fillId="6" borderId="6" xfId="0" applyNumberFormat="1" applyFont="1" applyFill="1" applyBorder="1" applyAlignment="1">
      <alignment horizontal="center" vertical="center"/>
    </xf>
    <xf numFmtId="0" fontId="2" fillId="30" borderId="1" xfId="0" applyFont="1" applyFill="1" applyBorder="1">
      <alignment vertical="center"/>
    </xf>
    <xf numFmtId="14" fontId="2" fillId="30" borderId="1" xfId="0" applyNumberFormat="1" applyFont="1" applyFill="1" applyBorder="1" applyAlignment="1">
      <alignment horizontal="center" vertical="center"/>
    </xf>
    <xf numFmtId="14" fontId="11" fillId="21" borderId="1" xfId="0" applyNumberFormat="1" applyFont="1" applyFill="1" applyBorder="1" applyAlignment="1">
      <alignment horizontal="center" vertical="center"/>
    </xf>
    <xf numFmtId="176" fontId="7" fillId="21" borderId="1" xfId="0" applyNumberFormat="1" applyFont="1" applyFill="1" applyBorder="1" applyAlignment="1">
      <alignment horizontal="center" vertical="center" wrapText="1"/>
    </xf>
    <xf numFmtId="14" fontId="2" fillId="18" borderId="1" xfId="0" applyNumberFormat="1" applyFont="1" applyFill="1" applyBorder="1" applyAlignment="1">
      <alignment horizontal="center" vertical="center"/>
    </xf>
    <xf numFmtId="0" fontId="2" fillId="18" borderId="1" xfId="0" applyFont="1" applyFill="1" applyBorder="1">
      <alignment vertical="center"/>
    </xf>
    <xf numFmtId="0" fontId="2" fillId="0" borderId="8" xfId="0" applyFont="1" applyBorder="1">
      <alignment vertical="center"/>
    </xf>
    <xf numFmtId="176" fontId="2" fillId="3" borderId="12" xfId="0" applyNumberFormat="1" applyFont="1" applyFill="1" applyBorder="1" applyAlignment="1">
      <alignment horizontal="center" vertical="center"/>
    </xf>
    <xf numFmtId="0" fontId="2" fillId="3" borderId="12" xfId="0" applyFont="1" applyFill="1" applyBorder="1">
      <alignment vertical="center"/>
    </xf>
    <xf numFmtId="0" fontId="2" fillId="3" borderId="36" xfId="0" applyFont="1" applyFill="1" applyBorder="1" applyAlignment="1">
      <alignment horizontal="center" vertical="center"/>
    </xf>
    <xf numFmtId="0" fontId="2" fillId="0" borderId="12" xfId="0" applyFont="1" applyBorder="1" applyAlignment="1">
      <alignment horizontal="left" vertical="center" wrapText="1"/>
    </xf>
    <xf numFmtId="176" fontId="2" fillId="3" borderId="9" xfId="0" applyNumberFormat="1" applyFont="1" applyFill="1" applyBorder="1" applyAlignment="1">
      <alignment horizontal="center" vertical="center"/>
    </xf>
    <xf numFmtId="0" fontId="2" fillId="3" borderId="37" xfId="0" applyFont="1" applyFill="1" applyBorder="1" applyAlignment="1">
      <alignment horizontal="center" vertical="center"/>
    </xf>
    <xf numFmtId="176" fontId="2" fillId="3" borderId="8" xfId="0" applyNumberFormat="1" applyFont="1" applyFill="1" applyBorder="1" applyAlignment="1">
      <alignment horizontal="center" vertical="center"/>
    </xf>
    <xf numFmtId="0" fontId="2" fillId="3" borderId="8" xfId="0" applyFont="1" applyFill="1" applyBorder="1" applyAlignment="1">
      <alignment horizontal="center" vertical="center"/>
    </xf>
    <xf numFmtId="0" fontId="2" fillId="3" borderId="13" xfId="0" applyFont="1" applyFill="1" applyBorder="1" applyAlignment="1">
      <alignment horizontal="center" vertical="center"/>
    </xf>
    <xf numFmtId="176" fontId="2" fillId="2" borderId="5" xfId="0" applyNumberFormat="1" applyFont="1" applyFill="1" applyBorder="1" applyAlignment="1">
      <alignment horizontal="center" vertical="center"/>
    </xf>
    <xf numFmtId="0" fontId="2" fillId="2" borderId="37" xfId="0" applyFont="1" applyFill="1" applyBorder="1" applyAlignment="1">
      <alignment horizontal="center" vertical="center"/>
    </xf>
    <xf numFmtId="0" fontId="2" fillId="0" borderId="37" xfId="0" applyFont="1" applyFill="1" applyBorder="1" applyAlignment="1">
      <alignment horizontal="center" vertical="center"/>
    </xf>
    <xf numFmtId="14" fontId="2" fillId="0" borderId="6" xfId="0" applyNumberFormat="1" applyFont="1" applyFill="1" applyBorder="1">
      <alignment vertical="center"/>
    </xf>
    <xf numFmtId="176" fontId="2" fillId="3" borderId="2" xfId="0" applyNumberFormat="1" applyFont="1" applyFill="1" applyBorder="1" applyAlignment="1">
      <alignment horizontal="center" vertical="center"/>
    </xf>
    <xf numFmtId="176" fontId="2" fillId="3" borderId="10" xfId="0" applyNumberFormat="1" applyFont="1" applyFill="1" applyBorder="1" applyAlignment="1">
      <alignment horizontal="center" vertical="center"/>
    </xf>
    <xf numFmtId="0" fontId="2" fillId="3" borderId="21" xfId="0" applyFont="1" applyFill="1" applyBorder="1" applyAlignment="1">
      <alignment horizontal="center" vertical="center" wrapText="1"/>
    </xf>
    <xf numFmtId="176" fontId="2" fillId="3" borderId="11" xfId="0" applyNumberFormat="1" applyFont="1" applyFill="1" applyBorder="1" applyAlignment="1">
      <alignment horizontal="center" vertical="center"/>
    </xf>
    <xf numFmtId="0" fontId="2" fillId="0" borderId="5" xfId="0" applyFont="1" applyBorder="1">
      <alignment vertical="center"/>
    </xf>
    <xf numFmtId="0" fontId="8" fillId="0" borderId="12" xfId="0" applyFont="1" applyBorder="1" applyAlignment="1">
      <alignment vertical="center" wrapText="1"/>
    </xf>
    <xf numFmtId="176" fontId="2" fillId="3" borderId="6" xfId="0" applyNumberFormat="1" applyFont="1" applyFill="1" applyBorder="1">
      <alignment vertical="center"/>
    </xf>
    <xf numFmtId="176" fontId="2" fillId="3" borderId="6" xfId="0" applyNumberFormat="1" applyFont="1" applyFill="1" applyBorder="1" applyAlignment="1">
      <alignment horizontal="center" vertical="center"/>
    </xf>
    <xf numFmtId="176" fontId="2" fillId="6" borderId="3" xfId="0" applyNumberFormat="1" applyFont="1" applyFill="1" applyBorder="1" applyAlignment="1">
      <alignment horizontal="center" vertical="center"/>
    </xf>
    <xf numFmtId="0" fontId="7" fillId="6" borderId="7" xfId="0" applyFont="1" applyFill="1" applyBorder="1" applyAlignment="1">
      <alignment horizontal="center" vertical="center"/>
    </xf>
    <xf numFmtId="177" fontId="7" fillId="6" borderId="6" xfId="0" applyNumberFormat="1" applyFont="1" applyFill="1" applyBorder="1">
      <alignment vertical="center"/>
    </xf>
    <xf numFmtId="0" fontId="2" fillId="3" borderId="36" xfId="0" applyFont="1" applyFill="1" applyBorder="1" applyAlignment="1">
      <alignment vertical="center"/>
    </xf>
    <xf numFmtId="0" fontId="2" fillId="3" borderId="5" xfId="0" applyFont="1" applyFill="1" applyBorder="1" applyAlignment="1">
      <alignment vertical="center"/>
    </xf>
    <xf numFmtId="0" fontId="2" fillId="0" borderId="16" xfId="0" applyFont="1" applyBorder="1">
      <alignment vertical="center"/>
    </xf>
    <xf numFmtId="0" fontId="2" fillId="2" borderId="15" xfId="0" applyFont="1" applyFill="1" applyBorder="1">
      <alignment vertical="center"/>
    </xf>
    <xf numFmtId="0" fontId="2" fillId="2" borderId="18" xfId="0" applyFont="1" applyFill="1" applyBorder="1" applyAlignment="1">
      <alignment horizontal="center" vertical="center"/>
    </xf>
    <xf numFmtId="0" fontId="2" fillId="3" borderId="1" xfId="0" applyFont="1" applyFill="1" applyBorder="1">
      <alignment vertical="center"/>
    </xf>
    <xf numFmtId="0" fontId="2" fillId="6" borderId="0" xfId="0" applyFont="1" applyFill="1" applyBorder="1">
      <alignment vertical="center"/>
    </xf>
    <xf numFmtId="0" fontId="2" fillId="6" borderId="3" xfId="0" applyFont="1" applyFill="1" applyBorder="1" applyAlignment="1">
      <alignment horizontal="center" vertical="center"/>
    </xf>
    <xf numFmtId="0" fontId="2" fillId="6" borderId="21" xfId="0" applyFont="1" applyFill="1" applyBorder="1" applyAlignment="1">
      <alignment horizontal="center" vertical="center"/>
    </xf>
    <xf numFmtId="0" fontId="2" fillId="6" borderId="15" xfId="0" applyFont="1" applyFill="1" applyBorder="1">
      <alignment vertical="center"/>
    </xf>
    <xf numFmtId="0" fontId="2" fillId="6" borderId="6" xfId="0" applyFont="1" applyFill="1" applyBorder="1" applyAlignment="1">
      <alignment horizontal="center" vertical="center"/>
    </xf>
    <xf numFmtId="0" fontId="2" fillId="6" borderId="18" xfId="0" applyFont="1" applyFill="1" applyBorder="1" applyAlignment="1">
      <alignment horizontal="center" vertical="center"/>
    </xf>
    <xf numFmtId="0" fontId="7" fillId="6" borderId="15" xfId="0" applyFont="1" applyFill="1" applyBorder="1">
      <alignment vertical="center"/>
    </xf>
    <xf numFmtId="0" fontId="7" fillId="6" borderId="6" xfId="0" applyFont="1" applyFill="1" applyBorder="1" applyAlignment="1">
      <alignment horizontal="center" vertical="center"/>
    </xf>
    <xf numFmtId="0" fontId="7" fillId="6" borderId="18" xfId="0" applyFont="1" applyFill="1" applyBorder="1" applyAlignment="1">
      <alignment horizontal="center" vertical="center"/>
    </xf>
    <xf numFmtId="0" fontId="2" fillId="0" borderId="14" xfId="0" applyFont="1" applyBorder="1" applyAlignment="1">
      <alignment horizontal="center" vertical="center"/>
    </xf>
    <xf numFmtId="0" fontId="2" fillId="3" borderId="12" xfId="0" applyFont="1" applyFill="1" applyBorder="1" applyAlignment="1">
      <alignment vertical="center" wrapText="1"/>
    </xf>
    <xf numFmtId="0" fontId="2" fillId="3" borderId="14" xfId="0" applyFont="1" applyFill="1" applyBorder="1" applyAlignment="1">
      <alignment horizontal="center" vertical="center"/>
    </xf>
    <xf numFmtId="0" fontId="2" fillId="0" borderId="33" xfId="0" applyFont="1" applyBorder="1">
      <alignment vertical="center"/>
    </xf>
    <xf numFmtId="0" fontId="2" fillId="2" borderId="34" xfId="0" applyFont="1" applyFill="1" applyBorder="1" applyAlignment="1">
      <alignment horizontal="center" vertical="center"/>
    </xf>
    <xf numFmtId="0" fontId="2" fillId="2" borderId="35" xfId="0" applyFont="1" applyFill="1" applyBorder="1" applyAlignment="1">
      <alignment horizontal="center" vertical="center"/>
    </xf>
    <xf numFmtId="0" fontId="2" fillId="2" borderId="3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0" borderId="34" xfId="0" applyFont="1" applyFill="1" applyBorder="1" applyAlignment="1">
      <alignment horizontal="center" vertical="center"/>
    </xf>
    <xf numFmtId="0" fontId="2" fillId="0" borderId="35" xfId="0" applyFont="1" applyFill="1" applyBorder="1" applyAlignment="1">
      <alignment horizontal="center" vertical="center"/>
    </xf>
    <xf numFmtId="0" fontId="2" fillId="0" borderId="32" xfId="0" applyFont="1" applyFill="1" applyBorder="1" applyAlignment="1">
      <alignment horizontal="center" vertical="center"/>
    </xf>
    <xf numFmtId="0" fontId="2" fillId="0" borderId="13" xfId="0" applyFont="1" applyFill="1" applyBorder="1" applyAlignment="1">
      <alignment horizontal="center" vertical="center"/>
    </xf>
    <xf numFmtId="0" fontId="2" fillId="0" borderId="14" xfId="0" applyFont="1" applyFill="1" applyBorder="1" applyAlignment="1">
      <alignment horizontal="center" vertical="center"/>
    </xf>
    <xf numFmtId="0" fontId="2" fillId="3" borderId="35" xfId="0" applyFont="1" applyFill="1" applyBorder="1" applyAlignment="1">
      <alignment horizontal="center" vertical="center"/>
    </xf>
    <xf numFmtId="0" fontId="2" fillId="3" borderId="32" xfId="0" applyFont="1" applyFill="1" applyBorder="1" applyAlignment="1">
      <alignment horizontal="center" vertical="center"/>
    </xf>
    <xf numFmtId="0" fontId="2" fillId="0" borderId="33" xfId="0" applyFont="1" applyBorder="1" applyAlignment="1">
      <alignment horizontal="center" vertical="center"/>
    </xf>
    <xf numFmtId="0" fontId="2" fillId="3" borderId="34" xfId="0" applyFont="1" applyFill="1" applyBorder="1">
      <alignment vertical="center"/>
    </xf>
    <xf numFmtId="0" fontId="2" fillId="2" borderId="9" xfId="0" applyFont="1" applyFill="1" applyBorder="1">
      <alignment vertical="center"/>
    </xf>
    <xf numFmtId="0" fontId="7" fillId="6" borderId="3" xfId="0" applyFont="1" applyFill="1" applyBorder="1" applyAlignment="1">
      <alignment horizontal="center" vertical="center"/>
    </xf>
    <xf numFmtId="0" fontId="7" fillId="6" borderId="9" xfId="0" applyFont="1" applyFill="1" applyBorder="1" applyAlignment="1">
      <alignment horizontal="center" vertical="center"/>
    </xf>
    <xf numFmtId="177" fontId="7" fillId="13" borderId="1" xfId="0" applyNumberFormat="1" applyFont="1" applyFill="1" applyBorder="1" applyAlignment="1">
      <alignment horizontal="center" vertical="center"/>
    </xf>
    <xf numFmtId="49" fontId="7" fillId="13" borderId="1" xfId="0" applyNumberFormat="1" applyFont="1" applyFill="1" applyBorder="1" applyAlignment="1">
      <alignment horizontal="center" vertical="center" wrapText="1"/>
    </xf>
    <xf numFmtId="49" fontId="7" fillId="6" borderId="11" xfId="0" applyNumberFormat="1" applyFont="1" applyFill="1" applyBorder="1" applyAlignment="1">
      <alignment horizontal="center" vertical="center" wrapText="1"/>
    </xf>
    <xf numFmtId="0" fontId="17" fillId="5" borderId="1" xfId="0" applyFont="1" applyFill="1" applyBorder="1" applyAlignment="1">
      <alignment horizontal="center" vertical="center"/>
    </xf>
    <xf numFmtId="177" fontId="17" fillId="5" borderId="2" xfId="0" applyNumberFormat="1" applyFont="1" applyFill="1" applyBorder="1" applyAlignment="1">
      <alignment horizontal="center" vertical="center"/>
    </xf>
    <xf numFmtId="49" fontId="17" fillId="5" borderId="10" xfId="0" applyNumberFormat="1" applyFont="1" applyFill="1" applyBorder="1" applyAlignment="1">
      <alignment horizontal="center" vertical="center" wrapText="1"/>
    </xf>
    <xf numFmtId="0" fontId="2" fillId="31" borderId="10" xfId="0" applyFont="1" applyFill="1" applyBorder="1" applyAlignment="1">
      <alignment horizontal="center" vertical="center"/>
    </xf>
    <xf numFmtId="0" fontId="7" fillId="31" borderId="1" xfId="0" applyFont="1" applyFill="1" applyBorder="1" applyAlignment="1">
      <alignment horizontal="center" vertical="center"/>
    </xf>
    <xf numFmtId="177" fontId="7" fillId="31" borderId="2" xfId="0" applyNumberFormat="1" applyFont="1" applyFill="1" applyBorder="1" applyAlignment="1">
      <alignment horizontal="center" vertical="center"/>
    </xf>
    <xf numFmtId="49" fontId="7" fillId="31" borderId="2" xfId="0" applyNumberFormat="1" applyFont="1" applyFill="1" applyBorder="1" applyAlignment="1">
      <alignment horizontal="center" vertical="center" wrapText="1"/>
    </xf>
    <xf numFmtId="0" fontId="2" fillId="31" borderId="2" xfId="0" applyFont="1" applyFill="1" applyBorder="1" applyAlignment="1">
      <alignment horizontal="center" vertical="center"/>
    </xf>
    <xf numFmtId="177" fontId="7" fillId="31" borderId="10" xfId="0" applyNumberFormat="1" applyFont="1" applyFill="1" applyBorder="1" applyAlignment="1">
      <alignment horizontal="center" vertical="center"/>
    </xf>
    <xf numFmtId="49" fontId="7" fillId="31" borderId="10" xfId="0" applyNumberFormat="1" applyFont="1" applyFill="1" applyBorder="1" applyAlignment="1">
      <alignment horizontal="center" vertical="center" wrapText="1"/>
    </xf>
    <xf numFmtId="177" fontId="7" fillId="31" borderId="11" xfId="0" applyNumberFormat="1" applyFont="1" applyFill="1" applyBorder="1" applyAlignment="1">
      <alignment horizontal="center" vertical="center"/>
    </xf>
    <xf numFmtId="49" fontId="7" fillId="31" borderId="11" xfId="0" applyNumberFormat="1" applyFont="1" applyFill="1" applyBorder="1" applyAlignment="1">
      <alignment horizontal="center" vertical="center" wrapText="1"/>
    </xf>
    <xf numFmtId="0" fontId="2" fillId="31" borderId="11" xfId="0" applyFont="1" applyFill="1" applyBorder="1" applyAlignment="1">
      <alignment horizontal="center" vertical="center"/>
    </xf>
    <xf numFmtId="0" fontId="7" fillId="32" borderId="1" xfId="0" applyFont="1" applyFill="1" applyBorder="1" applyAlignment="1">
      <alignment horizontal="center" vertical="center"/>
    </xf>
    <xf numFmtId="177" fontId="7" fillId="32" borderId="2" xfId="0" applyNumberFormat="1" applyFont="1" applyFill="1" applyBorder="1" applyAlignment="1">
      <alignment horizontal="center" vertical="center"/>
    </xf>
    <xf numFmtId="49" fontId="7" fillId="32" borderId="2" xfId="0" applyNumberFormat="1" applyFont="1" applyFill="1" applyBorder="1" applyAlignment="1">
      <alignment horizontal="center" vertical="center" wrapText="1"/>
    </xf>
    <xf numFmtId="0" fontId="2" fillId="32" borderId="2" xfId="0" applyFont="1" applyFill="1" applyBorder="1" applyAlignment="1">
      <alignment horizontal="center" vertical="center"/>
    </xf>
    <xf numFmtId="177" fontId="7" fillId="32" borderId="10" xfId="0" applyNumberFormat="1" applyFont="1" applyFill="1" applyBorder="1" applyAlignment="1">
      <alignment horizontal="center" vertical="center"/>
    </xf>
    <xf numFmtId="49" fontId="7" fillId="32" borderId="10" xfId="0" applyNumberFormat="1" applyFont="1" applyFill="1" applyBorder="1" applyAlignment="1">
      <alignment horizontal="center" vertical="center" wrapText="1"/>
    </xf>
    <xf numFmtId="0" fontId="2" fillId="32" borderId="10" xfId="0" applyFont="1" applyFill="1" applyBorder="1" applyAlignment="1">
      <alignment horizontal="center" vertical="center"/>
    </xf>
    <xf numFmtId="177" fontId="7" fillId="32" borderId="11" xfId="0" applyNumberFormat="1" applyFont="1" applyFill="1" applyBorder="1" applyAlignment="1">
      <alignment horizontal="center" vertical="center"/>
    </xf>
    <xf numFmtId="49" fontId="7" fillId="32" borderId="11" xfId="0" applyNumberFormat="1" applyFont="1" applyFill="1" applyBorder="1" applyAlignment="1">
      <alignment horizontal="center" vertical="center" wrapText="1"/>
    </xf>
    <xf numFmtId="0" fontId="2" fillId="32" borderId="11" xfId="0" applyFont="1" applyFill="1" applyBorder="1" applyAlignment="1">
      <alignment horizontal="center" vertical="center"/>
    </xf>
    <xf numFmtId="177" fontId="7" fillId="18" borderId="2" xfId="0" applyNumberFormat="1" applyFont="1" applyFill="1" applyBorder="1" applyAlignment="1">
      <alignment horizontal="center" vertical="center"/>
    </xf>
    <xf numFmtId="0" fontId="2" fillId="16" borderId="10" xfId="0" applyFont="1" applyFill="1" applyBorder="1" applyAlignment="1">
      <alignment horizontal="center" vertical="center"/>
    </xf>
    <xf numFmtId="177" fontId="7" fillId="18" borderId="10" xfId="0" applyNumberFormat="1" applyFont="1" applyFill="1" applyBorder="1" applyAlignment="1">
      <alignment horizontal="center" vertical="center"/>
    </xf>
    <xf numFmtId="49" fontId="7" fillId="18" borderId="10" xfId="0" applyNumberFormat="1" applyFont="1" applyFill="1" applyBorder="1" applyAlignment="1">
      <alignment horizontal="center" vertical="center" wrapText="1"/>
    </xf>
    <xf numFmtId="177" fontId="7" fillId="18" borderId="11" xfId="0" applyNumberFormat="1" applyFont="1" applyFill="1" applyBorder="1" applyAlignment="1">
      <alignment horizontal="center" vertical="center"/>
    </xf>
    <xf numFmtId="49" fontId="7" fillId="18" borderId="11" xfId="0" applyNumberFormat="1" applyFont="1" applyFill="1" applyBorder="1" applyAlignment="1">
      <alignment horizontal="center" vertical="center" wrapText="1"/>
    </xf>
    <xf numFmtId="0" fontId="7" fillId="3" borderId="2" xfId="0" applyFont="1" applyFill="1" applyBorder="1" applyAlignment="1">
      <alignment horizontal="center" vertical="center"/>
    </xf>
    <xf numFmtId="177" fontId="7" fillId="3" borderId="10" xfId="0" applyNumberFormat="1" applyFont="1" applyFill="1" applyBorder="1" applyAlignment="1">
      <alignment horizontal="center" vertical="center"/>
    </xf>
    <xf numFmtId="49" fontId="7" fillId="3" borderId="10" xfId="0" applyNumberFormat="1" applyFont="1" applyFill="1" applyBorder="1" applyAlignment="1">
      <alignment horizontal="center" vertical="center" wrapText="1"/>
    </xf>
    <xf numFmtId="0" fontId="7" fillId="3" borderId="10" xfId="0" applyFont="1" applyFill="1" applyBorder="1" applyAlignment="1">
      <alignment horizontal="center" vertical="center"/>
    </xf>
    <xf numFmtId="0" fontId="7" fillId="3" borderId="11" xfId="0" applyFont="1" applyFill="1" applyBorder="1" applyAlignment="1">
      <alignment horizontal="center" vertical="center"/>
    </xf>
    <xf numFmtId="0" fontId="7" fillId="16" borderId="1" xfId="0" applyFont="1" applyFill="1" applyBorder="1" applyAlignment="1">
      <alignment horizontal="center" vertical="center"/>
    </xf>
    <xf numFmtId="177" fontId="7" fillId="16" borderId="2" xfId="0" applyNumberFormat="1" applyFont="1" applyFill="1" applyBorder="1" applyAlignment="1">
      <alignment horizontal="center" vertical="center"/>
    </xf>
    <xf numFmtId="49" fontId="7" fillId="16" borderId="2" xfId="0" applyNumberFormat="1" applyFont="1" applyFill="1" applyBorder="1" applyAlignment="1">
      <alignment horizontal="center" vertical="center" wrapText="1"/>
    </xf>
    <xf numFmtId="0" fontId="2" fillId="16" borderId="2" xfId="0" applyFont="1" applyFill="1" applyBorder="1" applyAlignment="1">
      <alignment horizontal="center" vertical="center"/>
    </xf>
    <xf numFmtId="177" fontId="7" fillId="16" borderId="10" xfId="0" applyNumberFormat="1" applyFont="1" applyFill="1" applyBorder="1" applyAlignment="1">
      <alignment horizontal="center" vertical="center"/>
    </xf>
    <xf numFmtId="49" fontId="7" fillId="16" borderId="10" xfId="0" applyNumberFormat="1" applyFont="1" applyFill="1" applyBorder="1" applyAlignment="1">
      <alignment horizontal="center" vertical="center" wrapText="1"/>
    </xf>
    <xf numFmtId="177" fontId="7" fillId="16" borderId="11" xfId="0" applyNumberFormat="1" applyFont="1" applyFill="1" applyBorder="1" applyAlignment="1">
      <alignment horizontal="center" vertical="center"/>
    </xf>
    <xf numFmtId="49" fontId="7" fillId="16" borderId="11" xfId="0" applyNumberFormat="1" applyFont="1" applyFill="1" applyBorder="1" applyAlignment="1">
      <alignment horizontal="center" vertical="center" wrapText="1"/>
    </xf>
    <xf numFmtId="0" fontId="2" fillId="16" borderId="11" xfId="0" applyFont="1" applyFill="1" applyBorder="1" applyAlignment="1">
      <alignment horizontal="center" vertical="center"/>
    </xf>
    <xf numFmtId="177" fontId="7" fillId="6" borderId="10" xfId="0" applyNumberFormat="1" applyFont="1" applyFill="1" applyBorder="1" applyAlignment="1">
      <alignment horizontal="center" vertical="center"/>
    </xf>
    <xf numFmtId="0" fontId="7" fillId="11" borderId="3" xfId="0" applyFont="1" applyFill="1" applyBorder="1" applyAlignment="1">
      <alignment horizontal="center" vertical="center"/>
    </xf>
    <xf numFmtId="177" fontId="7" fillId="11" borderId="7" xfId="0" applyNumberFormat="1" applyFont="1" applyFill="1" applyBorder="1" applyAlignment="1">
      <alignment horizontal="center" vertical="center"/>
    </xf>
    <xf numFmtId="49" fontId="7" fillId="11" borderId="1" xfId="0" applyNumberFormat="1" applyFont="1" applyFill="1" applyBorder="1" applyAlignment="1">
      <alignment horizontal="center" vertical="center" wrapText="1"/>
    </xf>
    <xf numFmtId="0" fontId="2" fillId="11" borderId="0" xfId="0" applyFont="1" applyFill="1" applyBorder="1" applyAlignment="1">
      <alignment horizontal="center" vertical="center"/>
    </xf>
    <xf numFmtId="0" fontId="2" fillId="11" borderId="3" xfId="0" applyFont="1" applyFill="1" applyBorder="1" applyAlignment="1">
      <alignment horizontal="center" vertical="center"/>
    </xf>
    <xf numFmtId="49" fontId="2" fillId="11" borderId="1"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center" wrapText="1"/>
    </xf>
    <xf numFmtId="0" fontId="2" fillId="11" borderId="1" xfId="0" applyFont="1" applyFill="1" applyBorder="1" applyAlignment="1">
      <alignment horizontal="center" vertical="center"/>
    </xf>
    <xf numFmtId="177" fontId="7" fillId="11" borderId="1" xfId="0" applyNumberFormat="1" applyFont="1" applyFill="1" applyBorder="1" applyAlignment="1">
      <alignment horizontal="center" vertical="center"/>
    </xf>
    <xf numFmtId="49" fontId="2" fillId="11" borderId="11" xfId="0" applyNumberFormat="1" applyFont="1" applyFill="1" applyBorder="1" applyAlignment="1">
      <alignment horizontal="center" vertical="center" wrapText="1"/>
    </xf>
    <xf numFmtId="0" fontId="7" fillId="8" borderId="1" xfId="0" applyFont="1" applyFill="1" applyBorder="1" applyAlignment="1">
      <alignment horizontal="center" vertical="center"/>
    </xf>
    <xf numFmtId="14" fontId="2" fillId="8" borderId="1" xfId="0" applyNumberFormat="1" applyFont="1" applyFill="1" applyBorder="1" applyAlignment="1">
      <alignment horizontal="center" vertical="center"/>
    </xf>
    <xf numFmtId="0" fontId="7" fillId="8" borderId="1" xfId="0" applyFont="1" applyFill="1" applyBorder="1" applyAlignment="1">
      <alignment horizontal="center" vertical="center" wrapText="1"/>
    </xf>
    <xf numFmtId="0" fontId="2" fillId="8" borderId="1" xfId="0" applyFont="1" applyFill="1" applyBorder="1" applyAlignment="1">
      <alignment horizontal="center" vertical="center"/>
    </xf>
    <xf numFmtId="0" fontId="2" fillId="8" borderId="1" xfId="0" applyFont="1" applyFill="1" applyBorder="1" applyAlignment="1">
      <alignment horizontal="center" vertical="center" wrapText="1"/>
    </xf>
    <xf numFmtId="14" fontId="2" fillId="2" borderId="11" xfId="0" applyNumberFormat="1" applyFont="1" applyFill="1" applyBorder="1" applyAlignment="1">
      <alignment horizontal="center" vertical="center"/>
    </xf>
    <xf numFmtId="0" fontId="17" fillId="5" borderId="10" xfId="0" applyFont="1" applyFill="1" applyBorder="1" applyAlignment="1">
      <alignment horizontal="center" vertical="center" wrapText="1"/>
    </xf>
    <xf numFmtId="0" fontId="17" fillId="5" borderId="10" xfId="0" applyFont="1" applyFill="1" applyBorder="1" applyAlignment="1">
      <alignment horizontal="center" vertical="center"/>
    </xf>
    <xf numFmtId="0" fontId="7" fillId="31" borderId="2" xfId="0" applyFont="1" applyFill="1" applyBorder="1" applyAlignment="1">
      <alignment horizontal="center" vertical="center" wrapText="1"/>
    </xf>
    <xf numFmtId="0" fontId="7" fillId="31" borderId="2" xfId="0" applyFont="1" applyFill="1" applyBorder="1" applyAlignment="1">
      <alignment horizontal="center" vertical="center"/>
    </xf>
    <xf numFmtId="0" fontId="7" fillId="31" borderId="10" xfId="0" applyFont="1" applyFill="1" applyBorder="1" applyAlignment="1">
      <alignment horizontal="center" vertical="center" wrapText="1"/>
    </xf>
    <xf numFmtId="0" fontId="7" fillId="31" borderId="10" xfId="0" applyFont="1" applyFill="1" applyBorder="1" applyAlignment="1">
      <alignment horizontal="center" vertical="center"/>
    </xf>
    <xf numFmtId="0" fontId="7" fillId="31" borderId="11" xfId="0" applyFont="1" applyFill="1" applyBorder="1" applyAlignment="1">
      <alignment horizontal="center" vertical="center" wrapText="1"/>
    </xf>
    <xf numFmtId="0" fontId="7" fillId="31" borderId="11" xfId="0" applyFont="1" applyFill="1" applyBorder="1" applyAlignment="1">
      <alignment horizontal="center" vertical="center"/>
    </xf>
    <xf numFmtId="0" fontId="7" fillId="32" borderId="2" xfId="0" applyFont="1" applyFill="1" applyBorder="1" applyAlignment="1">
      <alignment horizontal="center" vertical="center" wrapText="1"/>
    </xf>
    <xf numFmtId="0" fontId="7" fillId="32" borderId="2" xfId="0" applyFont="1" applyFill="1" applyBorder="1" applyAlignment="1">
      <alignment horizontal="center" vertical="center"/>
    </xf>
    <xf numFmtId="0" fontId="7" fillId="32" borderId="10" xfId="0" applyFont="1" applyFill="1" applyBorder="1" applyAlignment="1">
      <alignment horizontal="center" vertical="center" wrapText="1"/>
    </xf>
    <xf numFmtId="0" fontId="7" fillId="32" borderId="10" xfId="0" applyFont="1" applyFill="1" applyBorder="1" applyAlignment="1">
      <alignment horizontal="center" vertical="center"/>
    </xf>
    <xf numFmtId="0" fontId="7" fillId="32" borderId="11" xfId="0" applyFont="1" applyFill="1" applyBorder="1" applyAlignment="1">
      <alignment horizontal="center" vertical="center" wrapText="1"/>
    </xf>
    <xf numFmtId="0" fontId="7" fillId="32" borderId="11" xfId="0" applyFont="1" applyFill="1" applyBorder="1" applyAlignment="1">
      <alignment horizontal="center" vertical="center"/>
    </xf>
    <xf numFmtId="0" fontId="7" fillId="18" borderId="10" xfId="0" applyFont="1" applyFill="1" applyBorder="1" applyAlignment="1">
      <alignment horizontal="center" vertical="center" wrapText="1"/>
    </xf>
    <xf numFmtId="0" fontId="7" fillId="18" borderId="10" xfId="0" applyFont="1" applyFill="1" applyBorder="1" applyAlignment="1">
      <alignment horizontal="center" vertical="center"/>
    </xf>
    <xf numFmtId="0" fontId="7" fillId="18" borderId="11" xfId="0" applyFont="1" applyFill="1" applyBorder="1" applyAlignment="1">
      <alignment horizontal="center" vertical="center" wrapText="1"/>
    </xf>
    <xf numFmtId="0" fontId="7" fillId="18" borderId="11" xfId="0" applyFont="1" applyFill="1" applyBorder="1" applyAlignment="1">
      <alignment horizontal="center" vertical="center"/>
    </xf>
    <xf numFmtId="0" fontId="7" fillId="3" borderId="10" xfId="0" applyFont="1" applyFill="1" applyBorder="1" applyAlignment="1">
      <alignment horizontal="center" vertical="center" wrapText="1"/>
    </xf>
    <xf numFmtId="0" fontId="7" fillId="16" borderId="2" xfId="0" applyFont="1" applyFill="1" applyBorder="1" applyAlignment="1">
      <alignment horizontal="center" vertical="center" wrapText="1"/>
    </xf>
    <xf numFmtId="0" fontId="7" fillId="16" borderId="2" xfId="0" applyFont="1" applyFill="1" applyBorder="1" applyAlignment="1">
      <alignment horizontal="center" vertical="center"/>
    </xf>
    <xf numFmtId="0" fontId="7" fillId="16" borderId="10" xfId="0" applyFont="1" applyFill="1" applyBorder="1" applyAlignment="1">
      <alignment horizontal="center" vertical="center" wrapText="1"/>
    </xf>
    <xf numFmtId="0" fontId="7" fillId="16" borderId="10" xfId="0" applyFont="1" applyFill="1" applyBorder="1" applyAlignment="1">
      <alignment horizontal="center" vertical="center"/>
    </xf>
    <xf numFmtId="0" fontId="7" fillId="16" borderId="11" xfId="0" applyFont="1" applyFill="1" applyBorder="1" applyAlignment="1">
      <alignment horizontal="center" vertical="center" wrapText="1"/>
    </xf>
    <xf numFmtId="0" fontId="7" fillId="16" borderId="11" xfId="0" applyFont="1" applyFill="1" applyBorder="1" applyAlignment="1">
      <alignment horizontal="center" vertical="center"/>
    </xf>
    <xf numFmtId="0" fontId="7" fillId="11" borderId="1" xfId="0" applyFont="1" applyFill="1" applyBorder="1" applyAlignment="1">
      <alignment horizontal="center" vertical="center" wrapText="1"/>
    </xf>
    <xf numFmtId="0" fontId="7" fillId="11" borderId="1" xfId="0" applyFont="1" applyFill="1" applyBorder="1" applyAlignment="1">
      <alignment horizontal="center" vertical="center"/>
    </xf>
    <xf numFmtId="0" fontId="2" fillId="11" borderId="1" xfId="0" applyFont="1" applyFill="1" applyBorder="1" applyAlignment="1">
      <alignment horizontal="center" vertical="center" wrapText="1"/>
    </xf>
    <xf numFmtId="0" fontId="17" fillId="13" borderId="1" xfId="0" applyFont="1" applyFill="1" applyBorder="1" applyAlignment="1">
      <alignment horizontal="center" vertical="center" wrapText="1"/>
    </xf>
    <xf numFmtId="178" fontId="17" fillId="5" borderId="10" xfId="0" applyNumberFormat="1" applyFont="1" applyFill="1" applyBorder="1" applyAlignment="1">
      <alignment horizontal="center" vertical="center"/>
    </xf>
    <xf numFmtId="178" fontId="2" fillId="31" borderId="2" xfId="0" applyNumberFormat="1" applyFont="1" applyFill="1" applyBorder="1" applyAlignment="1">
      <alignment horizontal="center" vertical="center"/>
    </xf>
    <xf numFmtId="178" fontId="2" fillId="31" borderId="10" xfId="0" applyNumberFormat="1" applyFont="1" applyFill="1" applyBorder="1" applyAlignment="1">
      <alignment horizontal="center" vertical="center"/>
    </xf>
    <xf numFmtId="178" fontId="2" fillId="31" borderId="11" xfId="0" applyNumberFormat="1" applyFont="1" applyFill="1" applyBorder="1" applyAlignment="1">
      <alignment horizontal="center" vertical="center"/>
    </xf>
    <xf numFmtId="178" fontId="2" fillId="32" borderId="2" xfId="0" applyNumberFormat="1" applyFont="1" applyFill="1" applyBorder="1" applyAlignment="1">
      <alignment horizontal="center" vertical="center"/>
    </xf>
    <xf numFmtId="178" fontId="2" fillId="32" borderId="10" xfId="0" applyNumberFormat="1" applyFont="1" applyFill="1" applyBorder="1" applyAlignment="1">
      <alignment horizontal="center" vertical="center"/>
    </xf>
    <xf numFmtId="178" fontId="2" fillId="32" borderId="11" xfId="0" applyNumberFormat="1" applyFont="1" applyFill="1" applyBorder="1" applyAlignment="1">
      <alignment horizontal="center" vertical="center"/>
    </xf>
    <xf numFmtId="178" fontId="7" fillId="18" borderId="2" xfId="0" applyNumberFormat="1" applyFont="1" applyFill="1" applyBorder="1" applyAlignment="1">
      <alignment horizontal="center" vertical="center"/>
    </xf>
    <xf numFmtId="178" fontId="2" fillId="3" borderId="10" xfId="0" applyNumberFormat="1" applyFont="1" applyFill="1" applyBorder="1" applyAlignment="1">
      <alignment horizontal="center" vertical="center"/>
    </xf>
    <xf numFmtId="178" fontId="7" fillId="3" borderId="10" xfId="0" applyNumberFormat="1" applyFont="1" applyFill="1" applyBorder="1" applyAlignment="1">
      <alignment horizontal="center" vertical="center"/>
    </xf>
    <xf numFmtId="178" fontId="2" fillId="16" borderId="2" xfId="0" applyNumberFormat="1" applyFont="1" applyFill="1" applyBorder="1" applyAlignment="1">
      <alignment horizontal="center" vertical="center"/>
    </xf>
    <xf numFmtId="178" fontId="2" fillId="16" borderId="10" xfId="0" applyNumberFormat="1" applyFont="1" applyFill="1" applyBorder="1" applyAlignment="1">
      <alignment horizontal="center" vertical="center"/>
    </xf>
    <xf numFmtId="178" fontId="2" fillId="16" borderId="11" xfId="0" applyNumberFormat="1" applyFont="1" applyFill="1" applyBorder="1" applyAlignment="1">
      <alignment horizontal="center" vertical="center"/>
    </xf>
    <xf numFmtId="178" fontId="2" fillId="11" borderId="1" xfId="0" applyNumberFormat="1" applyFont="1" applyFill="1" applyBorder="1" applyAlignment="1">
      <alignment horizontal="center" vertical="center"/>
    </xf>
    <xf numFmtId="0" fontId="7" fillId="11" borderId="11" xfId="0" applyFont="1" applyFill="1" applyBorder="1" applyAlignment="1">
      <alignment horizontal="center" vertical="center"/>
    </xf>
    <xf numFmtId="0" fontId="2" fillId="8" borderId="2" xfId="0" applyFont="1" applyFill="1" applyBorder="1" applyAlignment="1">
      <alignment horizontal="center" vertical="center"/>
    </xf>
    <xf numFmtId="9" fontId="2" fillId="13" borderId="2" xfId="0" applyNumberFormat="1" applyFont="1" applyFill="1" applyBorder="1" applyAlignment="1">
      <alignment horizontal="center" vertical="center" wrapText="1"/>
    </xf>
    <xf numFmtId="176" fontId="3" fillId="13" borderId="2" xfId="0" applyNumberFormat="1" applyFont="1" applyFill="1" applyBorder="1" applyAlignment="1">
      <alignment horizontal="center" vertical="center"/>
    </xf>
    <xf numFmtId="0" fontId="7" fillId="13" borderId="11" xfId="0" applyFont="1" applyFill="1" applyBorder="1" applyAlignment="1">
      <alignment horizontal="center" vertical="center" wrapText="1"/>
    </xf>
    <xf numFmtId="0" fontId="11" fillId="13" borderId="1" xfId="0" applyFont="1" applyFill="1" applyBorder="1" applyAlignment="1">
      <alignment vertical="center" wrapText="1"/>
    </xf>
    <xf numFmtId="9" fontId="2" fillId="13" borderId="11" xfId="0" applyNumberFormat="1" applyFont="1" applyFill="1" applyBorder="1" applyAlignment="1">
      <alignment horizontal="center" vertical="center" wrapText="1"/>
    </xf>
    <xf numFmtId="176" fontId="3" fillId="13" borderId="11" xfId="0" applyNumberFormat="1" applyFont="1" applyFill="1" applyBorder="1" applyAlignment="1">
      <alignment horizontal="center" vertical="center"/>
    </xf>
    <xf numFmtId="9" fontId="2" fillId="13" borderId="1" xfId="0" applyNumberFormat="1" applyFont="1" applyFill="1" applyBorder="1" applyAlignment="1">
      <alignment horizontal="center" vertical="center" wrapText="1"/>
    </xf>
    <xf numFmtId="176" fontId="3" fillId="13" borderId="1" xfId="0" applyNumberFormat="1" applyFont="1" applyFill="1" applyBorder="1" applyAlignment="1">
      <alignment horizontal="center" vertical="center"/>
    </xf>
    <xf numFmtId="0" fontId="7" fillId="6" borderId="1" xfId="0" applyFont="1" applyFill="1" applyBorder="1" applyAlignment="1">
      <alignment vertical="center" wrapText="1"/>
    </xf>
    <xf numFmtId="9" fontId="2" fillId="6" borderId="2" xfId="0" applyNumberFormat="1" applyFont="1" applyFill="1" applyBorder="1" applyAlignment="1">
      <alignment horizontal="center" vertical="center" wrapText="1"/>
    </xf>
    <xf numFmtId="176" fontId="3" fillId="6" borderId="2" xfId="0" applyNumberFormat="1" applyFont="1" applyFill="1" applyBorder="1" applyAlignment="1">
      <alignment horizontal="center" vertical="center"/>
    </xf>
    <xf numFmtId="9" fontId="2" fillId="6" borderId="1" xfId="0" applyNumberFormat="1" applyFont="1" applyFill="1" applyBorder="1" applyAlignment="1">
      <alignment horizontal="center" vertical="center" wrapText="1"/>
    </xf>
    <xf numFmtId="176" fontId="3" fillId="6" borderId="1" xfId="0" applyNumberFormat="1" applyFont="1" applyFill="1" applyBorder="1" applyAlignment="1">
      <alignment horizontal="center" vertical="center"/>
    </xf>
    <xf numFmtId="0" fontId="17" fillId="5" borderId="1" xfId="0" applyFont="1" applyFill="1" applyBorder="1" applyAlignment="1">
      <alignment horizontal="center" vertical="center" wrapText="1"/>
    </xf>
    <xf numFmtId="0" fontId="17" fillId="5" borderId="1" xfId="0" applyFont="1" applyFill="1" applyBorder="1" applyAlignment="1">
      <alignment vertical="center" wrapText="1"/>
    </xf>
    <xf numFmtId="9" fontId="17" fillId="5" borderId="1" xfId="0" applyNumberFormat="1" applyFont="1" applyFill="1" applyBorder="1" applyAlignment="1">
      <alignment horizontal="center" vertical="center" wrapText="1"/>
    </xf>
    <xf numFmtId="176" fontId="19" fillId="5" borderId="1" xfId="0" applyNumberFormat="1" applyFont="1" applyFill="1" applyBorder="1" applyAlignment="1">
      <alignment horizontal="center" vertical="center"/>
    </xf>
    <xf numFmtId="0" fontId="7" fillId="31" borderId="1" xfId="0" applyFont="1" applyFill="1" applyBorder="1" applyAlignment="1">
      <alignment horizontal="center" vertical="center" wrapText="1"/>
    </xf>
    <xf numFmtId="0" fontId="7" fillId="31" borderId="1" xfId="0" applyFont="1" applyFill="1" applyBorder="1" applyAlignment="1">
      <alignment vertical="center" wrapText="1"/>
    </xf>
    <xf numFmtId="9" fontId="2" fillId="31" borderId="1" xfId="0" applyNumberFormat="1" applyFont="1" applyFill="1" applyBorder="1" applyAlignment="1">
      <alignment horizontal="center" vertical="center" wrapText="1"/>
    </xf>
    <xf numFmtId="176" fontId="3" fillId="31" borderId="1" xfId="0" applyNumberFormat="1" applyFont="1" applyFill="1" applyBorder="1" applyAlignment="1">
      <alignment horizontal="center" vertical="center"/>
    </xf>
    <xf numFmtId="0" fontId="7" fillId="32" borderId="1" xfId="0" applyFont="1" applyFill="1" applyBorder="1" applyAlignment="1">
      <alignment vertical="center" wrapText="1"/>
    </xf>
    <xf numFmtId="9" fontId="2" fillId="32" borderId="1" xfId="0" applyNumberFormat="1" applyFont="1" applyFill="1" applyBorder="1" applyAlignment="1">
      <alignment horizontal="center" vertical="center" wrapText="1"/>
    </xf>
    <xf numFmtId="176" fontId="3" fillId="32" borderId="1" xfId="0" applyNumberFormat="1" applyFont="1" applyFill="1" applyBorder="1" applyAlignment="1">
      <alignment horizontal="center" vertical="center"/>
    </xf>
    <xf numFmtId="0" fontId="11" fillId="32" borderId="1" xfId="0" applyFont="1" applyFill="1" applyBorder="1" applyAlignment="1">
      <alignment vertical="center" wrapText="1"/>
    </xf>
    <xf numFmtId="0" fontId="7" fillId="32" borderId="1" xfId="0" applyFont="1" applyFill="1" applyBorder="1" applyAlignment="1">
      <alignment horizontal="center" vertical="center" wrapText="1"/>
    </xf>
    <xf numFmtId="0" fontId="7" fillId="18" borderId="1" xfId="0" applyFont="1" applyFill="1" applyBorder="1" applyAlignment="1">
      <alignment vertical="center" wrapText="1"/>
    </xf>
    <xf numFmtId="9" fontId="2" fillId="18" borderId="1" xfId="0" applyNumberFormat="1" applyFont="1" applyFill="1" applyBorder="1" applyAlignment="1">
      <alignment horizontal="center" vertical="center" wrapText="1"/>
    </xf>
    <xf numFmtId="176" fontId="3" fillId="18" borderId="1" xfId="0" applyNumberFormat="1" applyFont="1" applyFill="1" applyBorder="1" applyAlignment="1">
      <alignment horizontal="center" vertical="center"/>
    </xf>
    <xf numFmtId="9" fontId="2" fillId="3" borderId="2" xfId="0" applyNumberFormat="1" applyFont="1" applyFill="1" applyBorder="1" applyAlignment="1">
      <alignment horizontal="center" vertical="center" wrapText="1"/>
    </xf>
    <xf numFmtId="176" fontId="3" fillId="3" borderId="1" xfId="0" applyNumberFormat="1" applyFont="1" applyFill="1" applyBorder="1" applyAlignment="1">
      <alignment horizontal="center" vertical="center"/>
    </xf>
    <xf numFmtId="0" fontId="7" fillId="16" borderId="1" xfId="0" applyFont="1" applyFill="1" applyBorder="1" applyAlignment="1">
      <alignment horizontal="center" vertical="center" wrapText="1"/>
    </xf>
    <xf numFmtId="0" fontId="7" fillId="16" borderId="1" xfId="0" applyFont="1" applyFill="1" applyBorder="1" applyAlignment="1">
      <alignment vertical="center" wrapText="1"/>
    </xf>
    <xf numFmtId="9" fontId="2" fillId="16" borderId="2" xfId="0" applyNumberFormat="1" applyFont="1" applyFill="1" applyBorder="1" applyAlignment="1">
      <alignment horizontal="center" vertical="center" wrapText="1"/>
    </xf>
    <xf numFmtId="176" fontId="3" fillId="16" borderId="1" xfId="0" applyNumberFormat="1" applyFont="1" applyFill="1" applyBorder="1" applyAlignment="1">
      <alignment horizontal="center" vertical="center"/>
    </xf>
    <xf numFmtId="0" fontId="11" fillId="16" borderId="1" xfId="0" applyFont="1" applyFill="1" applyBorder="1" applyAlignment="1">
      <alignment vertical="center" wrapText="1"/>
    </xf>
    <xf numFmtId="9" fontId="2" fillId="16" borderId="10" xfId="0" applyNumberFormat="1" applyFont="1" applyFill="1" applyBorder="1" applyAlignment="1">
      <alignment horizontal="center" vertical="center" wrapText="1"/>
    </xf>
    <xf numFmtId="176" fontId="3" fillId="16" borderId="2" xfId="0" applyNumberFormat="1" applyFont="1" applyFill="1" applyBorder="1" applyAlignment="1">
      <alignment horizontal="center" vertical="center"/>
    </xf>
    <xf numFmtId="176" fontId="3" fillId="16" borderId="11" xfId="0" applyNumberFormat="1" applyFont="1" applyFill="1" applyBorder="1" applyAlignment="1">
      <alignment horizontal="center" vertical="center"/>
    </xf>
    <xf numFmtId="9" fontId="2" fillId="16" borderId="11" xfId="0" applyNumberFormat="1" applyFont="1" applyFill="1" applyBorder="1" applyAlignment="1">
      <alignment horizontal="center" vertical="center" wrapText="1"/>
    </xf>
    <xf numFmtId="9" fontId="2" fillId="16" borderId="1" xfId="0" applyNumberFormat="1" applyFont="1" applyFill="1" applyBorder="1" applyAlignment="1">
      <alignment horizontal="center" vertical="center" wrapText="1"/>
    </xf>
    <xf numFmtId="0" fontId="11" fillId="6" borderId="1" xfId="0" applyFont="1" applyFill="1" applyBorder="1" applyAlignment="1">
      <alignment vertical="center" wrapText="1"/>
    </xf>
    <xf numFmtId="9" fontId="2" fillId="6" borderId="11" xfId="0" applyNumberFormat="1" applyFont="1" applyFill="1" applyBorder="1" applyAlignment="1">
      <alignment horizontal="center" vertical="center" wrapText="1"/>
    </xf>
    <xf numFmtId="176" fontId="18" fillId="6" borderId="11" xfId="0" applyNumberFormat="1" applyFont="1" applyFill="1" applyBorder="1" applyAlignment="1">
      <alignment horizontal="center" vertical="center"/>
    </xf>
    <xf numFmtId="176" fontId="3" fillId="6" borderId="10" xfId="0" applyNumberFormat="1" applyFont="1" applyFill="1" applyBorder="1" applyAlignment="1">
      <alignment horizontal="center" vertical="center"/>
    </xf>
    <xf numFmtId="176" fontId="3" fillId="6" borderId="11" xfId="0" applyNumberFormat="1" applyFont="1" applyFill="1" applyBorder="1" applyAlignment="1">
      <alignment horizontal="center" vertical="center"/>
    </xf>
    <xf numFmtId="0" fontId="7" fillId="11" borderId="21" xfId="0" applyFont="1" applyFill="1" applyBorder="1" applyAlignment="1">
      <alignment horizontal="center" vertical="center" wrapText="1"/>
    </xf>
    <xf numFmtId="0" fontId="7" fillId="11" borderId="3" xfId="0" applyFont="1" applyFill="1" applyBorder="1" applyAlignment="1">
      <alignment vertical="center" wrapText="1"/>
    </xf>
    <xf numFmtId="9" fontId="2" fillId="11" borderId="3" xfId="0" applyNumberFormat="1" applyFont="1" applyFill="1" applyBorder="1" applyAlignment="1">
      <alignment horizontal="center" vertical="center" wrapText="1"/>
    </xf>
    <xf numFmtId="176" fontId="3" fillId="11" borderId="11" xfId="0" applyNumberFormat="1" applyFont="1" applyFill="1" applyBorder="1" applyAlignment="1">
      <alignment horizontal="center" vertical="center"/>
    </xf>
    <xf numFmtId="0" fontId="2" fillId="11" borderId="18" xfId="0" applyFont="1" applyFill="1" applyBorder="1" applyAlignment="1">
      <alignment horizontal="center" vertical="center" wrapText="1"/>
    </xf>
    <xf numFmtId="0" fontId="7" fillId="11" borderId="6" xfId="0" applyFont="1" applyFill="1" applyBorder="1" applyAlignment="1">
      <alignment vertical="center" wrapText="1"/>
    </xf>
    <xf numFmtId="9" fontId="2" fillId="11" borderId="6" xfId="0" applyNumberFormat="1" applyFont="1" applyFill="1" applyBorder="1" applyAlignment="1">
      <alignment horizontal="center" vertical="center" wrapText="1"/>
    </xf>
    <xf numFmtId="176" fontId="3" fillId="11" borderId="1" xfId="0" applyNumberFormat="1" applyFont="1" applyFill="1" applyBorder="1" applyAlignment="1">
      <alignment horizontal="center" vertical="center"/>
    </xf>
    <xf numFmtId="0" fontId="7" fillId="11" borderId="18" xfId="0" applyFont="1" applyFill="1" applyBorder="1" applyAlignment="1">
      <alignment horizontal="center" vertical="center" wrapText="1"/>
    </xf>
    <xf numFmtId="176" fontId="6" fillId="11" borderId="1" xfId="0" applyNumberFormat="1" applyFont="1" applyFill="1" applyBorder="1" applyAlignment="1">
      <alignment horizontal="center" vertical="center"/>
    </xf>
    <xf numFmtId="0" fontId="2" fillId="8" borderId="18" xfId="0" applyFont="1" applyFill="1" applyBorder="1" applyAlignment="1">
      <alignment horizontal="center" vertical="center" wrapText="1"/>
    </xf>
    <xf numFmtId="0" fontId="7" fillId="8" borderId="6" xfId="0" applyFont="1" applyFill="1" applyBorder="1" applyAlignment="1">
      <alignment horizontal="center" vertical="center" wrapText="1"/>
    </xf>
    <xf numFmtId="9" fontId="2" fillId="8" borderId="6" xfId="0" applyNumberFormat="1" applyFont="1" applyFill="1" applyBorder="1" applyAlignment="1">
      <alignment horizontal="center" vertical="center" wrapText="1"/>
    </xf>
    <xf numFmtId="176" fontId="3" fillId="8" borderId="2" xfId="0" applyNumberFormat="1" applyFont="1" applyFill="1" applyBorder="1" applyAlignment="1">
      <alignment horizontal="center" vertical="center"/>
    </xf>
    <xf numFmtId="0" fontId="2" fillId="8" borderId="21" xfId="0" applyFont="1" applyFill="1" applyBorder="1" applyAlignment="1">
      <alignment horizontal="center" vertical="center" wrapText="1"/>
    </xf>
    <xf numFmtId="0" fontId="7" fillId="8" borderId="3" xfId="0" applyFont="1" applyFill="1" applyBorder="1" applyAlignment="1">
      <alignment horizontal="center" vertical="center" wrapText="1"/>
    </xf>
    <xf numFmtId="9" fontId="2" fillId="8" borderId="3" xfId="0" applyNumberFormat="1" applyFont="1" applyFill="1" applyBorder="1" applyAlignment="1">
      <alignment horizontal="center" vertical="center" wrapText="1"/>
    </xf>
    <xf numFmtId="176" fontId="3" fillId="8" borderId="11" xfId="0" applyNumberFormat="1" applyFont="1" applyFill="1" applyBorder="1" applyAlignment="1">
      <alignment horizontal="center" vertical="center"/>
    </xf>
    <xf numFmtId="176" fontId="3" fillId="8" borderId="1" xfId="0" applyNumberFormat="1" applyFont="1" applyFill="1" applyBorder="1" applyAlignment="1">
      <alignment horizontal="center" vertical="center"/>
    </xf>
    <xf numFmtId="0" fontId="7" fillId="8" borderId="6" xfId="0" applyFont="1" applyFill="1" applyBorder="1" applyAlignment="1">
      <alignment vertical="center" wrapText="1"/>
    </xf>
    <xf numFmtId="0" fontId="7" fillId="6" borderId="2" xfId="0" applyFont="1" applyFill="1" applyBorder="1" applyAlignment="1">
      <alignment vertical="center" wrapText="1"/>
    </xf>
    <xf numFmtId="9" fontId="2" fillId="6" borderId="18" xfId="0" applyNumberFormat="1" applyFont="1" applyFill="1" applyBorder="1" applyAlignment="1">
      <alignment horizontal="center" vertical="center" wrapText="1"/>
    </xf>
    <xf numFmtId="9" fontId="2" fillId="2" borderId="2" xfId="0" applyNumberFormat="1" applyFont="1" applyFill="1" applyBorder="1" applyAlignment="1">
      <alignment horizontal="center" vertical="center" wrapText="1"/>
    </xf>
    <xf numFmtId="176" fontId="3" fillId="2" borderId="2" xfId="0" applyNumberFormat="1" applyFont="1" applyFill="1" applyBorder="1" applyAlignment="1">
      <alignment horizontal="center" vertical="center"/>
    </xf>
    <xf numFmtId="9" fontId="2" fillId="2" borderId="11" xfId="0" applyNumberFormat="1" applyFont="1" applyFill="1" applyBorder="1" applyAlignment="1">
      <alignment horizontal="center" vertical="center" wrapText="1"/>
    </xf>
    <xf numFmtId="176" fontId="3" fillId="2" borderId="11" xfId="0" applyNumberFormat="1" applyFont="1" applyFill="1" applyBorder="1" applyAlignment="1">
      <alignment horizontal="center" vertical="center"/>
    </xf>
    <xf numFmtId="176" fontId="3" fillId="2" borderId="1" xfId="0" applyNumberFormat="1" applyFont="1" applyFill="1" applyBorder="1" applyAlignment="1">
      <alignment horizontal="center" vertical="center"/>
    </xf>
    <xf numFmtId="0" fontId="7" fillId="6" borderId="6" xfId="0" applyFont="1" applyFill="1" applyBorder="1" applyAlignment="1">
      <alignment horizontal="center" vertical="center" wrapText="1"/>
    </xf>
    <xf numFmtId="0" fontId="18" fillId="13" borderId="1" xfId="0" applyNumberFormat="1" applyFont="1" applyFill="1" applyBorder="1" applyAlignment="1">
      <alignment horizontal="center" vertical="center"/>
    </xf>
    <xf numFmtId="0" fontId="7" fillId="13" borderId="9" xfId="0" applyFont="1" applyFill="1" applyBorder="1" applyAlignment="1">
      <alignment horizontal="center" vertical="center" wrapText="1"/>
    </xf>
    <xf numFmtId="0" fontId="3" fillId="13" borderId="1" xfId="0" applyNumberFormat="1" applyFont="1" applyFill="1" applyBorder="1" applyAlignment="1">
      <alignment horizontal="center" vertical="center"/>
    </xf>
    <xf numFmtId="0" fontId="6" fillId="13" borderId="1" xfId="0" applyNumberFormat="1" applyFont="1" applyFill="1" applyBorder="1" applyAlignment="1">
      <alignment horizontal="center" vertical="center"/>
    </xf>
    <xf numFmtId="0" fontId="11" fillId="13" borderId="9" xfId="0" applyFont="1" applyFill="1" applyBorder="1" applyAlignment="1">
      <alignment horizontal="center" vertical="center" wrapText="1"/>
    </xf>
    <xf numFmtId="177" fontId="11" fillId="13" borderId="1" xfId="0" applyNumberFormat="1" applyFont="1" applyFill="1" applyBorder="1" applyAlignment="1">
      <alignment horizontal="center" vertical="center"/>
    </xf>
    <xf numFmtId="0" fontId="18" fillId="6" borderId="1" xfId="0" applyNumberFormat="1" applyFont="1" applyFill="1" applyBorder="1" applyAlignment="1">
      <alignment horizontal="center" vertical="center"/>
    </xf>
    <xf numFmtId="0" fontId="3" fillId="6" borderId="1" xfId="0" applyNumberFormat="1" applyFont="1" applyFill="1" applyBorder="1" applyAlignment="1">
      <alignment horizontal="center" vertical="center"/>
    </xf>
    <xf numFmtId="0" fontId="6" fillId="17" borderId="1" xfId="0" applyNumberFormat="1" applyFont="1" applyFill="1" applyBorder="1" applyAlignment="1">
      <alignment horizontal="center" vertical="center"/>
    </xf>
    <xf numFmtId="0" fontId="11" fillId="6" borderId="6" xfId="0" applyFont="1" applyFill="1" applyBorder="1" applyAlignment="1">
      <alignment horizontal="center" vertical="center" wrapText="1"/>
    </xf>
    <xf numFmtId="0" fontId="20" fillId="5" borderId="1" xfId="0" applyNumberFormat="1" applyFont="1" applyFill="1" applyBorder="1" applyAlignment="1">
      <alignment horizontal="center" vertical="center"/>
    </xf>
    <xf numFmtId="177" fontId="17" fillId="5" borderId="1" xfId="0" applyNumberFormat="1" applyFont="1" applyFill="1" applyBorder="1" applyAlignment="1">
      <alignment horizontal="center" vertical="center"/>
    </xf>
    <xf numFmtId="0" fontId="19" fillId="5" borderId="1" xfId="0" applyNumberFormat="1" applyFont="1" applyFill="1" applyBorder="1" applyAlignment="1">
      <alignment horizontal="center" vertical="center"/>
    </xf>
    <xf numFmtId="0" fontId="18" fillId="31" borderId="1" xfId="0" applyNumberFormat="1" applyFont="1" applyFill="1" applyBorder="1" applyAlignment="1">
      <alignment horizontal="center" vertical="center"/>
    </xf>
    <xf numFmtId="177" fontId="7" fillId="31" borderId="1" xfId="0" applyNumberFormat="1" applyFont="1" applyFill="1" applyBorder="1" applyAlignment="1">
      <alignment horizontal="center" vertical="center"/>
    </xf>
    <xf numFmtId="0" fontId="3" fillId="31" borderId="1" xfId="0" applyNumberFormat="1" applyFont="1" applyFill="1" applyBorder="1" applyAlignment="1">
      <alignment horizontal="center" vertical="center"/>
    </xf>
    <xf numFmtId="0" fontId="6" fillId="31" borderId="1" xfId="0" applyNumberFormat="1" applyFont="1" applyFill="1" applyBorder="1" applyAlignment="1">
      <alignment horizontal="center" vertical="center"/>
    </xf>
    <xf numFmtId="0" fontId="11" fillId="31" borderId="1" xfId="0" applyFont="1" applyFill="1" applyBorder="1" applyAlignment="1">
      <alignment horizontal="center" vertical="center" wrapText="1"/>
    </xf>
    <xf numFmtId="177" fontId="11" fillId="31" borderId="1" xfId="0" applyNumberFormat="1" applyFont="1" applyFill="1" applyBorder="1" applyAlignment="1">
      <alignment horizontal="center" vertical="center"/>
    </xf>
    <xf numFmtId="0" fontId="18" fillId="17" borderId="1" xfId="0" applyNumberFormat="1" applyFont="1" applyFill="1" applyBorder="1" applyAlignment="1">
      <alignment horizontal="center" vertical="center"/>
    </xf>
    <xf numFmtId="177" fontId="7" fillId="32" borderId="1" xfId="0" applyNumberFormat="1" applyFont="1" applyFill="1" applyBorder="1" applyAlignment="1">
      <alignment horizontal="center" vertical="center"/>
    </xf>
    <xf numFmtId="0" fontId="3" fillId="32" borderId="1" xfId="0" applyNumberFormat="1" applyFont="1" applyFill="1" applyBorder="1" applyAlignment="1">
      <alignment horizontal="center" vertical="center"/>
    </xf>
    <xf numFmtId="176" fontId="6" fillId="32" borderId="1" xfId="0" applyNumberFormat="1" applyFont="1" applyFill="1" applyBorder="1" applyAlignment="1">
      <alignment horizontal="center" vertical="center"/>
    </xf>
    <xf numFmtId="177" fontId="11" fillId="32" borderId="1" xfId="0" applyNumberFormat="1" applyFont="1" applyFill="1" applyBorder="1" applyAlignment="1">
      <alignment horizontal="center" vertical="center"/>
    </xf>
    <xf numFmtId="0" fontId="6" fillId="32" borderId="1" xfId="0" applyNumberFormat="1" applyFont="1" applyFill="1" applyBorder="1" applyAlignment="1">
      <alignment horizontal="center" vertical="center"/>
    </xf>
    <xf numFmtId="0" fontId="11" fillId="18" borderId="1" xfId="0" applyFont="1" applyFill="1" applyBorder="1" applyAlignment="1">
      <alignment horizontal="center" vertical="center" wrapText="1"/>
    </xf>
    <xf numFmtId="177" fontId="11" fillId="18" borderId="1" xfId="0" applyNumberFormat="1" applyFont="1" applyFill="1" applyBorder="1" applyAlignment="1">
      <alignment horizontal="center" vertical="center"/>
    </xf>
    <xf numFmtId="0" fontId="3" fillId="18" borderId="1" xfId="0" applyNumberFormat="1" applyFont="1" applyFill="1" applyBorder="1" applyAlignment="1">
      <alignment horizontal="center" vertical="center"/>
    </xf>
    <xf numFmtId="0" fontId="6" fillId="18" borderId="1" xfId="0" applyNumberFormat="1" applyFont="1" applyFill="1" applyBorder="1" applyAlignment="1">
      <alignment horizontal="center" vertical="center"/>
    </xf>
    <xf numFmtId="0" fontId="3" fillId="17" borderId="1" xfId="0" applyNumberFormat="1" applyFont="1" applyFill="1" applyBorder="1" applyAlignment="1">
      <alignment horizontal="center" vertical="center"/>
    </xf>
    <xf numFmtId="14" fontId="3" fillId="3" borderId="1" xfId="0" applyNumberFormat="1" applyFont="1" applyFill="1" applyBorder="1" applyAlignment="1">
      <alignment horizontal="center" vertical="center"/>
    </xf>
    <xf numFmtId="0" fontId="3" fillId="3" borderId="1" xfId="0" applyNumberFormat="1" applyFont="1" applyFill="1" applyBorder="1" applyAlignment="1">
      <alignment horizontal="center" vertical="center"/>
    </xf>
    <xf numFmtId="0" fontId="6" fillId="3" borderId="1" xfId="0" applyNumberFormat="1" applyFont="1" applyFill="1" applyBorder="1" applyAlignment="1">
      <alignment horizontal="center" vertical="center"/>
    </xf>
    <xf numFmtId="0" fontId="11" fillId="3" borderId="1" xfId="0" applyFont="1" applyFill="1" applyBorder="1" applyAlignment="1">
      <alignment horizontal="center" vertical="center" wrapText="1"/>
    </xf>
    <xf numFmtId="177" fontId="11" fillId="3" borderId="1" xfId="0" applyNumberFormat="1" applyFont="1" applyFill="1" applyBorder="1" applyAlignment="1">
      <alignment horizontal="center" vertical="center"/>
    </xf>
    <xf numFmtId="0" fontId="6" fillId="16" borderId="1" xfId="0" applyNumberFormat="1" applyFont="1" applyFill="1" applyBorder="1" applyAlignment="1">
      <alignment horizontal="center" vertical="center"/>
    </xf>
    <xf numFmtId="0" fontId="11" fillId="16" borderId="1" xfId="0" applyFont="1" applyFill="1" applyBorder="1" applyAlignment="1">
      <alignment horizontal="center" vertical="center" wrapText="1"/>
    </xf>
    <xf numFmtId="177" fontId="11" fillId="16" borderId="1" xfId="0" applyNumberFormat="1" applyFont="1" applyFill="1" applyBorder="1" applyAlignment="1">
      <alignment horizontal="center" vertical="center"/>
    </xf>
    <xf numFmtId="0" fontId="3" fillId="16" borderId="1" xfId="0" applyNumberFormat="1" applyFont="1" applyFill="1" applyBorder="1" applyAlignment="1">
      <alignment horizontal="center" vertical="center"/>
    </xf>
    <xf numFmtId="0" fontId="18" fillId="16" borderId="1" xfId="0" applyNumberFormat="1" applyFont="1" applyFill="1" applyBorder="1" applyAlignment="1">
      <alignment horizontal="center" vertical="center"/>
    </xf>
    <xf numFmtId="177" fontId="7" fillId="16" borderId="1" xfId="0" applyNumberFormat="1" applyFont="1" applyFill="1" applyBorder="1" applyAlignment="1">
      <alignment horizontal="center" vertical="center"/>
    </xf>
    <xf numFmtId="0" fontId="18" fillId="17" borderId="2" xfId="0" applyNumberFormat="1" applyFont="1" applyFill="1" applyBorder="1" applyAlignment="1">
      <alignment horizontal="center" vertical="center"/>
    </xf>
    <xf numFmtId="0" fontId="3" fillId="16" borderId="2" xfId="0" applyNumberFormat="1" applyFont="1" applyFill="1" applyBorder="1" applyAlignment="1">
      <alignment horizontal="center" vertical="center"/>
    </xf>
    <xf numFmtId="0" fontId="18" fillId="17" borderId="11" xfId="0" applyNumberFormat="1" applyFont="1" applyFill="1" applyBorder="1" applyAlignment="1">
      <alignment horizontal="center" vertical="center"/>
    </xf>
    <xf numFmtId="0" fontId="3" fillId="16" borderId="11" xfId="0" applyNumberFormat="1" applyFont="1" applyFill="1" applyBorder="1" applyAlignment="1">
      <alignment horizontal="center" vertical="center"/>
    </xf>
    <xf numFmtId="176" fontId="6" fillId="16" borderId="1" xfId="0" applyNumberFormat="1" applyFont="1" applyFill="1" applyBorder="1" applyAlignment="1">
      <alignment horizontal="center" vertical="center"/>
    </xf>
    <xf numFmtId="0" fontId="18" fillId="6" borderId="11" xfId="0" applyNumberFormat="1" applyFont="1" applyFill="1" applyBorder="1" applyAlignment="1">
      <alignment horizontal="center" vertical="center"/>
    </xf>
    <xf numFmtId="0" fontId="3" fillId="6" borderId="11" xfId="0" applyNumberFormat="1" applyFont="1" applyFill="1" applyBorder="1" applyAlignment="1">
      <alignment horizontal="center" vertical="center"/>
    </xf>
    <xf numFmtId="176" fontId="3" fillId="17" borderId="11" xfId="0" applyNumberFormat="1" applyFont="1" applyFill="1" applyBorder="1" applyAlignment="1">
      <alignment horizontal="center" vertical="center"/>
    </xf>
    <xf numFmtId="0" fontId="6" fillId="6" borderId="11" xfId="0" applyNumberFormat="1" applyFont="1" applyFill="1" applyBorder="1" applyAlignment="1">
      <alignment horizontal="center" vertical="center"/>
    </xf>
    <xf numFmtId="0" fontId="3" fillId="11" borderId="11" xfId="0" applyNumberFormat="1" applyFont="1" applyFill="1" applyBorder="1" applyAlignment="1">
      <alignment horizontal="center" vertical="center"/>
    </xf>
    <xf numFmtId="0" fontId="7" fillId="11" borderId="11" xfId="0" applyFont="1" applyFill="1" applyBorder="1" applyAlignment="1">
      <alignment horizontal="center" vertical="center" wrapText="1"/>
    </xf>
    <xf numFmtId="177" fontId="7" fillId="11" borderId="11" xfId="0" applyNumberFormat="1" applyFont="1" applyFill="1" applyBorder="1" applyAlignment="1">
      <alignment horizontal="center" vertical="center"/>
    </xf>
    <xf numFmtId="0" fontId="3" fillId="11" borderId="1" xfId="0" applyNumberFormat="1" applyFont="1" applyFill="1" applyBorder="1" applyAlignment="1">
      <alignment horizontal="center" vertical="center"/>
    </xf>
    <xf numFmtId="0" fontId="11" fillId="11" borderId="1" xfId="0" applyFont="1" applyFill="1" applyBorder="1" applyAlignment="1">
      <alignment horizontal="center" vertical="center" wrapText="1"/>
    </xf>
    <xf numFmtId="177" fontId="11" fillId="11" borderId="1" xfId="0" applyNumberFormat="1" applyFont="1" applyFill="1" applyBorder="1" applyAlignment="1">
      <alignment horizontal="center" vertical="center"/>
    </xf>
    <xf numFmtId="0" fontId="2" fillId="11" borderId="18" xfId="0" applyFont="1" applyFill="1" applyBorder="1" applyAlignment="1">
      <alignment horizontal="center" vertical="center"/>
    </xf>
    <xf numFmtId="2" fontId="8" fillId="8" borderId="2" xfId="0" applyNumberFormat="1" applyFont="1" applyFill="1" applyBorder="1" applyAlignment="1">
      <alignment horizontal="center" vertical="center"/>
    </xf>
    <xf numFmtId="0" fontId="7" fillId="8" borderId="2" xfId="0" applyFont="1" applyFill="1" applyBorder="1" applyAlignment="1">
      <alignment horizontal="center" vertical="center" wrapText="1"/>
    </xf>
    <xf numFmtId="177" fontId="7" fillId="8" borderId="2" xfId="0" applyNumberFormat="1" applyFont="1" applyFill="1" applyBorder="1" applyAlignment="1">
      <alignment horizontal="center" vertical="center"/>
    </xf>
    <xf numFmtId="0" fontId="2" fillId="8" borderId="18" xfId="0" applyFont="1" applyFill="1" applyBorder="1" applyAlignment="1">
      <alignment horizontal="center" vertical="center"/>
    </xf>
    <xf numFmtId="2" fontId="8" fillId="17" borderId="2" xfId="0" applyNumberFormat="1" applyFont="1" applyFill="1" applyBorder="1" applyAlignment="1">
      <alignment horizontal="center" vertical="center"/>
    </xf>
    <xf numFmtId="2" fontId="2" fillId="8" borderId="18" xfId="0" applyNumberFormat="1" applyFont="1" applyFill="1" applyBorder="1" applyAlignment="1">
      <alignment horizontal="center" vertical="center"/>
    </xf>
    <xf numFmtId="2" fontId="7" fillId="17" borderId="2" xfId="0" applyNumberFormat="1" applyFont="1" applyFill="1" applyBorder="1" applyAlignment="1">
      <alignment horizontal="center" vertical="center"/>
    </xf>
    <xf numFmtId="0" fontId="11" fillId="8" borderId="2" xfId="0" applyFont="1" applyFill="1" applyBorder="1" applyAlignment="1">
      <alignment horizontal="center" vertical="center"/>
    </xf>
    <xf numFmtId="0" fontId="11" fillId="8" borderId="2" xfId="0" applyFont="1" applyFill="1" applyBorder="1" applyAlignment="1">
      <alignment horizontal="center" vertical="center" wrapText="1"/>
    </xf>
    <xf numFmtId="177" fontId="11" fillId="8" borderId="2" xfId="0" applyNumberFormat="1" applyFont="1" applyFill="1" applyBorder="1" applyAlignment="1">
      <alignment horizontal="center" vertical="center"/>
    </xf>
    <xf numFmtId="176" fontId="8" fillId="6" borderId="2" xfId="0" applyNumberFormat="1" applyFont="1" applyFill="1" applyBorder="1" applyAlignment="1">
      <alignment horizontal="center" vertical="center"/>
    </xf>
    <xf numFmtId="176" fontId="7" fillId="6" borderId="18" xfId="0" applyNumberFormat="1" applyFont="1" applyFill="1" applyBorder="1" applyAlignment="1">
      <alignment horizontal="center" vertical="center"/>
    </xf>
    <xf numFmtId="176" fontId="7" fillId="2" borderId="1" xfId="0" applyNumberFormat="1" applyFont="1" applyFill="1" applyBorder="1" applyAlignment="1">
      <alignment horizontal="center" vertical="center"/>
    </xf>
    <xf numFmtId="176" fontId="8" fillId="2" borderId="1" xfId="0" applyNumberFormat="1" applyFont="1" applyFill="1" applyBorder="1" applyAlignment="1">
      <alignment horizontal="center" vertical="center"/>
    </xf>
    <xf numFmtId="177" fontId="2" fillId="13" borderId="1" xfId="0" applyNumberFormat="1" applyFont="1" applyFill="1" applyBorder="1">
      <alignment vertical="center"/>
    </xf>
    <xf numFmtId="177" fontId="7" fillId="6" borderId="1" xfId="0" applyNumberFormat="1" applyFont="1" applyFill="1" applyBorder="1">
      <alignment vertical="center"/>
    </xf>
    <xf numFmtId="177" fontId="2" fillId="6" borderId="1" xfId="0" applyNumberFormat="1" applyFont="1" applyFill="1" applyBorder="1">
      <alignment vertical="center"/>
    </xf>
    <xf numFmtId="176" fontId="17" fillId="5" borderId="1" xfId="0" applyNumberFormat="1" applyFont="1" applyFill="1" applyBorder="1" applyAlignment="1">
      <alignment horizontal="center" vertical="center"/>
    </xf>
    <xf numFmtId="176" fontId="2" fillId="31" borderId="1" xfId="0" applyNumberFormat="1" applyFont="1" applyFill="1" applyBorder="1" applyAlignment="1">
      <alignment horizontal="center" vertical="center"/>
    </xf>
    <xf numFmtId="177" fontId="2" fillId="31" borderId="1" xfId="0" applyNumberFormat="1" applyFont="1" applyFill="1" applyBorder="1">
      <alignment vertical="center"/>
    </xf>
    <xf numFmtId="176" fontId="2" fillId="32" borderId="1" xfId="0" applyNumberFormat="1" applyFont="1" applyFill="1" applyBorder="1" applyAlignment="1">
      <alignment horizontal="center" vertical="center"/>
    </xf>
    <xf numFmtId="177" fontId="2" fillId="32" borderId="1" xfId="0" applyNumberFormat="1" applyFont="1" applyFill="1" applyBorder="1">
      <alignment vertical="center"/>
    </xf>
    <xf numFmtId="177" fontId="7" fillId="18" borderId="1" xfId="0" applyNumberFormat="1" applyFont="1" applyFill="1" applyBorder="1" applyAlignment="1">
      <alignment horizontal="center" vertical="center"/>
    </xf>
    <xf numFmtId="177" fontId="2" fillId="18" borderId="1" xfId="0" applyNumberFormat="1" applyFont="1" applyFill="1" applyBorder="1">
      <alignment vertical="center"/>
    </xf>
    <xf numFmtId="176" fontId="11" fillId="3" borderId="1" xfId="0" applyNumberFormat="1" applyFont="1" applyFill="1" applyBorder="1" applyAlignment="1">
      <alignment horizontal="center" vertical="center"/>
    </xf>
    <xf numFmtId="177" fontId="7" fillId="3" borderId="1" xfId="0" applyNumberFormat="1" applyFont="1" applyFill="1" applyBorder="1" applyAlignment="1">
      <alignment horizontal="center" vertical="center"/>
    </xf>
    <xf numFmtId="176" fontId="2" fillId="16" borderId="1" xfId="0" applyNumberFormat="1" applyFont="1" applyFill="1" applyBorder="1" applyAlignment="1">
      <alignment horizontal="center" vertical="center"/>
    </xf>
    <xf numFmtId="177" fontId="2" fillId="16" borderId="1" xfId="0" applyNumberFormat="1" applyFont="1" applyFill="1" applyBorder="1">
      <alignment vertical="center"/>
    </xf>
    <xf numFmtId="177" fontId="2" fillId="16" borderId="1" xfId="0" applyNumberFormat="1" applyFont="1" applyFill="1" applyBorder="1" applyAlignment="1">
      <alignment horizontal="center" vertical="center"/>
    </xf>
    <xf numFmtId="177" fontId="7" fillId="16" borderId="1" xfId="0" applyNumberFormat="1" applyFont="1" applyFill="1" applyBorder="1">
      <alignment vertical="center"/>
    </xf>
    <xf numFmtId="176" fontId="7" fillId="16" borderId="1" xfId="0" applyNumberFormat="1" applyFont="1" applyFill="1" applyBorder="1" applyAlignment="1">
      <alignment horizontal="center" vertical="center"/>
    </xf>
    <xf numFmtId="176" fontId="10" fillId="16" borderId="1" xfId="0" applyNumberFormat="1" applyFont="1" applyFill="1" applyBorder="1" applyAlignment="1">
      <alignment horizontal="center" vertical="center"/>
    </xf>
    <xf numFmtId="176" fontId="10" fillId="6" borderId="1" xfId="0" applyNumberFormat="1" applyFont="1" applyFill="1" applyBorder="1" applyAlignment="1">
      <alignment horizontal="center" vertical="center"/>
    </xf>
    <xf numFmtId="176" fontId="8" fillId="6" borderId="1" xfId="0" applyNumberFormat="1" applyFont="1" applyFill="1" applyBorder="1" applyAlignment="1">
      <alignment horizontal="center" vertical="center"/>
    </xf>
    <xf numFmtId="176" fontId="2" fillId="11" borderId="3" xfId="0" applyNumberFormat="1" applyFont="1" applyFill="1" applyBorder="1" applyAlignment="1">
      <alignment horizontal="center" vertical="center"/>
    </xf>
    <xf numFmtId="177" fontId="2" fillId="11" borderId="3" xfId="0" applyNumberFormat="1" applyFont="1" applyFill="1" applyBorder="1">
      <alignment vertical="center"/>
    </xf>
    <xf numFmtId="177" fontId="2" fillId="11" borderId="6" xfId="0" applyNumberFormat="1" applyFont="1" applyFill="1" applyBorder="1">
      <alignment vertical="center"/>
    </xf>
    <xf numFmtId="176" fontId="2" fillId="11" borderId="6" xfId="0" applyNumberFormat="1" applyFont="1" applyFill="1" applyBorder="1" applyAlignment="1">
      <alignment horizontal="center" vertical="center"/>
    </xf>
    <xf numFmtId="14" fontId="2" fillId="11" borderId="6" xfId="0" applyNumberFormat="1" applyFont="1" applyFill="1" applyBorder="1" applyAlignment="1">
      <alignment horizontal="center" vertical="center"/>
    </xf>
    <xf numFmtId="14" fontId="2" fillId="8" borderId="6" xfId="0" applyNumberFormat="1" applyFont="1" applyFill="1" applyBorder="1" applyAlignment="1">
      <alignment horizontal="center" vertical="center"/>
    </xf>
    <xf numFmtId="176" fontId="2" fillId="8" borderId="6" xfId="0" applyNumberFormat="1" applyFont="1" applyFill="1" applyBorder="1" applyAlignment="1">
      <alignment horizontal="center" vertical="center"/>
    </xf>
    <xf numFmtId="177" fontId="2" fillId="8" borderId="6" xfId="0" applyNumberFormat="1" applyFont="1" applyFill="1" applyBorder="1" applyAlignment="1">
      <alignment horizontal="center" vertical="center"/>
    </xf>
    <xf numFmtId="177" fontId="2" fillId="8" borderId="6" xfId="0" applyNumberFormat="1" applyFont="1" applyFill="1" applyBorder="1">
      <alignment vertical="center"/>
    </xf>
    <xf numFmtId="176" fontId="11" fillId="2" borderId="1" xfId="0" applyNumberFormat="1" applyFont="1" applyFill="1" applyBorder="1" applyAlignment="1">
      <alignment horizontal="center" vertical="center"/>
    </xf>
    <xf numFmtId="177" fontId="2" fillId="13" borderId="1" xfId="0" applyNumberFormat="1" applyFont="1" applyFill="1" applyBorder="1" applyAlignment="1">
      <alignment horizontal="center" vertical="center"/>
    </xf>
    <xf numFmtId="177" fontId="2" fillId="6" borderId="1" xfId="0" applyNumberFormat="1" applyFont="1" applyFill="1" applyBorder="1" applyAlignment="1">
      <alignment horizontal="center" vertical="center"/>
    </xf>
    <xf numFmtId="0" fontId="2" fillId="31" borderId="1" xfId="0" applyFont="1" applyFill="1" applyBorder="1" applyAlignment="1">
      <alignment horizontal="center" vertical="center"/>
    </xf>
    <xf numFmtId="177" fontId="2" fillId="31" borderId="1" xfId="0" applyNumberFormat="1" applyFont="1" applyFill="1" applyBorder="1" applyAlignment="1">
      <alignment horizontal="center" vertical="center"/>
    </xf>
    <xf numFmtId="0" fontId="2" fillId="32" borderId="1" xfId="0" applyFont="1" applyFill="1" applyBorder="1" applyAlignment="1">
      <alignment horizontal="center" vertical="center"/>
    </xf>
    <xf numFmtId="177" fontId="11" fillId="3" borderId="1" xfId="0" applyNumberFormat="1" applyFont="1" applyFill="1" applyBorder="1">
      <alignment vertical="center"/>
    </xf>
    <xf numFmtId="0" fontId="2" fillId="16" borderId="1" xfId="0" applyFont="1" applyFill="1" applyBorder="1" applyAlignment="1">
      <alignment horizontal="center" vertical="center"/>
    </xf>
    <xf numFmtId="176" fontId="2" fillId="11" borderId="3" xfId="0" applyNumberFormat="1" applyFont="1" applyFill="1" applyBorder="1">
      <alignment vertical="center"/>
    </xf>
    <xf numFmtId="0" fontId="7" fillId="11" borderId="7" xfId="0" applyFont="1" applyFill="1" applyBorder="1" applyAlignment="1">
      <alignment horizontal="center" vertical="center"/>
    </xf>
    <xf numFmtId="0" fontId="2" fillId="11" borderId="11" xfId="0" applyFont="1" applyFill="1" applyBorder="1" applyAlignment="1">
      <alignment horizontal="center" vertical="center"/>
    </xf>
    <xf numFmtId="176" fontId="2" fillId="11" borderId="6" xfId="0" applyNumberFormat="1" applyFont="1" applyFill="1" applyBorder="1">
      <alignment vertical="center"/>
    </xf>
    <xf numFmtId="0" fontId="7" fillId="11" borderId="9" xfId="0" applyFont="1" applyFill="1" applyBorder="1" applyAlignment="1">
      <alignment horizontal="center" vertical="center"/>
    </xf>
    <xf numFmtId="177" fontId="2" fillId="11" borderId="6" xfId="0" applyNumberFormat="1" applyFont="1" applyFill="1" applyBorder="1" applyAlignment="1">
      <alignment horizontal="center" vertical="center"/>
    </xf>
    <xf numFmtId="176" fontId="2" fillId="8" borderId="6" xfId="0" applyNumberFormat="1" applyFont="1" applyFill="1" applyBorder="1">
      <alignment vertical="center"/>
    </xf>
    <xf numFmtId="0" fontId="7" fillId="8" borderId="9" xfId="0" applyFont="1" applyFill="1" applyBorder="1" applyAlignment="1">
      <alignment horizontal="center" vertical="center"/>
    </xf>
    <xf numFmtId="176" fontId="2" fillId="6" borderId="6" xfId="0" applyNumberFormat="1" applyFont="1" applyFill="1" applyBorder="1">
      <alignment vertical="center"/>
    </xf>
    <xf numFmtId="176" fontId="2" fillId="2" borderId="1" xfId="0" applyNumberFormat="1" applyFont="1" applyFill="1" applyBorder="1">
      <alignment vertical="center"/>
    </xf>
    <xf numFmtId="177" fontId="11" fillId="2" borderId="1" xfId="0" applyNumberFormat="1" applyFont="1" applyFill="1" applyBorder="1" applyAlignment="1">
      <alignment horizontal="center" vertical="center"/>
    </xf>
    <xf numFmtId="0" fontId="17" fillId="5" borderId="1" xfId="0" applyFont="1" applyFill="1" applyBorder="1">
      <alignment vertical="center"/>
    </xf>
    <xf numFmtId="0" fontId="2" fillId="31" borderId="1" xfId="0" applyFont="1" applyFill="1" applyBorder="1">
      <alignment vertical="center"/>
    </xf>
    <xf numFmtId="0" fontId="2" fillId="32" borderId="1" xfId="0" applyFont="1" applyFill="1" applyBorder="1">
      <alignment vertical="center"/>
    </xf>
    <xf numFmtId="0" fontId="2" fillId="16" borderId="1" xfId="0" applyFont="1" applyFill="1" applyBorder="1">
      <alignment vertical="center"/>
    </xf>
    <xf numFmtId="0" fontId="2" fillId="11" borderId="0" xfId="0" applyFont="1" applyFill="1" applyBorder="1">
      <alignment vertical="center"/>
    </xf>
    <xf numFmtId="0" fontId="2" fillId="11" borderId="21" xfId="0" applyFont="1" applyFill="1" applyBorder="1" applyAlignment="1">
      <alignment horizontal="center" vertical="center"/>
    </xf>
    <xf numFmtId="0" fontId="2" fillId="11" borderId="15" xfId="0" applyFont="1" applyFill="1" applyBorder="1">
      <alignment vertical="center"/>
    </xf>
    <xf numFmtId="0" fontId="2" fillId="8" borderId="15" xfId="0" applyFont="1" applyFill="1" applyBorder="1">
      <alignment vertical="center"/>
    </xf>
    <xf numFmtId="0" fontId="2" fillId="8" borderId="21" xfId="0" applyFont="1" applyFill="1" applyBorder="1" applyAlignment="1">
      <alignment horizontal="center" vertical="center"/>
    </xf>
    <xf numFmtId="0" fontId="2" fillId="8" borderId="3" xfId="0" applyFont="1" applyFill="1" applyBorder="1" applyAlignment="1">
      <alignment horizontal="center" vertical="center"/>
    </xf>
    <xf numFmtId="0" fontId="2" fillId="11" borderId="7" xfId="0" applyFont="1" applyFill="1" applyBorder="1" applyAlignment="1">
      <alignment horizontal="center" vertical="center"/>
    </xf>
    <xf numFmtId="0" fontId="2" fillId="8" borderId="7" xfId="0" applyFont="1" applyFill="1" applyBorder="1" applyAlignment="1">
      <alignment horizontal="center" vertical="center"/>
    </xf>
    <xf numFmtId="0" fontId="2" fillId="6" borderId="7" xfId="0" applyFont="1" applyFill="1" applyBorder="1" applyAlignment="1">
      <alignment horizontal="center" vertical="center"/>
    </xf>
    <xf numFmtId="14" fontId="2" fillId="11" borderId="1" xfId="0" applyNumberFormat="1" applyFont="1" applyFill="1" applyBorder="1" applyAlignment="1">
      <alignment horizontal="center" vertical="center"/>
    </xf>
    <xf numFmtId="177" fontId="7" fillId="13" borderId="2" xfId="0" applyNumberFormat="1" applyFont="1" applyFill="1" applyBorder="1" applyAlignment="1">
      <alignment horizontal="center" vertical="center" wrapText="1"/>
    </xf>
    <xf numFmtId="0" fontId="7" fillId="13" borderId="10" xfId="0" applyFont="1" applyFill="1" applyBorder="1" applyAlignment="1">
      <alignment horizontal="center" vertical="center" wrapText="1"/>
    </xf>
    <xf numFmtId="177" fontId="7" fillId="13" borderId="10" xfId="0" applyNumberFormat="1" applyFont="1" applyFill="1" applyBorder="1" applyAlignment="1">
      <alignment horizontal="center" vertical="center" wrapText="1"/>
    </xf>
    <xf numFmtId="49" fontId="7" fillId="13" borderId="10" xfId="0" applyNumberFormat="1" applyFont="1" applyFill="1" applyBorder="1" applyAlignment="1">
      <alignment horizontal="center" vertical="center" wrapText="1"/>
    </xf>
    <xf numFmtId="177" fontId="7" fillId="13" borderId="11" xfId="0" applyNumberFormat="1" applyFont="1" applyFill="1" applyBorder="1" applyAlignment="1">
      <alignment horizontal="center" vertical="center" wrapText="1"/>
    </xf>
    <xf numFmtId="49" fontId="7" fillId="13" borderId="11" xfId="0" applyNumberFormat="1" applyFont="1" applyFill="1" applyBorder="1" applyAlignment="1">
      <alignment horizontal="center" vertical="center" wrapText="1"/>
    </xf>
    <xf numFmtId="177" fontId="7" fillId="21" borderId="2" xfId="0" applyNumberFormat="1" applyFont="1" applyFill="1" applyBorder="1" applyAlignment="1">
      <alignment horizontal="center" vertical="center" wrapText="1"/>
    </xf>
    <xf numFmtId="49" fontId="7" fillId="21" borderId="2" xfId="0" applyNumberFormat="1" applyFont="1" applyFill="1" applyBorder="1" applyAlignment="1">
      <alignment horizontal="center" vertical="center" wrapText="1"/>
    </xf>
    <xf numFmtId="177" fontId="2" fillId="21" borderId="10" xfId="0" applyNumberFormat="1" applyFont="1" applyFill="1" applyBorder="1" applyAlignment="1">
      <alignment horizontal="center" vertical="center" wrapText="1"/>
    </xf>
    <xf numFmtId="49" fontId="2" fillId="21" borderId="10" xfId="0" applyNumberFormat="1" applyFont="1" applyFill="1" applyBorder="1" applyAlignment="1">
      <alignment horizontal="center" vertical="center" wrapText="1"/>
    </xf>
    <xf numFmtId="177" fontId="2" fillId="21" borderId="11" xfId="0" applyNumberFormat="1" applyFont="1" applyFill="1" applyBorder="1" applyAlignment="1">
      <alignment horizontal="center" vertical="center" wrapText="1"/>
    </xf>
    <xf numFmtId="49" fontId="2" fillId="21" borderId="11" xfId="0" applyNumberFormat="1" applyFont="1" applyFill="1" applyBorder="1" applyAlignment="1">
      <alignment horizontal="center" vertical="center" wrapText="1"/>
    </xf>
    <xf numFmtId="177" fontId="2" fillId="15" borderId="2" xfId="0" applyNumberFormat="1" applyFont="1" applyFill="1" applyBorder="1" applyAlignment="1">
      <alignment horizontal="center" vertical="center" wrapText="1"/>
    </xf>
    <xf numFmtId="49" fontId="7" fillId="15" borderId="2" xfId="0" applyNumberFormat="1" applyFont="1" applyFill="1" applyBorder="1" applyAlignment="1">
      <alignment horizontal="center" vertical="center" wrapText="1"/>
    </xf>
    <xf numFmtId="177" fontId="2" fillId="15" borderId="10" xfId="0" applyNumberFormat="1" applyFont="1" applyFill="1" applyBorder="1" applyAlignment="1">
      <alignment horizontal="center" vertical="center" wrapText="1"/>
    </xf>
    <xf numFmtId="177" fontId="2" fillId="15" borderId="11" xfId="0" applyNumberFormat="1" applyFont="1" applyFill="1" applyBorder="1" applyAlignment="1">
      <alignment horizontal="center" vertical="center" wrapText="1"/>
    </xf>
    <xf numFmtId="49" fontId="2" fillId="15" borderId="11" xfId="0" applyNumberFormat="1" applyFont="1" applyFill="1" applyBorder="1" applyAlignment="1">
      <alignment horizontal="center" vertical="center" wrapText="1"/>
    </xf>
    <xf numFmtId="0" fontId="7" fillId="3" borderId="2" xfId="0" applyFont="1" applyFill="1" applyBorder="1" applyAlignment="1">
      <alignment horizontal="center" vertical="center" wrapText="1"/>
    </xf>
    <xf numFmtId="177" fontId="17" fillId="3" borderId="10" xfId="0" applyNumberFormat="1" applyFont="1" applyFill="1" applyBorder="1" applyAlignment="1">
      <alignment horizontal="center" vertical="center" wrapText="1"/>
    </xf>
    <xf numFmtId="0" fontId="2" fillId="3" borderId="10" xfId="0" applyFont="1" applyFill="1" applyBorder="1" applyAlignment="1">
      <alignment horizontal="center" vertical="center" wrapText="1"/>
    </xf>
    <xf numFmtId="49" fontId="2" fillId="3" borderId="10" xfId="0" applyNumberFormat="1" applyFont="1" applyFill="1" applyBorder="1" applyAlignment="1">
      <alignment horizontal="center" vertical="center" wrapText="1"/>
    </xf>
    <xf numFmtId="0" fontId="2" fillId="3" borderId="11" xfId="0" applyFont="1" applyFill="1" applyBorder="1" applyAlignment="1">
      <alignment horizontal="center" vertical="center" wrapText="1"/>
    </xf>
    <xf numFmtId="177" fontId="2" fillId="2" borderId="2" xfId="0" applyNumberFormat="1" applyFont="1" applyFill="1" applyBorder="1" applyAlignment="1">
      <alignment horizontal="center" vertical="center" wrapText="1"/>
    </xf>
    <xf numFmtId="177" fontId="2" fillId="2" borderId="10" xfId="0" applyNumberFormat="1" applyFont="1" applyFill="1" applyBorder="1" applyAlignment="1">
      <alignment horizontal="center" vertical="center" wrapText="1"/>
    </xf>
    <xf numFmtId="177" fontId="2" fillId="2" borderId="11" xfId="0" applyNumberFormat="1" applyFont="1" applyFill="1" applyBorder="1" applyAlignment="1">
      <alignment horizontal="center" vertical="center" wrapText="1"/>
    </xf>
    <xf numFmtId="49" fontId="2" fillId="6" borderId="2"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0" fontId="2" fillId="2" borderId="0" xfId="0" applyFont="1" applyFill="1" applyAlignment="1">
      <alignment horizontal="center" vertical="center"/>
    </xf>
    <xf numFmtId="177" fontId="7" fillId="2" borderId="2" xfId="0" applyNumberFormat="1" applyFont="1" applyFill="1" applyBorder="1" applyAlignment="1">
      <alignment horizontal="center" vertical="center" wrapText="1"/>
    </xf>
    <xf numFmtId="177" fontId="7" fillId="2" borderId="10" xfId="0" applyNumberFormat="1" applyFont="1" applyFill="1" applyBorder="1" applyAlignment="1">
      <alignment horizontal="center" vertical="center" wrapText="1"/>
    </xf>
    <xf numFmtId="177" fontId="7" fillId="2" borderId="11" xfId="0" applyNumberFormat="1" applyFont="1" applyFill="1" applyBorder="1" applyAlignment="1">
      <alignment horizontal="center" vertical="center" wrapText="1"/>
    </xf>
    <xf numFmtId="0" fontId="2" fillId="15" borderId="11" xfId="0" applyFont="1" applyFill="1" applyBorder="1" applyAlignment="1">
      <alignment horizontal="center" vertical="center"/>
    </xf>
    <xf numFmtId="177" fontId="2" fillId="15" borderId="11" xfId="0" applyNumberFormat="1" applyFont="1" applyFill="1" applyBorder="1" applyAlignment="1">
      <alignment horizontal="center" vertical="center"/>
    </xf>
    <xf numFmtId="49" fontId="7" fillId="15" borderId="11" xfId="0" applyNumberFormat="1" applyFont="1" applyFill="1" applyBorder="1" applyAlignment="1">
      <alignment horizontal="center" vertical="center" wrapText="1"/>
    </xf>
    <xf numFmtId="0" fontId="2" fillId="15" borderId="11" xfId="0" applyFont="1" applyFill="1" applyBorder="1" applyAlignment="1">
      <alignment horizontal="center" vertical="center" wrapText="1"/>
    </xf>
    <xf numFmtId="0" fontId="2" fillId="11" borderId="2" xfId="0" applyFont="1" applyFill="1" applyBorder="1" applyAlignment="1">
      <alignment horizontal="center" vertical="center"/>
    </xf>
    <xf numFmtId="178" fontId="2" fillId="13" borderId="1" xfId="0" applyNumberFormat="1" applyFont="1" applyFill="1" applyBorder="1" applyAlignment="1">
      <alignment horizontal="center" vertical="center" wrapText="1"/>
    </xf>
    <xf numFmtId="178" fontId="2" fillId="13" borderId="2" xfId="0" applyNumberFormat="1" applyFont="1" applyFill="1" applyBorder="1" applyAlignment="1">
      <alignment horizontal="center" vertical="center" wrapText="1"/>
    </xf>
    <xf numFmtId="178" fontId="2" fillId="13" borderId="10" xfId="0" applyNumberFormat="1" applyFont="1" applyFill="1" applyBorder="1" applyAlignment="1">
      <alignment horizontal="center" vertical="center" wrapText="1"/>
    </xf>
    <xf numFmtId="178" fontId="2" fillId="13" borderId="11" xfId="0" applyNumberFormat="1" applyFont="1" applyFill="1" applyBorder="1" applyAlignment="1">
      <alignment horizontal="center" vertical="center" wrapText="1"/>
    </xf>
    <xf numFmtId="178" fontId="2" fillId="21" borderId="10" xfId="0" applyNumberFormat="1" applyFont="1" applyFill="1" applyBorder="1" applyAlignment="1">
      <alignment horizontal="center" vertical="center" wrapText="1"/>
    </xf>
    <xf numFmtId="178" fontId="2" fillId="15" borderId="2" xfId="0" applyNumberFormat="1" applyFont="1" applyFill="1" applyBorder="1" applyAlignment="1">
      <alignment horizontal="center" vertical="center" wrapText="1"/>
    </xf>
    <xf numFmtId="178" fontId="2" fillId="15" borderId="11" xfId="0" applyNumberFormat="1" applyFont="1" applyFill="1" applyBorder="1" applyAlignment="1">
      <alignment horizontal="center" vertical="center" wrapText="1"/>
    </xf>
    <xf numFmtId="178" fontId="2" fillId="3" borderId="10" xfId="0" applyNumberFormat="1" applyFont="1" applyFill="1" applyBorder="1" applyAlignment="1">
      <alignment horizontal="center" vertical="center" wrapText="1"/>
    </xf>
    <xf numFmtId="0" fontId="11" fillId="3" borderId="10" xfId="0" applyFont="1" applyFill="1" applyBorder="1" applyAlignment="1">
      <alignment horizontal="center" vertical="center" wrapText="1"/>
    </xf>
    <xf numFmtId="178" fontId="2" fillId="6" borderId="2" xfId="0" applyNumberFormat="1" applyFont="1" applyFill="1" applyBorder="1" applyAlignment="1">
      <alignment horizontal="center" vertical="center" wrapText="1"/>
    </xf>
    <xf numFmtId="178" fontId="2" fillId="6" borderId="10" xfId="0" applyNumberFormat="1" applyFont="1" applyFill="1" applyBorder="1" applyAlignment="1">
      <alignment horizontal="center" vertical="center" wrapText="1"/>
    </xf>
    <xf numFmtId="178" fontId="2" fillId="6" borderId="11" xfId="0" applyNumberFormat="1" applyFont="1" applyFill="1" applyBorder="1" applyAlignment="1">
      <alignment horizontal="center" vertical="center" wrapText="1"/>
    </xf>
    <xf numFmtId="178" fontId="7" fillId="2" borderId="2" xfId="0" applyNumberFormat="1" applyFont="1" applyFill="1" applyBorder="1" applyAlignment="1">
      <alignment horizontal="center" vertical="center" wrapText="1"/>
    </xf>
    <xf numFmtId="178" fontId="2" fillId="2" borderId="2" xfId="0" applyNumberFormat="1" applyFont="1" applyFill="1" applyBorder="1" applyAlignment="1">
      <alignment horizontal="center" vertical="center" wrapText="1"/>
    </xf>
    <xf numFmtId="178" fontId="2" fillId="2" borderId="10" xfId="0" applyNumberFormat="1" applyFont="1" applyFill="1" applyBorder="1" applyAlignment="1">
      <alignment horizontal="center" vertical="center" wrapText="1"/>
    </xf>
    <xf numFmtId="178" fontId="2" fillId="2" borderId="11" xfId="0" applyNumberFormat="1" applyFont="1" applyFill="1" applyBorder="1" applyAlignment="1">
      <alignment horizontal="center" vertical="center" wrapText="1"/>
    </xf>
    <xf numFmtId="0" fontId="2" fillId="6" borderId="25" xfId="0" applyFont="1" applyFill="1" applyBorder="1" applyAlignment="1">
      <alignment horizontal="center" vertical="center" wrapText="1"/>
    </xf>
    <xf numFmtId="0" fontId="2" fillId="6" borderId="31"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7" fillId="11" borderId="1" xfId="0" applyFont="1" applyFill="1" applyBorder="1" applyAlignment="1">
      <alignment vertical="center" wrapText="1"/>
    </xf>
    <xf numFmtId="9" fontId="2" fillId="11" borderId="1" xfId="0" applyNumberFormat="1" applyFont="1" applyFill="1" applyBorder="1" applyAlignment="1">
      <alignment horizontal="center" vertical="center" wrapText="1"/>
    </xf>
    <xf numFmtId="0" fontId="2" fillId="11" borderId="10" xfId="0" applyFont="1" applyFill="1" applyBorder="1" applyAlignment="1">
      <alignment horizontal="center" vertical="center" wrapText="1"/>
    </xf>
    <xf numFmtId="0" fontId="7" fillId="11" borderId="2" xfId="0" applyFont="1" applyFill="1" applyBorder="1" applyAlignment="1">
      <alignment horizontal="center" vertical="center" wrapText="1"/>
    </xf>
    <xf numFmtId="9" fontId="2" fillId="11" borderId="2" xfId="0" applyNumberFormat="1" applyFont="1" applyFill="1" applyBorder="1" applyAlignment="1">
      <alignment horizontal="center" vertical="center" wrapText="1"/>
    </xf>
    <xf numFmtId="176" fontId="3" fillId="11" borderId="2" xfId="0" applyNumberFormat="1" applyFont="1" applyFill="1" applyBorder="1" applyAlignment="1">
      <alignment horizontal="center" vertical="center"/>
    </xf>
    <xf numFmtId="0" fontId="7" fillId="11" borderId="10" xfId="0" applyFont="1" applyFill="1" applyBorder="1" applyAlignment="1">
      <alignment horizontal="center" vertical="center" wrapText="1"/>
    </xf>
    <xf numFmtId="9" fontId="2" fillId="11" borderId="10" xfId="0" applyNumberFormat="1" applyFont="1" applyFill="1" applyBorder="1" applyAlignment="1">
      <alignment horizontal="center" vertical="center" wrapText="1"/>
    </xf>
    <xf numFmtId="176" fontId="3" fillId="11" borderId="10" xfId="0" applyNumberFormat="1" applyFont="1" applyFill="1" applyBorder="1" applyAlignment="1">
      <alignment horizontal="center" vertical="center"/>
    </xf>
    <xf numFmtId="9" fontId="2" fillId="11" borderId="11" xfId="0" applyNumberFormat="1" applyFont="1" applyFill="1" applyBorder="1" applyAlignment="1">
      <alignment horizontal="center" vertical="center" wrapText="1"/>
    </xf>
    <xf numFmtId="0" fontId="2" fillId="11" borderId="11" xfId="0" applyFont="1" applyFill="1" applyBorder="1" applyAlignment="1">
      <alignment horizontal="center" vertical="center" wrapText="1"/>
    </xf>
    <xf numFmtId="0" fontId="7" fillId="13" borderId="11" xfId="0" applyFont="1" applyFill="1" applyBorder="1" applyAlignment="1">
      <alignment vertical="center" wrapText="1"/>
    </xf>
    <xf numFmtId="10" fontId="2" fillId="13" borderId="11" xfId="0" applyNumberFormat="1" applyFont="1" applyFill="1" applyBorder="1" applyAlignment="1">
      <alignment horizontal="center" vertical="center" wrapText="1"/>
    </xf>
    <xf numFmtId="178" fontId="2" fillId="3" borderId="11" xfId="0" applyNumberFormat="1" applyFont="1" applyFill="1" applyBorder="1" applyAlignment="1">
      <alignment horizontal="center" vertical="center" wrapText="1"/>
    </xf>
    <xf numFmtId="0" fontId="7" fillId="6" borderId="11" xfId="0" applyFont="1" applyFill="1" applyBorder="1" applyAlignment="1">
      <alignment vertical="center" wrapText="1"/>
    </xf>
    <xf numFmtId="10" fontId="2" fillId="6" borderId="11" xfId="0" applyNumberFormat="1" applyFont="1" applyFill="1" applyBorder="1" applyAlignment="1">
      <alignment horizontal="center" vertical="center" wrapText="1"/>
    </xf>
    <xf numFmtId="10" fontId="2" fillId="6" borderId="10" xfId="0" applyNumberFormat="1" applyFont="1" applyFill="1" applyBorder="1" applyAlignment="1">
      <alignment horizontal="center" vertical="center" wrapText="1"/>
    </xf>
    <xf numFmtId="0" fontId="7" fillId="21" borderId="11" xfId="0" applyFont="1" applyFill="1" applyBorder="1" applyAlignment="1">
      <alignment vertical="center" wrapText="1"/>
    </xf>
    <xf numFmtId="10" fontId="2" fillId="21" borderId="11" xfId="0" applyNumberFormat="1" applyFont="1" applyFill="1" applyBorder="1" applyAlignment="1">
      <alignment horizontal="center" vertical="center" wrapText="1"/>
    </xf>
    <xf numFmtId="178" fontId="2" fillId="21" borderId="11" xfId="0" applyNumberFormat="1" applyFont="1" applyFill="1" applyBorder="1" applyAlignment="1">
      <alignment horizontal="center" vertical="center" wrapText="1"/>
    </xf>
    <xf numFmtId="10" fontId="2" fillId="21" borderId="1" xfId="0" applyNumberFormat="1" applyFont="1" applyFill="1" applyBorder="1" applyAlignment="1">
      <alignment horizontal="center" vertical="center" wrapText="1"/>
    </xf>
    <xf numFmtId="178" fontId="2" fillId="21" borderId="1" xfId="0" applyNumberFormat="1" applyFont="1" applyFill="1" applyBorder="1" applyAlignment="1">
      <alignment horizontal="center" vertical="center" wrapText="1"/>
    </xf>
    <xf numFmtId="0" fontId="2" fillId="21" borderId="2" xfId="0" applyFont="1" applyFill="1" applyBorder="1" applyAlignment="1">
      <alignment horizontal="center" vertical="center" wrapText="1"/>
    </xf>
    <xf numFmtId="0" fontId="7" fillId="21" borderId="2" xfId="0" applyFont="1" applyFill="1" applyBorder="1" applyAlignment="1">
      <alignment vertical="center" wrapText="1"/>
    </xf>
    <xf numFmtId="10" fontId="2" fillId="21" borderId="2" xfId="0" applyNumberFormat="1" applyFont="1" applyFill="1" applyBorder="1" applyAlignment="1">
      <alignment horizontal="center" vertical="center" wrapText="1"/>
    </xf>
    <xf numFmtId="178" fontId="2" fillId="21" borderId="2" xfId="0" applyNumberFormat="1" applyFont="1" applyFill="1" applyBorder="1" applyAlignment="1">
      <alignment horizontal="center" vertical="center" wrapText="1"/>
    </xf>
    <xf numFmtId="0" fontId="7" fillId="15" borderId="1" xfId="0" applyFont="1" applyFill="1" applyBorder="1" applyAlignment="1">
      <alignment vertical="center" wrapText="1"/>
    </xf>
    <xf numFmtId="10" fontId="2" fillId="15" borderId="1" xfId="0" applyNumberFormat="1" applyFont="1" applyFill="1" applyBorder="1" applyAlignment="1">
      <alignment horizontal="center" vertical="center" wrapText="1"/>
    </xf>
    <xf numFmtId="178" fontId="2" fillId="15" borderId="1" xfId="0" applyNumberFormat="1" applyFont="1" applyFill="1" applyBorder="1" applyAlignment="1">
      <alignment horizontal="center" vertical="center" wrapText="1"/>
    </xf>
    <xf numFmtId="10" fontId="2" fillId="3" borderId="2" xfId="0" applyNumberFormat="1" applyFont="1" applyFill="1" applyBorder="1" applyAlignment="1">
      <alignment horizontal="center" vertical="center" wrapText="1"/>
    </xf>
    <xf numFmtId="178" fontId="2" fillId="3" borderId="2" xfId="0" applyNumberFormat="1" applyFont="1" applyFill="1" applyBorder="1" applyAlignment="1">
      <alignment horizontal="center" vertical="center" wrapText="1"/>
    </xf>
    <xf numFmtId="10" fontId="2" fillId="3" borderId="11" xfId="0" applyNumberFormat="1" applyFont="1" applyFill="1" applyBorder="1" applyAlignment="1">
      <alignment horizontal="center" vertical="center" wrapText="1"/>
    </xf>
    <xf numFmtId="10" fontId="2" fillId="3" borderId="1" xfId="0" applyNumberFormat="1" applyFont="1" applyFill="1" applyBorder="1" applyAlignment="1">
      <alignment horizontal="center" vertical="center" wrapText="1"/>
    </xf>
    <xf numFmtId="178" fontId="2" fillId="3" borderId="1" xfId="0" applyNumberFormat="1" applyFont="1" applyFill="1" applyBorder="1" applyAlignment="1">
      <alignment horizontal="center" vertical="center" wrapText="1"/>
    </xf>
    <xf numFmtId="10" fontId="2" fillId="6" borderId="1" xfId="0" applyNumberFormat="1" applyFont="1" applyFill="1" applyBorder="1" applyAlignment="1">
      <alignment horizontal="center" vertical="center" wrapText="1"/>
    </xf>
    <xf numFmtId="10" fontId="2" fillId="2" borderId="1" xfId="0" applyNumberFormat="1" applyFont="1" applyFill="1" applyBorder="1" applyAlignment="1">
      <alignment horizontal="center" vertical="center" wrapText="1"/>
    </xf>
    <xf numFmtId="0" fontId="2" fillId="6" borderId="11" xfId="0" applyFont="1" applyFill="1" applyBorder="1" applyAlignment="1">
      <alignment vertical="center" wrapText="1"/>
    </xf>
    <xf numFmtId="0" fontId="2" fillId="6" borderId="1" xfId="0" applyFont="1" applyFill="1" applyBorder="1" applyAlignment="1">
      <alignment vertical="center" wrapText="1"/>
    </xf>
    <xf numFmtId="176" fontId="2" fillId="2" borderId="1" xfId="0" applyNumberFormat="1" applyFont="1" applyFill="1" applyBorder="1" applyAlignment="1">
      <alignment horizontal="center" vertical="center" wrapText="1"/>
    </xf>
    <xf numFmtId="0" fontId="2" fillId="2" borderId="2" xfId="0" applyFont="1" applyFill="1" applyBorder="1" applyAlignment="1">
      <alignment vertical="center" wrapText="1"/>
    </xf>
    <xf numFmtId="10" fontId="2" fillId="2" borderId="2" xfId="0" applyNumberFormat="1" applyFont="1" applyFill="1" applyBorder="1" applyAlignment="1">
      <alignment horizontal="center" vertical="center" wrapText="1"/>
    </xf>
    <xf numFmtId="0" fontId="7" fillId="2" borderId="11" xfId="0" applyFont="1" applyFill="1" applyBorder="1" applyAlignment="1">
      <alignment vertical="center" wrapText="1"/>
    </xf>
    <xf numFmtId="10" fontId="2" fillId="2" borderId="11" xfId="0" applyNumberFormat="1" applyFont="1" applyFill="1" applyBorder="1" applyAlignment="1">
      <alignment horizontal="center" vertical="center" wrapText="1"/>
    </xf>
    <xf numFmtId="0" fontId="2" fillId="15" borderId="10" xfId="0" applyFont="1" applyFill="1" applyBorder="1" applyAlignment="1">
      <alignment vertical="center"/>
    </xf>
    <xf numFmtId="10" fontId="2" fillId="15" borderId="10" xfId="0" applyNumberFormat="1" applyFont="1" applyFill="1" applyBorder="1" applyAlignment="1">
      <alignment horizontal="center" vertical="center"/>
    </xf>
    <xf numFmtId="176" fontId="7" fillId="11" borderId="1" xfId="0" applyNumberFormat="1" applyFont="1" applyFill="1" applyBorder="1" applyAlignment="1">
      <alignment horizontal="center" vertical="center"/>
    </xf>
    <xf numFmtId="0" fontId="7" fillId="11" borderId="2" xfId="0" applyFont="1" applyFill="1" applyBorder="1" applyAlignment="1">
      <alignment horizontal="center" vertical="center"/>
    </xf>
    <xf numFmtId="177" fontId="7" fillId="11" borderId="2" xfId="0" applyNumberFormat="1" applyFont="1" applyFill="1" applyBorder="1" applyAlignment="1">
      <alignment horizontal="center" vertical="center"/>
    </xf>
    <xf numFmtId="0" fontId="7" fillId="11" borderId="10" xfId="0" applyFont="1" applyFill="1" applyBorder="1" applyAlignment="1">
      <alignment horizontal="center" vertical="center"/>
    </xf>
    <xf numFmtId="177" fontId="7" fillId="11" borderId="10" xfId="0" applyNumberFormat="1" applyFont="1" applyFill="1" applyBorder="1" applyAlignment="1">
      <alignment horizontal="center" vertical="center"/>
    </xf>
    <xf numFmtId="0" fontId="2" fillId="11" borderId="10" xfId="0" applyFont="1" applyFill="1" applyBorder="1" applyAlignment="1">
      <alignment horizontal="center" vertical="center"/>
    </xf>
    <xf numFmtId="0" fontId="7" fillId="17" borderId="1" xfId="0" applyFont="1" applyFill="1" applyBorder="1" applyAlignment="1">
      <alignment horizontal="center" vertical="center"/>
    </xf>
    <xf numFmtId="0" fontId="11" fillId="11" borderId="1" xfId="0" applyFont="1" applyFill="1" applyBorder="1" applyAlignment="1">
      <alignment horizontal="center" vertical="center"/>
    </xf>
    <xf numFmtId="176" fontId="2" fillId="13" borderId="11" xfId="0" applyNumberFormat="1" applyFont="1" applyFill="1" applyBorder="1" applyAlignment="1">
      <alignment horizontal="center" vertical="center" wrapText="1"/>
    </xf>
    <xf numFmtId="176" fontId="2" fillId="3" borderId="11" xfId="0" applyNumberFormat="1" applyFont="1" applyFill="1" applyBorder="1" applyAlignment="1">
      <alignment horizontal="center" vertical="center" wrapText="1"/>
    </xf>
    <xf numFmtId="0" fontId="7" fillId="3" borderId="11" xfId="0" applyFont="1" applyFill="1" applyBorder="1" applyAlignment="1">
      <alignment horizontal="center" vertical="center" wrapText="1"/>
    </xf>
    <xf numFmtId="177" fontId="7" fillId="3" borderId="11" xfId="0" applyNumberFormat="1" applyFont="1" applyFill="1" applyBorder="1" applyAlignment="1">
      <alignment horizontal="center" vertical="center" wrapText="1"/>
    </xf>
    <xf numFmtId="176" fontId="2" fillId="6" borderId="11" xfId="0" applyNumberFormat="1" applyFont="1" applyFill="1" applyBorder="1" applyAlignment="1">
      <alignment horizontal="center" vertical="center" wrapText="1"/>
    </xf>
    <xf numFmtId="176" fontId="11" fillId="21" borderId="11" xfId="0" applyNumberFormat="1" applyFont="1" applyFill="1" applyBorder="1" applyAlignment="1">
      <alignment horizontal="center" vertical="center" wrapText="1"/>
    </xf>
    <xf numFmtId="0" fontId="11" fillId="21" borderId="11" xfId="0" applyFont="1" applyFill="1" applyBorder="1" applyAlignment="1">
      <alignment horizontal="center" vertical="center" wrapText="1"/>
    </xf>
    <xf numFmtId="177" fontId="11" fillId="21" borderId="11" xfId="0" applyNumberFormat="1" applyFont="1" applyFill="1" applyBorder="1" applyAlignment="1">
      <alignment horizontal="center" vertical="center" wrapText="1"/>
    </xf>
    <xf numFmtId="177" fontId="7" fillId="21" borderId="1" xfId="0" applyNumberFormat="1" applyFont="1" applyFill="1" applyBorder="1" applyAlignment="1">
      <alignment horizontal="center" vertical="center" wrapText="1"/>
    </xf>
    <xf numFmtId="176" fontId="2" fillId="21" borderId="2" xfId="0" applyNumberFormat="1" applyFont="1" applyFill="1" applyBorder="1" applyAlignment="1">
      <alignment horizontal="center" vertical="center" wrapText="1"/>
    </xf>
    <xf numFmtId="176" fontId="11" fillId="15" borderId="1" xfId="0" applyNumberFormat="1" applyFont="1" applyFill="1" applyBorder="1" applyAlignment="1">
      <alignment horizontal="center" vertical="center" wrapText="1"/>
    </xf>
    <xf numFmtId="0" fontId="11" fillId="15" borderId="1" xfId="0" applyFont="1" applyFill="1" applyBorder="1" applyAlignment="1">
      <alignment horizontal="center" vertical="center" wrapText="1"/>
    </xf>
    <xf numFmtId="177" fontId="11" fillId="15" borderId="1" xfId="0" applyNumberFormat="1" applyFont="1" applyFill="1" applyBorder="1" applyAlignment="1">
      <alignment horizontal="center" vertical="center" wrapText="1"/>
    </xf>
    <xf numFmtId="176" fontId="2" fillId="15" borderId="1" xfId="0" applyNumberFormat="1" applyFont="1" applyFill="1" applyBorder="1" applyAlignment="1">
      <alignment horizontal="center" vertical="center" wrapText="1"/>
    </xf>
    <xf numFmtId="177" fontId="7" fillId="15" borderId="1" xfId="0" applyNumberFormat="1" applyFont="1" applyFill="1" applyBorder="1" applyAlignment="1">
      <alignment horizontal="center" vertical="center" wrapText="1"/>
    </xf>
    <xf numFmtId="176" fontId="7" fillId="17" borderId="1" xfId="0" applyNumberFormat="1" applyFont="1" applyFill="1" applyBorder="1" applyAlignment="1">
      <alignment horizontal="center" vertical="center" wrapText="1"/>
    </xf>
    <xf numFmtId="177" fontId="7" fillId="3" borderId="1"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17" borderId="1" xfId="0" applyNumberFormat="1" applyFont="1" applyFill="1" applyBorder="1" applyAlignment="1">
      <alignment horizontal="center" vertical="center" wrapText="1"/>
    </xf>
    <xf numFmtId="176" fontId="8" fillId="6" borderId="1" xfId="0" applyNumberFormat="1" applyFont="1" applyFill="1" applyBorder="1" applyAlignment="1">
      <alignment horizontal="center" vertical="center" wrapText="1"/>
    </xf>
    <xf numFmtId="0" fontId="8" fillId="6" borderId="1" xfId="0" applyFont="1" applyFill="1" applyBorder="1" applyAlignment="1">
      <alignment horizontal="center" vertical="center" wrapText="1"/>
    </xf>
    <xf numFmtId="177" fontId="8" fillId="6" borderId="1" xfId="0" applyNumberFormat="1" applyFont="1" applyFill="1" applyBorder="1" applyAlignment="1">
      <alignment horizontal="center" vertical="center" wrapText="1"/>
    </xf>
    <xf numFmtId="176" fontId="8" fillId="17" borderId="1" xfId="0" applyNumberFormat="1" applyFont="1" applyFill="1" applyBorder="1" applyAlignment="1">
      <alignment horizontal="center" vertical="center" wrapText="1"/>
    </xf>
    <xf numFmtId="176" fontId="2" fillId="6" borderId="10" xfId="0" applyNumberFormat="1" applyFont="1" applyFill="1" applyBorder="1" applyAlignment="1">
      <alignment horizontal="center" vertical="center" wrapText="1"/>
    </xf>
    <xf numFmtId="176" fontId="11" fillId="6" borderId="1" xfId="0" applyNumberFormat="1" applyFont="1" applyFill="1" applyBorder="1" applyAlignment="1">
      <alignment horizontal="center" vertical="center" wrapText="1"/>
    </xf>
    <xf numFmtId="0" fontId="11" fillId="6" borderId="1" xfId="0" applyFont="1" applyFill="1" applyBorder="1" applyAlignment="1">
      <alignment horizontal="center" vertical="center" wrapText="1"/>
    </xf>
    <xf numFmtId="177" fontId="11" fillId="6" borderId="1" xfId="0" applyNumberFormat="1" applyFont="1" applyFill="1" applyBorder="1" applyAlignment="1">
      <alignment horizontal="center" vertical="center" wrapText="1"/>
    </xf>
    <xf numFmtId="176" fontId="2" fillId="2" borderId="2" xfId="0" applyNumberFormat="1" applyFont="1" applyFill="1" applyBorder="1" applyAlignment="1">
      <alignment horizontal="center" vertical="center" wrapText="1"/>
    </xf>
    <xf numFmtId="176" fontId="2" fillId="2" borderId="11" xfId="0" applyNumberFormat="1" applyFont="1" applyFill="1" applyBorder="1" applyAlignment="1">
      <alignment horizontal="center" vertical="center" wrapText="1"/>
    </xf>
    <xf numFmtId="176" fontId="11" fillId="2" borderId="1" xfId="0" applyNumberFormat="1" applyFont="1" applyFill="1" applyBorder="1" applyAlignment="1">
      <alignment horizontal="center" vertical="center" wrapText="1"/>
    </xf>
    <xf numFmtId="177" fontId="11" fillId="2" borderId="1" xfId="0" applyNumberFormat="1" applyFont="1" applyFill="1" applyBorder="1" applyAlignment="1">
      <alignment horizontal="center" vertical="center" wrapText="1"/>
    </xf>
    <xf numFmtId="176" fontId="7" fillId="2" borderId="1" xfId="0" applyNumberFormat="1" applyFont="1" applyFill="1" applyBorder="1" applyAlignment="1">
      <alignment horizontal="center" vertical="center" wrapText="1"/>
    </xf>
    <xf numFmtId="177" fontId="2" fillId="2" borderId="1" xfId="0" applyNumberFormat="1" applyFont="1" applyFill="1" applyBorder="1" applyAlignment="1">
      <alignment horizontal="center" vertical="center" wrapText="1"/>
    </xf>
    <xf numFmtId="177" fontId="2" fillId="2" borderId="4" xfId="0" applyNumberFormat="1" applyFont="1" applyFill="1" applyBorder="1" applyAlignment="1">
      <alignment horizontal="center" vertical="center" wrapText="1"/>
    </xf>
    <xf numFmtId="177" fontId="2" fillId="15" borderId="4" xfId="0" applyNumberFormat="1" applyFont="1" applyFill="1" applyBorder="1" applyAlignment="1">
      <alignment horizontal="center" vertical="center"/>
    </xf>
    <xf numFmtId="176" fontId="2" fillId="11" borderId="1" xfId="0" applyNumberFormat="1" applyFont="1" applyFill="1" applyBorder="1" applyAlignment="1">
      <alignment horizontal="center" vertical="center"/>
    </xf>
    <xf numFmtId="14" fontId="2" fillId="11" borderId="2" xfId="0" applyNumberFormat="1" applyFont="1" applyFill="1" applyBorder="1" applyAlignment="1">
      <alignment horizontal="center" vertical="center"/>
    </xf>
    <xf numFmtId="177" fontId="2" fillId="11" borderId="1" xfId="0" applyNumberFormat="1" applyFont="1" applyFill="1" applyBorder="1">
      <alignment vertical="center"/>
    </xf>
    <xf numFmtId="14" fontId="2" fillId="11" borderId="10" xfId="0" applyNumberFormat="1" applyFont="1" applyFill="1" applyBorder="1" applyAlignment="1">
      <alignment horizontal="center" vertical="center"/>
    </xf>
    <xf numFmtId="14" fontId="2" fillId="11" borderId="11" xfId="0" applyNumberFormat="1" applyFont="1" applyFill="1" applyBorder="1" applyAlignment="1">
      <alignment horizontal="center" vertical="center"/>
    </xf>
    <xf numFmtId="177" fontId="7" fillId="11" borderId="1" xfId="0" applyNumberFormat="1" applyFont="1" applyFill="1" applyBorder="1">
      <alignment vertical="center"/>
    </xf>
    <xf numFmtId="176" fontId="10" fillId="11" borderId="1" xfId="0" applyNumberFormat="1" applyFont="1" applyFill="1" applyBorder="1" applyAlignment="1">
      <alignment horizontal="center" vertical="center"/>
    </xf>
    <xf numFmtId="14" fontId="2" fillId="13" borderId="11" xfId="0" applyNumberFormat="1" applyFont="1" applyFill="1" applyBorder="1" applyAlignment="1">
      <alignment horizontal="center" vertical="center" wrapText="1"/>
    </xf>
    <xf numFmtId="177" fontId="2" fillId="13" borderId="11" xfId="0" applyNumberFormat="1" applyFont="1" applyFill="1" applyBorder="1" applyAlignment="1">
      <alignment vertical="center" wrapText="1"/>
    </xf>
    <xf numFmtId="14" fontId="2" fillId="3" borderId="11" xfId="0" applyNumberFormat="1" applyFont="1" applyFill="1" applyBorder="1" applyAlignment="1">
      <alignment horizontal="center" vertical="center" wrapText="1"/>
    </xf>
    <xf numFmtId="177" fontId="2" fillId="3" borderId="11" xfId="0" applyNumberFormat="1" applyFont="1" applyFill="1" applyBorder="1" applyAlignment="1">
      <alignment vertical="center" wrapText="1"/>
    </xf>
    <xf numFmtId="14" fontId="2" fillId="6" borderId="11" xfId="0" applyNumberFormat="1" applyFont="1" applyFill="1" applyBorder="1" applyAlignment="1">
      <alignment horizontal="center" vertical="center" wrapText="1"/>
    </xf>
    <xf numFmtId="177" fontId="2" fillId="6" borderId="11" xfId="0" applyNumberFormat="1" applyFont="1" applyFill="1" applyBorder="1" applyAlignment="1">
      <alignment vertical="center" wrapText="1"/>
    </xf>
    <xf numFmtId="14" fontId="2" fillId="21" borderId="11" xfId="0" applyNumberFormat="1" applyFont="1" applyFill="1" applyBorder="1" applyAlignment="1">
      <alignment horizontal="center" vertical="center" wrapText="1"/>
    </xf>
    <xf numFmtId="177" fontId="2" fillId="21" borderId="11" xfId="0" applyNumberFormat="1" applyFont="1" applyFill="1" applyBorder="1" applyAlignment="1">
      <alignment vertical="center" wrapText="1"/>
    </xf>
    <xf numFmtId="177" fontId="2" fillId="21" borderId="1" xfId="0" applyNumberFormat="1" applyFont="1" applyFill="1" applyBorder="1" applyAlignment="1">
      <alignment vertical="center" wrapText="1"/>
    </xf>
    <xf numFmtId="14" fontId="2" fillId="21" borderId="2" xfId="0" applyNumberFormat="1" applyFont="1" applyFill="1" applyBorder="1" applyAlignment="1">
      <alignment horizontal="center" vertical="center" wrapText="1"/>
    </xf>
    <xf numFmtId="177" fontId="2" fillId="21" borderId="2" xfId="0" applyNumberFormat="1" applyFont="1" applyFill="1" applyBorder="1" applyAlignment="1">
      <alignment vertical="center" wrapText="1"/>
    </xf>
    <xf numFmtId="14" fontId="2" fillId="15" borderId="1" xfId="0" applyNumberFormat="1" applyFont="1" applyFill="1" applyBorder="1" applyAlignment="1">
      <alignment horizontal="center" vertical="center" wrapText="1"/>
    </xf>
    <xf numFmtId="177" fontId="2" fillId="15" borderId="1" xfId="0" applyNumberFormat="1" applyFont="1" applyFill="1" applyBorder="1" applyAlignment="1">
      <alignment vertical="center" wrapText="1"/>
    </xf>
    <xf numFmtId="14" fontId="2" fillId="3" borderId="1" xfId="0" applyNumberFormat="1" applyFont="1" applyFill="1" applyBorder="1" applyAlignment="1">
      <alignment horizontal="center" vertical="center" wrapText="1"/>
    </xf>
    <xf numFmtId="177" fontId="2" fillId="3" borderId="1" xfId="0" applyNumberFormat="1" applyFont="1" applyFill="1" applyBorder="1" applyAlignment="1">
      <alignment vertical="center" wrapText="1"/>
    </xf>
    <xf numFmtId="176" fontId="7" fillId="3" borderId="1" xfId="0" applyNumberFormat="1" applyFont="1" applyFill="1" applyBorder="1" applyAlignment="1">
      <alignment horizontal="center" vertical="center" wrapText="1"/>
    </xf>
    <xf numFmtId="177" fontId="2" fillId="6" borderId="1" xfId="0" applyNumberFormat="1" applyFont="1" applyFill="1" applyBorder="1" applyAlignment="1">
      <alignment vertical="center" wrapText="1"/>
    </xf>
    <xf numFmtId="14" fontId="2" fillId="6" borderId="10" xfId="0" applyNumberFormat="1"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177" fontId="2" fillId="2" borderId="2" xfId="0" applyNumberFormat="1" applyFont="1" applyFill="1" applyBorder="1" applyAlignment="1">
      <alignment vertical="center" wrapText="1"/>
    </xf>
    <xf numFmtId="14" fontId="2" fillId="2" borderId="4" xfId="0" applyNumberFormat="1" applyFont="1" applyFill="1" applyBorder="1" applyAlignment="1">
      <alignment horizontal="center" vertical="center" wrapText="1"/>
    </xf>
    <xf numFmtId="177" fontId="2" fillId="2" borderId="4" xfId="0" applyNumberFormat="1" applyFont="1" applyFill="1" applyBorder="1" applyAlignment="1">
      <alignment vertical="center" wrapText="1"/>
    </xf>
    <xf numFmtId="178" fontId="2" fillId="15" borderId="11" xfId="0" applyNumberFormat="1" applyFont="1" applyFill="1" applyBorder="1">
      <alignment vertical="center"/>
    </xf>
    <xf numFmtId="177" fontId="2" fillId="11" borderId="1" xfId="0" applyNumberFormat="1" applyFont="1" applyFill="1" applyBorder="1" applyAlignment="1">
      <alignment horizontal="center" vertical="center"/>
    </xf>
    <xf numFmtId="176" fontId="2" fillId="11" borderId="1" xfId="0" applyNumberFormat="1" applyFont="1" applyFill="1" applyBorder="1">
      <alignment vertical="center"/>
    </xf>
    <xf numFmtId="0" fontId="2" fillId="13" borderId="11"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2" fillId="6" borderId="11" xfId="0" applyFont="1" applyFill="1" applyBorder="1" applyAlignment="1">
      <alignment horizontal="left" vertical="center" wrapText="1"/>
    </xf>
    <xf numFmtId="0" fontId="2" fillId="21" borderId="11" xfId="0" applyFont="1" applyFill="1" applyBorder="1" applyAlignment="1">
      <alignment horizontal="left" vertical="center" wrapText="1"/>
    </xf>
    <xf numFmtId="0" fontId="2" fillId="21" borderId="1" xfId="0" applyFont="1" applyFill="1" applyBorder="1" applyAlignment="1">
      <alignment horizontal="left" vertical="center" wrapText="1"/>
    </xf>
    <xf numFmtId="0" fontId="2" fillId="21" borderId="2" xfId="0" applyFont="1" applyFill="1" applyBorder="1" applyAlignment="1">
      <alignment horizontal="left" vertical="center" wrapText="1"/>
    </xf>
    <xf numFmtId="0" fontId="2" fillId="15"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14" fontId="7" fillId="3" borderId="1" xfId="0" applyNumberFormat="1"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6" borderId="31" xfId="0" applyFont="1" applyFill="1" applyBorder="1" applyAlignment="1">
      <alignment horizontal="left" vertical="center" wrapText="1"/>
    </xf>
    <xf numFmtId="14" fontId="11" fillId="2" borderId="1" xfId="0" applyNumberFormat="1" applyFont="1" applyFill="1" applyBorder="1" applyAlignment="1">
      <alignment horizontal="center" vertical="center" wrapText="1"/>
    </xf>
    <xf numFmtId="0" fontId="2" fillId="2" borderId="2" xfId="0" applyFont="1" applyFill="1" applyBorder="1" applyAlignment="1">
      <alignment horizontal="left" vertical="center" wrapText="1"/>
    </xf>
    <xf numFmtId="177" fontId="17" fillId="2" borderId="4" xfId="0" applyNumberFormat="1" applyFont="1" applyFill="1" applyBorder="1" applyAlignment="1">
      <alignment vertical="center" wrapText="1"/>
    </xf>
    <xf numFmtId="0" fontId="7" fillId="2" borderId="11" xfId="0" applyFont="1" applyFill="1" applyBorder="1" applyAlignment="1">
      <alignment horizontal="left" vertical="center" wrapText="1"/>
    </xf>
    <xf numFmtId="0" fontId="2" fillId="2" borderId="11" xfId="0" applyFont="1" applyFill="1" applyBorder="1" applyAlignment="1">
      <alignment vertical="center" wrapText="1"/>
    </xf>
    <xf numFmtId="0" fontId="2" fillId="2" borderId="11" xfId="0" applyFont="1" applyFill="1" applyBorder="1" applyAlignment="1">
      <alignment horizontal="left" vertical="center" wrapText="1"/>
    </xf>
    <xf numFmtId="0" fontId="2" fillId="15" borderId="11" xfId="0" applyFont="1" applyFill="1" applyBorder="1" applyAlignment="1">
      <alignment horizontal="left" vertical="center" wrapText="1"/>
    </xf>
    <xf numFmtId="0" fontId="7" fillId="15" borderId="11" xfId="0" applyFont="1" applyFill="1" applyBorder="1">
      <alignment vertical="center"/>
    </xf>
    <xf numFmtId="0" fontId="2" fillId="11" borderId="1" xfId="0" applyFont="1" applyFill="1" applyBorder="1">
      <alignment vertical="center"/>
    </xf>
    <xf numFmtId="0" fontId="2" fillId="13" borderId="11" xfId="0" applyFont="1" applyFill="1" applyBorder="1" applyAlignment="1">
      <alignment vertical="center" wrapText="1"/>
    </xf>
    <xf numFmtId="0" fontId="2" fillId="13" borderId="21" xfId="0" applyFont="1" applyFill="1" applyBorder="1" applyAlignment="1">
      <alignment vertical="center" wrapText="1"/>
    </xf>
    <xf numFmtId="0" fontId="2" fillId="13" borderId="3" xfId="0" applyFont="1" applyFill="1" applyBorder="1" applyAlignment="1">
      <alignment vertical="center" wrapText="1"/>
    </xf>
    <xf numFmtId="0" fontId="2" fillId="3" borderId="11" xfId="0" applyFont="1" applyFill="1" applyBorder="1" applyAlignment="1">
      <alignment vertical="center" wrapText="1"/>
    </xf>
    <xf numFmtId="0" fontId="2" fillId="3" borderId="21" xfId="0" applyFont="1" applyFill="1" applyBorder="1" applyAlignment="1">
      <alignment vertical="center" wrapText="1"/>
    </xf>
    <xf numFmtId="0" fontId="2" fillId="3" borderId="3" xfId="0" applyFont="1" applyFill="1" applyBorder="1" applyAlignment="1">
      <alignment vertical="center" wrapText="1"/>
    </xf>
    <xf numFmtId="0" fontId="2" fillId="6" borderId="21" xfId="0" applyFont="1" applyFill="1" applyBorder="1" applyAlignment="1">
      <alignment vertical="center" wrapText="1"/>
    </xf>
    <xf numFmtId="0" fontId="2" fillId="6" borderId="3" xfId="0" applyFont="1" applyFill="1" applyBorder="1" applyAlignment="1">
      <alignment vertical="center" wrapText="1"/>
    </xf>
    <xf numFmtId="0" fontId="2" fillId="21" borderId="11" xfId="0" applyFont="1" applyFill="1" applyBorder="1" applyAlignment="1">
      <alignment vertical="center" wrapText="1"/>
    </xf>
    <xf numFmtId="0" fontId="2" fillId="21" borderId="1" xfId="0" applyFont="1" applyFill="1" applyBorder="1" applyAlignment="1">
      <alignment vertical="center" wrapText="1"/>
    </xf>
    <xf numFmtId="0" fontId="2" fillId="21" borderId="2" xfId="0" applyFont="1" applyFill="1" applyBorder="1" applyAlignment="1">
      <alignment vertical="center" wrapText="1"/>
    </xf>
    <xf numFmtId="0" fontId="2" fillId="21" borderId="2" xfId="0" applyFont="1" applyFill="1" applyBorder="1" applyAlignment="1">
      <alignment horizontal="center" vertical="center"/>
    </xf>
    <xf numFmtId="0" fontId="2" fillId="15" borderId="1" xfId="0" applyFont="1" applyFill="1" applyBorder="1" applyAlignment="1">
      <alignment vertical="center" wrapText="1"/>
    </xf>
    <xf numFmtId="0" fontId="2" fillId="3" borderId="1" xfId="0" applyFont="1" applyFill="1" applyBorder="1" applyAlignment="1">
      <alignment vertical="center" wrapText="1"/>
    </xf>
    <xf numFmtId="0" fontId="2" fillId="6" borderId="38" xfId="0" applyFont="1" applyFill="1" applyBorder="1" applyAlignment="1">
      <alignment vertical="center" wrapText="1"/>
    </xf>
    <xf numFmtId="0" fontId="2" fillId="6" borderId="20" xfId="0" applyFont="1" applyFill="1" applyBorder="1" applyAlignment="1">
      <alignment vertical="center" wrapText="1"/>
    </xf>
    <xf numFmtId="0" fontId="2" fillId="6" borderId="29" xfId="0" applyFont="1" applyFill="1" applyBorder="1" applyAlignment="1">
      <alignment vertical="center" wrapText="1"/>
    </xf>
    <xf numFmtId="0" fontId="2" fillId="6" borderId="30" xfId="0" applyFont="1" applyFill="1" applyBorder="1" applyAlignment="1">
      <alignment horizontal="center" vertical="center"/>
    </xf>
    <xf numFmtId="0" fontId="2" fillId="15" borderId="11" xfId="0" applyFont="1" applyFill="1" applyBorder="1">
      <alignment vertical="center"/>
    </xf>
    <xf numFmtId="0" fontId="2" fillId="13" borderId="3" xfId="0" applyFont="1" applyFill="1" applyBorder="1" applyAlignment="1">
      <alignment horizontal="center" vertical="center" wrapText="1"/>
    </xf>
    <xf numFmtId="0" fontId="2" fillId="13"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7" fillId="4" borderId="5" xfId="0" applyFont="1" applyFill="1" applyBorder="1" applyAlignment="1">
      <alignment horizontal="center" vertical="center"/>
    </xf>
    <xf numFmtId="177" fontId="7" fillId="4" borderId="6" xfId="0" applyNumberFormat="1" applyFont="1" applyFill="1" applyBorder="1" applyAlignment="1">
      <alignment horizontal="center" vertical="center"/>
    </xf>
    <xf numFmtId="49" fontId="7" fillId="4" borderId="5" xfId="0" applyNumberFormat="1"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5" xfId="0" applyFont="1" applyFill="1" applyBorder="1" applyAlignment="1">
      <alignment horizontal="center" vertical="center"/>
    </xf>
    <xf numFmtId="49" fontId="2" fillId="4" borderId="5" xfId="0" applyNumberFormat="1" applyFont="1" applyFill="1" applyBorder="1" applyAlignment="1">
      <alignment horizontal="center" vertical="center" wrapText="1"/>
    </xf>
    <xf numFmtId="49" fontId="2" fillId="4" borderId="6" xfId="0" applyNumberFormat="1" applyFont="1" applyFill="1" applyBorder="1" applyAlignment="1">
      <alignment horizontal="center" vertical="center" wrapText="1"/>
    </xf>
    <xf numFmtId="0" fontId="2" fillId="0" borderId="39" xfId="0" applyFont="1" applyFill="1" applyBorder="1" applyAlignment="1">
      <alignment horizontal="center" vertical="center" wrapText="1"/>
    </xf>
    <xf numFmtId="49" fontId="7" fillId="3" borderId="4" xfId="0" applyNumberFormat="1" applyFont="1" applyFill="1" applyBorder="1" applyAlignment="1">
      <alignment horizontal="center" vertical="center" wrapText="1"/>
    </xf>
    <xf numFmtId="177" fontId="2" fillId="11" borderId="2" xfId="0" applyNumberFormat="1" applyFont="1" applyFill="1" applyBorder="1" applyAlignment="1">
      <alignment horizontal="center" vertical="center" wrapText="1"/>
    </xf>
    <xf numFmtId="177" fontId="2" fillId="11" borderId="10" xfId="0" applyNumberFormat="1" applyFont="1" applyFill="1" applyBorder="1" applyAlignment="1">
      <alignment horizontal="center" vertical="center" wrapText="1"/>
    </xf>
    <xf numFmtId="49" fontId="2" fillId="11" borderId="10" xfId="0" applyNumberFormat="1" applyFont="1" applyFill="1" applyBorder="1" applyAlignment="1">
      <alignment horizontal="center" vertical="center" wrapText="1"/>
    </xf>
    <xf numFmtId="177" fontId="2" fillId="11" borderId="11" xfId="0" applyNumberFormat="1" applyFont="1" applyFill="1" applyBorder="1" applyAlignment="1">
      <alignment horizontal="center" vertical="center" wrapText="1"/>
    </xf>
    <xf numFmtId="49" fontId="2" fillId="13" borderId="1" xfId="0" applyNumberFormat="1" applyFont="1" applyFill="1" applyBorder="1" applyAlignment="1">
      <alignment horizontal="center" vertical="center" wrapText="1"/>
    </xf>
    <xf numFmtId="0" fontId="7" fillId="22" borderId="11" xfId="0" applyFont="1" applyFill="1" applyBorder="1" applyAlignment="1">
      <alignment horizontal="center" vertical="center" wrapText="1"/>
    </xf>
    <xf numFmtId="49" fontId="7" fillId="22" borderId="1"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0" fontId="14" fillId="0" borderId="2" xfId="0" applyFont="1" applyFill="1" applyBorder="1" applyAlignment="1">
      <alignment horizontal="center" vertical="center"/>
    </xf>
    <xf numFmtId="49" fontId="1" fillId="0" borderId="2" xfId="0" applyNumberFormat="1" applyFont="1" applyFill="1" applyBorder="1" applyAlignment="1">
      <alignment horizontal="center" vertical="center" wrapText="1"/>
    </xf>
    <xf numFmtId="0" fontId="1" fillId="0" borderId="2" xfId="0" applyFont="1" applyFill="1" applyBorder="1" applyAlignment="1">
      <alignment horizontal="center" vertical="center" wrapText="1"/>
    </xf>
    <xf numFmtId="0" fontId="7" fillId="7" borderId="1" xfId="0" applyFont="1" applyFill="1" applyBorder="1" applyAlignment="1">
      <alignment horizontal="center" vertical="center"/>
    </xf>
    <xf numFmtId="177" fontId="13" fillId="7" borderId="2" xfId="0" applyNumberFormat="1" applyFont="1" applyFill="1" applyBorder="1" applyAlignment="1">
      <alignment horizontal="center" vertical="center"/>
    </xf>
    <xf numFmtId="49" fontId="7" fillId="7"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0" fontId="14" fillId="7" borderId="1" xfId="0" applyFont="1" applyFill="1" applyBorder="1" applyAlignment="1">
      <alignment horizontal="center" vertical="center"/>
    </xf>
    <xf numFmtId="177" fontId="13" fillId="7" borderId="10"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wrapText="1"/>
    </xf>
    <xf numFmtId="177" fontId="13" fillId="7" borderId="11" xfId="0" applyNumberFormat="1" applyFont="1" applyFill="1" applyBorder="1" applyAlignment="1">
      <alignment horizontal="center" vertical="center"/>
    </xf>
    <xf numFmtId="0" fontId="7" fillId="33" borderId="1" xfId="0" applyFont="1" applyFill="1" applyBorder="1" applyAlignment="1">
      <alignment horizontal="center" vertical="center"/>
    </xf>
    <xf numFmtId="177" fontId="13" fillId="33" borderId="2" xfId="0" applyNumberFormat="1" applyFont="1" applyFill="1" applyBorder="1" applyAlignment="1">
      <alignment horizontal="center" vertical="center"/>
    </xf>
    <xf numFmtId="49" fontId="7" fillId="33" borderId="1" xfId="0" applyNumberFormat="1" applyFont="1" applyFill="1" applyBorder="1" applyAlignment="1">
      <alignment horizontal="center" vertical="center" wrapText="1"/>
    </xf>
    <xf numFmtId="0" fontId="1" fillId="33" borderId="1" xfId="0" applyFont="1" applyFill="1" applyBorder="1" applyAlignment="1">
      <alignment horizontal="center" vertical="center" wrapText="1"/>
    </xf>
    <xf numFmtId="0" fontId="14" fillId="33" borderId="1" xfId="0" applyFont="1" applyFill="1" applyBorder="1" applyAlignment="1">
      <alignment horizontal="center" vertical="center"/>
    </xf>
    <xf numFmtId="177" fontId="13" fillId="33" borderId="10" xfId="0" applyNumberFormat="1" applyFont="1" applyFill="1" applyBorder="1" applyAlignment="1">
      <alignment horizontal="center" vertical="center"/>
    </xf>
    <xf numFmtId="49" fontId="1" fillId="33" borderId="1" xfId="0" applyNumberFormat="1" applyFont="1" applyFill="1" applyBorder="1" applyAlignment="1">
      <alignment horizontal="center" vertical="center" wrapText="1"/>
    </xf>
    <xf numFmtId="177" fontId="13" fillId="33" borderId="11" xfId="0" applyNumberFormat="1" applyFont="1" applyFill="1" applyBorder="1" applyAlignment="1">
      <alignment horizontal="center" vertical="center"/>
    </xf>
    <xf numFmtId="0" fontId="7" fillId="4" borderId="5"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7" fillId="7"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7" fillId="33" borderId="1" xfId="0" applyFont="1" applyFill="1" applyBorder="1" applyAlignment="1">
      <alignment horizontal="center" vertical="center" wrapText="1"/>
    </xf>
    <xf numFmtId="0" fontId="13" fillId="33" borderId="1" xfId="0" applyFont="1" applyFill="1" applyBorder="1" applyAlignment="1">
      <alignment horizontal="center" vertical="center" wrapText="1"/>
    </xf>
    <xf numFmtId="0" fontId="1" fillId="33" borderId="1" xfId="0" applyFont="1" applyFill="1" applyBorder="1" applyAlignment="1">
      <alignment horizontal="center" vertical="center"/>
    </xf>
    <xf numFmtId="176" fontId="7" fillId="4" borderId="5" xfId="0" applyNumberFormat="1" applyFont="1" applyFill="1" applyBorder="1" applyAlignment="1">
      <alignment horizontal="center" vertical="center"/>
    </xf>
    <xf numFmtId="176" fontId="2" fillId="4" borderId="5" xfId="0" applyNumberFormat="1" applyFont="1" applyFill="1" applyBorder="1" applyAlignment="1">
      <alignment horizontal="center" vertical="center"/>
    </xf>
    <xf numFmtId="0" fontId="2" fillId="3" borderId="12" xfId="0" applyFont="1" applyFill="1" applyBorder="1" applyAlignment="1">
      <alignment horizontal="center" vertical="center" wrapText="1"/>
    </xf>
    <xf numFmtId="178" fontId="2" fillId="3" borderId="4" xfId="0" applyNumberFormat="1" applyFont="1" applyFill="1" applyBorder="1" applyAlignment="1">
      <alignment horizontal="center" vertical="center"/>
    </xf>
    <xf numFmtId="178" fontId="7" fillId="11" borderId="2" xfId="0" applyNumberFormat="1" applyFont="1" applyFill="1" applyBorder="1" applyAlignment="1">
      <alignment horizontal="center" vertical="center" wrapText="1"/>
    </xf>
    <xf numFmtId="0" fontId="2" fillId="11" borderId="24" xfId="0" applyFont="1" applyFill="1" applyBorder="1" applyAlignment="1">
      <alignment horizontal="center" vertical="center" wrapText="1"/>
    </xf>
    <xf numFmtId="178" fontId="7" fillId="11" borderId="10" xfId="0" applyNumberFormat="1" applyFont="1" applyFill="1" applyBorder="1" applyAlignment="1">
      <alignment horizontal="center" vertical="center" wrapText="1"/>
    </xf>
    <xf numFmtId="0" fontId="2" fillId="11" borderId="25" xfId="0" applyFont="1" applyFill="1" applyBorder="1" applyAlignment="1">
      <alignment horizontal="center" vertical="center" wrapText="1"/>
    </xf>
    <xf numFmtId="178" fontId="7" fillId="11" borderId="11" xfId="0" applyNumberFormat="1" applyFont="1" applyFill="1" applyBorder="1" applyAlignment="1">
      <alignment horizontal="center" vertical="center" wrapText="1"/>
    </xf>
    <xf numFmtId="0" fontId="2" fillId="11" borderId="31" xfId="0" applyFont="1" applyFill="1" applyBorder="1" applyAlignment="1">
      <alignment horizontal="center" vertical="center" wrapText="1"/>
    </xf>
    <xf numFmtId="178" fontId="7" fillId="13" borderId="2" xfId="0" applyNumberFormat="1" applyFont="1" applyFill="1" applyBorder="1" applyAlignment="1">
      <alignment horizontal="center" vertical="center" wrapText="1"/>
    </xf>
    <xf numFmtId="0" fontId="2" fillId="13" borderId="24" xfId="0" applyFont="1" applyFill="1" applyBorder="1" applyAlignment="1">
      <alignment horizontal="center" vertical="center" wrapText="1"/>
    </xf>
    <xf numFmtId="178" fontId="7" fillId="13" borderId="10" xfId="0" applyNumberFormat="1" applyFont="1" applyFill="1" applyBorder="1" applyAlignment="1">
      <alignment horizontal="center" vertical="center" wrapText="1"/>
    </xf>
    <xf numFmtId="0" fontId="2" fillId="13" borderId="25" xfId="0" applyFont="1" applyFill="1" applyBorder="1" applyAlignment="1">
      <alignment horizontal="center" vertical="center" wrapText="1"/>
    </xf>
    <xf numFmtId="178" fontId="7" fillId="13" borderId="11" xfId="0" applyNumberFormat="1" applyFont="1" applyFill="1" applyBorder="1" applyAlignment="1">
      <alignment horizontal="center" vertical="center" wrapText="1"/>
    </xf>
    <xf numFmtId="0" fontId="2" fillId="13" borderId="31" xfId="0" applyFont="1" applyFill="1" applyBorder="1" applyAlignment="1">
      <alignment horizontal="center" vertical="center" wrapText="1"/>
    </xf>
    <xf numFmtId="178" fontId="7" fillId="22" borderId="11" xfId="0" applyNumberFormat="1" applyFont="1" applyFill="1" applyBorder="1" applyAlignment="1">
      <alignment horizontal="center" vertical="center" wrapText="1"/>
    </xf>
    <xf numFmtId="176" fontId="1" fillId="0" borderId="1" xfId="0" applyNumberFormat="1" applyFont="1" applyBorder="1" applyAlignment="1">
      <alignment horizontal="center" vertical="center"/>
    </xf>
    <xf numFmtId="0" fontId="1" fillId="0" borderId="11" xfId="0" applyFont="1" applyBorder="1" applyAlignment="1">
      <alignment horizontal="center" vertical="center"/>
    </xf>
    <xf numFmtId="176" fontId="1" fillId="0" borderId="2" xfId="0" applyNumberFormat="1" applyFont="1" applyBorder="1" applyAlignment="1">
      <alignment horizontal="center" vertical="center"/>
    </xf>
    <xf numFmtId="176" fontId="1" fillId="7" borderId="1" xfId="0" applyNumberFormat="1" applyFont="1" applyFill="1" applyBorder="1" applyAlignment="1">
      <alignment horizontal="center" vertical="center"/>
    </xf>
    <xf numFmtId="176" fontId="1" fillId="33" borderId="1" xfId="0" applyNumberFormat="1" applyFont="1" applyFill="1" applyBorder="1" applyAlignment="1">
      <alignment horizontal="center" vertical="center"/>
    </xf>
    <xf numFmtId="0" fontId="7" fillId="4" borderId="12" xfId="0" applyFont="1" applyFill="1" applyBorder="1" applyAlignment="1">
      <alignment horizontal="center" vertical="center" wrapText="1"/>
    </xf>
    <xf numFmtId="0" fontId="7" fillId="4" borderId="1" xfId="0" applyFont="1" applyFill="1" applyBorder="1" applyAlignment="1">
      <alignment horizontal="left" vertical="center" wrapText="1"/>
    </xf>
    <xf numFmtId="9" fontId="21" fillId="4" borderId="1" xfId="0" applyNumberFormat="1" applyFont="1" applyFill="1" applyBorder="1" applyAlignment="1">
      <alignment horizontal="center" vertical="center"/>
    </xf>
    <xf numFmtId="0" fontId="7" fillId="4" borderId="17" xfId="0" applyFont="1" applyFill="1" applyBorder="1" applyAlignment="1">
      <alignment horizontal="center" vertical="center"/>
    </xf>
    <xf numFmtId="0" fontId="2" fillId="4" borderId="12" xfId="0" applyFont="1" applyFill="1" applyBorder="1" applyAlignment="1">
      <alignment horizontal="center" vertical="center" wrapText="1"/>
    </xf>
    <xf numFmtId="9" fontId="7" fillId="4" borderId="1" xfId="0" applyNumberFormat="1" applyFont="1" applyFill="1" applyBorder="1" applyAlignment="1">
      <alignment horizontal="center" vertical="center"/>
    </xf>
    <xf numFmtId="0" fontId="2" fillId="4" borderId="9" xfId="0" applyFont="1" applyFill="1" applyBorder="1" applyAlignment="1">
      <alignment horizontal="center" vertical="center" wrapText="1"/>
    </xf>
    <xf numFmtId="0" fontId="7" fillId="4" borderId="2" xfId="0" applyFont="1" applyFill="1" applyBorder="1" applyAlignment="1">
      <alignment horizontal="left" vertical="center" wrapText="1"/>
    </xf>
    <xf numFmtId="9" fontId="7" fillId="4" borderId="2" xfId="0" applyNumberFormat="1" applyFont="1" applyFill="1" applyBorder="1" applyAlignment="1">
      <alignment horizontal="center" vertical="center"/>
    </xf>
    <xf numFmtId="0" fontId="7" fillId="3" borderId="1" xfId="0" applyFont="1" applyFill="1" applyBorder="1" applyAlignment="1">
      <alignment horizontal="left" vertical="center" wrapText="1"/>
    </xf>
    <xf numFmtId="9" fontId="7" fillId="3" borderId="1" xfId="0" applyNumberFormat="1" applyFont="1" applyFill="1" applyBorder="1" applyAlignment="1">
      <alignment horizontal="center" vertical="center"/>
    </xf>
    <xf numFmtId="0" fontId="2" fillId="3" borderId="8" xfId="0" applyFont="1" applyFill="1" applyBorder="1" applyAlignment="1">
      <alignment horizontal="center" vertical="center" wrapText="1"/>
    </xf>
    <xf numFmtId="9" fontId="7" fillId="3" borderId="11" xfId="0" applyNumberFormat="1" applyFont="1" applyFill="1" applyBorder="1" applyAlignment="1">
      <alignment horizontal="center" vertical="center"/>
    </xf>
    <xf numFmtId="176" fontId="2" fillId="3" borderId="17" xfId="0" applyNumberFormat="1" applyFont="1" applyFill="1" applyBorder="1" applyAlignment="1">
      <alignment horizontal="center" vertical="center"/>
    </xf>
    <xf numFmtId="0" fontId="2" fillId="11" borderId="1" xfId="0" applyFont="1" applyFill="1" applyBorder="1" applyAlignment="1">
      <alignment vertical="center" wrapText="1"/>
    </xf>
    <xf numFmtId="10" fontId="2" fillId="11" borderId="2" xfId="0" applyNumberFormat="1" applyFont="1" applyFill="1" applyBorder="1" applyAlignment="1">
      <alignment horizontal="center" vertical="center" wrapText="1"/>
    </xf>
    <xf numFmtId="178" fontId="2" fillId="11" borderId="2" xfId="0" applyNumberFormat="1" applyFont="1" applyFill="1" applyBorder="1" applyAlignment="1">
      <alignment horizontal="center" vertical="center" wrapText="1"/>
    </xf>
    <xf numFmtId="10" fontId="2" fillId="11" borderId="11" xfId="0" applyNumberFormat="1" applyFont="1" applyFill="1" applyBorder="1" applyAlignment="1">
      <alignment horizontal="center" vertical="center" wrapText="1"/>
    </xf>
    <xf numFmtId="178" fontId="2" fillId="11" borderId="11" xfId="0" applyNumberFormat="1" applyFont="1" applyFill="1" applyBorder="1" applyAlignment="1">
      <alignment horizontal="center" vertical="center" wrapText="1"/>
    </xf>
    <xf numFmtId="10" fontId="2" fillId="11" borderId="1" xfId="0" applyNumberFormat="1" applyFont="1" applyFill="1" applyBorder="1" applyAlignment="1">
      <alignment horizontal="center" vertical="center" wrapText="1"/>
    </xf>
    <xf numFmtId="178" fontId="2" fillId="11" borderId="1" xfId="0" applyNumberFormat="1" applyFont="1" applyFill="1" applyBorder="1" applyAlignment="1">
      <alignment horizontal="center" vertical="center" wrapText="1"/>
    </xf>
    <xf numFmtId="0" fontId="2" fillId="13" borderId="1" xfId="0" applyFont="1" applyFill="1" applyBorder="1" applyAlignment="1">
      <alignment vertical="center" wrapText="1"/>
    </xf>
    <xf numFmtId="10" fontId="2" fillId="13" borderId="1" xfId="0" applyNumberFormat="1" applyFont="1" applyFill="1" applyBorder="1" applyAlignment="1">
      <alignment horizontal="center" vertical="center" wrapText="1"/>
    </xf>
    <xf numFmtId="0" fontId="2" fillId="13" borderId="2" xfId="0" applyFont="1" applyFill="1" applyBorder="1" applyAlignment="1">
      <alignment vertical="center" wrapText="1"/>
    </xf>
    <xf numFmtId="10" fontId="2" fillId="13" borderId="2" xfId="0" applyNumberFormat="1" applyFont="1" applyFill="1" applyBorder="1" applyAlignment="1">
      <alignment horizontal="center" vertical="center" wrapText="1"/>
    </xf>
    <xf numFmtId="0" fontId="2" fillId="22" borderId="16" xfId="0" applyFont="1" applyFill="1" applyBorder="1" applyAlignment="1">
      <alignment vertical="center" wrapText="1"/>
    </xf>
    <xf numFmtId="10" fontId="2" fillId="22" borderId="5" xfId="0" applyNumberFormat="1" applyFont="1" applyFill="1" applyBorder="1" applyAlignment="1">
      <alignment horizontal="center" vertical="center" wrapText="1"/>
    </xf>
    <xf numFmtId="178" fontId="2" fillId="22" borderId="5" xfId="0" applyNumberFormat="1" applyFont="1" applyFill="1" applyBorder="1" applyAlignment="1">
      <alignment horizontal="center" vertical="center" wrapText="1"/>
    </xf>
    <xf numFmtId="0" fontId="1" fillId="0" borderId="19" xfId="0" applyFont="1" applyBorder="1" applyAlignment="1">
      <alignment horizontal="center" vertical="center"/>
    </xf>
    <xf numFmtId="0" fontId="13" fillId="0" borderId="5" xfId="0" applyFont="1" applyFill="1" applyBorder="1" applyAlignment="1">
      <alignment horizontal="left" vertical="center" wrapText="1"/>
    </xf>
    <xf numFmtId="10" fontId="13" fillId="0" borderId="5" xfId="0" applyNumberFormat="1" applyFont="1" applyFill="1" applyBorder="1" applyAlignment="1" applyProtection="1">
      <alignment horizontal="center" vertical="center" wrapText="1"/>
    </xf>
    <xf numFmtId="176" fontId="13" fillId="0" borderId="5" xfId="0" applyNumberFormat="1" applyFont="1" applyFill="1" applyBorder="1" applyAlignment="1">
      <alignment horizontal="center" vertical="center"/>
    </xf>
    <xf numFmtId="0" fontId="1" fillId="0" borderId="16" xfId="0" applyFont="1" applyBorder="1" applyAlignment="1">
      <alignment horizontal="center" vertical="center"/>
    </xf>
    <xf numFmtId="0" fontId="1" fillId="0" borderId="18" xfId="0" applyFont="1" applyBorder="1" applyAlignment="1">
      <alignment horizontal="center" vertical="center"/>
    </xf>
    <xf numFmtId="0" fontId="13" fillId="0" borderId="6" xfId="0" applyFont="1" applyFill="1" applyBorder="1" applyAlignment="1">
      <alignment horizontal="left" vertical="center" wrapText="1"/>
    </xf>
    <xf numFmtId="10" fontId="13" fillId="0" borderId="6" xfId="0" applyNumberFormat="1" applyFont="1" applyFill="1" applyBorder="1" applyAlignment="1" applyProtection="1">
      <alignment horizontal="center" vertical="center" wrapText="1"/>
    </xf>
    <xf numFmtId="176" fontId="13" fillId="0" borderId="6" xfId="0" applyNumberFormat="1" applyFont="1" applyFill="1" applyBorder="1" applyAlignment="1">
      <alignment horizontal="center" vertical="center"/>
    </xf>
    <xf numFmtId="0" fontId="1" fillId="0" borderId="21" xfId="0" applyFont="1" applyBorder="1" applyAlignment="1">
      <alignment horizontal="center" vertical="center"/>
    </xf>
    <xf numFmtId="0" fontId="13" fillId="0" borderId="3" xfId="0" applyFont="1" applyFill="1" applyBorder="1" applyAlignment="1">
      <alignment horizontal="left" vertical="center" wrapText="1"/>
    </xf>
    <xf numFmtId="10" fontId="13" fillId="0" borderId="3" xfId="0" applyNumberFormat="1" applyFont="1" applyFill="1" applyBorder="1" applyAlignment="1" applyProtection="1">
      <alignment horizontal="center" vertical="center" wrapText="1"/>
    </xf>
    <xf numFmtId="176" fontId="13" fillId="0" borderId="3" xfId="0" applyNumberFormat="1" applyFont="1" applyFill="1" applyBorder="1" applyAlignment="1">
      <alignment horizontal="center" vertical="center"/>
    </xf>
    <xf numFmtId="0" fontId="7" fillId="7" borderId="1" xfId="0" applyFont="1" applyFill="1" applyBorder="1" applyAlignment="1">
      <alignment horizontal="left" vertical="center" wrapText="1"/>
    </xf>
    <xf numFmtId="10" fontId="13" fillId="7" borderId="1" xfId="0" applyNumberFormat="1" applyFont="1" applyFill="1" applyBorder="1" applyAlignment="1" applyProtection="1">
      <alignment horizontal="center" vertical="center" wrapText="1"/>
    </xf>
    <xf numFmtId="176" fontId="13" fillId="7" borderId="1" xfId="0" applyNumberFormat="1" applyFont="1" applyFill="1" applyBorder="1" applyAlignment="1">
      <alignment horizontal="center" vertical="center"/>
    </xf>
    <xf numFmtId="0" fontId="7" fillId="33" borderId="1" xfId="0" applyFont="1" applyFill="1" applyBorder="1" applyAlignment="1">
      <alignment horizontal="left" vertical="center" wrapText="1"/>
    </xf>
    <xf numFmtId="10" fontId="13" fillId="33" borderId="1" xfId="0" applyNumberFormat="1" applyFont="1" applyFill="1" applyBorder="1" applyAlignment="1" applyProtection="1">
      <alignment horizontal="center" vertical="center" wrapText="1"/>
    </xf>
    <xf numFmtId="176" fontId="13" fillId="33" borderId="1" xfId="0" applyNumberFormat="1" applyFont="1" applyFill="1" applyBorder="1" applyAlignment="1">
      <alignment horizontal="center" vertical="center"/>
    </xf>
    <xf numFmtId="10" fontId="7" fillId="33" borderId="1" xfId="0" applyNumberFormat="1" applyFont="1" applyFill="1" applyBorder="1" applyAlignment="1" applyProtection="1">
      <alignment horizontal="center" vertical="center" wrapText="1"/>
    </xf>
    <xf numFmtId="0" fontId="7" fillId="4" borderId="18" xfId="0" applyFont="1" applyFill="1" applyBorder="1" applyAlignment="1">
      <alignment horizontal="center" vertical="center" wrapText="1"/>
    </xf>
    <xf numFmtId="0" fontId="7" fillId="4" borderId="19" xfId="0" applyFont="1" applyFill="1" applyBorder="1" applyAlignment="1">
      <alignment horizontal="center" vertical="center" wrapText="1"/>
    </xf>
    <xf numFmtId="0" fontId="7" fillId="4" borderId="6" xfId="0" applyFont="1" applyFill="1" applyBorder="1" applyAlignment="1">
      <alignment horizontal="center" vertical="center" wrapText="1"/>
    </xf>
    <xf numFmtId="176" fontId="7" fillId="3" borderId="1" xfId="0" applyNumberFormat="1" applyFont="1" applyFill="1" applyBorder="1" applyAlignment="1">
      <alignment horizontal="center" vertical="center"/>
    </xf>
    <xf numFmtId="177" fontId="7" fillId="3" borderId="2" xfId="0" applyNumberFormat="1" applyFont="1" applyFill="1" applyBorder="1" applyAlignment="1">
      <alignment horizontal="center" vertical="center"/>
    </xf>
    <xf numFmtId="177" fontId="7" fillId="3" borderId="11" xfId="0" applyNumberFormat="1" applyFont="1" applyFill="1" applyBorder="1" applyAlignment="1">
      <alignment horizontal="center" vertical="center"/>
    </xf>
    <xf numFmtId="176" fontId="2" fillId="11" borderId="2" xfId="0" applyNumberFormat="1" applyFont="1" applyFill="1" applyBorder="1" applyAlignment="1">
      <alignment horizontal="center" vertical="center" wrapText="1"/>
    </xf>
    <xf numFmtId="177" fontId="7" fillId="11" borderId="2" xfId="0" applyNumberFormat="1" applyFont="1" applyFill="1" applyBorder="1" applyAlignment="1">
      <alignment horizontal="center" vertical="center" wrapText="1"/>
    </xf>
    <xf numFmtId="176" fontId="2" fillId="11" borderId="11" xfId="0" applyNumberFormat="1" applyFont="1" applyFill="1" applyBorder="1" applyAlignment="1">
      <alignment horizontal="center" vertical="center" wrapText="1"/>
    </xf>
    <xf numFmtId="177" fontId="7" fillId="11" borderId="11" xfId="0" applyNumberFormat="1" applyFont="1" applyFill="1" applyBorder="1" applyAlignment="1">
      <alignment horizontal="center" vertical="center" wrapText="1"/>
    </xf>
    <xf numFmtId="176" fontId="7" fillId="11" borderId="1" xfId="0" applyNumberFormat="1" applyFont="1" applyFill="1" applyBorder="1" applyAlignment="1">
      <alignment horizontal="center" vertical="center" wrapText="1"/>
    </xf>
    <xf numFmtId="177" fontId="7" fillId="11" borderId="1" xfId="0" applyNumberFormat="1" applyFont="1" applyFill="1" applyBorder="1" applyAlignment="1">
      <alignment horizontal="center" vertical="center" wrapText="1"/>
    </xf>
    <xf numFmtId="176" fontId="2" fillId="11" borderId="1" xfId="0" applyNumberFormat="1" applyFont="1" applyFill="1" applyBorder="1" applyAlignment="1">
      <alignment horizontal="center" vertical="center" wrapText="1"/>
    </xf>
    <xf numFmtId="177" fontId="11" fillId="11" borderId="1" xfId="0" applyNumberFormat="1" applyFont="1" applyFill="1" applyBorder="1" applyAlignment="1">
      <alignment horizontal="center" vertical="center" wrapText="1"/>
    </xf>
    <xf numFmtId="177" fontId="2" fillId="11" borderId="1" xfId="0" applyNumberFormat="1" applyFont="1" applyFill="1" applyBorder="1" applyAlignment="1">
      <alignment horizontal="center" vertical="center" wrapText="1"/>
    </xf>
    <xf numFmtId="176" fontId="2" fillId="13" borderId="2" xfId="0" applyNumberFormat="1" applyFont="1" applyFill="1" applyBorder="1" applyAlignment="1">
      <alignment horizontal="center" vertical="center" wrapText="1"/>
    </xf>
    <xf numFmtId="0" fontId="2" fillId="22" borderId="5" xfId="0" applyFont="1" applyFill="1" applyBorder="1" applyAlignment="1">
      <alignment horizontal="center" vertical="center" wrapText="1"/>
    </xf>
    <xf numFmtId="177" fontId="2" fillId="22" borderId="6" xfId="0" applyNumberFormat="1" applyFont="1" applyFill="1" applyBorder="1" applyAlignment="1">
      <alignment horizontal="center" vertical="center" wrapText="1"/>
    </xf>
    <xf numFmtId="0" fontId="1" fillId="0" borderId="5" xfId="0" applyFont="1" applyBorder="1" applyAlignment="1">
      <alignment horizontal="center" vertical="center"/>
    </xf>
    <xf numFmtId="177" fontId="1" fillId="0" borderId="6" xfId="0" applyNumberFormat="1" applyFont="1" applyFill="1" applyBorder="1" applyAlignment="1">
      <alignment horizontal="center" vertical="center"/>
    </xf>
    <xf numFmtId="178" fontId="1" fillId="0" borderId="5" xfId="0" applyNumberFormat="1" applyFont="1" applyBorder="1" applyAlignment="1">
      <alignment horizontal="center" vertical="center"/>
    </xf>
    <xf numFmtId="177" fontId="1" fillId="0" borderId="6" xfId="0" applyNumberFormat="1" applyFont="1" applyBorder="1" applyAlignment="1">
      <alignment horizontal="center" vertical="center"/>
    </xf>
    <xf numFmtId="176" fontId="3" fillId="0" borderId="6" xfId="0" applyNumberFormat="1" applyFont="1" applyBorder="1" applyAlignment="1">
      <alignment horizontal="center" vertical="center"/>
    </xf>
    <xf numFmtId="0" fontId="3" fillId="0" borderId="6" xfId="0" applyFont="1" applyBorder="1" applyAlignment="1">
      <alignment horizontal="center" vertical="center"/>
    </xf>
    <xf numFmtId="0" fontId="1" fillId="0" borderId="6" xfId="0" applyFont="1" applyBorder="1" applyAlignment="1">
      <alignment horizontal="center" vertical="center"/>
    </xf>
    <xf numFmtId="0" fontId="7" fillId="0" borderId="6" xfId="0" applyFont="1" applyBorder="1" applyAlignment="1">
      <alignment horizontal="center" vertical="center"/>
    </xf>
    <xf numFmtId="177" fontId="3" fillId="0" borderId="6" xfId="0" applyNumberFormat="1" applyFont="1" applyBorder="1" applyAlignment="1">
      <alignment horizontal="center" vertical="center"/>
    </xf>
    <xf numFmtId="176" fontId="6" fillId="0" borderId="6" xfId="0" applyNumberFormat="1" applyFont="1" applyFill="1" applyBorder="1" applyAlignment="1">
      <alignment horizontal="center" vertical="center"/>
    </xf>
    <xf numFmtId="0" fontId="11" fillId="0" borderId="6" xfId="0" applyFont="1" applyBorder="1" applyAlignment="1">
      <alignment horizontal="center" vertical="center"/>
    </xf>
    <xf numFmtId="177" fontId="6" fillId="0" borderId="6" xfId="0" applyNumberFormat="1" applyFont="1" applyBorder="1" applyAlignment="1">
      <alignment horizontal="center" vertical="center"/>
    </xf>
    <xf numFmtId="178" fontId="6" fillId="0" borderId="6" xfId="0" applyNumberFormat="1" applyFont="1" applyBorder="1" applyAlignment="1">
      <alignment horizontal="center" vertical="center"/>
    </xf>
    <xf numFmtId="176" fontId="3" fillId="7" borderId="1" xfId="0" applyNumberFormat="1" applyFont="1" applyFill="1" applyBorder="1" applyAlignment="1">
      <alignment horizontal="center" vertical="center"/>
    </xf>
    <xf numFmtId="177" fontId="3" fillId="7" borderId="1" xfId="0" applyNumberFormat="1" applyFont="1" applyFill="1" applyBorder="1" applyAlignment="1">
      <alignment horizontal="center" vertical="center"/>
    </xf>
    <xf numFmtId="178" fontId="3" fillId="7" borderId="1" xfId="0" applyNumberFormat="1" applyFont="1" applyFill="1" applyBorder="1" applyAlignment="1">
      <alignment horizontal="center" vertical="center"/>
    </xf>
    <xf numFmtId="176" fontId="6" fillId="7" borderId="1" xfId="0" applyNumberFormat="1" applyFont="1" applyFill="1" applyBorder="1" applyAlignment="1">
      <alignment horizontal="center" vertical="center"/>
    </xf>
    <xf numFmtId="0" fontId="11" fillId="7" borderId="1" xfId="0" applyFont="1" applyFill="1" applyBorder="1" applyAlignment="1">
      <alignment horizontal="center" vertical="center"/>
    </xf>
    <xf numFmtId="177" fontId="6" fillId="7" borderId="1" xfId="0" applyNumberFormat="1" applyFont="1" applyFill="1" applyBorder="1" applyAlignment="1">
      <alignment horizontal="center" vertical="center"/>
    </xf>
    <xf numFmtId="0" fontId="3" fillId="7" borderId="1" xfId="0" applyFont="1" applyFill="1" applyBorder="1" applyAlignment="1">
      <alignment horizontal="center" vertical="center"/>
    </xf>
    <xf numFmtId="176" fontId="3" fillId="33" borderId="1" xfId="0" applyNumberFormat="1" applyFont="1" applyFill="1" applyBorder="1" applyAlignment="1">
      <alignment horizontal="center" vertical="center"/>
    </xf>
    <xf numFmtId="177" fontId="3" fillId="33" borderId="1" xfId="0" applyNumberFormat="1" applyFont="1" applyFill="1" applyBorder="1" applyAlignment="1">
      <alignment horizontal="center" vertical="center"/>
    </xf>
    <xf numFmtId="176" fontId="7" fillId="33" borderId="1" xfId="0" applyNumberFormat="1" applyFont="1" applyFill="1" applyBorder="1" applyAlignment="1">
      <alignment horizontal="center" vertical="center"/>
    </xf>
    <xf numFmtId="178" fontId="3" fillId="33" borderId="1" xfId="0" applyNumberFormat="1" applyFont="1" applyFill="1" applyBorder="1" applyAlignment="1">
      <alignment horizontal="center" vertical="center"/>
    </xf>
    <xf numFmtId="0" fontId="3" fillId="33" borderId="1" xfId="0" applyFont="1" applyFill="1" applyBorder="1" applyAlignment="1">
      <alignment horizontal="center" vertical="center"/>
    </xf>
    <xf numFmtId="14" fontId="7" fillId="4" borderId="6" xfId="0" applyNumberFormat="1" applyFont="1" applyFill="1" applyBorder="1" applyAlignment="1">
      <alignment horizontal="center" vertical="center"/>
    </xf>
    <xf numFmtId="176" fontId="7" fillId="4" borderId="6" xfId="0" applyNumberFormat="1" applyFont="1" applyFill="1" applyBorder="1" applyAlignment="1">
      <alignment horizontal="center" vertical="center"/>
    </xf>
    <xf numFmtId="14" fontId="7" fillId="4" borderId="4" xfId="0" applyNumberFormat="1" applyFont="1" applyFill="1" applyBorder="1" applyAlignment="1">
      <alignment horizontal="center" vertical="center"/>
    </xf>
    <xf numFmtId="176" fontId="7" fillId="4" borderId="3" xfId="0" applyNumberFormat="1" applyFont="1" applyFill="1" applyBorder="1" applyAlignment="1">
      <alignment horizontal="center" vertical="center"/>
    </xf>
    <xf numFmtId="14" fontId="7" fillId="3" borderId="1" xfId="0" applyNumberFormat="1" applyFont="1" applyFill="1" applyBorder="1" applyAlignment="1">
      <alignment horizontal="center" vertical="center"/>
    </xf>
    <xf numFmtId="176" fontId="7" fillId="3" borderId="2" xfId="0" applyNumberFormat="1" applyFont="1" applyFill="1" applyBorder="1" applyAlignment="1">
      <alignment horizontal="center" vertical="center"/>
    </xf>
    <xf numFmtId="176" fontId="7" fillId="3" borderId="10" xfId="0" applyNumberFormat="1" applyFont="1" applyFill="1" applyBorder="1" applyAlignment="1">
      <alignment horizontal="center" vertical="center"/>
    </xf>
    <xf numFmtId="176" fontId="7" fillId="3" borderId="11" xfId="0" applyNumberFormat="1" applyFont="1" applyFill="1" applyBorder="1" applyAlignment="1">
      <alignment horizontal="center" vertical="center"/>
    </xf>
    <xf numFmtId="14" fontId="7" fillId="3" borderId="2" xfId="0" applyNumberFormat="1" applyFont="1" applyFill="1" applyBorder="1" applyAlignment="1">
      <alignment horizontal="center" vertical="center"/>
    </xf>
    <xf numFmtId="14" fontId="7" fillId="3" borderId="11" xfId="0" applyNumberFormat="1" applyFont="1" applyFill="1" applyBorder="1" applyAlignment="1">
      <alignment horizontal="center" vertical="center"/>
    </xf>
    <xf numFmtId="14" fontId="2" fillId="11" borderId="2" xfId="0" applyNumberFormat="1" applyFont="1" applyFill="1" applyBorder="1" applyAlignment="1">
      <alignment horizontal="center" vertical="center" wrapText="1"/>
    </xf>
    <xf numFmtId="14" fontId="2" fillId="11" borderId="1" xfId="0" applyNumberFormat="1" applyFont="1" applyFill="1" applyBorder="1" applyAlignment="1">
      <alignment horizontal="center" vertical="center" wrapText="1"/>
    </xf>
    <xf numFmtId="177" fontId="2" fillId="11" borderId="1" xfId="0" applyNumberFormat="1" applyFont="1" applyFill="1" applyBorder="1" applyAlignment="1">
      <alignment vertical="center" wrapText="1"/>
    </xf>
    <xf numFmtId="177" fontId="2" fillId="13" borderId="1" xfId="0" applyNumberFormat="1" applyFont="1" applyFill="1" applyBorder="1" applyAlignment="1">
      <alignment vertical="center" wrapText="1"/>
    </xf>
    <xf numFmtId="177" fontId="2" fillId="13" borderId="2" xfId="0" applyNumberFormat="1" applyFont="1" applyFill="1" applyBorder="1" applyAlignment="1">
      <alignment vertical="center" wrapText="1"/>
    </xf>
    <xf numFmtId="177" fontId="2" fillId="22" borderId="6" xfId="0" applyNumberFormat="1" applyFont="1" applyFill="1" applyBorder="1" applyAlignment="1">
      <alignment vertical="center" wrapText="1"/>
    </xf>
    <xf numFmtId="177" fontId="1" fillId="0" borderId="5" xfId="0" applyNumberFormat="1" applyFont="1" applyBorder="1" applyAlignment="1">
      <alignment horizontal="center" vertical="center"/>
    </xf>
    <xf numFmtId="176" fontId="3" fillId="0" borderId="9" xfId="0" applyNumberFormat="1" applyFont="1" applyFill="1" applyBorder="1" applyAlignment="1">
      <alignment horizontal="center" vertical="center"/>
    </xf>
    <xf numFmtId="178" fontId="7" fillId="7" borderId="1" xfId="0" applyNumberFormat="1" applyFont="1" applyFill="1" applyBorder="1" applyAlignment="1">
      <alignment horizontal="center" vertical="center"/>
    </xf>
    <xf numFmtId="176" fontId="7" fillId="7" borderId="1" xfId="0" applyNumberFormat="1" applyFont="1" applyFill="1" applyBorder="1" applyAlignment="1">
      <alignment horizontal="center" vertical="center"/>
    </xf>
    <xf numFmtId="178" fontId="7" fillId="33" borderId="1" xfId="0" applyNumberFormat="1" applyFont="1" applyFill="1" applyBorder="1" applyAlignment="1">
      <alignment horizontal="center" vertical="center"/>
    </xf>
    <xf numFmtId="0" fontId="7" fillId="4" borderId="37" xfId="0" applyFont="1" applyFill="1" applyBorder="1" applyAlignment="1">
      <alignment horizontal="center" vertical="center"/>
    </xf>
    <xf numFmtId="0" fontId="7" fillId="4" borderId="35" xfId="0" applyFont="1" applyFill="1" applyBorder="1" applyAlignment="1">
      <alignment horizontal="center" vertical="center"/>
    </xf>
    <xf numFmtId="0" fontId="2" fillId="4" borderId="35" xfId="0" applyFont="1" applyFill="1" applyBorder="1" applyAlignment="1">
      <alignment horizontal="center" vertical="center"/>
    </xf>
    <xf numFmtId="0" fontId="2" fillId="11" borderId="1" xfId="0" applyFont="1" applyFill="1" applyBorder="1" applyAlignment="1">
      <alignment horizontal="left" vertical="center" wrapText="1"/>
    </xf>
    <xf numFmtId="14" fontId="2" fillId="11" borderId="11" xfId="0" applyNumberFormat="1" applyFont="1" applyFill="1" applyBorder="1" applyAlignment="1">
      <alignment horizontal="center" vertical="center" wrapText="1"/>
    </xf>
    <xf numFmtId="14" fontId="7" fillId="11" borderId="1" xfId="0" applyNumberFormat="1" applyFont="1" applyFill="1" applyBorder="1" applyAlignment="1">
      <alignment horizontal="center" vertical="center" wrapText="1"/>
    </xf>
    <xf numFmtId="0" fontId="2" fillId="13" borderId="1" xfId="0" applyFont="1" applyFill="1" applyBorder="1" applyAlignment="1">
      <alignment horizontal="left" vertical="center" wrapText="1"/>
    </xf>
    <xf numFmtId="14" fontId="7" fillId="13" borderId="1" xfId="0" applyNumberFormat="1" applyFont="1" applyFill="1" applyBorder="1" applyAlignment="1">
      <alignment horizontal="center" vertical="center" wrapText="1"/>
    </xf>
    <xf numFmtId="0" fontId="2" fillId="13" borderId="2" xfId="0" applyFont="1" applyFill="1" applyBorder="1" applyAlignment="1">
      <alignment horizontal="left" vertical="center" wrapText="1"/>
    </xf>
    <xf numFmtId="0" fontId="2" fillId="22" borderId="5" xfId="0" applyFont="1" applyFill="1" applyBorder="1" applyAlignment="1">
      <alignment horizontal="left" vertical="center" wrapText="1"/>
    </xf>
    <xf numFmtId="0" fontId="2" fillId="22" borderId="5" xfId="0" applyFont="1" applyFill="1" applyBorder="1" applyAlignment="1">
      <alignment vertical="center" wrapText="1"/>
    </xf>
    <xf numFmtId="177" fontId="1" fillId="0" borderId="1" xfId="0" applyNumberFormat="1" applyFont="1" applyFill="1" applyBorder="1" applyAlignment="1">
      <alignment horizontal="center" vertical="center"/>
    </xf>
    <xf numFmtId="176" fontId="3" fillId="0" borderId="5" xfId="0" applyNumberFormat="1" applyFont="1" applyFill="1" applyBorder="1" applyAlignment="1">
      <alignment horizontal="center" vertical="center"/>
    </xf>
    <xf numFmtId="0" fontId="1" fillId="0" borderId="5" xfId="0" applyFont="1" applyBorder="1">
      <alignment vertical="center"/>
    </xf>
    <xf numFmtId="0" fontId="1" fillId="0" borderId="5" xfId="0" applyFont="1" applyBorder="1" applyAlignment="1">
      <alignment vertical="center" wrapText="1"/>
    </xf>
    <xf numFmtId="176" fontId="3" fillId="0" borderId="18" xfId="0" applyNumberFormat="1" applyFont="1" applyFill="1" applyBorder="1" applyAlignment="1">
      <alignment horizontal="center" vertical="center"/>
    </xf>
    <xf numFmtId="0" fontId="1" fillId="0" borderId="6" xfId="0" applyFont="1" applyBorder="1" applyAlignment="1">
      <alignment vertical="center" wrapText="1"/>
    </xf>
    <xf numFmtId="0" fontId="1" fillId="0" borderId="6" xfId="0" applyFont="1" applyBorder="1">
      <alignment vertical="center"/>
    </xf>
    <xf numFmtId="177" fontId="6" fillId="0" borderId="3" xfId="0" applyNumberFormat="1" applyFont="1" applyBorder="1" applyAlignment="1">
      <alignment horizontal="center" vertical="center"/>
    </xf>
    <xf numFmtId="176" fontId="3" fillId="0" borderId="6" xfId="0" applyNumberFormat="1" applyFont="1" applyFill="1" applyBorder="1" applyAlignment="1">
      <alignment horizontal="center" vertical="center"/>
    </xf>
    <xf numFmtId="0" fontId="7" fillId="0" borderId="6" xfId="0" applyFont="1" applyBorder="1" applyAlignment="1">
      <alignment horizontal="center" vertical="center" wrapText="1"/>
    </xf>
    <xf numFmtId="0" fontId="1" fillId="0" borderId="3" xfId="0" applyFont="1" applyBorder="1" applyAlignment="1">
      <alignment horizontal="center" vertical="center" wrapText="1"/>
    </xf>
    <xf numFmtId="0" fontId="1" fillId="7" borderId="1" xfId="0" applyFont="1" applyFill="1" applyBorder="1">
      <alignment vertical="center"/>
    </xf>
    <xf numFmtId="0" fontId="1" fillId="33" borderId="1" xfId="0" applyFont="1" applyFill="1" applyBorder="1">
      <alignment vertical="center"/>
    </xf>
    <xf numFmtId="0" fontId="2" fillId="3" borderId="40" xfId="0" applyFont="1" applyFill="1" applyBorder="1" applyAlignment="1">
      <alignment horizontal="center" vertical="center"/>
    </xf>
    <xf numFmtId="0" fontId="2" fillId="3" borderId="41" xfId="0" applyFont="1" applyFill="1" applyBorder="1" applyAlignment="1">
      <alignment horizontal="center" vertical="center"/>
    </xf>
    <xf numFmtId="0" fontId="2" fillId="3" borderId="38" xfId="0" applyFont="1" applyFill="1" applyBorder="1" applyAlignment="1">
      <alignment horizontal="center" vertical="center"/>
    </xf>
    <xf numFmtId="0" fontId="2" fillId="11" borderId="20" xfId="0" applyFont="1" applyFill="1" applyBorder="1" applyAlignment="1">
      <alignment vertical="center" wrapText="1"/>
    </xf>
    <xf numFmtId="0" fontId="2" fillId="11" borderId="6" xfId="0" applyFont="1" applyFill="1" applyBorder="1" applyAlignment="1">
      <alignment horizontal="center" vertical="center"/>
    </xf>
    <xf numFmtId="0" fontId="2" fillId="11" borderId="29" xfId="0" applyFont="1" applyFill="1" applyBorder="1" applyAlignment="1">
      <alignment vertical="center" wrapText="1"/>
    </xf>
    <xf numFmtId="0" fontId="2" fillId="11" borderId="30" xfId="0" applyFont="1" applyFill="1" applyBorder="1" applyAlignment="1">
      <alignment horizontal="center" vertical="center"/>
    </xf>
    <xf numFmtId="0" fontId="2" fillId="13" borderId="20" xfId="0" applyFont="1" applyFill="1" applyBorder="1" applyAlignment="1">
      <alignment vertical="center" wrapText="1"/>
    </xf>
    <xf numFmtId="0" fontId="2" fillId="13" borderId="6" xfId="0" applyFont="1" applyFill="1" applyBorder="1" applyAlignment="1">
      <alignment horizontal="center" vertical="center"/>
    </xf>
    <xf numFmtId="0" fontId="2" fillId="13" borderId="29" xfId="0" applyFont="1" applyFill="1" applyBorder="1" applyAlignment="1">
      <alignment vertical="center" wrapText="1"/>
    </xf>
    <xf numFmtId="0" fontId="2" fillId="13" borderId="3" xfId="0" applyFont="1" applyFill="1" applyBorder="1" applyAlignment="1">
      <alignment horizontal="center" vertical="center"/>
    </xf>
    <xf numFmtId="0" fontId="2" fillId="13" borderId="30" xfId="0" applyFont="1" applyFill="1" applyBorder="1" applyAlignment="1">
      <alignment horizontal="center" vertical="center"/>
    </xf>
    <xf numFmtId="0" fontId="2" fillId="22" borderId="12" xfId="0" applyFont="1" applyFill="1" applyBorder="1" applyAlignment="1">
      <alignment vertical="center" wrapText="1"/>
    </xf>
    <xf numFmtId="0" fontId="2" fillId="22" borderId="18" xfId="0" applyFont="1" applyFill="1" applyBorder="1" applyAlignment="1">
      <alignment vertical="center" wrapText="1"/>
    </xf>
    <xf numFmtId="0" fontId="2" fillId="22" borderId="6" xfId="0" applyFont="1" applyFill="1" applyBorder="1" applyAlignment="1">
      <alignment vertical="center" wrapText="1"/>
    </xf>
    <xf numFmtId="0" fontId="1" fillId="0" borderId="12" xfId="0" applyFont="1" applyBorder="1" applyAlignment="1">
      <alignment horizontal="left" vertical="center" wrapText="1"/>
    </xf>
    <xf numFmtId="0" fontId="1" fillId="0" borderId="3" xfId="0" applyFont="1" applyBorder="1" applyAlignment="1">
      <alignment horizontal="center" vertical="center"/>
    </xf>
    <xf numFmtId="0" fontId="1" fillId="0" borderId="9" xfId="0" applyFont="1" applyBorder="1" applyAlignment="1">
      <alignment horizontal="left" vertical="center" wrapText="1"/>
    </xf>
    <xf numFmtId="0" fontId="1" fillId="7" borderId="1" xfId="0" applyFont="1" applyFill="1" applyBorder="1" applyAlignment="1">
      <alignment horizontal="left" vertical="center" wrapText="1"/>
    </xf>
    <xf numFmtId="0" fontId="1" fillId="33" borderId="1" xfId="0" applyFont="1" applyFill="1" applyBorder="1" applyAlignment="1">
      <alignment horizontal="left" vertical="center" wrapText="1"/>
    </xf>
    <xf numFmtId="0" fontId="7" fillId="4" borderId="34" xfId="0" applyFont="1" applyFill="1" applyBorder="1" applyAlignment="1">
      <alignment horizontal="center" vertical="center"/>
    </xf>
    <xf numFmtId="0" fontId="7" fillId="4" borderId="32" xfId="0" applyFont="1" applyFill="1" applyBorder="1" applyAlignment="1">
      <alignment horizontal="center" vertical="center"/>
    </xf>
    <xf numFmtId="0" fontId="2" fillId="4" borderId="32"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14" xfId="0" applyFont="1" applyFill="1" applyBorder="1" applyAlignment="1">
      <alignment horizontal="center" vertical="center"/>
    </xf>
    <xf numFmtId="0" fontId="2" fillId="3" borderId="42" xfId="0" applyFont="1" applyFill="1" applyBorder="1" applyAlignment="1">
      <alignment horizontal="center" vertical="center"/>
    </xf>
    <xf numFmtId="0" fontId="2" fillId="3" borderId="43" xfId="0" applyFont="1" applyFill="1" applyBorder="1" applyAlignment="1">
      <alignment horizontal="center" vertical="center"/>
    </xf>
    <xf numFmtId="0" fontId="2" fillId="22" borderId="7" xfId="0" applyFont="1" applyFill="1" applyBorder="1" applyAlignment="1">
      <alignment horizontal="center" vertical="center" wrapText="1"/>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7" fillId="34" borderId="1" xfId="0" applyFont="1" applyFill="1" applyBorder="1" applyAlignment="1">
      <alignment horizontal="center" vertical="center"/>
    </xf>
    <xf numFmtId="177" fontId="13" fillId="34" borderId="2" xfId="0" applyNumberFormat="1" applyFont="1" applyFill="1" applyBorder="1" applyAlignment="1">
      <alignment horizontal="center" vertical="center"/>
    </xf>
    <xf numFmtId="49" fontId="7" fillId="34" borderId="1" xfId="0" applyNumberFormat="1" applyFont="1" applyFill="1" applyBorder="1" applyAlignment="1">
      <alignment horizontal="center" vertical="center" wrapText="1"/>
    </xf>
    <xf numFmtId="0" fontId="1" fillId="34" borderId="1" xfId="0" applyFont="1" applyFill="1" applyBorder="1" applyAlignment="1">
      <alignment horizontal="center" vertical="center" wrapText="1"/>
    </xf>
    <xf numFmtId="0" fontId="14" fillId="34" borderId="1" xfId="0" applyFont="1" applyFill="1" applyBorder="1" applyAlignment="1">
      <alignment horizontal="center" vertical="center"/>
    </xf>
    <xf numFmtId="177" fontId="13" fillId="34" borderId="10" xfId="0" applyNumberFormat="1" applyFont="1" applyFill="1" applyBorder="1" applyAlignment="1">
      <alignment horizontal="center" vertical="center"/>
    </xf>
    <xf numFmtId="49" fontId="1" fillId="34" borderId="1" xfId="0" applyNumberFormat="1" applyFont="1" applyFill="1" applyBorder="1" applyAlignment="1">
      <alignment horizontal="center" vertical="center" wrapText="1"/>
    </xf>
    <xf numFmtId="177" fontId="13" fillId="34" borderId="11" xfId="0" applyNumberFormat="1" applyFont="1" applyFill="1" applyBorder="1" applyAlignment="1">
      <alignment horizontal="center" vertical="center"/>
    </xf>
    <xf numFmtId="14" fontId="14" fillId="8" borderId="2" xfId="0" applyNumberFormat="1" applyFont="1" applyFill="1" applyBorder="1" applyAlignment="1">
      <alignment horizontal="center" vertical="center" wrapText="1"/>
    </xf>
    <xf numFmtId="0" fontId="14" fillId="8" borderId="1" xfId="0" applyFont="1" applyFill="1" applyBorder="1" applyAlignment="1">
      <alignment horizontal="center" vertical="center" wrapText="1"/>
    </xf>
    <xf numFmtId="14" fontId="14" fillId="8" borderId="10" xfId="0" applyNumberFormat="1" applyFont="1" applyFill="1" applyBorder="1" applyAlignment="1">
      <alignment horizontal="center" vertical="center" wrapText="1"/>
    </xf>
    <xf numFmtId="14" fontId="14" fillId="8" borderId="11" xfId="0" applyNumberFormat="1" applyFont="1" applyFill="1" applyBorder="1" applyAlignment="1">
      <alignment horizontal="center" vertical="center" wrapText="1"/>
    </xf>
    <xf numFmtId="0" fontId="7" fillId="35" borderId="1" xfId="0" applyFont="1" applyFill="1" applyBorder="1" applyAlignment="1">
      <alignment horizontal="center" vertical="center" wrapText="1"/>
    </xf>
    <xf numFmtId="14" fontId="14" fillId="35" borderId="2" xfId="0" applyNumberFormat="1" applyFont="1" applyFill="1" applyBorder="1" applyAlignment="1">
      <alignment horizontal="center" vertical="center" wrapText="1"/>
    </xf>
    <xf numFmtId="14" fontId="14" fillId="35" borderId="10" xfId="0" applyNumberFormat="1" applyFont="1" applyFill="1" applyBorder="1" applyAlignment="1">
      <alignment horizontal="center" vertical="center" wrapText="1"/>
    </xf>
    <xf numFmtId="14" fontId="14" fillId="35" borderId="11" xfId="0" applyNumberFormat="1" applyFont="1" applyFill="1" applyBorder="1" applyAlignment="1">
      <alignment horizontal="center" vertical="center" wrapText="1"/>
    </xf>
    <xf numFmtId="0" fontId="7" fillId="22" borderId="1" xfId="0" applyFont="1" applyFill="1" applyBorder="1" applyAlignment="1">
      <alignment horizontal="center" vertical="center"/>
    </xf>
    <xf numFmtId="177" fontId="13" fillId="22" borderId="2" xfId="0" applyNumberFormat="1" applyFont="1" applyFill="1" applyBorder="1" applyAlignment="1">
      <alignment horizontal="center" vertical="center"/>
    </xf>
    <xf numFmtId="0" fontId="1" fillId="22" borderId="1" xfId="0" applyFont="1" applyFill="1" applyBorder="1" applyAlignment="1">
      <alignment horizontal="center" vertical="center" wrapText="1"/>
    </xf>
    <xf numFmtId="0" fontId="14" fillId="22" borderId="1" xfId="0" applyFont="1" applyFill="1" applyBorder="1" applyAlignment="1">
      <alignment horizontal="center" vertical="center"/>
    </xf>
    <xf numFmtId="177" fontId="13" fillId="22" borderId="10" xfId="0" applyNumberFormat="1" applyFont="1" applyFill="1" applyBorder="1" applyAlignment="1">
      <alignment horizontal="center" vertical="center"/>
    </xf>
    <xf numFmtId="49" fontId="1" fillId="22" borderId="1" xfId="0" applyNumberFormat="1" applyFont="1" applyFill="1" applyBorder="1" applyAlignment="1">
      <alignment horizontal="center" vertical="center" wrapText="1"/>
    </xf>
    <xf numFmtId="177" fontId="13" fillId="22" borderId="11" xfId="0" applyNumberFormat="1" applyFont="1" applyFill="1" applyBorder="1" applyAlignment="1">
      <alignment horizontal="center" vertical="center"/>
    </xf>
    <xf numFmtId="0" fontId="7" fillId="36" borderId="2" xfId="0" applyFont="1" applyFill="1" applyBorder="1" applyAlignment="1">
      <alignment horizontal="center" vertical="center"/>
    </xf>
    <xf numFmtId="177" fontId="13" fillId="36" borderId="2" xfId="0" applyNumberFormat="1" applyFont="1" applyFill="1" applyBorder="1" applyAlignment="1">
      <alignment horizontal="center" vertical="center"/>
    </xf>
    <xf numFmtId="49" fontId="7" fillId="36" borderId="2" xfId="0" applyNumberFormat="1" applyFont="1" applyFill="1" applyBorder="1" applyAlignment="1">
      <alignment horizontal="center" vertical="center" wrapText="1"/>
    </xf>
    <xf numFmtId="0" fontId="1" fillId="36" borderId="2" xfId="0" applyFont="1" applyFill="1" applyBorder="1" applyAlignment="1">
      <alignment horizontal="center" vertical="center" wrapText="1"/>
    </xf>
    <xf numFmtId="0" fontId="14" fillId="36" borderId="10" xfId="0" applyFont="1" applyFill="1" applyBorder="1" applyAlignment="1">
      <alignment horizontal="center" vertical="center"/>
    </xf>
    <xf numFmtId="177" fontId="13" fillId="36" borderId="10" xfId="0" applyNumberFormat="1" applyFont="1" applyFill="1" applyBorder="1" applyAlignment="1">
      <alignment horizontal="center" vertical="center"/>
    </xf>
    <xf numFmtId="49" fontId="1" fillId="36" borderId="10" xfId="0" applyNumberFormat="1" applyFont="1" applyFill="1" applyBorder="1" applyAlignment="1">
      <alignment horizontal="center" vertical="center" wrapText="1"/>
    </xf>
    <xf numFmtId="0" fontId="1" fillId="36" borderId="10" xfId="0" applyFont="1" applyFill="1" applyBorder="1" applyAlignment="1">
      <alignment horizontal="center" vertical="center" wrapText="1"/>
    </xf>
    <xf numFmtId="0" fontId="14" fillId="36" borderId="11" xfId="0" applyFont="1" applyFill="1" applyBorder="1" applyAlignment="1">
      <alignment horizontal="center" vertical="center"/>
    </xf>
    <xf numFmtId="177" fontId="13" fillId="36" borderId="11" xfId="0" applyNumberFormat="1" applyFont="1" applyFill="1" applyBorder="1" applyAlignment="1">
      <alignment horizontal="center" vertical="center"/>
    </xf>
    <xf numFmtId="49" fontId="1" fillId="36" borderId="11" xfId="0" applyNumberFormat="1" applyFont="1" applyFill="1" applyBorder="1" applyAlignment="1">
      <alignment horizontal="center" vertical="center" wrapText="1"/>
    </xf>
    <xf numFmtId="0" fontId="1" fillId="36" borderId="11" xfId="0" applyFont="1" applyFill="1" applyBorder="1" applyAlignment="1">
      <alignment horizontal="center" vertical="center" wrapText="1"/>
    </xf>
    <xf numFmtId="177" fontId="13" fillId="0" borderId="11" xfId="0" applyNumberFormat="1" applyFont="1" applyFill="1" applyBorder="1" applyAlignment="1">
      <alignment horizontal="center" vertical="center"/>
    </xf>
    <xf numFmtId="177" fontId="13" fillId="6" borderId="2" xfId="0" applyNumberFormat="1" applyFont="1" applyFill="1" applyBorder="1" applyAlignment="1">
      <alignment horizontal="center" vertical="center"/>
    </xf>
    <xf numFmtId="0" fontId="1" fillId="6" borderId="2" xfId="0" applyFont="1" applyFill="1" applyBorder="1" applyAlignment="1">
      <alignment horizontal="center" vertical="center" wrapText="1"/>
    </xf>
    <xf numFmtId="177" fontId="13" fillId="6" borderId="10" xfId="0" applyNumberFormat="1" applyFont="1" applyFill="1" applyBorder="1" applyAlignment="1">
      <alignment horizontal="center" vertical="center"/>
    </xf>
    <xf numFmtId="0" fontId="1" fillId="6" borderId="10" xfId="0" applyFont="1" applyFill="1" applyBorder="1" applyAlignment="1">
      <alignment horizontal="center" vertical="center" wrapText="1"/>
    </xf>
    <xf numFmtId="0" fontId="7" fillId="37" borderId="1" xfId="0" applyFont="1" applyFill="1" applyBorder="1" applyAlignment="1">
      <alignment horizontal="center" vertical="center"/>
    </xf>
    <xf numFmtId="177" fontId="13" fillId="37" borderId="2" xfId="0" applyNumberFormat="1" applyFont="1" applyFill="1" applyBorder="1" applyAlignment="1">
      <alignment horizontal="center" vertical="center"/>
    </xf>
    <xf numFmtId="49" fontId="7" fillId="37" borderId="2" xfId="0" applyNumberFormat="1" applyFont="1" applyFill="1" applyBorder="1" applyAlignment="1">
      <alignment horizontal="center" vertical="center" wrapText="1"/>
    </xf>
    <xf numFmtId="0" fontId="1" fillId="37" borderId="2" xfId="0" applyFont="1" applyFill="1" applyBorder="1" applyAlignment="1">
      <alignment horizontal="center" vertical="center" wrapText="1"/>
    </xf>
    <xf numFmtId="177" fontId="13" fillId="37" borderId="10" xfId="0" applyNumberFormat="1" applyFont="1" applyFill="1" applyBorder="1" applyAlignment="1">
      <alignment horizontal="center" vertical="center"/>
    </xf>
    <xf numFmtId="49" fontId="7" fillId="37" borderId="10" xfId="0" applyNumberFormat="1" applyFont="1" applyFill="1" applyBorder="1" applyAlignment="1">
      <alignment horizontal="center" vertical="center" wrapText="1"/>
    </xf>
    <xf numFmtId="0" fontId="1" fillId="37" borderId="10" xfId="0" applyFont="1" applyFill="1" applyBorder="1" applyAlignment="1">
      <alignment horizontal="center" vertical="center" wrapText="1"/>
    </xf>
    <xf numFmtId="177" fontId="13" fillId="37" borderId="11" xfId="0" applyNumberFormat="1" applyFont="1" applyFill="1" applyBorder="1" applyAlignment="1">
      <alignment horizontal="center" vertical="center"/>
    </xf>
    <xf numFmtId="49" fontId="7" fillId="37" borderId="11" xfId="0" applyNumberFormat="1" applyFont="1" applyFill="1" applyBorder="1" applyAlignment="1">
      <alignment horizontal="center" vertical="center" wrapText="1"/>
    </xf>
    <xf numFmtId="0" fontId="1" fillId="37" borderId="11" xfId="0" applyFont="1" applyFill="1" applyBorder="1" applyAlignment="1">
      <alignment horizontal="center" vertical="center" wrapText="1"/>
    </xf>
    <xf numFmtId="0" fontId="7" fillId="20" borderId="10" xfId="0" applyFont="1" applyFill="1" applyBorder="1" applyAlignment="1">
      <alignment horizontal="center" vertical="center"/>
    </xf>
    <xf numFmtId="177" fontId="13" fillId="20" borderId="10" xfId="0" applyNumberFormat="1" applyFont="1" applyFill="1" applyBorder="1" applyAlignment="1">
      <alignment horizontal="center" vertical="center"/>
    </xf>
    <xf numFmtId="49" fontId="7" fillId="20" borderId="10" xfId="0" applyNumberFormat="1" applyFont="1" applyFill="1" applyBorder="1" applyAlignment="1">
      <alignment horizontal="center" vertical="center" wrapText="1"/>
    </xf>
    <xf numFmtId="0" fontId="1" fillId="20" borderId="10" xfId="0" applyFont="1" applyFill="1" applyBorder="1" applyAlignment="1">
      <alignment horizontal="center" vertical="center" wrapText="1"/>
    </xf>
    <xf numFmtId="0" fontId="7" fillId="36" borderId="1" xfId="0" applyFont="1" applyFill="1" applyBorder="1" applyAlignment="1">
      <alignment horizontal="center" vertical="center"/>
    </xf>
    <xf numFmtId="49" fontId="7" fillId="36" borderId="1" xfId="0" applyNumberFormat="1" applyFont="1" applyFill="1" applyBorder="1" applyAlignment="1">
      <alignment horizontal="center" vertical="center" wrapText="1"/>
    </xf>
    <xf numFmtId="0" fontId="1" fillId="36" borderId="1" xfId="0" applyFont="1" applyFill="1" applyBorder="1" applyAlignment="1">
      <alignment horizontal="center" vertical="center" wrapText="1"/>
    </xf>
    <xf numFmtId="0" fontId="7" fillId="34" borderId="1" xfId="0" applyFont="1" applyFill="1" applyBorder="1" applyAlignment="1">
      <alignment horizontal="center" vertical="center" wrapText="1"/>
    </xf>
    <xf numFmtId="0" fontId="13" fillId="34" borderId="1" xfId="0" applyFont="1" applyFill="1" applyBorder="1" applyAlignment="1">
      <alignment horizontal="center" vertical="center" wrapText="1"/>
    </xf>
    <xf numFmtId="0" fontId="13" fillId="22" borderId="1" xfId="0" applyFont="1" applyFill="1" applyBorder="1" applyAlignment="1">
      <alignment horizontal="center" vertical="center" wrapText="1"/>
    </xf>
    <xf numFmtId="0" fontId="1" fillId="22" borderId="1" xfId="0" applyFont="1" applyFill="1" applyBorder="1" applyAlignment="1">
      <alignment horizontal="center" vertical="center"/>
    </xf>
    <xf numFmtId="0" fontId="7" fillId="36" borderId="2" xfId="0" applyFont="1" applyFill="1" applyBorder="1" applyAlignment="1">
      <alignment horizontal="center" vertical="center" wrapText="1"/>
    </xf>
    <xf numFmtId="0" fontId="13" fillId="36" borderId="10" xfId="0" applyFont="1" applyFill="1" applyBorder="1" applyAlignment="1">
      <alignment horizontal="center" vertical="center" wrapText="1"/>
    </xf>
    <xf numFmtId="0" fontId="1" fillId="36" borderId="10" xfId="0" applyFont="1" applyFill="1" applyBorder="1" applyAlignment="1">
      <alignment horizontal="center" vertical="center"/>
    </xf>
    <xf numFmtId="0" fontId="13" fillId="36" borderId="11" xfId="0" applyFont="1" applyFill="1" applyBorder="1" applyAlignment="1">
      <alignment horizontal="center" vertical="center" wrapText="1"/>
    </xf>
    <xf numFmtId="0" fontId="1" fillId="36" borderId="11" xfId="0" applyFont="1" applyFill="1" applyBorder="1" applyAlignment="1">
      <alignment horizontal="center" vertical="center"/>
    </xf>
    <xf numFmtId="0" fontId="7" fillId="37" borderId="2" xfId="0" applyFont="1" applyFill="1" applyBorder="1" applyAlignment="1">
      <alignment horizontal="center" vertical="center" wrapText="1"/>
    </xf>
    <xf numFmtId="0" fontId="7" fillId="37" borderId="10" xfId="0" applyFont="1" applyFill="1" applyBorder="1" applyAlignment="1">
      <alignment horizontal="center" vertical="center" wrapText="1"/>
    </xf>
    <xf numFmtId="0" fontId="7" fillId="37" borderId="11" xfId="0" applyFont="1" applyFill="1" applyBorder="1" applyAlignment="1">
      <alignment horizontal="center" vertical="center" wrapText="1"/>
    </xf>
    <xf numFmtId="0" fontId="7" fillId="36" borderId="1" xfId="0" applyFont="1" applyFill="1" applyBorder="1" applyAlignment="1">
      <alignment horizontal="center" vertical="center" wrapText="1"/>
    </xf>
    <xf numFmtId="176" fontId="1" fillId="34" borderId="1" xfId="0" applyNumberFormat="1" applyFont="1" applyFill="1" applyBorder="1" applyAlignment="1">
      <alignment horizontal="center" vertical="center"/>
    </xf>
    <xf numFmtId="0" fontId="1" fillId="34" borderId="1" xfId="0" applyFont="1" applyFill="1" applyBorder="1" applyAlignment="1">
      <alignment horizontal="center" vertical="center"/>
    </xf>
    <xf numFmtId="176" fontId="14" fillId="8" borderId="1" xfId="0" applyNumberFormat="1" applyFont="1" applyFill="1" applyBorder="1" applyAlignment="1">
      <alignment horizontal="center" vertical="center" wrapText="1"/>
    </xf>
    <xf numFmtId="0" fontId="14" fillId="8" borderId="1" xfId="0" applyFont="1" applyFill="1" applyBorder="1" applyAlignment="1">
      <alignment horizontal="center" vertical="center"/>
    </xf>
    <xf numFmtId="176" fontId="7" fillId="35" borderId="1" xfId="0" applyNumberFormat="1" applyFont="1" applyFill="1" applyBorder="1" applyAlignment="1">
      <alignment horizontal="center" vertical="center" wrapText="1"/>
    </xf>
    <xf numFmtId="176" fontId="1" fillId="22" borderId="1" xfId="0" applyNumberFormat="1" applyFont="1" applyFill="1" applyBorder="1" applyAlignment="1">
      <alignment horizontal="center" vertical="center"/>
    </xf>
    <xf numFmtId="0" fontId="13" fillId="36" borderId="2" xfId="0" applyFont="1" applyFill="1" applyBorder="1" applyAlignment="1">
      <alignment horizontal="center" vertical="center" wrapText="1"/>
    </xf>
    <xf numFmtId="176" fontId="1" fillId="36" borderId="2" xfId="0" applyNumberFormat="1" applyFont="1" applyFill="1" applyBorder="1" applyAlignment="1">
      <alignment horizontal="center" vertical="center"/>
    </xf>
    <xf numFmtId="176" fontId="1" fillId="36" borderId="10" xfId="0" applyNumberFormat="1" applyFont="1" applyFill="1" applyBorder="1" applyAlignment="1">
      <alignment horizontal="center" vertical="center"/>
    </xf>
    <xf numFmtId="176" fontId="1" fillId="36" borderId="11" xfId="0" applyNumberFormat="1" applyFont="1" applyFill="1" applyBorder="1" applyAlignment="1">
      <alignment horizontal="center" vertical="center"/>
    </xf>
    <xf numFmtId="176" fontId="1" fillId="6" borderId="2" xfId="0" applyNumberFormat="1" applyFont="1" applyFill="1" applyBorder="1" applyAlignment="1">
      <alignment horizontal="center" vertical="center"/>
    </xf>
    <xf numFmtId="176" fontId="1" fillId="6" borderId="10" xfId="0" applyNumberFormat="1" applyFont="1" applyFill="1" applyBorder="1" applyAlignment="1">
      <alignment horizontal="center" vertical="center"/>
    </xf>
    <xf numFmtId="176" fontId="1" fillId="37" borderId="2" xfId="0" applyNumberFormat="1" applyFont="1" applyFill="1" applyBorder="1" applyAlignment="1">
      <alignment horizontal="center" vertical="center"/>
    </xf>
    <xf numFmtId="0" fontId="7" fillId="37" borderId="2" xfId="0" applyFont="1" applyFill="1" applyBorder="1" applyAlignment="1">
      <alignment horizontal="center" vertical="center"/>
    </xf>
    <xf numFmtId="176" fontId="1" fillId="37" borderId="10" xfId="0" applyNumberFormat="1" applyFont="1" applyFill="1" applyBorder="1" applyAlignment="1">
      <alignment horizontal="center" vertical="center"/>
    </xf>
    <xf numFmtId="0" fontId="7" fillId="37" borderId="10" xfId="0" applyFont="1" applyFill="1" applyBorder="1" applyAlignment="1">
      <alignment horizontal="center" vertical="center"/>
    </xf>
    <xf numFmtId="176" fontId="1" fillId="37" borderId="11" xfId="0" applyNumberFormat="1" applyFont="1" applyFill="1" applyBorder="1" applyAlignment="1">
      <alignment horizontal="center" vertical="center"/>
    </xf>
    <xf numFmtId="0" fontId="7" fillId="37" borderId="11" xfId="0" applyFont="1" applyFill="1" applyBorder="1" applyAlignment="1">
      <alignment horizontal="center" vertical="center"/>
    </xf>
    <xf numFmtId="176" fontId="1" fillId="20" borderId="10" xfId="0" applyNumberFormat="1" applyFont="1" applyFill="1" applyBorder="1" applyAlignment="1">
      <alignment horizontal="center" vertical="center"/>
    </xf>
    <xf numFmtId="176" fontId="1" fillId="36" borderId="1" xfId="0" applyNumberFormat="1" applyFont="1" applyFill="1" applyBorder="1" applyAlignment="1">
      <alignment horizontal="center" vertical="center"/>
    </xf>
    <xf numFmtId="0" fontId="7" fillId="34" borderId="1" xfId="0" applyFont="1" applyFill="1" applyBorder="1" applyAlignment="1">
      <alignment horizontal="left" vertical="center" wrapText="1"/>
    </xf>
    <xf numFmtId="10" fontId="13" fillId="34" borderId="1" xfId="0" applyNumberFormat="1" applyFont="1" applyFill="1" applyBorder="1" applyAlignment="1" applyProtection="1">
      <alignment horizontal="center" vertical="center" wrapText="1"/>
    </xf>
    <xf numFmtId="176" fontId="13" fillId="34" borderId="1" xfId="0" applyNumberFormat="1" applyFont="1" applyFill="1" applyBorder="1" applyAlignment="1">
      <alignment horizontal="center" vertical="center"/>
    </xf>
    <xf numFmtId="0" fontId="7" fillId="8" borderId="1" xfId="0" applyFont="1" applyFill="1" applyBorder="1" applyAlignment="1">
      <alignment horizontal="left" vertical="center" wrapText="1"/>
    </xf>
    <xf numFmtId="10" fontId="13" fillId="8" borderId="1" xfId="0" applyNumberFormat="1" applyFont="1" applyFill="1" applyBorder="1" applyAlignment="1" applyProtection="1">
      <alignment horizontal="center" vertical="center" wrapText="1"/>
    </xf>
    <xf numFmtId="176" fontId="13" fillId="8" borderId="1" xfId="0" applyNumberFormat="1" applyFont="1" applyFill="1" applyBorder="1" applyAlignment="1">
      <alignment horizontal="center" vertical="center"/>
    </xf>
    <xf numFmtId="0" fontId="1" fillId="8" borderId="2" xfId="0" applyFont="1" applyFill="1" applyBorder="1" applyAlignment="1">
      <alignment horizontal="center" vertical="center"/>
    </xf>
    <xf numFmtId="10" fontId="13" fillId="8" borderId="2" xfId="0" applyNumberFormat="1" applyFont="1" applyFill="1" applyBorder="1" applyAlignment="1" applyProtection="1">
      <alignment horizontal="center" vertical="center" wrapText="1"/>
    </xf>
    <xf numFmtId="176" fontId="13" fillId="8" borderId="2" xfId="0" applyNumberFormat="1" applyFont="1" applyFill="1" applyBorder="1" applyAlignment="1">
      <alignment horizontal="center" vertical="center"/>
    </xf>
    <xf numFmtId="0" fontId="1" fillId="8" borderId="11" xfId="0" applyFont="1" applyFill="1" applyBorder="1" applyAlignment="1">
      <alignment horizontal="center" vertical="center"/>
    </xf>
    <xf numFmtId="0" fontId="7" fillId="8" borderId="11" xfId="0" applyFont="1" applyFill="1" applyBorder="1" applyAlignment="1">
      <alignment horizontal="center" vertical="center" wrapText="1"/>
    </xf>
    <xf numFmtId="10" fontId="13" fillId="8" borderId="11" xfId="0" applyNumberFormat="1" applyFont="1" applyFill="1" applyBorder="1" applyAlignment="1" applyProtection="1">
      <alignment horizontal="center" vertical="center" wrapText="1"/>
    </xf>
    <xf numFmtId="176" fontId="13" fillId="8" borderId="11" xfId="0" applyNumberFormat="1" applyFont="1" applyFill="1" applyBorder="1" applyAlignment="1">
      <alignment horizontal="center" vertical="center"/>
    </xf>
    <xf numFmtId="0" fontId="7" fillId="35" borderId="1" xfId="0" applyFont="1" applyFill="1" applyBorder="1" applyAlignment="1">
      <alignment horizontal="left" vertical="center" wrapText="1"/>
    </xf>
    <xf numFmtId="10" fontId="13" fillId="35" borderId="1" xfId="0" applyNumberFormat="1" applyFont="1" applyFill="1" applyBorder="1" applyAlignment="1" applyProtection="1">
      <alignment horizontal="center" vertical="center" wrapText="1"/>
    </xf>
    <xf numFmtId="176" fontId="13" fillId="35" borderId="1" xfId="0" applyNumberFormat="1" applyFont="1" applyFill="1" applyBorder="1" applyAlignment="1">
      <alignment horizontal="center" vertical="center"/>
    </xf>
    <xf numFmtId="0" fontId="7" fillId="35" borderId="1" xfId="0" applyFont="1" applyFill="1" applyBorder="1" applyAlignment="1">
      <alignment horizontal="center" vertical="center"/>
    </xf>
    <xf numFmtId="0" fontId="7" fillId="22" borderId="1" xfId="0" applyFont="1" applyFill="1" applyBorder="1" applyAlignment="1">
      <alignment horizontal="left" vertical="center" wrapText="1"/>
    </xf>
    <xf numFmtId="10" fontId="13" fillId="22" borderId="1" xfId="0" applyNumberFormat="1" applyFont="1" applyFill="1" applyBorder="1" applyAlignment="1" applyProtection="1">
      <alignment horizontal="center" vertical="center" wrapText="1"/>
    </xf>
    <xf numFmtId="176" fontId="13" fillId="22" borderId="1" xfId="0" applyNumberFormat="1" applyFont="1" applyFill="1" applyBorder="1" applyAlignment="1">
      <alignment horizontal="center" vertical="center"/>
    </xf>
    <xf numFmtId="0" fontId="1" fillId="36" borderId="1" xfId="0" applyFont="1" applyFill="1" applyBorder="1" applyAlignment="1">
      <alignment horizontal="center" vertical="center"/>
    </xf>
    <xf numFmtId="0" fontId="7" fillId="36" borderId="1" xfId="0" applyFont="1" applyFill="1" applyBorder="1" applyAlignment="1">
      <alignment horizontal="left" vertical="center" wrapText="1"/>
    </xf>
    <xf numFmtId="10" fontId="13" fillId="36" borderId="1" xfId="0" applyNumberFormat="1" applyFont="1" applyFill="1" applyBorder="1" applyAlignment="1" applyProtection="1">
      <alignment horizontal="center" vertical="center" wrapText="1"/>
    </xf>
    <xf numFmtId="176" fontId="13" fillId="36" borderId="1" xfId="0" applyNumberFormat="1" applyFont="1" applyFill="1" applyBorder="1" applyAlignment="1">
      <alignment horizontal="center" vertical="center"/>
    </xf>
    <xf numFmtId="0" fontId="13" fillId="0" borderId="1" xfId="0" applyFont="1" applyFill="1" applyBorder="1" applyAlignment="1">
      <alignment horizontal="left" vertical="center" wrapText="1"/>
    </xf>
    <xf numFmtId="10" fontId="13" fillId="0" borderId="1" xfId="0" applyNumberFormat="1" applyFont="1" applyFill="1" applyBorder="1" applyAlignment="1" applyProtection="1">
      <alignment horizontal="center" vertical="center" wrapText="1"/>
    </xf>
    <xf numFmtId="176" fontId="13" fillId="0" borderId="1" xfId="0" applyNumberFormat="1" applyFont="1" applyFill="1" applyBorder="1" applyAlignment="1">
      <alignment horizontal="center" vertical="center"/>
    </xf>
    <xf numFmtId="176" fontId="13" fillId="6" borderId="1" xfId="0" applyNumberFormat="1" applyFont="1" applyFill="1" applyBorder="1" applyAlignment="1">
      <alignment horizontal="center" vertical="center"/>
    </xf>
    <xf numFmtId="0" fontId="7" fillId="6" borderId="2" xfId="0" applyFont="1" applyFill="1" applyBorder="1" applyAlignment="1">
      <alignment horizontal="left" vertical="center" wrapText="1"/>
    </xf>
    <xf numFmtId="10" fontId="13" fillId="6" borderId="2" xfId="0" applyNumberFormat="1" applyFont="1" applyFill="1" applyBorder="1" applyAlignment="1" applyProtection="1">
      <alignment horizontal="center" vertical="center" wrapText="1"/>
    </xf>
    <xf numFmtId="176" fontId="13" fillId="6" borderId="2" xfId="0" applyNumberFormat="1" applyFont="1" applyFill="1" applyBorder="1" applyAlignment="1">
      <alignment horizontal="center" vertical="center"/>
    </xf>
    <xf numFmtId="0" fontId="7" fillId="37" borderId="1" xfId="0" applyFont="1" applyFill="1" applyBorder="1" applyAlignment="1">
      <alignment horizontal="center" vertical="center" wrapText="1"/>
    </xf>
    <xf numFmtId="0" fontId="7" fillId="37" borderId="1" xfId="0" applyFont="1" applyFill="1" applyBorder="1" applyAlignment="1">
      <alignment horizontal="left" vertical="center" wrapText="1"/>
    </xf>
    <xf numFmtId="10" fontId="13" fillId="37" borderId="1" xfId="0" applyNumberFormat="1" applyFont="1" applyFill="1" applyBorder="1" applyAlignment="1" applyProtection="1">
      <alignment horizontal="center" vertical="center" wrapText="1"/>
    </xf>
    <xf numFmtId="176" fontId="13" fillId="37" borderId="1" xfId="0" applyNumberFormat="1" applyFont="1" applyFill="1" applyBorder="1" applyAlignment="1">
      <alignment horizontal="center" vertical="center"/>
    </xf>
    <xf numFmtId="10" fontId="7" fillId="37" borderId="1" xfId="0" applyNumberFormat="1" applyFont="1" applyFill="1" applyBorder="1" applyAlignment="1" applyProtection="1">
      <alignment horizontal="center" vertical="center" wrapText="1"/>
    </xf>
    <xf numFmtId="0" fontId="7" fillId="20" borderId="1" xfId="0" applyFont="1" applyFill="1" applyBorder="1" applyAlignment="1">
      <alignment horizontal="left" vertical="center" wrapText="1"/>
    </xf>
    <xf numFmtId="10" fontId="13" fillId="20" borderId="1" xfId="0" applyNumberFormat="1" applyFont="1" applyFill="1" applyBorder="1" applyAlignment="1" applyProtection="1">
      <alignment horizontal="center" vertical="center" wrapText="1"/>
    </xf>
    <xf numFmtId="176" fontId="13" fillId="20" borderId="1" xfId="0" applyNumberFormat="1" applyFont="1" applyFill="1" applyBorder="1" applyAlignment="1">
      <alignment horizontal="center" vertical="center"/>
    </xf>
    <xf numFmtId="0" fontId="7" fillId="20" borderId="2" xfId="0" applyFont="1" applyFill="1" applyBorder="1" applyAlignment="1">
      <alignment horizontal="left" vertical="center" wrapText="1"/>
    </xf>
    <xf numFmtId="10" fontId="13" fillId="20" borderId="2" xfId="0" applyNumberFormat="1" applyFont="1" applyFill="1" applyBorder="1" applyAlignment="1" applyProtection="1">
      <alignment horizontal="center" vertical="center" wrapText="1"/>
    </xf>
    <xf numFmtId="176" fontId="13" fillId="20" borderId="2" xfId="0" applyNumberFormat="1" applyFont="1" applyFill="1" applyBorder="1" applyAlignment="1">
      <alignment horizontal="center" vertical="center"/>
    </xf>
    <xf numFmtId="0" fontId="7" fillId="38" borderId="1" xfId="0" applyFont="1" applyFill="1" applyBorder="1" applyAlignment="1">
      <alignment horizontal="left" vertical="center" wrapText="1"/>
    </xf>
    <xf numFmtId="176" fontId="13" fillId="38" borderId="1" xfId="0" applyNumberFormat="1" applyFont="1" applyFill="1" applyBorder="1" applyAlignment="1">
      <alignment horizontal="center" vertical="center"/>
    </xf>
    <xf numFmtId="0" fontId="7" fillId="9" borderId="1" xfId="0" applyFont="1" applyFill="1" applyBorder="1" applyAlignment="1">
      <alignment horizontal="left" vertical="center" wrapText="1"/>
    </xf>
    <xf numFmtId="176" fontId="7" fillId="9" borderId="1" xfId="0" applyNumberFormat="1" applyFont="1" applyFill="1" applyBorder="1" applyAlignment="1">
      <alignment horizontal="center" vertical="center"/>
    </xf>
    <xf numFmtId="176" fontId="13" fillId="9" borderId="1" xfId="0" applyNumberFormat="1" applyFont="1" applyFill="1" applyBorder="1" applyAlignment="1">
      <alignment horizontal="center" vertical="center"/>
    </xf>
    <xf numFmtId="176" fontId="3" fillId="34" borderId="1" xfId="0" applyNumberFormat="1" applyFont="1" applyFill="1" applyBorder="1" applyAlignment="1">
      <alignment horizontal="center" vertical="center"/>
    </xf>
    <xf numFmtId="177" fontId="3" fillId="34" borderId="1" xfId="0" applyNumberFormat="1" applyFont="1" applyFill="1" applyBorder="1" applyAlignment="1">
      <alignment horizontal="center" vertical="center"/>
    </xf>
    <xf numFmtId="0" fontId="3" fillId="34" borderId="1" xfId="0" applyFont="1" applyFill="1" applyBorder="1" applyAlignment="1">
      <alignment horizontal="center" vertical="center"/>
    </xf>
    <xf numFmtId="176" fontId="6" fillId="34" borderId="1" xfId="0" applyNumberFormat="1" applyFont="1" applyFill="1" applyBorder="1" applyAlignment="1">
      <alignment horizontal="center" vertical="center"/>
    </xf>
    <xf numFmtId="0" fontId="11" fillId="34" borderId="1" xfId="0" applyFont="1" applyFill="1" applyBorder="1" applyAlignment="1">
      <alignment horizontal="center" vertical="center"/>
    </xf>
    <xf numFmtId="177" fontId="6" fillId="34" borderId="1" xfId="0" applyNumberFormat="1" applyFont="1" applyFill="1" applyBorder="1" applyAlignment="1">
      <alignment horizontal="center" vertical="center"/>
    </xf>
    <xf numFmtId="178" fontId="3" fillId="34" borderId="1" xfId="0" applyNumberFormat="1" applyFont="1" applyFill="1" applyBorder="1" applyAlignment="1">
      <alignment horizontal="center" vertical="center"/>
    </xf>
    <xf numFmtId="177" fontId="3" fillId="8" borderId="1" xfId="0" applyNumberFormat="1" applyFont="1" applyFill="1" applyBorder="1" applyAlignment="1">
      <alignment horizontal="center" vertical="center"/>
    </xf>
    <xf numFmtId="178" fontId="3" fillId="8" borderId="1" xfId="0" applyNumberFormat="1" applyFont="1" applyFill="1" applyBorder="1" applyAlignment="1">
      <alignment horizontal="center" vertical="center"/>
    </xf>
    <xf numFmtId="0" fontId="7" fillId="8" borderId="2" xfId="0" applyFont="1" applyFill="1" applyBorder="1" applyAlignment="1">
      <alignment horizontal="center" vertical="center"/>
    </xf>
    <xf numFmtId="177" fontId="3" fillId="8" borderId="2" xfId="0" applyNumberFormat="1" applyFont="1" applyFill="1" applyBorder="1" applyAlignment="1">
      <alignment horizontal="center" vertical="center"/>
    </xf>
    <xf numFmtId="178" fontId="3" fillId="8" borderId="2" xfId="0" applyNumberFormat="1" applyFont="1" applyFill="1" applyBorder="1" applyAlignment="1">
      <alignment horizontal="center" vertical="center"/>
    </xf>
    <xf numFmtId="0" fontId="7" fillId="8" borderId="11" xfId="0" applyFont="1" applyFill="1" applyBorder="1" applyAlignment="1">
      <alignment horizontal="center" vertical="center"/>
    </xf>
    <xf numFmtId="177" fontId="3" fillId="8" borderId="11" xfId="0" applyNumberFormat="1" applyFont="1" applyFill="1" applyBorder="1" applyAlignment="1">
      <alignment horizontal="center" vertical="center"/>
    </xf>
    <xf numFmtId="178" fontId="3" fillId="8" borderId="11" xfId="0" applyNumberFormat="1" applyFont="1" applyFill="1" applyBorder="1" applyAlignment="1">
      <alignment horizontal="center" vertical="center"/>
    </xf>
    <xf numFmtId="176" fontId="6" fillId="8" borderId="1" xfId="0" applyNumberFormat="1" applyFont="1" applyFill="1" applyBorder="1" applyAlignment="1">
      <alignment horizontal="center" vertical="center"/>
    </xf>
    <xf numFmtId="0" fontId="11" fillId="8" borderId="1" xfId="0" applyFont="1" applyFill="1" applyBorder="1" applyAlignment="1">
      <alignment horizontal="center" vertical="center"/>
    </xf>
    <xf numFmtId="177" fontId="6" fillId="8" borderId="1" xfId="0" applyNumberFormat="1" applyFont="1" applyFill="1" applyBorder="1" applyAlignment="1">
      <alignment horizontal="center" vertical="center"/>
    </xf>
    <xf numFmtId="176" fontId="3" fillId="35" borderId="1" xfId="0" applyNumberFormat="1" applyFont="1" applyFill="1" applyBorder="1" applyAlignment="1">
      <alignment horizontal="center" vertical="center"/>
    </xf>
    <xf numFmtId="14" fontId="3" fillId="35" borderId="1" xfId="0" applyNumberFormat="1" applyFont="1" applyFill="1" applyBorder="1" applyAlignment="1">
      <alignment horizontal="center" vertical="center"/>
    </xf>
    <xf numFmtId="178" fontId="3" fillId="35" borderId="1" xfId="0" applyNumberFormat="1" applyFont="1" applyFill="1" applyBorder="1" applyAlignment="1">
      <alignment horizontal="center" vertical="center"/>
    </xf>
    <xf numFmtId="176" fontId="6" fillId="35" borderId="1" xfId="0" applyNumberFormat="1" applyFont="1" applyFill="1" applyBorder="1" applyAlignment="1">
      <alignment horizontal="center" vertical="center"/>
    </xf>
    <xf numFmtId="0" fontId="11" fillId="35" borderId="1" xfId="0" applyFont="1" applyFill="1" applyBorder="1" applyAlignment="1">
      <alignment horizontal="center" vertical="center"/>
    </xf>
    <xf numFmtId="177" fontId="11" fillId="35" borderId="1" xfId="0" applyNumberFormat="1" applyFont="1" applyFill="1" applyBorder="1" applyAlignment="1">
      <alignment horizontal="center" vertical="center"/>
    </xf>
    <xf numFmtId="176" fontId="3" fillId="22" borderId="1" xfId="0" applyNumberFormat="1" applyFont="1" applyFill="1" applyBorder="1" applyAlignment="1">
      <alignment horizontal="center" vertical="center"/>
    </xf>
    <xf numFmtId="177" fontId="3" fillId="22" borderId="1" xfId="0" applyNumberFormat="1" applyFont="1" applyFill="1" applyBorder="1" applyAlignment="1">
      <alignment horizontal="center" vertical="center"/>
    </xf>
    <xf numFmtId="178" fontId="3" fillId="22" borderId="1" xfId="0" applyNumberFormat="1" applyFont="1" applyFill="1" applyBorder="1" applyAlignment="1">
      <alignment horizontal="center" vertical="center"/>
    </xf>
    <xf numFmtId="177" fontId="7" fillId="22" borderId="1" xfId="0" applyNumberFormat="1" applyFont="1" applyFill="1" applyBorder="1" applyAlignment="1">
      <alignment horizontal="center" vertical="center"/>
    </xf>
    <xf numFmtId="176" fontId="3" fillId="36" borderId="1" xfId="0" applyNumberFormat="1" applyFont="1" applyFill="1" applyBorder="1" applyAlignment="1">
      <alignment horizontal="center" vertical="center"/>
    </xf>
    <xf numFmtId="177" fontId="3" fillId="36" borderId="1" xfId="0" applyNumberFormat="1" applyFont="1" applyFill="1" applyBorder="1" applyAlignment="1">
      <alignment horizontal="center" vertical="center"/>
    </xf>
    <xf numFmtId="0" fontId="3" fillId="36" borderId="1" xfId="0" applyFont="1" applyFill="1" applyBorder="1" applyAlignment="1">
      <alignment horizontal="center" vertical="center"/>
    </xf>
    <xf numFmtId="176" fontId="6" fillId="36" borderId="1" xfId="0" applyNumberFormat="1" applyFont="1" applyFill="1" applyBorder="1" applyAlignment="1">
      <alignment horizontal="center" vertical="center"/>
    </xf>
    <xf numFmtId="0" fontId="11" fillId="36" borderId="1" xfId="0" applyFont="1" applyFill="1" applyBorder="1" applyAlignment="1">
      <alignment horizontal="center" vertical="center"/>
    </xf>
    <xf numFmtId="177" fontId="6" fillId="36" borderId="1" xfId="0" applyNumberFormat="1" applyFont="1" applyFill="1" applyBorder="1" applyAlignment="1">
      <alignment horizontal="center" vertical="center"/>
    </xf>
    <xf numFmtId="178" fontId="3" fillId="36" borderId="1" xfId="0" applyNumberFormat="1" applyFont="1" applyFill="1" applyBorder="1" applyAlignment="1">
      <alignment horizontal="center" vertical="center"/>
    </xf>
    <xf numFmtId="176" fontId="3" fillId="0" borderId="1" xfId="0" applyNumberFormat="1" applyFont="1" applyFill="1" applyBorder="1" applyAlignment="1">
      <alignment horizontal="center" vertical="center"/>
    </xf>
    <xf numFmtId="0" fontId="3" fillId="0" borderId="1" xfId="0" applyFont="1" applyBorder="1" applyAlignment="1">
      <alignment horizontal="center" vertical="center"/>
    </xf>
    <xf numFmtId="178" fontId="3" fillId="0" borderId="1" xfId="0" applyNumberFormat="1" applyFont="1" applyBorder="1" applyAlignment="1">
      <alignment horizontal="center" vertical="center"/>
    </xf>
    <xf numFmtId="176" fontId="6" fillId="0" borderId="1" xfId="0" applyNumberFormat="1" applyFont="1" applyFill="1" applyBorder="1" applyAlignment="1">
      <alignment horizontal="center" vertical="center"/>
    </xf>
    <xf numFmtId="178" fontId="1" fillId="0" borderId="1" xfId="0" applyNumberFormat="1" applyFont="1" applyBorder="1" applyAlignment="1">
      <alignment horizontal="center" vertical="center"/>
    </xf>
    <xf numFmtId="177" fontId="3" fillId="6" borderId="6" xfId="0" applyNumberFormat="1" applyFont="1" applyFill="1" applyBorder="1" applyAlignment="1">
      <alignment horizontal="center" vertical="center"/>
    </xf>
    <xf numFmtId="178" fontId="1" fillId="6" borderId="1" xfId="0" applyNumberFormat="1" applyFont="1" applyFill="1" applyBorder="1" applyAlignment="1">
      <alignment horizontal="center" vertical="center"/>
    </xf>
    <xf numFmtId="176" fontId="6" fillId="6" borderId="1" xfId="0" applyNumberFormat="1" applyFont="1" applyFill="1" applyBorder="1" applyAlignment="1">
      <alignment horizontal="center" vertical="center"/>
    </xf>
    <xf numFmtId="0" fontId="11" fillId="6" borderId="6" xfId="0" applyFont="1" applyFill="1" applyBorder="1" applyAlignment="1">
      <alignment horizontal="center" vertical="center"/>
    </xf>
    <xf numFmtId="177" fontId="6" fillId="6" borderId="6" xfId="0" applyNumberFormat="1" applyFont="1" applyFill="1" applyBorder="1" applyAlignment="1">
      <alignment horizontal="center" vertical="center"/>
    </xf>
    <xf numFmtId="178" fontId="1" fillId="6" borderId="2" xfId="0" applyNumberFormat="1" applyFont="1" applyFill="1" applyBorder="1" applyAlignment="1">
      <alignment horizontal="center" vertical="center"/>
    </xf>
    <xf numFmtId="176" fontId="7" fillId="37" borderId="1" xfId="0" applyNumberFormat="1" applyFont="1" applyFill="1" applyBorder="1" applyAlignment="1">
      <alignment horizontal="center" vertical="center"/>
    </xf>
    <xf numFmtId="177" fontId="3" fillId="37" borderId="1" xfId="0" applyNumberFormat="1" applyFont="1" applyFill="1" applyBorder="1" applyAlignment="1">
      <alignment horizontal="center" vertical="center"/>
    </xf>
    <xf numFmtId="178" fontId="3" fillId="37" borderId="1" xfId="0" applyNumberFormat="1" applyFont="1" applyFill="1" applyBorder="1" applyAlignment="1">
      <alignment horizontal="center" vertical="center"/>
    </xf>
    <xf numFmtId="176" fontId="3" fillId="37" borderId="1" xfId="0" applyNumberFormat="1" applyFont="1" applyFill="1" applyBorder="1" applyAlignment="1">
      <alignment horizontal="center" vertical="center"/>
    </xf>
    <xf numFmtId="0" fontId="7" fillId="37" borderId="29" xfId="0" applyFont="1" applyFill="1" applyBorder="1" applyAlignment="1">
      <alignment horizontal="center" vertical="center"/>
    </xf>
    <xf numFmtId="178" fontId="1" fillId="37" borderId="1" xfId="0" applyNumberFormat="1" applyFont="1" applyFill="1" applyBorder="1" applyAlignment="1">
      <alignment horizontal="center" vertical="center"/>
    </xf>
    <xf numFmtId="176" fontId="3" fillId="20" borderId="1" xfId="0" applyNumberFormat="1" applyFont="1" applyFill="1" applyBorder="1" applyAlignment="1">
      <alignment horizontal="center" vertical="center"/>
    </xf>
    <xf numFmtId="0" fontId="7" fillId="20" borderId="29" xfId="0" applyFont="1" applyFill="1" applyBorder="1" applyAlignment="1">
      <alignment horizontal="center" vertical="center"/>
    </xf>
    <xf numFmtId="177" fontId="3" fillId="20" borderId="1" xfId="0" applyNumberFormat="1" applyFont="1" applyFill="1" applyBorder="1" applyAlignment="1">
      <alignment horizontal="center" vertical="center"/>
    </xf>
    <xf numFmtId="176" fontId="1" fillId="20" borderId="1" xfId="0" applyNumberFormat="1" applyFont="1" applyFill="1" applyBorder="1" applyAlignment="1">
      <alignment horizontal="center" vertical="center"/>
    </xf>
    <xf numFmtId="178" fontId="1" fillId="20" borderId="1" xfId="0" applyNumberFormat="1" applyFont="1" applyFill="1" applyBorder="1" applyAlignment="1">
      <alignment horizontal="center" vertical="center"/>
    </xf>
    <xf numFmtId="14" fontId="7" fillId="20" borderId="29" xfId="0" applyNumberFormat="1" applyFont="1" applyFill="1" applyBorder="1" applyAlignment="1">
      <alignment horizontal="center" vertical="center"/>
    </xf>
    <xf numFmtId="176" fontId="3" fillId="20" borderId="2" xfId="0" applyNumberFormat="1" applyFont="1" applyFill="1" applyBorder="1" applyAlignment="1">
      <alignment horizontal="center" vertical="center"/>
    </xf>
    <xf numFmtId="0" fontId="7" fillId="20" borderId="40" xfId="0" applyFont="1" applyFill="1" applyBorder="1" applyAlignment="1">
      <alignment horizontal="center" vertical="center"/>
    </xf>
    <xf numFmtId="177" fontId="3" fillId="20" borderId="2" xfId="0" applyNumberFormat="1" applyFont="1" applyFill="1" applyBorder="1" applyAlignment="1">
      <alignment horizontal="center" vertical="center"/>
    </xf>
    <xf numFmtId="178" fontId="1" fillId="20" borderId="2" xfId="0" applyNumberFormat="1" applyFont="1" applyFill="1" applyBorder="1" applyAlignment="1">
      <alignment horizontal="center" vertical="center"/>
    </xf>
    <xf numFmtId="176" fontId="7" fillId="36" borderId="1" xfId="0" applyNumberFormat="1" applyFont="1" applyFill="1" applyBorder="1" applyAlignment="1">
      <alignment horizontal="center" vertical="center"/>
    </xf>
    <xf numFmtId="178" fontId="1" fillId="36" borderId="1" xfId="0" applyNumberFormat="1" applyFont="1" applyFill="1" applyBorder="1" applyAlignment="1">
      <alignment horizontal="center" vertical="center"/>
    </xf>
    <xf numFmtId="178" fontId="7" fillId="34" borderId="1" xfId="0" applyNumberFormat="1" applyFont="1" applyFill="1" applyBorder="1" applyAlignment="1">
      <alignment horizontal="center" vertical="center"/>
    </xf>
    <xf numFmtId="178" fontId="7" fillId="8" borderId="1" xfId="0" applyNumberFormat="1" applyFont="1" applyFill="1" applyBorder="1" applyAlignment="1">
      <alignment horizontal="center" vertical="center"/>
    </xf>
    <xf numFmtId="178" fontId="7" fillId="8" borderId="2" xfId="0" applyNumberFormat="1" applyFont="1" applyFill="1" applyBorder="1" applyAlignment="1">
      <alignment horizontal="center" vertical="center"/>
    </xf>
    <xf numFmtId="178" fontId="7" fillId="8" borderId="11" xfId="0" applyNumberFormat="1" applyFont="1" applyFill="1" applyBorder="1" applyAlignment="1">
      <alignment horizontal="center" vertical="center"/>
    </xf>
    <xf numFmtId="178" fontId="7" fillId="35" borderId="1" xfId="0" applyNumberFormat="1" applyFont="1" applyFill="1" applyBorder="1" applyAlignment="1">
      <alignment horizontal="center" vertical="center"/>
    </xf>
    <xf numFmtId="177" fontId="3" fillId="35" borderId="1" xfId="0" applyNumberFormat="1" applyFont="1" applyFill="1" applyBorder="1" applyAlignment="1">
      <alignment horizontal="center" vertical="center"/>
    </xf>
    <xf numFmtId="178" fontId="7" fillId="22" borderId="1" xfId="0" applyNumberFormat="1" applyFont="1" applyFill="1" applyBorder="1" applyAlignment="1">
      <alignment horizontal="center" vertical="center"/>
    </xf>
    <xf numFmtId="178" fontId="7" fillId="36" borderId="1" xfId="0" applyNumberFormat="1" applyFont="1" applyFill="1" applyBorder="1" applyAlignment="1">
      <alignment horizontal="center" vertical="center"/>
    </xf>
    <xf numFmtId="178" fontId="13" fillId="0" borderId="1" xfId="0" applyNumberFormat="1" applyFont="1" applyFill="1" applyBorder="1" applyAlignment="1">
      <alignment horizontal="center" vertical="center"/>
    </xf>
    <xf numFmtId="177" fontId="1" fillId="0" borderId="1" xfId="0" applyNumberFormat="1" applyFont="1" applyBorder="1" applyAlignment="1">
      <alignment horizontal="center" vertical="center"/>
    </xf>
    <xf numFmtId="177" fontId="3" fillId="6" borderId="1" xfId="0" applyNumberFormat="1" applyFont="1" applyFill="1" applyBorder="1" applyAlignment="1">
      <alignment horizontal="center" vertical="center"/>
    </xf>
    <xf numFmtId="178" fontId="13" fillId="6" borderId="1" xfId="0" applyNumberFormat="1" applyFont="1" applyFill="1" applyBorder="1" applyAlignment="1">
      <alignment horizontal="center" vertical="center"/>
    </xf>
    <xf numFmtId="177" fontId="1" fillId="6" borderId="1" xfId="0" applyNumberFormat="1" applyFont="1" applyFill="1" applyBorder="1" applyAlignment="1">
      <alignment horizontal="center" vertical="center"/>
    </xf>
    <xf numFmtId="177" fontId="3" fillId="6" borderId="2" xfId="0" applyNumberFormat="1" applyFont="1" applyFill="1" applyBorder="1" applyAlignment="1">
      <alignment horizontal="center" vertical="center"/>
    </xf>
    <xf numFmtId="178" fontId="13" fillId="6" borderId="2" xfId="0" applyNumberFormat="1" applyFont="1" applyFill="1" applyBorder="1" applyAlignment="1">
      <alignment horizontal="center" vertical="center"/>
    </xf>
    <xf numFmtId="177" fontId="1" fillId="6" borderId="2" xfId="0" applyNumberFormat="1" applyFont="1" applyFill="1" applyBorder="1" applyAlignment="1">
      <alignment horizontal="center" vertical="center"/>
    </xf>
    <xf numFmtId="177" fontId="7" fillId="37" borderId="1" xfId="0" applyNumberFormat="1" applyFont="1" applyFill="1" applyBorder="1" applyAlignment="1">
      <alignment horizontal="center" vertical="center"/>
    </xf>
    <xf numFmtId="177" fontId="1" fillId="37" borderId="1" xfId="0" applyNumberFormat="1" applyFont="1" applyFill="1" applyBorder="1" applyAlignment="1">
      <alignment horizontal="center" vertical="center"/>
    </xf>
    <xf numFmtId="178" fontId="13" fillId="37" borderId="1" xfId="0" applyNumberFormat="1" applyFont="1" applyFill="1" applyBorder="1" applyAlignment="1">
      <alignment horizontal="center" vertical="center"/>
    </xf>
    <xf numFmtId="178" fontId="13" fillId="20" borderId="1" xfId="0" applyNumberFormat="1" applyFont="1" applyFill="1" applyBorder="1" applyAlignment="1">
      <alignment horizontal="center" vertical="center"/>
    </xf>
    <xf numFmtId="177" fontId="1" fillId="20" borderId="1" xfId="0" applyNumberFormat="1" applyFont="1" applyFill="1" applyBorder="1" applyAlignment="1">
      <alignment horizontal="center" vertical="center"/>
    </xf>
    <xf numFmtId="178" fontId="13" fillId="20" borderId="2" xfId="0" applyNumberFormat="1" applyFont="1" applyFill="1" applyBorder="1" applyAlignment="1">
      <alignment horizontal="center" vertical="center"/>
    </xf>
    <xf numFmtId="177" fontId="1" fillId="20" borderId="2" xfId="0" applyNumberFormat="1" applyFont="1" applyFill="1" applyBorder="1" applyAlignment="1">
      <alignment horizontal="center" vertical="center"/>
    </xf>
    <xf numFmtId="178" fontId="13" fillId="36" borderId="1" xfId="0" applyNumberFormat="1" applyFont="1" applyFill="1" applyBorder="1" applyAlignment="1">
      <alignment horizontal="center" vertical="center"/>
    </xf>
    <xf numFmtId="177" fontId="1" fillId="36" borderId="1" xfId="0" applyNumberFormat="1" applyFont="1" applyFill="1" applyBorder="1" applyAlignment="1">
      <alignment horizontal="center" vertical="center"/>
    </xf>
    <xf numFmtId="0" fontId="1" fillId="34" borderId="1" xfId="0" applyFont="1" applyFill="1" applyBorder="1">
      <alignment vertical="center"/>
    </xf>
    <xf numFmtId="0" fontId="1" fillId="8" borderId="1" xfId="0" applyFont="1" applyFill="1" applyBorder="1">
      <alignment vertical="center"/>
    </xf>
    <xf numFmtId="0" fontId="1" fillId="35" borderId="1" xfId="0" applyFont="1" applyFill="1" applyBorder="1">
      <alignment vertical="center"/>
    </xf>
    <xf numFmtId="0" fontId="1" fillId="22" borderId="1" xfId="0" applyFont="1" applyFill="1" applyBorder="1">
      <alignment vertical="center"/>
    </xf>
    <xf numFmtId="0" fontId="1" fillId="36" borderId="1" xfId="0" applyFont="1" applyFill="1" applyBorder="1">
      <alignment vertical="center"/>
    </xf>
    <xf numFmtId="0" fontId="1" fillId="6" borderId="1" xfId="0" applyFont="1" applyFill="1" applyBorder="1">
      <alignment vertical="center"/>
    </xf>
    <xf numFmtId="0" fontId="1" fillId="6" borderId="2" xfId="0" applyFont="1" applyFill="1" applyBorder="1">
      <alignment vertical="center"/>
    </xf>
    <xf numFmtId="0" fontId="1" fillId="37" borderId="1" xfId="0" applyFont="1" applyFill="1" applyBorder="1">
      <alignment vertical="center"/>
    </xf>
    <xf numFmtId="0" fontId="1" fillId="20" borderId="1" xfId="0" applyFont="1" applyFill="1" applyBorder="1">
      <alignment vertical="center"/>
    </xf>
    <xf numFmtId="0" fontId="1" fillId="20" borderId="2" xfId="0" applyFont="1" applyFill="1" applyBorder="1">
      <alignment vertical="center"/>
    </xf>
    <xf numFmtId="0" fontId="7" fillId="36" borderId="1" xfId="0" applyFont="1" applyFill="1" applyBorder="1">
      <alignment vertical="center"/>
    </xf>
    <xf numFmtId="177" fontId="7" fillId="36" borderId="1" xfId="0" applyNumberFormat="1" applyFont="1" applyFill="1" applyBorder="1" applyAlignment="1">
      <alignment horizontal="center" vertical="center"/>
    </xf>
    <xf numFmtId="0" fontId="1" fillId="34" borderId="1" xfId="0" applyFont="1" applyFill="1" applyBorder="1" applyAlignment="1">
      <alignment horizontal="left" vertical="center" wrapText="1"/>
    </xf>
    <xf numFmtId="0" fontId="1" fillId="8" borderId="1" xfId="0" applyFont="1" applyFill="1" applyBorder="1" applyAlignment="1">
      <alignment horizontal="left" vertical="center" wrapText="1"/>
    </xf>
    <xf numFmtId="0" fontId="1" fillId="35" borderId="1" xfId="0" applyFont="1" applyFill="1" applyBorder="1" applyAlignment="1">
      <alignment horizontal="left" vertical="center" wrapText="1"/>
    </xf>
    <xf numFmtId="0" fontId="1" fillId="35" borderId="1" xfId="0" applyFont="1" applyFill="1" applyBorder="1" applyAlignment="1">
      <alignment horizontal="center" vertical="center"/>
    </xf>
    <xf numFmtId="0" fontId="1" fillId="22" borderId="1" xfId="0" applyFont="1" applyFill="1" applyBorder="1" applyAlignment="1">
      <alignment horizontal="left" vertical="center" wrapText="1"/>
    </xf>
    <xf numFmtId="0" fontId="1" fillId="36"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6" borderId="1" xfId="0" applyFont="1" applyFill="1" applyBorder="1" applyAlignment="1">
      <alignment horizontal="left" vertical="center" wrapText="1"/>
    </xf>
    <xf numFmtId="0" fontId="1" fillId="6" borderId="1" xfId="0" applyFont="1" applyFill="1" applyBorder="1" applyAlignment="1">
      <alignment horizontal="center" vertical="center"/>
    </xf>
    <xf numFmtId="0" fontId="1" fillId="6" borderId="2" xfId="0" applyFont="1" applyFill="1" applyBorder="1" applyAlignment="1">
      <alignment horizontal="left" vertical="center" wrapText="1"/>
    </xf>
    <xf numFmtId="0" fontId="1" fillId="6" borderId="2" xfId="0" applyFont="1" applyFill="1" applyBorder="1" applyAlignment="1">
      <alignment horizontal="center" vertical="center"/>
    </xf>
    <xf numFmtId="0" fontId="1" fillId="37" borderId="1" xfId="0" applyFont="1" applyFill="1" applyBorder="1" applyAlignment="1">
      <alignment horizontal="left" vertical="center" wrapText="1"/>
    </xf>
    <xf numFmtId="0" fontId="1" fillId="37" borderId="1" xfId="0" applyFont="1" applyFill="1" applyBorder="1" applyAlignment="1">
      <alignment horizontal="center" vertical="center"/>
    </xf>
    <xf numFmtId="0" fontId="1" fillId="20" borderId="1" xfId="0" applyFont="1" applyFill="1" applyBorder="1" applyAlignment="1">
      <alignment horizontal="left" vertical="center" wrapText="1"/>
    </xf>
    <xf numFmtId="0" fontId="1" fillId="20" borderId="1" xfId="0" applyFont="1" applyFill="1" applyBorder="1" applyAlignment="1">
      <alignment horizontal="center" vertical="center"/>
    </xf>
    <xf numFmtId="0" fontId="1" fillId="20" borderId="2" xfId="0" applyFont="1" applyFill="1" applyBorder="1" applyAlignment="1">
      <alignment horizontal="left" vertical="center" wrapText="1"/>
    </xf>
    <xf numFmtId="0" fontId="1" fillId="20" borderId="2" xfId="0" applyFont="1" applyFill="1" applyBorder="1" applyAlignment="1">
      <alignment horizontal="center" vertical="center"/>
    </xf>
    <xf numFmtId="0" fontId="1" fillId="6" borderId="10" xfId="0" applyFont="1" applyFill="1" applyBorder="1" applyAlignment="1">
      <alignment horizontal="center" vertical="center"/>
    </xf>
    <xf numFmtId="177" fontId="13" fillId="6" borderId="11" xfId="0" applyNumberFormat="1" applyFont="1" applyFill="1" applyBorder="1" applyAlignment="1">
      <alignment horizontal="center" vertical="center"/>
    </xf>
    <xf numFmtId="49" fontId="7"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177" fontId="13" fillId="4" borderId="10" xfId="0" applyNumberFormat="1" applyFont="1" applyFill="1" applyBorder="1" applyAlignment="1">
      <alignment horizontal="center" vertical="center"/>
    </xf>
    <xf numFmtId="49" fontId="7" fillId="4" borderId="10" xfId="0" applyNumberFormat="1" applyFont="1" applyFill="1" applyBorder="1" applyAlignment="1">
      <alignment horizontal="center" vertical="center" wrapText="1"/>
    </xf>
    <xf numFmtId="0" fontId="1" fillId="4" borderId="10" xfId="0" applyFont="1" applyFill="1" applyBorder="1" applyAlignment="1">
      <alignment horizontal="center" vertical="center" wrapText="1"/>
    </xf>
    <xf numFmtId="177" fontId="13" fillId="4" borderId="11" xfId="0" applyNumberFormat="1" applyFont="1" applyFill="1" applyBorder="1" applyAlignment="1">
      <alignment horizontal="center" vertical="center"/>
    </xf>
    <xf numFmtId="49" fontId="7" fillId="4" borderId="11" xfId="0" applyNumberFormat="1" applyFont="1" applyFill="1" applyBorder="1" applyAlignment="1">
      <alignment horizontal="center" vertical="center" wrapText="1"/>
    </xf>
    <xf numFmtId="0" fontId="1" fillId="4" borderId="11" xfId="0" applyFont="1" applyFill="1" applyBorder="1" applyAlignment="1">
      <alignment horizontal="center" vertical="center" wrapText="1"/>
    </xf>
    <xf numFmtId="0" fontId="7" fillId="22" borderId="2" xfId="0" applyFont="1" applyFill="1" applyBorder="1" applyAlignment="1">
      <alignment horizontal="center" vertical="center"/>
    </xf>
    <xf numFmtId="49" fontId="7" fillId="22" borderId="10" xfId="0" applyNumberFormat="1" applyFont="1" applyFill="1" applyBorder="1" applyAlignment="1">
      <alignment horizontal="center" vertical="center" wrapText="1"/>
    </xf>
    <xf numFmtId="0" fontId="7" fillId="22" borderId="10" xfId="0" applyFont="1" applyFill="1" applyBorder="1" applyAlignment="1">
      <alignment horizontal="center" vertical="center"/>
    </xf>
    <xf numFmtId="177" fontId="7" fillId="22" borderId="10" xfId="0" applyNumberFormat="1" applyFont="1" applyFill="1" applyBorder="1" applyAlignment="1">
      <alignment horizontal="center" vertical="center"/>
    </xf>
    <xf numFmtId="0" fontId="7" fillId="22" borderId="11" xfId="0" applyFont="1" applyFill="1" applyBorder="1" applyAlignment="1">
      <alignment horizontal="center" vertical="center"/>
    </xf>
    <xf numFmtId="49" fontId="7" fillId="36" borderId="10" xfId="0" applyNumberFormat="1" applyFont="1" applyFill="1" applyBorder="1" applyAlignment="1">
      <alignment horizontal="center" vertical="center" wrapText="1"/>
    </xf>
    <xf numFmtId="177" fontId="7" fillId="36" borderId="10" xfId="0" applyNumberFormat="1" applyFont="1" applyFill="1" applyBorder="1" applyAlignment="1">
      <alignment horizontal="center" vertical="center"/>
    </xf>
    <xf numFmtId="49" fontId="7" fillId="36" borderId="11" xfId="0" applyNumberFormat="1" applyFont="1" applyFill="1" applyBorder="1" applyAlignment="1">
      <alignment horizontal="center" vertical="center" wrapText="1"/>
    </xf>
    <xf numFmtId="177" fontId="13" fillId="8" borderId="2" xfId="0" applyNumberFormat="1" applyFont="1" applyFill="1" applyBorder="1" applyAlignment="1">
      <alignment horizontal="center" vertical="center"/>
    </xf>
    <xf numFmtId="49" fontId="7" fillId="8" borderId="2" xfId="0" applyNumberFormat="1" applyFont="1" applyFill="1" applyBorder="1" applyAlignment="1">
      <alignment horizontal="center" vertical="center" wrapText="1"/>
    </xf>
    <xf numFmtId="0" fontId="7" fillId="8" borderId="10" xfId="0" applyFont="1" applyFill="1" applyBorder="1" applyAlignment="1">
      <alignment horizontal="center" vertical="center"/>
    </xf>
    <xf numFmtId="177" fontId="13" fillId="8" borderId="10" xfId="0" applyNumberFormat="1" applyFont="1" applyFill="1" applyBorder="1" applyAlignment="1">
      <alignment horizontal="center" vertical="center"/>
    </xf>
    <xf numFmtId="49" fontId="7" fillId="8" borderId="10" xfId="0" applyNumberFormat="1" applyFont="1" applyFill="1" applyBorder="1" applyAlignment="1">
      <alignment horizontal="center" vertical="center" wrapText="1"/>
    </xf>
    <xf numFmtId="177" fontId="13" fillId="20" borderId="2" xfId="0" applyNumberFormat="1" applyFont="1" applyFill="1" applyBorder="1" applyAlignment="1">
      <alignment horizontal="center" vertical="center"/>
    </xf>
    <xf numFmtId="0" fontId="7" fillId="4" borderId="10" xfId="0" applyFont="1" applyFill="1" applyBorder="1" applyAlignment="1">
      <alignment horizontal="center" vertical="center" wrapText="1"/>
    </xf>
    <xf numFmtId="0" fontId="7" fillId="22" borderId="10" xfId="0" applyFont="1" applyFill="1" applyBorder="1" applyAlignment="1">
      <alignment horizontal="center" vertical="center" wrapText="1"/>
    </xf>
    <xf numFmtId="0" fontId="7" fillId="36" borderId="10" xfId="0" applyFont="1" applyFill="1" applyBorder="1" applyAlignment="1">
      <alignment horizontal="center" vertical="center" wrapText="1"/>
    </xf>
    <xf numFmtId="0" fontId="7" fillId="36" borderId="11" xfId="0" applyFont="1" applyFill="1" applyBorder="1" applyAlignment="1">
      <alignment horizontal="center" vertical="center" wrapText="1"/>
    </xf>
    <xf numFmtId="0" fontId="7" fillId="8" borderId="10" xfId="0" applyFont="1" applyFill="1" applyBorder="1" applyAlignment="1">
      <alignment horizontal="center" vertical="center" wrapText="1"/>
    </xf>
    <xf numFmtId="176" fontId="1" fillId="6" borderId="1" xfId="0" applyNumberFormat="1" applyFont="1" applyFill="1" applyBorder="1" applyAlignment="1">
      <alignment horizontal="center" vertical="center"/>
    </xf>
    <xf numFmtId="176" fontId="1" fillId="4" borderId="2" xfId="0" applyNumberFormat="1" applyFont="1" applyFill="1" applyBorder="1" applyAlignment="1">
      <alignment horizontal="center" vertical="center"/>
    </xf>
    <xf numFmtId="0" fontId="7" fillId="4" borderId="2" xfId="0" applyFont="1" applyFill="1" applyBorder="1" applyAlignment="1">
      <alignment horizontal="center" vertical="center"/>
    </xf>
    <xf numFmtId="176" fontId="1" fillId="4" borderId="10" xfId="0" applyNumberFormat="1" applyFont="1" applyFill="1" applyBorder="1" applyAlignment="1">
      <alignment horizontal="center" vertical="center"/>
    </xf>
    <xf numFmtId="0" fontId="7" fillId="4" borderId="10" xfId="0" applyFont="1" applyFill="1" applyBorder="1" applyAlignment="1">
      <alignment horizontal="center" vertical="center"/>
    </xf>
    <xf numFmtId="176" fontId="1" fillId="4" borderId="11" xfId="0" applyNumberFormat="1" applyFont="1" applyFill="1" applyBorder="1" applyAlignment="1">
      <alignment horizontal="center" vertical="center"/>
    </xf>
    <xf numFmtId="0" fontId="7" fillId="4" borderId="11" xfId="0" applyFont="1" applyFill="1" applyBorder="1" applyAlignment="1">
      <alignment horizontal="center" vertical="center"/>
    </xf>
    <xf numFmtId="0" fontId="7" fillId="36" borderId="10" xfId="0" applyFont="1" applyFill="1" applyBorder="1" applyAlignment="1">
      <alignment horizontal="center" vertical="center"/>
    </xf>
    <xf numFmtId="176" fontId="3" fillId="36" borderId="10" xfId="0" applyNumberFormat="1" applyFont="1" applyFill="1" applyBorder="1" applyAlignment="1">
      <alignment horizontal="center" vertical="center"/>
    </xf>
    <xf numFmtId="0" fontId="7" fillId="36" borderId="11" xfId="0" applyFont="1" applyFill="1" applyBorder="1" applyAlignment="1">
      <alignment horizontal="center" vertical="center"/>
    </xf>
    <xf numFmtId="176" fontId="1" fillId="8" borderId="2" xfId="0" applyNumberFormat="1" applyFont="1" applyFill="1" applyBorder="1" applyAlignment="1">
      <alignment horizontal="center" vertical="center"/>
    </xf>
    <xf numFmtId="176" fontId="1" fillId="8" borderId="10" xfId="0" applyNumberFormat="1" applyFont="1" applyFill="1" applyBorder="1" applyAlignment="1">
      <alignment horizontal="center" vertical="center"/>
    </xf>
    <xf numFmtId="10" fontId="13" fillId="36" borderId="2" xfId="0" applyNumberFormat="1" applyFont="1" applyFill="1" applyBorder="1" applyAlignment="1" applyProtection="1">
      <alignment horizontal="center" vertical="center" wrapText="1"/>
    </xf>
    <xf numFmtId="10" fontId="13" fillId="36" borderId="10" xfId="0" applyNumberFormat="1" applyFont="1" applyFill="1" applyBorder="1" applyAlignment="1" applyProtection="1">
      <alignment horizontal="center" vertical="center" wrapText="1"/>
    </xf>
    <xf numFmtId="10" fontId="13" fillId="36" borderId="11" xfId="0" applyNumberFormat="1" applyFont="1" applyFill="1" applyBorder="1" applyAlignment="1" applyProtection="1">
      <alignment horizontal="center" vertical="center" wrapText="1"/>
    </xf>
    <xf numFmtId="10" fontId="13" fillId="4" borderId="1" xfId="0" applyNumberFormat="1" applyFont="1" applyFill="1" applyBorder="1" applyAlignment="1" applyProtection="1">
      <alignment horizontal="center" vertical="center" wrapText="1"/>
    </xf>
    <xf numFmtId="176" fontId="13" fillId="4" borderId="1" xfId="0" applyNumberFormat="1" applyFont="1" applyFill="1" applyBorder="1" applyAlignment="1">
      <alignment horizontal="center" vertical="center"/>
    </xf>
    <xf numFmtId="0" fontId="7" fillId="22" borderId="2" xfId="0" applyFont="1" applyFill="1" applyBorder="1" applyAlignment="1">
      <alignment horizontal="center" vertical="center" wrapText="1"/>
    </xf>
    <xf numFmtId="10" fontId="13" fillId="22" borderId="2" xfId="0" applyNumberFormat="1" applyFont="1" applyFill="1" applyBorder="1" applyAlignment="1" applyProtection="1">
      <alignment horizontal="center" vertical="center" wrapText="1"/>
    </xf>
    <xf numFmtId="176" fontId="13" fillId="22" borderId="2" xfId="0" applyNumberFormat="1" applyFont="1" applyFill="1" applyBorder="1" applyAlignment="1">
      <alignment horizontal="center" vertical="center"/>
    </xf>
    <xf numFmtId="0" fontId="7" fillId="22" borderId="11" xfId="0" applyFont="1" applyFill="1" applyBorder="1" applyAlignment="1">
      <alignment horizontal="left" vertical="center" wrapText="1"/>
    </xf>
    <xf numFmtId="10" fontId="13" fillId="22" borderId="11" xfId="0" applyNumberFormat="1" applyFont="1" applyFill="1" applyBorder="1" applyAlignment="1" applyProtection="1">
      <alignment horizontal="center" vertical="center" wrapText="1"/>
    </xf>
    <xf numFmtId="176" fontId="13" fillId="22" borderId="11" xfId="0" applyNumberFormat="1" applyFont="1" applyFill="1" applyBorder="1" applyAlignment="1">
      <alignment horizontal="center" vertical="center"/>
    </xf>
    <xf numFmtId="10" fontId="7" fillId="22" borderId="1" xfId="0" applyNumberFormat="1" applyFont="1" applyFill="1" applyBorder="1" applyAlignment="1" applyProtection="1">
      <alignment horizontal="center" vertical="center" wrapText="1"/>
    </xf>
    <xf numFmtId="176" fontId="7" fillId="22" borderId="1" xfId="0" applyNumberFormat="1" applyFont="1" applyFill="1" applyBorder="1" applyAlignment="1">
      <alignment horizontal="center" vertical="center"/>
    </xf>
    <xf numFmtId="10" fontId="7" fillId="36" borderId="1" xfId="0" applyNumberFormat="1" applyFont="1" applyFill="1" applyBorder="1" applyAlignment="1" applyProtection="1">
      <alignment horizontal="center" vertical="center" wrapText="1"/>
    </xf>
    <xf numFmtId="176" fontId="11" fillId="22" borderId="1" xfId="0" applyNumberFormat="1" applyFont="1" applyFill="1" applyBorder="1" applyAlignment="1">
      <alignment horizontal="center" vertical="center"/>
    </xf>
    <xf numFmtId="10" fontId="7" fillId="22" borderId="2" xfId="0" applyNumberFormat="1" applyFont="1" applyFill="1" applyBorder="1" applyAlignment="1" applyProtection="1">
      <alignment horizontal="center" vertical="center" wrapText="1"/>
    </xf>
    <xf numFmtId="10" fontId="7" fillId="22" borderId="11" xfId="0" applyNumberFormat="1" applyFont="1" applyFill="1" applyBorder="1" applyAlignment="1" applyProtection="1">
      <alignment horizontal="center" vertical="center" wrapText="1"/>
    </xf>
    <xf numFmtId="176" fontId="11" fillId="22" borderId="11" xfId="0" applyNumberFormat="1" applyFont="1" applyFill="1" applyBorder="1" applyAlignment="1">
      <alignment horizontal="center" vertical="center"/>
    </xf>
    <xf numFmtId="0" fontId="7" fillId="8" borderId="2" xfId="0" applyFont="1" applyFill="1" applyBorder="1" applyAlignment="1">
      <alignment horizontal="left" vertical="center" wrapText="1"/>
    </xf>
    <xf numFmtId="177" fontId="6" fillId="6" borderId="1" xfId="0" applyNumberFormat="1" applyFont="1" applyFill="1" applyBorder="1" applyAlignment="1">
      <alignment horizontal="center" vertical="center"/>
    </xf>
    <xf numFmtId="177" fontId="3" fillId="4" borderId="1" xfId="0" applyNumberFormat="1" applyFont="1" applyFill="1" applyBorder="1" applyAlignment="1">
      <alignment horizontal="center" vertical="center"/>
    </xf>
    <xf numFmtId="176" fontId="6" fillId="4" borderId="1" xfId="0" applyNumberFormat="1" applyFont="1" applyFill="1" applyBorder="1" applyAlignment="1">
      <alignment horizontal="center" vertical="center"/>
    </xf>
    <xf numFmtId="0" fontId="11" fillId="4" borderId="1" xfId="0" applyFont="1" applyFill="1" applyBorder="1" applyAlignment="1">
      <alignment horizontal="center" vertical="center"/>
    </xf>
    <xf numFmtId="177" fontId="6" fillId="4" borderId="1" xfId="0" applyNumberFormat="1" applyFont="1" applyFill="1" applyBorder="1" applyAlignment="1">
      <alignment horizontal="center" vertical="center"/>
    </xf>
    <xf numFmtId="178" fontId="1" fillId="4" borderId="1" xfId="0" applyNumberFormat="1" applyFont="1" applyFill="1" applyBorder="1" applyAlignment="1">
      <alignment horizontal="center" vertical="center"/>
    </xf>
    <xf numFmtId="176" fontId="18" fillId="22" borderId="1" xfId="0" applyNumberFormat="1" applyFont="1" applyFill="1" applyBorder="1" applyAlignment="1">
      <alignment horizontal="center" vertical="center"/>
    </xf>
    <xf numFmtId="178" fontId="1" fillId="22" borderId="1" xfId="0" applyNumberFormat="1" applyFont="1" applyFill="1" applyBorder="1" applyAlignment="1">
      <alignment horizontal="center" vertical="center"/>
    </xf>
    <xf numFmtId="176" fontId="3" fillId="22" borderId="2" xfId="0" applyNumberFormat="1" applyFont="1" applyFill="1" applyBorder="1" applyAlignment="1">
      <alignment horizontal="center" vertical="center"/>
    </xf>
    <xf numFmtId="177" fontId="3" fillId="22" borderId="2" xfId="0" applyNumberFormat="1" applyFont="1" applyFill="1" applyBorder="1" applyAlignment="1">
      <alignment horizontal="center" vertical="center"/>
    </xf>
    <xf numFmtId="178" fontId="1" fillId="22" borderId="2" xfId="0" applyNumberFormat="1" applyFont="1" applyFill="1" applyBorder="1" applyAlignment="1">
      <alignment horizontal="center" vertical="center"/>
    </xf>
    <xf numFmtId="176" fontId="3" fillId="22" borderId="11" xfId="0" applyNumberFormat="1" applyFont="1" applyFill="1" applyBorder="1" applyAlignment="1">
      <alignment horizontal="center" vertical="center"/>
    </xf>
    <xf numFmtId="177" fontId="3" fillId="22" borderId="11" xfId="0" applyNumberFormat="1" applyFont="1" applyFill="1" applyBorder="1" applyAlignment="1">
      <alignment horizontal="center" vertical="center"/>
    </xf>
    <xf numFmtId="178" fontId="1" fillId="22" borderId="11" xfId="0" applyNumberFormat="1" applyFont="1" applyFill="1" applyBorder="1" applyAlignment="1">
      <alignment horizontal="center" vertical="center"/>
    </xf>
    <xf numFmtId="178" fontId="6" fillId="36" borderId="1" xfId="0" applyNumberFormat="1" applyFont="1" applyFill="1" applyBorder="1" applyAlignment="1">
      <alignment horizontal="center" vertical="center"/>
    </xf>
    <xf numFmtId="176" fontId="6" fillId="22" borderId="1" xfId="0" applyNumberFormat="1" applyFont="1" applyFill="1" applyBorder="1" applyAlignment="1">
      <alignment horizontal="center" vertical="center"/>
    </xf>
    <xf numFmtId="0" fontId="11" fillId="22" borderId="1" xfId="0" applyFont="1" applyFill="1" applyBorder="1" applyAlignment="1">
      <alignment horizontal="center" vertical="center"/>
    </xf>
    <xf numFmtId="177" fontId="6" fillId="22" borderId="1" xfId="0" applyNumberFormat="1" applyFont="1" applyFill="1" applyBorder="1" applyAlignment="1">
      <alignment horizontal="center" vertical="center"/>
    </xf>
    <xf numFmtId="176" fontId="18" fillId="8" borderId="1" xfId="0" applyNumberFormat="1" applyFont="1" applyFill="1" applyBorder="1" applyAlignment="1">
      <alignment horizontal="center" vertical="center"/>
    </xf>
    <xf numFmtId="178" fontId="1" fillId="8" borderId="1" xfId="0" applyNumberFormat="1" applyFont="1" applyFill="1" applyBorder="1" applyAlignment="1">
      <alignment horizontal="center" vertical="center"/>
    </xf>
    <xf numFmtId="176" fontId="1" fillId="8" borderId="1" xfId="0" applyNumberFormat="1" applyFont="1" applyFill="1" applyBorder="1" applyAlignment="1">
      <alignment horizontal="center" vertical="center"/>
    </xf>
    <xf numFmtId="178" fontId="1" fillId="8" borderId="2" xfId="0" applyNumberFormat="1" applyFont="1" applyFill="1" applyBorder="1" applyAlignment="1">
      <alignment horizontal="center" vertical="center"/>
    </xf>
    <xf numFmtId="176" fontId="6" fillId="20" borderId="1" xfId="0" applyNumberFormat="1" applyFont="1" applyFill="1" applyBorder="1" applyAlignment="1">
      <alignment horizontal="center" vertical="center"/>
    </xf>
    <xf numFmtId="0" fontId="11" fillId="20" borderId="1" xfId="0" applyFont="1" applyFill="1" applyBorder="1" applyAlignment="1">
      <alignment horizontal="center" vertical="center"/>
    </xf>
    <xf numFmtId="177" fontId="6" fillId="20" borderId="1" xfId="0" applyNumberFormat="1" applyFont="1" applyFill="1" applyBorder="1" applyAlignment="1">
      <alignment horizontal="center" vertical="center"/>
    </xf>
    <xf numFmtId="178" fontId="13" fillId="4" borderId="1" xfId="0" applyNumberFormat="1" applyFont="1" applyFill="1" applyBorder="1" applyAlignment="1">
      <alignment horizontal="center" vertical="center"/>
    </xf>
    <xf numFmtId="177" fontId="1" fillId="4" borderId="1" xfId="0" applyNumberFormat="1" applyFont="1" applyFill="1" applyBorder="1" applyAlignment="1">
      <alignment horizontal="center" vertical="center"/>
    </xf>
    <xf numFmtId="176" fontId="3" fillId="4" borderId="1" xfId="0" applyNumberFormat="1" applyFont="1" applyFill="1" applyBorder="1" applyAlignment="1">
      <alignment horizontal="center" vertical="center"/>
    </xf>
    <xf numFmtId="178" fontId="13" fillId="22" borderId="1" xfId="0" applyNumberFormat="1" applyFont="1" applyFill="1" applyBorder="1" applyAlignment="1">
      <alignment horizontal="center" vertical="center"/>
    </xf>
    <xf numFmtId="177" fontId="1" fillId="22" borderId="1" xfId="0" applyNumberFormat="1" applyFont="1" applyFill="1" applyBorder="1" applyAlignment="1">
      <alignment horizontal="center" vertical="center"/>
    </xf>
    <xf numFmtId="178" fontId="11" fillId="36" borderId="1" xfId="0" applyNumberFormat="1" applyFont="1" applyFill="1" applyBorder="1" applyAlignment="1">
      <alignment horizontal="center" vertical="center"/>
    </xf>
    <xf numFmtId="178" fontId="13" fillId="8" borderId="1" xfId="0" applyNumberFormat="1" applyFont="1" applyFill="1" applyBorder="1" applyAlignment="1">
      <alignment horizontal="center" vertical="center"/>
    </xf>
    <xf numFmtId="177" fontId="1" fillId="8" borderId="1" xfId="0" applyNumberFormat="1" applyFont="1" applyFill="1" applyBorder="1" applyAlignment="1">
      <alignment horizontal="center" vertical="center"/>
    </xf>
    <xf numFmtId="178" fontId="13" fillId="8" borderId="2" xfId="0" applyNumberFormat="1" applyFont="1" applyFill="1" applyBorder="1" applyAlignment="1">
      <alignment horizontal="center" vertical="center"/>
    </xf>
    <xf numFmtId="177" fontId="1" fillId="8" borderId="2" xfId="0" applyNumberFormat="1" applyFont="1" applyFill="1" applyBorder="1" applyAlignment="1">
      <alignment horizontal="center" vertical="center"/>
    </xf>
    <xf numFmtId="177" fontId="11" fillId="22" borderId="1" xfId="0" applyNumberFormat="1" applyFont="1" applyFill="1" applyBorder="1" applyAlignment="1">
      <alignment horizontal="center" vertical="center"/>
    </xf>
    <xf numFmtId="0" fontId="3" fillId="22" borderId="1" xfId="0" applyFont="1" applyFill="1" applyBorder="1">
      <alignment vertical="center"/>
    </xf>
    <xf numFmtId="0" fontId="3" fillId="36" borderId="1" xfId="0" applyFont="1" applyFill="1" applyBorder="1">
      <alignment vertical="center"/>
    </xf>
    <xf numFmtId="0" fontId="1" fillId="8" borderId="2" xfId="0" applyFont="1" applyFill="1" applyBorder="1">
      <alignment vertical="center"/>
    </xf>
    <xf numFmtId="0" fontId="1" fillId="4" borderId="1" xfId="0" applyFont="1" applyFill="1" applyBorder="1" applyAlignment="1">
      <alignment horizontal="left" vertical="center" wrapText="1"/>
    </xf>
    <xf numFmtId="0" fontId="3" fillId="22" borderId="1" xfId="0" applyFont="1" applyFill="1" applyBorder="1" applyAlignment="1">
      <alignment horizontal="left" vertical="center" wrapText="1"/>
    </xf>
    <xf numFmtId="0" fontId="3" fillId="22" borderId="1" xfId="0" applyFont="1" applyFill="1" applyBorder="1" applyAlignment="1">
      <alignment horizontal="center" vertical="center"/>
    </xf>
    <xf numFmtId="0" fontId="3" fillId="36" borderId="1" xfId="0" applyFont="1" applyFill="1" applyBorder="1" applyAlignment="1">
      <alignment horizontal="left" vertical="center" wrapText="1"/>
    </xf>
    <xf numFmtId="0" fontId="1" fillId="8" borderId="2" xfId="0" applyFont="1" applyFill="1" applyBorder="1" applyAlignment="1">
      <alignment horizontal="left" vertical="center" wrapText="1"/>
    </xf>
    <xf numFmtId="0" fontId="1" fillId="22" borderId="2" xfId="0" applyFont="1" applyFill="1" applyBorder="1" applyAlignment="1">
      <alignment horizontal="center" vertical="center"/>
    </xf>
    <xf numFmtId="0" fontId="3" fillId="22" borderId="2" xfId="0" applyFont="1" applyFill="1" applyBorder="1" applyAlignment="1">
      <alignment horizontal="center" vertical="center"/>
    </xf>
    <xf numFmtId="0" fontId="1" fillId="36" borderId="2" xfId="0" applyFont="1" applyFill="1" applyBorder="1" applyAlignment="1">
      <alignment horizontal="center" vertical="center"/>
    </xf>
    <xf numFmtId="0" fontId="3" fillId="36" borderId="10" xfId="0" applyFont="1" applyFill="1" applyBorder="1" applyAlignment="1">
      <alignment horizontal="center" vertical="center"/>
    </xf>
    <xf numFmtId="0" fontId="1" fillId="8" borderId="10" xfId="0" applyFont="1" applyFill="1" applyBorder="1" applyAlignment="1">
      <alignment horizontal="center" vertical="center"/>
    </xf>
    <xf numFmtId="177" fontId="13" fillId="20" borderId="11" xfId="0" applyNumberFormat="1" applyFont="1" applyFill="1" applyBorder="1" applyAlignment="1">
      <alignment horizontal="center" vertical="center"/>
    </xf>
    <xf numFmtId="177" fontId="13" fillId="8" borderId="11" xfId="0" applyNumberFormat="1" applyFont="1" applyFill="1" applyBorder="1" applyAlignment="1">
      <alignment horizontal="center" vertical="center"/>
    </xf>
    <xf numFmtId="49" fontId="7" fillId="8" borderId="11" xfId="0" applyNumberFormat="1" applyFont="1" applyFill="1" applyBorder="1" applyAlignment="1">
      <alignment horizontal="center" vertical="center" wrapText="1"/>
    </xf>
    <xf numFmtId="177" fontId="13" fillId="5" borderId="10" xfId="0" applyNumberFormat="1" applyFont="1" applyFill="1" applyBorder="1" applyAlignment="1">
      <alignment horizontal="center" vertical="center"/>
    </xf>
    <xf numFmtId="49" fontId="7" fillId="5" borderId="10" xfId="0" applyNumberFormat="1" applyFont="1" applyFill="1" applyBorder="1" applyAlignment="1">
      <alignment horizontal="center" vertical="center" wrapText="1"/>
    </xf>
    <xf numFmtId="49" fontId="7" fillId="5" borderId="11" xfId="0" applyNumberFormat="1" applyFont="1" applyFill="1" applyBorder="1" applyAlignment="1">
      <alignment horizontal="center" vertical="center" wrapText="1"/>
    </xf>
    <xf numFmtId="0" fontId="7" fillId="12" borderId="1" xfId="0" applyFont="1" applyFill="1" applyBorder="1" applyAlignment="1">
      <alignment horizontal="center" vertical="center"/>
    </xf>
    <xf numFmtId="177" fontId="13" fillId="12" borderId="2" xfId="0" applyNumberFormat="1" applyFont="1" applyFill="1" applyBorder="1" applyAlignment="1">
      <alignment horizontal="center" vertical="center"/>
    </xf>
    <xf numFmtId="49" fontId="7" fillId="12" borderId="2" xfId="0" applyNumberFormat="1" applyFont="1" applyFill="1" applyBorder="1" applyAlignment="1">
      <alignment horizontal="center" vertical="center" wrapText="1"/>
    </xf>
    <xf numFmtId="177" fontId="13" fillId="12" borderId="10" xfId="0" applyNumberFormat="1" applyFont="1" applyFill="1" applyBorder="1" applyAlignment="1">
      <alignment horizontal="center" vertical="center"/>
    </xf>
    <xf numFmtId="49" fontId="7" fillId="12" borderId="10" xfId="0" applyNumberFormat="1" applyFont="1" applyFill="1" applyBorder="1" applyAlignment="1">
      <alignment horizontal="center" vertical="center" wrapText="1"/>
    </xf>
    <xf numFmtId="177" fontId="13" fillId="12" borderId="11" xfId="0" applyNumberFormat="1" applyFont="1" applyFill="1" applyBorder="1" applyAlignment="1">
      <alignment horizontal="center" vertical="center"/>
    </xf>
    <xf numFmtId="49" fontId="7" fillId="12" borderId="11" xfId="0" applyNumberFormat="1" applyFont="1" applyFill="1" applyBorder="1" applyAlignment="1">
      <alignment horizontal="center" vertical="center" wrapText="1"/>
    </xf>
    <xf numFmtId="177" fontId="13" fillId="21" borderId="2" xfId="0" applyNumberFormat="1" applyFont="1" applyFill="1" applyBorder="1" applyAlignment="1">
      <alignment horizontal="center" vertical="center"/>
    </xf>
    <xf numFmtId="177" fontId="13" fillId="21" borderId="10" xfId="0" applyNumberFormat="1" applyFont="1" applyFill="1" applyBorder="1" applyAlignment="1">
      <alignment horizontal="center" vertical="center"/>
    </xf>
    <xf numFmtId="49" fontId="7" fillId="21" borderId="10" xfId="0" applyNumberFormat="1" applyFont="1" applyFill="1" applyBorder="1" applyAlignment="1">
      <alignment horizontal="center" vertical="center" wrapText="1"/>
    </xf>
    <xf numFmtId="177" fontId="13" fillId="21" borderId="11" xfId="0" applyNumberFormat="1" applyFont="1" applyFill="1" applyBorder="1" applyAlignment="1">
      <alignment horizontal="center" vertical="center"/>
    </xf>
    <xf numFmtId="49" fontId="7" fillId="21" borderId="11" xfId="0" applyNumberFormat="1" applyFont="1" applyFill="1" applyBorder="1" applyAlignment="1">
      <alignment horizontal="center" vertical="center" wrapText="1"/>
    </xf>
    <xf numFmtId="49" fontId="7" fillId="22" borderId="2" xfId="0" applyNumberFormat="1" applyFont="1" applyFill="1" applyBorder="1" applyAlignment="1">
      <alignment horizontal="center" vertical="center" wrapText="1"/>
    </xf>
    <xf numFmtId="49" fontId="7" fillId="22" borderId="11" xfId="0" applyNumberFormat="1" applyFont="1" applyFill="1" applyBorder="1" applyAlignment="1">
      <alignment horizontal="center" vertical="center" wrapText="1"/>
    </xf>
    <xf numFmtId="0" fontId="7" fillId="39" borderId="1" xfId="0" applyFont="1" applyFill="1" applyBorder="1" applyAlignment="1">
      <alignment horizontal="center" vertical="center"/>
    </xf>
    <xf numFmtId="177" fontId="13" fillId="39" borderId="2" xfId="0" applyNumberFormat="1" applyFont="1" applyFill="1" applyBorder="1" applyAlignment="1">
      <alignment horizontal="center" vertical="center"/>
    </xf>
    <xf numFmtId="49" fontId="7" fillId="39" borderId="2" xfId="0" applyNumberFormat="1" applyFont="1" applyFill="1" applyBorder="1" applyAlignment="1">
      <alignment horizontal="center" vertical="center" wrapText="1"/>
    </xf>
    <xf numFmtId="177" fontId="13" fillId="39" borderId="10" xfId="0" applyNumberFormat="1" applyFont="1" applyFill="1" applyBorder="1" applyAlignment="1">
      <alignment horizontal="center" vertical="center"/>
    </xf>
    <xf numFmtId="49" fontId="7" fillId="39" borderId="10" xfId="0" applyNumberFormat="1" applyFont="1" applyFill="1" applyBorder="1" applyAlignment="1">
      <alignment horizontal="center" vertical="center" wrapText="1"/>
    </xf>
    <xf numFmtId="177" fontId="13" fillId="39" borderId="11" xfId="0" applyNumberFormat="1" applyFont="1" applyFill="1" applyBorder="1" applyAlignment="1">
      <alignment horizontal="center" vertical="center"/>
    </xf>
    <xf numFmtId="49" fontId="7" fillId="39" borderId="11" xfId="0" applyNumberFormat="1" applyFont="1" applyFill="1" applyBorder="1" applyAlignment="1">
      <alignment horizontal="center" vertical="center" wrapText="1"/>
    </xf>
    <xf numFmtId="0" fontId="7" fillId="5" borderId="11"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7" fillId="12" borderId="10" xfId="0" applyFont="1" applyFill="1" applyBorder="1" applyAlignment="1">
      <alignment horizontal="center" vertical="center" wrapText="1"/>
    </xf>
    <xf numFmtId="0" fontId="7" fillId="12" borderId="11" xfId="0" applyFont="1" applyFill="1" applyBorder="1" applyAlignment="1">
      <alignment horizontal="center" vertical="center" wrapText="1"/>
    </xf>
    <xf numFmtId="0" fontId="7" fillId="21" borderId="11" xfId="0" applyFont="1" applyFill="1" applyBorder="1" applyAlignment="1">
      <alignment horizontal="center" vertical="center" wrapText="1"/>
    </xf>
    <xf numFmtId="0" fontId="7" fillId="39" borderId="2" xfId="0" applyFont="1" applyFill="1" applyBorder="1" applyAlignment="1">
      <alignment horizontal="center" vertical="center" wrapText="1"/>
    </xf>
    <xf numFmtId="0" fontId="7" fillId="39" borderId="10" xfId="0" applyFont="1" applyFill="1" applyBorder="1" applyAlignment="1">
      <alignment horizontal="center" vertical="center" wrapText="1"/>
    </xf>
    <xf numFmtId="0" fontId="7" fillId="39" borderId="11" xfId="0" applyFont="1" applyFill="1" applyBorder="1" applyAlignment="1">
      <alignment horizontal="center" vertical="center" wrapText="1"/>
    </xf>
    <xf numFmtId="176" fontId="1" fillId="8" borderId="11" xfId="0" applyNumberFormat="1" applyFont="1" applyFill="1" applyBorder="1" applyAlignment="1">
      <alignment horizontal="center" vertical="center"/>
    </xf>
    <xf numFmtId="176" fontId="1" fillId="6" borderId="11" xfId="0" applyNumberFormat="1" applyFont="1" applyFill="1" applyBorder="1" applyAlignment="1">
      <alignment horizontal="center" vertical="center"/>
    </xf>
    <xf numFmtId="176" fontId="1" fillId="5" borderId="2" xfId="0" applyNumberFormat="1" applyFont="1" applyFill="1" applyBorder="1" applyAlignment="1">
      <alignment horizontal="center" vertical="center"/>
    </xf>
    <xf numFmtId="176" fontId="1" fillId="5" borderId="10" xfId="0" applyNumberFormat="1" applyFont="1" applyFill="1" applyBorder="1" applyAlignment="1">
      <alignment horizontal="center" vertical="center"/>
    </xf>
    <xf numFmtId="0" fontId="7" fillId="5" borderId="10" xfId="0" applyFont="1" applyFill="1" applyBorder="1" applyAlignment="1">
      <alignment horizontal="center" vertical="center"/>
    </xf>
    <xf numFmtId="176" fontId="1" fillId="5" borderId="11" xfId="0" applyNumberFormat="1" applyFont="1" applyFill="1" applyBorder="1" applyAlignment="1">
      <alignment horizontal="center" vertical="center"/>
    </xf>
    <xf numFmtId="0" fontId="7" fillId="5" borderId="11" xfId="0" applyFont="1" applyFill="1" applyBorder="1" applyAlignment="1">
      <alignment horizontal="center" vertical="center"/>
    </xf>
    <xf numFmtId="176" fontId="1" fillId="12" borderId="2" xfId="0" applyNumberFormat="1" applyFont="1" applyFill="1" applyBorder="1" applyAlignment="1">
      <alignment horizontal="center" vertical="center"/>
    </xf>
    <xf numFmtId="0" fontId="7" fillId="12" borderId="2" xfId="0" applyFont="1" applyFill="1" applyBorder="1" applyAlignment="1">
      <alignment horizontal="center" vertical="center"/>
    </xf>
    <xf numFmtId="176" fontId="1" fillId="12" borderId="10" xfId="0" applyNumberFormat="1" applyFont="1" applyFill="1" applyBorder="1" applyAlignment="1">
      <alignment horizontal="center" vertical="center"/>
    </xf>
    <xf numFmtId="0" fontId="7" fillId="12" borderId="10" xfId="0" applyFont="1" applyFill="1" applyBorder="1" applyAlignment="1">
      <alignment horizontal="center" vertical="center"/>
    </xf>
    <xf numFmtId="176" fontId="1" fillId="12" borderId="11" xfId="0" applyNumberFormat="1" applyFont="1" applyFill="1" applyBorder="1" applyAlignment="1">
      <alignment horizontal="center" vertical="center"/>
    </xf>
    <xf numFmtId="0" fontId="7" fillId="12" borderId="11" xfId="0" applyFont="1" applyFill="1" applyBorder="1" applyAlignment="1">
      <alignment horizontal="center" vertical="center"/>
    </xf>
    <xf numFmtId="176" fontId="1" fillId="21" borderId="2" xfId="0" applyNumberFormat="1" applyFont="1" applyFill="1" applyBorder="1" applyAlignment="1">
      <alignment horizontal="center" vertical="center"/>
    </xf>
    <xf numFmtId="176" fontId="1" fillId="21" borderId="10" xfId="0" applyNumberFormat="1" applyFont="1" applyFill="1" applyBorder="1" applyAlignment="1">
      <alignment horizontal="center" vertical="center"/>
    </xf>
    <xf numFmtId="176" fontId="1" fillId="21" borderId="11" xfId="0" applyNumberFormat="1" applyFont="1" applyFill="1" applyBorder="1" applyAlignment="1">
      <alignment horizontal="center" vertical="center"/>
    </xf>
    <xf numFmtId="176" fontId="1" fillId="22" borderId="2" xfId="0" applyNumberFormat="1" applyFont="1" applyFill="1" applyBorder="1" applyAlignment="1">
      <alignment horizontal="center" vertical="center"/>
    </xf>
    <xf numFmtId="176" fontId="1" fillId="22" borderId="10" xfId="0" applyNumberFormat="1" applyFont="1" applyFill="1" applyBorder="1" applyAlignment="1">
      <alignment horizontal="center" vertical="center"/>
    </xf>
    <xf numFmtId="176" fontId="1" fillId="22" borderId="11" xfId="0" applyNumberFormat="1" applyFont="1" applyFill="1" applyBorder="1" applyAlignment="1">
      <alignment horizontal="center" vertical="center"/>
    </xf>
    <xf numFmtId="176" fontId="1" fillId="39" borderId="2" xfId="0" applyNumberFormat="1" applyFont="1" applyFill="1" applyBorder="1" applyAlignment="1">
      <alignment horizontal="center" vertical="center"/>
    </xf>
    <xf numFmtId="0" fontId="7" fillId="39" borderId="2" xfId="0" applyFont="1" applyFill="1" applyBorder="1" applyAlignment="1">
      <alignment horizontal="center" vertical="center"/>
    </xf>
    <xf numFmtId="176" fontId="1" fillId="39" borderId="10" xfId="0" applyNumberFormat="1" applyFont="1" applyFill="1" applyBorder="1" applyAlignment="1">
      <alignment horizontal="center" vertical="center"/>
    </xf>
    <xf numFmtId="0" fontId="7" fillId="39" borderId="10" xfId="0" applyFont="1" applyFill="1" applyBorder="1" applyAlignment="1">
      <alignment horizontal="center" vertical="center"/>
    </xf>
    <xf numFmtId="176" fontId="1" fillId="39" borderId="11" xfId="0" applyNumberFormat="1" applyFont="1" applyFill="1" applyBorder="1" applyAlignment="1">
      <alignment horizontal="center" vertical="center"/>
    </xf>
    <xf numFmtId="0" fontId="7" fillId="39" borderId="11" xfId="0" applyFont="1" applyFill="1" applyBorder="1" applyAlignment="1">
      <alignment horizontal="center" vertical="center"/>
    </xf>
    <xf numFmtId="10" fontId="13" fillId="6" borderId="11" xfId="0" applyNumberFormat="1" applyFont="1" applyFill="1" applyBorder="1" applyAlignment="1" applyProtection="1">
      <alignment horizontal="center" vertical="center" wrapText="1"/>
    </xf>
    <xf numFmtId="176" fontId="11" fillId="8" borderId="1" xfId="0" applyNumberFormat="1" applyFont="1" applyFill="1" applyBorder="1" applyAlignment="1">
      <alignment horizontal="center" vertical="center"/>
    </xf>
    <xf numFmtId="10" fontId="7" fillId="6" borderId="1" xfId="0" applyNumberFormat="1" applyFont="1" applyFill="1" applyBorder="1" applyAlignment="1" applyProtection="1">
      <alignment horizontal="center" vertical="center" wrapText="1"/>
    </xf>
    <xf numFmtId="10" fontId="7" fillId="5" borderId="1" xfId="0" applyNumberFormat="1" applyFont="1" applyFill="1" applyBorder="1" applyAlignment="1" applyProtection="1">
      <alignment horizontal="center" vertical="center" wrapText="1"/>
    </xf>
    <xf numFmtId="10" fontId="13" fillId="5" borderId="2" xfId="0" applyNumberFormat="1" applyFont="1" applyFill="1" applyBorder="1" applyAlignment="1" applyProtection="1">
      <alignment horizontal="center" vertical="center" wrapText="1"/>
    </xf>
    <xf numFmtId="176" fontId="13" fillId="5" borderId="2" xfId="0" applyNumberFormat="1" applyFont="1" applyFill="1" applyBorder="1" applyAlignment="1">
      <alignment horizontal="center" vertical="center"/>
    </xf>
    <xf numFmtId="10" fontId="13" fillId="5" borderId="11" xfId="0" applyNumberFormat="1" applyFont="1" applyFill="1" applyBorder="1" applyAlignment="1" applyProtection="1">
      <alignment horizontal="center" vertical="center" wrapText="1"/>
    </xf>
    <xf numFmtId="176" fontId="13" fillId="5" borderId="11" xfId="0" applyNumberFormat="1" applyFont="1" applyFill="1" applyBorder="1" applyAlignment="1">
      <alignment horizontal="center" vertical="center"/>
    </xf>
    <xf numFmtId="176" fontId="13" fillId="5" borderId="1" xfId="0" applyNumberFormat="1" applyFont="1" applyFill="1" applyBorder="1" applyAlignment="1">
      <alignment horizontal="center" vertical="center"/>
    </xf>
    <xf numFmtId="0" fontId="7" fillId="12" borderId="1" xfId="0" applyFont="1" applyFill="1" applyBorder="1" applyAlignment="1">
      <alignment horizontal="center" vertical="center" wrapText="1"/>
    </xf>
    <xf numFmtId="0" fontId="7" fillId="12" borderId="1" xfId="0" applyFont="1" applyFill="1" applyBorder="1" applyAlignment="1">
      <alignment horizontal="left" vertical="center" wrapText="1"/>
    </xf>
    <xf numFmtId="10" fontId="13" fillId="12" borderId="1" xfId="0" applyNumberFormat="1" applyFont="1" applyFill="1" applyBorder="1" applyAlignment="1" applyProtection="1">
      <alignment horizontal="center" vertical="center" wrapText="1"/>
    </xf>
    <xf numFmtId="176" fontId="13" fillId="12" borderId="1" xfId="0" applyNumberFormat="1" applyFont="1" applyFill="1" applyBorder="1" applyAlignment="1">
      <alignment horizontal="center" vertical="center"/>
    </xf>
    <xf numFmtId="10" fontId="13" fillId="21" borderId="2" xfId="0" applyNumberFormat="1" applyFont="1" applyFill="1" applyBorder="1" applyAlignment="1" applyProtection="1">
      <alignment horizontal="center" vertical="center" wrapText="1"/>
    </xf>
    <xf numFmtId="176" fontId="13" fillId="21" borderId="2" xfId="0" applyNumberFormat="1" applyFont="1" applyFill="1" applyBorder="1" applyAlignment="1">
      <alignment horizontal="center" vertical="center"/>
    </xf>
    <xf numFmtId="10" fontId="13" fillId="21" borderId="11" xfId="0" applyNumberFormat="1" applyFont="1" applyFill="1" applyBorder="1" applyAlignment="1" applyProtection="1">
      <alignment horizontal="center" vertical="center" wrapText="1"/>
    </xf>
    <xf numFmtId="176" fontId="13" fillId="21" borderId="11" xfId="0" applyNumberFormat="1" applyFont="1" applyFill="1" applyBorder="1" applyAlignment="1">
      <alignment horizontal="center" vertical="center"/>
    </xf>
    <xf numFmtId="10" fontId="13" fillId="21" borderId="10" xfId="0" applyNumberFormat="1" applyFont="1" applyFill="1" applyBorder="1" applyAlignment="1" applyProtection="1">
      <alignment horizontal="center" vertical="center" wrapText="1"/>
    </xf>
    <xf numFmtId="176" fontId="13" fillId="21" borderId="10" xfId="0" applyNumberFormat="1" applyFont="1" applyFill="1" applyBorder="1" applyAlignment="1">
      <alignment horizontal="center" vertical="center"/>
    </xf>
    <xf numFmtId="10" fontId="13" fillId="21" borderId="1" xfId="0" applyNumberFormat="1" applyFont="1" applyFill="1" applyBorder="1" applyAlignment="1" applyProtection="1">
      <alignment horizontal="center" vertical="center" wrapText="1"/>
    </xf>
    <xf numFmtId="176" fontId="13" fillId="21" borderId="1" xfId="0" applyNumberFormat="1" applyFont="1" applyFill="1" applyBorder="1" applyAlignment="1">
      <alignment horizontal="center" vertical="center"/>
    </xf>
    <xf numFmtId="0" fontId="7" fillId="39" borderId="1" xfId="0" applyFont="1" applyFill="1" applyBorder="1" applyAlignment="1">
      <alignment horizontal="center" vertical="center" wrapText="1"/>
    </xf>
    <xf numFmtId="0" fontId="7" fillId="39" borderId="1" xfId="0" applyFont="1" applyFill="1" applyBorder="1" applyAlignment="1">
      <alignment horizontal="left" vertical="center" wrapText="1"/>
    </xf>
    <xf numFmtId="10" fontId="7" fillId="39" borderId="1" xfId="0" applyNumberFormat="1" applyFont="1" applyFill="1" applyBorder="1" applyAlignment="1" applyProtection="1">
      <alignment horizontal="center" vertical="center" wrapText="1"/>
    </xf>
    <xf numFmtId="176" fontId="7" fillId="39" borderId="1" xfId="0" applyNumberFormat="1" applyFont="1" applyFill="1" applyBorder="1" applyAlignment="1">
      <alignment horizontal="center" vertical="center"/>
    </xf>
    <xf numFmtId="10" fontId="13" fillId="39" borderId="1" xfId="0" applyNumberFormat="1" applyFont="1" applyFill="1" applyBorder="1" applyAlignment="1" applyProtection="1">
      <alignment horizontal="center" vertical="center" wrapText="1"/>
    </xf>
    <xf numFmtId="176" fontId="13" fillId="39" borderId="1" xfId="0" applyNumberFormat="1" applyFont="1" applyFill="1" applyBorder="1" applyAlignment="1">
      <alignment horizontal="center" vertical="center"/>
    </xf>
    <xf numFmtId="10" fontId="7" fillId="6" borderId="2" xfId="0" applyNumberFormat="1" applyFont="1" applyFill="1" applyBorder="1" applyAlignment="1" applyProtection="1">
      <alignment horizontal="center" vertical="center" wrapText="1"/>
    </xf>
    <xf numFmtId="10" fontId="7" fillId="6" borderId="11" xfId="0" applyNumberFormat="1" applyFont="1" applyFill="1" applyBorder="1" applyAlignment="1" applyProtection="1">
      <alignment horizontal="center" vertical="center" wrapText="1"/>
    </xf>
    <xf numFmtId="178" fontId="3" fillId="6" borderId="1" xfId="0" applyNumberFormat="1" applyFont="1" applyFill="1" applyBorder="1" applyAlignment="1">
      <alignment horizontal="center" vertical="center"/>
    </xf>
    <xf numFmtId="176" fontId="3" fillId="5" borderId="1" xfId="0" applyNumberFormat="1" applyFont="1" applyFill="1" applyBorder="1" applyAlignment="1">
      <alignment horizontal="center" vertical="center"/>
    </xf>
    <xf numFmtId="177" fontId="3" fillId="5" borderId="1" xfId="0" applyNumberFormat="1" applyFont="1" applyFill="1" applyBorder="1" applyAlignment="1">
      <alignment horizontal="center" vertical="center"/>
    </xf>
    <xf numFmtId="178" fontId="3" fillId="5" borderId="1" xfId="0" applyNumberFormat="1" applyFont="1" applyFill="1" applyBorder="1" applyAlignment="1">
      <alignment horizontal="center" vertical="center"/>
    </xf>
    <xf numFmtId="176" fontId="6" fillId="5" borderId="1" xfId="0" applyNumberFormat="1" applyFont="1" applyFill="1" applyBorder="1" applyAlignment="1">
      <alignment horizontal="center" vertical="center"/>
    </xf>
    <xf numFmtId="177" fontId="6" fillId="5" borderId="1" xfId="0" applyNumberFormat="1" applyFont="1" applyFill="1" applyBorder="1" applyAlignment="1">
      <alignment horizontal="center" vertical="center"/>
    </xf>
    <xf numFmtId="178" fontId="1" fillId="5" borderId="1" xfId="0" applyNumberFormat="1" applyFont="1" applyFill="1" applyBorder="1" applyAlignment="1">
      <alignment horizontal="center" vertical="center"/>
    </xf>
    <xf numFmtId="176" fontId="3" fillId="12" borderId="1" xfId="0" applyNumberFormat="1" applyFont="1" applyFill="1" applyBorder="1" applyAlignment="1">
      <alignment horizontal="center" vertical="center"/>
    </xf>
    <xf numFmtId="177" fontId="3" fillId="12" borderId="1" xfId="0" applyNumberFormat="1" applyFont="1" applyFill="1" applyBorder="1" applyAlignment="1">
      <alignment horizontal="center" vertical="center"/>
    </xf>
    <xf numFmtId="178" fontId="3" fillId="12" borderId="1" xfId="0" applyNumberFormat="1" applyFont="1" applyFill="1" applyBorder="1" applyAlignment="1">
      <alignment horizontal="center" vertical="center"/>
    </xf>
    <xf numFmtId="178" fontId="1" fillId="12" borderId="1" xfId="0" applyNumberFormat="1" applyFont="1" applyFill="1" applyBorder="1" applyAlignment="1">
      <alignment horizontal="center" vertical="center"/>
    </xf>
    <xf numFmtId="176" fontId="3" fillId="21" borderId="1" xfId="0" applyNumberFormat="1" applyFont="1" applyFill="1" applyBorder="1" applyAlignment="1">
      <alignment horizontal="center" vertical="center"/>
    </xf>
    <xf numFmtId="177" fontId="3" fillId="21" borderId="1" xfId="0" applyNumberFormat="1" applyFont="1" applyFill="1" applyBorder="1" applyAlignment="1">
      <alignment horizontal="center" vertical="center"/>
    </xf>
    <xf numFmtId="176" fontId="6" fillId="21" borderId="1" xfId="0" applyNumberFormat="1" applyFont="1" applyFill="1" applyBorder="1" applyAlignment="1">
      <alignment horizontal="center" vertical="center"/>
    </xf>
    <xf numFmtId="0" fontId="11" fillId="21" borderId="1" xfId="0" applyFont="1" applyFill="1" applyBorder="1" applyAlignment="1">
      <alignment horizontal="center" vertical="center"/>
    </xf>
    <xf numFmtId="177" fontId="6" fillId="21" borderId="1" xfId="0" applyNumberFormat="1" applyFont="1" applyFill="1" applyBorder="1" applyAlignment="1">
      <alignment horizontal="center" vertical="center"/>
    </xf>
    <xf numFmtId="178" fontId="1" fillId="21" borderId="1" xfId="0" applyNumberFormat="1" applyFont="1" applyFill="1" applyBorder="1" applyAlignment="1">
      <alignment horizontal="center" vertical="center"/>
    </xf>
    <xf numFmtId="177" fontId="11" fillId="21" borderId="1" xfId="0" applyNumberFormat="1" applyFont="1" applyFill="1" applyBorder="1" applyAlignment="1">
      <alignment horizontal="center" vertical="center"/>
    </xf>
    <xf numFmtId="176" fontId="3" fillId="39" borderId="1" xfId="0" applyNumberFormat="1" applyFont="1" applyFill="1" applyBorder="1" applyAlignment="1">
      <alignment horizontal="center" vertical="center"/>
    </xf>
    <xf numFmtId="177" fontId="3" fillId="39" borderId="1" xfId="0" applyNumberFormat="1" applyFont="1" applyFill="1" applyBorder="1" applyAlignment="1">
      <alignment horizontal="center" vertical="center"/>
    </xf>
    <xf numFmtId="178" fontId="3" fillId="39" borderId="1" xfId="0" applyNumberFormat="1" applyFont="1" applyFill="1" applyBorder="1" applyAlignment="1">
      <alignment horizontal="center" vertical="center"/>
    </xf>
    <xf numFmtId="178" fontId="1" fillId="39" borderId="1" xfId="0" applyNumberFormat="1" applyFont="1" applyFill="1" applyBorder="1" applyAlignment="1">
      <alignment horizontal="center" vertical="center"/>
    </xf>
    <xf numFmtId="177" fontId="3" fillId="6" borderId="11" xfId="0" applyNumberFormat="1" applyFont="1" applyFill="1" applyBorder="1" applyAlignment="1">
      <alignment horizontal="center" vertical="center"/>
    </xf>
    <xf numFmtId="176" fontId="18" fillId="6" borderId="1" xfId="0" applyNumberFormat="1" applyFont="1" applyFill="1" applyBorder="1" applyAlignment="1">
      <alignment horizontal="center" vertical="center"/>
    </xf>
    <xf numFmtId="177" fontId="1" fillId="5" borderId="1" xfId="0" applyNumberFormat="1" applyFont="1" applyFill="1" applyBorder="1" applyAlignment="1">
      <alignment horizontal="center" vertical="center"/>
    </xf>
    <xf numFmtId="178" fontId="13" fillId="5" borderId="1" xfId="0" applyNumberFormat="1" applyFont="1" applyFill="1" applyBorder="1" applyAlignment="1">
      <alignment horizontal="center" vertical="center"/>
    </xf>
    <xf numFmtId="178" fontId="13" fillId="12" borderId="1" xfId="0" applyNumberFormat="1" applyFont="1" applyFill="1" applyBorder="1" applyAlignment="1">
      <alignment horizontal="center" vertical="center"/>
    </xf>
    <xf numFmtId="177" fontId="1" fillId="12" borderId="1" xfId="0" applyNumberFormat="1" applyFont="1" applyFill="1" applyBorder="1" applyAlignment="1">
      <alignment horizontal="center" vertical="center"/>
    </xf>
    <xf numFmtId="177" fontId="1" fillId="21" borderId="1" xfId="0" applyNumberFormat="1" applyFont="1" applyFill="1" applyBorder="1" applyAlignment="1">
      <alignment horizontal="center" vertical="center"/>
    </xf>
    <xf numFmtId="178" fontId="13" fillId="21" borderId="1" xfId="0" applyNumberFormat="1" applyFont="1" applyFill="1" applyBorder="1" applyAlignment="1">
      <alignment horizontal="center" vertical="center"/>
    </xf>
    <xf numFmtId="178" fontId="13" fillId="39" borderId="1" xfId="0" applyNumberFormat="1" applyFont="1" applyFill="1" applyBorder="1" applyAlignment="1">
      <alignment horizontal="center" vertical="center"/>
    </xf>
    <xf numFmtId="177" fontId="1" fillId="39" borderId="1" xfId="0" applyNumberFormat="1" applyFont="1" applyFill="1" applyBorder="1" applyAlignment="1">
      <alignment horizontal="center" vertical="center"/>
    </xf>
    <xf numFmtId="176" fontId="18" fillId="39" borderId="1" xfId="0" applyNumberFormat="1" applyFont="1" applyFill="1" applyBorder="1" applyAlignment="1">
      <alignment horizontal="center" vertical="center"/>
    </xf>
    <xf numFmtId="0" fontId="1" fillId="12" borderId="1" xfId="0" applyFont="1" applyFill="1" applyBorder="1">
      <alignment vertical="center"/>
    </xf>
    <xf numFmtId="0" fontId="1" fillId="21" borderId="1" xfId="0" applyFont="1" applyFill="1" applyBorder="1">
      <alignment vertical="center"/>
    </xf>
    <xf numFmtId="0" fontId="1" fillId="39" borderId="1" xfId="0" applyFont="1" applyFill="1" applyBorder="1">
      <alignment vertical="center"/>
    </xf>
    <xf numFmtId="0" fontId="3" fillId="6" borderId="1" xfId="0" applyFont="1" applyFill="1" applyBorder="1">
      <alignment vertical="center"/>
    </xf>
    <xf numFmtId="0" fontId="1" fillId="5" borderId="1" xfId="0" applyFont="1" applyFill="1" applyBorder="1" applyAlignment="1">
      <alignment horizontal="left" vertical="center" wrapText="1"/>
    </xf>
    <xf numFmtId="0" fontId="1" fillId="5" borderId="1" xfId="0" applyFont="1" applyFill="1" applyBorder="1" applyAlignment="1">
      <alignment horizontal="center" vertical="center"/>
    </xf>
    <xf numFmtId="0" fontId="1" fillId="12" borderId="1" xfId="0" applyFont="1" applyFill="1" applyBorder="1" applyAlignment="1">
      <alignment horizontal="left" vertical="center" wrapText="1"/>
    </xf>
    <xf numFmtId="0" fontId="1" fillId="12" borderId="1" xfId="0" applyFont="1" applyFill="1" applyBorder="1" applyAlignment="1">
      <alignment horizontal="center" vertical="center"/>
    </xf>
    <xf numFmtId="0" fontId="1" fillId="21" borderId="1" xfId="0" applyFont="1" applyFill="1" applyBorder="1" applyAlignment="1">
      <alignment horizontal="left" vertical="center" wrapText="1"/>
    </xf>
    <xf numFmtId="0" fontId="1" fillId="21" borderId="1" xfId="0" applyFont="1" applyFill="1" applyBorder="1" applyAlignment="1">
      <alignment horizontal="center" vertical="center"/>
    </xf>
    <xf numFmtId="0" fontId="1" fillId="39" borderId="1" xfId="0" applyFont="1" applyFill="1" applyBorder="1" applyAlignment="1">
      <alignment horizontal="left" vertical="center" wrapText="1"/>
    </xf>
    <xf numFmtId="0" fontId="1" fillId="39" borderId="1" xfId="0" applyFont="1" applyFill="1" applyBorder="1" applyAlignment="1">
      <alignment horizontal="center" vertical="center"/>
    </xf>
    <xf numFmtId="0" fontId="3" fillId="6" borderId="1" xfId="0" applyFont="1" applyFill="1" applyBorder="1" applyAlignment="1">
      <alignment horizontal="left" vertical="center" wrapText="1"/>
    </xf>
    <xf numFmtId="0" fontId="3" fillId="6" borderId="1" xfId="0" applyFont="1" applyFill="1" applyBorder="1" applyAlignment="1">
      <alignment horizontal="center" vertical="center"/>
    </xf>
    <xf numFmtId="49" fontId="7" fillId="2" borderId="11" xfId="0" applyNumberFormat="1" applyFont="1" applyFill="1" applyBorder="1" applyAlignment="1">
      <alignment horizontal="center" vertical="center" wrapText="1"/>
    </xf>
    <xf numFmtId="177" fontId="13" fillId="11" borderId="1" xfId="0" applyNumberFormat="1" applyFont="1" applyFill="1" applyBorder="1" applyAlignment="1">
      <alignment horizontal="center" vertical="center"/>
    </xf>
    <xf numFmtId="49" fontId="7" fillId="11" borderId="2" xfId="0" applyNumberFormat="1" applyFont="1" applyFill="1" applyBorder="1" applyAlignment="1">
      <alignment horizontal="center" vertical="center" wrapText="1"/>
    </xf>
    <xf numFmtId="49" fontId="7" fillId="11" borderId="10" xfId="0" applyNumberFormat="1" applyFont="1" applyFill="1" applyBorder="1" applyAlignment="1">
      <alignment horizontal="center" vertical="center" wrapText="1"/>
    </xf>
    <xf numFmtId="177" fontId="13" fillId="11" borderId="2" xfId="0" applyNumberFormat="1" applyFont="1" applyFill="1" applyBorder="1" applyAlignment="1">
      <alignment horizontal="center" vertical="center"/>
    </xf>
    <xf numFmtId="177" fontId="13" fillId="13" borderId="1" xfId="0" applyNumberFormat="1" applyFont="1" applyFill="1" applyBorder="1" applyAlignment="1">
      <alignment horizontal="center" vertical="center"/>
    </xf>
    <xf numFmtId="0" fontId="1" fillId="13" borderId="1" xfId="0" applyFont="1" applyFill="1" applyBorder="1" applyAlignment="1">
      <alignment horizontal="center" vertical="center" wrapText="1"/>
    </xf>
    <xf numFmtId="0" fontId="7" fillId="10" borderId="10" xfId="0" applyFont="1" applyFill="1" applyBorder="1" applyAlignment="1">
      <alignment horizontal="center" vertical="center"/>
    </xf>
    <xf numFmtId="177" fontId="13" fillId="10" borderId="10" xfId="0" applyNumberFormat="1" applyFont="1" applyFill="1" applyBorder="1" applyAlignment="1">
      <alignment horizontal="center" vertical="center"/>
    </xf>
    <xf numFmtId="49" fontId="7" fillId="10" borderId="10" xfId="0" applyNumberFormat="1" applyFont="1" applyFill="1" applyBorder="1" applyAlignment="1">
      <alignment horizontal="center" vertical="center" wrapText="1"/>
    </xf>
    <xf numFmtId="177" fontId="13" fillId="18" borderId="2" xfId="0" applyNumberFormat="1" applyFont="1" applyFill="1" applyBorder="1" applyAlignment="1">
      <alignment horizontal="center" vertical="center"/>
    </xf>
    <xf numFmtId="177" fontId="13" fillId="18" borderId="10" xfId="0" applyNumberFormat="1" applyFont="1" applyFill="1" applyBorder="1" applyAlignment="1">
      <alignment horizontal="center" vertical="center"/>
    </xf>
    <xf numFmtId="177" fontId="13" fillId="18" borderId="11" xfId="0" applyNumberFormat="1" applyFont="1" applyFill="1" applyBorder="1" applyAlignment="1">
      <alignment horizontal="center" vertical="center"/>
    </xf>
    <xf numFmtId="14" fontId="7" fillId="18" borderId="1" xfId="0" applyNumberFormat="1" applyFont="1" applyFill="1" applyBorder="1" applyAlignment="1">
      <alignment horizontal="center" vertical="center"/>
    </xf>
    <xf numFmtId="0" fontId="7" fillId="10" borderId="10" xfId="0" applyFont="1" applyFill="1" applyBorder="1" applyAlignment="1">
      <alignment horizontal="center" vertical="center" wrapText="1"/>
    </xf>
    <xf numFmtId="176" fontId="1" fillId="2" borderId="2" xfId="0" applyNumberFormat="1" applyFont="1" applyFill="1" applyBorder="1" applyAlignment="1">
      <alignment horizontal="center" vertical="center"/>
    </xf>
    <xf numFmtId="176" fontId="1" fillId="2" borderId="10" xfId="0" applyNumberFormat="1" applyFont="1" applyFill="1" applyBorder="1" applyAlignment="1">
      <alignment horizontal="center" vertical="center"/>
    </xf>
    <xf numFmtId="176" fontId="1" fillId="2" borderId="11" xfId="0" applyNumberFormat="1" applyFont="1" applyFill="1" applyBorder="1" applyAlignment="1">
      <alignment horizontal="center" vertical="center"/>
    </xf>
    <xf numFmtId="176" fontId="1" fillId="11" borderId="1" xfId="0" applyNumberFormat="1" applyFont="1" applyFill="1" applyBorder="1" applyAlignment="1">
      <alignment horizontal="center" vertical="center"/>
    </xf>
    <xf numFmtId="176" fontId="1" fillId="11" borderId="2" xfId="0" applyNumberFormat="1" applyFont="1" applyFill="1" applyBorder="1" applyAlignment="1">
      <alignment horizontal="center" vertical="center"/>
    </xf>
    <xf numFmtId="176" fontId="1" fillId="13" borderId="1" xfId="0" applyNumberFormat="1" applyFont="1" applyFill="1" applyBorder="1" applyAlignment="1">
      <alignment horizontal="center" vertical="center"/>
    </xf>
    <xf numFmtId="176" fontId="1" fillId="10" borderId="10" xfId="0" applyNumberFormat="1" applyFont="1" applyFill="1" applyBorder="1" applyAlignment="1">
      <alignment horizontal="center" vertical="center"/>
    </xf>
    <xf numFmtId="176" fontId="1" fillId="18" borderId="2" xfId="0" applyNumberFormat="1" applyFont="1" applyFill="1" applyBorder="1" applyAlignment="1">
      <alignment horizontal="center" vertical="center"/>
    </xf>
    <xf numFmtId="176" fontId="1" fillId="18" borderId="10" xfId="0" applyNumberFormat="1" applyFont="1" applyFill="1" applyBorder="1" applyAlignment="1">
      <alignment horizontal="center" vertical="center"/>
    </xf>
    <xf numFmtId="176" fontId="1" fillId="18" borderId="11" xfId="0" applyNumberFormat="1" applyFont="1" applyFill="1" applyBorder="1" applyAlignment="1">
      <alignment horizontal="center" vertical="center"/>
    </xf>
    <xf numFmtId="176" fontId="7" fillId="18" borderId="1" xfId="0" applyNumberFormat="1" applyFont="1" applyFill="1" applyBorder="1" applyAlignment="1">
      <alignment horizontal="center" vertical="center" wrapText="1"/>
    </xf>
    <xf numFmtId="0" fontId="7" fillId="2" borderId="1" xfId="0" applyFont="1" applyFill="1" applyBorder="1" applyAlignment="1">
      <alignment horizontal="left" vertical="center" wrapText="1"/>
    </xf>
    <xf numFmtId="176" fontId="13" fillId="2" borderId="1" xfId="0" applyNumberFormat="1" applyFont="1" applyFill="1" applyBorder="1" applyAlignment="1">
      <alignment horizontal="center" vertical="center"/>
    </xf>
    <xf numFmtId="10" fontId="13" fillId="2" borderId="2" xfId="0" applyNumberFormat="1" applyFont="1" applyFill="1" applyBorder="1" applyAlignment="1" applyProtection="1">
      <alignment horizontal="center" vertical="center" wrapText="1"/>
    </xf>
    <xf numFmtId="176" fontId="13" fillId="2" borderId="2" xfId="0" applyNumberFormat="1" applyFont="1" applyFill="1" applyBorder="1" applyAlignment="1">
      <alignment horizontal="center" vertical="center"/>
    </xf>
    <xf numFmtId="176" fontId="13" fillId="2" borderId="11" xfId="0" applyNumberFormat="1" applyFont="1" applyFill="1" applyBorder="1" applyAlignment="1">
      <alignment horizontal="center" vertical="center"/>
    </xf>
    <xf numFmtId="0" fontId="7" fillId="11" borderId="1" xfId="0" applyFont="1" applyFill="1" applyBorder="1" applyAlignment="1">
      <alignment horizontal="left" vertical="center" wrapText="1"/>
    </xf>
    <xf numFmtId="10" fontId="13" fillId="11" borderId="1" xfId="0" applyNumberFormat="1" applyFont="1" applyFill="1" applyBorder="1" applyAlignment="1" applyProtection="1">
      <alignment horizontal="center" vertical="center" wrapText="1"/>
    </xf>
    <xf numFmtId="176" fontId="13" fillId="11" borderId="1" xfId="0" applyNumberFormat="1" applyFont="1" applyFill="1" applyBorder="1" applyAlignment="1">
      <alignment horizontal="center" vertical="center"/>
    </xf>
    <xf numFmtId="0" fontId="7" fillId="11" borderId="2" xfId="0" applyFont="1" applyFill="1" applyBorder="1" applyAlignment="1">
      <alignment horizontal="left" vertical="center" wrapText="1"/>
    </xf>
    <xf numFmtId="10" fontId="13" fillId="11" borderId="2" xfId="0" applyNumberFormat="1" applyFont="1" applyFill="1" applyBorder="1" applyAlignment="1" applyProtection="1">
      <alignment horizontal="center" vertical="center" wrapText="1"/>
    </xf>
    <xf numFmtId="176" fontId="13" fillId="11" borderId="2" xfId="0" applyNumberFormat="1" applyFont="1" applyFill="1" applyBorder="1" applyAlignment="1">
      <alignment horizontal="center" vertical="center"/>
    </xf>
    <xf numFmtId="0" fontId="7" fillId="13" borderId="1" xfId="0" applyFont="1" applyFill="1" applyBorder="1" applyAlignment="1">
      <alignment horizontal="left" vertical="center" wrapText="1"/>
    </xf>
    <xf numFmtId="10" fontId="13" fillId="13" borderId="1" xfId="0" applyNumberFormat="1" applyFont="1" applyFill="1" applyBorder="1" applyAlignment="1" applyProtection="1">
      <alignment horizontal="center" vertical="center" wrapText="1"/>
    </xf>
    <xf numFmtId="176" fontId="13" fillId="13" borderId="1" xfId="0" applyNumberFormat="1" applyFont="1" applyFill="1" applyBorder="1" applyAlignment="1">
      <alignment horizontal="center" vertical="center"/>
    </xf>
    <xf numFmtId="176" fontId="7" fillId="13" borderId="1" xfId="0" applyNumberFormat="1" applyFont="1" applyFill="1" applyBorder="1" applyAlignment="1">
      <alignment horizontal="center" vertical="center"/>
    </xf>
    <xf numFmtId="0" fontId="7" fillId="10" borderId="11" xfId="0" applyFont="1" applyFill="1" applyBorder="1" applyAlignment="1">
      <alignment horizontal="left" vertical="center" wrapText="1"/>
    </xf>
    <xf numFmtId="10" fontId="13" fillId="10" borderId="11" xfId="0" applyNumberFormat="1" applyFont="1" applyFill="1" applyBorder="1" applyAlignment="1" applyProtection="1">
      <alignment horizontal="center" vertical="center" wrapText="1"/>
    </xf>
    <xf numFmtId="176" fontId="13" fillId="10" borderId="11" xfId="0" applyNumberFormat="1" applyFont="1" applyFill="1" applyBorder="1" applyAlignment="1">
      <alignment horizontal="center" vertical="center"/>
    </xf>
    <xf numFmtId="0" fontId="7" fillId="10" borderId="1" xfId="0" applyFont="1" applyFill="1" applyBorder="1" applyAlignment="1">
      <alignment horizontal="left" vertical="center" wrapText="1"/>
    </xf>
    <xf numFmtId="10" fontId="13" fillId="10" borderId="1" xfId="0" applyNumberFormat="1" applyFont="1" applyFill="1" applyBorder="1" applyAlignment="1" applyProtection="1">
      <alignment horizontal="center" vertical="center" wrapText="1"/>
    </xf>
    <xf numFmtId="176" fontId="13" fillId="10" borderId="1" xfId="0" applyNumberFormat="1" applyFont="1" applyFill="1" applyBorder="1" applyAlignment="1">
      <alignment horizontal="center" vertical="center"/>
    </xf>
    <xf numFmtId="0" fontId="7" fillId="10" borderId="2" xfId="0" applyFont="1" applyFill="1" applyBorder="1" applyAlignment="1">
      <alignment horizontal="left" vertical="center" wrapText="1"/>
    </xf>
    <xf numFmtId="10" fontId="13" fillId="10" borderId="2" xfId="0" applyNumberFormat="1" applyFont="1" applyFill="1" applyBorder="1" applyAlignment="1" applyProtection="1">
      <alignment horizontal="center" vertical="center" wrapText="1"/>
    </xf>
    <xf numFmtId="176" fontId="13" fillId="10" borderId="2" xfId="0" applyNumberFormat="1" applyFont="1" applyFill="1" applyBorder="1" applyAlignment="1">
      <alignment horizontal="center" vertical="center"/>
    </xf>
    <xf numFmtId="10" fontId="13" fillId="18" borderId="1" xfId="0" applyNumberFormat="1" applyFont="1" applyFill="1" applyBorder="1" applyAlignment="1" applyProtection="1">
      <alignment horizontal="center" vertical="center" wrapText="1"/>
    </xf>
    <xf numFmtId="176" fontId="13" fillId="18" borderId="1" xfId="0" applyNumberFormat="1" applyFont="1" applyFill="1" applyBorder="1" applyAlignment="1">
      <alignment horizontal="center" vertical="center"/>
    </xf>
    <xf numFmtId="0" fontId="7" fillId="21" borderId="1" xfId="0" applyFont="1" applyFill="1" applyBorder="1" applyAlignment="1">
      <alignment horizontal="left" vertical="center" wrapText="1"/>
    </xf>
    <xf numFmtId="178" fontId="3" fillId="2" borderId="1" xfId="0" applyNumberFormat="1" applyFont="1" applyFill="1" applyBorder="1" applyAlignment="1">
      <alignment horizontal="center" vertical="center"/>
    </xf>
    <xf numFmtId="178" fontId="1" fillId="2" borderId="1" xfId="0" applyNumberFormat="1" applyFont="1" applyFill="1" applyBorder="1" applyAlignment="1">
      <alignment horizontal="center" vertical="center"/>
    </xf>
    <xf numFmtId="177" fontId="3" fillId="11" borderId="1" xfId="0" applyNumberFormat="1" applyFont="1" applyFill="1" applyBorder="1" applyAlignment="1">
      <alignment horizontal="center" vertical="center"/>
    </xf>
    <xf numFmtId="177" fontId="6" fillId="11" borderId="1" xfId="0" applyNumberFormat="1" applyFont="1" applyFill="1" applyBorder="1" applyAlignment="1">
      <alignment horizontal="center" vertical="center"/>
    </xf>
    <xf numFmtId="178" fontId="1" fillId="11" borderId="1" xfId="0" applyNumberFormat="1" applyFont="1" applyFill="1" applyBorder="1" applyAlignment="1">
      <alignment horizontal="center" vertical="center"/>
    </xf>
    <xf numFmtId="177" fontId="3" fillId="11" borderId="2" xfId="0" applyNumberFormat="1" applyFont="1" applyFill="1" applyBorder="1" applyAlignment="1">
      <alignment horizontal="center" vertical="center"/>
    </xf>
    <xf numFmtId="178" fontId="1" fillId="11" borderId="2" xfId="0" applyNumberFormat="1" applyFont="1" applyFill="1" applyBorder="1" applyAlignment="1">
      <alignment horizontal="center" vertical="center"/>
    </xf>
    <xf numFmtId="177" fontId="3" fillId="13" borderId="1" xfId="0" applyNumberFormat="1" applyFont="1" applyFill="1" applyBorder="1" applyAlignment="1">
      <alignment horizontal="center" vertical="center"/>
    </xf>
    <xf numFmtId="178" fontId="3" fillId="13" borderId="1" xfId="0" applyNumberFormat="1" applyFont="1" applyFill="1" applyBorder="1" applyAlignment="1">
      <alignment horizontal="center" vertical="center"/>
    </xf>
    <xf numFmtId="178" fontId="1" fillId="13" borderId="1" xfId="0" applyNumberFormat="1" applyFont="1" applyFill="1" applyBorder="1" applyAlignment="1">
      <alignment horizontal="center" vertical="center"/>
    </xf>
    <xf numFmtId="176" fontId="3" fillId="10" borderId="11" xfId="0" applyNumberFormat="1" applyFont="1" applyFill="1" applyBorder="1" applyAlignment="1">
      <alignment horizontal="center" vertical="center"/>
    </xf>
    <xf numFmtId="0" fontId="7" fillId="10" borderId="11" xfId="0" applyFont="1" applyFill="1" applyBorder="1" applyAlignment="1">
      <alignment horizontal="center" vertical="center"/>
    </xf>
    <xf numFmtId="177" fontId="3" fillId="10" borderId="11" xfId="0" applyNumberFormat="1" applyFont="1" applyFill="1" applyBorder="1" applyAlignment="1">
      <alignment horizontal="center" vertical="center"/>
    </xf>
    <xf numFmtId="176" fontId="1" fillId="10" borderId="11" xfId="0" applyNumberFormat="1" applyFont="1" applyFill="1" applyBorder="1" applyAlignment="1">
      <alignment horizontal="center" vertical="center"/>
    </xf>
    <xf numFmtId="176" fontId="3" fillId="10" borderId="1" xfId="0" applyNumberFormat="1" applyFont="1" applyFill="1" applyBorder="1" applyAlignment="1">
      <alignment horizontal="center" vertical="center"/>
    </xf>
    <xf numFmtId="177" fontId="3" fillId="10" borderId="1" xfId="0" applyNumberFormat="1" applyFont="1" applyFill="1" applyBorder="1" applyAlignment="1">
      <alignment horizontal="center" vertical="center"/>
    </xf>
    <xf numFmtId="176" fontId="1" fillId="10" borderId="1" xfId="0" applyNumberFormat="1" applyFont="1" applyFill="1" applyBorder="1" applyAlignment="1">
      <alignment horizontal="center" vertical="center"/>
    </xf>
    <xf numFmtId="176" fontId="6" fillId="10" borderId="1" xfId="0" applyNumberFormat="1" applyFont="1" applyFill="1" applyBorder="1" applyAlignment="1">
      <alignment horizontal="center" vertical="center"/>
    </xf>
    <xf numFmtId="0" fontId="11" fillId="10" borderId="1" xfId="0" applyFont="1" applyFill="1" applyBorder="1" applyAlignment="1">
      <alignment horizontal="center" vertical="center"/>
    </xf>
    <xf numFmtId="177" fontId="6" fillId="10" borderId="1" xfId="0" applyNumberFormat="1" applyFont="1" applyFill="1" applyBorder="1" applyAlignment="1">
      <alignment horizontal="center" vertical="center"/>
    </xf>
    <xf numFmtId="178" fontId="1" fillId="10" borderId="1" xfId="0" applyNumberFormat="1" applyFont="1" applyFill="1" applyBorder="1" applyAlignment="1">
      <alignment horizontal="center" vertical="center"/>
    </xf>
    <xf numFmtId="176" fontId="3" fillId="10" borderId="2" xfId="0" applyNumberFormat="1" applyFont="1" applyFill="1" applyBorder="1" applyAlignment="1">
      <alignment horizontal="center" vertical="center"/>
    </xf>
    <xf numFmtId="177" fontId="3" fillId="10" borderId="2" xfId="0" applyNumberFormat="1" applyFont="1" applyFill="1" applyBorder="1" applyAlignment="1">
      <alignment horizontal="center" vertical="center"/>
    </xf>
    <xf numFmtId="178" fontId="1" fillId="10" borderId="2" xfId="0" applyNumberFormat="1" applyFont="1" applyFill="1" applyBorder="1" applyAlignment="1">
      <alignment horizontal="center" vertical="center"/>
    </xf>
    <xf numFmtId="177" fontId="3" fillId="18" borderId="1" xfId="0" applyNumberFormat="1" applyFont="1" applyFill="1" applyBorder="1" applyAlignment="1">
      <alignment horizontal="center" vertical="center"/>
    </xf>
    <xf numFmtId="176" fontId="1" fillId="18" borderId="1" xfId="0" applyNumberFormat="1" applyFont="1" applyFill="1" applyBorder="1" applyAlignment="1">
      <alignment horizontal="center" vertical="center"/>
    </xf>
    <xf numFmtId="178" fontId="1" fillId="18" borderId="1" xfId="0" applyNumberFormat="1" applyFont="1" applyFill="1" applyBorder="1" applyAlignment="1">
      <alignment horizontal="center" vertical="center"/>
    </xf>
    <xf numFmtId="176" fontId="1" fillId="21" borderId="1" xfId="0" applyNumberFormat="1" applyFont="1" applyFill="1" applyBorder="1" applyAlignment="1">
      <alignment horizontal="center" vertical="center"/>
    </xf>
    <xf numFmtId="176" fontId="3" fillId="18" borderId="11" xfId="0" applyNumberFormat="1" applyFont="1" applyFill="1" applyBorder="1" applyAlignment="1">
      <alignment horizontal="center" vertical="center"/>
    </xf>
    <xf numFmtId="177" fontId="3" fillId="18" borderId="11" xfId="0" applyNumberFormat="1" applyFont="1" applyFill="1" applyBorder="1" applyAlignment="1">
      <alignment horizontal="center" vertical="center"/>
    </xf>
    <xf numFmtId="176" fontId="6" fillId="18" borderId="11" xfId="0" applyNumberFormat="1" applyFont="1" applyFill="1" applyBorder="1" applyAlignment="1">
      <alignment horizontal="center" vertical="center"/>
    </xf>
    <xf numFmtId="0" fontId="11" fillId="18" borderId="11" xfId="0" applyFont="1" applyFill="1" applyBorder="1" applyAlignment="1">
      <alignment horizontal="center" vertical="center"/>
    </xf>
    <xf numFmtId="177" fontId="6" fillId="18" borderId="11" xfId="0" applyNumberFormat="1" applyFont="1" applyFill="1" applyBorder="1" applyAlignment="1">
      <alignment horizontal="center" vertical="center"/>
    </xf>
    <xf numFmtId="177" fontId="1" fillId="2" borderId="1" xfId="0" applyNumberFormat="1" applyFont="1" applyFill="1" applyBorder="1" applyAlignment="1">
      <alignment horizontal="center" vertical="center"/>
    </xf>
    <xf numFmtId="178" fontId="13" fillId="2" borderId="1" xfId="0" applyNumberFormat="1" applyFont="1" applyFill="1" applyBorder="1" applyAlignment="1">
      <alignment horizontal="center" vertical="center"/>
    </xf>
    <xf numFmtId="176" fontId="12" fillId="2" borderId="1" xfId="0" applyNumberFormat="1" applyFont="1" applyFill="1" applyBorder="1" applyAlignment="1">
      <alignment horizontal="center" vertical="center"/>
    </xf>
    <xf numFmtId="177" fontId="1" fillId="11" borderId="1" xfId="0" applyNumberFormat="1" applyFont="1" applyFill="1" applyBorder="1" applyAlignment="1">
      <alignment horizontal="center" vertical="center"/>
    </xf>
    <xf numFmtId="178" fontId="13" fillId="11" borderId="1" xfId="0" applyNumberFormat="1" applyFont="1" applyFill="1" applyBorder="1" applyAlignment="1">
      <alignment horizontal="center" vertical="center"/>
    </xf>
    <xf numFmtId="178" fontId="13" fillId="11" borderId="2" xfId="0" applyNumberFormat="1" applyFont="1" applyFill="1" applyBorder="1" applyAlignment="1">
      <alignment horizontal="center" vertical="center"/>
    </xf>
    <xf numFmtId="177" fontId="1" fillId="11" borderId="2" xfId="0" applyNumberFormat="1" applyFont="1" applyFill="1" applyBorder="1" applyAlignment="1">
      <alignment horizontal="center" vertical="center"/>
    </xf>
    <xf numFmtId="177" fontId="1" fillId="13" borderId="1" xfId="0" applyNumberFormat="1" applyFont="1" applyFill="1" applyBorder="1" applyAlignment="1">
      <alignment horizontal="center" vertical="center"/>
    </xf>
    <xf numFmtId="178" fontId="13" fillId="13" borderId="1" xfId="0" applyNumberFormat="1" applyFont="1" applyFill="1" applyBorder="1" applyAlignment="1">
      <alignment horizontal="center" vertical="center"/>
    </xf>
    <xf numFmtId="177" fontId="1" fillId="10" borderId="11" xfId="0" applyNumberFormat="1" applyFont="1" applyFill="1" applyBorder="1" applyAlignment="1">
      <alignment horizontal="center" vertical="center"/>
    </xf>
    <xf numFmtId="178" fontId="13" fillId="10" borderId="1" xfId="0" applyNumberFormat="1" applyFont="1" applyFill="1" applyBorder="1" applyAlignment="1">
      <alignment horizontal="center" vertical="center"/>
    </xf>
    <xf numFmtId="177" fontId="1" fillId="10" borderId="1" xfId="0" applyNumberFormat="1" applyFont="1" applyFill="1" applyBorder="1" applyAlignment="1">
      <alignment horizontal="center" vertical="center"/>
    </xf>
    <xf numFmtId="178" fontId="13" fillId="10" borderId="2" xfId="0" applyNumberFormat="1" applyFont="1" applyFill="1" applyBorder="1" applyAlignment="1">
      <alignment horizontal="center" vertical="center"/>
    </xf>
    <xf numFmtId="177" fontId="1" fillId="10" borderId="2" xfId="0" applyNumberFormat="1" applyFont="1" applyFill="1" applyBorder="1" applyAlignment="1">
      <alignment horizontal="center" vertical="center"/>
    </xf>
    <xf numFmtId="178" fontId="13" fillId="18" borderId="1" xfId="0" applyNumberFormat="1" applyFont="1" applyFill="1" applyBorder="1" applyAlignment="1">
      <alignment horizontal="center" vertical="center"/>
    </xf>
    <xf numFmtId="177" fontId="1" fillId="18" borderId="1" xfId="0" applyNumberFormat="1" applyFont="1" applyFill="1" applyBorder="1" applyAlignment="1">
      <alignment horizontal="center" vertical="center"/>
    </xf>
    <xf numFmtId="178" fontId="13" fillId="18" borderId="11" xfId="0" applyNumberFormat="1" applyFont="1" applyFill="1" applyBorder="1" applyAlignment="1">
      <alignment horizontal="center" vertical="center"/>
    </xf>
    <xf numFmtId="177" fontId="1" fillId="18" borderId="11" xfId="0" applyNumberFormat="1" applyFont="1" applyFill="1" applyBorder="1" applyAlignment="1">
      <alignment horizontal="center" vertical="center"/>
    </xf>
    <xf numFmtId="0" fontId="1" fillId="11" borderId="1" xfId="0" applyFont="1" applyFill="1" applyBorder="1">
      <alignment vertical="center"/>
    </xf>
    <xf numFmtId="0" fontId="1" fillId="11" borderId="2" xfId="0" applyFont="1" applyFill="1" applyBorder="1">
      <alignment vertical="center"/>
    </xf>
    <xf numFmtId="0" fontId="1" fillId="13" borderId="1" xfId="0" applyFont="1" applyFill="1" applyBorder="1">
      <alignment vertical="center"/>
    </xf>
    <xf numFmtId="0" fontId="1" fillId="10" borderId="11" xfId="0" applyFont="1" applyFill="1" applyBorder="1">
      <alignment vertical="center"/>
    </xf>
    <xf numFmtId="0" fontId="1" fillId="10" borderId="1" xfId="0" applyFont="1" applyFill="1" applyBorder="1">
      <alignment vertical="center"/>
    </xf>
    <xf numFmtId="0" fontId="1" fillId="10" borderId="2" xfId="0" applyFont="1" applyFill="1" applyBorder="1">
      <alignment vertical="center"/>
    </xf>
    <xf numFmtId="0" fontId="1" fillId="18" borderId="11" xfId="0" applyFont="1" applyFill="1" applyBorder="1">
      <alignment vertical="center"/>
    </xf>
    <xf numFmtId="0" fontId="1" fillId="2" borderId="1" xfId="0" applyFont="1" applyFill="1" applyBorder="1" applyAlignment="1">
      <alignment horizontal="left" vertical="center" wrapText="1"/>
    </xf>
    <xf numFmtId="0" fontId="1" fillId="11" borderId="1" xfId="0" applyFont="1" applyFill="1" applyBorder="1" applyAlignment="1">
      <alignment horizontal="left" vertical="center" wrapText="1"/>
    </xf>
    <xf numFmtId="0" fontId="1" fillId="11" borderId="1" xfId="0" applyFont="1" applyFill="1" applyBorder="1" applyAlignment="1">
      <alignment horizontal="center" vertical="center"/>
    </xf>
    <xf numFmtId="0" fontId="1" fillId="11" borderId="2" xfId="0" applyFont="1" applyFill="1" applyBorder="1" applyAlignment="1">
      <alignment horizontal="left" vertical="center" wrapText="1"/>
    </xf>
    <xf numFmtId="0" fontId="1" fillId="11" borderId="2" xfId="0" applyFont="1" applyFill="1" applyBorder="1" applyAlignment="1">
      <alignment horizontal="center" vertical="center"/>
    </xf>
    <xf numFmtId="0" fontId="1" fillId="13" borderId="1" xfId="0" applyFont="1" applyFill="1" applyBorder="1" applyAlignment="1">
      <alignment horizontal="left" vertical="center" wrapText="1"/>
    </xf>
    <xf numFmtId="0" fontId="1" fillId="13" borderId="1" xfId="0" applyFont="1" applyFill="1" applyBorder="1" applyAlignment="1">
      <alignment horizontal="center" vertical="center"/>
    </xf>
    <xf numFmtId="0" fontId="1" fillId="10" borderId="11" xfId="0" applyFont="1" applyFill="1" applyBorder="1" applyAlignment="1">
      <alignment horizontal="left" vertical="center" wrapText="1"/>
    </xf>
    <xf numFmtId="0" fontId="1" fillId="10" borderId="11" xfId="0" applyFont="1" applyFill="1" applyBorder="1" applyAlignment="1">
      <alignment horizontal="center" vertical="center"/>
    </xf>
    <xf numFmtId="0" fontId="1" fillId="10" borderId="1" xfId="0" applyFont="1" applyFill="1" applyBorder="1" applyAlignment="1">
      <alignment horizontal="left" vertical="center" wrapText="1"/>
    </xf>
    <xf numFmtId="0" fontId="1" fillId="10" borderId="1" xfId="0" applyFont="1" applyFill="1" applyBorder="1" applyAlignment="1">
      <alignment horizontal="center" vertical="center"/>
    </xf>
    <xf numFmtId="0" fontId="1" fillId="10" borderId="2" xfId="0" applyFont="1" applyFill="1" applyBorder="1" applyAlignment="1">
      <alignment horizontal="left" vertical="center" wrapText="1"/>
    </xf>
    <xf numFmtId="0" fontId="1" fillId="10" borderId="2" xfId="0" applyFont="1" applyFill="1" applyBorder="1" applyAlignment="1">
      <alignment horizontal="center" vertical="center"/>
    </xf>
    <xf numFmtId="0" fontId="1" fillId="18" borderId="1" xfId="0" applyFont="1" applyFill="1" applyBorder="1" applyAlignment="1">
      <alignment horizontal="left" vertical="center" wrapText="1"/>
    </xf>
    <xf numFmtId="0" fontId="1" fillId="18" borderId="1" xfId="0" applyFont="1" applyFill="1" applyBorder="1" applyAlignment="1">
      <alignment horizontal="center" vertical="center"/>
    </xf>
    <xf numFmtId="0" fontId="1" fillId="18" borderId="11" xfId="0" applyFont="1" applyFill="1" applyBorder="1" applyAlignment="1">
      <alignment horizontal="left" vertical="center" wrapText="1"/>
    </xf>
    <xf numFmtId="0" fontId="1" fillId="18" borderId="11" xfId="0" applyFont="1" applyFill="1" applyBorder="1" applyAlignment="1">
      <alignment horizontal="center" vertical="center"/>
    </xf>
    <xf numFmtId="14" fontId="7" fillId="8" borderId="1" xfId="0" applyNumberFormat="1" applyFont="1" applyFill="1" applyBorder="1" applyAlignment="1">
      <alignment horizontal="center" vertical="center" wrapText="1"/>
    </xf>
    <xf numFmtId="14" fontId="7" fillId="21" borderId="1" xfId="0" applyNumberFormat="1" applyFont="1" applyFill="1" applyBorder="1" applyAlignment="1">
      <alignment horizontal="center" vertical="center" wrapText="1"/>
    </xf>
    <xf numFmtId="14" fontId="7" fillId="6" borderId="10" xfId="0" applyNumberFormat="1" applyFont="1" applyFill="1" applyBorder="1" applyAlignment="1">
      <alignment horizontal="center" vertical="center" wrapText="1"/>
    </xf>
    <xf numFmtId="14" fontId="7" fillId="22" borderId="1" xfId="0" applyNumberFormat="1" applyFont="1" applyFill="1" applyBorder="1" applyAlignment="1">
      <alignment horizontal="center" vertical="center" wrapText="1"/>
    </xf>
    <xf numFmtId="0" fontId="7" fillId="9" borderId="1" xfId="0" applyFont="1" applyFill="1" applyBorder="1" applyAlignment="1">
      <alignment horizontal="center" vertical="center" wrapText="1"/>
    </xf>
    <xf numFmtId="14" fontId="7" fillId="9" borderId="1" xfId="0" applyNumberFormat="1" applyFont="1" applyFill="1" applyBorder="1" applyAlignment="1">
      <alignment horizontal="center" vertical="center" wrapText="1"/>
    </xf>
    <xf numFmtId="14" fontId="7" fillId="6" borderId="10" xfId="0" applyNumberFormat="1" applyFont="1" applyFill="1" applyBorder="1" applyAlignment="1">
      <alignment horizontal="center" vertical="center"/>
    </xf>
    <xf numFmtId="0" fontId="14" fillId="6" borderId="10" xfId="0" applyFont="1" applyFill="1" applyBorder="1" applyAlignment="1">
      <alignment horizontal="center" vertical="center"/>
    </xf>
    <xf numFmtId="49" fontId="1" fillId="6" borderId="10" xfId="0" applyNumberFormat="1" applyFont="1" applyFill="1" applyBorder="1" applyAlignment="1">
      <alignment horizontal="center" vertical="center" wrapText="1"/>
    </xf>
    <xf numFmtId="14" fontId="7" fillId="6" borderId="2" xfId="0" applyNumberFormat="1" applyFont="1" applyFill="1" applyBorder="1" applyAlignment="1">
      <alignment horizontal="center" vertical="center"/>
    </xf>
    <xf numFmtId="14" fontId="14" fillId="6" borderId="2" xfId="0" applyNumberFormat="1" applyFont="1" applyFill="1" applyBorder="1" applyAlignment="1">
      <alignment horizontal="center" vertical="center"/>
    </xf>
    <xf numFmtId="0" fontId="14" fillId="6" borderId="2" xfId="0" applyFont="1" applyFill="1" applyBorder="1" applyAlignment="1">
      <alignment horizontal="center" vertical="center" wrapText="1"/>
    </xf>
    <xf numFmtId="14" fontId="14" fillId="6" borderId="10" xfId="0" applyNumberFormat="1" applyFont="1" applyFill="1" applyBorder="1" applyAlignment="1">
      <alignment horizontal="center" vertical="center"/>
    </xf>
    <xf numFmtId="0" fontId="14" fillId="6" borderId="10" xfId="0" applyFont="1" applyFill="1" applyBorder="1" applyAlignment="1">
      <alignment horizontal="center" vertical="center" wrapText="1"/>
    </xf>
    <xf numFmtId="0" fontId="14" fillId="6" borderId="11" xfId="0" applyFont="1" applyFill="1" applyBorder="1" applyAlignment="1">
      <alignment horizontal="center" vertical="center"/>
    </xf>
    <xf numFmtId="14" fontId="14" fillId="6" borderId="11" xfId="0" applyNumberFormat="1" applyFont="1" applyFill="1" applyBorder="1" applyAlignment="1">
      <alignment horizontal="center" vertical="center"/>
    </xf>
    <xf numFmtId="0" fontId="14" fillId="6" borderId="11" xfId="0" applyFont="1" applyFill="1" applyBorder="1" applyAlignment="1">
      <alignment horizontal="center" vertical="center" wrapText="1"/>
    </xf>
    <xf numFmtId="0" fontId="13" fillId="6" borderId="10" xfId="0" applyFont="1" applyFill="1" applyBorder="1" applyAlignment="1">
      <alignment horizontal="center" vertical="center" wrapText="1"/>
    </xf>
    <xf numFmtId="176" fontId="7" fillId="8" borderId="1" xfId="0" applyNumberFormat="1" applyFont="1" applyFill="1" applyBorder="1" applyAlignment="1">
      <alignment horizontal="center" vertical="center" wrapText="1"/>
    </xf>
    <xf numFmtId="176" fontId="7" fillId="6" borderId="10" xfId="0" applyNumberFormat="1" applyFont="1" applyFill="1" applyBorder="1" applyAlignment="1">
      <alignment horizontal="center" vertical="center" wrapText="1"/>
    </xf>
    <xf numFmtId="176" fontId="7" fillId="22" borderId="1" xfId="0" applyNumberFormat="1" applyFont="1" applyFill="1" applyBorder="1" applyAlignment="1">
      <alignment horizontal="center" vertical="center" wrapText="1"/>
    </xf>
    <xf numFmtId="176" fontId="7" fillId="9" borderId="1" xfId="0" applyNumberFormat="1" applyFont="1" applyFill="1" applyBorder="1" applyAlignment="1">
      <alignment horizontal="center" vertical="center" wrapText="1"/>
    </xf>
    <xf numFmtId="178" fontId="1" fillId="6" borderId="10" xfId="0" applyNumberFormat="1" applyFont="1" applyFill="1" applyBorder="1" applyAlignment="1">
      <alignment horizontal="center" vertical="center"/>
    </xf>
    <xf numFmtId="0" fontId="14" fillId="6" borderId="2" xfId="0" applyFont="1" applyFill="1" applyBorder="1" applyAlignment="1">
      <alignment horizontal="center" vertical="center"/>
    </xf>
    <xf numFmtId="176" fontId="13" fillId="21" borderId="1" xfId="0" applyNumberFormat="1" applyFont="1" applyFill="1" applyBorder="1" applyAlignment="1">
      <alignment horizontal="center" vertical="center" wrapText="1"/>
    </xf>
    <xf numFmtId="176" fontId="13" fillId="6" borderId="11" xfId="0" applyNumberFormat="1" applyFont="1" applyFill="1" applyBorder="1" applyAlignment="1">
      <alignment horizontal="center" vertical="center" wrapText="1"/>
    </xf>
    <xf numFmtId="10" fontId="13" fillId="6" borderId="10" xfId="0" applyNumberFormat="1" applyFont="1" applyFill="1" applyBorder="1" applyAlignment="1" applyProtection="1">
      <alignment horizontal="center" vertical="center" wrapText="1"/>
    </xf>
    <xf numFmtId="176" fontId="13" fillId="6" borderId="10" xfId="0" applyNumberFormat="1" applyFont="1" applyFill="1" applyBorder="1" applyAlignment="1">
      <alignment horizontal="center" vertical="center" wrapText="1"/>
    </xf>
    <xf numFmtId="176" fontId="13" fillId="22" borderId="1" xfId="0" applyNumberFormat="1" applyFont="1" applyFill="1" applyBorder="1" applyAlignment="1">
      <alignment horizontal="center" vertical="center" wrapText="1"/>
    </xf>
    <xf numFmtId="10" fontId="13" fillId="9" borderId="1" xfId="0" applyNumberFormat="1" applyFont="1" applyFill="1" applyBorder="1" applyAlignment="1" applyProtection="1">
      <alignment horizontal="center" vertical="center" wrapText="1"/>
    </xf>
    <xf numFmtId="176" fontId="13" fillId="9" borderId="1" xfId="0" applyNumberFormat="1" applyFont="1" applyFill="1" applyBorder="1" applyAlignment="1">
      <alignment horizontal="center" vertical="center" wrapText="1"/>
    </xf>
    <xf numFmtId="176" fontId="13" fillId="6" borderId="11" xfId="0" applyNumberFormat="1" applyFont="1" applyFill="1" applyBorder="1" applyAlignment="1">
      <alignment horizontal="center" vertical="center"/>
    </xf>
    <xf numFmtId="176" fontId="13" fillId="6" borderId="10" xfId="0" applyNumberFormat="1" applyFont="1" applyFill="1" applyBorder="1" applyAlignment="1">
      <alignment horizontal="center" vertical="center"/>
    </xf>
    <xf numFmtId="176" fontId="13" fillId="8" borderId="1" xfId="0" applyNumberFormat="1" applyFont="1" applyFill="1" applyBorder="1" applyAlignment="1">
      <alignment horizontal="center" vertical="center" wrapText="1"/>
    </xf>
    <xf numFmtId="176" fontId="13" fillId="8" borderId="2" xfId="0" applyNumberFormat="1" applyFont="1" applyFill="1" applyBorder="1" applyAlignment="1">
      <alignment horizontal="center" vertical="center" wrapText="1"/>
    </xf>
    <xf numFmtId="176" fontId="13" fillId="8" borderId="11" xfId="0" applyNumberFormat="1" applyFont="1" applyFill="1" applyBorder="1" applyAlignment="1">
      <alignment horizontal="center" vertical="center" wrapText="1"/>
    </xf>
    <xf numFmtId="0" fontId="11" fillId="8" borderId="11" xfId="0" applyFont="1" applyFill="1" applyBorder="1" applyAlignment="1">
      <alignment horizontal="center" vertical="center"/>
    </xf>
    <xf numFmtId="177" fontId="6" fillId="8" borderId="11" xfId="0" applyNumberFormat="1" applyFont="1" applyFill="1" applyBorder="1" applyAlignment="1">
      <alignment horizontal="center" vertical="center"/>
    </xf>
    <xf numFmtId="176" fontId="6" fillId="6" borderId="11" xfId="0" applyNumberFormat="1" applyFont="1" applyFill="1" applyBorder="1" applyAlignment="1">
      <alignment horizontal="center" vertical="center"/>
    </xf>
    <xf numFmtId="178" fontId="1" fillId="6" borderId="11" xfId="0" applyNumberFormat="1" applyFont="1" applyFill="1" applyBorder="1" applyAlignment="1">
      <alignment horizontal="center" vertical="center"/>
    </xf>
    <xf numFmtId="176" fontId="3" fillId="21" borderId="1" xfId="0" applyNumberFormat="1" applyFont="1" applyFill="1" applyBorder="1" applyAlignment="1">
      <alignment horizontal="center" vertical="center" wrapText="1"/>
    </xf>
    <xf numFmtId="177" fontId="3" fillId="21" borderId="1" xfId="0" applyNumberFormat="1" applyFont="1" applyFill="1" applyBorder="1" applyAlignment="1">
      <alignment horizontal="center" vertical="center" wrapText="1"/>
    </xf>
    <xf numFmtId="176" fontId="6" fillId="21" borderId="1" xfId="0" applyNumberFormat="1" applyFont="1" applyFill="1" applyBorder="1" applyAlignment="1">
      <alignment horizontal="center" vertical="center" wrapText="1"/>
    </xf>
    <xf numFmtId="177" fontId="6" fillId="21" borderId="1" xfId="0" applyNumberFormat="1" applyFont="1" applyFill="1" applyBorder="1" applyAlignment="1">
      <alignment horizontal="center" vertical="center" wrapText="1"/>
    </xf>
    <xf numFmtId="178" fontId="1" fillId="21" borderId="1" xfId="0" applyNumberFormat="1" applyFont="1" applyFill="1" applyBorder="1" applyAlignment="1">
      <alignment horizontal="center" vertical="center" wrapText="1"/>
    </xf>
    <xf numFmtId="176" fontId="3" fillId="6" borderId="11" xfId="0" applyNumberFormat="1" applyFont="1" applyFill="1" applyBorder="1" applyAlignment="1">
      <alignment horizontal="center" vertical="center" wrapText="1"/>
    </xf>
    <xf numFmtId="177" fontId="3" fillId="6" borderId="1" xfId="0" applyNumberFormat="1" applyFont="1" applyFill="1" applyBorder="1" applyAlignment="1">
      <alignment horizontal="center" vertical="center" wrapText="1"/>
    </xf>
    <xf numFmtId="176" fontId="6" fillId="6" borderId="11" xfId="0" applyNumberFormat="1" applyFont="1" applyFill="1" applyBorder="1" applyAlignment="1">
      <alignment horizontal="center" vertical="center" wrapText="1"/>
    </xf>
    <xf numFmtId="177" fontId="6" fillId="6" borderId="1" xfId="0" applyNumberFormat="1" applyFont="1" applyFill="1" applyBorder="1" applyAlignment="1">
      <alignment horizontal="center" vertical="center" wrapText="1"/>
    </xf>
    <xf numFmtId="178" fontId="1" fillId="6" borderId="1" xfId="0" applyNumberFormat="1" applyFont="1" applyFill="1" applyBorder="1" applyAlignment="1">
      <alignment horizontal="center" vertical="center" wrapText="1"/>
    </xf>
    <xf numFmtId="176" fontId="3" fillId="6" borderId="10" xfId="0" applyNumberFormat="1" applyFont="1" applyFill="1" applyBorder="1" applyAlignment="1">
      <alignment horizontal="center" vertical="center" wrapText="1"/>
    </xf>
    <xf numFmtId="177" fontId="3" fillId="6" borderId="2" xfId="0" applyNumberFormat="1" applyFont="1" applyFill="1" applyBorder="1" applyAlignment="1">
      <alignment horizontal="center" vertical="center" wrapText="1"/>
    </xf>
    <xf numFmtId="178" fontId="1" fillId="6" borderId="2" xfId="0" applyNumberFormat="1" applyFont="1" applyFill="1" applyBorder="1" applyAlignment="1">
      <alignment horizontal="center" vertical="center" wrapText="1"/>
    </xf>
    <xf numFmtId="176" fontId="3" fillId="22" borderId="1" xfId="0" applyNumberFormat="1" applyFont="1" applyFill="1" applyBorder="1" applyAlignment="1">
      <alignment horizontal="center" vertical="center" wrapText="1"/>
    </xf>
    <xf numFmtId="177" fontId="3" fillId="22" borderId="1" xfId="0" applyNumberFormat="1" applyFont="1" applyFill="1" applyBorder="1" applyAlignment="1">
      <alignment horizontal="center" vertical="center" wrapText="1"/>
    </xf>
    <xf numFmtId="178" fontId="1" fillId="22" borderId="1" xfId="0" applyNumberFormat="1" applyFont="1" applyFill="1" applyBorder="1" applyAlignment="1">
      <alignment horizontal="center" vertical="center" wrapText="1"/>
    </xf>
    <xf numFmtId="176" fontId="3" fillId="9" borderId="1" xfId="0" applyNumberFormat="1" applyFont="1" applyFill="1" applyBorder="1" applyAlignment="1">
      <alignment horizontal="center" vertical="center" wrapText="1"/>
    </xf>
    <xf numFmtId="177" fontId="3" fillId="9" borderId="1" xfId="0" applyNumberFormat="1" applyFont="1" applyFill="1" applyBorder="1" applyAlignment="1">
      <alignment horizontal="center" vertical="center" wrapText="1"/>
    </xf>
    <xf numFmtId="178" fontId="1" fillId="9" borderId="1" xfId="0" applyNumberFormat="1" applyFont="1" applyFill="1" applyBorder="1" applyAlignment="1">
      <alignment horizontal="center" vertical="center" wrapText="1"/>
    </xf>
    <xf numFmtId="176" fontId="6" fillId="8" borderId="1" xfId="0" applyNumberFormat="1" applyFont="1" applyFill="1" applyBorder="1" applyAlignment="1">
      <alignment horizontal="center" vertical="center" wrapText="1"/>
    </xf>
    <xf numFmtId="0" fontId="11" fillId="8" borderId="1" xfId="0" applyFont="1" applyFill="1" applyBorder="1" applyAlignment="1">
      <alignment horizontal="center" vertical="center" wrapText="1"/>
    </xf>
    <xf numFmtId="177" fontId="6" fillId="8" borderId="1" xfId="0" applyNumberFormat="1" applyFont="1" applyFill="1" applyBorder="1" applyAlignment="1">
      <alignment horizontal="center" vertical="center" wrapText="1"/>
    </xf>
    <xf numFmtId="178" fontId="1" fillId="8" borderId="1" xfId="0" applyNumberFormat="1" applyFont="1" applyFill="1" applyBorder="1" applyAlignment="1">
      <alignment horizontal="center" vertical="center" wrapText="1"/>
    </xf>
    <xf numFmtId="176" fontId="3" fillId="8" borderId="1" xfId="0" applyNumberFormat="1" applyFont="1" applyFill="1" applyBorder="1" applyAlignment="1">
      <alignment horizontal="center" vertical="center" wrapText="1"/>
    </xf>
    <xf numFmtId="177" fontId="3" fillId="8" borderId="1" xfId="0" applyNumberFormat="1" applyFont="1" applyFill="1" applyBorder="1" applyAlignment="1">
      <alignment horizontal="center" vertical="center" wrapText="1"/>
    </xf>
    <xf numFmtId="177" fontId="3" fillId="6" borderId="3" xfId="0" applyNumberFormat="1" applyFont="1" applyFill="1" applyBorder="1" applyAlignment="1">
      <alignment horizontal="center" vertical="center"/>
    </xf>
    <xf numFmtId="14" fontId="11" fillId="6" borderId="6" xfId="0" applyNumberFormat="1" applyFont="1" applyFill="1" applyBorder="1" applyAlignment="1">
      <alignment horizontal="center" vertical="center"/>
    </xf>
    <xf numFmtId="177" fontId="11" fillId="6" borderId="6" xfId="0" applyNumberFormat="1" applyFont="1" applyFill="1" applyBorder="1" applyAlignment="1">
      <alignment horizontal="center" vertical="center"/>
    </xf>
    <xf numFmtId="176" fontId="6" fillId="6" borderId="2" xfId="0" applyNumberFormat="1" applyFont="1" applyFill="1" applyBorder="1" applyAlignment="1">
      <alignment horizontal="center" vertical="center"/>
    </xf>
    <xf numFmtId="178" fontId="13" fillId="8" borderId="11" xfId="0" applyNumberFormat="1" applyFont="1" applyFill="1" applyBorder="1" applyAlignment="1">
      <alignment horizontal="center" vertical="center"/>
    </xf>
    <xf numFmtId="177" fontId="1" fillId="8" borderId="11" xfId="0" applyNumberFormat="1" applyFont="1" applyFill="1" applyBorder="1" applyAlignment="1">
      <alignment horizontal="center" vertical="center"/>
    </xf>
    <xf numFmtId="176" fontId="6" fillId="8" borderId="11" xfId="0" applyNumberFormat="1" applyFont="1" applyFill="1" applyBorder="1" applyAlignment="1">
      <alignment horizontal="center" vertical="center"/>
    </xf>
    <xf numFmtId="178" fontId="13" fillId="6" borderId="11" xfId="0" applyNumberFormat="1" applyFont="1" applyFill="1" applyBorder="1" applyAlignment="1">
      <alignment horizontal="center" vertical="center"/>
    </xf>
    <xf numFmtId="177" fontId="1" fillId="6" borderId="11" xfId="0" applyNumberFormat="1" applyFont="1" applyFill="1" applyBorder="1" applyAlignment="1">
      <alignment horizontal="center" vertical="center"/>
    </xf>
    <xf numFmtId="178" fontId="13" fillId="21" borderId="1" xfId="0" applyNumberFormat="1" applyFont="1" applyFill="1" applyBorder="1" applyAlignment="1">
      <alignment horizontal="center" vertical="center" wrapText="1"/>
    </xf>
    <xf numFmtId="177" fontId="1" fillId="21" borderId="1" xfId="0" applyNumberFormat="1" applyFont="1" applyFill="1" applyBorder="1" applyAlignment="1">
      <alignment vertical="center" wrapText="1"/>
    </xf>
    <xf numFmtId="178" fontId="13" fillId="6" borderId="1" xfId="0" applyNumberFormat="1" applyFont="1" applyFill="1" applyBorder="1" applyAlignment="1">
      <alignment horizontal="center" vertical="center" wrapText="1"/>
    </xf>
    <xf numFmtId="177" fontId="1" fillId="6" borderId="1" xfId="0" applyNumberFormat="1" applyFont="1" applyFill="1" applyBorder="1" applyAlignment="1">
      <alignment vertical="center" wrapText="1"/>
    </xf>
    <xf numFmtId="176" fontId="3" fillId="6" borderId="1" xfId="0" applyNumberFormat="1" applyFont="1" applyFill="1" applyBorder="1" applyAlignment="1">
      <alignment horizontal="center" vertical="center" wrapText="1"/>
    </xf>
    <xf numFmtId="178" fontId="13" fillId="6" borderId="2" xfId="0" applyNumberFormat="1" applyFont="1" applyFill="1" applyBorder="1" applyAlignment="1">
      <alignment horizontal="center" vertical="center" wrapText="1"/>
    </xf>
    <xf numFmtId="177" fontId="1" fillId="6" borderId="2" xfId="0" applyNumberFormat="1" applyFont="1" applyFill="1" applyBorder="1" applyAlignment="1">
      <alignment vertical="center" wrapText="1"/>
    </xf>
    <xf numFmtId="176" fontId="3" fillId="6" borderId="2" xfId="0" applyNumberFormat="1" applyFont="1" applyFill="1" applyBorder="1" applyAlignment="1">
      <alignment horizontal="center" vertical="center" wrapText="1"/>
    </xf>
    <xf numFmtId="177" fontId="1" fillId="22" borderId="1" xfId="0" applyNumberFormat="1" applyFont="1" applyFill="1" applyBorder="1" applyAlignment="1">
      <alignment vertical="center" wrapText="1"/>
    </xf>
    <xf numFmtId="178" fontId="13" fillId="22" borderId="1" xfId="0" applyNumberFormat="1" applyFont="1" applyFill="1" applyBorder="1" applyAlignment="1">
      <alignment horizontal="center" vertical="center" wrapText="1"/>
    </xf>
    <xf numFmtId="177" fontId="1" fillId="9" borderId="1" xfId="0" applyNumberFormat="1" applyFont="1" applyFill="1" applyBorder="1" applyAlignment="1">
      <alignment vertical="center" wrapText="1"/>
    </xf>
    <xf numFmtId="178" fontId="13" fillId="9" borderId="1" xfId="0" applyNumberFormat="1" applyFont="1" applyFill="1" applyBorder="1" applyAlignment="1">
      <alignment horizontal="center" vertical="center" wrapText="1"/>
    </xf>
    <xf numFmtId="177" fontId="1" fillId="6" borderId="11" xfId="0" applyNumberFormat="1" applyFont="1" applyFill="1" applyBorder="1" applyAlignment="1">
      <alignment vertical="center"/>
    </xf>
    <xf numFmtId="177" fontId="3" fillId="6" borderId="10" xfId="0" applyNumberFormat="1" applyFont="1" applyFill="1" applyBorder="1" applyAlignment="1">
      <alignment horizontal="center" vertical="center"/>
    </xf>
    <xf numFmtId="178" fontId="13" fillId="6" borderId="10" xfId="0" applyNumberFormat="1" applyFont="1" applyFill="1" applyBorder="1" applyAlignment="1">
      <alignment horizontal="center" vertical="center"/>
    </xf>
    <xf numFmtId="177" fontId="1" fillId="6" borderId="10" xfId="0" applyNumberFormat="1" applyFont="1" applyFill="1" applyBorder="1" applyAlignment="1">
      <alignment vertical="center"/>
    </xf>
    <xf numFmtId="178" fontId="13" fillId="8" borderId="1" xfId="0" applyNumberFormat="1" applyFont="1" applyFill="1" applyBorder="1" applyAlignment="1">
      <alignment horizontal="center" vertical="center" wrapText="1"/>
    </xf>
    <xf numFmtId="177" fontId="1" fillId="8" borderId="1" xfId="0" applyNumberFormat="1" applyFont="1" applyFill="1" applyBorder="1" applyAlignment="1">
      <alignment vertical="center" wrapText="1"/>
    </xf>
    <xf numFmtId="177" fontId="1" fillId="6" borderId="1" xfId="0" applyNumberFormat="1" applyFont="1" applyFill="1" applyBorder="1" applyAlignment="1">
      <alignment vertical="center"/>
    </xf>
    <xf numFmtId="177" fontId="1" fillId="6" borderId="2" xfId="0" applyNumberFormat="1" applyFont="1" applyFill="1" applyBorder="1" applyAlignment="1">
      <alignment vertical="center"/>
    </xf>
    <xf numFmtId="0" fontId="1" fillId="8" borderId="11" xfId="0" applyFont="1" applyFill="1" applyBorder="1">
      <alignment vertical="center"/>
    </xf>
    <xf numFmtId="0" fontId="1" fillId="6" borderId="11" xfId="0" applyFont="1" applyFill="1" applyBorder="1">
      <alignment vertical="center"/>
    </xf>
    <xf numFmtId="0" fontId="1" fillId="21" borderId="1" xfId="0" applyFont="1" applyFill="1" applyBorder="1" applyAlignment="1">
      <alignment vertical="center" wrapText="1"/>
    </xf>
    <xf numFmtId="177" fontId="1" fillId="21" borderId="1" xfId="0" applyNumberFormat="1" applyFont="1" applyFill="1" applyBorder="1" applyAlignment="1">
      <alignment horizontal="center" vertical="center" wrapText="1"/>
    </xf>
    <xf numFmtId="0" fontId="1" fillId="6" borderId="1" xfId="0" applyFont="1" applyFill="1" applyBorder="1" applyAlignment="1">
      <alignment vertical="center" wrapText="1"/>
    </xf>
    <xf numFmtId="177" fontId="1" fillId="6" borderId="1" xfId="0" applyNumberFormat="1" applyFont="1" applyFill="1" applyBorder="1" applyAlignment="1">
      <alignment horizontal="center" vertical="center" wrapText="1"/>
    </xf>
    <xf numFmtId="177" fontId="1" fillId="6" borderId="2" xfId="0" applyNumberFormat="1" applyFont="1" applyFill="1" applyBorder="1" applyAlignment="1">
      <alignment horizontal="center" vertical="center" wrapText="1"/>
    </xf>
    <xf numFmtId="176" fontId="6" fillId="6" borderId="10" xfId="0" applyNumberFormat="1" applyFont="1" applyFill="1" applyBorder="1" applyAlignment="1">
      <alignment horizontal="center" vertical="center" wrapText="1"/>
    </xf>
    <xf numFmtId="0" fontId="1" fillId="6" borderId="2" xfId="0" applyFont="1" applyFill="1" applyBorder="1" applyAlignment="1">
      <alignment vertical="center" wrapText="1"/>
    </xf>
    <xf numFmtId="0" fontId="1" fillId="22" borderId="1" xfId="0" applyFont="1" applyFill="1" applyBorder="1" applyAlignment="1">
      <alignment vertical="center" wrapText="1"/>
    </xf>
    <xf numFmtId="177" fontId="1" fillId="22" borderId="1" xfId="0" applyNumberFormat="1" applyFont="1" applyFill="1" applyBorder="1" applyAlignment="1">
      <alignment horizontal="center" vertical="center" wrapText="1"/>
    </xf>
    <xf numFmtId="176" fontId="6" fillId="9" borderId="1" xfId="0" applyNumberFormat="1" applyFont="1" applyFill="1" applyBorder="1" applyAlignment="1">
      <alignment horizontal="center" vertical="center" wrapText="1"/>
    </xf>
    <xf numFmtId="0" fontId="1" fillId="9" borderId="1" xfId="0" applyFont="1" applyFill="1" applyBorder="1" applyAlignment="1">
      <alignment vertical="center" wrapText="1"/>
    </xf>
    <xf numFmtId="177" fontId="1" fillId="9" borderId="1" xfId="0" applyNumberFormat="1" applyFont="1" applyFill="1" applyBorder="1" applyAlignment="1">
      <alignment horizontal="center" vertical="center" wrapText="1"/>
    </xf>
    <xf numFmtId="0" fontId="1" fillId="6" borderId="10" xfId="0" applyFont="1" applyFill="1" applyBorder="1">
      <alignment vertical="center"/>
    </xf>
    <xf numFmtId="0" fontId="1" fillId="8" borderId="1" xfId="0" applyFont="1" applyFill="1" applyBorder="1" applyAlignment="1">
      <alignment vertical="center" wrapText="1"/>
    </xf>
    <xf numFmtId="177" fontId="1" fillId="8" borderId="1" xfId="0" applyNumberFormat="1" applyFont="1" applyFill="1" applyBorder="1" applyAlignment="1">
      <alignment horizontal="center" vertical="center" wrapText="1"/>
    </xf>
    <xf numFmtId="177" fontId="1" fillId="6" borderId="10" xfId="0" applyNumberFormat="1" applyFont="1" applyFill="1" applyBorder="1" applyAlignment="1">
      <alignment horizontal="center" vertical="center"/>
    </xf>
    <xf numFmtId="178" fontId="3" fillId="6" borderId="11" xfId="0" applyNumberFormat="1" applyFont="1" applyFill="1" applyBorder="1" applyAlignment="1">
      <alignment horizontal="center" vertical="center"/>
    </xf>
    <xf numFmtId="178" fontId="3" fillId="6" borderId="2" xfId="0" applyNumberFormat="1" applyFont="1" applyFill="1" applyBorder="1" applyAlignment="1">
      <alignment horizontal="center" vertical="center"/>
    </xf>
    <xf numFmtId="0" fontId="1" fillId="8" borderId="11" xfId="0" applyFont="1" applyFill="1" applyBorder="1" applyAlignment="1">
      <alignment horizontal="left" vertical="center" wrapText="1"/>
    </xf>
    <xf numFmtId="0" fontId="1" fillId="6" borderId="11" xfId="0" applyFont="1" applyFill="1" applyBorder="1" applyAlignment="1">
      <alignment horizontal="left" vertical="center" wrapText="1"/>
    </xf>
    <xf numFmtId="0" fontId="1" fillId="6" borderId="11" xfId="0" applyFont="1" applyFill="1" applyBorder="1" applyAlignment="1">
      <alignment horizontal="center" vertical="center"/>
    </xf>
    <xf numFmtId="0" fontId="1" fillId="21"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9" borderId="1" xfId="0" applyFont="1" applyFill="1" applyBorder="1" applyAlignment="1">
      <alignment horizontal="left" vertical="center" wrapText="1"/>
    </xf>
    <xf numFmtId="0" fontId="1" fillId="9" borderId="1" xfId="0" applyFont="1" applyFill="1" applyBorder="1" applyAlignment="1">
      <alignment horizontal="center" vertical="center" wrapText="1"/>
    </xf>
    <xf numFmtId="0" fontId="1" fillId="6" borderId="10" xfId="0" applyFont="1" applyFill="1" applyBorder="1" applyAlignment="1">
      <alignment horizontal="left" vertical="center" wrapText="1"/>
    </xf>
    <xf numFmtId="0" fontId="1" fillId="8" borderId="1" xfId="0" applyFont="1" applyFill="1" applyBorder="1" applyAlignment="1">
      <alignment horizontal="center" vertical="center" wrapText="1"/>
    </xf>
    <xf numFmtId="14" fontId="14" fillId="15" borderId="10" xfId="0" applyNumberFormat="1" applyFont="1" applyFill="1" applyBorder="1" applyAlignment="1">
      <alignment horizontal="center" vertical="center"/>
    </xf>
    <xf numFmtId="0" fontId="14" fillId="15" borderId="10" xfId="0" applyFont="1" applyFill="1" applyBorder="1" applyAlignment="1">
      <alignment horizontal="center" vertical="center" wrapText="1"/>
    </xf>
    <xf numFmtId="49" fontId="7" fillId="39" borderId="1" xfId="0" applyNumberFormat="1" applyFont="1" applyFill="1" applyBorder="1" applyAlignment="1">
      <alignment horizontal="center" vertical="center" wrapText="1"/>
    </xf>
    <xf numFmtId="0" fontId="1" fillId="39" borderId="1" xfId="0" applyFont="1" applyFill="1" applyBorder="1" applyAlignment="1">
      <alignment horizontal="center" vertical="center" wrapText="1"/>
    </xf>
    <xf numFmtId="0" fontId="14" fillId="39" borderId="1" xfId="0" applyFont="1" applyFill="1" applyBorder="1" applyAlignment="1">
      <alignment horizontal="center" vertical="center"/>
    </xf>
    <xf numFmtId="49" fontId="1" fillId="39" borderId="1" xfId="0" applyNumberFormat="1" applyFont="1" applyFill="1" applyBorder="1" applyAlignment="1">
      <alignment horizontal="center" vertical="center" wrapText="1"/>
    </xf>
    <xf numFmtId="0" fontId="14" fillId="5" borderId="10" xfId="0" applyFont="1" applyFill="1" applyBorder="1" applyAlignment="1">
      <alignment horizontal="center" vertical="center"/>
    </xf>
    <xf numFmtId="49" fontId="1" fillId="5" borderId="10" xfId="0" applyNumberFormat="1" applyFont="1" applyFill="1" applyBorder="1" applyAlignment="1">
      <alignment horizontal="center" vertical="center" wrapText="1"/>
    </xf>
    <xf numFmtId="0" fontId="1" fillId="5" borderId="10" xfId="0" applyFont="1" applyFill="1" applyBorder="1" applyAlignment="1">
      <alignment horizontal="center" vertical="center" wrapText="1"/>
    </xf>
    <xf numFmtId="0" fontId="14" fillId="40" borderId="1" xfId="0" applyFont="1" applyFill="1" applyBorder="1" applyAlignment="1">
      <alignment horizontal="center" vertical="center"/>
    </xf>
    <xf numFmtId="177" fontId="13" fillId="40" borderId="2" xfId="0" applyNumberFormat="1" applyFont="1" applyFill="1" applyBorder="1" applyAlignment="1">
      <alignment horizontal="center" vertical="center"/>
    </xf>
    <xf numFmtId="49" fontId="1" fillId="40" borderId="1" xfId="0" applyNumberFormat="1" applyFont="1" applyFill="1" applyBorder="1" applyAlignment="1">
      <alignment horizontal="center" vertical="center" wrapText="1"/>
    </xf>
    <xf numFmtId="0" fontId="1" fillId="40" borderId="1" xfId="0" applyFont="1" applyFill="1" applyBorder="1" applyAlignment="1">
      <alignment horizontal="center" vertical="center" wrapText="1"/>
    </xf>
    <xf numFmtId="177" fontId="13" fillId="40" borderId="10" xfId="0" applyNumberFormat="1" applyFont="1" applyFill="1" applyBorder="1" applyAlignment="1">
      <alignment horizontal="center" vertical="center"/>
    </xf>
    <xf numFmtId="177" fontId="13" fillId="40" borderId="11" xfId="0" applyNumberFormat="1" applyFont="1" applyFill="1" applyBorder="1" applyAlignment="1">
      <alignment horizontal="center" vertical="center"/>
    </xf>
    <xf numFmtId="0" fontId="7" fillId="41" borderId="2" xfId="0" applyFont="1" applyFill="1" applyBorder="1" applyAlignment="1">
      <alignment horizontal="center" vertical="center"/>
    </xf>
    <xf numFmtId="177" fontId="13" fillId="41" borderId="2" xfId="0" applyNumberFormat="1" applyFont="1" applyFill="1" applyBorder="1" applyAlignment="1">
      <alignment horizontal="center" vertical="center"/>
    </xf>
    <xf numFmtId="49" fontId="7" fillId="41" borderId="2" xfId="0" applyNumberFormat="1" applyFont="1" applyFill="1" applyBorder="1" applyAlignment="1">
      <alignment horizontal="center" vertical="center" wrapText="1"/>
    </xf>
    <xf numFmtId="0" fontId="1" fillId="41" borderId="2" xfId="0" applyFont="1" applyFill="1" applyBorder="1" applyAlignment="1">
      <alignment horizontal="center" vertical="center" wrapText="1"/>
    </xf>
    <xf numFmtId="0" fontId="7" fillId="41" borderId="10" xfId="0" applyFont="1" applyFill="1" applyBorder="1" applyAlignment="1">
      <alignment horizontal="center" vertical="center"/>
    </xf>
    <xf numFmtId="177" fontId="13" fillId="41" borderId="10" xfId="0" applyNumberFormat="1" applyFont="1" applyFill="1" applyBorder="1" applyAlignment="1">
      <alignment horizontal="center" vertical="center"/>
    </xf>
    <xf numFmtId="49" fontId="7" fillId="41" borderId="10" xfId="0" applyNumberFormat="1" applyFont="1" applyFill="1" applyBorder="1" applyAlignment="1">
      <alignment horizontal="center" vertical="center" wrapText="1"/>
    </xf>
    <xf numFmtId="0" fontId="1" fillId="41" borderId="10" xfId="0" applyFont="1" applyFill="1" applyBorder="1" applyAlignment="1">
      <alignment horizontal="center" vertical="center" wrapText="1"/>
    </xf>
    <xf numFmtId="0" fontId="7" fillId="41" borderId="11" xfId="0" applyFont="1" applyFill="1" applyBorder="1" applyAlignment="1">
      <alignment horizontal="center" vertical="center"/>
    </xf>
    <xf numFmtId="177" fontId="13" fillId="41" borderId="11" xfId="0" applyNumberFormat="1" applyFont="1" applyFill="1" applyBorder="1" applyAlignment="1">
      <alignment horizontal="center" vertical="center"/>
    </xf>
    <xf numFmtId="49" fontId="7" fillId="41" borderId="11" xfId="0" applyNumberFormat="1" applyFont="1" applyFill="1" applyBorder="1" applyAlignment="1">
      <alignment horizontal="center" vertical="center" wrapText="1"/>
    </xf>
    <xf numFmtId="0" fontId="1" fillId="41" borderId="11" xfId="0" applyFont="1" applyFill="1" applyBorder="1" applyAlignment="1">
      <alignment horizontal="center" vertical="center" wrapText="1"/>
    </xf>
    <xf numFmtId="49" fontId="1" fillId="6" borderId="1" xfId="0" applyNumberFormat="1" applyFont="1" applyFill="1" applyBorder="1" applyAlignment="1">
      <alignment horizontal="center" vertical="center" wrapText="1"/>
    </xf>
    <xf numFmtId="0" fontId="14" fillId="9" borderId="10" xfId="0" applyFont="1" applyFill="1" applyBorder="1" applyAlignment="1">
      <alignment horizontal="center" vertical="center"/>
    </xf>
    <xf numFmtId="177" fontId="13" fillId="9" borderId="10" xfId="0" applyNumberFormat="1" applyFont="1" applyFill="1" applyBorder="1" applyAlignment="1">
      <alignment horizontal="center" vertical="center"/>
    </xf>
    <xf numFmtId="49" fontId="1" fillId="9" borderId="10" xfId="0" applyNumberFormat="1" applyFont="1" applyFill="1" applyBorder="1" applyAlignment="1">
      <alignment horizontal="center" vertical="center" wrapText="1"/>
    </xf>
    <xf numFmtId="0" fontId="1" fillId="9" borderId="10" xfId="0" applyFont="1" applyFill="1" applyBorder="1" applyAlignment="1">
      <alignment horizontal="center" vertical="center" wrapText="1"/>
    </xf>
    <xf numFmtId="14" fontId="1" fillId="6" borderId="2" xfId="0" applyNumberFormat="1" applyFont="1" applyFill="1" applyBorder="1" applyAlignment="1">
      <alignment horizontal="center" vertical="center"/>
    </xf>
    <xf numFmtId="49" fontId="1" fillId="6" borderId="2" xfId="0" applyNumberFormat="1" applyFont="1" applyFill="1" applyBorder="1" applyAlignment="1">
      <alignment horizontal="center" vertical="center" wrapText="1"/>
    </xf>
    <xf numFmtId="14" fontId="1" fillId="6" borderId="10" xfId="0" applyNumberFormat="1" applyFont="1" applyFill="1" applyBorder="1" applyAlignment="1">
      <alignment horizontal="center" vertical="center"/>
    </xf>
    <xf numFmtId="14" fontId="1" fillId="6" borderId="11" xfId="0" applyNumberFormat="1" applyFont="1" applyFill="1" applyBorder="1" applyAlignment="1">
      <alignment horizontal="center" vertical="center"/>
    </xf>
    <xf numFmtId="49" fontId="1" fillId="6" borderId="11" xfId="0" applyNumberFormat="1" applyFont="1" applyFill="1" applyBorder="1" applyAlignment="1">
      <alignment horizontal="center" vertical="center" wrapText="1"/>
    </xf>
    <xf numFmtId="49" fontId="1" fillId="6" borderId="10" xfId="0" applyNumberFormat="1" applyFont="1" applyFill="1" applyBorder="1" applyAlignment="1">
      <alignment horizontal="center" vertical="center"/>
    </xf>
    <xf numFmtId="14" fontId="1" fillId="11" borderId="2" xfId="0" applyNumberFormat="1" applyFont="1" applyFill="1" applyBorder="1" applyAlignment="1">
      <alignment horizontal="center" vertical="center"/>
    </xf>
    <xf numFmtId="0" fontId="1" fillId="11" borderId="10" xfId="0" applyFont="1" applyFill="1" applyBorder="1" applyAlignment="1">
      <alignment horizontal="center" vertical="center"/>
    </xf>
    <xf numFmtId="14" fontId="1" fillId="11" borderId="10" xfId="0" applyNumberFormat="1" applyFont="1" applyFill="1" applyBorder="1" applyAlignment="1">
      <alignment horizontal="center" vertical="center"/>
    </xf>
    <xf numFmtId="49" fontId="1" fillId="11" borderId="10" xfId="0" applyNumberFormat="1" applyFont="1" applyFill="1" applyBorder="1" applyAlignment="1">
      <alignment horizontal="center" vertical="center" wrapText="1"/>
    </xf>
    <xf numFmtId="0" fontId="1" fillId="11" borderId="11" xfId="0" applyFont="1" applyFill="1" applyBorder="1" applyAlignment="1">
      <alignment horizontal="center" vertical="center"/>
    </xf>
    <xf numFmtId="14" fontId="1" fillId="11" borderId="11" xfId="0" applyNumberFormat="1" applyFont="1" applyFill="1" applyBorder="1" applyAlignment="1">
      <alignment horizontal="center" vertical="center"/>
    </xf>
    <xf numFmtId="49" fontId="1" fillId="11" borderId="11" xfId="0" applyNumberFormat="1" applyFont="1" applyFill="1" applyBorder="1" applyAlignment="1">
      <alignment horizontal="center" vertical="center" wrapText="1"/>
    </xf>
    <xf numFmtId="49" fontId="2" fillId="2" borderId="6" xfId="0" applyNumberFormat="1" applyFont="1" applyFill="1" applyBorder="1" applyAlignment="1">
      <alignment horizontal="center" vertical="center" wrapText="1"/>
    </xf>
    <xf numFmtId="177" fontId="2" fillId="0" borderId="2" xfId="0" applyNumberFormat="1" applyFont="1" applyFill="1" applyBorder="1" applyAlignment="1">
      <alignment horizontal="center" vertical="center"/>
    </xf>
    <xf numFmtId="0" fontId="2" fillId="0" borderId="15" xfId="0" applyFont="1" applyFill="1" applyBorder="1" applyAlignment="1">
      <alignment horizontal="center" vertical="center" wrapText="1"/>
    </xf>
    <xf numFmtId="177" fontId="2" fillId="0" borderId="11" xfId="0" applyNumberFormat="1" applyFont="1" applyFill="1" applyBorder="1" applyAlignment="1">
      <alignment horizontal="center" vertical="center"/>
    </xf>
    <xf numFmtId="14" fontId="2" fillId="0" borderId="2" xfId="0" applyNumberFormat="1" applyFont="1" applyFill="1" applyBorder="1" applyAlignment="1">
      <alignment horizontal="center" vertical="center"/>
    </xf>
    <xf numFmtId="14" fontId="2" fillId="0" borderId="10" xfId="0" applyNumberFormat="1" applyFont="1" applyFill="1" applyBorder="1" applyAlignment="1">
      <alignment horizontal="center" vertical="center"/>
    </xf>
    <xf numFmtId="0" fontId="2" fillId="0" borderId="0" xfId="0" applyFont="1" applyFill="1" applyBorder="1" applyAlignment="1">
      <alignment horizontal="center" vertical="center"/>
    </xf>
    <xf numFmtId="14" fontId="2" fillId="0" borderId="11" xfId="0" applyNumberFormat="1" applyFont="1" applyFill="1" applyBorder="1" applyAlignment="1">
      <alignment horizontal="center" vertical="center"/>
    </xf>
    <xf numFmtId="14" fontId="7" fillId="0" borderId="1" xfId="0" applyNumberFormat="1" applyFont="1" applyFill="1" applyBorder="1" applyAlignment="1">
      <alignment horizontal="center" vertical="center" wrapText="1"/>
    </xf>
    <xf numFmtId="14" fontId="8"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13" fillId="39" borderId="1" xfId="0" applyFont="1" applyFill="1" applyBorder="1" applyAlignment="1">
      <alignment horizontal="center" vertical="center" wrapText="1"/>
    </xf>
    <xf numFmtId="0" fontId="13" fillId="40" borderId="1" xfId="0" applyFont="1" applyFill="1" applyBorder="1" applyAlignment="1">
      <alignment horizontal="center" vertical="center" wrapText="1"/>
    </xf>
    <xf numFmtId="0" fontId="1" fillId="40" borderId="1" xfId="0" applyFont="1" applyFill="1" applyBorder="1" applyAlignment="1">
      <alignment horizontal="center" vertical="center"/>
    </xf>
    <xf numFmtId="0" fontId="7" fillId="41" borderId="2" xfId="0" applyFont="1" applyFill="1" applyBorder="1" applyAlignment="1">
      <alignment horizontal="center" vertical="center" wrapText="1"/>
    </xf>
    <xf numFmtId="0" fontId="7" fillId="41" borderId="10" xfId="0" applyFont="1" applyFill="1" applyBorder="1" applyAlignment="1">
      <alignment horizontal="center" vertical="center" wrapText="1"/>
    </xf>
    <xf numFmtId="0" fontId="7" fillId="41" borderId="11"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 fillId="9" borderId="10" xfId="0" applyFont="1" applyFill="1" applyBorder="1" applyAlignment="1">
      <alignment horizontal="center" vertical="center"/>
    </xf>
    <xf numFmtId="0" fontId="1" fillId="6" borderId="11" xfId="0" applyFont="1" applyFill="1" applyBorder="1" applyAlignment="1">
      <alignment horizontal="center" vertical="center" wrapText="1"/>
    </xf>
    <xf numFmtId="0" fontId="1" fillId="11" borderId="2" xfId="0" applyFont="1" applyFill="1" applyBorder="1" applyAlignment="1">
      <alignment horizontal="center" vertical="center" wrapText="1"/>
    </xf>
    <xf numFmtId="0" fontId="1" fillId="11" borderId="10" xfId="0" applyFont="1" applyFill="1" applyBorder="1" applyAlignment="1">
      <alignment horizontal="center" vertical="center" wrapText="1"/>
    </xf>
    <xf numFmtId="0" fontId="1" fillId="11" borderId="11" xfId="0" applyFont="1" applyFill="1" applyBorder="1" applyAlignment="1">
      <alignment horizontal="center" vertical="center" wrapText="1"/>
    </xf>
    <xf numFmtId="4" fontId="14" fillId="15" borderId="10" xfId="0" applyNumberFormat="1" applyFont="1" applyFill="1" applyBorder="1" applyAlignment="1">
      <alignment horizontal="center" vertical="center"/>
    </xf>
    <xf numFmtId="178" fontId="1" fillId="5" borderId="10" xfId="0" applyNumberFormat="1" applyFont="1" applyFill="1" applyBorder="1" applyAlignment="1">
      <alignment horizontal="center" vertical="center"/>
    </xf>
    <xf numFmtId="0" fontId="1" fillId="5" borderId="10" xfId="0" applyFont="1" applyFill="1" applyBorder="1" applyAlignment="1">
      <alignment horizontal="center" vertical="center"/>
    </xf>
    <xf numFmtId="178" fontId="1" fillId="40" borderId="1" xfId="0" applyNumberFormat="1" applyFont="1" applyFill="1" applyBorder="1" applyAlignment="1">
      <alignment horizontal="center" vertical="center"/>
    </xf>
    <xf numFmtId="0" fontId="7" fillId="40" borderId="1" xfId="0" applyFont="1" applyFill="1" applyBorder="1" applyAlignment="1">
      <alignment horizontal="center" vertical="center"/>
    </xf>
    <xf numFmtId="178" fontId="1" fillId="41" borderId="2" xfId="0" applyNumberFormat="1" applyFont="1" applyFill="1" applyBorder="1" applyAlignment="1">
      <alignment horizontal="center" vertical="center"/>
    </xf>
    <xf numFmtId="0" fontId="13" fillId="41" borderId="10" xfId="0" applyFont="1" applyFill="1" applyBorder="1" applyAlignment="1">
      <alignment horizontal="center" vertical="center" wrapText="1"/>
    </xf>
    <xf numFmtId="178" fontId="1" fillId="41" borderId="10" xfId="0" applyNumberFormat="1" applyFont="1" applyFill="1" applyBorder="1" applyAlignment="1">
      <alignment horizontal="center" vertical="center"/>
    </xf>
    <xf numFmtId="0" fontId="13" fillId="41" borderId="11" xfId="0" applyFont="1" applyFill="1" applyBorder="1" applyAlignment="1">
      <alignment horizontal="center" vertical="center" wrapText="1"/>
    </xf>
    <xf numFmtId="178" fontId="1" fillId="41" borderId="11" xfId="0" applyNumberFormat="1" applyFont="1" applyFill="1" applyBorder="1" applyAlignment="1">
      <alignment horizontal="center" vertical="center"/>
    </xf>
    <xf numFmtId="178" fontId="1" fillId="9" borderId="10" xfId="0" applyNumberFormat="1" applyFont="1" applyFill="1" applyBorder="1" applyAlignment="1">
      <alignment horizontal="center" vertical="center"/>
    </xf>
    <xf numFmtId="178" fontId="1" fillId="11" borderId="10" xfId="0" applyNumberFormat="1" applyFont="1" applyFill="1" applyBorder="1" applyAlignment="1">
      <alignment horizontal="center" vertical="center"/>
    </xf>
    <xf numFmtId="178" fontId="1" fillId="11" borderId="11" xfId="0" applyNumberFormat="1" applyFont="1" applyFill="1" applyBorder="1" applyAlignment="1">
      <alignment horizontal="center" vertical="center"/>
    </xf>
    <xf numFmtId="0" fontId="7" fillId="15" borderId="2" xfId="0" applyFont="1" applyFill="1" applyBorder="1" applyAlignment="1">
      <alignment horizontal="left" vertical="center" wrapText="1"/>
    </xf>
    <xf numFmtId="10" fontId="7" fillId="15" borderId="2" xfId="0" applyNumberFormat="1" applyFont="1" applyFill="1" applyBorder="1" applyAlignment="1" applyProtection="1">
      <alignment horizontal="center" vertical="center" wrapText="1"/>
    </xf>
    <xf numFmtId="176" fontId="13" fillId="15" borderId="2" xfId="0" applyNumberFormat="1" applyFont="1" applyFill="1" applyBorder="1" applyAlignment="1">
      <alignment horizontal="center" vertical="center"/>
    </xf>
    <xf numFmtId="0" fontId="7" fillId="5" borderId="11" xfId="0" applyFont="1" applyFill="1" applyBorder="1" applyAlignment="1">
      <alignment horizontal="left" vertical="center" wrapText="1"/>
    </xf>
    <xf numFmtId="10" fontId="7" fillId="5" borderId="11" xfId="0" applyNumberFormat="1" applyFont="1" applyFill="1" applyBorder="1" applyAlignment="1" applyProtection="1">
      <alignment horizontal="center" vertical="center" wrapText="1"/>
    </xf>
    <xf numFmtId="0" fontId="13" fillId="40" borderId="1" xfId="0" applyFont="1" applyFill="1" applyBorder="1" applyAlignment="1">
      <alignment horizontal="left" vertical="center" wrapText="1"/>
    </xf>
    <xf numFmtId="10" fontId="13" fillId="40" borderId="1" xfId="0" applyNumberFormat="1" applyFont="1" applyFill="1" applyBorder="1" applyAlignment="1" applyProtection="1">
      <alignment horizontal="center" vertical="center" wrapText="1"/>
    </xf>
    <xf numFmtId="176" fontId="13" fillId="40" borderId="1" xfId="0" applyNumberFormat="1" applyFont="1" applyFill="1" applyBorder="1" applyAlignment="1">
      <alignment horizontal="center" vertical="center"/>
    </xf>
    <xf numFmtId="0" fontId="1" fillId="41" borderId="1" xfId="0" applyFont="1" applyFill="1" applyBorder="1" applyAlignment="1">
      <alignment horizontal="center" vertical="center"/>
    </xf>
    <xf numFmtId="0" fontId="7" fillId="41" borderId="1" xfId="0" applyFont="1" applyFill="1" applyBorder="1" applyAlignment="1">
      <alignment horizontal="left" vertical="center" wrapText="1"/>
    </xf>
    <xf numFmtId="10" fontId="13" fillId="41" borderId="1" xfId="0" applyNumberFormat="1" applyFont="1" applyFill="1" applyBorder="1" applyAlignment="1" applyProtection="1">
      <alignment horizontal="center" vertical="center" wrapText="1"/>
    </xf>
    <xf numFmtId="176" fontId="13" fillId="41" borderId="1" xfId="0" applyNumberFormat="1" applyFont="1" applyFill="1" applyBorder="1" applyAlignment="1">
      <alignment horizontal="center" vertical="center"/>
    </xf>
    <xf numFmtId="0" fontId="13" fillId="10" borderId="1" xfId="0" applyFont="1" applyFill="1" applyBorder="1" applyAlignment="1">
      <alignment horizontal="left" vertical="center" wrapText="1"/>
    </xf>
    <xf numFmtId="0" fontId="1" fillId="9" borderId="1" xfId="0" applyFont="1" applyFill="1" applyBorder="1" applyAlignment="1">
      <alignment horizontal="center" vertical="center"/>
    </xf>
    <xf numFmtId="0" fontId="13" fillId="9" borderId="1" xfId="0" applyFont="1" applyFill="1" applyBorder="1" applyAlignment="1">
      <alignment horizontal="left" vertical="center" wrapText="1"/>
    </xf>
    <xf numFmtId="9" fontId="1" fillId="6" borderId="1" xfId="0" applyNumberFormat="1" applyFont="1" applyFill="1" applyBorder="1" applyAlignment="1">
      <alignment horizontal="center" vertical="center"/>
    </xf>
    <xf numFmtId="0" fontId="13" fillId="11" borderId="1" xfId="0" applyFont="1" applyFill="1" applyBorder="1" applyAlignment="1">
      <alignment horizontal="left" vertical="center" wrapText="1"/>
    </xf>
    <xf numFmtId="9" fontId="1" fillId="11" borderId="1" xfId="0" applyNumberFormat="1" applyFont="1" applyFill="1" applyBorder="1" applyAlignment="1">
      <alignment horizontal="center" vertical="center"/>
    </xf>
    <xf numFmtId="0" fontId="2" fillId="2" borderId="12" xfId="0" applyFont="1" applyFill="1" applyBorder="1" applyAlignment="1">
      <alignment horizontal="center" vertical="center" wrapText="1"/>
    </xf>
    <xf numFmtId="9" fontId="7" fillId="2" borderId="1" xfId="0" applyNumberFormat="1" applyFont="1" applyFill="1" applyBorder="1" applyAlignment="1">
      <alignment horizontal="center" vertical="center"/>
    </xf>
    <xf numFmtId="178" fontId="2" fillId="2" borderId="17" xfId="0" applyNumberFormat="1" applyFont="1" applyFill="1" applyBorder="1" applyAlignment="1">
      <alignment horizontal="center" vertical="center"/>
    </xf>
    <xf numFmtId="0" fontId="2" fillId="2" borderId="9" xfId="0" applyFont="1" applyFill="1" applyBorder="1" applyAlignment="1">
      <alignment horizontal="center" vertical="center" wrapText="1"/>
    </xf>
    <xf numFmtId="9" fontId="7" fillId="2" borderId="2" xfId="0" applyNumberFormat="1" applyFont="1" applyFill="1" applyBorder="1" applyAlignment="1">
      <alignment horizontal="center" vertical="center"/>
    </xf>
    <xf numFmtId="178" fontId="2" fillId="2" borderId="21" xfId="0" applyNumberFormat="1" applyFont="1" applyFill="1" applyBorder="1" applyAlignment="1">
      <alignment horizontal="center" vertical="center"/>
    </xf>
    <xf numFmtId="0" fontId="13" fillId="2" borderId="2" xfId="0" applyFont="1" applyFill="1" applyBorder="1" applyAlignment="1">
      <alignment horizontal="left" vertical="center" wrapText="1"/>
    </xf>
    <xf numFmtId="9" fontId="7" fillId="0" borderId="1" xfId="0" applyNumberFormat="1" applyFont="1" applyFill="1" applyBorder="1" applyAlignment="1">
      <alignment horizontal="center" vertical="center"/>
    </xf>
    <xf numFmtId="9" fontId="7" fillId="0" borderId="2" xfId="0" applyNumberFormat="1" applyFont="1" applyFill="1" applyBorder="1" applyAlignment="1">
      <alignment horizontal="center" vertical="center"/>
    </xf>
    <xf numFmtId="9" fontId="7" fillId="0" borderId="10" xfId="0" applyNumberFormat="1" applyFont="1" applyFill="1" applyBorder="1" applyAlignment="1">
      <alignment horizontal="center" vertical="center"/>
    </xf>
    <xf numFmtId="0" fontId="8" fillId="0" borderId="2" xfId="0" applyFont="1" applyFill="1" applyBorder="1" applyAlignment="1">
      <alignment horizontal="center" vertical="center" wrapText="1"/>
    </xf>
    <xf numFmtId="9" fontId="8" fillId="0" borderId="2" xfId="0" applyNumberFormat="1" applyFont="1" applyFill="1" applyBorder="1" applyAlignment="1">
      <alignment horizontal="center" vertical="center"/>
    </xf>
    <xf numFmtId="178" fontId="7" fillId="0" borderId="2" xfId="0" applyNumberFormat="1" applyFont="1" applyFill="1" applyBorder="1" applyAlignment="1">
      <alignment horizontal="center" vertical="center"/>
    </xf>
    <xf numFmtId="9" fontId="7" fillId="0" borderId="11" xfId="0" applyNumberFormat="1" applyFont="1" applyFill="1" applyBorder="1" applyAlignment="1">
      <alignment horizontal="center" vertical="center"/>
    </xf>
    <xf numFmtId="178" fontId="2" fillId="0" borderId="11" xfId="0" applyNumberFormat="1" applyFont="1" applyFill="1" applyBorder="1" applyAlignment="1">
      <alignment horizontal="center" vertical="center"/>
    </xf>
    <xf numFmtId="176" fontId="3" fillId="15" borderId="2" xfId="0" applyNumberFormat="1" applyFont="1" applyFill="1" applyBorder="1" applyAlignment="1">
      <alignment horizontal="center" vertical="center"/>
    </xf>
    <xf numFmtId="0" fontId="7" fillId="15" borderId="6" xfId="0" applyFont="1" applyFill="1" applyBorder="1" applyAlignment="1">
      <alignment horizontal="center" vertical="center"/>
    </xf>
    <xf numFmtId="177" fontId="3" fillId="15" borderId="6" xfId="0" applyNumberFormat="1" applyFont="1" applyFill="1" applyBorder="1" applyAlignment="1">
      <alignment horizontal="center" vertical="center"/>
    </xf>
    <xf numFmtId="176" fontId="6" fillId="15" borderId="2" xfId="0" applyNumberFormat="1" applyFont="1" applyFill="1" applyBorder="1" applyAlignment="1">
      <alignment horizontal="center" vertical="center"/>
    </xf>
    <xf numFmtId="0" fontId="11" fillId="15" borderId="6" xfId="0" applyFont="1" applyFill="1" applyBorder="1" applyAlignment="1">
      <alignment horizontal="center" vertical="center"/>
    </xf>
    <xf numFmtId="177" fontId="11" fillId="15" borderId="6" xfId="0" applyNumberFormat="1" applyFont="1" applyFill="1" applyBorder="1" applyAlignment="1">
      <alignment horizontal="center" vertical="center"/>
    </xf>
    <xf numFmtId="178" fontId="1" fillId="15" borderId="2" xfId="0" applyNumberFormat="1" applyFont="1" applyFill="1" applyBorder="1" applyAlignment="1">
      <alignment horizontal="center" vertical="center"/>
    </xf>
    <xf numFmtId="176" fontId="6" fillId="39" borderId="1" xfId="0" applyNumberFormat="1" applyFont="1" applyFill="1" applyBorder="1" applyAlignment="1">
      <alignment horizontal="center" vertical="center"/>
    </xf>
    <xf numFmtId="0" fontId="11" fillId="26" borderId="6" xfId="0" applyFont="1" applyFill="1" applyBorder="1" applyAlignment="1">
      <alignment horizontal="center" vertical="center"/>
    </xf>
    <xf numFmtId="177" fontId="11" fillId="26" borderId="6" xfId="0" applyNumberFormat="1" applyFont="1" applyFill="1" applyBorder="1" applyAlignment="1">
      <alignment horizontal="center" vertical="center"/>
    </xf>
    <xf numFmtId="0" fontId="11" fillId="39" borderId="1" xfId="0" applyFont="1" applyFill="1" applyBorder="1" applyAlignment="1">
      <alignment horizontal="center" vertical="center"/>
    </xf>
    <xf numFmtId="177" fontId="6" fillId="39" borderId="1" xfId="0" applyNumberFormat="1" applyFont="1" applyFill="1" applyBorder="1" applyAlignment="1">
      <alignment horizontal="center" vertical="center"/>
    </xf>
    <xf numFmtId="176" fontId="3" fillId="5" borderId="11" xfId="0" applyNumberFormat="1" applyFont="1" applyFill="1" applyBorder="1" applyAlignment="1">
      <alignment horizontal="center" vertical="center"/>
    </xf>
    <xf numFmtId="177" fontId="3" fillId="5" borderId="3" xfId="0" applyNumberFormat="1" applyFont="1" applyFill="1" applyBorder="1" applyAlignment="1">
      <alignment horizontal="center" vertical="center"/>
    </xf>
    <xf numFmtId="178" fontId="1" fillId="5" borderId="11" xfId="0" applyNumberFormat="1" applyFont="1" applyFill="1" applyBorder="1" applyAlignment="1">
      <alignment horizontal="center" vertical="center"/>
    </xf>
    <xf numFmtId="0" fontId="7" fillId="5" borderId="6" xfId="0" applyFont="1" applyFill="1" applyBorder="1" applyAlignment="1">
      <alignment horizontal="center" vertical="center"/>
    </xf>
    <xf numFmtId="177" fontId="3" fillId="5" borderId="6" xfId="0" applyNumberFormat="1" applyFont="1" applyFill="1" applyBorder="1" applyAlignment="1">
      <alignment horizontal="center" vertical="center"/>
    </xf>
    <xf numFmtId="0" fontId="11" fillId="5" borderId="6" xfId="0" applyFont="1" applyFill="1" applyBorder="1" applyAlignment="1">
      <alignment horizontal="center" vertical="center"/>
    </xf>
    <xf numFmtId="177" fontId="6" fillId="5" borderId="6" xfId="0" applyNumberFormat="1" applyFont="1" applyFill="1" applyBorder="1" applyAlignment="1">
      <alignment horizontal="center" vertical="center"/>
    </xf>
    <xf numFmtId="176" fontId="3" fillId="40" borderId="1" xfId="0" applyNumberFormat="1" applyFont="1" applyFill="1" applyBorder="1" applyAlignment="1">
      <alignment horizontal="center" vertical="center"/>
    </xf>
    <xf numFmtId="0" fontId="3" fillId="40" borderId="1" xfId="0" applyFont="1" applyFill="1" applyBorder="1" applyAlignment="1">
      <alignment horizontal="center" vertical="center"/>
    </xf>
    <xf numFmtId="177" fontId="3" fillId="40" borderId="1" xfId="0" applyNumberFormat="1" applyFont="1" applyFill="1" applyBorder="1" applyAlignment="1">
      <alignment horizontal="center" vertical="center"/>
    </xf>
    <xf numFmtId="176" fontId="3" fillId="41" borderId="1" xfId="0" applyNumberFormat="1" applyFont="1" applyFill="1" applyBorder="1" applyAlignment="1">
      <alignment horizontal="center" vertical="center"/>
    </xf>
    <xf numFmtId="0" fontId="7" fillId="41" borderId="1" xfId="0" applyFont="1" applyFill="1" applyBorder="1" applyAlignment="1">
      <alignment horizontal="center" vertical="center"/>
    </xf>
    <xf numFmtId="177" fontId="3" fillId="41" borderId="2" xfId="0" applyNumberFormat="1" applyFont="1" applyFill="1" applyBorder="1" applyAlignment="1">
      <alignment horizontal="center" vertical="center"/>
    </xf>
    <xf numFmtId="178" fontId="3" fillId="41" borderId="1" xfId="0" applyNumberFormat="1" applyFont="1" applyFill="1" applyBorder="1" applyAlignment="1">
      <alignment horizontal="center" vertical="center"/>
    </xf>
    <xf numFmtId="177" fontId="6" fillId="6" borderId="2" xfId="0" applyNumberFormat="1" applyFont="1" applyFill="1" applyBorder="1" applyAlignment="1">
      <alignment horizontal="center" vertical="center"/>
    </xf>
    <xf numFmtId="176" fontId="3" fillId="9" borderId="1" xfId="0" applyNumberFormat="1" applyFont="1" applyFill="1" applyBorder="1" applyAlignment="1">
      <alignment horizontal="center" vertical="center"/>
    </xf>
    <xf numFmtId="0" fontId="7" fillId="9" borderId="1" xfId="0" applyFont="1" applyFill="1" applyBorder="1" applyAlignment="1">
      <alignment horizontal="center" vertical="center"/>
    </xf>
    <xf numFmtId="177" fontId="3" fillId="9" borderId="2" xfId="0" applyNumberFormat="1" applyFont="1" applyFill="1" applyBorder="1" applyAlignment="1">
      <alignment horizontal="center" vertical="center"/>
    </xf>
    <xf numFmtId="178" fontId="1" fillId="9" borderId="1" xfId="0" applyNumberFormat="1" applyFont="1" applyFill="1" applyBorder="1" applyAlignment="1">
      <alignment horizontal="center" vertical="center"/>
    </xf>
    <xf numFmtId="14" fontId="3" fillId="6" borderId="1" xfId="0" applyNumberFormat="1" applyFont="1" applyFill="1" applyBorder="1" applyAlignment="1">
      <alignment horizontal="center" vertical="center"/>
    </xf>
    <xf numFmtId="14" fontId="3" fillId="6" borderId="2" xfId="0" applyNumberFormat="1" applyFont="1" applyFill="1" applyBorder="1" applyAlignment="1">
      <alignment horizontal="center" vertical="center"/>
    </xf>
    <xf numFmtId="14" fontId="6" fillId="6" borderId="2" xfId="0" applyNumberFormat="1" applyFont="1" applyFill="1" applyBorder="1" applyAlignment="1">
      <alignment horizontal="center" vertical="center"/>
    </xf>
    <xf numFmtId="0" fontId="3" fillId="11" borderId="1" xfId="0" applyFont="1" applyFill="1" applyBorder="1" applyAlignment="1">
      <alignment horizontal="center" vertical="center"/>
    </xf>
    <xf numFmtId="14" fontId="3" fillId="11" borderId="1" xfId="0" applyNumberFormat="1" applyFont="1" applyFill="1" applyBorder="1" applyAlignment="1">
      <alignment horizontal="center" vertical="center"/>
    </xf>
    <xf numFmtId="178" fontId="7" fillId="2" borderId="2" xfId="0" applyNumberFormat="1" applyFont="1" applyFill="1" applyBorder="1" applyAlignment="1">
      <alignment horizontal="center" vertical="center"/>
    </xf>
    <xf numFmtId="178" fontId="11" fillId="0" borderId="1" xfId="0" applyNumberFormat="1" applyFont="1" applyFill="1" applyBorder="1" applyAlignment="1">
      <alignment horizontal="center" vertical="center"/>
    </xf>
    <xf numFmtId="0" fontId="11" fillId="0" borderId="1" xfId="0" applyFont="1" applyFill="1" applyBorder="1" applyAlignment="1">
      <alignment horizontal="center" vertical="center" wrapText="1"/>
    </xf>
    <xf numFmtId="178" fontId="7" fillId="0" borderId="10" xfId="0" applyNumberFormat="1" applyFont="1" applyFill="1" applyBorder="1" applyAlignment="1">
      <alignment horizontal="center" vertical="center"/>
    </xf>
    <xf numFmtId="178" fontId="7" fillId="0" borderId="11" xfId="0" applyNumberFormat="1" applyFont="1" applyFill="1" applyBorder="1" applyAlignment="1">
      <alignment horizontal="center" vertical="center"/>
    </xf>
    <xf numFmtId="178" fontId="13" fillId="15" borderId="2" xfId="0" applyNumberFormat="1" applyFont="1" applyFill="1" applyBorder="1" applyAlignment="1">
      <alignment horizontal="center" vertical="center"/>
    </xf>
    <xf numFmtId="177" fontId="1" fillId="15" borderId="2" xfId="0" applyNumberFormat="1" applyFont="1" applyFill="1" applyBorder="1" applyAlignment="1">
      <alignment horizontal="center" vertical="center"/>
    </xf>
    <xf numFmtId="177" fontId="3" fillId="15" borderId="2" xfId="0" applyNumberFormat="1" applyFont="1" applyFill="1" applyBorder="1" applyAlignment="1">
      <alignment horizontal="center" vertical="center"/>
    </xf>
    <xf numFmtId="177" fontId="1" fillId="15" borderId="2" xfId="0" applyNumberFormat="1" applyFont="1" applyFill="1" applyBorder="1" applyAlignment="1">
      <alignment vertical="center"/>
    </xf>
    <xf numFmtId="177" fontId="1" fillId="39" borderId="1" xfId="0" applyNumberFormat="1" applyFont="1" applyFill="1" applyBorder="1" applyAlignment="1">
      <alignment vertical="center"/>
    </xf>
    <xf numFmtId="177" fontId="3" fillId="5" borderId="11" xfId="0" applyNumberFormat="1" applyFont="1" applyFill="1" applyBorder="1" applyAlignment="1">
      <alignment horizontal="center" vertical="center"/>
    </xf>
    <xf numFmtId="178" fontId="13" fillId="5" borderId="11" xfId="0" applyNumberFormat="1" applyFont="1" applyFill="1" applyBorder="1" applyAlignment="1">
      <alignment horizontal="center" vertical="center"/>
    </xf>
    <xf numFmtId="177" fontId="1" fillId="5" borderId="11" xfId="0" applyNumberFormat="1" applyFont="1" applyFill="1" applyBorder="1" applyAlignment="1">
      <alignment horizontal="center" vertical="center"/>
    </xf>
    <xf numFmtId="177" fontId="1" fillId="5" borderId="1" xfId="0" applyNumberFormat="1" applyFont="1" applyFill="1" applyBorder="1" applyAlignment="1">
      <alignment vertical="center"/>
    </xf>
    <xf numFmtId="177" fontId="7" fillId="5" borderId="2" xfId="0" applyNumberFormat="1" applyFont="1" applyFill="1" applyBorder="1" applyAlignment="1">
      <alignment horizontal="center" vertical="center"/>
    </xf>
    <xf numFmtId="176" fontId="1" fillId="5" borderId="1" xfId="0" applyNumberFormat="1" applyFont="1" applyFill="1" applyBorder="1" applyAlignment="1">
      <alignment horizontal="center" vertical="center"/>
    </xf>
    <xf numFmtId="177" fontId="1" fillId="40" borderId="1" xfId="0" applyNumberFormat="1" applyFont="1" applyFill="1" applyBorder="1" applyAlignment="1">
      <alignment horizontal="center" vertical="center"/>
    </xf>
    <xf numFmtId="178" fontId="13" fillId="40" borderId="1" xfId="0" applyNumberFormat="1" applyFont="1" applyFill="1" applyBorder="1" applyAlignment="1">
      <alignment horizontal="center" vertical="center"/>
    </xf>
    <xf numFmtId="177" fontId="1" fillId="40" borderId="1" xfId="0" applyNumberFormat="1" applyFont="1" applyFill="1" applyBorder="1" applyAlignment="1">
      <alignment vertical="center"/>
    </xf>
    <xf numFmtId="177" fontId="1" fillId="41" borderId="1" xfId="0" applyNumberFormat="1" applyFont="1" applyFill="1" applyBorder="1" applyAlignment="1">
      <alignment horizontal="center" vertical="center"/>
    </xf>
    <xf numFmtId="177" fontId="3" fillId="41" borderId="1" xfId="0" applyNumberFormat="1" applyFont="1" applyFill="1" applyBorder="1" applyAlignment="1">
      <alignment horizontal="center" vertical="center"/>
    </xf>
    <xf numFmtId="178" fontId="13" fillId="41" borderId="1" xfId="0" applyNumberFormat="1" applyFont="1" applyFill="1" applyBorder="1" applyAlignment="1">
      <alignment horizontal="center" vertical="center"/>
    </xf>
    <xf numFmtId="177" fontId="1" fillId="9" borderId="1" xfId="0" applyNumberFormat="1" applyFont="1" applyFill="1" applyBorder="1" applyAlignment="1">
      <alignment horizontal="center" vertical="center"/>
    </xf>
    <xf numFmtId="178" fontId="13" fillId="9" borderId="1" xfId="0" applyNumberFormat="1" applyFont="1" applyFill="1" applyBorder="1" applyAlignment="1">
      <alignment horizontal="center" vertical="center"/>
    </xf>
    <xf numFmtId="177" fontId="1" fillId="9" borderId="1" xfId="0" applyNumberFormat="1" applyFont="1" applyFill="1" applyBorder="1" applyAlignment="1">
      <alignment vertical="center"/>
    </xf>
    <xf numFmtId="176" fontId="6" fillId="9" borderId="1" xfId="0" applyNumberFormat="1" applyFont="1" applyFill="1" applyBorder="1" applyAlignment="1">
      <alignment horizontal="center" vertical="center"/>
    </xf>
    <xf numFmtId="14" fontId="1" fillId="6" borderId="1" xfId="0" applyNumberFormat="1" applyFont="1" applyFill="1" applyBorder="1">
      <alignment vertical="center"/>
    </xf>
    <xf numFmtId="176" fontId="1" fillId="6" borderId="1" xfId="0" applyNumberFormat="1" applyFont="1" applyFill="1" applyBorder="1">
      <alignment vertical="center"/>
    </xf>
    <xf numFmtId="14" fontId="1" fillId="11" borderId="1" xfId="0" applyNumberFormat="1" applyFont="1" applyFill="1" applyBorder="1" applyAlignment="1">
      <alignment horizontal="center" vertical="center"/>
    </xf>
    <xf numFmtId="177" fontId="2" fillId="2" borderId="2" xfId="0" applyNumberFormat="1" applyFont="1" applyFill="1" applyBorder="1" applyAlignment="1">
      <alignment horizontal="center" vertical="center"/>
    </xf>
    <xf numFmtId="177" fontId="2" fillId="2" borderId="10" xfId="0" applyNumberFormat="1" applyFont="1" applyFill="1" applyBorder="1" applyAlignment="1">
      <alignment horizontal="center" vertical="center"/>
    </xf>
    <xf numFmtId="177" fontId="2" fillId="2" borderId="11" xfId="0" applyNumberFormat="1" applyFont="1" applyFill="1" applyBorder="1" applyAlignment="1">
      <alignment horizontal="center" vertical="center"/>
    </xf>
    <xf numFmtId="0" fontId="3" fillId="2" borderId="2" xfId="0" applyFont="1" applyFill="1" applyBorder="1" applyAlignment="1">
      <alignment horizontal="center" vertical="center"/>
    </xf>
    <xf numFmtId="176" fontId="11" fillId="0" borderId="1" xfId="0" applyNumberFormat="1" applyFont="1" applyFill="1" applyBorder="1" applyAlignment="1">
      <alignment horizontal="center" vertical="center"/>
    </xf>
    <xf numFmtId="0" fontId="15" fillId="0" borderId="1" xfId="0" applyFont="1" applyFill="1" applyBorder="1" applyAlignment="1">
      <alignment horizontal="center" vertical="center"/>
    </xf>
    <xf numFmtId="14" fontId="15" fillId="0" borderId="1" xfId="0" applyNumberFormat="1" applyFont="1" applyFill="1" applyBorder="1" applyAlignment="1">
      <alignment horizontal="center" vertical="center"/>
    </xf>
    <xf numFmtId="176" fontId="7" fillId="0" borderId="2" xfId="0" applyNumberFormat="1" applyFont="1" applyFill="1" applyBorder="1" applyAlignment="1">
      <alignment horizontal="center" vertical="center"/>
    </xf>
    <xf numFmtId="14" fontId="7" fillId="0" borderId="2" xfId="0" applyNumberFormat="1" applyFont="1" applyFill="1" applyBorder="1" applyAlignment="1">
      <alignment horizontal="center" vertical="center"/>
    </xf>
    <xf numFmtId="176" fontId="7" fillId="0" borderId="11" xfId="0" applyNumberFormat="1" applyFont="1" applyFill="1" applyBorder="1" applyAlignment="1">
      <alignment horizontal="center" vertical="center"/>
    </xf>
    <xf numFmtId="14" fontId="7" fillId="0" borderId="11" xfId="0" applyNumberFormat="1" applyFont="1" applyFill="1" applyBorder="1" applyAlignment="1">
      <alignment horizontal="center" vertical="center"/>
    </xf>
    <xf numFmtId="178" fontId="3" fillId="15" borderId="2" xfId="0" applyNumberFormat="1" applyFont="1" applyFill="1" applyBorder="1" applyAlignment="1">
      <alignment horizontal="center" vertical="center"/>
    </xf>
    <xf numFmtId="0" fontId="1" fillId="15" borderId="2" xfId="0" applyFont="1" applyFill="1" applyBorder="1">
      <alignment vertical="center"/>
    </xf>
    <xf numFmtId="177" fontId="1" fillId="5" borderId="10" xfId="0" applyNumberFormat="1" applyFont="1" applyFill="1" applyBorder="1" applyAlignment="1">
      <alignment horizontal="center" vertical="center"/>
    </xf>
    <xf numFmtId="178" fontId="3" fillId="5" borderId="11" xfId="0" applyNumberFormat="1" applyFont="1" applyFill="1" applyBorder="1" applyAlignment="1">
      <alignment horizontal="center" vertical="center"/>
    </xf>
    <xf numFmtId="0" fontId="1" fillId="5" borderId="11" xfId="0" applyFont="1" applyFill="1" applyBorder="1">
      <alignment vertical="center"/>
    </xf>
    <xf numFmtId="177" fontId="1" fillId="5" borderId="2" xfId="0" applyNumberFormat="1" applyFont="1" applyFill="1" applyBorder="1" applyAlignment="1">
      <alignment horizontal="center" vertical="center"/>
    </xf>
    <xf numFmtId="177" fontId="3" fillId="40" borderId="2" xfId="0" applyNumberFormat="1" applyFont="1" applyFill="1" applyBorder="1" applyAlignment="1">
      <alignment horizontal="center" vertical="center"/>
    </xf>
    <xf numFmtId="0" fontId="2" fillId="40" borderId="1" xfId="0" applyFont="1" applyFill="1" applyBorder="1" applyAlignment="1">
      <alignment horizontal="center" vertical="center" wrapText="1"/>
    </xf>
    <xf numFmtId="0" fontId="1" fillId="40" borderId="1" xfId="0" applyFont="1" applyFill="1" applyBorder="1">
      <alignment vertical="center"/>
    </xf>
    <xf numFmtId="177" fontId="1" fillId="40" borderId="2" xfId="0" applyNumberFormat="1" applyFont="1" applyFill="1" applyBorder="1" applyAlignment="1">
      <alignment horizontal="center" vertical="center"/>
    </xf>
    <xf numFmtId="0" fontId="1" fillId="41" borderId="1" xfId="0" applyFont="1" applyFill="1" applyBorder="1">
      <alignment vertical="center"/>
    </xf>
    <xf numFmtId="0" fontId="2" fillId="9" borderId="1" xfId="0" applyFont="1" applyFill="1" applyBorder="1" applyAlignment="1">
      <alignment horizontal="center" vertical="center" wrapText="1"/>
    </xf>
    <xf numFmtId="0" fontId="1" fillId="9" borderId="1" xfId="0" applyFont="1" applyFill="1" applyBorder="1">
      <alignment vertical="center"/>
    </xf>
    <xf numFmtId="177" fontId="6" fillId="9" borderId="2" xfId="0" applyNumberFormat="1" applyFont="1" applyFill="1" applyBorder="1" applyAlignment="1">
      <alignment horizontal="center" vertical="center"/>
    </xf>
    <xf numFmtId="0" fontId="11" fillId="9" borderId="1" xfId="0" applyFont="1" applyFill="1" applyBorder="1" applyAlignment="1">
      <alignment horizontal="center" vertical="center" wrapText="1"/>
    </xf>
    <xf numFmtId="176" fontId="2" fillId="2" borderId="2" xfId="0" applyNumberFormat="1" applyFont="1" applyFill="1" applyBorder="1" applyAlignment="1">
      <alignment horizontal="center" vertical="center"/>
    </xf>
    <xf numFmtId="0" fontId="8" fillId="0" borderId="1" xfId="0" applyFont="1" applyFill="1" applyBorder="1" applyAlignment="1">
      <alignment horizontal="left" vertical="center" wrapText="1"/>
    </xf>
    <xf numFmtId="0" fontId="1" fillId="15" borderId="2" xfId="0" applyFont="1" applyFill="1" applyBorder="1" applyAlignment="1">
      <alignment horizontal="left" vertical="center" wrapText="1"/>
    </xf>
    <xf numFmtId="0" fontId="1" fillId="15" borderId="2" xfId="0" applyFont="1" applyFill="1" applyBorder="1" applyAlignment="1">
      <alignment horizontal="center" vertical="center"/>
    </xf>
    <xf numFmtId="0" fontId="1" fillId="5" borderId="11" xfId="0" applyFont="1" applyFill="1" applyBorder="1" applyAlignment="1">
      <alignment horizontal="left" vertical="center" wrapText="1"/>
    </xf>
    <xf numFmtId="0" fontId="1" fillId="5" borderId="11" xfId="0" applyFont="1" applyFill="1" applyBorder="1" applyAlignment="1">
      <alignment horizontal="center" vertical="center"/>
    </xf>
    <xf numFmtId="0" fontId="1" fillId="40" borderId="1" xfId="0" applyFont="1" applyFill="1" applyBorder="1" applyAlignment="1">
      <alignment horizontal="left" vertical="center" wrapText="1"/>
    </xf>
    <xf numFmtId="0" fontId="1" fillId="41" borderId="1" xfId="0" applyFont="1" applyFill="1" applyBorder="1" applyAlignment="1">
      <alignment horizontal="left" vertical="center" wrapText="1"/>
    </xf>
    <xf numFmtId="0" fontId="1" fillId="5" borderId="2" xfId="0" applyFont="1" applyFill="1" applyBorder="1" applyAlignment="1">
      <alignment horizontal="center" vertical="center"/>
    </xf>
    <xf numFmtId="0" fontId="1" fillId="40" borderId="2" xfId="0" applyFont="1" applyFill="1" applyBorder="1" applyAlignment="1">
      <alignment horizontal="center" vertical="center"/>
    </xf>
    <xf numFmtId="0" fontId="1" fillId="41" borderId="2" xfId="0" applyFont="1" applyFill="1" applyBorder="1" applyAlignment="1">
      <alignment horizontal="center" vertical="center"/>
    </xf>
    <xf numFmtId="0" fontId="1" fillId="9" borderId="2" xfId="0" applyFont="1" applyFill="1" applyBorder="1" applyAlignment="1">
      <alignment horizontal="center" vertical="center"/>
    </xf>
    <xf numFmtId="0" fontId="2" fillId="2" borderId="42" xfId="0" applyFont="1" applyFill="1" applyBorder="1" applyAlignment="1">
      <alignment horizontal="center" vertical="center"/>
    </xf>
    <xf numFmtId="0" fontId="2" fillId="2" borderId="43" xfId="0" applyFont="1" applyFill="1" applyBorder="1" applyAlignment="1">
      <alignment horizontal="center" vertical="center"/>
    </xf>
    <xf numFmtId="14" fontId="1" fillId="0" borderId="44" xfId="0" applyNumberFormat="1" applyFont="1" applyFill="1" applyBorder="1" applyAlignment="1">
      <alignment horizontal="center" vertical="center"/>
    </xf>
    <xf numFmtId="0" fontId="1" fillId="0" borderId="15" xfId="0" applyFont="1" applyFill="1" applyBorder="1" applyAlignment="1">
      <alignment horizontal="center" vertical="center"/>
    </xf>
    <xf numFmtId="0" fontId="1" fillId="0" borderId="1" xfId="0" applyFont="1" applyFill="1" applyBorder="1" applyAlignment="1">
      <alignment horizontal="center" vertical="center"/>
    </xf>
    <xf numFmtId="14" fontId="1" fillId="0" borderId="27" xfId="0" applyNumberFormat="1" applyFont="1" applyFill="1" applyBorder="1" applyAlignment="1">
      <alignment horizontal="center" vertical="center"/>
    </xf>
    <xf numFmtId="0" fontId="1" fillId="0" borderId="0" xfId="0" applyFont="1" applyFill="1" applyBorder="1" applyAlignment="1">
      <alignment horizontal="center" vertical="center"/>
    </xf>
    <xf numFmtId="0" fontId="1" fillId="0" borderId="3" xfId="0" applyFont="1" applyFill="1" applyBorder="1" applyAlignment="1">
      <alignment horizontal="center" vertical="center"/>
    </xf>
    <xf numFmtId="49" fontId="1" fillId="0" borderId="3" xfId="0" applyNumberFormat="1" applyFont="1" applyFill="1" applyBorder="1" applyAlignment="1">
      <alignment horizontal="center" vertical="center" wrapText="1"/>
    </xf>
    <xf numFmtId="14" fontId="1" fillId="10" borderId="40" xfId="0" applyNumberFormat="1" applyFont="1" applyFill="1" applyBorder="1" applyAlignment="1">
      <alignment horizontal="center" vertical="center"/>
    </xf>
    <xf numFmtId="49" fontId="1" fillId="10" borderId="2" xfId="0" applyNumberFormat="1" applyFont="1" applyFill="1" applyBorder="1" applyAlignment="1">
      <alignment horizontal="center" vertical="center" wrapText="1"/>
    </xf>
    <xf numFmtId="14" fontId="1" fillId="10" borderId="41" xfId="0" applyNumberFormat="1" applyFont="1" applyFill="1" applyBorder="1" applyAlignment="1">
      <alignment horizontal="center" vertical="center"/>
    </xf>
    <xf numFmtId="49" fontId="1" fillId="10" borderId="10" xfId="0" applyNumberFormat="1" applyFont="1" applyFill="1" applyBorder="1" applyAlignment="1">
      <alignment horizontal="center" vertical="center" wrapText="1"/>
    </xf>
    <xf numFmtId="0" fontId="1" fillId="10" borderId="10" xfId="0" applyFont="1" applyFill="1" applyBorder="1" applyAlignment="1">
      <alignment horizontal="center" vertical="center"/>
    </xf>
    <xf numFmtId="14" fontId="1" fillId="10" borderId="38" xfId="0" applyNumberFormat="1" applyFont="1" applyFill="1" applyBorder="1" applyAlignment="1">
      <alignment horizontal="center" vertical="center"/>
    </xf>
    <xf numFmtId="49" fontId="1" fillId="10" borderId="11" xfId="0" applyNumberFormat="1" applyFont="1" applyFill="1" applyBorder="1" applyAlignment="1">
      <alignment horizontal="center" vertical="center" wrapText="1"/>
    </xf>
    <xf numFmtId="14" fontId="1" fillId="11" borderId="18" xfId="0" applyNumberFormat="1" applyFont="1" applyFill="1" applyBorder="1" applyAlignment="1">
      <alignment horizontal="center" vertical="center"/>
    </xf>
    <xf numFmtId="49" fontId="7" fillId="11" borderId="18" xfId="0" applyNumberFormat="1" applyFont="1" applyFill="1" applyBorder="1" applyAlignment="1">
      <alignment horizontal="center" vertical="center" wrapText="1"/>
    </xf>
    <xf numFmtId="0" fontId="1" fillId="11" borderId="18" xfId="0" applyFont="1" applyFill="1" applyBorder="1" applyAlignment="1">
      <alignment horizontal="center" vertical="center" wrapText="1"/>
    </xf>
    <xf numFmtId="14" fontId="1" fillId="11" borderId="21" xfId="0" applyNumberFormat="1" applyFont="1" applyFill="1" applyBorder="1" applyAlignment="1">
      <alignment horizontal="center" vertical="center"/>
    </xf>
    <xf numFmtId="49" fontId="1" fillId="11" borderId="21" xfId="0" applyNumberFormat="1" applyFont="1" applyFill="1" applyBorder="1" applyAlignment="1">
      <alignment horizontal="center" vertical="center" wrapText="1"/>
    </xf>
    <xf numFmtId="0" fontId="1" fillId="11" borderId="21" xfId="0" applyFont="1" applyFill="1" applyBorder="1" applyAlignment="1">
      <alignment horizontal="center" vertical="center" wrapText="1"/>
    </xf>
    <xf numFmtId="14" fontId="1" fillId="11" borderId="45" xfId="0" applyNumberFormat="1" applyFont="1" applyFill="1" applyBorder="1" applyAlignment="1">
      <alignment horizontal="center" vertical="center"/>
    </xf>
    <xf numFmtId="49" fontId="1" fillId="11" borderId="45" xfId="0" applyNumberFormat="1" applyFont="1" applyFill="1" applyBorder="1" applyAlignment="1">
      <alignment vertical="center" wrapText="1"/>
    </xf>
    <xf numFmtId="0" fontId="1" fillId="11" borderId="45" xfId="0" applyFont="1" applyFill="1" applyBorder="1" applyAlignment="1">
      <alignment vertical="center" wrapText="1"/>
    </xf>
    <xf numFmtId="49" fontId="7" fillId="11" borderId="21" xfId="0" applyNumberFormat="1" applyFont="1" applyFill="1" applyBorder="1" applyAlignment="1">
      <alignment horizontal="center" vertical="center" wrapText="1"/>
    </xf>
    <xf numFmtId="14" fontId="1" fillId="0" borderId="2" xfId="0" applyNumberFormat="1" applyFont="1" applyFill="1" applyBorder="1" applyAlignment="1">
      <alignment horizontal="center" vertical="center"/>
    </xf>
    <xf numFmtId="14" fontId="1" fillId="0" borderId="10" xfId="0" applyNumberFormat="1" applyFont="1" applyFill="1" applyBorder="1" applyAlignment="1">
      <alignment horizontal="center" vertical="center"/>
    </xf>
    <xf numFmtId="49" fontId="1" fillId="0" borderId="10" xfId="0" applyNumberFormat="1" applyFont="1" applyFill="1" applyBorder="1" applyAlignment="1">
      <alignment horizontal="center" vertical="center" wrapText="1"/>
    </xf>
    <xf numFmtId="0" fontId="1" fillId="0" borderId="10" xfId="0" applyFont="1" applyFill="1" applyBorder="1" applyAlignment="1">
      <alignment horizontal="center" vertical="center" wrapText="1"/>
    </xf>
    <xf numFmtId="14" fontId="1" fillId="0" borderId="11" xfId="0" applyNumberFormat="1" applyFont="1" applyFill="1" applyBorder="1" applyAlignment="1">
      <alignment horizontal="center" vertical="center"/>
    </xf>
    <xf numFmtId="49" fontId="1" fillId="0" borderId="11" xfId="0" applyNumberFormat="1"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3" borderId="2" xfId="0" applyFont="1" applyFill="1" applyBorder="1" applyAlignment="1">
      <alignment horizontal="center" vertical="center"/>
    </xf>
    <xf numFmtId="14" fontId="1" fillId="3" borderId="21" xfId="0" applyNumberFormat="1" applyFont="1" applyFill="1" applyBorder="1" applyAlignment="1">
      <alignment horizontal="center" vertical="center"/>
    </xf>
    <xf numFmtId="49" fontId="7" fillId="3" borderId="21" xfId="0" applyNumberFormat="1" applyFont="1" applyFill="1" applyBorder="1" applyAlignment="1">
      <alignment horizontal="center" vertical="center" wrapText="1"/>
    </xf>
    <xf numFmtId="0" fontId="1" fillId="3" borderId="10" xfId="0" applyFont="1" applyFill="1" applyBorder="1" applyAlignment="1">
      <alignment horizontal="center" vertical="center"/>
    </xf>
    <xf numFmtId="49" fontId="1" fillId="3" borderId="21" xfId="0" applyNumberFormat="1" applyFont="1" applyFill="1" applyBorder="1" applyAlignment="1">
      <alignment horizontal="center" vertical="center" wrapText="1"/>
    </xf>
    <xf numFmtId="0" fontId="1" fillId="0" borderId="2" xfId="0" applyFont="1" applyFill="1" applyBorder="1" applyAlignment="1">
      <alignment horizontal="center" vertical="center"/>
    </xf>
    <xf numFmtId="0" fontId="1" fillId="0" borderId="10" xfId="0" applyFont="1" applyFill="1" applyBorder="1" applyAlignment="1">
      <alignment horizontal="center" vertical="center"/>
    </xf>
    <xf numFmtId="0" fontId="1" fillId="0" borderId="3"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0" borderId="2" xfId="0" applyFont="1" applyFill="1" applyBorder="1" applyAlignment="1">
      <alignment horizontal="center" vertical="center" wrapText="1"/>
    </xf>
    <xf numFmtId="0" fontId="1" fillId="10" borderId="10" xfId="0" applyFont="1" applyFill="1" applyBorder="1" applyAlignment="1">
      <alignment horizontal="center" vertical="center" wrapText="1"/>
    </xf>
    <xf numFmtId="0" fontId="1" fillId="10" borderId="1" xfId="0" applyFont="1" applyFill="1" applyBorder="1" applyAlignment="1">
      <alignment vertical="center" wrapText="1"/>
    </xf>
    <xf numFmtId="0" fontId="1" fillId="10" borderId="11" xfId="0" applyFont="1" applyFill="1" applyBorder="1" applyAlignment="1">
      <alignment horizontal="center" vertical="center" wrapText="1"/>
    </xf>
    <xf numFmtId="0" fontId="1" fillId="11" borderId="18" xfId="0" applyFont="1" applyFill="1" applyBorder="1" applyAlignment="1">
      <alignment horizontal="center" vertical="center"/>
    </xf>
    <xf numFmtId="0" fontId="1" fillId="11" borderId="21" xfId="0" applyFont="1" applyFill="1" applyBorder="1" applyAlignment="1">
      <alignment horizontal="center" vertical="center"/>
    </xf>
    <xf numFmtId="0" fontId="1" fillId="11" borderId="45" xfId="0" applyFont="1" applyFill="1" applyBorder="1" applyAlignment="1">
      <alignment horizontal="center" vertical="center" wrapText="1"/>
    </xf>
    <xf numFmtId="0" fontId="1" fillId="11" borderId="45" xfId="0" applyFont="1" applyFill="1" applyBorder="1" applyAlignment="1">
      <alignment horizontal="center" vertical="center"/>
    </xf>
    <xf numFmtId="0" fontId="1" fillId="0" borderId="11" xfId="0" applyFont="1" applyFill="1" applyBorder="1" applyAlignment="1">
      <alignment horizontal="center" vertical="center"/>
    </xf>
    <xf numFmtId="0" fontId="1" fillId="3" borderId="21" xfId="0" applyFont="1" applyFill="1" applyBorder="1" applyAlignment="1">
      <alignment horizontal="center" vertical="center" wrapText="1"/>
    </xf>
    <xf numFmtId="178" fontId="1" fillId="0" borderId="1" xfId="0" applyNumberFormat="1" applyFont="1" applyFill="1" applyBorder="1" applyAlignment="1">
      <alignment horizontal="center" vertical="center"/>
    </xf>
    <xf numFmtId="178" fontId="1" fillId="0" borderId="3" xfId="0" applyNumberFormat="1" applyFont="1" applyFill="1" applyBorder="1" applyAlignment="1">
      <alignment horizontal="center" vertical="center"/>
    </xf>
    <xf numFmtId="178" fontId="1" fillId="11" borderId="18" xfId="0" applyNumberFormat="1" applyFont="1" applyFill="1" applyBorder="1" applyAlignment="1">
      <alignment horizontal="center" vertical="center"/>
    </xf>
    <xf numFmtId="178" fontId="1" fillId="11" borderId="21" xfId="0" applyNumberFormat="1" applyFont="1" applyFill="1" applyBorder="1" applyAlignment="1">
      <alignment horizontal="center" vertical="center"/>
    </xf>
    <xf numFmtId="0" fontId="1" fillId="11" borderId="45" xfId="0" applyFont="1" applyFill="1" applyBorder="1">
      <alignment vertical="center"/>
    </xf>
    <xf numFmtId="178" fontId="1" fillId="11" borderId="45" xfId="0" applyNumberFormat="1" applyFont="1" applyFill="1" applyBorder="1" applyAlignment="1">
      <alignment horizontal="center" vertical="center"/>
    </xf>
    <xf numFmtId="0" fontId="1" fillId="3" borderId="21" xfId="0" applyFont="1" applyFill="1" applyBorder="1" applyAlignment="1">
      <alignment horizontal="center" vertical="center"/>
    </xf>
    <xf numFmtId="176" fontId="1" fillId="3" borderId="18" xfId="0" applyNumberFormat="1" applyFont="1" applyFill="1" applyBorder="1" applyAlignment="1">
      <alignment horizontal="center" vertical="center"/>
    </xf>
    <xf numFmtId="176" fontId="1" fillId="3" borderId="21"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10" xfId="0" applyFont="1" applyFill="1" applyBorder="1" applyAlignment="1">
      <alignment horizontal="center" vertical="center"/>
    </xf>
    <xf numFmtId="9" fontId="1" fillId="0" borderId="1" xfId="0" applyNumberFormat="1" applyFont="1" applyFill="1" applyBorder="1" applyAlignment="1">
      <alignment horizontal="center" vertical="center"/>
    </xf>
    <xf numFmtId="176" fontId="1" fillId="0" borderId="1" xfId="0" applyNumberFormat="1" applyFont="1" applyFill="1" applyBorder="1" applyAlignment="1">
      <alignment horizontal="center" vertical="center"/>
    </xf>
    <xf numFmtId="0" fontId="1" fillId="0" borderId="7" xfId="0" applyFont="1" applyFill="1" applyBorder="1" applyAlignment="1">
      <alignment horizontal="center" vertical="center"/>
    </xf>
    <xf numFmtId="9" fontId="1" fillId="0" borderId="11" xfId="0" applyNumberFormat="1" applyFont="1" applyFill="1" applyBorder="1" applyAlignment="1">
      <alignment horizontal="center" vertical="center"/>
    </xf>
    <xf numFmtId="176" fontId="1" fillId="0" borderId="11" xfId="0" applyNumberFormat="1" applyFont="1" applyFill="1" applyBorder="1" applyAlignment="1">
      <alignment horizontal="center" vertical="center"/>
    </xf>
    <xf numFmtId="9" fontId="1" fillId="0" borderId="10" xfId="0" applyNumberFormat="1" applyFont="1" applyFill="1" applyBorder="1" applyAlignment="1">
      <alignment horizontal="center" vertical="center"/>
    </xf>
    <xf numFmtId="0" fontId="13" fillId="0" borderId="11" xfId="0" applyFont="1" applyFill="1" applyBorder="1" applyAlignment="1">
      <alignment horizontal="center" vertical="center" wrapText="1"/>
    </xf>
    <xf numFmtId="0" fontId="1" fillId="0" borderId="9" xfId="0" applyFont="1" applyFill="1" applyBorder="1" applyAlignment="1">
      <alignment horizontal="center" vertical="center"/>
    </xf>
    <xf numFmtId="0" fontId="13" fillId="6" borderId="1" xfId="0" applyFont="1" applyFill="1" applyBorder="1" applyAlignment="1">
      <alignment horizontal="left" vertical="center" wrapText="1"/>
    </xf>
    <xf numFmtId="0" fontId="13" fillId="6" borderId="2" xfId="0" applyFont="1" applyFill="1" applyBorder="1" applyAlignment="1">
      <alignment horizontal="center" vertical="center" wrapText="1"/>
    </xf>
    <xf numFmtId="9" fontId="1" fillId="10" borderId="2" xfId="0" applyNumberFormat="1" applyFont="1" applyFill="1" applyBorder="1" applyAlignment="1">
      <alignment horizontal="center" vertical="center"/>
    </xf>
    <xf numFmtId="0" fontId="1" fillId="10" borderId="20" xfId="0" applyFont="1" applyFill="1" applyBorder="1" applyAlignment="1">
      <alignment horizontal="center" vertical="center"/>
    </xf>
    <xf numFmtId="0" fontId="13" fillId="6" borderId="11" xfId="0" applyFont="1" applyFill="1" applyBorder="1" applyAlignment="1">
      <alignment horizontal="left" vertical="center" wrapText="1"/>
    </xf>
    <xf numFmtId="9" fontId="1" fillId="10" borderId="11" xfId="0" applyNumberFormat="1" applyFont="1" applyFill="1" applyBorder="1" applyAlignment="1">
      <alignment horizontal="center" vertical="center"/>
    </xf>
    <xf numFmtId="0" fontId="2" fillId="11" borderId="15" xfId="0" applyFont="1" applyFill="1" applyBorder="1" applyAlignment="1">
      <alignment horizontal="center" vertical="center" wrapText="1"/>
    </xf>
    <xf numFmtId="9" fontId="7" fillId="11" borderId="1" xfId="0" applyNumberFormat="1" applyFont="1" applyFill="1" applyBorder="1" applyAlignment="1">
      <alignment horizontal="center" vertical="center"/>
    </xf>
    <xf numFmtId="0" fontId="2" fillId="11" borderId="17" xfId="0" applyFont="1" applyFill="1" applyBorder="1" applyAlignment="1">
      <alignment horizontal="center" vertical="center"/>
    </xf>
    <xf numFmtId="0" fontId="1" fillId="11" borderId="29" xfId="0" applyFont="1" applyFill="1" applyBorder="1" applyAlignment="1">
      <alignment horizontal="center" vertical="center"/>
    </xf>
    <xf numFmtId="0" fontId="1" fillId="11" borderId="20" xfId="0" applyFont="1" applyFill="1" applyBorder="1" applyAlignment="1">
      <alignment horizontal="center" vertical="center"/>
    </xf>
    <xf numFmtId="9" fontId="1" fillId="0" borderId="1" xfId="3" applyNumberFormat="1" applyFont="1" applyFill="1" applyBorder="1" applyAlignment="1">
      <alignment horizontal="center" vertical="center"/>
    </xf>
    <xf numFmtId="0" fontId="22" fillId="0" borderId="20" xfId="0" applyFont="1" applyFill="1" applyBorder="1" applyAlignment="1">
      <alignment horizontal="center" vertical="center" wrapText="1"/>
    </xf>
    <xf numFmtId="0" fontId="13" fillId="0" borderId="2" xfId="0" applyFont="1" applyFill="1" applyBorder="1" applyAlignment="1">
      <alignment horizontal="left" vertical="center" wrapText="1"/>
    </xf>
    <xf numFmtId="0" fontId="22" fillId="0" borderId="24" xfId="0" applyFont="1" applyFill="1" applyBorder="1" applyAlignment="1">
      <alignment horizontal="center" vertical="center" wrapText="1"/>
    </xf>
    <xf numFmtId="0" fontId="13" fillId="0" borderId="11" xfId="0" applyFont="1" applyFill="1" applyBorder="1" applyAlignment="1">
      <alignment horizontal="left" vertical="center" wrapText="1"/>
    </xf>
    <xf numFmtId="0" fontId="22" fillId="0" borderId="31"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2" fillId="3" borderId="17" xfId="0" applyFont="1" applyFill="1" applyBorder="1" applyAlignment="1">
      <alignment horizontal="center" vertical="center"/>
    </xf>
    <xf numFmtId="0" fontId="13" fillId="3" borderId="2" xfId="0" applyFont="1" applyFill="1" applyBorder="1" applyAlignment="1">
      <alignment horizontal="center" vertical="center" wrapText="1"/>
    </xf>
    <xf numFmtId="9" fontId="7" fillId="3" borderId="2" xfId="0" applyNumberFormat="1" applyFont="1" applyFill="1" applyBorder="1" applyAlignment="1">
      <alignment horizontal="center" vertical="center"/>
    </xf>
    <xf numFmtId="0" fontId="2" fillId="3" borderId="0" xfId="0" applyFont="1" applyFill="1" applyAlignment="1">
      <alignment horizontal="center" vertical="center" wrapText="1"/>
    </xf>
    <xf numFmtId="0" fontId="13" fillId="3" borderId="11" xfId="0" applyFont="1" applyFill="1" applyBorder="1" applyAlignment="1">
      <alignment horizontal="left" vertical="center" wrapText="1"/>
    </xf>
    <xf numFmtId="0" fontId="13" fillId="3" borderId="2" xfId="0" applyFont="1" applyFill="1" applyBorder="1" applyAlignment="1">
      <alignment horizontal="left" vertical="center" wrapText="1"/>
    </xf>
    <xf numFmtId="0" fontId="2" fillId="3" borderId="0" xfId="0" applyFont="1" applyFill="1" applyBorder="1" applyAlignment="1">
      <alignment horizontal="center" vertical="center"/>
    </xf>
    <xf numFmtId="0" fontId="2" fillId="3" borderId="20" xfId="0" applyFont="1" applyFill="1" applyBorder="1" applyAlignment="1">
      <alignment horizontal="center" vertical="center"/>
    </xf>
    <xf numFmtId="0" fontId="7" fillId="3" borderId="15" xfId="0" applyFont="1" applyFill="1" applyBorder="1" applyAlignment="1">
      <alignment horizontal="center" vertical="center" wrapText="1"/>
    </xf>
    <xf numFmtId="0" fontId="3" fillId="3" borderId="20" xfId="0" applyFont="1" applyFill="1" applyBorder="1" applyAlignment="1">
      <alignment horizontal="center" vertical="center"/>
    </xf>
    <xf numFmtId="0" fontId="3" fillId="2" borderId="20" xfId="0" applyFont="1" applyFill="1" applyBorder="1" applyAlignment="1">
      <alignment horizontal="center" vertical="center"/>
    </xf>
    <xf numFmtId="0" fontId="3" fillId="2" borderId="24" xfId="0" applyFont="1" applyFill="1" applyBorder="1" applyAlignment="1">
      <alignment horizontal="center" vertical="center"/>
    </xf>
    <xf numFmtId="9" fontId="7" fillId="2" borderId="10" xfId="0" applyNumberFormat="1" applyFont="1" applyFill="1" applyBorder="1" applyAlignment="1">
      <alignment horizontal="center" vertical="center"/>
    </xf>
    <xf numFmtId="0" fontId="3" fillId="2" borderId="31"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11" xfId="0" applyFont="1" applyFill="1" applyBorder="1" applyAlignment="1">
      <alignment horizontal="center" vertical="center"/>
    </xf>
    <xf numFmtId="177" fontId="3" fillId="0" borderId="11" xfId="0" applyNumberFormat="1" applyFont="1" applyFill="1" applyBorder="1" applyAlignment="1">
      <alignment horizontal="center" vertical="center"/>
    </xf>
    <xf numFmtId="0" fontId="6" fillId="6" borderId="1" xfId="0" applyFont="1" applyFill="1" applyBorder="1" applyAlignment="1">
      <alignment horizontal="center" vertical="center"/>
    </xf>
    <xf numFmtId="0" fontId="3" fillId="10" borderId="1" xfId="0" applyFont="1" applyFill="1" applyBorder="1" applyAlignment="1">
      <alignment horizontal="center" vertical="center"/>
    </xf>
    <xf numFmtId="0" fontId="23" fillId="0" borderId="1" xfId="0" applyFont="1" applyFill="1" applyBorder="1" applyAlignment="1">
      <alignment horizontal="center" vertical="center"/>
    </xf>
    <xf numFmtId="0" fontId="22"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14" fontId="6" fillId="0" borderId="1" xfId="0" applyNumberFormat="1" applyFont="1" applyFill="1" applyBorder="1" applyAlignment="1">
      <alignment horizontal="center" vertical="center"/>
    </xf>
    <xf numFmtId="0" fontId="25" fillId="0" borderId="1" xfId="0" applyFont="1" applyFill="1" applyBorder="1" applyAlignment="1">
      <alignment horizontal="center" vertical="center"/>
    </xf>
    <xf numFmtId="177" fontId="3" fillId="3" borderId="1" xfId="0" applyNumberFormat="1" applyFont="1" applyFill="1" applyBorder="1" applyAlignment="1">
      <alignment horizontal="center" vertical="center"/>
    </xf>
    <xf numFmtId="0" fontId="7" fillId="3"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7" fillId="2" borderId="1" xfId="0" applyNumberFormat="1" applyFont="1" applyFill="1" applyBorder="1" applyAlignment="1">
      <alignment horizontal="center" vertical="center"/>
    </xf>
    <xf numFmtId="176" fontId="6" fillId="2" borderId="1" xfId="0" applyNumberFormat="1" applyFont="1" applyFill="1" applyBorder="1" applyAlignment="1">
      <alignment horizontal="center" vertical="center"/>
    </xf>
    <xf numFmtId="14" fontId="1" fillId="0" borderId="1" xfId="0" applyNumberFormat="1" applyFont="1" applyFill="1" applyBorder="1" applyAlignment="1">
      <alignment horizontal="center" vertical="center"/>
    </xf>
    <xf numFmtId="14" fontId="1" fillId="0" borderId="11" xfId="0" applyNumberFormat="1" applyFont="1" applyFill="1" applyBorder="1">
      <alignment vertical="center"/>
    </xf>
    <xf numFmtId="14" fontId="1" fillId="0" borderId="1" xfId="0" applyNumberFormat="1" applyFont="1" applyFill="1" applyBorder="1">
      <alignment vertical="center"/>
    </xf>
    <xf numFmtId="14" fontId="1" fillId="6" borderId="1" xfId="0" applyNumberFormat="1" applyFont="1" applyFill="1" applyBorder="1" applyAlignment="1">
      <alignment horizontal="center" vertical="center"/>
    </xf>
    <xf numFmtId="14" fontId="1" fillId="11" borderId="1" xfId="0" applyNumberFormat="1" applyFont="1" applyFill="1" applyBorder="1">
      <alignment vertical="center"/>
    </xf>
    <xf numFmtId="14" fontId="3" fillId="11" borderId="2" xfId="0" applyNumberFormat="1" applyFont="1" applyFill="1" applyBorder="1" applyAlignment="1">
      <alignment horizontal="center" vertical="center"/>
    </xf>
    <xf numFmtId="0" fontId="3" fillId="11" borderId="11" xfId="0" applyFont="1" applyFill="1" applyBorder="1" applyAlignment="1">
      <alignment horizontal="center" vertical="center"/>
    </xf>
    <xf numFmtId="14" fontId="1" fillId="10" borderId="1" xfId="0" applyNumberFormat="1" applyFont="1" applyFill="1" applyBorder="1" applyAlignment="1">
      <alignment horizontal="center" vertical="center"/>
    </xf>
    <xf numFmtId="14" fontId="1" fillId="10" borderId="1" xfId="0" applyNumberFormat="1" applyFont="1" applyFill="1" applyBorder="1">
      <alignment vertical="center"/>
    </xf>
    <xf numFmtId="14" fontId="3" fillId="10" borderId="1" xfId="0" applyNumberFormat="1" applyFont="1" applyFill="1" applyBorder="1" applyAlignment="1">
      <alignment horizontal="center" vertical="center"/>
    </xf>
    <xf numFmtId="176" fontId="1" fillId="10" borderId="1" xfId="0" applyNumberFormat="1" applyFont="1" applyFill="1" applyBorder="1">
      <alignment vertical="center"/>
    </xf>
    <xf numFmtId="14" fontId="7" fillId="11" borderId="1" xfId="0" applyNumberFormat="1" applyFont="1" applyFill="1" applyBorder="1" applyAlignment="1">
      <alignment horizontal="center" vertical="center"/>
    </xf>
    <xf numFmtId="0" fontId="26" fillId="0" borderId="1" xfId="0" applyFont="1" applyFill="1" applyBorder="1" applyAlignment="1">
      <alignment horizontal="center" vertical="center" wrapText="1"/>
    </xf>
    <xf numFmtId="0" fontId="27" fillId="0" borderId="1" xfId="0" applyFont="1" applyFill="1" applyBorder="1" applyAlignment="1">
      <alignment horizontal="center" vertical="center" wrapText="1"/>
    </xf>
    <xf numFmtId="0" fontId="11" fillId="3" borderId="1" xfId="0" applyFont="1" applyFill="1" applyBorder="1" applyAlignment="1">
      <alignment horizontal="center" vertical="center"/>
    </xf>
    <xf numFmtId="14" fontId="11" fillId="3" borderId="1" xfId="0" applyNumberFormat="1" applyFont="1" applyFill="1" applyBorder="1" applyAlignment="1">
      <alignment horizontal="center" vertical="center"/>
    </xf>
    <xf numFmtId="14" fontId="1" fillId="3" borderId="1" xfId="0" applyNumberFormat="1" applyFont="1" applyFill="1" applyBorder="1" applyAlignment="1">
      <alignment horizontal="center" vertical="center"/>
    </xf>
    <xf numFmtId="176" fontId="1" fillId="3" borderId="1" xfId="0" applyNumberFormat="1" applyFont="1" applyFill="1" applyBorder="1" applyAlignment="1">
      <alignment horizontal="center" vertical="center"/>
    </xf>
    <xf numFmtId="14" fontId="1" fillId="2" borderId="1" xfId="0" applyNumberFormat="1" applyFont="1" applyFill="1" applyBorder="1" applyAlignment="1">
      <alignment horizontal="center" vertical="center"/>
    </xf>
    <xf numFmtId="176" fontId="1" fillId="2" borderId="1" xfId="0" applyNumberFormat="1" applyFont="1" applyFill="1" applyBorder="1" applyAlignment="1">
      <alignment horizontal="center" vertical="center"/>
    </xf>
    <xf numFmtId="0" fontId="1" fillId="0" borderId="10" xfId="0" applyFont="1" applyFill="1" applyBorder="1">
      <alignment vertical="center"/>
    </xf>
    <xf numFmtId="0" fontId="1" fillId="0" borderId="2" xfId="0" applyFont="1" applyFill="1" applyBorder="1">
      <alignment vertical="center"/>
    </xf>
    <xf numFmtId="177" fontId="3" fillId="11" borderId="10" xfId="0" applyNumberFormat="1" applyFont="1" applyFill="1" applyBorder="1" applyAlignment="1">
      <alignment horizontal="center" vertical="center"/>
    </xf>
    <xf numFmtId="177" fontId="7" fillId="10" borderId="2" xfId="0" applyNumberFormat="1" applyFont="1" applyFill="1" applyBorder="1" applyAlignment="1">
      <alignment horizontal="center" vertical="center" wrapText="1"/>
    </xf>
    <xf numFmtId="14" fontId="3" fillId="0" borderId="1" xfId="0" applyNumberFormat="1" applyFont="1" applyFill="1" applyBorder="1" applyAlignment="1">
      <alignment horizontal="center" vertical="center"/>
    </xf>
    <xf numFmtId="14" fontId="25" fillId="0" borderId="1" xfId="0" applyNumberFormat="1" applyFont="1" applyFill="1" applyBorder="1" applyAlignment="1">
      <alignment horizontal="center" vertical="center"/>
    </xf>
    <xf numFmtId="0" fontId="1" fillId="2" borderId="11" xfId="0" applyFont="1" applyFill="1" applyBorder="1">
      <alignment vertical="center"/>
    </xf>
    <xf numFmtId="14" fontId="1" fillId="10" borderId="2" xfId="0" applyNumberFormat="1" applyFont="1" applyFill="1" applyBorder="1" applyAlignment="1">
      <alignment horizontal="center" vertical="center"/>
    </xf>
    <xf numFmtId="49" fontId="7" fillId="10" borderId="1" xfId="0" applyNumberFormat="1" applyFont="1" applyFill="1" applyBorder="1" applyAlignment="1">
      <alignment horizontal="center" vertical="center" wrapText="1"/>
    </xf>
    <xf numFmtId="0" fontId="0" fillId="0" borderId="1" xfId="0" applyBorder="1">
      <alignment vertical="center"/>
    </xf>
    <xf numFmtId="14" fontId="1" fillId="10" borderId="10" xfId="0" applyNumberFormat="1" applyFont="1" applyFill="1" applyBorder="1" applyAlignment="1">
      <alignment horizontal="center" vertical="center"/>
    </xf>
    <xf numFmtId="49" fontId="0" fillId="0" borderId="1" xfId="0" applyNumberFormat="1" applyBorder="1">
      <alignment vertical="center"/>
    </xf>
    <xf numFmtId="14" fontId="1" fillId="10" borderId="11" xfId="0" applyNumberFormat="1" applyFont="1" applyFill="1" applyBorder="1" applyAlignment="1">
      <alignment horizontal="center" vertical="center"/>
    </xf>
    <xf numFmtId="14" fontId="1" fillId="12" borderId="2" xfId="0" applyNumberFormat="1" applyFont="1" applyFill="1" applyBorder="1" applyAlignment="1">
      <alignment horizontal="center" vertical="center"/>
    </xf>
    <xf numFmtId="49" fontId="1" fillId="12" borderId="2" xfId="0" applyNumberFormat="1" applyFont="1" applyFill="1" applyBorder="1" applyAlignment="1">
      <alignment horizontal="center" vertical="center" wrapText="1"/>
    </xf>
    <xf numFmtId="0" fontId="0" fillId="12" borderId="1" xfId="0" applyFill="1" applyBorder="1">
      <alignment vertical="center"/>
    </xf>
    <xf numFmtId="14" fontId="1" fillId="12" borderId="10" xfId="0" applyNumberFormat="1" applyFont="1" applyFill="1" applyBorder="1" applyAlignment="1">
      <alignment horizontal="center" vertical="center"/>
    </xf>
    <xf numFmtId="49" fontId="1" fillId="12" borderId="10" xfId="0" applyNumberFormat="1" applyFont="1" applyFill="1" applyBorder="1" applyAlignment="1">
      <alignment horizontal="center" vertical="center" wrapText="1"/>
    </xf>
    <xf numFmtId="14" fontId="1" fillId="12" borderId="11" xfId="0" applyNumberFormat="1" applyFont="1" applyFill="1" applyBorder="1" applyAlignment="1">
      <alignment horizontal="center" vertical="center"/>
    </xf>
    <xf numFmtId="49" fontId="1" fillId="12" borderId="11" xfId="0" applyNumberFormat="1" applyFont="1" applyFill="1" applyBorder="1" applyAlignment="1">
      <alignment horizontal="center" vertical="center" wrapText="1"/>
    </xf>
    <xf numFmtId="0" fontId="28" fillId="12" borderId="2" xfId="0" applyFont="1" applyFill="1" applyBorder="1" applyAlignment="1">
      <alignment horizontal="center" vertical="center"/>
    </xf>
    <xf numFmtId="14" fontId="0" fillId="12" borderId="2" xfId="0" applyNumberFormat="1" applyFill="1" applyBorder="1" applyAlignment="1">
      <alignment horizontal="center" vertical="center"/>
    </xf>
    <xf numFmtId="0" fontId="0" fillId="12" borderId="2" xfId="0" applyFill="1" applyBorder="1" applyAlignment="1">
      <alignment horizontal="center" vertical="center"/>
    </xf>
    <xf numFmtId="0" fontId="0" fillId="12" borderId="10" xfId="0" applyFill="1" applyBorder="1" applyAlignment="1">
      <alignment horizontal="center" vertical="center"/>
    </xf>
    <xf numFmtId="14" fontId="0" fillId="12" borderId="10" xfId="0" applyNumberFormat="1" applyFill="1" applyBorder="1" applyAlignment="1">
      <alignment horizontal="center" vertical="center"/>
    </xf>
    <xf numFmtId="0" fontId="0" fillId="12" borderId="11" xfId="0" applyFill="1" applyBorder="1" applyAlignment="1">
      <alignment horizontal="center" vertical="center"/>
    </xf>
    <xf numFmtId="14" fontId="0" fillId="12" borderId="11" xfId="0" applyNumberFormat="1" applyFill="1" applyBorder="1" applyAlignment="1">
      <alignment horizontal="center" vertical="center"/>
    </xf>
    <xf numFmtId="14" fontId="1" fillId="3" borderId="2" xfId="0" applyNumberFormat="1" applyFont="1" applyFill="1" applyBorder="1" applyAlignment="1">
      <alignment horizontal="center" vertical="center"/>
    </xf>
    <xf numFmtId="0" fontId="0" fillId="3" borderId="1" xfId="0" applyFill="1" applyBorder="1">
      <alignment vertical="center"/>
    </xf>
    <xf numFmtId="14" fontId="1" fillId="3" borderId="10" xfId="0" applyNumberFormat="1" applyFont="1" applyFill="1" applyBorder="1" applyAlignment="1">
      <alignment horizontal="center" vertical="center"/>
    </xf>
    <xf numFmtId="49" fontId="0" fillId="3" borderId="1" xfId="0" applyNumberFormat="1" applyFill="1" applyBorder="1">
      <alignment vertical="center"/>
    </xf>
    <xf numFmtId="14" fontId="1" fillId="3" borderId="11" xfId="0" applyNumberFormat="1" applyFont="1" applyFill="1" applyBorder="1" applyAlignment="1">
      <alignment horizontal="center" vertical="center"/>
    </xf>
    <xf numFmtId="0" fontId="3" fillId="0" borderId="1" xfId="0" applyNumberFormat="1" applyFont="1" applyBorder="1" applyAlignment="1">
      <alignment horizontal="center" vertical="center"/>
    </xf>
    <xf numFmtId="14" fontId="3" fillId="0" borderId="2" xfId="0" applyNumberFormat="1" applyFont="1" applyBorder="1" applyAlignment="1">
      <alignment horizontal="center" vertical="center"/>
    </xf>
    <xf numFmtId="14" fontId="3" fillId="0" borderId="10" xfId="0" applyNumberFormat="1" applyFont="1" applyBorder="1" applyAlignment="1">
      <alignment horizontal="center" vertical="center"/>
    </xf>
    <xf numFmtId="14" fontId="3" fillId="0" borderId="11" xfId="0" applyNumberFormat="1" applyFont="1" applyBorder="1" applyAlignment="1">
      <alignment horizontal="center" vertical="center"/>
    </xf>
    <xf numFmtId="14" fontId="1" fillId="0" borderId="10" xfId="0" applyNumberFormat="1"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12" borderId="10" xfId="0" applyFont="1" applyFill="1" applyBorder="1" applyAlignment="1">
      <alignment horizontal="center" vertical="center"/>
    </xf>
    <xf numFmtId="0" fontId="1" fillId="12" borderId="10" xfId="0" applyFont="1" applyFill="1" applyBorder="1" applyAlignment="1">
      <alignment horizontal="center" vertical="center" wrapText="1"/>
    </xf>
    <xf numFmtId="0" fontId="1" fillId="12" borderId="11" xfId="0" applyFont="1" applyFill="1" applyBorder="1" applyAlignment="1">
      <alignment horizontal="center" vertical="center"/>
    </xf>
    <xf numFmtId="0" fontId="1" fillId="12" borderId="11" xfId="0" applyFont="1" applyFill="1" applyBorder="1" applyAlignment="1">
      <alignment horizontal="center" vertical="center" wrapText="1"/>
    </xf>
    <xf numFmtId="0" fontId="0" fillId="3" borderId="1" xfId="0" applyFill="1" applyBorder="1" applyAlignment="1">
      <alignment vertical="center" wrapText="1"/>
    </xf>
    <xf numFmtId="178" fontId="0" fillId="0" borderId="1" xfId="0" applyNumberFormat="1" applyBorder="1">
      <alignment vertical="center"/>
    </xf>
    <xf numFmtId="178" fontId="0" fillId="12" borderId="1" xfId="0" applyNumberFormat="1" applyFill="1" applyBorder="1">
      <alignment vertical="center"/>
    </xf>
    <xf numFmtId="178" fontId="0" fillId="12" borderId="2" xfId="0" applyNumberFormat="1" applyFill="1" applyBorder="1" applyAlignment="1">
      <alignment horizontal="center" vertical="center"/>
    </xf>
    <xf numFmtId="0" fontId="28" fillId="12" borderId="2" xfId="0" applyFont="1" applyFill="1" applyBorder="1" applyAlignment="1">
      <alignment horizontal="center" vertical="center" wrapText="1"/>
    </xf>
    <xf numFmtId="178" fontId="0" fillId="12" borderId="10" xfId="0" applyNumberFormat="1" applyFill="1" applyBorder="1" applyAlignment="1">
      <alignment horizontal="center" vertical="center"/>
    </xf>
    <xf numFmtId="0" fontId="0" fillId="12" borderId="10" xfId="0" applyFill="1" applyBorder="1" applyAlignment="1">
      <alignment horizontal="center" vertical="center" wrapText="1"/>
    </xf>
    <xf numFmtId="178" fontId="0" fillId="12" borderId="11" xfId="0" applyNumberFormat="1" applyFill="1" applyBorder="1" applyAlignment="1">
      <alignment horizontal="center" vertical="center"/>
    </xf>
    <xf numFmtId="0" fontId="0" fillId="12" borderId="11" xfId="0" applyFill="1" applyBorder="1" applyAlignment="1">
      <alignment horizontal="center" vertical="center" wrapText="1"/>
    </xf>
    <xf numFmtId="178" fontId="1" fillId="3" borderId="1" xfId="0" applyNumberFormat="1" applyFont="1" applyFill="1" applyBorder="1" applyAlignment="1">
      <alignment horizontal="center" vertical="center"/>
    </xf>
    <xf numFmtId="178" fontId="0" fillId="3" borderId="1" xfId="0" applyNumberFormat="1" applyFill="1" applyBorder="1">
      <alignment vertical="center"/>
    </xf>
    <xf numFmtId="0" fontId="0" fillId="3" borderId="1" xfId="0" applyFill="1" applyBorder="1" applyAlignment="1">
      <alignment horizontal="center" vertical="center"/>
    </xf>
    <xf numFmtId="0" fontId="0" fillId="3" borderId="10" xfId="0" applyFill="1" applyBorder="1" applyAlignment="1">
      <alignment horizontal="center" vertical="center"/>
    </xf>
    <xf numFmtId="178" fontId="1" fillId="3" borderId="10" xfId="0" applyNumberFormat="1" applyFont="1" applyFill="1" applyBorder="1" applyAlignment="1">
      <alignment horizontal="center" vertical="center"/>
    </xf>
    <xf numFmtId="178" fontId="1" fillId="3" borderId="11" xfId="0" applyNumberFormat="1" applyFont="1" applyFill="1" applyBorder="1" applyAlignment="1">
      <alignment horizontal="center" vertical="center"/>
    </xf>
    <xf numFmtId="0" fontId="7" fillId="0" borderId="1" xfId="0" applyNumberFormat="1" applyFont="1" applyBorder="1" applyAlignment="1">
      <alignment horizontal="center" vertical="center"/>
    </xf>
    <xf numFmtId="178" fontId="1" fillId="0" borderId="10" xfId="0" applyNumberFormat="1" applyFont="1" applyFill="1" applyBorder="1" applyAlignment="1">
      <alignment horizontal="center" vertical="center" wrapText="1"/>
    </xf>
    <xf numFmtId="0" fontId="3" fillId="2" borderId="25" xfId="0" applyFont="1" applyFill="1" applyBorder="1" applyAlignment="1">
      <alignment horizontal="center" vertical="center"/>
    </xf>
    <xf numFmtId="0" fontId="13" fillId="2" borderId="10" xfId="0" applyFont="1" applyFill="1" applyBorder="1" applyAlignment="1">
      <alignment horizontal="left" vertical="center" wrapText="1"/>
    </xf>
    <xf numFmtId="0" fontId="3" fillId="10" borderId="20" xfId="0" applyFont="1" applyFill="1" applyBorder="1" applyAlignment="1">
      <alignment horizontal="center" vertical="center"/>
    </xf>
    <xf numFmtId="9" fontId="1" fillId="10" borderId="1" xfId="0" applyNumberFormat="1" applyFont="1" applyFill="1" applyBorder="1" applyAlignment="1">
      <alignment horizontal="center" vertical="center"/>
    </xf>
    <xf numFmtId="0" fontId="13" fillId="12" borderId="1" xfId="0" applyFont="1" applyFill="1" applyBorder="1" applyAlignment="1">
      <alignment horizontal="left" vertical="center" wrapText="1"/>
    </xf>
    <xf numFmtId="9" fontId="7" fillId="12" borderId="1" xfId="0" applyNumberFormat="1" applyFont="1" applyFill="1" applyBorder="1" applyAlignment="1">
      <alignment horizontal="center" vertical="center"/>
    </xf>
    <xf numFmtId="0" fontId="3" fillId="12" borderId="20" xfId="0" applyFont="1" applyFill="1" applyBorder="1" applyAlignment="1">
      <alignment horizontal="center" vertical="center"/>
    </xf>
    <xf numFmtId="9" fontId="1" fillId="12" borderId="1" xfId="0" applyNumberFormat="1" applyFont="1" applyFill="1" applyBorder="1" applyAlignment="1">
      <alignment horizontal="center" vertical="center"/>
    </xf>
    <xf numFmtId="0" fontId="1" fillId="12" borderId="20" xfId="0" applyFont="1" applyFill="1" applyBorder="1" applyAlignment="1">
      <alignment horizontal="center" vertical="center"/>
    </xf>
    <xf numFmtId="0" fontId="13" fillId="15" borderId="1" xfId="0" applyFont="1" applyFill="1" applyBorder="1" applyAlignment="1">
      <alignment horizontal="left" vertical="center" wrapText="1"/>
    </xf>
    <xf numFmtId="9" fontId="1" fillId="3" borderId="1" xfId="0" applyNumberFormat="1" applyFont="1" applyFill="1" applyBorder="1" applyAlignment="1">
      <alignment horizontal="center" vertical="center"/>
    </xf>
    <xf numFmtId="0" fontId="1" fillId="3" borderId="11" xfId="0" applyFont="1" applyFill="1" applyBorder="1" applyAlignment="1">
      <alignment horizontal="center" vertical="center"/>
    </xf>
    <xf numFmtId="0" fontId="23" fillId="3" borderId="1" xfId="0" applyFont="1" applyFill="1" applyBorder="1" applyAlignment="1">
      <alignment horizontal="center" vertical="center" wrapText="1"/>
    </xf>
    <xf numFmtId="9" fontId="1" fillId="3" borderId="1" xfId="0" applyNumberFormat="1" applyFont="1" applyFill="1" applyBorder="1" applyAlignment="1">
      <alignment horizontal="center" vertical="center" wrapText="1"/>
    </xf>
    <xf numFmtId="178" fontId="3" fillId="3" borderId="1" xfId="0" applyNumberFormat="1" applyFont="1" applyFill="1" applyBorder="1" applyAlignment="1">
      <alignment horizontal="center" vertical="center"/>
    </xf>
    <xf numFmtId="0" fontId="23" fillId="3" borderId="2" xfId="0" applyFont="1" applyFill="1" applyBorder="1" applyAlignment="1">
      <alignment horizontal="center" vertical="center" wrapText="1"/>
    </xf>
    <xf numFmtId="9" fontId="7" fillId="3" borderId="1" xfId="0" applyNumberFormat="1" applyFont="1" applyFill="1" applyBorder="1" applyAlignment="1">
      <alignment horizontal="center" vertical="center" wrapText="1"/>
    </xf>
    <xf numFmtId="0" fontId="23" fillId="3" borderId="11" xfId="0" applyFont="1" applyFill="1" applyBorder="1" applyAlignment="1">
      <alignment horizontal="center" vertical="center" wrapText="1"/>
    </xf>
    <xf numFmtId="9" fontId="23" fillId="3" borderId="1" xfId="0" applyNumberFormat="1" applyFont="1" applyFill="1" applyBorder="1" applyAlignment="1">
      <alignment horizontal="center" vertical="center" wrapText="1"/>
    </xf>
    <xf numFmtId="0" fontId="7" fillId="2" borderId="2" xfId="0" applyNumberFormat="1" applyFont="1" applyFill="1" applyBorder="1" applyAlignment="1">
      <alignment horizontal="center" vertical="center"/>
    </xf>
    <xf numFmtId="177" fontId="3" fillId="2" borderId="2"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0" fontId="3" fillId="2" borderId="29" xfId="0" applyNumberFormat="1" applyFont="1" applyFill="1" applyBorder="1" applyAlignment="1">
      <alignment horizontal="center" vertical="center"/>
    </xf>
    <xf numFmtId="0" fontId="7" fillId="2" borderId="11" xfId="0" applyNumberFormat="1" applyFont="1" applyFill="1" applyBorder="1" applyAlignment="1">
      <alignment horizontal="center" vertical="center"/>
    </xf>
    <xf numFmtId="177" fontId="3" fillId="2" borderId="11" xfId="0" applyNumberFormat="1" applyFont="1" applyFill="1" applyBorder="1" applyAlignment="1">
      <alignment horizontal="center" vertical="center"/>
    </xf>
    <xf numFmtId="0" fontId="3" fillId="2" borderId="11" xfId="0" applyFont="1" applyFill="1" applyBorder="1" applyAlignment="1">
      <alignment horizontal="center" vertical="center"/>
    </xf>
    <xf numFmtId="0" fontId="3" fillId="12" borderId="1" xfId="0" applyFont="1" applyFill="1" applyBorder="1" applyAlignment="1">
      <alignment horizontal="center" vertical="center"/>
    </xf>
    <xf numFmtId="14" fontId="3" fillId="12" borderId="1" xfId="0" applyNumberFormat="1" applyFont="1" applyFill="1" applyBorder="1" applyAlignment="1">
      <alignment horizontal="center" vertical="center"/>
    </xf>
    <xf numFmtId="176" fontId="3" fillId="15" borderId="1" xfId="0" applyNumberFormat="1" applyFont="1" applyFill="1" applyBorder="1" applyAlignment="1">
      <alignment horizontal="center" vertical="center"/>
    </xf>
    <xf numFmtId="14" fontId="3" fillId="15" borderId="1" xfId="0" applyNumberFormat="1" applyFont="1" applyFill="1" applyBorder="1" applyAlignment="1">
      <alignment horizontal="center" vertical="center"/>
    </xf>
    <xf numFmtId="14" fontId="1" fillId="12" borderId="1" xfId="0" applyNumberFormat="1" applyFont="1" applyFill="1" applyBorder="1" applyAlignment="1">
      <alignment horizontal="center" vertical="center"/>
    </xf>
    <xf numFmtId="0" fontId="3" fillId="15" borderId="1" xfId="0" applyFont="1" applyFill="1" applyBorder="1" applyAlignment="1">
      <alignment horizontal="center" vertical="center"/>
    </xf>
    <xf numFmtId="4" fontId="1" fillId="12" borderId="1" xfId="0" applyNumberFormat="1" applyFont="1" applyFill="1" applyBorder="1" applyAlignment="1">
      <alignment horizontal="center" vertical="center"/>
    </xf>
    <xf numFmtId="176" fontId="6" fillId="15" borderId="1" xfId="0" applyNumberFormat="1" applyFont="1" applyFill="1" applyBorder="1" applyAlignment="1">
      <alignment horizontal="center" vertical="center"/>
    </xf>
    <xf numFmtId="0" fontId="11" fillId="15" borderId="1" xfId="0" applyFont="1" applyFill="1" applyBorder="1" applyAlignment="1">
      <alignment horizontal="center" vertical="center"/>
    </xf>
    <xf numFmtId="14" fontId="6" fillId="15" borderId="1" xfId="0" applyNumberFormat="1" applyFont="1" applyFill="1" applyBorder="1" applyAlignment="1">
      <alignment horizontal="center" vertical="center"/>
    </xf>
    <xf numFmtId="0" fontId="6" fillId="3" borderId="1" xfId="0" applyFont="1" applyFill="1" applyBorder="1" applyAlignment="1">
      <alignment horizontal="center" vertical="center"/>
    </xf>
    <xf numFmtId="0" fontId="3" fillId="17" borderId="1" xfId="0" applyFont="1" applyFill="1" applyBorder="1" applyAlignment="1">
      <alignment horizontal="center" vertical="center"/>
    </xf>
    <xf numFmtId="178" fontId="6" fillId="3" borderId="1" xfId="0" applyNumberFormat="1" applyFont="1" applyFill="1" applyBorder="1" applyAlignment="1">
      <alignment horizontal="center" vertical="center"/>
    </xf>
    <xf numFmtId="0" fontId="6" fillId="0" borderId="1" xfId="0" applyFont="1" applyFill="1" applyBorder="1" applyAlignment="1">
      <alignment horizontal="center" vertical="center"/>
    </xf>
    <xf numFmtId="2" fontId="3" fillId="0" borderId="1" xfId="0" applyNumberFormat="1" applyFont="1" applyFill="1" applyBorder="1" applyAlignment="1">
      <alignment horizontal="center" vertical="center"/>
    </xf>
    <xf numFmtId="14" fontId="1" fillId="2" borderId="2" xfId="0" applyNumberFormat="1" applyFont="1" applyFill="1" applyBorder="1" applyAlignment="1">
      <alignment horizontal="center" vertical="center"/>
    </xf>
    <xf numFmtId="0" fontId="18" fillId="2" borderId="11" xfId="0" applyFont="1" applyFill="1" applyBorder="1" applyAlignment="1">
      <alignment horizontal="center" vertical="center"/>
    </xf>
    <xf numFmtId="14" fontId="18" fillId="2" borderId="11" xfId="0" applyNumberFormat="1" applyFont="1" applyFill="1" applyBorder="1" applyAlignment="1">
      <alignment horizontal="center" vertical="center"/>
    </xf>
    <xf numFmtId="176" fontId="18" fillId="2" borderId="11" xfId="0" applyNumberFormat="1" applyFont="1" applyFill="1" applyBorder="1" applyAlignment="1">
      <alignment horizontal="center" vertical="center"/>
    </xf>
    <xf numFmtId="14" fontId="7" fillId="10" borderId="1" xfId="0" applyNumberFormat="1" applyFont="1" applyFill="1" applyBorder="1" applyAlignment="1">
      <alignment horizontal="center" vertical="center"/>
    </xf>
    <xf numFmtId="14" fontId="1" fillId="12" borderId="1" xfId="0" applyNumberFormat="1" applyFont="1" applyFill="1" applyBorder="1">
      <alignment vertical="center"/>
    </xf>
    <xf numFmtId="176" fontId="1" fillId="12" borderId="1" xfId="0" applyNumberFormat="1" applyFont="1" applyFill="1" applyBorder="1" applyAlignment="1">
      <alignment horizontal="center" vertical="center"/>
    </xf>
    <xf numFmtId="14" fontId="1" fillId="3" borderId="1" xfId="0" applyNumberFormat="1" applyFont="1" applyFill="1" applyBorder="1">
      <alignment vertical="center"/>
    </xf>
    <xf numFmtId="0" fontId="1" fillId="2" borderId="2" xfId="0" applyFont="1" applyFill="1" applyBorder="1">
      <alignment vertical="center"/>
    </xf>
    <xf numFmtId="177" fontId="18" fillId="2" borderId="11" xfId="0" applyNumberFormat="1" applyFont="1" applyFill="1" applyBorder="1" applyAlignment="1">
      <alignment horizontal="center" vertical="center"/>
    </xf>
    <xf numFmtId="176" fontId="2" fillId="2" borderId="11" xfId="0" applyNumberFormat="1" applyFont="1" applyFill="1" applyBorder="1" applyAlignment="1">
      <alignment horizontal="center" vertical="center"/>
    </xf>
    <xf numFmtId="0" fontId="1" fillId="12" borderId="1" xfId="0" applyFont="1" applyFill="1" applyBorder="1" applyAlignment="1">
      <alignment horizontal="center" vertical="center" wrapText="1"/>
    </xf>
    <xf numFmtId="177" fontId="6" fillId="3" borderId="1" xfId="0" applyNumberFormat="1" applyFont="1" applyFill="1" applyBorder="1" applyAlignment="1">
      <alignment horizontal="center" vertical="center"/>
    </xf>
    <xf numFmtId="14" fontId="6" fillId="3" borderId="1" xfId="0" applyNumberFormat="1" applyFont="1" applyFill="1" applyBorder="1" applyAlignment="1">
      <alignment horizontal="center" vertical="center"/>
    </xf>
    <xf numFmtId="0" fontId="1" fillId="2" borderId="10" xfId="0" applyFont="1" applyFill="1" applyBorder="1">
      <alignment vertical="center"/>
    </xf>
    <xf numFmtId="0" fontId="2" fillId="12" borderId="1" xfId="0" applyFont="1" applyFill="1" applyBorder="1" applyAlignment="1">
      <alignment horizontal="center" vertical="center"/>
    </xf>
    <xf numFmtId="14" fontId="1" fillId="0" borderId="2" xfId="0" applyNumberFormat="1" applyFont="1" applyFill="1" applyBorder="1" applyAlignment="1">
      <alignment horizontal="center" vertical="center" wrapText="1"/>
    </xf>
    <xf numFmtId="14" fontId="1" fillId="0" borderId="11" xfId="0" applyNumberFormat="1" applyFont="1" applyFill="1" applyBorder="1" applyAlignment="1">
      <alignment horizontal="center" vertical="center" wrapText="1"/>
    </xf>
    <xf numFmtId="49" fontId="1" fillId="0" borderId="10" xfId="0" applyNumberFormat="1" applyFont="1" applyFill="1" applyBorder="1" applyAlignment="1">
      <alignment horizontal="center" vertical="center"/>
    </xf>
    <xf numFmtId="14" fontId="7" fillId="0" borderId="10" xfId="0" applyNumberFormat="1" applyFont="1" applyFill="1" applyBorder="1" applyAlignment="1">
      <alignment horizontal="center" vertical="center" wrapText="1"/>
    </xf>
    <xf numFmtId="0" fontId="3"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xf>
    <xf numFmtId="49" fontId="1" fillId="3" borderId="1" xfId="0" applyNumberFormat="1" applyFont="1" applyFill="1" applyBorder="1" applyAlignment="1">
      <alignment horizontal="center" vertical="center" wrapText="1"/>
    </xf>
    <xf numFmtId="49" fontId="7" fillId="3" borderId="2" xfId="0" applyNumberFormat="1" applyFont="1" applyFill="1" applyBorder="1" applyAlignment="1">
      <alignment horizontal="center" vertical="center" wrapText="1"/>
    </xf>
    <xf numFmtId="49" fontId="1" fillId="3" borderId="10" xfId="0" applyNumberFormat="1" applyFont="1" applyFill="1" applyBorder="1" applyAlignment="1">
      <alignment horizontal="center" vertical="center" wrapText="1"/>
    </xf>
    <xf numFmtId="49" fontId="1" fillId="3" borderId="11" xfId="0" applyNumberFormat="1" applyFont="1" applyFill="1" applyBorder="1" applyAlignment="1">
      <alignment horizontal="center" vertical="center" wrapText="1"/>
    </xf>
    <xf numFmtId="0" fontId="7" fillId="0" borderId="1" xfId="0" applyNumberFormat="1" applyFont="1" applyBorder="1" applyAlignment="1">
      <alignment horizontal="center" vertical="center" wrapText="1"/>
    </xf>
    <xf numFmtId="0" fontId="1" fillId="3" borderId="1" xfId="0" applyFont="1" applyFill="1" applyBorder="1" applyAlignment="1">
      <alignment horizontal="center" vertical="center" wrapText="1"/>
    </xf>
    <xf numFmtId="178" fontId="1" fillId="0" borderId="2" xfId="0" applyNumberFormat="1" applyFont="1" applyFill="1" applyBorder="1" applyAlignment="1">
      <alignment horizontal="center" vertical="center" wrapText="1"/>
    </xf>
    <xf numFmtId="178" fontId="1" fillId="0" borderId="11" xfId="0" applyNumberFormat="1" applyFont="1" applyFill="1" applyBorder="1" applyAlignment="1">
      <alignment horizontal="center" vertical="center" wrapText="1"/>
    </xf>
    <xf numFmtId="178" fontId="1" fillId="0" borderId="1" xfId="0" applyNumberFormat="1" applyFont="1" applyFill="1" applyBorder="1" applyAlignment="1">
      <alignment horizontal="center" vertical="center" wrapText="1"/>
    </xf>
    <xf numFmtId="4" fontId="7" fillId="0" borderId="10" xfId="0" applyNumberFormat="1" applyFont="1" applyFill="1" applyBorder="1" applyAlignment="1">
      <alignment horizontal="center" vertical="center" wrapText="1"/>
    </xf>
    <xf numFmtId="178" fontId="1" fillId="3" borderId="2" xfId="0" applyNumberFormat="1" applyFont="1" applyFill="1" applyBorder="1" applyAlignment="1">
      <alignment horizontal="center" vertical="center"/>
    </xf>
    <xf numFmtId="0" fontId="3" fillId="0" borderId="2" xfId="0" applyFont="1" applyFill="1" applyBorder="1" applyAlignment="1">
      <alignment horizontal="center" vertical="center"/>
    </xf>
    <xf numFmtId="9" fontId="1" fillId="0" borderId="2" xfId="0" applyNumberFormat="1" applyFont="1" applyFill="1" applyBorder="1" applyAlignment="1">
      <alignment horizontal="center" vertical="center"/>
    </xf>
    <xf numFmtId="0" fontId="3" fillId="0" borderId="10" xfId="0" applyFont="1" applyFill="1" applyBorder="1" applyAlignment="1">
      <alignment horizontal="center" vertical="center"/>
    </xf>
    <xf numFmtId="0" fontId="13" fillId="0" borderId="10" xfId="0" applyFont="1" applyFill="1" applyBorder="1" applyAlignment="1">
      <alignment horizontal="left" vertical="center" wrapText="1"/>
    </xf>
    <xf numFmtId="2" fontId="1" fillId="0" borderId="2" xfId="0" applyNumberFormat="1" applyFont="1" applyFill="1" applyBorder="1" applyAlignment="1">
      <alignment horizontal="center" vertical="center"/>
    </xf>
    <xf numFmtId="0" fontId="3" fillId="0" borderId="2" xfId="0" applyNumberFormat="1" applyFont="1" applyBorder="1" applyAlignment="1">
      <alignment horizontal="center" vertical="center" wrapText="1"/>
    </xf>
    <xf numFmtId="10" fontId="3" fillId="0" borderId="2" xfId="0" applyNumberFormat="1" applyFont="1" applyBorder="1" applyAlignment="1">
      <alignment horizontal="center" vertical="center" wrapText="1"/>
    </xf>
    <xf numFmtId="176" fontId="3" fillId="0" borderId="2" xfId="0" applyNumberFormat="1" applyFont="1" applyBorder="1" applyAlignment="1">
      <alignment horizontal="center" vertical="center"/>
    </xf>
    <xf numFmtId="0" fontId="3" fillId="0" borderId="10" xfId="0" applyNumberFormat="1" applyFont="1" applyBorder="1" applyAlignment="1">
      <alignment horizontal="center" vertical="center" wrapText="1"/>
    </xf>
    <xf numFmtId="10" fontId="3" fillId="0" borderId="10" xfId="0" applyNumberFormat="1" applyFont="1" applyBorder="1" applyAlignment="1">
      <alignment horizontal="center" vertical="center" wrapText="1"/>
    </xf>
    <xf numFmtId="176" fontId="3" fillId="0" borderId="10" xfId="0" applyNumberFormat="1" applyFont="1" applyBorder="1" applyAlignment="1">
      <alignment horizontal="center" vertical="center"/>
    </xf>
    <xf numFmtId="10" fontId="3" fillId="0" borderId="1" xfId="0" applyNumberFormat="1" applyFont="1" applyBorder="1" applyAlignment="1">
      <alignment horizontal="center" vertical="center" wrapText="1"/>
    </xf>
    <xf numFmtId="0" fontId="3" fillId="0" borderId="2" xfId="0" applyNumberFormat="1" applyFont="1" applyBorder="1" applyAlignment="1">
      <alignment horizontal="center" vertical="center"/>
    </xf>
    <xf numFmtId="0" fontId="3" fillId="0" borderId="11" xfId="0" applyNumberFormat="1" applyFont="1" applyBorder="1" applyAlignment="1">
      <alignment horizontal="center" vertical="center"/>
    </xf>
    <xf numFmtId="10" fontId="3" fillId="0" borderId="11" xfId="0" applyNumberFormat="1" applyFont="1" applyBorder="1" applyAlignment="1">
      <alignment horizontal="center" vertical="center" wrapText="1"/>
    </xf>
    <xf numFmtId="176" fontId="3" fillId="0" borderId="11" xfId="0" applyNumberFormat="1" applyFont="1" applyBorder="1" applyAlignment="1">
      <alignment horizontal="center" vertical="center"/>
    </xf>
    <xf numFmtId="0" fontId="12" fillId="0" borderId="1" xfId="0" applyFont="1" applyFill="1" applyBorder="1" applyAlignment="1">
      <alignment horizontal="left" vertical="center" wrapText="1"/>
    </xf>
    <xf numFmtId="9" fontId="1" fillId="3" borderId="2" xfId="0" applyNumberFormat="1" applyFont="1" applyFill="1" applyBorder="1" applyAlignment="1">
      <alignment horizontal="center" vertical="center"/>
    </xf>
    <xf numFmtId="9" fontId="1" fillId="3" borderId="10" xfId="0" applyNumberFormat="1" applyFont="1" applyFill="1" applyBorder="1" applyAlignment="1">
      <alignment horizontal="center" vertical="center"/>
    </xf>
    <xf numFmtId="9" fontId="1" fillId="3" borderId="11" xfId="0" applyNumberFormat="1" applyFont="1" applyFill="1" applyBorder="1" applyAlignment="1">
      <alignment horizontal="center" vertical="center"/>
    </xf>
    <xf numFmtId="2" fontId="6" fillId="0" borderId="2" xfId="0" applyNumberFormat="1" applyFont="1" applyFill="1" applyBorder="1" applyAlignment="1">
      <alignment horizontal="center" vertical="center"/>
    </xf>
    <xf numFmtId="2" fontId="3" fillId="0" borderId="2" xfId="0" applyNumberFormat="1" applyFont="1" applyFill="1" applyBorder="1" applyAlignment="1">
      <alignment horizontal="center" vertical="center"/>
    </xf>
    <xf numFmtId="14" fontId="7" fillId="0" borderId="20" xfId="0"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0" fontId="6" fillId="0" borderId="2" xfId="0" applyFont="1" applyFill="1" applyBorder="1" applyAlignment="1">
      <alignment horizontal="center" vertical="center"/>
    </xf>
    <xf numFmtId="14" fontId="3" fillId="0" borderId="1" xfId="0" applyNumberFormat="1" applyFont="1" applyBorder="1" applyAlignment="1">
      <alignment horizontal="center" vertical="center"/>
    </xf>
    <xf numFmtId="0" fontId="7" fillId="0" borderId="2" xfId="0" applyNumberFormat="1" applyFont="1" applyBorder="1" applyAlignment="1">
      <alignment horizontal="center" vertical="center"/>
    </xf>
    <xf numFmtId="177" fontId="3" fillId="0" borderId="2" xfId="0" applyNumberFormat="1" applyFont="1" applyFill="1" applyBorder="1" applyAlignment="1">
      <alignment horizontal="center" vertical="center"/>
    </xf>
    <xf numFmtId="0" fontId="7" fillId="0" borderId="1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11" fillId="0" borderId="1" xfId="0" applyNumberFormat="1" applyFont="1" applyBorder="1" applyAlignment="1">
      <alignment horizontal="center" vertical="center"/>
    </xf>
    <xf numFmtId="177" fontId="6" fillId="0" borderId="1" xfId="0" applyNumberFormat="1" applyFont="1" applyFill="1" applyBorder="1" applyAlignment="1">
      <alignment horizontal="center" vertical="center"/>
    </xf>
    <xf numFmtId="0" fontId="3" fillId="0" borderId="1" xfId="0" applyNumberFormat="1" applyFont="1" applyFill="1" applyBorder="1" applyAlignment="1">
      <alignment horizontal="center" vertical="center"/>
    </xf>
    <xf numFmtId="1" fontId="1" fillId="3" borderId="1" xfId="0" applyNumberFormat="1" applyFont="1" applyFill="1" applyBorder="1" applyAlignment="1">
      <alignment horizontal="center" vertical="center"/>
    </xf>
    <xf numFmtId="176" fontId="3" fillId="3" borderId="2" xfId="0" applyNumberFormat="1" applyFont="1" applyFill="1" applyBorder="1" applyAlignment="1">
      <alignment horizontal="center" vertical="center"/>
    </xf>
    <xf numFmtId="14" fontId="3" fillId="3" borderId="2" xfId="0" applyNumberFormat="1" applyFont="1" applyFill="1" applyBorder="1" applyAlignment="1">
      <alignment horizontal="center" vertical="center"/>
    </xf>
    <xf numFmtId="176" fontId="1" fillId="3" borderId="2" xfId="0" applyNumberFormat="1" applyFont="1" applyFill="1" applyBorder="1" applyAlignment="1">
      <alignment horizontal="center" vertical="center"/>
    </xf>
    <xf numFmtId="176" fontId="3" fillId="3" borderId="10" xfId="0" applyNumberFormat="1" applyFont="1" applyFill="1" applyBorder="1" applyAlignment="1">
      <alignment horizontal="center" vertical="center"/>
    </xf>
    <xf numFmtId="14" fontId="3" fillId="3" borderId="10" xfId="0" applyNumberFormat="1" applyFont="1" applyFill="1" applyBorder="1" applyAlignment="1">
      <alignment horizontal="center" vertical="center"/>
    </xf>
    <xf numFmtId="176" fontId="1" fillId="3" borderId="10" xfId="0" applyNumberFormat="1" applyFont="1" applyFill="1" applyBorder="1" applyAlignment="1">
      <alignment horizontal="center" vertical="center"/>
    </xf>
    <xf numFmtId="176" fontId="3" fillId="3" borderId="11" xfId="0" applyNumberFormat="1" applyFont="1" applyFill="1" applyBorder="1" applyAlignment="1">
      <alignment horizontal="center" vertical="center"/>
    </xf>
    <xf numFmtId="14" fontId="3" fillId="3" borderId="11" xfId="0" applyNumberFormat="1" applyFont="1" applyFill="1" applyBorder="1" applyAlignment="1">
      <alignment horizontal="center" vertical="center"/>
    </xf>
    <xf numFmtId="176" fontId="1" fillId="3" borderId="11" xfId="0" applyNumberFormat="1" applyFont="1" applyFill="1" applyBorder="1" applyAlignment="1">
      <alignment horizontal="center" vertical="center"/>
    </xf>
    <xf numFmtId="0" fontId="6" fillId="0" borderId="1" xfId="0" applyFont="1" applyBorder="1" applyAlignment="1">
      <alignment horizontal="center" vertical="center"/>
    </xf>
    <xf numFmtId="0" fontId="3" fillId="0" borderId="1" xfId="0" applyNumberFormat="1" applyFont="1" applyBorder="1">
      <alignment vertical="center"/>
    </xf>
    <xf numFmtId="176" fontId="6" fillId="0" borderId="1" xfId="0" applyNumberFormat="1" applyFont="1" applyBorder="1" applyAlignment="1">
      <alignment horizontal="center" vertical="center"/>
    </xf>
    <xf numFmtId="0" fontId="1" fillId="3" borderId="1" xfId="0" applyFont="1" applyFill="1" applyBorder="1" applyAlignment="1">
      <alignment horizontal="right" vertical="center"/>
    </xf>
    <xf numFmtId="0" fontId="3" fillId="3" borderId="1" xfId="0" applyNumberFormat="1" applyFont="1" applyFill="1" applyBorder="1" applyAlignment="1">
      <alignment horizontal="right" vertical="center"/>
    </xf>
    <xf numFmtId="0" fontId="9" fillId="3" borderId="1" xfId="0" applyFont="1" applyFill="1" applyBorder="1" applyAlignment="1">
      <alignment horizontal="center" vertical="center"/>
    </xf>
    <xf numFmtId="2" fontId="1" fillId="3" borderId="1" xfId="0" applyNumberFormat="1" applyFont="1" applyFill="1" applyBorder="1" applyAlignment="1">
      <alignment horizontal="center" vertical="center"/>
    </xf>
    <xf numFmtId="2" fontId="18" fillId="3" borderId="1" xfId="0" applyNumberFormat="1" applyFont="1" applyFill="1" applyBorder="1" applyAlignment="1">
      <alignment horizontal="center" vertical="center"/>
    </xf>
    <xf numFmtId="14" fontId="6" fillId="0" borderId="2" xfId="0" applyNumberFormat="1" applyFont="1" applyFill="1" applyBorder="1" applyAlignment="1">
      <alignment horizontal="center" vertical="center"/>
    </xf>
    <xf numFmtId="0" fontId="3" fillId="0" borderId="10" xfId="0" applyNumberFormat="1" applyFont="1" applyBorder="1" applyAlignment="1">
      <alignment horizontal="center" vertical="center"/>
    </xf>
    <xf numFmtId="0" fontId="7" fillId="0" borderId="1" xfId="0" applyNumberFormat="1" applyFont="1" applyBorder="1">
      <alignment vertical="center"/>
    </xf>
    <xf numFmtId="0" fontId="18" fillId="0" borderId="1" xfId="0" applyNumberFormat="1" applyFont="1" applyBorder="1">
      <alignment vertical="center"/>
    </xf>
    <xf numFmtId="14" fontId="3" fillId="3" borderId="1" xfId="0" applyNumberFormat="1" applyFont="1" applyFill="1" applyBorder="1" applyAlignment="1">
      <alignment horizontal="right" vertical="center"/>
    </xf>
    <xf numFmtId="49" fontId="1" fillId="3" borderId="2" xfId="0" applyNumberFormat="1" applyFont="1" applyFill="1" applyBorder="1" applyAlignment="1">
      <alignment horizontal="center" vertical="center" wrapText="1"/>
    </xf>
    <xf numFmtId="49" fontId="7" fillId="3" borderId="11" xfId="0" applyNumberFormat="1" applyFont="1" applyFill="1" applyBorder="1" applyAlignment="1">
      <alignment horizontal="center" vertical="center" wrapText="1"/>
    </xf>
    <xf numFmtId="14" fontId="3" fillId="0" borderId="2" xfId="0" applyNumberFormat="1" applyFont="1" applyFill="1" applyBorder="1" applyAlignment="1">
      <alignment horizontal="center" vertical="center"/>
    </xf>
    <xf numFmtId="0" fontId="3" fillId="0" borderId="2" xfId="0" applyFont="1" applyFill="1" applyBorder="1" applyAlignment="1">
      <alignment horizontal="center" vertical="center" wrapText="1"/>
    </xf>
    <xf numFmtId="14" fontId="3" fillId="0" borderId="10" xfId="0" applyNumberFormat="1" applyFont="1" applyFill="1" applyBorder="1" applyAlignment="1">
      <alignment horizontal="center" vertical="center"/>
    </xf>
    <xf numFmtId="0" fontId="3" fillId="0" borderId="10" xfId="0" applyFont="1" applyFill="1" applyBorder="1" applyAlignment="1">
      <alignment horizontal="center" vertical="center" wrapText="1"/>
    </xf>
    <xf numFmtId="49" fontId="3" fillId="0" borderId="10" xfId="0" applyNumberFormat="1"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3" fillId="0" borderId="1" xfId="0" applyFont="1" applyFill="1" applyBorder="1" applyAlignment="1">
      <alignment horizontal="center" vertical="center" wrapText="1"/>
    </xf>
    <xf numFmtId="176" fontId="3" fillId="0" borderId="2" xfId="0" applyNumberFormat="1" applyFont="1" applyFill="1" applyBorder="1" applyAlignment="1">
      <alignment horizontal="center" vertical="center"/>
    </xf>
    <xf numFmtId="178" fontId="3" fillId="0" borderId="1" xfId="0" applyNumberFormat="1" applyFont="1" applyFill="1" applyBorder="1" applyAlignment="1">
      <alignment horizontal="center" vertical="center"/>
    </xf>
    <xf numFmtId="176" fontId="3" fillId="0" borderId="10" xfId="0" applyNumberFormat="1" applyFont="1" applyFill="1" applyBorder="1" applyAlignment="1">
      <alignment horizontal="center" vertical="center"/>
    </xf>
    <xf numFmtId="178" fontId="7" fillId="3" borderId="1" xfId="0" applyNumberFormat="1" applyFont="1" applyFill="1" applyBorder="1" applyAlignment="1">
      <alignment horizontal="center" vertical="center"/>
    </xf>
    <xf numFmtId="178" fontId="7" fillId="3" borderId="2" xfId="0" applyNumberFormat="1" applyFont="1" applyFill="1" applyBorder="1" applyAlignment="1">
      <alignment horizontal="center" vertical="center"/>
    </xf>
    <xf numFmtId="9" fontId="7" fillId="0" borderId="2" xfId="0" applyNumberFormat="1" applyFont="1" applyFill="1" applyBorder="1" applyAlignment="1">
      <alignment horizontal="center" vertical="center" wrapText="1"/>
    </xf>
    <xf numFmtId="2" fontId="7" fillId="0" borderId="2" xfId="0" applyNumberFormat="1" applyFont="1" applyFill="1" applyBorder="1" applyAlignment="1">
      <alignment horizontal="center" vertical="center"/>
    </xf>
    <xf numFmtId="9" fontId="7" fillId="0" borderId="10" xfId="0" applyNumberFormat="1" applyFont="1" applyFill="1" applyBorder="1" applyAlignment="1">
      <alignment horizontal="center" vertical="center" wrapText="1"/>
    </xf>
    <xf numFmtId="2" fontId="7" fillId="0" borderId="10" xfId="0" applyNumberFormat="1" applyFont="1" applyFill="1" applyBorder="1" applyAlignment="1">
      <alignment horizontal="center" vertical="center"/>
    </xf>
    <xf numFmtId="9" fontId="7" fillId="0" borderId="11" xfId="0" applyNumberFormat="1" applyFont="1" applyFill="1" applyBorder="1" applyAlignment="1">
      <alignment horizontal="center" vertical="center" wrapText="1"/>
    </xf>
    <xf numFmtId="2" fontId="7" fillId="0" borderId="11" xfId="0" applyNumberFormat="1" applyFont="1" applyFill="1" applyBorder="1" applyAlignment="1">
      <alignment horizontal="center" vertical="center"/>
    </xf>
    <xf numFmtId="2" fontId="6" fillId="3" borderId="1" xfId="0" applyNumberFormat="1" applyFont="1" applyFill="1" applyBorder="1" applyAlignment="1">
      <alignment horizontal="center" vertical="center"/>
    </xf>
    <xf numFmtId="178" fontId="11" fillId="3" borderId="1" xfId="0" applyNumberFormat="1" applyFont="1" applyFill="1" applyBorder="1" applyAlignment="1">
      <alignment horizontal="center" vertical="center"/>
    </xf>
    <xf numFmtId="0" fontId="18" fillId="3" borderId="1" xfId="0" applyNumberFormat="1" applyFont="1" applyFill="1" applyBorder="1" applyAlignment="1">
      <alignment horizontal="center" vertical="center"/>
    </xf>
    <xf numFmtId="0" fontId="8" fillId="3" borderId="1" xfId="0" applyFont="1" applyFill="1" applyBorder="1" applyAlignment="1">
      <alignment horizontal="center" vertical="center"/>
    </xf>
    <xf numFmtId="14" fontId="18" fillId="3" borderId="1" xfId="0" applyNumberFormat="1" applyFont="1" applyFill="1" applyBorder="1" applyAlignment="1">
      <alignment horizontal="center" vertical="center"/>
    </xf>
    <xf numFmtId="0" fontId="11" fillId="3" borderId="1" xfId="0" applyNumberFormat="1" applyFont="1" applyFill="1" applyBorder="1" applyAlignment="1">
      <alignment horizontal="center" vertical="center"/>
    </xf>
    <xf numFmtId="178" fontId="11" fillId="3" borderId="2" xfId="0" applyNumberFormat="1" applyFont="1" applyFill="1" applyBorder="1" applyAlignment="1">
      <alignment horizontal="center" vertical="center"/>
    </xf>
    <xf numFmtId="176" fontId="3" fillId="0" borderId="11" xfId="0" applyNumberFormat="1" applyFont="1" applyFill="1" applyBorder="1" applyAlignment="1">
      <alignment horizontal="center" vertical="center"/>
    </xf>
    <xf numFmtId="14" fontId="3" fillId="0" borderId="11" xfId="0" applyNumberFormat="1" applyFont="1" applyFill="1" applyBorder="1" applyAlignment="1">
      <alignment horizontal="center" vertical="center"/>
    </xf>
    <xf numFmtId="176" fontId="29" fillId="0" borderId="1" xfId="0" applyNumberFormat="1" applyFont="1" applyFill="1" applyBorder="1" applyAlignment="1">
      <alignment horizontal="center" vertical="center" wrapText="1"/>
    </xf>
    <xf numFmtId="0" fontId="21" fillId="0" borderId="1" xfId="0" applyFont="1" applyFill="1" applyBorder="1" applyAlignment="1">
      <alignment horizontal="center" vertical="center" wrapText="1"/>
    </xf>
    <xf numFmtId="0" fontId="29" fillId="0" borderId="1" xfId="0" applyFont="1" applyFill="1" applyBorder="1" applyAlignment="1">
      <alignment horizontal="center" vertical="center" wrapText="1"/>
    </xf>
    <xf numFmtId="176" fontId="7" fillId="0" borderId="1" xfId="0" applyNumberFormat="1" applyFont="1" applyFill="1" applyBorder="1" applyAlignment="1">
      <alignment horizontal="center" vertical="center" wrapText="1"/>
    </xf>
    <xf numFmtId="2" fontId="3" fillId="3"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14" fontId="18" fillId="0" borderId="1" xfId="0" applyNumberFormat="1" applyFont="1" applyFill="1" applyBorder="1" applyAlignment="1">
      <alignment horizontal="center" vertical="center"/>
    </xf>
    <xf numFmtId="2" fontId="8" fillId="0" borderId="1" xfId="0" applyNumberFormat="1" applyFont="1" applyFill="1" applyBorder="1" applyAlignment="1">
      <alignment horizontal="center" vertical="center" wrapText="1"/>
    </xf>
    <xf numFmtId="2" fontId="15" fillId="0" borderId="1" xfId="0" applyNumberFormat="1" applyFont="1" applyFill="1" applyBorder="1" applyAlignment="1">
      <alignment horizontal="center" vertical="center" wrapText="1"/>
    </xf>
    <xf numFmtId="0" fontId="30" fillId="0" borderId="11" xfId="0" applyFont="1" applyFill="1" applyBorder="1" applyAlignment="1">
      <alignment horizontal="center" vertical="center"/>
    </xf>
    <xf numFmtId="0" fontId="30" fillId="0" borderId="1" xfId="0" applyFont="1" applyFill="1" applyBorder="1" applyAlignment="1">
      <alignment horizontal="center" vertical="center"/>
    </xf>
    <xf numFmtId="177" fontId="7" fillId="0" borderId="20" xfId="0" applyNumberFormat="1" applyFont="1" applyFill="1" applyBorder="1" applyAlignment="1">
      <alignment horizontal="center" vertical="center"/>
    </xf>
    <xf numFmtId="14" fontId="3" fillId="3" borderId="1" xfId="0" applyNumberFormat="1" applyFont="1" applyFill="1" applyBorder="1">
      <alignment vertical="center"/>
    </xf>
    <xf numFmtId="14" fontId="7" fillId="3" borderId="1" xfId="0" applyNumberFormat="1" applyFont="1" applyFill="1" applyBorder="1">
      <alignment vertical="center"/>
    </xf>
    <xf numFmtId="0" fontId="31" fillId="0" borderId="1" xfId="0" applyFont="1" applyFill="1" applyBorder="1" applyAlignment="1">
      <alignment horizontal="center" vertical="center"/>
    </xf>
    <xf numFmtId="0" fontId="6" fillId="0" borderId="1" xfId="0" applyFont="1" applyFill="1" applyBorder="1">
      <alignment vertical="center"/>
    </xf>
    <xf numFmtId="14" fontId="6" fillId="0" borderId="11" xfId="0" applyNumberFormat="1" applyFont="1" applyFill="1" applyBorder="1" applyAlignment="1">
      <alignment horizontal="center" vertical="center"/>
    </xf>
    <xf numFmtId="0" fontId="1" fillId="3" borderId="2" xfId="0" applyFont="1" applyFill="1" applyBorder="1">
      <alignment vertical="center"/>
    </xf>
    <xf numFmtId="0" fontId="7" fillId="3" borderId="1" xfId="0" applyFont="1" applyFill="1" applyBorder="1">
      <alignment vertical="center"/>
    </xf>
    <xf numFmtId="0" fontId="11" fillId="0" borderId="2" xfId="0" applyFont="1" applyFill="1" applyBorder="1" applyAlignment="1">
      <alignment horizontal="center" vertical="center"/>
    </xf>
    <xf numFmtId="0" fontId="11" fillId="0" borderId="10" xfId="0" applyFont="1" applyFill="1" applyBorder="1" applyAlignment="1">
      <alignment horizontal="center" vertical="center"/>
    </xf>
    <xf numFmtId="49" fontId="3" fillId="0" borderId="11" xfId="0" applyNumberFormat="1" applyFont="1" applyFill="1" applyBorder="1" applyAlignment="1">
      <alignment horizontal="center" vertical="center" wrapText="1"/>
    </xf>
    <xf numFmtId="0" fontId="3" fillId="0" borderId="11" xfId="0" applyFont="1" applyFill="1" applyBorder="1" applyAlignment="1">
      <alignment horizontal="center" vertical="center" wrapText="1"/>
    </xf>
    <xf numFmtId="9" fontId="7" fillId="0" borderId="1" xfId="0" applyNumberFormat="1" applyFont="1" applyFill="1" applyBorder="1" applyAlignment="1">
      <alignment horizontal="center" vertical="center" wrapText="1"/>
    </xf>
    <xf numFmtId="0" fontId="7" fillId="0" borderId="2" xfId="0" applyNumberFormat="1" applyFont="1" applyBorder="1" applyAlignment="1">
      <alignment horizontal="center" vertical="center" wrapText="1"/>
    </xf>
    <xf numFmtId="0" fontId="7" fillId="0" borderId="10" xfId="0" applyNumberFormat="1" applyFont="1" applyBorder="1" applyAlignment="1">
      <alignment horizontal="center" vertical="center" wrapText="1"/>
    </xf>
    <xf numFmtId="0" fontId="3" fillId="0" borderId="11" xfId="0" applyNumberFormat="1" applyFont="1" applyBorder="1" applyAlignment="1">
      <alignment horizontal="center" vertical="center" wrapText="1"/>
    </xf>
    <xf numFmtId="2" fontId="11" fillId="0" borderId="1" xfId="0" applyNumberFormat="1" applyFont="1" applyFill="1" applyBorder="1" applyAlignment="1">
      <alignment horizontal="center" vertical="center"/>
    </xf>
    <xf numFmtId="0" fontId="29" fillId="0" borderId="2" xfId="0" applyFont="1" applyFill="1" applyBorder="1" applyAlignment="1">
      <alignment horizontal="center" vertical="center" wrapText="1"/>
    </xf>
    <xf numFmtId="177" fontId="11" fillId="0" borderId="2" xfId="0" applyNumberFormat="1" applyFont="1" applyFill="1" applyBorder="1" applyAlignment="1">
      <alignment horizontal="center" vertical="center"/>
    </xf>
    <xf numFmtId="0" fontId="21" fillId="0" borderId="2" xfId="0" applyFont="1" applyFill="1" applyBorder="1" applyAlignment="1">
      <alignment horizontal="center" vertical="center" wrapText="1"/>
    </xf>
    <xf numFmtId="0" fontId="29" fillId="0" borderId="10" xfId="0" applyFont="1" applyFill="1" applyBorder="1" applyAlignment="1">
      <alignment horizontal="center" vertical="center" wrapText="1"/>
    </xf>
    <xf numFmtId="177" fontId="11" fillId="0" borderId="10" xfId="0" applyNumberFormat="1" applyFont="1" applyFill="1" applyBorder="1" applyAlignment="1">
      <alignment horizontal="center" vertical="center"/>
    </xf>
    <xf numFmtId="0" fontId="21" fillId="0" borderId="10" xfId="0" applyFont="1" applyFill="1" applyBorder="1" applyAlignment="1">
      <alignment horizontal="center" vertical="center" wrapText="1"/>
    </xf>
    <xf numFmtId="0" fontId="29" fillId="0" borderId="11" xfId="0" applyFont="1" applyFill="1" applyBorder="1" applyAlignment="1">
      <alignment horizontal="center" vertical="center" wrapText="1"/>
    </xf>
    <xf numFmtId="177" fontId="11" fillId="0" borderId="11" xfId="0" applyNumberFormat="1" applyFont="1" applyFill="1" applyBorder="1" applyAlignment="1">
      <alignment horizontal="center" vertical="center"/>
    </xf>
    <xf numFmtId="0" fontId="21" fillId="0" borderId="11" xfId="0" applyFont="1" applyFill="1" applyBorder="1" applyAlignment="1">
      <alignment horizontal="center" vertical="center" wrapText="1"/>
    </xf>
    <xf numFmtId="0" fontId="7" fillId="0" borderId="10" xfId="0" applyNumberFormat="1" applyFont="1" applyBorder="1" applyAlignment="1">
      <alignment horizontal="center" vertical="center"/>
    </xf>
    <xf numFmtId="177" fontId="3" fillId="0" borderId="10" xfId="0" applyNumberFormat="1" applyFont="1" applyFill="1" applyBorder="1" applyAlignment="1">
      <alignment horizontal="center" vertical="center"/>
    </xf>
    <xf numFmtId="0" fontId="6" fillId="0" borderId="20" xfId="0" applyFont="1" applyFill="1" applyBorder="1" applyAlignment="1">
      <alignment horizontal="center" vertical="center"/>
    </xf>
    <xf numFmtId="2" fontId="7" fillId="0" borderId="0" xfId="0" applyNumberFormat="1" applyFont="1" applyFill="1" applyAlignment="1">
      <alignment horizontal="center" vertical="center"/>
    </xf>
    <xf numFmtId="2" fontId="7" fillId="0" borderId="1" xfId="0" applyNumberFormat="1" applyFont="1" applyFill="1" applyBorder="1" applyAlignment="1">
      <alignment horizontal="center" vertical="center" wrapText="1"/>
    </xf>
    <xf numFmtId="176" fontId="8" fillId="0" borderId="1" xfId="0" applyNumberFormat="1" applyFont="1" applyFill="1" applyBorder="1" applyAlignment="1">
      <alignment horizontal="center" vertical="center" wrapText="1"/>
    </xf>
    <xf numFmtId="0" fontId="32" fillId="0" borderId="1" xfId="0" applyFont="1" applyFill="1" applyBorder="1" applyAlignment="1">
      <alignment horizontal="center" vertical="center"/>
    </xf>
    <xf numFmtId="177" fontId="7" fillId="0" borderId="24" xfId="0" applyNumberFormat="1" applyFont="1" applyFill="1" applyBorder="1" applyAlignment="1">
      <alignment horizontal="center" vertical="center"/>
    </xf>
    <xf numFmtId="177" fontId="7" fillId="0" borderId="25" xfId="0" applyNumberFormat="1" applyFont="1" applyFill="1" applyBorder="1" applyAlignment="1">
      <alignment horizontal="center" vertical="center"/>
    </xf>
    <xf numFmtId="177" fontId="7" fillId="0" borderId="31" xfId="0" applyNumberFormat="1" applyFont="1" applyFill="1" applyBorder="1" applyAlignment="1">
      <alignment horizontal="center" vertical="center"/>
    </xf>
    <xf numFmtId="2" fontId="8" fillId="0" borderId="0" xfId="0" applyNumberFormat="1" applyFont="1" applyFill="1" applyAlignment="1">
      <alignment horizontal="center" vertical="center"/>
    </xf>
    <xf numFmtId="0" fontId="18" fillId="0" borderId="1" xfId="0" applyFont="1" applyFill="1" applyBorder="1" applyAlignment="1">
      <alignment horizontal="center" vertical="center"/>
    </xf>
    <xf numFmtId="2" fontId="8" fillId="0" borderId="2" xfId="0" applyNumberFormat="1" applyFont="1" applyFill="1" applyBorder="1" applyAlignment="1">
      <alignment horizontal="center" vertical="center" wrapText="1"/>
    </xf>
    <xf numFmtId="14" fontId="18" fillId="0" borderId="2" xfId="0" applyNumberFormat="1" applyFont="1" applyFill="1" applyBorder="1" applyAlignment="1">
      <alignment horizontal="center" vertical="center"/>
    </xf>
    <xf numFmtId="0" fontId="18" fillId="0" borderId="2" xfId="0" applyFont="1" applyFill="1" applyBorder="1" applyAlignment="1">
      <alignment horizontal="center" vertical="center"/>
    </xf>
    <xf numFmtId="1" fontId="8" fillId="0" borderId="1" xfId="0" applyNumberFormat="1" applyFont="1" applyFill="1" applyBorder="1" applyAlignment="1">
      <alignment horizontal="center" vertical="center" wrapText="1"/>
    </xf>
    <xf numFmtId="180" fontId="25" fillId="0" borderId="1" xfId="0" applyNumberFormat="1" applyFont="1" applyFill="1" applyBorder="1" applyAlignment="1">
      <alignment horizontal="center" vertical="center"/>
    </xf>
    <xf numFmtId="14" fontId="3" fillId="0" borderId="20" xfId="0" applyNumberFormat="1" applyFont="1" applyFill="1" applyBorder="1" applyAlignment="1">
      <alignment horizontal="center" vertical="center"/>
    </xf>
    <xf numFmtId="176" fontId="7" fillId="0" borderId="2" xfId="0" applyNumberFormat="1" applyFont="1" applyFill="1" applyBorder="1" applyAlignment="1">
      <alignment horizontal="center" vertical="center" wrapText="1"/>
    </xf>
    <xf numFmtId="176" fontId="7" fillId="0" borderId="11" xfId="0" applyNumberFormat="1" applyFont="1" applyFill="1" applyBorder="1" applyAlignment="1">
      <alignment horizontal="center" vertical="center" wrapText="1"/>
    </xf>
    <xf numFmtId="0" fontId="33" fillId="0" borderId="1" xfId="0" applyFont="1" applyFill="1" applyBorder="1" applyAlignment="1">
      <alignment horizontal="center" vertical="center"/>
    </xf>
    <xf numFmtId="14" fontId="6" fillId="0" borderId="1" xfId="0" applyNumberFormat="1" applyFont="1" applyBorder="1" applyAlignment="1">
      <alignment horizontal="center" vertical="center"/>
    </xf>
    <xf numFmtId="0" fontId="7" fillId="0" borderId="29" xfId="0" applyFont="1" applyFill="1" applyBorder="1" applyAlignment="1">
      <alignment horizontal="left" vertical="center" wrapText="1"/>
    </xf>
    <xf numFmtId="0" fontId="7" fillId="0" borderId="38" xfId="0" applyFont="1" applyFill="1" applyBorder="1" applyAlignment="1">
      <alignment horizontal="left" vertical="center" wrapText="1"/>
    </xf>
    <xf numFmtId="0" fontId="11" fillId="0" borderId="1" xfId="0" applyFont="1" applyFill="1" applyBorder="1" applyAlignment="1">
      <alignment horizontal="left" vertical="center"/>
    </xf>
    <xf numFmtId="0" fontId="7" fillId="0" borderId="11" xfId="0" applyFont="1" applyFill="1" applyBorder="1" applyAlignment="1">
      <alignment horizontal="left" vertical="center"/>
    </xf>
    <xf numFmtId="0" fontId="31" fillId="0" borderId="0" xfId="0" applyFont="1" applyFill="1" applyAlignment="1">
      <alignment horizontal="center" vertical="center"/>
    </xf>
    <xf numFmtId="14" fontId="7" fillId="3" borderId="2" xfId="0" applyNumberFormat="1" applyFont="1" applyFill="1" applyBorder="1" applyAlignment="1">
      <alignment horizontal="center" vertical="center" wrapText="1"/>
    </xf>
    <xf numFmtId="14" fontId="7" fillId="3" borderId="10" xfId="0" applyNumberFormat="1" applyFont="1" applyFill="1" applyBorder="1" applyAlignment="1">
      <alignment horizontal="center" vertical="center" wrapText="1"/>
    </xf>
    <xf numFmtId="14" fontId="7" fillId="3" borderId="11" xfId="0" applyNumberFormat="1" applyFont="1" applyFill="1" applyBorder="1" applyAlignment="1">
      <alignment horizontal="center" vertical="center" wrapText="1"/>
    </xf>
    <xf numFmtId="14" fontId="1" fillId="0" borderId="2" xfId="0" applyNumberFormat="1" applyFont="1" applyBorder="1" applyAlignment="1">
      <alignment horizontal="center" vertical="center"/>
    </xf>
    <xf numFmtId="14" fontId="1" fillId="0" borderId="10" xfId="0" applyNumberFormat="1" applyFont="1" applyBorder="1" applyAlignment="1">
      <alignment horizontal="center" vertical="center"/>
    </xf>
    <xf numFmtId="49" fontId="1" fillId="0" borderId="1" xfId="0" applyNumberFormat="1" applyFont="1" applyBorder="1" applyAlignment="1">
      <alignment horizontal="center" vertical="center" wrapText="1"/>
    </xf>
    <xf numFmtId="14" fontId="1" fillId="0" borderId="11" xfId="0" applyNumberFormat="1" applyFont="1" applyBorder="1" applyAlignment="1">
      <alignment horizontal="center" vertical="center"/>
    </xf>
    <xf numFmtId="49" fontId="7" fillId="0" borderId="2" xfId="0" applyNumberFormat="1" applyFont="1" applyBorder="1" applyAlignment="1">
      <alignment horizontal="center" vertical="center" wrapText="1"/>
    </xf>
    <xf numFmtId="49" fontId="1" fillId="0" borderId="10" xfId="0" applyNumberFormat="1" applyFont="1" applyBorder="1" applyAlignment="1">
      <alignment horizontal="center" vertical="center" wrapText="1"/>
    </xf>
    <xf numFmtId="0" fontId="1" fillId="0" borderId="10" xfId="0" applyFont="1" applyBorder="1" applyAlignment="1">
      <alignment horizontal="center" vertical="center" wrapText="1"/>
    </xf>
    <xf numFmtId="49" fontId="1" fillId="0" borderId="11" xfId="0" applyNumberFormat="1" applyFont="1" applyBorder="1" applyAlignment="1">
      <alignment horizontal="center" vertical="center" wrapText="1"/>
    </xf>
    <xf numFmtId="0" fontId="1" fillId="0" borderId="11" xfId="0" applyFont="1" applyBorder="1" applyAlignment="1">
      <alignment horizontal="center" vertical="center" wrapText="1"/>
    </xf>
    <xf numFmtId="0" fontId="1" fillId="0" borderId="10" xfId="0" applyFont="1" applyBorder="1" applyAlignment="1">
      <alignment horizontal="center" vertical="center"/>
    </xf>
    <xf numFmtId="49" fontId="7" fillId="0" borderId="10" xfId="0" applyNumberFormat="1" applyFont="1" applyBorder="1" applyAlignment="1">
      <alignment horizontal="center" vertical="center" wrapText="1"/>
    </xf>
    <xf numFmtId="178" fontId="7" fillId="3" borderId="2" xfId="0" applyNumberFormat="1" applyFont="1" applyFill="1" applyBorder="1" applyAlignment="1">
      <alignment horizontal="center" vertical="center" wrapText="1"/>
    </xf>
    <xf numFmtId="178" fontId="7" fillId="3" borderId="10" xfId="0" applyNumberFormat="1" applyFont="1" applyFill="1" applyBorder="1" applyAlignment="1">
      <alignment horizontal="center" vertical="center" wrapText="1"/>
    </xf>
    <xf numFmtId="178" fontId="7" fillId="3" borderId="11" xfId="0" applyNumberFormat="1" applyFont="1" applyFill="1" applyBorder="1" applyAlignment="1">
      <alignment horizontal="center" vertical="center" wrapText="1"/>
    </xf>
    <xf numFmtId="178" fontId="3" fillId="0" borderId="2" xfId="0" applyNumberFormat="1" applyFont="1" applyBorder="1" applyAlignment="1">
      <alignment horizontal="center" vertical="center"/>
    </xf>
    <xf numFmtId="178" fontId="3" fillId="0" borderId="10" xfId="0" applyNumberFormat="1" applyFont="1" applyBorder="1" applyAlignment="1">
      <alignment horizontal="center" vertical="center"/>
    </xf>
    <xf numFmtId="178" fontId="3" fillId="0" borderId="11" xfId="0" applyNumberFormat="1" applyFont="1" applyBorder="1" applyAlignment="1">
      <alignment horizontal="center" vertical="center"/>
    </xf>
    <xf numFmtId="0" fontId="7" fillId="17" borderId="2" xfId="0" applyNumberFormat="1" applyFont="1" applyFill="1" applyBorder="1" applyAlignment="1">
      <alignment horizontal="center" vertical="center" wrapText="1"/>
    </xf>
    <xf numFmtId="10" fontId="3" fillId="17" borderId="1" xfId="0" applyNumberFormat="1" applyFont="1" applyFill="1" applyBorder="1" applyAlignment="1">
      <alignment horizontal="center" vertical="center" wrapText="1"/>
    </xf>
    <xf numFmtId="176" fontId="3" fillId="17" borderId="1" xfId="0" applyNumberFormat="1" applyFont="1" applyFill="1" applyBorder="1" applyAlignment="1">
      <alignment horizontal="center" vertical="center"/>
    </xf>
    <xf numFmtId="0" fontId="3" fillId="17" borderId="10" xfId="0" applyNumberFormat="1" applyFont="1" applyFill="1" applyBorder="1" applyAlignment="1">
      <alignment horizontal="center" vertical="center" wrapText="1"/>
    </xf>
    <xf numFmtId="0" fontId="3" fillId="17" borderId="11" xfId="0" applyNumberFormat="1" applyFont="1" applyFill="1" applyBorder="1" applyAlignment="1">
      <alignment horizontal="center" vertical="center" wrapText="1"/>
    </xf>
    <xf numFmtId="9" fontId="34" fillId="3" borderId="1" xfId="0" applyNumberFormat="1" applyFont="1" applyFill="1" applyBorder="1" applyAlignment="1">
      <alignment horizontal="center" vertical="center" wrapText="1"/>
    </xf>
    <xf numFmtId="9" fontId="35" fillId="3" borderId="1" xfId="0" applyNumberFormat="1" applyFont="1" applyFill="1" applyBorder="1" applyAlignment="1">
      <alignment horizontal="center" vertical="center" wrapText="1"/>
    </xf>
    <xf numFmtId="178" fontId="17" fillId="3" borderId="1" xfId="0" applyNumberFormat="1" applyFont="1" applyFill="1" applyBorder="1" applyAlignment="1">
      <alignment horizontal="center" vertical="center"/>
    </xf>
    <xf numFmtId="9" fontId="1" fillId="0" borderId="1" xfId="0" applyNumberFormat="1" applyFont="1" applyBorder="1" applyAlignment="1">
      <alignment horizontal="center" vertical="center"/>
    </xf>
    <xf numFmtId="9" fontId="1" fillId="0" borderId="2" xfId="0" applyNumberFormat="1" applyFont="1" applyBorder="1" applyAlignment="1">
      <alignment horizontal="center" vertical="center"/>
    </xf>
    <xf numFmtId="178" fontId="1" fillId="0" borderId="2" xfId="0" applyNumberFormat="1" applyFont="1" applyBorder="1" applyAlignment="1">
      <alignment horizontal="center" vertical="center"/>
    </xf>
    <xf numFmtId="9" fontId="1" fillId="0" borderId="11" xfId="0" applyNumberFormat="1" applyFont="1" applyBorder="1" applyAlignment="1">
      <alignment horizontal="center" vertical="center"/>
    </xf>
    <xf numFmtId="178" fontId="1" fillId="0" borderId="11" xfId="0" applyNumberFormat="1" applyFont="1" applyBorder="1" applyAlignment="1">
      <alignment horizontal="center" vertical="center"/>
    </xf>
    <xf numFmtId="2" fontId="1" fillId="0" borderId="1" xfId="0" applyNumberFormat="1" applyFont="1" applyBorder="1" applyAlignment="1">
      <alignment horizontal="center" vertical="center"/>
    </xf>
    <xf numFmtId="2" fontId="1" fillId="0" borderId="2" xfId="0" applyNumberFormat="1" applyFont="1" applyBorder="1" applyAlignment="1">
      <alignment horizontal="center" vertical="center"/>
    </xf>
    <xf numFmtId="2" fontId="1" fillId="0" borderId="11" xfId="0" applyNumberFormat="1" applyFont="1" applyBorder="1" applyAlignment="1">
      <alignment horizontal="center" vertical="center"/>
    </xf>
    <xf numFmtId="9" fontId="3" fillId="0" borderId="1" xfId="0" applyNumberFormat="1" applyFont="1" applyBorder="1" applyAlignment="1">
      <alignment horizontal="center" vertical="center"/>
    </xf>
    <xf numFmtId="178" fontId="6" fillId="0" borderId="1" xfId="0" applyNumberFormat="1" applyFont="1" applyBorder="1" applyAlignment="1">
      <alignment horizontal="center" vertical="center"/>
    </xf>
    <xf numFmtId="181" fontId="1" fillId="0" borderId="1" xfId="0" applyNumberFormat="1" applyFont="1" applyBorder="1" applyAlignment="1">
      <alignment horizontal="center" vertical="center"/>
    </xf>
    <xf numFmtId="181" fontId="6" fillId="0" borderId="1" xfId="0" applyNumberFormat="1" applyFont="1" applyBorder="1" applyAlignment="1">
      <alignment horizontal="center" vertical="center"/>
    </xf>
    <xf numFmtId="181" fontId="3" fillId="0" borderId="1" xfId="0" applyNumberFormat="1" applyFont="1" applyBorder="1" applyAlignment="1">
      <alignment horizontal="center" vertical="center"/>
    </xf>
    <xf numFmtId="0" fontId="36" fillId="0" borderId="1" xfId="0" applyFont="1" applyBorder="1" applyAlignment="1">
      <alignment horizontal="center" vertical="center"/>
    </xf>
    <xf numFmtId="14" fontId="1" fillId="0" borderId="1" xfId="0" applyNumberFormat="1" applyFont="1" applyBorder="1">
      <alignment vertical="center"/>
    </xf>
    <xf numFmtId="0" fontId="3" fillId="0" borderId="1" xfId="0" applyFont="1" applyBorder="1">
      <alignment vertical="center"/>
    </xf>
    <xf numFmtId="0" fontId="17" fillId="0" borderId="1" xfId="0" applyFont="1" applyBorder="1" applyAlignment="1">
      <alignment vertical="center" wrapText="1"/>
    </xf>
    <xf numFmtId="14" fontId="7" fillId="0" borderId="1" xfId="0" applyNumberFormat="1" applyFont="1" applyBorder="1" applyAlignment="1">
      <alignment vertical="center" wrapText="1"/>
    </xf>
    <xf numFmtId="14" fontId="3" fillId="0" borderId="1" xfId="0" applyNumberFormat="1" applyFont="1" applyBorder="1">
      <alignment vertical="center"/>
    </xf>
    <xf numFmtId="14" fontId="36" fillId="0" borderId="1" xfId="0" applyNumberFormat="1" applyFont="1" applyBorder="1" applyAlignment="1">
      <alignment horizontal="center" vertical="center"/>
    </xf>
    <xf numFmtId="49" fontId="7" fillId="0" borderId="2" xfId="0" applyNumberFormat="1" applyFont="1" applyBorder="1" applyAlignment="1">
      <alignment horizontal="center" vertical="center"/>
    </xf>
    <xf numFmtId="14" fontId="7" fillId="0" borderId="10" xfId="0" applyNumberFormat="1" applyFont="1" applyBorder="1" applyAlignment="1">
      <alignment horizontal="center" vertical="center"/>
    </xf>
    <xf numFmtId="49" fontId="7" fillId="0" borderId="10" xfId="0" applyNumberFormat="1" applyFont="1" applyBorder="1" applyAlignment="1">
      <alignment horizontal="center" vertical="center"/>
    </xf>
    <xf numFmtId="49" fontId="7" fillId="0" borderId="11" xfId="0" applyNumberFormat="1" applyFont="1" applyBorder="1" applyAlignment="1">
      <alignment horizontal="center" vertical="center"/>
    </xf>
    <xf numFmtId="0" fontId="7" fillId="9" borderId="2" xfId="0" applyFont="1" applyFill="1" applyBorder="1" applyAlignment="1">
      <alignment horizontal="center" vertical="center"/>
    </xf>
    <xf numFmtId="14" fontId="1" fillId="9" borderId="2" xfId="0" applyNumberFormat="1" applyFont="1" applyFill="1" applyBorder="1" applyAlignment="1">
      <alignment horizontal="center" vertical="center"/>
    </xf>
    <xf numFmtId="49" fontId="7" fillId="9" borderId="1" xfId="0" applyNumberFormat="1" applyFont="1" applyFill="1" applyBorder="1" applyAlignment="1">
      <alignment horizontal="center" vertical="center"/>
    </xf>
    <xf numFmtId="14" fontId="1" fillId="9" borderId="10" xfId="0" applyNumberFormat="1" applyFont="1" applyFill="1" applyBorder="1" applyAlignment="1">
      <alignment horizontal="center" vertical="center"/>
    </xf>
    <xf numFmtId="0" fontId="1" fillId="9" borderId="11" xfId="0" applyFont="1" applyFill="1" applyBorder="1" applyAlignment="1">
      <alignment horizontal="center" vertical="center"/>
    </xf>
    <xf numFmtId="14" fontId="1" fillId="9" borderId="11" xfId="0" applyNumberFormat="1" applyFont="1" applyFill="1" applyBorder="1" applyAlignment="1">
      <alignment horizontal="center" vertical="center"/>
    </xf>
    <xf numFmtId="14" fontId="1" fillId="13" borderId="2" xfId="0" applyNumberFormat="1" applyFont="1" applyFill="1" applyBorder="1" applyAlignment="1">
      <alignment horizontal="center" vertical="center"/>
    </xf>
    <xf numFmtId="49" fontId="7" fillId="13" borderId="2" xfId="0" applyNumberFormat="1" applyFont="1" applyFill="1" applyBorder="1" applyAlignment="1">
      <alignment horizontal="center" vertical="center"/>
    </xf>
    <xf numFmtId="0" fontId="1" fillId="13" borderId="11" xfId="0" applyFont="1" applyFill="1" applyBorder="1" applyAlignment="1">
      <alignment horizontal="center" vertical="center"/>
    </xf>
    <xf numFmtId="14" fontId="1" fillId="13" borderId="11" xfId="0" applyNumberFormat="1" applyFont="1" applyFill="1" applyBorder="1" applyAlignment="1">
      <alignment horizontal="center" vertical="center"/>
    </xf>
    <xf numFmtId="49" fontId="7" fillId="13" borderId="11" xfId="0" applyNumberFormat="1" applyFont="1" applyFill="1" applyBorder="1" applyAlignment="1">
      <alignment horizontal="center" vertical="center"/>
    </xf>
    <xf numFmtId="0" fontId="7" fillId="42" borderId="2" xfId="0" applyFont="1" applyFill="1" applyBorder="1" applyAlignment="1">
      <alignment horizontal="center" vertical="center"/>
    </xf>
    <xf numFmtId="14" fontId="1" fillId="42" borderId="2" xfId="0" applyNumberFormat="1" applyFont="1" applyFill="1" applyBorder="1" applyAlignment="1">
      <alignment horizontal="center" vertical="center"/>
    </xf>
    <xf numFmtId="49" fontId="7" fillId="42" borderId="1" xfId="0" applyNumberFormat="1" applyFont="1" applyFill="1" applyBorder="1" applyAlignment="1">
      <alignment horizontal="center" vertical="center"/>
    </xf>
    <xf numFmtId="0" fontId="1" fillId="42" borderId="2" xfId="0" applyFont="1" applyFill="1" applyBorder="1" applyAlignment="1">
      <alignment horizontal="center" vertical="center"/>
    </xf>
    <xf numFmtId="0" fontId="1" fillId="42" borderId="10" xfId="0" applyFont="1" applyFill="1" applyBorder="1" applyAlignment="1">
      <alignment horizontal="center" vertical="center"/>
    </xf>
    <xf numFmtId="14" fontId="1" fillId="42" borderId="10" xfId="0" applyNumberFormat="1" applyFont="1" applyFill="1" applyBorder="1" applyAlignment="1">
      <alignment horizontal="center" vertical="center"/>
    </xf>
    <xf numFmtId="49" fontId="1" fillId="42" borderId="1" xfId="0" applyNumberFormat="1" applyFont="1" applyFill="1" applyBorder="1" applyAlignment="1">
      <alignment horizontal="center" vertical="center"/>
    </xf>
    <xf numFmtId="0" fontId="1" fillId="42" borderId="11" xfId="0" applyFont="1" applyFill="1" applyBorder="1" applyAlignment="1">
      <alignment horizontal="center" vertical="center"/>
    </xf>
    <xf numFmtId="14" fontId="1" fillId="42" borderId="11" xfId="0" applyNumberFormat="1" applyFont="1" applyFill="1" applyBorder="1" applyAlignment="1">
      <alignment horizontal="center" vertical="center"/>
    </xf>
    <xf numFmtId="0" fontId="7" fillId="14" borderId="2" xfId="0" applyFont="1" applyFill="1" applyBorder="1" applyAlignment="1">
      <alignment horizontal="center" vertical="center"/>
    </xf>
    <xf numFmtId="14" fontId="1" fillId="14" borderId="2" xfId="0" applyNumberFormat="1" applyFont="1" applyFill="1" applyBorder="1" applyAlignment="1">
      <alignment horizontal="center" vertical="center"/>
    </xf>
    <xf numFmtId="49" fontId="7" fillId="14" borderId="1" xfId="0" applyNumberFormat="1" applyFont="1" applyFill="1" applyBorder="1" applyAlignment="1">
      <alignment horizontal="center" vertical="center"/>
    </xf>
    <xf numFmtId="0" fontId="1" fillId="14" borderId="2" xfId="0" applyFont="1" applyFill="1" applyBorder="1" applyAlignment="1">
      <alignment horizontal="center" vertical="center"/>
    </xf>
    <xf numFmtId="0" fontId="1" fillId="14" borderId="10" xfId="0" applyFont="1" applyFill="1" applyBorder="1" applyAlignment="1">
      <alignment horizontal="center" vertical="center"/>
    </xf>
    <xf numFmtId="14" fontId="1" fillId="14" borderId="10" xfId="0" applyNumberFormat="1" applyFont="1" applyFill="1" applyBorder="1" applyAlignment="1">
      <alignment horizontal="center" vertical="center"/>
    </xf>
    <xf numFmtId="49" fontId="1" fillId="14" borderId="1" xfId="0" applyNumberFormat="1" applyFont="1" applyFill="1" applyBorder="1" applyAlignment="1">
      <alignment horizontal="center" vertical="center"/>
    </xf>
    <xf numFmtId="0" fontId="1" fillId="14" borderId="11" xfId="0" applyFont="1" applyFill="1" applyBorder="1" applyAlignment="1">
      <alignment horizontal="center" vertical="center"/>
    </xf>
    <xf numFmtId="14" fontId="1" fillId="14" borderId="11" xfId="0" applyNumberFormat="1" applyFont="1" applyFill="1" applyBorder="1" applyAlignment="1">
      <alignment horizontal="center" vertical="center"/>
    </xf>
    <xf numFmtId="0" fontId="7" fillId="43" borderId="2" xfId="0" applyFont="1" applyFill="1" applyBorder="1" applyAlignment="1">
      <alignment horizontal="center" vertical="center"/>
    </xf>
    <xf numFmtId="14" fontId="1" fillId="43" borderId="2" xfId="0" applyNumberFormat="1" applyFont="1" applyFill="1" applyBorder="1" applyAlignment="1">
      <alignment horizontal="center" vertical="center"/>
    </xf>
    <xf numFmtId="49" fontId="7" fillId="43" borderId="1" xfId="0" applyNumberFormat="1" applyFont="1" applyFill="1" applyBorder="1" applyAlignment="1">
      <alignment horizontal="center" vertical="center"/>
    </xf>
    <xf numFmtId="0" fontId="1" fillId="43" borderId="2" xfId="0" applyFont="1" applyFill="1" applyBorder="1" applyAlignment="1">
      <alignment horizontal="center" vertical="center"/>
    </xf>
    <xf numFmtId="0" fontId="1" fillId="43" borderId="10" xfId="0" applyFont="1" applyFill="1" applyBorder="1" applyAlignment="1">
      <alignment horizontal="center" vertical="center"/>
    </xf>
    <xf numFmtId="14" fontId="1" fillId="43" borderId="10" xfId="0" applyNumberFormat="1" applyFont="1" applyFill="1" applyBorder="1" applyAlignment="1">
      <alignment horizontal="center" vertical="center"/>
    </xf>
    <xf numFmtId="49" fontId="1" fillId="43" borderId="1" xfId="0" applyNumberFormat="1" applyFont="1" applyFill="1" applyBorder="1" applyAlignment="1">
      <alignment horizontal="center" vertical="center"/>
    </xf>
    <xf numFmtId="0" fontId="1" fillId="43" borderId="11" xfId="0" applyFont="1" applyFill="1" applyBorder="1" applyAlignment="1">
      <alignment horizontal="center" vertical="center"/>
    </xf>
    <xf numFmtId="14" fontId="1" fillId="43" borderId="11" xfId="0" applyNumberFormat="1" applyFont="1" applyFill="1" applyBorder="1" applyAlignment="1">
      <alignment horizontal="center" vertical="center"/>
    </xf>
    <xf numFmtId="49" fontId="7" fillId="2" borderId="1" xfId="0" applyNumberFormat="1" applyFont="1" applyFill="1" applyBorder="1" applyAlignment="1">
      <alignment horizontal="center" vertical="center"/>
    </xf>
    <xf numFmtId="14" fontId="1" fillId="2" borderId="10"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0" fontId="1" fillId="2" borderId="11" xfId="0" applyFont="1" applyFill="1" applyBorder="1" applyAlignment="1">
      <alignment horizontal="center" vertical="center"/>
    </xf>
    <xf numFmtId="14" fontId="1" fillId="5" borderId="2" xfId="0" applyNumberFormat="1" applyFont="1" applyFill="1" applyBorder="1" applyAlignment="1">
      <alignment horizontal="center" vertical="center"/>
    </xf>
    <xf numFmtId="49" fontId="7" fillId="5" borderId="1" xfId="0" applyNumberFormat="1" applyFont="1" applyFill="1" applyBorder="1" applyAlignment="1">
      <alignment horizontal="center" vertical="center"/>
    </xf>
    <xf numFmtId="14" fontId="1" fillId="5" borderId="10"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14" fontId="1" fillId="5" borderId="11" xfId="0" applyNumberFormat="1" applyFont="1" applyFill="1" applyBorder="1" applyAlignment="1">
      <alignment horizontal="center" vertical="center"/>
    </xf>
    <xf numFmtId="14" fontId="3" fillId="5" borderId="2" xfId="0" applyNumberFormat="1" applyFont="1" applyFill="1" applyBorder="1" applyAlignment="1">
      <alignment horizontal="center" vertical="center"/>
    </xf>
    <xf numFmtId="0" fontId="3" fillId="5" borderId="2" xfId="0" applyFont="1" applyFill="1" applyBorder="1" applyAlignment="1">
      <alignment horizontal="center" vertical="center"/>
    </xf>
    <xf numFmtId="0" fontId="3" fillId="5" borderId="10" xfId="0" applyFont="1" applyFill="1" applyBorder="1" applyAlignment="1">
      <alignment horizontal="center" vertical="center"/>
    </xf>
    <xf numFmtId="14" fontId="3" fillId="5" borderId="10" xfId="0" applyNumberFormat="1" applyFont="1" applyFill="1" applyBorder="1" applyAlignment="1">
      <alignment horizontal="center" vertical="center"/>
    </xf>
    <xf numFmtId="49" fontId="3" fillId="5" borderId="1" xfId="0" applyNumberFormat="1" applyFont="1" applyFill="1" applyBorder="1" applyAlignment="1">
      <alignment horizontal="center" vertical="center"/>
    </xf>
    <xf numFmtId="14" fontId="3" fillId="5" borderId="11" xfId="0" applyNumberFormat="1" applyFont="1" applyFill="1" applyBorder="1" applyAlignment="1">
      <alignment horizontal="center" vertical="center"/>
    </xf>
    <xf numFmtId="14" fontId="7" fillId="5" borderId="2" xfId="0" applyNumberFormat="1" applyFont="1" applyFill="1" applyBorder="1" applyAlignment="1">
      <alignment horizontal="center" vertical="center"/>
    </xf>
    <xf numFmtId="14" fontId="7" fillId="5" borderId="10" xfId="0" applyNumberFormat="1" applyFont="1" applyFill="1" applyBorder="1" applyAlignment="1">
      <alignment horizontal="center" vertical="center"/>
    </xf>
    <xf numFmtId="0" fontId="7" fillId="9" borderId="2"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1" fillId="13" borderId="11" xfId="0" applyFont="1" applyFill="1" applyBorder="1" applyAlignment="1">
      <alignment horizontal="center" vertical="center" wrapText="1"/>
    </xf>
    <xf numFmtId="0" fontId="7" fillId="42" borderId="2" xfId="0" applyFont="1" applyFill="1" applyBorder="1" applyAlignment="1">
      <alignment horizontal="center" vertical="center" wrapText="1"/>
    </xf>
    <xf numFmtId="0" fontId="7" fillId="42" borderId="1" xfId="0" applyFont="1" applyFill="1" applyBorder="1" applyAlignment="1">
      <alignment horizontal="center" vertical="center" wrapText="1"/>
    </xf>
    <xf numFmtId="0" fontId="1" fillId="42" borderId="10" xfId="0" applyFont="1" applyFill="1" applyBorder="1" applyAlignment="1">
      <alignment horizontal="center" vertical="center" wrapText="1"/>
    </xf>
    <xf numFmtId="0" fontId="1" fillId="42" borderId="1" xfId="0" applyFont="1" applyFill="1" applyBorder="1" applyAlignment="1">
      <alignment horizontal="center" vertical="center" wrapText="1"/>
    </xf>
    <xf numFmtId="0" fontId="1" fillId="42" borderId="11" xfId="0" applyFont="1" applyFill="1" applyBorder="1" applyAlignment="1">
      <alignment horizontal="center" vertical="center" wrapText="1"/>
    </xf>
    <xf numFmtId="0" fontId="7" fillId="14" borderId="2"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1" fillId="14" borderId="10"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1" fillId="14" borderId="11" xfId="0" applyFont="1" applyFill="1" applyBorder="1" applyAlignment="1">
      <alignment horizontal="center" vertical="center" wrapText="1"/>
    </xf>
    <xf numFmtId="0" fontId="7" fillId="43" borderId="2" xfId="0" applyFont="1" applyFill="1" applyBorder="1" applyAlignment="1">
      <alignment horizontal="center" vertical="center" wrapText="1"/>
    </xf>
    <xf numFmtId="0" fontId="7" fillId="43" borderId="1" xfId="0" applyFont="1" applyFill="1" applyBorder="1" applyAlignment="1">
      <alignment horizontal="center" vertical="center" wrapText="1"/>
    </xf>
    <xf numFmtId="0" fontId="1" fillId="43" borderId="10" xfId="0" applyFont="1" applyFill="1" applyBorder="1" applyAlignment="1">
      <alignment horizontal="center" vertical="center" wrapText="1"/>
    </xf>
    <xf numFmtId="0" fontId="1" fillId="43" borderId="1" xfId="0" applyFont="1" applyFill="1" applyBorder="1" applyAlignment="1">
      <alignment horizontal="center" vertical="center" wrapText="1"/>
    </xf>
    <xf numFmtId="0" fontId="1" fillId="43" borderId="1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5" borderId="1" xfId="0" applyFont="1" applyFill="1" applyBorder="1" applyAlignment="1">
      <alignment horizontal="center" vertical="center" wrapText="1"/>
    </xf>
    <xf numFmtId="178" fontId="1" fillId="0" borderId="10" xfId="0" applyNumberFormat="1" applyFont="1" applyBorder="1" applyAlignment="1">
      <alignment horizontal="center" vertical="center"/>
    </xf>
    <xf numFmtId="0" fontId="3" fillId="9" borderId="2" xfId="0" applyFont="1" applyFill="1" applyBorder="1" applyAlignment="1">
      <alignment horizontal="center" vertical="center"/>
    </xf>
    <xf numFmtId="0" fontId="3" fillId="9" borderId="10" xfId="0" applyFont="1" applyFill="1" applyBorder="1" applyAlignment="1">
      <alignment horizontal="center" vertical="center"/>
    </xf>
    <xf numFmtId="0" fontId="3" fillId="13" borderId="2" xfId="0" applyFont="1" applyFill="1" applyBorder="1" applyAlignment="1">
      <alignment horizontal="center" vertical="center"/>
    </xf>
    <xf numFmtId="0" fontId="3" fillId="13" borderId="11" xfId="0" applyFont="1" applyFill="1" applyBorder="1" applyAlignment="1">
      <alignment horizontal="center" vertical="center"/>
    </xf>
    <xf numFmtId="4" fontId="1" fillId="43" borderId="2" xfId="0" applyNumberFormat="1" applyFont="1" applyFill="1" applyBorder="1" applyAlignment="1">
      <alignment horizontal="center" vertical="center"/>
    </xf>
    <xf numFmtId="4" fontId="1" fillId="43" borderId="10" xfId="0" applyNumberFormat="1" applyFont="1" applyFill="1" applyBorder="1" applyAlignment="1">
      <alignment horizontal="center" vertical="center"/>
    </xf>
    <xf numFmtId="4" fontId="1" fillId="43" borderId="11" xfId="0" applyNumberFormat="1" applyFont="1" applyFill="1" applyBorder="1" applyAlignment="1">
      <alignment horizontal="center" vertical="center"/>
    </xf>
    <xf numFmtId="2" fontId="1" fillId="5" borderId="1" xfId="0" applyNumberFormat="1" applyFont="1" applyFill="1" applyBorder="1" applyAlignment="1">
      <alignment horizontal="center" vertical="center"/>
    </xf>
    <xf numFmtId="9" fontId="2" fillId="9" borderId="1" xfId="0" applyNumberFormat="1" applyFont="1" applyFill="1" applyBorder="1" applyAlignment="1">
      <alignment horizontal="center" vertical="center" wrapText="1"/>
    </xf>
    <xf numFmtId="178" fontId="3" fillId="9" borderId="1" xfId="0" applyNumberFormat="1" applyFont="1" applyFill="1" applyBorder="1" applyAlignment="1">
      <alignment horizontal="center" vertical="center"/>
    </xf>
    <xf numFmtId="0" fontId="2" fillId="0" borderId="2" xfId="0" applyFont="1" applyFill="1" applyBorder="1" applyAlignment="1">
      <alignment horizontal="left" vertical="center" wrapText="1"/>
    </xf>
    <xf numFmtId="9" fontId="2" fillId="9" borderId="2" xfId="0" applyNumberFormat="1" applyFont="1" applyFill="1" applyBorder="1" applyAlignment="1">
      <alignment horizontal="center" vertical="center" wrapText="1"/>
    </xf>
    <xf numFmtId="178" fontId="1" fillId="9" borderId="2" xfId="0" applyNumberFormat="1" applyFont="1" applyFill="1" applyBorder="1" applyAlignment="1">
      <alignment horizontal="center" vertical="center"/>
    </xf>
    <xf numFmtId="9" fontId="2" fillId="42" borderId="1" xfId="0" applyNumberFormat="1" applyFont="1" applyFill="1" applyBorder="1" applyAlignment="1">
      <alignment horizontal="center" vertical="center" wrapText="1"/>
    </xf>
    <xf numFmtId="178" fontId="1" fillId="42" borderId="1" xfId="0" applyNumberFormat="1" applyFont="1" applyFill="1" applyBorder="1" applyAlignment="1">
      <alignment horizontal="center" vertical="center"/>
    </xf>
    <xf numFmtId="178" fontId="3" fillId="42" borderId="1" xfId="0" applyNumberFormat="1" applyFont="1" applyFill="1" applyBorder="1" applyAlignment="1">
      <alignment horizontal="center" vertical="center"/>
    </xf>
    <xf numFmtId="0" fontId="2" fillId="14" borderId="1" xfId="0" applyFont="1" applyFill="1" applyBorder="1" applyAlignment="1">
      <alignment horizontal="center" vertical="center" wrapText="1"/>
    </xf>
    <xf numFmtId="9" fontId="2" fillId="14" borderId="1" xfId="0" applyNumberFormat="1" applyFont="1" applyFill="1" applyBorder="1" applyAlignment="1">
      <alignment horizontal="center" vertical="center" wrapText="1"/>
    </xf>
    <xf numFmtId="178" fontId="3" fillId="14" borderId="1" xfId="0" applyNumberFormat="1" applyFont="1" applyFill="1" applyBorder="1" applyAlignment="1">
      <alignment horizontal="center" vertical="center"/>
    </xf>
    <xf numFmtId="178" fontId="1" fillId="14" borderId="1" xfId="0" applyNumberFormat="1" applyFont="1" applyFill="1" applyBorder="1" applyAlignment="1">
      <alignment horizontal="center" vertical="center"/>
    </xf>
    <xf numFmtId="9" fontId="2" fillId="43" borderId="1" xfId="0" applyNumberFormat="1" applyFont="1" applyFill="1" applyBorder="1" applyAlignment="1">
      <alignment horizontal="center" vertical="center"/>
    </xf>
    <xf numFmtId="178" fontId="1" fillId="43" borderId="1" xfId="0" applyNumberFormat="1" applyFont="1" applyFill="1" applyBorder="1" applyAlignment="1">
      <alignment horizontal="center" vertical="center"/>
    </xf>
    <xf numFmtId="9" fontId="2" fillId="43" borderId="1" xfId="0" applyNumberFormat="1" applyFont="1" applyFill="1" applyBorder="1" applyAlignment="1">
      <alignment horizontal="center" vertical="center" wrapText="1"/>
    </xf>
    <xf numFmtId="9" fontId="7" fillId="2" borderId="1" xfId="0" applyNumberFormat="1" applyFont="1" applyFill="1" applyBorder="1" applyAlignment="1">
      <alignment horizontal="center" vertical="center" wrapText="1"/>
    </xf>
    <xf numFmtId="9" fontId="1" fillId="44" borderId="1" xfId="0" applyNumberFormat="1" applyFont="1" applyFill="1" applyBorder="1" applyAlignment="1">
      <alignment horizontal="center" vertical="center"/>
    </xf>
    <xf numFmtId="9" fontId="2" fillId="5"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xf>
    <xf numFmtId="9" fontId="7" fillId="5" borderId="1" xfId="0" applyNumberFormat="1" applyFont="1" applyFill="1" applyBorder="1" applyAlignment="1">
      <alignment horizontal="center" vertical="center" wrapText="1"/>
    </xf>
    <xf numFmtId="0" fontId="3" fillId="13" borderId="1" xfId="0" applyFont="1" applyFill="1" applyBorder="1" applyAlignment="1">
      <alignment horizontal="center" vertical="center"/>
    </xf>
    <xf numFmtId="14" fontId="7" fillId="13" borderId="1" xfId="0" applyNumberFormat="1" applyFont="1" applyFill="1" applyBorder="1" applyAlignment="1">
      <alignment horizontal="center" vertical="center"/>
    </xf>
    <xf numFmtId="2" fontId="3" fillId="2" borderId="1" xfId="0" applyNumberFormat="1" applyFont="1" applyFill="1" applyBorder="1" applyAlignment="1">
      <alignment horizontal="center" vertical="center"/>
    </xf>
    <xf numFmtId="14" fontId="3" fillId="2" borderId="1" xfId="0" applyNumberFormat="1" applyFont="1" applyFill="1" applyBorder="1" applyAlignment="1">
      <alignment horizontal="center" vertical="center"/>
    </xf>
    <xf numFmtId="178" fontId="6" fillId="2" borderId="1" xfId="0" applyNumberFormat="1" applyFont="1" applyFill="1" applyBorder="1" applyAlignment="1">
      <alignment horizontal="center" vertical="center"/>
    </xf>
    <xf numFmtId="14" fontId="6" fillId="2" borderId="1" xfId="0" applyNumberFormat="1" applyFont="1" applyFill="1" applyBorder="1" applyAlignment="1">
      <alignment horizontal="center" vertical="center"/>
    </xf>
    <xf numFmtId="14" fontId="3" fillId="5" borderId="1" xfId="0" applyNumberFormat="1" applyFont="1" applyFill="1" applyBorder="1" applyAlignment="1">
      <alignment horizontal="center" vertical="center"/>
    </xf>
    <xf numFmtId="0" fontId="6" fillId="5" borderId="1" xfId="0" applyFont="1" applyFill="1" applyBorder="1" applyAlignment="1">
      <alignment horizontal="center" vertical="center"/>
    </xf>
    <xf numFmtId="14" fontId="6" fillId="5" borderId="1" xfId="0" applyNumberFormat="1" applyFont="1" applyFill="1" applyBorder="1" applyAlignment="1">
      <alignment horizontal="center" vertical="center"/>
    </xf>
    <xf numFmtId="14" fontId="1" fillId="5" borderId="1" xfId="0" applyNumberFormat="1" applyFont="1" applyFill="1" applyBorder="1" applyAlignment="1">
      <alignment horizontal="center" vertical="center"/>
    </xf>
    <xf numFmtId="14" fontId="1" fillId="13" borderId="1" xfId="0" applyNumberFormat="1" applyFont="1" applyFill="1" applyBorder="1" applyAlignment="1">
      <alignment horizontal="center" vertical="center"/>
    </xf>
    <xf numFmtId="2" fontId="1" fillId="2" borderId="1" xfId="0" applyNumberFormat="1" applyFont="1" applyFill="1" applyBorder="1" applyAlignment="1">
      <alignment horizontal="center" vertical="center"/>
    </xf>
    <xf numFmtId="2" fontId="7" fillId="2" borderId="1" xfId="0" applyNumberFormat="1" applyFont="1" applyFill="1" applyBorder="1" applyAlignment="1">
      <alignment horizontal="center" vertical="center"/>
    </xf>
    <xf numFmtId="2" fontId="6" fillId="2" borderId="1" xfId="0" applyNumberFormat="1" applyFont="1" applyFill="1" applyBorder="1" applyAlignment="1">
      <alignment horizontal="center" vertical="center"/>
    </xf>
    <xf numFmtId="14" fontId="6" fillId="0" borderId="1" xfId="0" applyNumberFormat="1" applyFont="1" applyBorder="1">
      <alignment vertical="center"/>
    </xf>
    <xf numFmtId="14" fontId="7" fillId="0" borderId="1" xfId="0" applyNumberFormat="1" applyFont="1" applyBorder="1">
      <alignment vertical="center"/>
    </xf>
    <xf numFmtId="0" fontId="7" fillId="0" borderId="2" xfId="0" applyFont="1" applyBorder="1" applyAlignment="1">
      <alignment horizontal="left" vertical="center" wrapText="1"/>
    </xf>
    <xf numFmtId="0" fontId="1" fillId="0" borderId="2" xfId="0" applyFont="1" applyBorder="1">
      <alignment vertical="center"/>
    </xf>
    <xf numFmtId="0" fontId="7" fillId="0" borderId="10" xfId="0" applyFont="1" applyBorder="1" applyAlignment="1">
      <alignment horizontal="left" vertical="center" wrapText="1"/>
    </xf>
    <xf numFmtId="0" fontId="3" fillId="5" borderId="1" xfId="0" applyFont="1" applyFill="1" applyBorder="1">
      <alignment vertical="center"/>
    </xf>
    <xf numFmtId="14" fontId="7" fillId="5" borderId="11" xfId="0" applyNumberFormat="1" applyFont="1" applyFill="1" applyBorder="1" applyAlignment="1">
      <alignment horizontal="center" vertical="center"/>
    </xf>
    <xf numFmtId="49" fontId="7" fillId="11" borderId="2" xfId="0" applyNumberFormat="1" applyFont="1" applyFill="1" applyBorder="1" applyAlignment="1">
      <alignment horizontal="center" vertical="center"/>
    </xf>
    <xf numFmtId="49" fontId="7" fillId="11" borderId="10" xfId="0" applyNumberFormat="1" applyFont="1" applyFill="1" applyBorder="1" applyAlignment="1">
      <alignment horizontal="center" vertical="center"/>
    </xf>
    <xf numFmtId="49" fontId="7" fillId="11" borderId="11" xfId="0" applyNumberFormat="1" applyFont="1" applyFill="1" applyBorder="1" applyAlignment="1">
      <alignment horizontal="center" vertical="center" wrapText="1"/>
    </xf>
    <xf numFmtId="14" fontId="7" fillId="11" borderId="2" xfId="0" applyNumberFormat="1" applyFont="1" applyFill="1" applyBorder="1" applyAlignment="1">
      <alignment horizontal="center" vertical="center"/>
    </xf>
    <xf numFmtId="14" fontId="7" fillId="11" borderId="10" xfId="0" applyNumberFormat="1" applyFont="1" applyFill="1" applyBorder="1" applyAlignment="1">
      <alignment horizontal="center" vertical="center"/>
    </xf>
    <xf numFmtId="49" fontId="7" fillId="0" borderId="2" xfId="0" applyNumberFormat="1" applyFont="1" applyFill="1" applyBorder="1" applyAlignment="1">
      <alignment horizontal="center" vertical="center"/>
    </xf>
    <xf numFmtId="49" fontId="7" fillId="0" borderId="10" xfId="0" applyNumberFormat="1" applyFont="1" applyFill="1" applyBorder="1" applyAlignment="1">
      <alignment horizontal="center" vertical="center"/>
    </xf>
    <xf numFmtId="49" fontId="7" fillId="14" borderId="2" xfId="0" applyNumberFormat="1" applyFont="1" applyFill="1" applyBorder="1" applyAlignment="1">
      <alignment horizontal="center" vertical="center"/>
    </xf>
    <xf numFmtId="0" fontId="7" fillId="14" borderId="10" xfId="0" applyFont="1" applyFill="1" applyBorder="1" applyAlignment="1">
      <alignment horizontal="center" vertical="center"/>
    </xf>
    <xf numFmtId="49" fontId="7" fillId="14" borderId="10" xfId="0" applyNumberFormat="1" applyFont="1" applyFill="1" applyBorder="1" applyAlignment="1">
      <alignment horizontal="center" vertical="center"/>
    </xf>
    <xf numFmtId="0" fontId="7" fillId="14" borderId="10" xfId="0" applyFont="1" applyFill="1" applyBorder="1" applyAlignment="1">
      <alignment horizontal="center" vertical="center" wrapText="1"/>
    </xf>
    <xf numFmtId="178" fontId="1" fillId="0" borderId="2" xfId="0" applyNumberFormat="1" applyFont="1" applyFill="1" applyBorder="1" applyAlignment="1">
      <alignment horizontal="center" vertical="center"/>
    </xf>
    <xf numFmtId="178" fontId="1" fillId="0" borderId="10" xfId="0" applyNumberFormat="1" applyFont="1" applyFill="1" applyBorder="1" applyAlignment="1">
      <alignment horizontal="center" vertical="center"/>
    </xf>
    <xf numFmtId="0" fontId="7" fillId="14" borderId="2" xfId="0" applyFont="1" applyFill="1" applyBorder="1" applyAlignment="1">
      <alignment horizontal="left" vertical="center" wrapText="1"/>
    </xf>
    <xf numFmtId="178" fontId="7" fillId="14" borderId="2" xfId="0" applyNumberFormat="1" applyFont="1" applyFill="1" applyBorder="1" applyAlignment="1">
      <alignment horizontal="center" vertical="center" wrapText="1"/>
    </xf>
    <xf numFmtId="0" fontId="7" fillId="14" borderId="10" xfId="0" applyFont="1" applyFill="1" applyBorder="1" applyAlignment="1">
      <alignment horizontal="left" vertical="center" wrapText="1"/>
    </xf>
    <xf numFmtId="178" fontId="1" fillId="14" borderId="10" xfId="0" applyNumberFormat="1" applyFont="1" applyFill="1" applyBorder="1" applyAlignment="1">
      <alignment horizontal="center" vertical="center" wrapText="1"/>
    </xf>
    <xf numFmtId="10" fontId="7" fillId="11" borderId="1" xfId="0" applyNumberFormat="1" applyFont="1" applyFill="1" applyBorder="1" applyAlignment="1">
      <alignment horizontal="center" vertical="center"/>
    </xf>
    <xf numFmtId="10" fontId="7" fillId="11" borderId="1" xfId="0" applyNumberFormat="1" applyFont="1" applyFill="1" applyBorder="1" applyAlignment="1">
      <alignment horizontal="center" vertical="center" wrapText="1"/>
    </xf>
    <xf numFmtId="0" fontId="13" fillId="11" borderId="1" xfId="0" applyFont="1" applyFill="1" applyBorder="1" applyAlignment="1">
      <alignment horizontal="center" vertical="center" wrapText="1"/>
    </xf>
    <xf numFmtId="10" fontId="1" fillId="11" borderId="1" xfId="0" applyNumberFormat="1" applyFont="1" applyFill="1" applyBorder="1" applyAlignment="1">
      <alignment horizontal="center" vertical="center"/>
    </xf>
    <xf numFmtId="0" fontId="13" fillId="14" borderId="1" xfId="0" applyFont="1" applyFill="1" applyBorder="1" applyAlignment="1">
      <alignment horizontal="left" vertical="center" wrapText="1"/>
    </xf>
    <xf numFmtId="0" fontId="7" fillId="14" borderId="1" xfId="0" applyFont="1" applyFill="1" applyBorder="1" applyAlignment="1">
      <alignment horizontal="center" vertical="center"/>
    </xf>
    <xf numFmtId="178" fontId="3" fillId="11" borderId="1" xfId="0" applyNumberFormat="1" applyFont="1" applyFill="1" applyBorder="1" applyAlignment="1">
      <alignment horizontal="center" vertical="center"/>
    </xf>
    <xf numFmtId="0" fontId="6" fillId="11" borderId="1" xfId="0" applyFont="1" applyFill="1" applyBorder="1" applyAlignment="1">
      <alignment horizontal="center" vertical="center"/>
    </xf>
    <xf numFmtId="176" fontId="18" fillId="11" borderId="1" xfId="0" applyNumberFormat="1" applyFont="1" applyFill="1" applyBorder="1" applyAlignment="1">
      <alignment horizontal="center" vertical="center"/>
    </xf>
    <xf numFmtId="0" fontId="8" fillId="11" borderId="1" xfId="0" applyFont="1" applyFill="1" applyBorder="1" applyAlignment="1">
      <alignment horizontal="center" vertical="center"/>
    </xf>
    <xf numFmtId="14" fontId="18" fillId="11" borderId="1" xfId="0" applyNumberFormat="1" applyFont="1" applyFill="1" applyBorder="1" applyAlignment="1">
      <alignment horizontal="center" vertical="center"/>
    </xf>
    <xf numFmtId="176" fontId="18" fillId="0" borderId="1" xfId="0" applyNumberFormat="1" applyFont="1" applyFill="1" applyBorder="1" applyAlignment="1">
      <alignment horizontal="center" vertical="center"/>
    </xf>
    <xf numFmtId="0" fontId="3" fillId="14" borderId="1" xfId="0" applyFont="1" applyFill="1" applyBorder="1" applyAlignment="1">
      <alignment horizontal="center" vertical="center"/>
    </xf>
    <xf numFmtId="14" fontId="3" fillId="14" borderId="1" xfId="0" applyNumberFormat="1" applyFont="1" applyFill="1" applyBorder="1" applyAlignment="1">
      <alignment horizontal="center" vertical="center"/>
    </xf>
    <xf numFmtId="176" fontId="18" fillId="14" borderId="1" xfId="0" applyNumberFormat="1" applyFont="1" applyFill="1" applyBorder="1" applyAlignment="1">
      <alignment horizontal="center" vertical="center"/>
    </xf>
    <xf numFmtId="0" fontId="8" fillId="14" borderId="1" xfId="0" applyFont="1" applyFill="1" applyBorder="1" applyAlignment="1">
      <alignment horizontal="center" vertical="center"/>
    </xf>
    <xf numFmtId="14" fontId="18" fillId="14" borderId="1" xfId="0" applyNumberFormat="1" applyFont="1" applyFill="1" applyBorder="1" applyAlignment="1">
      <alignment horizontal="center" vertical="center"/>
    </xf>
    <xf numFmtId="176" fontId="3" fillId="14" borderId="1" xfId="0" applyNumberFormat="1" applyFont="1" applyFill="1" applyBorder="1" applyAlignment="1">
      <alignment horizontal="center" vertical="center"/>
    </xf>
    <xf numFmtId="0" fontId="9" fillId="11" borderId="1" xfId="0" applyFont="1" applyFill="1" applyBorder="1" applyAlignment="1">
      <alignment horizontal="center" vertical="center"/>
    </xf>
    <xf numFmtId="0" fontId="18" fillId="14" borderId="1" xfId="0" applyFont="1" applyFill="1" applyBorder="1" applyAlignment="1">
      <alignment horizontal="center" vertical="center"/>
    </xf>
    <xf numFmtId="49" fontId="7" fillId="14" borderId="11" xfId="0" applyNumberFormat="1" applyFont="1" applyFill="1" applyBorder="1" applyAlignment="1">
      <alignment horizontal="center" vertical="center"/>
    </xf>
    <xf numFmtId="14" fontId="1" fillId="14" borderId="1" xfId="0" applyNumberFormat="1" applyFont="1" applyFill="1" applyBorder="1" applyAlignment="1">
      <alignment horizontal="center" vertical="center"/>
    </xf>
    <xf numFmtId="14" fontId="3" fillId="13" borderId="2" xfId="0" applyNumberFormat="1" applyFont="1" applyFill="1" applyBorder="1" applyAlignment="1">
      <alignment horizontal="center" vertical="center"/>
    </xf>
    <xf numFmtId="0" fontId="7" fillId="13" borderId="10" xfId="0" applyFont="1" applyFill="1" applyBorder="1" applyAlignment="1">
      <alignment horizontal="center" vertical="center"/>
    </xf>
    <xf numFmtId="14" fontId="3" fillId="13" borderId="10" xfId="0" applyNumberFormat="1" applyFont="1" applyFill="1" applyBorder="1" applyAlignment="1">
      <alignment horizontal="center" vertical="center"/>
    </xf>
    <xf numFmtId="0" fontId="3" fillId="13" borderId="10" xfId="0" applyFont="1" applyFill="1" applyBorder="1" applyAlignment="1">
      <alignment horizontal="center" vertical="center" wrapText="1"/>
    </xf>
    <xf numFmtId="14" fontId="3" fillId="13" borderId="11" xfId="0" applyNumberFormat="1" applyFont="1" applyFill="1" applyBorder="1" applyAlignment="1">
      <alignment horizontal="center" vertical="center"/>
    </xf>
    <xf numFmtId="0" fontId="3" fillId="13" borderId="1" xfId="0" applyFont="1" applyFill="1" applyBorder="1" applyAlignment="1">
      <alignment horizontal="center" vertical="center" wrapText="1"/>
    </xf>
    <xf numFmtId="14" fontId="7" fillId="13" borderId="10" xfId="0" applyNumberFormat="1" applyFont="1" applyFill="1" applyBorder="1" applyAlignment="1">
      <alignment horizontal="center" vertical="center"/>
    </xf>
    <xf numFmtId="14" fontId="7" fillId="13" borderId="2" xfId="0" applyNumberFormat="1" applyFont="1" applyFill="1" applyBorder="1" applyAlignment="1">
      <alignment horizontal="center" vertical="center"/>
    </xf>
    <xf numFmtId="14" fontId="7" fillId="13" borderId="11" xfId="0" applyNumberFormat="1" applyFont="1" applyFill="1" applyBorder="1" applyAlignment="1">
      <alignment horizontal="center" vertical="center"/>
    </xf>
    <xf numFmtId="178" fontId="1" fillId="14" borderId="2" xfId="0" applyNumberFormat="1" applyFont="1" applyFill="1" applyBorder="1" applyAlignment="1">
      <alignment horizontal="center" vertical="center" wrapText="1"/>
    </xf>
    <xf numFmtId="178" fontId="1" fillId="14" borderId="11" xfId="0" applyNumberFormat="1" applyFont="1" applyFill="1" applyBorder="1" applyAlignment="1">
      <alignment horizontal="center" vertical="center" wrapText="1"/>
    </xf>
    <xf numFmtId="0" fontId="7" fillId="14" borderId="1" xfId="0" applyFont="1" applyFill="1" applyBorder="1" applyAlignment="1">
      <alignment horizontal="left" vertical="center" wrapText="1"/>
    </xf>
    <xf numFmtId="178" fontId="7" fillId="14" borderId="1" xfId="0" applyNumberFormat="1" applyFont="1" applyFill="1" applyBorder="1" applyAlignment="1">
      <alignment horizontal="center" vertical="center" wrapText="1"/>
    </xf>
    <xf numFmtId="178" fontId="1" fillId="14" borderId="1" xfId="0" applyNumberFormat="1" applyFont="1" applyFill="1" applyBorder="1" applyAlignment="1">
      <alignment horizontal="center" vertical="center" wrapText="1"/>
    </xf>
    <xf numFmtId="178" fontId="3" fillId="13" borderId="2" xfId="0" applyNumberFormat="1" applyFont="1" applyFill="1" applyBorder="1" applyAlignment="1">
      <alignment horizontal="center" vertical="center"/>
    </xf>
    <xf numFmtId="0" fontId="3" fillId="13" borderId="10" xfId="0" applyFont="1" applyFill="1" applyBorder="1" applyAlignment="1">
      <alignment horizontal="center" vertical="center"/>
    </xf>
    <xf numFmtId="178" fontId="3" fillId="13" borderId="10" xfId="0" applyNumberFormat="1" applyFont="1" applyFill="1" applyBorder="1" applyAlignment="1">
      <alignment horizontal="center" vertical="center"/>
    </xf>
    <xf numFmtId="0" fontId="13" fillId="14" borderId="2" xfId="0" applyFont="1" applyFill="1" applyBorder="1" applyAlignment="1">
      <alignment horizontal="left" vertical="center" wrapText="1"/>
    </xf>
    <xf numFmtId="0" fontId="37" fillId="14" borderId="1" xfId="0" applyFont="1" applyFill="1" applyBorder="1" applyAlignment="1">
      <alignment vertical="center" wrapText="1"/>
    </xf>
    <xf numFmtId="0" fontId="37" fillId="14" borderId="11" xfId="0" applyFont="1" applyFill="1" applyBorder="1" applyAlignment="1">
      <alignment vertical="center" wrapText="1"/>
    </xf>
    <xf numFmtId="0" fontId="37" fillId="14" borderId="11" xfId="0" applyFont="1" applyFill="1" applyBorder="1" applyAlignment="1">
      <alignment vertical="center"/>
    </xf>
    <xf numFmtId="0" fontId="37" fillId="14" borderId="1" xfId="0" applyFont="1" applyFill="1" applyBorder="1" applyAlignment="1">
      <alignment vertical="center"/>
    </xf>
    <xf numFmtId="0" fontId="7" fillId="14" borderId="11" xfId="0" applyFont="1" applyFill="1" applyBorder="1" applyAlignment="1">
      <alignment horizontal="left" vertical="center" wrapText="1"/>
    </xf>
    <xf numFmtId="10" fontId="3" fillId="13" borderId="1" xfId="0" applyNumberFormat="1" applyFont="1" applyFill="1" applyBorder="1" applyAlignment="1">
      <alignment horizontal="center" vertical="center"/>
    </xf>
    <xf numFmtId="2" fontId="3" fillId="13" borderId="1" xfId="0" applyNumberFormat="1" applyFont="1" applyFill="1" applyBorder="1" applyAlignment="1">
      <alignment horizontal="center" vertical="center"/>
    </xf>
    <xf numFmtId="10" fontId="3" fillId="13" borderId="2" xfId="0" applyNumberFormat="1" applyFont="1" applyFill="1" applyBorder="1" applyAlignment="1">
      <alignment horizontal="center" vertical="center"/>
    </xf>
    <xf numFmtId="2" fontId="3" fillId="13" borderId="2" xfId="0" applyNumberFormat="1" applyFont="1" applyFill="1" applyBorder="1" applyAlignment="1">
      <alignment horizontal="center" vertical="center"/>
    </xf>
    <xf numFmtId="10" fontId="3" fillId="13" borderId="11" xfId="0" applyNumberFormat="1" applyFont="1" applyFill="1" applyBorder="1" applyAlignment="1">
      <alignment horizontal="center" vertical="center"/>
    </xf>
    <xf numFmtId="2" fontId="3" fillId="13" borderId="11" xfId="0" applyNumberFormat="1" applyFont="1" applyFill="1" applyBorder="1" applyAlignment="1">
      <alignment horizontal="center" vertical="center"/>
    </xf>
    <xf numFmtId="0" fontId="3" fillId="14" borderId="2" xfId="0" applyFont="1" applyFill="1" applyBorder="1" applyAlignment="1">
      <alignment horizontal="center" vertical="center"/>
    </xf>
    <xf numFmtId="14" fontId="3" fillId="14" borderId="2" xfId="0" applyNumberFormat="1" applyFont="1" applyFill="1" applyBorder="1" applyAlignment="1">
      <alignment horizontal="center" vertical="center"/>
    </xf>
    <xf numFmtId="0" fontId="3" fillId="14" borderId="11" xfId="0" applyFont="1" applyFill="1" applyBorder="1" applyAlignment="1">
      <alignment horizontal="center" vertical="center"/>
    </xf>
    <xf numFmtId="14" fontId="3" fillId="14" borderId="11" xfId="0" applyNumberFormat="1" applyFont="1" applyFill="1" applyBorder="1" applyAlignment="1">
      <alignment horizontal="center" vertical="center"/>
    </xf>
    <xf numFmtId="14" fontId="3" fillId="13" borderId="1" xfId="0" applyNumberFormat="1" applyFont="1" applyFill="1" applyBorder="1" applyAlignment="1">
      <alignment horizontal="center" vertical="center"/>
    </xf>
    <xf numFmtId="2" fontId="11" fillId="13" borderId="1" xfId="0" applyNumberFormat="1" applyFont="1" applyFill="1" applyBorder="1" applyAlignment="1">
      <alignment horizontal="center" vertical="center"/>
    </xf>
    <xf numFmtId="0" fontId="11" fillId="13" borderId="1" xfId="0" applyFont="1" applyFill="1" applyBorder="1" applyAlignment="1">
      <alignment horizontal="center" vertical="center"/>
    </xf>
    <xf numFmtId="14" fontId="6" fillId="13" borderId="1" xfId="0" applyNumberFormat="1" applyFont="1" applyFill="1" applyBorder="1" applyAlignment="1">
      <alignment horizontal="center" vertical="center"/>
    </xf>
    <xf numFmtId="2" fontId="6" fillId="13" borderId="1" xfId="0" applyNumberFormat="1" applyFont="1" applyFill="1" applyBorder="1" applyAlignment="1">
      <alignment horizontal="center" vertical="center"/>
    </xf>
    <xf numFmtId="2" fontId="25" fillId="13" borderId="1" xfId="0" applyNumberFormat="1" applyFont="1" applyFill="1" applyBorder="1" applyAlignment="1">
      <alignment horizontal="center" vertical="center"/>
    </xf>
    <xf numFmtId="0" fontId="15" fillId="13" borderId="1" xfId="0" applyFont="1" applyFill="1" applyBorder="1" applyAlignment="1">
      <alignment horizontal="center" vertical="center"/>
    </xf>
    <xf numFmtId="14" fontId="25" fillId="13" borderId="1" xfId="0" applyNumberFormat="1" applyFont="1" applyFill="1" applyBorder="1" applyAlignment="1">
      <alignment horizontal="center" vertical="center"/>
    </xf>
    <xf numFmtId="0" fontId="18" fillId="14" borderId="2" xfId="0" applyFont="1" applyFill="1" applyBorder="1" applyAlignment="1">
      <alignment horizontal="center" vertical="center"/>
    </xf>
    <xf numFmtId="0" fontId="3" fillId="14" borderId="10" xfId="0" applyFont="1" applyFill="1" applyBorder="1" applyAlignment="1">
      <alignment horizontal="center" vertical="center"/>
    </xf>
    <xf numFmtId="14" fontId="3" fillId="14" borderId="10" xfId="0" applyNumberFormat="1" applyFont="1" applyFill="1" applyBorder="1" applyAlignment="1">
      <alignment horizontal="center" vertical="center"/>
    </xf>
    <xf numFmtId="0" fontId="18" fillId="14" borderId="10" xfId="0" applyFont="1" applyFill="1" applyBorder="1" applyAlignment="1">
      <alignment horizontal="center" vertical="center"/>
    </xf>
    <xf numFmtId="0" fontId="18" fillId="14" borderId="11" xfId="0" applyFont="1" applyFill="1" applyBorder="1" applyAlignment="1">
      <alignment horizontal="center" vertical="center"/>
    </xf>
    <xf numFmtId="0" fontId="18" fillId="14" borderId="10" xfId="0" applyNumberFormat="1" applyFont="1" applyFill="1" applyBorder="1" applyAlignment="1">
      <alignment horizontal="center" vertical="center"/>
    </xf>
    <xf numFmtId="0" fontId="18" fillId="14" borderId="11" xfId="0" applyNumberFormat="1" applyFont="1" applyFill="1" applyBorder="1" applyAlignment="1">
      <alignment horizontal="center" vertical="center"/>
    </xf>
    <xf numFmtId="0" fontId="6" fillId="14" borderId="11" xfId="0" applyFont="1" applyFill="1" applyBorder="1" applyAlignment="1">
      <alignment horizontal="center" vertical="center"/>
    </xf>
    <xf numFmtId="14" fontId="6" fillId="14" borderId="11" xfId="0" applyNumberFormat="1" applyFont="1" applyFill="1" applyBorder="1" applyAlignment="1">
      <alignment horizontal="center" vertical="center"/>
    </xf>
    <xf numFmtId="0" fontId="7" fillId="13" borderId="11" xfId="0" applyFont="1" applyFill="1" applyBorder="1" applyAlignment="1">
      <alignment horizontal="center" vertical="center"/>
    </xf>
    <xf numFmtId="14" fontId="7" fillId="13" borderId="10" xfId="0" applyNumberFormat="1" applyFont="1" applyFill="1" applyBorder="1" applyAlignment="1">
      <alignment horizontal="center" vertical="center" wrapText="1"/>
    </xf>
    <xf numFmtId="14" fontId="7" fillId="13" borderId="11" xfId="0" applyNumberFormat="1" applyFont="1" applyFill="1" applyBorder="1" applyAlignment="1">
      <alignment horizontal="center" vertical="center" wrapText="1"/>
    </xf>
    <xf numFmtId="10" fontId="7" fillId="13" borderId="1" xfId="0" applyNumberFormat="1" applyFont="1" applyFill="1" applyBorder="1" applyAlignment="1">
      <alignment horizontal="center" vertical="center"/>
    </xf>
    <xf numFmtId="10" fontId="3" fillId="2" borderId="1" xfId="0" applyNumberFormat="1" applyFont="1" applyFill="1" applyBorder="1" applyAlignment="1">
      <alignment horizontal="center" vertical="center"/>
    </xf>
    <xf numFmtId="10" fontId="3" fillId="2" borderId="2" xfId="0" applyNumberFormat="1" applyFont="1" applyFill="1" applyBorder="1" applyAlignment="1">
      <alignment horizontal="center" vertical="center"/>
    </xf>
    <xf numFmtId="2" fontId="3" fillId="2" borderId="2" xfId="0" applyNumberFormat="1" applyFont="1" applyFill="1" applyBorder="1" applyAlignment="1">
      <alignment horizontal="center" vertical="center"/>
    </xf>
    <xf numFmtId="10" fontId="3" fillId="2" borderId="11" xfId="0" applyNumberFormat="1" applyFont="1" applyFill="1" applyBorder="1" applyAlignment="1">
      <alignment horizontal="center" vertical="center"/>
    </xf>
    <xf numFmtId="2" fontId="3" fillId="2" borderId="11" xfId="0" applyNumberFormat="1" applyFont="1" applyFill="1" applyBorder="1" applyAlignment="1">
      <alignment horizontal="center" vertical="center"/>
    </xf>
    <xf numFmtId="0" fontId="7" fillId="2" borderId="10" xfId="0" applyNumberFormat="1" applyFont="1" applyFill="1" applyBorder="1" applyAlignment="1">
      <alignment horizontal="center" vertical="center"/>
    </xf>
    <xf numFmtId="14" fontId="11" fillId="2" borderId="1" xfId="0" applyNumberFormat="1" applyFont="1" applyFill="1" applyBorder="1" applyAlignment="1">
      <alignment horizontal="center" vertical="center"/>
    </xf>
    <xf numFmtId="14" fontId="3" fillId="2" borderId="2" xfId="0" applyNumberFormat="1" applyFont="1" applyFill="1" applyBorder="1" applyAlignment="1">
      <alignment horizontal="center" vertical="center"/>
    </xf>
    <xf numFmtId="14" fontId="3" fillId="2" borderId="10" xfId="0" applyNumberFormat="1" applyFont="1" applyFill="1" applyBorder="1" applyAlignment="1">
      <alignment horizontal="center" vertical="center"/>
    </xf>
    <xf numFmtId="0" fontId="3" fillId="2" borderId="10" xfId="0" applyFont="1" applyFill="1" applyBorder="1" applyAlignment="1">
      <alignment horizontal="center" vertical="center"/>
    </xf>
    <xf numFmtId="14" fontId="3" fillId="2" borderId="11"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2" xfId="0" applyFont="1" applyFill="1" applyBorder="1" applyAlignment="1">
      <alignment horizontal="center" vertical="center" wrapText="1"/>
    </xf>
    <xf numFmtId="178" fontId="3" fillId="2" borderId="2" xfId="0" applyNumberFormat="1" applyFont="1" applyFill="1" applyBorder="1" applyAlignment="1">
      <alignment horizontal="center" vertical="center"/>
    </xf>
    <xf numFmtId="178" fontId="3" fillId="2" borderId="10" xfId="0" applyNumberFormat="1" applyFont="1" applyFill="1" applyBorder="1" applyAlignment="1">
      <alignment horizontal="center" vertical="center"/>
    </xf>
    <xf numFmtId="178" fontId="3" fillId="2" borderId="11" xfId="0" applyNumberFormat="1" applyFont="1" applyFill="1" applyBorder="1" applyAlignment="1">
      <alignment horizontal="center" vertical="center"/>
    </xf>
    <xf numFmtId="10" fontId="3" fillId="2" borderId="10" xfId="0" applyNumberFormat="1" applyFont="1" applyFill="1" applyBorder="1" applyAlignment="1">
      <alignment horizontal="center" vertical="center"/>
    </xf>
    <xf numFmtId="0" fontId="6" fillId="2" borderId="1" xfId="0" applyFont="1" applyFill="1" applyBorder="1" applyAlignment="1">
      <alignment horizontal="center" vertical="center"/>
    </xf>
    <xf numFmtId="0" fontId="18" fillId="2" borderId="1" xfId="0" applyFont="1" applyFill="1" applyBorder="1" applyAlignment="1">
      <alignment horizontal="center" vertical="center"/>
    </xf>
    <xf numFmtId="14" fontId="7" fillId="14" borderId="1" xfId="0" applyNumberFormat="1" applyFont="1" applyFill="1" applyBorder="1" applyAlignment="1">
      <alignment horizontal="center" vertical="center"/>
    </xf>
    <xf numFmtId="49" fontId="7" fillId="14" borderId="1" xfId="0" applyNumberFormat="1" applyFont="1" applyFill="1" applyBorder="1" applyAlignment="1">
      <alignment horizontal="center" vertical="center" wrapText="1"/>
    </xf>
    <xf numFmtId="14" fontId="3" fillId="8" borderId="2" xfId="0" applyNumberFormat="1" applyFont="1" applyFill="1" applyBorder="1" applyAlignment="1">
      <alignment horizontal="center" vertical="center"/>
    </xf>
    <xf numFmtId="14" fontId="3" fillId="8" borderId="10" xfId="0" applyNumberFormat="1" applyFont="1" applyFill="1" applyBorder="1" applyAlignment="1">
      <alignment horizontal="center" vertical="center"/>
    </xf>
    <xf numFmtId="14" fontId="3" fillId="8" borderId="11" xfId="0" applyNumberFormat="1" applyFont="1" applyFill="1" applyBorder="1" applyAlignment="1">
      <alignment horizontal="center" vertical="center"/>
    </xf>
    <xf numFmtId="14" fontId="3" fillId="4" borderId="2" xfId="0" applyNumberFormat="1" applyFont="1" applyFill="1" applyBorder="1" applyAlignment="1">
      <alignment horizontal="center" vertical="center"/>
    </xf>
    <xf numFmtId="14" fontId="3" fillId="4" borderId="10" xfId="0" applyNumberFormat="1" applyFont="1" applyFill="1" applyBorder="1" applyAlignment="1">
      <alignment horizontal="center" vertical="center"/>
    </xf>
    <xf numFmtId="14" fontId="3" fillId="4" borderId="11" xfId="0" applyNumberFormat="1" applyFont="1" applyFill="1" applyBorder="1" applyAlignment="1">
      <alignment horizontal="center" vertical="center"/>
    </xf>
    <xf numFmtId="178" fontId="3" fillId="5" borderId="2" xfId="0" applyNumberFormat="1" applyFont="1" applyFill="1" applyBorder="1" applyAlignment="1">
      <alignment horizontal="center" vertical="center"/>
    </xf>
    <xf numFmtId="178" fontId="3" fillId="5" borderId="10" xfId="0" applyNumberFormat="1" applyFont="1" applyFill="1" applyBorder="1" applyAlignment="1">
      <alignment horizontal="center" vertical="center"/>
    </xf>
    <xf numFmtId="178" fontId="3" fillId="14" borderId="2" xfId="0" applyNumberFormat="1" applyFont="1" applyFill="1" applyBorder="1" applyAlignment="1">
      <alignment horizontal="center" vertical="center"/>
    </xf>
    <xf numFmtId="178" fontId="3" fillId="3" borderId="2" xfId="0" applyNumberFormat="1" applyFont="1" applyFill="1" applyBorder="1" applyAlignment="1">
      <alignment horizontal="center" vertical="center"/>
    </xf>
    <xf numFmtId="178" fontId="3" fillId="3" borderId="10" xfId="0" applyNumberFormat="1" applyFont="1" applyFill="1" applyBorder="1" applyAlignment="1">
      <alignment horizontal="center" vertical="center"/>
    </xf>
    <xf numFmtId="178" fontId="3" fillId="3" borderId="11" xfId="0" applyNumberFormat="1" applyFont="1" applyFill="1" applyBorder="1" applyAlignment="1">
      <alignment horizontal="center" vertical="center"/>
    </xf>
    <xf numFmtId="178" fontId="3" fillId="8" borderId="10" xfId="0" applyNumberFormat="1" applyFont="1" applyFill="1" applyBorder="1" applyAlignment="1">
      <alignment horizontal="center" vertical="center"/>
    </xf>
    <xf numFmtId="178" fontId="3" fillId="4" borderId="2" xfId="0" applyNumberFormat="1" applyFont="1" applyFill="1" applyBorder="1" applyAlignment="1">
      <alignment horizontal="center" vertical="center"/>
    </xf>
    <xf numFmtId="178" fontId="3" fillId="4" borderId="10" xfId="0" applyNumberFormat="1" applyFont="1" applyFill="1" applyBorder="1" applyAlignment="1">
      <alignment horizontal="center" vertical="center"/>
    </xf>
    <xf numFmtId="178" fontId="3" fillId="4" borderId="11" xfId="0" applyNumberFormat="1" applyFont="1" applyFill="1" applyBorder="1" applyAlignment="1">
      <alignment horizontal="center" vertical="center"/>
    </xf>
    <xf numFmtId="10" fontId="3" fillId="5" borderId="1" xfId="0" applyNumberFormat="1" applyFont="1" applyFill="1" applyBorder="1" applyAlignment="1">
      <alignment horizontal="center" vertical="center"/>
    </xf>
    <xf numFmtId="2" fontId="3" fillId="5" borderId="1" xfId="0" applyNumberFormat="1" applyFont="1" applyFill="1" applyBorder="1" applyAlignment="1">
      <alignment horizontal="center" vertical="center"/>
    </xf>
    <xf numFmtId="10" fontId="3" fillId="14" borderId="1" xfId="0" applyNumberFormat="1" applyFont="1" applyFill="1" applyBorder="1" applyAlignment="1">
      <alignment horizontal="center" vertical="center"/>
    </xf>
    <xf numFmtId="2" fontId="3" fillId="14" borderId="1" xfId="0" applyNumberFormat="1" applyFont="1" applyFill="1" applyBorder="1" applyAlignment="1">
      <alignment horizontal="center" vertical="center"/>
    </xf>
    <xf numFmtId="10" fontId="3" fillId="14" borderId="2" xfId="0" applyNumberFormat="1" applyFont="1" applyFill="1" applyBorder="1" applyAlignment="1">
      <alignment horizontal="center" vertical="center"/>
    </xf>
    <xf numFmtId="2" fontId="3" fillId="14" borderId="2" xfId="0" applyNumberFormat="1" applyFont="1" applyFill="1" applyBorder="1" applyAlignment="1">
      <alignment horizontal="center" vertical="center"/>
    </xf>
    <xf numFmtId="10" fontId="3" fillId="3" borderId="1" xfId="0" applyNumberFormat="1" applyFont="1" applyFill="1" applyBorder="1" applyAlignment="1">
      <alignment horizontal="center" vertical="center"/>
    </xf>
    <xf numFmtId="0" fontId="3" fillId="8" borderId="1" xfId="0" applyFont="1" applyFill="1" applyBorder="1" applyAlignment="1">
      <alignment horizontal="center" vertical="center"/>
    </xf>
    <xf numFmtId="10" fontId="3" fillId="8" borderId="1" xfId="0" applyNumberFormat="1" applyFont="1" applyFill="1" applyBorder="1" applyAlignment="1">
      <alignment horizontal="center" vertical="center"/>
    </xf>
    <xf numFmtId="2" fontId="6" fillId="8" borderId="1" xfId="0" applyNumberFormat="1" applyFont="1" applyFill="1" applyBorder="1" applyAlignment="1">
      <alignment horizontal="center" vertical="center"/>
    </xf>
    <xf numFmtId="2" fontId="3" fillId="8"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10" fontId="3" fillId="4" borderId="1" xfId="0" applyNumberFormat="1" applyFont="1" applyFill="1" applyBorder="1" applyAlignment="1">
      <alignment horizontal="center" vertical="center"/>
    </xf>
    <xf numFmtId="2" fontId="6" fillId="4" borderId="1" xfId="0" applyNumberFormat="1" applyFont="1" applyFill="1" applyBorder="1" applyAlignment="1">
      <alignment horizontal="center" vertical="center"/>
    </xf>
    <xf numFmtId="2" fontId="3" fillId="4" borderId="1" xfId="0" applyNumberFormat="1" applyFont="1" applyFill="1" applyBorder="1" applyAlignment="1">
      <alignment horizontal="center" vertical="center"/>
    </xf>
    <xf numFmtId="0" fontId="1" fillId="14" borderId="1" xfId="0" applyFont="1" applyFill="1" applyBorder="1" applyAlignment="1">
      <alignment vertical="center" wrapText="1"/>
    </xf>
    <xf numFmtId="0" fontId="3" fillId="4" borderId="11" xfId="0" applyFont="1" applyFill="1" applyBorder="1" applyAlignment="1">
      <alignment horizontal="center" vertical="center"/>
    </xf>
    <xf numFmtId="10" fontId="3" fillId="4" borderId="11" xfId="0" applyNumberFormat="1" applyFont="1" applyFill="1" applyBorder="1" applyAlignment="1">
      <alignment horizontal="center" vertical="center"/>
    </xf>
    <xf numFmtId="2" fontId="3" fillId="4" borderId="11" xfId="0" applyNumberFormat="1" applyFont="1" applyFill="1" applyBorder="1" applyAlignment="1">
      <alignment horizontal="center" vertical="center"/>
    </xf>
    <xf numFmtId="0" fontId="2" fillId="4" borderId="1" xfId="0" applyFont="1" applyFill="1" applyBorder="1" applyAlignment="1">
      <alignment vertical="center" wrapText="1"/>
    </xf>
    <xf numFmtId="0" fontId="3" fillId="4" borderId="10" xfId="0" applyFont="1" applyFill="1" applyBorder="1" applyAlignment="1">
      <alignment horizontal="center" vertical="center"/>
    </xf>
    <xf numFmtId="0" fontId="7" fillId="4" borderId="2" xfId="0" applyFont="1" applyFill="1" applyBorder="1" applyAlignment="1">
      <alignment vertical="center" wrapText="1"/>
    </xf>
    <xf numFmtId="10" fontId="3" fillId="4" borderId="10" xfId="0" applyNumberFormat="1" applyFont="1" applyFill="1" applyBorder="1" applyAlignment="1">
      <alignment horizontal="center" vertical="center"/>
    </xf>
    <xf numFmtId="2" fontId="3" fillId="4" borderId="10" xfId="0" applyNumberFormat="1" applyFont="1" applyFill="1" applyBorder="1" applyAlignment="1">
      <alignment horizontal="center" vertical="center"/>
    </xf>
    <xf numFmtId="0" fontId="2" fillId="14" borderId="1" xfId="0" applyFont="1" applyFill="1" applyBorder="1" applyAlignment="1">
      <alignment horizontal="justify" vertical="center" wrapText="1"/>
    </xf>
    <xf numFmtId="2" fontId="6" fillId="5" borderId="1" xfId="0" applyNumberFormat="1" applyFont="1" applyFill="1" applyBorder="1" applyAlignment="1">
      <alignment horizontal="center" vertical="center"/>
    </xf>
    <xf numFmtId="2" fontId="6" fillId="14" borderId="1" xfId="0" applyNumberFormat="1" applyFont="1" applyFill="1" applyBorder="1" applyAlignment="1">
      <alignment horizontal="center" vertical="center"/>
    </xf>
    <xf numFmtId="14" fontId="6" fillId="14" borderId="1" xfId="0" applyNumberFormat="1" applyFont="1" applyFill="1" applyBorder="1" applyAlignment="1">
      <alignment horizontal="center" vertical="center"/>
    </xf>
    <xf numFmtId="2" fontId="6" fillId="14" borderId="2" xfId="0" applyNumberFormat="1" applyFont="1" applyFill="1" applyBorder="1" applyAlignment="1">
      <alignment horizontal="center" vertical="center"/>
    </xf>
    <xf numFmtId="0" fontId="11" fillId="14" borderId="2" xfId="0" applyFont="1" applyFill="1" applyBorder="1" applyAlignment="1">
      <alignment horizontal="center" vertical="center"/>
    </xf>
    <xf numFmtId="14" fontId="6" fillId="14" borderId="2" xfId="0" applyNumberFormat="1" applyFont="1" applyFill="1" applyBorder="1" applyAlignment="1">
      <alignment horizontal="center" vertical="center"/>
    </xf>
    <xf numFmtId="14" fontId="6" fillId="8" borderId="1" xfId="0" applyNumberFormat="1" applyFont="1" applyFill="1" applyBorder="1" applyAlignment="1">
      <alignment horizontal="center" vertical="center"/>
    </xf>
    <xf numFmtId="14" fontId="6" fillId="4" borderId="1" xfId="0" applyNumberFormat="1" applyFont="1" applyFill="1" applyBorder="1" applyAlignment="1">
      <alignment horizontal="center" vertical="center"/>
    </xf>
    <xf numFmtId="14" fontId="11" fillId="14" borderId="1" xfId="0" applyNumberFormat="1" applyFont="1" applyFill="1" applyBorder="1" applyAlignment="1">
      <alignment horizontal="center" vertical="center"/>
    </xf>
    <xf numFmtId="2" fontId="6" fillId="4" borderId="11" xfId="0" applyNumberFormat="1" applyFont="1" applyFill="1" applyBorder="1" applyAlignment="1">
      <alignment horizontal="center" vertical="center"/>
    </xf>
    <xf numFmtId="0" fontId="11" fillId="4" borderId="11" xfId="0" applyFont="1" applyFill="1" applyBorder="1" applyAlignment="1">
      <alignment horizontal="center" vertical="center"/>
    </xf>
    <xf numFmtId="14" fontId="11" fillId="4" borderId="11" xfId="0" applyNumberFormat="1" applyFont="1" applyFill="1" applyBorder="1" applyAlignment="1">
      <alignment horizontal="center" vertical="center"/>
    </xf>
    <xf numFmtId="14" fontId="6" fillId="4" borderId="11" xfId="0" applyNumberFormat="1" applyFont="1" applyFill="1" applyBorder="1" applyAlignment="1">
      <alignment horizontal="center" vertical="center"/>
    </xf>
    <xf numFmtId="2" fontId="6" fillId="4" borderId="10" xfId="0" applyNumberFormat="1" applyFont="1" applyFill="1" applyBorder="1" applyAlignment="1">
      <alignment horizontal="center" vertical="center"/>
    </xf>
    <xf numFmtId="0" fontId="11" fillId="4" borderId="10" xfId="0" applyFont="1" applyFill="1" applyBorder="1" applyAlignment="1">
      <alignment horizontal="center" vertical="center"/>
    </xf>
    <xf numFmtId="14" fontId="6" fillId="4" borderId="10" xfId="0" applyNumberFormat="1" applyFont="1" applyFill="1" applyBorder="1" applyAlignment="1">
      <alignment horizontal="center" vertical="center"/>
    </xf>
    <xf numFmtId="14" fontId="7" fillId="5" borderId="1" xfId="0" applyNumberFormat="1" applyFont="1" applyFill="1" applyBorder="1" applyAlignment="1">
      <alignment horizontal="center" vertical="center" wrapText="1"/>
    </xf>
    <xf numFmtId="14" fontId="3" fillId="8" borderId="1" xfId="0" applyNumberFormat="1" applyFont="1" applyFill="1" applyBorder="1" applyAlignment="1">
      <alignment horizontal="center" vertical="center"/>
    </xf>
    <xf numFmtId="14" fontId="3" fillId="4" borderId="1" xfId="0" applyNumberFormat="1" applyFont="1" applyFill="1" applyBorder="1" applyAlignment="1">
      <alignment horizontal="center" vertical="center"/>
    </xf>
    <xf numFmtId="0" fontId="6" fillId="4" borderId="11" xfId="0" applyFont="1" applyFill="1" applyBorder="1" applyAlignment="1">
      <alignment horizontal="center" vertical="center"/>
    </xf>
    <xf numFmtId="14" fontId="11" fillId="8" borderId="1" xfId="0" applyNumberFormat="1" applyFont="1" applyFill="1" applyBorder="1" applyAlignment="1">
      <alignment horizontal="center" vertical="center"/>
    </xf>
    <xf numFmtId="14" fontId="11" fillId="4" borderId="1" xfId="0" applyNumberFormat="1" applyFont="1" applyFill="1" applyBorder="1" applyAlignment="1">
      <alignment horizontal="center" vertical="center"/>
    </xf>
    <xf numFmtId="0" fontId="7" fillId="15" borderId="2" xfId="0" applyFont="1" applyFill="1" applyBorder="1" applyAlignment="1">
      <alignment horizontal="center" vertical="center"/>
    </xf>
    <xf numFmtId="14" fontId="3" fillId="15" borderId="2" xfId="0" applyNumberFormat="1" applyFont="1" applyFill="1" applyBorder="1" applyAlignment="1">
      <alignment horizontal="center" vertical="center"/>
    </xf>
    <xf numFmtId="14" fontId="3" fillId="15" borderId="10" xfId="0" applyNumberFormat="1" applyFont="1" applyFill="1" applyBorder="1" applyAlignment="1">
      <alignment horizontal="center" vertical="center"/>
    </xf>
    <xf numFmtId="0" fontId="7" fillId="15" borderId="11" xfId="0" applyFont="1" applyFill="1" applyBorder="1" applyAlignment="1">
      <alignment horizontal="center" vertical="center"/>
    </xf>
    <xf numFmtId="14" fontId="3" fillId="15" borderId="11" xfId="0" applyNumberFormat="1" applyFont="1" applyFill="1" applyBorder="1" applyAlignment="1">
      <alignment horizontal="center" vertical="center"/>
    </xf>
    <xf numFmtId="49" fontId="7" fillId="8" borderId="1" xfId="0" applyNumberFormat="1" applyFont="1" applyFill="1" applyBorder="1" applyAlignment="1">
      <alignment horizontal="center" vertical="center" wrapText="1"/>
    </xf>
    <xf numFmtId="14" fontId="7" fillId="15" borderId="2" xfId="0" applyNumberFormat="1" applyFont="1" applyFill="1" applyBorder="1" applyAlignment="1">
      <alignment horizontal="center" vertical="center"/>
    </xf>
    <xf numFmtId="14" fontId="7" fillId="16" borderId="2" xfId="0" applyNumberFormat="1" applyFont="1" applyFill="1" applyBorder="1" applyAlignment="1">
      <alignment horizontal="center" vertical="center"/>
    </xf>
    <xf numFmtId="14" fontId="3" fillId="16" borderId="10" xfId="0" applyNumberFormat="1" applyFont="1" applyFill="1" applyBorder="1" applyAlignment="1">
      <alignment horizontal="center" vertical="center"/>
    </xf>
    <xf numFmtId="14" fontId="3" fillId="16" borderId="11" xfId="0" applyNumberFormat="1" applyFont="1" applyFill="1" applyBorder="1" applyAlignment="1">
      <alignment horizontal="center" vertical="center"/>
    </xf>
    <xf numFmtId="14" fontId="3" fillId="16" borderId="2" xfId="0" applyNumberFormat="1" applyFont="1" applyFill="1" applyBorder="1" applyAlignment="1">
      <alignment horizontal="center" vertical="center"/>
    </xf>
    <xf numFmtId="49" fontId="7" fillId="14" borderId="2" xfId="0" applyNumberFormat="1" applyFont="1" applyFill="1" applyBorder="1" applyAlignment="1">
      <alignment horizontal="center" vertical="center" wrapText="1"/>
    </xf>
    <xf numFmtId="49" fontId="7" fillId="14" borderId="10" xfId="0" applyNumberFormat="1" applyFont="1" applyFill="1" applyBorder="1" applyAlignment="1">
      <alignment horizontal="center" vertical="center" wrapText="1"/>
    </xf>
    <xf numFmtId="14" fontId="7" fillId="14" borderId="2" xfId="0" applyNumberFormat="1" applyFont="1" applyFill="1" applyBorder="1" applyAlignment="1">
      <alignment horizontal="center" vertical="center"/>
    </xf>
    <xf numFmtId="14" fontId="7" fillId="14" borderId="10" xfId="0" applyNumberFormat="1" applyFont="1" applyFill="1" applyBorder="1" applyAlignment="1">
      <alignment horizontal="center" vertical="center"/>
    </xf>
    <xf numFmtId="14" fontId="7" fillId="14" borderId="11" xfId="0" applyNumberFormat="1" applyFont="1" applyFill="1" applyBorder="1" applyAlignment="1">
      <alignment horizontal="center" vertical="center"/>
    </xf>
    <xf numFmtId="14" fontId="3" fillId="14" borderId="2" xfId="0" applyNumberFormat="1" applyFont="1" applyFill="1" applyBorder="1" applyAlignment="1">
      <alignment horizontal="center" vertical="center" wrapText="1"/>
    </xf>
    <xf numFmtId="49" fontId="3" fillId="14" borderId="2" xfId="0" applyNumberFormat="1" applyFont="1" applyFill="1" applyBorder="1" applyAlignment="1">
      <alignment horizontal="center" vertical="center" wrapText="1"/>
    </xf>
    <xf numFmtId="0" fontId="3" fillId="14" borderId="2" xfId="0" applyFont="1" applyFill="1" applyBorder="1" applyAlignment="1">
      <alignment horizontal="center" vertical="center" wrapText="1"/>
    </xf>
    <xf numFmtId="0" fontId="3" fillId="14" borderId="10" xfId="0" applyFont="1" applyFill="1" applyBorder="1" applyAlignment="1">
      <alignment horizontal="center" vertical="center" wrapText="1"/>
    </xf>
    <xf numFmtId="14" fontId="3" fillId="14" borderId="10" xfId="0" applyNumberFormat="1" applyFont="1" applyFill="1" applyBorder="1" applyAlignment="1">
      <alignment horizontal="center" vertical="center" wrapText="1"/>
    </xf>
    <xf numFmtId="49" fontId="3" fillId="14" borderId="10" xfId="0" applyNumberFormat="1" applyFont="1" applyFill="1" applyBorder="1" applyAlignment="1">
      <alignment horizontal="center" vertical="center" wrapText="1"/>
    </xf>
    <xf numFmtId="0" fontId="3" fillId="14" borderId="11" xfId="0" applyFont="1" applyFill="1" applyBorder="1" applyAlignment="1">
      <alignment horizontal="center" vertical="center" wrapText="1"/>
    </xf>
    <xf numFmtId="14" fontId="3" fillId="14" borderId="11" xfId="0" applyNumberFormat="1" applyFont="1" applyFill="1" applyBorder="1" applyAlignment="1">
      <alignment horizontal="center" vertical="center" wrapText="1"/>
    </xf>
    <xf numFmtId="49" fontId="3" fillId="14" borderId="11" xfId="0" applyNumberFormat="1" applyFont="1" applyFill="1" applyBorder="1" applyAlignment="1">
      <alignment horizontal="center" vertical="center" wrapText="1"/>
    </xf>
    <xf numFmtId="14" fontId="7" fillId="14" borderId="2" xfId="0" applyNumberFormat="1" applyFont="1" applyFill="1" applyBorder="1" applyAlignment="1">
      <alignment horizontal="center" vertical="center" wrapText="1"/>
    </xf>
    <xf numFmtId="14" fontId="7" fillId="14" borderId="10" xfId="0" applyNumberFormat="1" applyFont="1" applyFill="1" applyBorder="1" applyAlignment="1">
      <alignment horizontal="center" vertical="center" wrapText="1"/>
    </xf>
    <xf numFmtId="14" fontId="7" fillId="14" borderId="11" xfId="0" applyNumberFormat="1" applyFont="1" applyFill="1" applyBorder="1" applyAlignment="1">
      <alignment horizontal="center" vertical="center" wrapText="1"/>
    </xf>
    <xf numFmtId="178" fontId="3" fillId="15" borderId="10" xfId="0" applyNumberFormat="1" applyFont="1" applyFill="1" applyBorder="1" applyAlignment="1">
      <alignment horizontal="center" vertical="center"/>
    </xf>
    <xf numFmtId="178" fontId="3" fillId="15" borderId="11" xfId="0" applyNumberFormat="1" applyFont="1" applyFill="1" applyBorder="1" applyAlignment="1">
      <alignment horizontal="center" vertical="center"/>
    </xf>
    <xf numFmtId="178" fontId="3" fillId="16" borderId="2" xfId="0" applyNumberFormat="1" applyFont="1" applyFill="1" applyBorder="1" applyAlignment="1">
      <alignment horizontal="center" vertical="center"/>
    </xf>
    <xf numFmtId="178" fontId="3" fillId="16" borderId="10" xfId="0" applyNumberFormat="1" applyFont="1" applyFill="1" applyBorder="1" applyAlignment="1">
      <alignment horizontal="center" vertical="center"/>
    </xf>
    <xf numFmtId="178" fontId="3" fillId="16" borderId="11" xfId="0" applyNumberFormat="1" applyFont="1" applyFill="1" applyBorder="1" applyAlignment="1">
      <alignment horizontal="center" vertical="center"/>
    </xf>
    <xf numFmtId="178" fontId="3" fillId="14" borderId="10" xfId="0" applyNumberFormat="1" applyFont="1" applyFill="1" applyBorder="1" applyAlignment="1">
      <alignment horizontal="center" vertical="center"/>
    </xf>
    <xf numFmtId="178" fontId="3" fillId="14" borderId="11" xfId="0" applyNumberFormat="1" applyFont="1" applyFill="1" applyBorder="1" applyAlignment="1">
      <alignment horizontal="center" vertical="center"/>
    </xf>
    <xf numFmtId="10" fontId="3" fillId="15" borderId="1" xfId="0" applyNumberFormat="1" applyFont="1" applyFill="1" applyBorder="1" applyAlignment="1">
      <alignment horizontal="center" vertical="center"/>
    </xf>
    <xf numFmtId="2" fontId="3" fillId="15" borderId="1" xfId="0" applyNumberFormat="1" applyFont="1" applyFill="1" applyBorder="1" applyAlignment="1">
      <alignment horizontal="center" vertical="center"/>
    </xf>
    <xf numFmtId="0" fontId="3" fillId="16" borderId="1" xfId="0" applyFont="1" applyFill="1" applyBorder="1" applyAlignment="1">
      <alignment horizontal="center" vertical="center"/>
    </xf>
    <xf numFmtId="10" fontId="3" fillId="16" borderId="1" xfId="0" applyNumberFormat="1" applyFont="1" applyFill="1" applyBorder="1" applyAlignment="1">
      <alignment horizontal="center" vertical="center"/>
    </xf>
    <xf numFmtId="2" fontId="3" fillId="16" borderId="1" xfId="0" applyNumberFormat="1" applyFont="1" applyFill="1" applyBorder="1" applyAlignment="1">
      <alignment horizontal="center" vertical="center"/>
    </xf>
    <xf numFmtId="0" fontId="3" fillId="5" borderId="11" xfId="0" applyFont="1" applyFill="1" applyBorder="1" applyAlignment="1">
      <alignment horizontal="center" vertical="center"/>
    </xf>
    <xf numFmtId="10" fontId="3" fillId="5" borderId="11" xfId="0" applyNumberFormat="1" applyFont="1" applyFill="1" applyBorder="1" applyAlignment="1">
      <alignment horizontal="center" vertical="center"/>
    </xf>
    <xf numFmtId="2" fontId="3" fillId="5" borderId="11" xfId="0" applyNumberFormat="1" applyFont="1" applyFill="1" applyBorder="1" applyAlignment="1">
      <alignment horizontal="center" vertical="center"/>
    </xf>
    <xf numFmtId="10" fontId="3" fillId="14" borderId="11" xfId="0" applyNumberFormat="1" applyFont="1" applyFill="1" applyBorder="1" applyAlignment="1">
      <alignment horizontal="center" vertical="center"/>
    </xf>
    <xf numFmtId="2" fontId="3" fillId="14" borderId="11" xfId="0" applyNumberFormat="1" applyFont="1" applyFill="1" applyBorder="1" applyAlignment="1">
      <alignment horizontal="center" vertical="center"/>
    </xf>
    <xf numFmtId="10" fontId="3" fillId="14" borderId="10" xfId="0" applyNumberFormat="1" applyFont="1" applyFill="1" applyBorder="1" applyAlignment="1">
      <alignment horizontal="center" vertical="center"/>
    </xf>
    <xf numFmtId="2" fontId="3" fillId="14" borderId="10" xfId="0" applyNumberFormat="1" applyFont="1" applyFill="1" applyBorder="1" applyAlignment="1">
      <alignment horizontal="center" vertical="center"/>
    </xf>
    <xf numFmtId="2" fontId="6" fillId="15" borderId="1" xfId="0" applyNumberFormat="1" applyFont="1" applyFill="1" applyBorder="1" applyAlignment="1">
      <alignment horizontal="center" vertical="center"/>
    </xf>
    <xf numFmtId="14" fontId="11" fillId="15" borderId="1" xfId="0" applyNumberFormat="1" applyFont="1" applyFill="1" applyBorder="1" applyAlignment="1">
      <alignment horizontal="center" vertical="center"/>
    </xf>
    <xf numFmtId="2" fontId="6" fillId="16" borderId="1" xfId="0" applyNumberFormat="1" applyFont="1" applyFill="1" applyBorder="1" applyAlignment="1">
      <alignment horizontal="center" vertical="center"/>
    </xf>
    <xf numFmtId="0" fontId="11" fillId="16" borderId="1" xfId="0" applyFont="1" applyFill="1" applyBorder="1" applyAlignment="1">
      <alignment horizontal="center" vertical="center"/>
    </xf>
    <xf numFmtId="14" fontId="6" fillId="16" borderId="1" xfId="0" applyNumberFormat="1" applyFont="1" applyFill="1" applyBorder="1" applyAlignment="1">
      <alignment horizontal="center" vertical="center"/>
    </xf>
    <xf numFmtId="4" fontId="3" fillId="14" borderId="1" xfId="0" applyNumberFormat="1" applyFont="1" applyFill="1" applyBorder="1" applyAlignment="1">
      <alignment horizontal="center" vertical="center"/>
    </xf>
    <xf numFmtId="0" fontId="6" fillId="14" borderId="1" xfId="0" applyFont="1" applyFill="1" applyBorder="1" applyAlignment="1">
      <alignment horizontal="center" vertical="center"/>
    </xf>
    <xf numFmtId="0" fontId="38" fillId="14" borderId="2" xfId="0" applyFont="1" applyFill="1" applyBorder="1" applyAlignment="1">
      <alignment horizontal="center" vertical="center"/>
    </xf>
    <xf numFmtId="0" fontId="38" fillId="14" borderId="10" xfId="0" applyFont="1" applyFill="1" applyBorder="1" applyAlignment="1">
      <alignment horizontal="center" vertical="center"/>
    </xf>
    <xf numFmtId="0" fontId="38" fillId="14" borderId="11" xfId="0" applyFont="1" applyFill="1" applyBorder="1" applyAlignment="1">
      <alignment horizontal="center" vertical="center"/>
    </xf>
    <xf numFmtId="0" fontId="13" fillId="14" borderId="2" xfId="0" applyFont="1" applyFill="1" applyBorder="1" applyAlignment="1">
      <alignment horizontal="center" vertical="center" wrapText="1"/>
    </xf>
    <xf numFmtId="2" fontId="7" fillId="14" borderId="1" xfId="0" applyNumberFormat="1" applyFont="1" applyFill="1" applyBorder="1" applyAlignment="1">
      <alignment horizontal="center" vertical="center"/>
    </xf>
    <xf numFmtId="0" fontId="3" fillId="14" borderId="1" xfId="0" applyFont="1" applyFill="1" applyBorder="1" applyAlignment="1">
      <alignment horizontal="center" vertical="center" wrapText="1"/>
    </xf>
    <xf numFmtId="14" fontId="19" fillId="14" borderId="1" xfId="0" applyNumberFormat="1" applyFont="1" applyFill="1" applyBorder="1" applyAlignment="1">
      <alignment horizontal="center" vertical="center"/>
    </xf>
    <xf numFmtId="14" fontId="7" fillId="14" borderId="1" xfId="0" applyNumberFormat="1" applyFont="1" applyFill="1" applyBorder="1" applyAlignment="1">
      <alignment horizontal="center" vertical="center" wrapText="1"/>
    </xf>
    <xf numFmtId="0" fontId="7" fillId="17" borderId="10" xfId="0" applyFont="1" applyFill="1" applyBorder="1" applyAlignment="1">
      <alignment horizontal="center" vertical="center" wrapText="1"/>
    </xf>
    <xf numFmtId="14" fontId="7" fillId="17" borderId="10" xfId="0" applyNumberFormat="1" applyFont="1" applyFill="1" applyBorder="1" applyAlignment="1">
      <alignment horizontal="center" vertical="center" wrapText="1"/>
    </xf>
    <xf numFmtId="14" fontId="7" fillId="5" borderId="2" xfId="0" applyNumberFormat="1" applyFont="1" applyFill="1" applyBorder="1" applyAlignment="1">
      <alignment horizontal="center" vertical="center" wrapText="1"/>
    </xf>
    <xf numFmtId="14" fontId="7" fillId="5" borderId="10" xfId="0" applyNumberFormat="1" applyFont="1" applyFill="1" applyBorder="1" applyAlignment="1">
      <alignment horizontal="center" vertical="center" wrapText="1"/>
    </xf>
    <xf numFmtId="4" fontId="7" fillId="14" borderId="2" xfId="0" applyNumberFormat="1" applyFont="1" applyFill="1" applyBorder="1" applyAlignment="1">
      <alignment horizontal="center" vertical="center" wrapText="1"/>
    </xf>
    <xf numFmtId="4" fontId="7" fillId="14" borderId="10" xfId="0" applyNumberFormat="1" applyFont="1" applyFill="1" applyBorder="1" applyAlignment="1">
      <alignment horizontal="center" vertical="center" wrapText="1"/>
    </xf>
    <xf numFmtId="4" fontId="7" fillId="14" borderId="11" xfId="0" applyNumberFormat="1" applyFont="1" applyFill="1" applyBorder="1" applyAlignment="1">
      <alignment horizontal="center" vertical="center" wrapText="1"/>
    </xf>
    <xf numFmtId="4" fontId="7" fillId="17" borderId="10" xfId="0" applyNumberFormat="1" applyFont="1" applyFill="1" applyBorder="1" applyAlignment="1">
      <alignment horizontal="center" vertical="center" wrapText="1"/>
    </xf>
    <xf numFmtId="0" fontId="7" fillId="17" borderId="2" xfId="0" applyFont="1" applyFill="1" applyBorder="1" applyAlignment="1">
      <alignment horizontal="center" vertical="center" wrapText="1"/>
    </xf>
    <xf numFmtId="176" fontId="7" fillId="5" borderId="10" xfId="0" applyNumberFormat="1"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10" xfId="0" applyFont="1" applyFill="1" applyBorder="1" applyAlignment="1">
      <alignment horizontal="center" vertical="center" wrapText="1"/>
    </xf>
    <xf numFmtId="10" fontId="7" fillId="14" borderId="1" xfId="0" applyNumberFormat="1" applyFont="1" applyFill="1" applyBorder="1" applyAlignment="1">
      <alignment horizontal="center" vertical="center"/>
    </xf>
    <xf numFmtId="10" fontId="7" fillId="14" borderId="2" xfId="0" applyNumberFormat="1" applyFont="1" applyFill="1" applyBorder="1" applyAlignment="1">
      <alignment horizontal="center" vertical="center"/>
    </xf>
    <xf numFmtId="10" fontId="7" fillId="14" borderId="1" xfId="0" applyNumberFormat="1" applyFont="1" applyFill="1" applyBorder="1" applyAlignment="1" applyProtection="1">
      <alignment horizontal="center" vertical="center" wrapText="1"/>
    </xf>
    <xf numFmtId="2" fontId="2" fillId="14" borderId="1" xfId="0" applyNumberFormat="1" applyFont="1" applyFill="1" applyBorder="1" applyAlignment="1">
      <alignment horizontal="center" vertical="center"/>
    </xf>
    <xf numFmtId="0" fontId="2" fillId="14" borderId="2" xfId="0" applyFont="1" applyFill="1" applyBorder="1" applyAlignment="1">
      <alignment horizontal="center" vertical="center"/>
    </xf>
    <xf numFmtId="0" fontId="7" fillId="17" borderId="1" xfId="0" applyFont="1" applyFill="1" applyBorder="1" applyAlignment="1">
      <alignment horizontal="left" vertical="center" wrapText="1"/>
    </xf>
    <xf numFmtId="2" fontId="2" fillId="14" borderId="2" xfId="0" applyNumberFormat="1" applyFont="1" applyFill="1" applyBorder="1" applyAlignment="1">
      <alignment horizontal="center" vertical="center"/>
    </xf>
    <xf numFmtId="10" fontId="7" fillId="14" borderId="2" xfId="0" applyNumberFormat="1" applyFont="1" applyFill="1" applyBorder="1" applyAlignment="1" applyProtection="1">
      <alignment horizontal="center" vertical="center" wrapText="1"/>
    </xf>
    <xf numFmtId="0" fontId="2" fillId="14" borderId="10" xfId="0" applyFont="1" applyFill="1" applyBorder="1" applyAlignment="1">
      <alignment horizontal="center" vertical="center"/>
    </xf>
    <xf numFmtId="10" fontId="7" fillId="14" borderId="10" xfId="0" applyNumberFormat="1" applyFont="1" applyFill="1" applyBorder="1" applyAlignment="1" applyProtection="1">
      <alignment horizontal="center" vertical="center" wrapText="1"/>
    </xf>
    <xf numFmtId="10" fontId="7" fillId="14" borderId="11" xfId="0" applyNumberFormat="1" applyFont="1" applyFill="1" applyBorder="1" applyAlignment="1" applyProtection="1">
      <alignment horizontal="center" vertical="center" wrapText="1"/>
    </xf>
    <xf numFmtId="10" fontId="13" fillId="14" borderId="11" xfId="0" applyNumberFormat="1" applyFont="1" applyFill="1" applyBorder="1" applyAlignment="1" applyProtection="1">
      <alignment horizontal="center" vertical="center" wrapText="1"/>
    </xf>
    <xf numFmtId="0" fontId="2" fillId="17" borderId="10" xfId="0" applyFont="1" applyFill="1" applyBorder="1" applyAlignment="1">
      <alignment horizontal="center" vertical="center"/>
    </xf>
    <xf numFmtId="2" fontId="2" fillId="17" borderId="2" xfId="0" applyNumberFormat="1" applyFont="1" applyFill="1" applyBorder="1" applyAlignment="1">
      <alignment horizontal="center" vertical="center"/>
    </xf>
    <xf numFmtId="10" fontId="13" fillId="14" borderId="1" xfId="0" applyNumberFormat="1" applyFont="1" applyFill="1" applyBorder="1" applyAlignment="1" applyProtection="1">
      <alignment horizontal="center" vertical="center" wrapText="1"/>
    </xf>
    <xf numFmtId="10" fontId="2" fillId="5" borderId="1" xfId="0" applyNumberFormat="1" applyFont="1" applyFill="1" applyBorder="1" applyAlignment="1" applyProtection="1">
      <alignment horizontal="center" vertical="center" wrapText="1"/>
    </xf>
    <xf numFmtId="2" fontId="2" fillId="5" borderId="2" xfId="0" applyNumberFormat="1" applyFont="1" applyFill="1" applyBorder="1" applyAlignment="1">
      <alignment horizontal="center" vertical="center"/>
    </xf>
    <xf numFmtId="0" fontId="13" fillId="5" borderId="1" xfId="0" applyFont="1" applyFill="1" applyBorder="1" applyAlignment="1">
      <alignment horizontal="left" vertical="center" wrapText="1"/>
    </xf>
    <xf numFmtId="176" fontId="3" fillId="14" borderId="2" xfId="0" applyNumberFormat="1" applyFont="1" applyFill="1" applyBorder="1" applyAlignment="1">
      <alignment horizontal="center" vertical="center"/>
    </xf>
    <xf numFmtId="0" fontId="15" fillId="14" borderId="1" xfId="0" applyFont="1" applyFill="1" applyBorder="1" applyAlignment="1">
      <alignment horizontal="center" vertical="center"/>
    </xf>
    <xf numFmtId="0" fontId="15" fillId="17" borderId="1" xfId="0" applyFont="1" applyFill="1" applyBorder="1" applyAlignment="1">
      <alignment horizontal="center" vertical="center"/>
    </xf>
    <xf numFmtId="0" fontId="11" fillId="17" borderId="1" xfId="0" applyFont="1" applyFill="1" applyBorder="1" applyAlignment="1">
      <alignment horizontal="center" vertical="center"/>
    </xf>
    <xf numFmtId="14" fontId="6" fillId="17" borderId="1" xfId="0" applyNumberFormat="1" applyFont="1" applyFill="1" applyBorder="1" applyAlignment="1">
      <alignment horizontal="center" vertical="center"/>
    </xf>
    <xf numFmtId="177" fontId="7" fillId="14" borderId="1" xfId="0" applyNumberFormat="1" applyFont="1" applyFill="1" applyBorder="1" applyAlignment="1">
      <alignment horizontal="center" vertical="center"/>
    </xf>
    <xf numFmtId="177" fontId="8" fillId="14" borderId="1" xfId="0" applyNumberFormat="1" applyFont="1" applyFill="1" applyBorder="1" applyAlignment="1">
      <alignment horizontal="center" vertical="center"/>
    </xf>
    <xf numFmtId="2" fontId="7" fillId="5" borderId="1" xfId="0" applyNumberFormat="1" applyFont="1" applyFill="1" applyBorder="1" applyAlignment="1">
      <alignment horizontal="center" vertical="center"/>
    </xf>
    <xf numFmtId="2" fontId="11" fillId="5" borderId="2" xfId="0" applyNumberFormat="1" applyFont="1" applyFill="1" applyBorder="1" applyAlignment="1">
      <alignment horizontal="center" vertical="center"/>
    </xf>
    <xf numFmtId="176" fontId="8" fillId="5" borderId="1" xfId="0" applyNumberFormat="1" applyFont="1" applyFill="1" applyBorder="1" applyAlignment="1">
      <alignment horizontal="center" vertical="center"/>
    </xf>
    <xf numFmtId="0" fontId="8" fillId="5" borderId="1" xfId="0" applyFont="1" applyFill="1" applyBorder="1" applyAlignment="1">
      <alignment horizontal="center" vertical="center"/>
    </xf>
    <xf numFmtId="177" fontId="8" fillId="5" borderId="1" xfId="0" applyNumberFormat="1" applyFont="1" applyFill="1" applyBorder="1" applyAlignment="1">
      <alignment horizontal="center" vertical="center"/>
    </xf>
    <xf numFmtId="14" fontId="3" fillId="17" borderId="1" xfId="0" applyNumberFormat="1" applyFont="1" applyFill="1" applyBorder="1" applyAlignment="1">
      <alignment horizontal="center" vertical="center"/>
    </xf>
    <xf numFmtId="14" fontId="2" fillId="14"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2" fontId="11" fillId="5" borderId="1" xfId="0" applyNumberFormat="1" applyFont="1" applyFill="1" applyBorder="1" applyAlignment="1">
      <alignment horizontal="center" vertical="center"/>
    </xf>
    <xf numFmtId="178" fontId="7" fillId="14" borderId="11" xfId="0" applyNumberFormat="1" applyFont="1" applyFill="1" applyBorder="1" applyAlignment="1">
      <alignment horizontal="center" vertical="center"/>
    </xf>
    <xf numFmtId="0" fontId="2" fillId="14" borderId="11" xfId="0" applyFont="1" applyFill="1" applyBorder="1">
      <alignment vertical="center"/>
    </xf>
    <xf numFmtId="178" fontId="7" fillId="14" borderId="1" xfId="0" applyNumberFormat="1" applyFont="1" applyFill="1" applyBorder="1" applyAlignment="1">
      <alignment horizontal="center" vertical="center"/>
    </xf>
    <xf numFmtId="0" fontId="2" fillId="14" borderId="1" xfId="0" applyFont="1" applyFill="1" applyBorder="1">
      <alignment vertical="center"/>
    </xf>
    <xf numFmtId="0" fontId="2" fillId="17" borderId="1" xfId="0" applyFont="1" applyFill="1" applyBorder="1">
      <alignment vertical="center"/>
    </xf>
    <xf numFmtId="177" fontId="11" fillId="14" borderId="1" xfId="0" applyNumberFormat="1" applyFont="1" applyFill="1" applyBorder="1" applyAlignment="1">
      <alignment horizontal="center" vertical="center"/>
    </xf>
    <xf numFmtId="0" fontId="2" fillId="14" borderId="10" xfId="0" applyFont="1" applyFill="1" applyBorder="1">
      <alignment vertical="center"/>
    </xf>
    <xf numFmtId="0" fontId="2" fillId="17" borderId="10" xfId="0" applyFont="1" applyFill="1" applyBorder="1">
      <alignment vertical="center"/>
    </xf>
    <xf numFmtId="0" fontId="2" fillId="14" borderId="10" xfId="0" applyFont="1" applyFill="1" applyBorder="1" applyAlignment="1">
      <alignment horizontal="center" vertical="center" wrapText="1"/>
    </xf>
    <xf numFmtId="0" fontId="2" fillId="17" borderId="10" xfId="0" applyFont="1" applyFill="1" applyBorder="1" applyAlignment="1">
      <alignment horizontal="center" vertical="center" wrapText="1"/>
    </xf>
    <xf numFmtId="14" fontId="7" fillId="5" borderId="11" xfId="0" applyNumberFormat="1" applyFont="1" applyFill="1" applyBorder="1" applyAlignment="1">
      <alignment horizontal="center" vertical="center" wrapText="1"/>
    </xf>
    <xf numFmtId="0" fontId="8" fillId="5" borderId="11" xfId="0" applyFont="1" applyFill="1" applyBorder="1" applyAlignment="1">
      <alignment horizontal="center" vertical="center" wrapText="1"/>
    </xf>
    <xf numFmtId="4" fontId="7" fillId="5" borderId="2" xfId="0" applyNumberFormat="1" applyFont="1" applyFill="1" applyBorder="1" applyAlignment="1">
      <alignment horizontal="center" vertical="center" wrapText="1"/>
    </xf>
    <xf numFmtId="4" fontId="7" fillId="5" borderId="10" xfId="0" applyNumberFormat="1" applyFont="1" applyFill="1" applyBorder="1" applyAlignment="1">
      <alignment horizontal="center" vertical="center" wrapText="1"/>
    </xf>
    <xf numFmtId="4" fontId="7" fillId="5" borderId="11" xfId="0" applyNumberFormat="1" applyFont="1" applyFill="1" applyBorder="1" applyAlignment="1">
      <alignment horizontal="center" vertical="center" wrapText="1"/>
    </xf>
    <xf numFmtId="4" fontId="7" fillId="5" borderId="1" xfId="0" applyNumberFormat="1" applyFont="1" applyFill="1" applyBorder="1" applyAlignment="1">
      <alignment horizontal="center" vertical="center" wrapText="1"/>
    </xf>
    <xf numFmtId="4" fontId="7" fillId="6" borderId="2" xfId="0" applyNumberFormat="1" applyFont="1" applyFill="1" applyBorder="1" applyAlignment="1">
      <alignment horizontal="center" vertical="center" wrapText="1"/>
    </xf>
    <xf numFmtId="4" fontId="7" fillId="6" borderId="10" xfId="0" applyNumberFormat="1" applyFont="1" applyFill="1" applyBorder="1" applyAlignment="1">
      <alignment horizontal="center" vertical="center" wrapText="1"/>
    </xf>
    <xf numFmtId="4" fontId="7" fillId="6" borderId="11" xfId="0" applyNumberFormat="1" applyFont="1" applyFill="1" applyBorder="1" applyAlignment="1">
      <alignment horizontal="center" vertical="center" wrapText="1"/>
    </xf>
    <xf numFmtId="2" fontId="2" fillId="5" borderId="1" xfId="0" applyNumberFormat="1" applyFont="1" applyFill="1" applyBorder="1" applyAlignment="1">
      <alignment horizontal="center" vertical="center" wrapText="1"/>
    </xf>
    <xf numFmtId="2" fontId="2" fillId="5" borderId="11" xfId="0" applyNumberFormat="1" applyFont="1" applyFill="1" applyBorder="1" applyAlignment="1">
      <alignment horizontal="center" vertical="center"/>
    </xf>
    <xf numFmtId="10" fontId="7" fillId="5" borderId="1" xfId="0" applyNumberFormat="1" applyFont="1" applyFill="1" applyBorder="1" applyAlignment="1">
      <alignment horizontal="center" vertical="center" wrapText="1"/>
    </xf>
    <xf numFmtId="10" fontId="7" fillId="5" borderId="2" xfId="0" applyNumberFormat="1" applyFont="1" applyFill="1" applyBorder="1" applyAlignment="1">
      <alignment horizontal="center" vertical="center" wrapText="1"/>
    </xf>
    <xf numFmtId="2" fontId="7" fillId="5" borderId="1" xfId="0" applyNumberFormat="1" applyFont="1" applyFill="1" applyBorder="1" applyAlignment="1">
      <alignment horizontal="center" vertical="center" wrapText="1"/>
    </xf>
    <xf numFmtId="2" fontId="11" fillId="5" borderId="1" xfId="0" applyNumberFormat="1" applyFont="1" applyFill="1" applyBorder="1" applyAlignment="1">
      <alignment horizontal="center" vertical="center" wrapText="1"/>
    </xf>
    <xf numFmtId="0" fontId="8" fillId="6" borderId="1" xfId="0" applyFont="1" applyFill="1" applyBorder="1" applyAlignment="1">
      <alignment horizontal="center" vertical="center"/>
    </xf>
    <xf numFmtId="177" fontId="7" fillId="5" borderId="11" xfId="0" applyNumberFormat="1" applyFont="1" applyFill="1" applyBorder="1" applyAlignment="1">
      <alignment horizontal="center" vertical="center"/>
    </xf>
    <xf numFmtId="14" fontId="7" fillId="5" borderId="1" xfId="0" applyNumberFormat="1" applyFont="1" applyFill="1" applyBorder="1" applyAlignment="1">
      <alignment horizontal="center" vertical="center"/>
    </xf>
    <xf numFmtId="2" fontId="8" fillId="5" borderId="1" xfId="0" applyNumberFormat="1" applyFont="1" applyFill="1" applyBorder="1" applyAlignment="1">
      <alignment horizontal="center" vertical="center"/>
    </xf>
    <xf numFmtId="0" fontId="2" fillId="5" borderId="11" xfId="0" applyFont="1" applyFill="1" applyBorder="1">
      <alignment vertical="center"/>
    </xf>
    <xf numFmtId="0" fontId="2" fillId="5" borderId="11" xfId="0" applyFont="1" applyFill="1" applyBorder="1" applyAlignment="1">
      <alignment horizontal="center" vertical="center"/>
    </xf>
    <xf numFmtId="14" fontId="7" fillId="11" borderId="10" xfId="0" applyNumberFormat="1" applyFont="1" applyFill="1" applyBorder="1" applyAlignment="1">
      <alignment horizontal="center" vertical="center" wrapText="1"/>
    </xf>
    <xf numFmtId="14" fontId="7" fillId="11" borderId="11" xfId="0" applyNumberFormat="1" applyFont="1" applyFill="1" applyBorder="1" applyAlignment="1">
      <alignment horizontal="center" vertical="center" wrapText="1"/>
    </xf>
    <xf numFmtId="14" fontId="7" fillId="11" borderId="2" xfId="0" applyNumberFormat="1" applyFont="1" applyFill="1" applyBorder="1" applyAlignment="1">
      <alignment horizontal="center" vertical="center" wrapText="1"/>
    </xf>
    <xf numFmtId="14" fontId="7" fillId="18" borderId="2" xfId="0" applyNumberFormat="1" applyFont="1" applyFill="1" applyBorder="1" applyAlignment="1">
      <alignment horizontal="center" vertical="center" wrapText="1"/>
    </xf>
    <xf numFmtId="14" fontId="7" fillId="18" borderId="10" xfId="0" applyNumberFormat="1" applyFont="1" applyFill="1" applyBorder="1" applyAlignment="1">
      <alignment horizontal="center" vertical="center" wrapText="1"/>
    </xf>
    <xf numFmtId="14" fontId="7" fillId="18" borderId="11" xfId="0" applyNumberFormat="1" applyFont="1" applyFill="1" applyBorder="1" applyAlignment="1">
      <alignment horizontal="center" vertical="center" wrapText="1"/>
    </xf>
    <xf numFmtId="14" fontId="7" fillId="18" borderId="1" xfId="0" applyNumberFormat="1" applyFont="1" applyFill="1" applyBorder="1" applyAlignment="1">
      <alignment horizontal="center" vertical="center" wrapText="1"/>
    </xf>
    <xf numFmtId="176" fontId="7" fillId="11" borderId="11" xfId="0" applyNumberFormat="1" applyFont="1" applyFill="1" applyBorder="1" applyAlignment="1">
      <alignment horizontal="center" vertical="center" wrapText="1"/>
    </xf>
    <xf numFmtId="2" fontId="7" fillId="11" borderId="2" xfId="0" applyNumberFormat="1" applyFont="1" applyFill="1" applyBorder="1" applyAlignment="1">
      <alignment horizontal="center" vertical="center" wrapText="1"/>
    </xf>
    <xf numFmtId="2" fontId="7" fillId="11" borderId="10" xfId="0" applyNumberFormat="1" applyFont="1" applyFill="1" applyBorder="1" applyAlignment="1">
      <alignment horizontal="center" vertical="center" wrapText="1"/>
    </xf>
    <xf numFmtId="2" fontId="7" fillId="11" borderId="11" xfId="0" applyNumberFormat="1" applyFont="1" applyFill="1" applyBorder="1" applyAlignment="1">
      <alignment horizontal="center" vertical="center" wrapText="1"/>
    </xf>
    <xf numFmtId="2" fontId="7" fillId="5" borderId="10" xfId="0" applyNumberFormat="1" applyFont="1" applyFill="1" applyBorder="1" applyAlignment="1">
      <alignment horizontal="center" vertical="center" wrapText="1"/>
    </xf>
    <xf numFmtId="2" fontId="7" fillId="18" borderId="2" xfId="0" applyNumberFormat="1" applyFont="1" applyFill="1" applyBorder="1" applyAlignment="1">
      <alignment horizontal="center" vertical="center" wrapText="1"/>
    </xf>
    <xf numFmtId="2" fontId="7" fillId="18" borderId="10" xfId="0" applyNumberFormat="1" applyFont="1" applyFill="1" applyBorder="1" applyAlignment="1">
      <alignment horizontal="center" vertical="center" wrapText="1"/>
    </xf>
    <xf numFmtId="2" fontId="7" fillId="18" borderId="11" xfId="0" applyNumberFormat="1" applyFont="1" applyFill="1" applyBorder="1" applyAlignment="1">
      <alignment horizontal="center" vertical="center" wrapText="1"/>
    </xf>
    <xf numFmtId="2" fontId="7" fillId="18" borderId="1" xfId="0" applyNumberFormat="1" applyFont="1" applyFill="1" applyBorder="1" applyAlignment="1">
      <alignment horizontal="center" vertical="center" wrapText="1"/>
    </xf>
    <xf numFmtId="2" fontId="2" fillId="11" borderId="11" xfId="0" applyNumberFormat="1" applyFont="1" applyFill="1" applyBorder="1" applyAlignment="1">
      <alignment horizontal="center" vertical="center"/>
    </xf>
    <xf numFmtId="2" fontId="2" fillId="11" borderId="1" xfId="0" applyNumberFormat="1" applyFont="1" applyFill="1" applyBorder="1" applyAlignment="1">
      <alignment horizontal="center" vertical="center"/>
    </xf>
    <xf numFmtId="2" fontId="2" fillId="11" borderId="2" xfId="0" applyNumberFormat="1" applyFont="1" applyFill="1" applyBorder="1" applyAlignment="1">
      <alignment horizontal="center" vertical="center"/>
    </xf>
    <xf numFmtId="2" fontId="2" fillId="11" borderId="10" xfId="0" applyNumberFormat="1" applyFont="1" applyFill="1" applyBorder="1" applyAlignment="1">
      <alignment horizontal="center" vertical="center"/>
    </xf>
    <xf numFmtId="2" fontId="2" fillId="18" borderId="1" xfId="0" applyNumberFormat="1" applyFont="1" applyFill="1" applyBorder="1" applyAlignment="1">
      <alignment horizontal="center" vertical="center"/>
    </xf>
    <xf numFmtId="2" fontId="7" fillId="18" borderId="1" xfId="0" applyNumberFormat="1" applyFont="1" applyFill="1" applyBorder="1" applyAlignment="1">
      <alignment horizontal="center" vertical="center"/>
    </xf>
    <xf numFmtId="9" fontId="7" fillId="18" borderId="2" xfId="0" applyNumberFormat="1" applyFont="1" applyFill="1" applyBorder="1" applyAlignment="1">
      <alignment horizontal="center" vertical="center" wrapText="1"/>
    </xf>
    <xf numFmtId="2" fontId="2" fillId="18" borderId="2" xfId="0" applyNumberFormat="1" applyFont="1" applyFill="1" applyBorder="1" applyAlignment="1">
      <alignment horizontal="center" vertical="center"/>
    </xf>
    <xf numFmtId="9" fontId="7" fillId="18" borderId="10" xfId="0" applyNumberFormat="1" applyFont="1" applyFill="1" applyBorder="1" applyAlignment="1">
      <alignment horizontal="center" vertical="center" wrapText="1"/>
    </xf>
    <xf numFmtId="2" fontId="2" fillId="18" borderId="10" xfId="0" applyNumberFormat="1" applyFont="1" applyFill="1" applyBorder="1" applyAlignment="1">
      <alignment horizontal="center" vertical="center"/>
    </xf>
    <xf numFmtId="2" fontId="11" fillId="11" borderId="1" xfId="0" applyNumberFormat="1" applyFont="1" applyFill="1" applyBorder="1" applyAlignment="1">
      <alignment horizontal="center" vertical="center"/>
    </xf>
    <xf numFmtId="177" fontId="11" fillId="11" borderId="11" xfId="0" applyNumberFormat="1" applyFont="1" applyFill="1" applyBorder="1" applyAlignment="1">
      <alignment horizontal="center" vertical="center"/>
    </xf>
    <xf numFmtId="2" fontId="7" fillId="11" borderId="1" xfId="0" applyNumberFormat="1" applyFont="1" applyFill="1" applyBorder="1" applyAlignment="1">
      <alignment horizontal="center" vertical="center"/>
    </xf>
    <xf numFmtId="176" fontId="8" fillId="11" borderId="1" xfId="0" applyNumberFormat="1" applyFont="1" applyFill="1" applyBorder="1" applyAlignment="1">
      <alignment horizontal="center" vertical="center"/>
    </xf>
    <xf numFmtId="177" fontId="8" fillId="11" borderId="11" xfId="0" applyNumberFormat="1" applyFont="1" applyFill="1" applyBorder="1" applyAlignment="1">
      <alignment horizontal="center" vertical="center"/>
    </xf>
    <xf numFmtId="176" fontId="7" fillId="11" borderId="11" xfId="0" applyNumberFormat="1" applyFont="1" applyFill="1" applyBorder="1" applyAlignment="1">
      <alignment horizontal="center" vertical="center"/>
    </xf>
    <xf numFmtId="0" fontId="8" fillId="11" borderId="11" xfId="0" applyFont="1" applyFill="1" applyBorder="1" applyAlignment="1">
      <alignment horizontal="center" vertical="center"/>
    </xf>
    <xf numFmtId="2" fontId="10" fillId="11" borderId="1" xfId="0" applyNumberFormat="1" applyFont="1" applyFill="1" applyBorder="1" applyAlignment="1">
      <alignment horizontal="center" vertical="center"/>
    </xf>
    <xf numFmtId="177" fontId="7" fillId="5" borderId="10" xfId="0" applyNumberFormat="1" applyFont="1" applyFill="1" applyBorder="1" applyAlignment="1">
      <alignment horizontal="center" vertical="center"/>
    </xf>
    <xf numFmtId="0" fontId="11" fillId="5" borderId="11" xfId="0" applyFont="1" applyFill="1" applyBorder="1" applyAlignment="1">
      <alignment horizontal="center" vertical="center"/>
    </xf>
    <xf numFmtId="177" fontId="11" fillId="5" borderId="11" xfId="0" applyNumberFormat="1" applyFont="1" applyFill="1" applyBorder="1" applyAlignment="1">
      <alignment horizontal="center" vertical="center"/>
    </xf>
    <xf numFmtId="2" fontId="11" fillId="18" borderId="1" xfId="0" applyNumberFormat="1" applyFont="1" applyFill="1" applyBorder="1" applyAlignment="1">
      <alignment horizontal="center" vertical="center"/>
    </xf>
    <xf numFmtId="177" fontId="11" fillId="18" borderId="11" xfId="0" applyNumberFormat="1" applyFont="1" applyFill="1" applyBorder="1" applyAlignment="1">
      <alignment horizontal="center" vertical="center"/>
    </xf>
    <xf numFmtId="2" fontId="7" fillId="18" borderId="11" xfId="0" applyNumberFormat="1" applyFont="1" applyFill="1" applyBorder="1" applyAlignment="1">
      <alignment horizontal="center" vertical="center"/>
    </xf>
    <xf numFmtId="2" fontId="7" fillId="18" borderId="10" xfId="0" applyNumberFormat="1" applyFont="1" applyFill="1" applyBorder="1" applyAlignment="1">
      <alignment horizontal="center" vertical="center"/>
    </xf>
    <xf numFmtId="2" fontId="2" fillId="18" borderId="11" xfId="0" applyNumberFormat="1" applyFont="1" applyFill="1" applyBorder="1" applyAlignment="1">
      <alignment horizontal="center" vertical="center"/>
    </xf>
    <xf numFmtId="14" fontId="2" fillId="18" borderId="11" xfId="0" applyNumberFormat="1" applyFont="1" applyFill="1" applyBorder="1" applyAlignment="1">
      <alignment horizontal="center" vertical="center"/>
    </xf>
    <xf numFmtId="178" fontId="7" fillId="11" borderId="11" xfId="0" applyNumberFormat="1" applyFont="1" applyFill="1" applyBorder="1" applyAlignment="1">
      <alignment horizontal="center" vertical="center"/>
    </xf>
    <xf numFmtId="0" fontId="2" fillId="11" borderId="11" xfId="0" applyFont="1" applyFill="1" applyBorder="1">
      <alignment vertical="center"/>
    </xf>
    <xf numFmtId="14" fontId="6" fillId="11" borderId="0" xfId="0" applyNumberFormat="1" applyFont="1" applyFill="1">
      <alignment vertical="center"/>
    </xf>
    <xf numFmtId="178" fontId="7" fillId="5" borderId="11" xfId="0" applyNumberFormat="1" applyFont="1" applyFill="1" applyBorder="1" applyAlignment="1">
      <alignment horizontal="center" vertical="center"/>
    </xf>
    <xf numFmtId="178" fontId="7" fillId="18" borderId="11" xfId="0" applyNumberFormat="1" applyFont="1" applyFill="1" applyBorder="1" applyAlignment="1">
      <alignment horizontal="center" vertical="center"/>
    </xf>
    <xf numFmtId="0" fontId="2" fillId="18" borderId="11" xfId="0" applyFont="1" applyFill="1" applyBorder="1">
      <alignment vertical="center"/>
    </xf>
    <xf numFmtId="14" fontId="7" fillId="6" borderId="2" xfId="0" applyNumberFormat="1" applyFont="1" applyFill="1" applyBorder="1" applyAlignment="1">
      <alignment horizontal="center" vertical="center" wrapText="1"/>
    </xf>
    <xf numFmtId="14" fontId="7" fillId="6" borderId="11" xfId="0" applyNumberFormat="1" applyFont="1" applyFill="1" applyBorder="1" applyAlignment="1">
      <alignment horizontal="center" vertical="center" wrapText="1"/>
    </xf>
    <xf numFmtId="14" fontId="7" fillId="2" borderId="2" xfId="0" applyNumberFormat="1" applyFont="1" applyFill="1" applyBorder="1" applyAlignment="1">
      <alignment horizontal="center" vertical="center" wrapText="1"/>
    </xf>
    <xf numFmtId="14" fontId="7" fillId="2" borderId="10" xfId="0" applyNumberFormat="1" applyFont="1" applyFill="1" applyBorder="1" applyAlignment="1">
      <alignment horizontal="center" vertical="center" wrapText="1"/>
    </xf>
    <xf numFmtId="0" fontId="7" fillId="18" borderId="25" xfId="0" applyFont="1" applyFill="1" applyBorder="1" applyAlignment="1">
      <alignment horizontal="center" vertical="center" wrapText="1"/>
    </xf>
    <xf numFmtId="0" fontId="3" fillId="18" borderId="11" xfId="0" applyFont="1" applyFill="1" applyBorder="1" applyAlignment="1">
      <alignment horizontal="center" vertical="center" wrapText="1"/>
    </xf>
    <xf numFmtId="0" fontId="7" fillId="18" borderId="4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7" fillId="19" borderId="1" xfId="0" applyFont="1" applyFill="1" applyBorder="1" applyAlignment="1">
      <alignment horizontal="center" vertical="center" wrapText="1"/>
    </xf>
    <xf numFmtId="2" fontId="7" fillId="6" borderId="2" xfId="0" applyNumberFormat="1" applyFont="1" applyFill="1" applyBorder="1" applyAlignment="1">
      <alignment horizontal="center" vertical="center" wrapText="1"/>
    </xf>
    <xf numFmtId="2" fontId="7" fillId="6" borderId="10" xfId="0" applyNumberFormat="1" applyFont="1" applyFill="1" applyBorder="1" applyAlignment="1">
      <alignment horizontal="center" vertical="center" wrapText="1"/>
    </xf>
    <xf numFmtId="2" fontId="7" fillId="2" borderId="2" xfId="0" applyNumberFormat="1" applyFont="1" applyFill="1" applyBorder="1" applyAlignment="1">
      <alignment horizontal="center" vertical="center" wrapText="1"/>
    </xf>
    <xf numFmtId="2" fontId="7" fillId="2" borderId="10" xfId="0" applyNumberFormat="1" applyFont="1" applyFill="1" applyBorder="1" applyAlignment="1">
      <alignment horizontal="center" vertical="center" wrapText="1"/>
    </xf>
    <xf numFmtId="9" fontId="7" fillId="5" borderId="2" xfId="0" applyNumberFormat="1" applyFont="1" applyFill="1" applyBorder="1" applyAlignment="1">
      <alignment horizontal="center" vertical="center" wrapText="1"/>
    </xf>
    <xf numFmtId="9" fontId="7" fillId="18" borderId="1" xfId="0" applyNumberFormat="1" applyFont="1" applyFill="1" applyBorder="1" applyAlignment="1">
      <alignment horizontal="center" vertical="center" wrapText="1"/>
    </xf>
    <xf numFmtId="9" fontId="1" fillId="18" borderId="1" xfId="0" applyNumberFormat="1" applyFont="1" applyFill="1" applyBorder="1" applyAlignment="1">
      <alignment horizontal="center" vertical="center" wrapText="1"/>
    </xf>
    <xf numFmtId="0" fontId="1" fillId="18" borderId="1" xfId="0" applyFont="1" applyFill="1" applyBorder="1" applyAlignment="1">
      <alignment vertical="top" wrapText="1"/>
    </xf>
    <xf numFmtId="0" fontId="1" fillId="18" borderId="1" xfId="0" applyFont="1" applyFill="1" applyBorder="1" applyAlignment="1">
      <alignment horizontal="justify" vertical="center"/>
    </xf>
    <xf numFmtId="2" fontId="2" fillId="6" borderId="2" xfId="0" applyNumberFormat="1" applyFont="1" applyFill="1" applyBorder="1" applyAlignment="1">
      <alignment horizontal="center" vertical="center"/>
    </xf>
    <xf numFmtId="2" fontId="2" fillId="6" borderId="11" xfId="0" applyNumberFormat="1" applyFont="1" applyFill="1" applyBorder="1" applyAlignment="1">
      <alignment horizontal="center" vertical="center"/>
    </xf>
    <xf numFmtId="2" fontId="2" fillId="2" borderId="2" xfId="0" applyNumberFormat="1" applyFont="1" applyFill="1" applyBorder="1" applyAlignment="1">
      <alignment horizontal="center" vertical="center"/>
    </xf>
    <xf numFmtId="2" fontId="2" fillId="19" borderId="1" xfId="0" applyNumberFormat="1" applyFont="1" applyFill="1" applyBorder="1" applyAlignment="1">
      <alignment horizontal="center" vertical="center"/>
    </xf>
    <xf numFmtId="0" fontId="7" fillId="19" borderId="1" xfId="0" applyFont="1" applyFill="1" applyBorder="1" applyAlignment="1">
      <alignment horizontal="left" vertical="center" wrapText="1"/>
    </xf>
    <xf numFmtId="0" fontId="7" fillId="19" borderId="11" xfId="0" applyFont="1" applyFill="1" applyBorder="1" applyAlignment="1">
      <alignment horizontal="left" vertical="center" wrapText="1"/>
    </xf>
    <xf numFmtId="0" fontId="7" fillId="19" borderId="11" xfId="0" applyFont="1" applyFill="1" applyBorder="1" applyAlignment="1">
      <alignment horizontal="center" vertical="center" wrapText="1"/>
    </xf>
    <xf numFmtId="2" fontId="2" fillId="13" borderId="2" xfId="0" applyNumberFormat="1" applyFont="1" applyFill="1" applyBorder="1" applyAlignment="1">
      <alignment horizontal="center" vertical="center"/>
    </xf>
    <xf numFmtId="2" fontId="2" fillId="13" borderId="1" xfId="0" applyNumberFormat="1" applyFont="1" applyFill="1" applyBorder="1" applyAlignment="1">
      <alignment horizontal="center" vertical="center"/>
    </xf>
    <xf numFmtId="2" fontId="2" fillId="20" borderId="1" xfId="0" applyNumberFormat="1" applyFont="1" applyFill="1" applyBorder="1" applyAlignment="1">
      <alignment horizontal="center" vertical="center"/>
    </xf>
    <xf numFmtId="2" fontId="7" fillId="18" borderId="2" xfId="0" applyNumberFormat="1" applyFont="1" applyFill="1" applyBorder="1" applyAlignment="1">
      <alignment horizontal="center" vertical="center"/>
    </xf>
    <xf numFmtId="0" fontId="7" fillId="18" borderId="1" xfId="0" applyNumberFormat="1" applyFont="1" applyFill="1" applyBorder="1" applyAlignment="1">
      <alignment horizontal="center" vertical="center"/>
    </xf>
    <xf numFmtId="2" fontId="8" fillId="18" borderId="1"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8" fillId="6" borderId="11" xfId="0" applyFont="1" applyFill="1" applyBorder="1" applyAlignment="1">
      <alignment horizontal="center" vertical="center"/>
    </xf>
    <xf numFmtId="2" fontId="7" fillId="2" borderId="2" xfId="0" applyNumberFormat="1" applyFont="1" applyFill="1" applyBorder="1" applyAlignment="1">
      <alignment horizontal="center" vertical="center"/>
    </xf>
    <xf numFmtId="2" fontId="7" fillId="2" borderId="11" xfId="0" applyNumberFormat="1" applyFont="1" applyFill="1" applyBorder="1" applyAlignment="1">
      <alignment horizontal="center" vertical="center"/>
    </xf>
    <xf numFmtId="2" fontId="7" fillId="19" borderId="1" xfId="0" applyNumberFormat="1" applyFont="1" applyFill="1" applyBorder="1" applyAlignment="1">
      <alignment horizontal="center" vertical="center"/>
    </xf>
    <xf numFmtId="177" fontId="7" fillId="19" borderId="1" xfId="0" applyNumberFormat="1" applyFont="1" applyFill="1" applyBorder="1" applyAlignment="1">
      <alignment horizontal="center" vertical="center"/>
    </xf>
    <xf numFmtId="0" fontId="7" fillId="19" borderId="1" xfId="0" applyFont="1" applyFill="1" applyBorder="1" applyAlignment="1">
      <alignment horizontal="center" vertical="center"/>
    </xf>
    <xf numFmtId="2" fontId="8" fillId="19" borderId="1" xfId="0" applyNumberFormat="1" applyFont="1" applyFill="1" applyBorder="1" applyAlignment="1">
      <alignment horizontal="center" vertical="center"/>
    </xf>
    <xf numFmtId="2" fontId="7" fillId="13" borderId="2" xfId="0" applyNumberFormat="1" applyFont="1" applyFill="1" applyBorder="1" applyAlignment="1">
      <alignment horizontal="center" vertical="center"/>
    </xf>
    <xf numFmtId="177" fontId="7" fillId="13" borderId="2" xfId="0" applyNumberFormat="1" applyFont="1" applyFill="1" applyBorder="1" applyAlignment="1">
      <alignment horizontal="center" vertical="center"/>
    </xf>
    <xf numFmtId="2" fontId="8" fillId="13" borderId="1" xfId="0" applyNumberFormat="1" applyFont="1" applyFill="1" applyBorder="1" applyAlignment="1">
      <alignment horizontal="center" vertical="center"/>
    </xf>
    <xf numFmtId="2" fontId="7" fillId="13" borderId="1" xfId="0" applyNumberFormat="1" applyFont="1" applyFill="1" applyBorder="1" applyAlignment="1">
      <alignment horizontal="center" vertical="center"/>
    </xf>
    <xf numFmtId="2" fontId="7" fillId="6" borderId="11" xfId="0" applyNumberFormat="1" applyFont="1" applyFill="1" applyBorder="1" applyAlignment="1">
      <alignment horizontal="center" vertical="center"/>
    </xf>
    <xf numFmtId="176" fontId="8" fillId="20" borderId="1" xfId="0" applyNumberFormat="1" applyFont="1" applyFill="1" applyBorder="1" applyAlignment="1">
      <alignment horizontal="center" vertical="center"/>
    </xf>
    <xf numFmtId="0" fontId="8" fillId="20" borderId="1" xfId="0" applyFont="1" applyFill="1" applyBorder="1" applyAlignment="1">
      <alignment horizontal="center" vertical="center"/>
    </xf>
    <xf numFmtId="177" fontId="8" fillId="20" borderId="1" xfId="0" applyNumberFormat="1" applyFont="1" applyFill="1" applyBorder="1" applyAlignment="1">
      <alignment horizontal="center" vertical="center"/>
    </xf>
    <xf numFmtId="2" fontId="7" fillId="20" borderId="1" xfId="0" applyNumberFormat="1" applyFont="1" applyFill="1" applyBorder="1" applyAlignment="1">
      <alignment horizontal="center" vertical="center"/>
    </xf>
    <xf numFmtId="177" fontId="7" fillId="20" borderId="1" xfId="0" applyNumberFormat="1" applyFont="1" applyFill="1" applyBorder="1" applyAlignment="1">
      <alignment horizontal="center" vertical="center"/>
    </xf>
    <xf numFmtId="2" fontId="11" fillId="20" borderId="1" xfId="0" applyNumberFormat="1" applyFont="1" applyFill="1" applyBorder="1" applyAlignment="1">
      <alignment horizontal="center" vertical="center"/>
    </xf>
    <xf numFmtId="177" fontId="11" fillId="20" borderId="1" xfId="0" applyNumberFormat="1" applyFont="1" applyFill="1" applyBorder="1" applyAlignment="1">
      <alignment horizontal="center" vertical="center"/>
    </xf>
    <xf numFmtId="14" fontId="2" fillId="5" borderId="11" xfId="0" applyNumberFormat="1" applyFont="1" applyFill="1" applyBorder="1" applyAlignment="1">
      <alignment horizontal="center" vertical="center"/>
    </xf>
    <xf numFmtId="2" fontId="7" fillId="5" borderId="11" xfId="0" applyNumberFormat="1" applyFont="1" applyFill="1" applyBorder="1" applyAlignment="1">
      <alignment horizontal="center" vertical="center"/>
    </xf>
    <xf numFmtId="0" fontId="2" fillId="18" borderId="1" xfId="0" applyNumberFormat="1" applyFont="1" applyFill="1" applyBorder="1" applyAlignment="1">
      <alignment horizontal="center" vertical="center"/>
    </xf>
    <xf numFmtId="176" fontId="7" fillId="19" borderId="1" xfId="0" applyNumberFormat="1" applyFont="1" applyFill="1" applyBorder="1" applyAlignment="1">
      <alignment horizontal="center" vertical="center"/>
    </xf>
    <xf numFmtId="0" fontId="2" fillId="19" borderId="1" xfId="0" applyFont="1" applyFill="1" applyBorder="1" applyAlignment="1">
      <alignment horizontal="center" vertical="center"/>
    </xf>
    <xf numFmtId="14" fontId="2" fillId="19" borderId="1" xfId="0" applyNumberFormat="1" applyFont="1" applyFill="1" applyBorder="1" applyAlignment="1">
      <alignment horizontal="center" vertical="center"/>
    </xf>
    <xf numFmtId="14" fontId="2" fillId="13" borderId="0" xfId="0" applyNumberFormat="1" applyFont="1" applyFill="1" applyAlignment="1">
      <alignment horizontal="center" vertical="center"/>
    </xf>
    <xf numFmtId="14" fontId="2" fillId="6" borderId="0" xfId="0" applyNumberFormat="1" applyFont="1" applyFill="1" applyAlignment="1">
      <alignment horizontal="center" vertical="center"/>
    </xf>
    <xf numFmtId="176" fontId="39" fillId="6" borderId="1" xfId="0" applyNumberFormat="1" applyFont="1" applyFill="1" applyBorder="1" applyAlignment="1">
      <alignment horizontal="center" vertical="center"/>
    </xf>
    <xf numFmtId="178" fontId="7" fillId="2" borderId="11" xfId="0" applyNumberFormat="1" applyFont="1" applyFill="1" applyBorder="1" applyAlignment="1">
      <alignment horizontal="center" vertical="center" wrapText="1"/>
    </xf>
    <xf numFmtId="0" fontId="7" fillId="19" borderId="11" xfId="0" applyFont="1" applyFill="1" applyBorder="1" applyAlignment="1">
      <alignment vertical="center" wrapText="1"/>
    </xf>
    <xf numFmtId="177" fontId="39" fillId="6" borderId="1" xfId="0" applyNumberFormat="1" applyFont="1" applyFill="1" applyBorder="1" applyAlignment="1">
      <alignment horizontal="center" vertical="center"/>
    </xf>
    <xf numFmtId="0" fontId="2" fillId="6" borderId="11" xfId="0" applyFont="1" applyFill="1" applyBorder="1">
      <alignment vertical="center"/>
    </xf>
    <xf numFmtId="0" fontId="2" fillId="19" borderId="10" xfId="0" applyFont="1" applyFill="1" applyBorder="1" applyAlignment="1">
      <alignment horizontal="center" vertical="center"/>
    </xf>
    <xf numFmtId="0" fontId="2" fillId="19" borderId="10" xfId="0" applyFont="1" applyFill="1" applyBorder="1" applyAlignment="1">
      <alignment horizontal="center" vertical="center" wrapText="1"/>
    </xf>
    <xf numFmtId="0" fontId="7" fillId="23" borderId="10" xfId="0" applyFont="1" applyFill="1" applyBorder="1" applyAlignment="1">
      <alignment horizontal="center" vertical="center" wrapText="1"/>
    </xf>
    <xf numFmtId="0" fontId="7" fillId="24" borderId="1" xfId="0" applyFont="1" applyFill="1" applyBorder="1" applyAlignment="1">
      <alignment horizontal="center" vertical="center" wrapText="1"/>
    </xf>
    <xf numFmtId="14" fontId="7" fillId="24" borderId="2" xfId="0" applyNumberFormat="1" applyFont="1" applyFill="1" applyBorder="1" applyAlignment="1">
      <alignment horizontal="center" vertical="center" wrapText="1"/>
    </xf>
    <xf numFmtId="14" fontId="7" fillId="24" borderId="10" xfId="0" applyNumberFormat="1" applyFont="1" applyFill="1" applyBorder="1" applyAlignment="1">
      <alignment horizontal="center" vertical="center" wrapText="1"/>
    </xf>
    <xf numFmtId="14" fontId="7" fillId="24" borderId="11" xfId="0" applyNumberFormat="1" applyFont="1" applyFill="1" applyBorder="1" applyAlignment="1">
      <alignment horizontal="center" vertical="center" wrapText="1"/>
    </xf>
    <xf numFmtId="0" fontId="7" fillId="23" borderId="2" xfId="0" applyFont="1" applyFill="1" applyBorder="1" applyAlignment="1">
      <alignment horizontal="center" vertical="center" wrapText="1"/>
    </xf>
    <xf numFmtId="14" fontId="7" fillId="23" borderId="2" xfId="0" applyNumberFormat="1" applyFont="1" applyFill="1" applyBorder="1" applyAlignment="1">
      <alignment horizontal="center" vertical="center" wrapText="1"/>
    </xf>
    <xf numFmtId="0" fontId="7" fillId="23" borderId="1" xfId="0" applyFont="1" applyFill="1" applyBorder="1" applyAlignment="1">
      <alignment horizontal="center" vertical="center" wrapText="1"/>
    </xf>
    <xf numFmtId="14" fontId="7" fillId="23" borderId="10" xfId="0" applyNumberFormat="1" applyFont="1" applyFill="1" applyBorder="1" applyAlignment="1">
      <alignment horizontal="center" vertical="center" wrapText="1"/>
    </xf>
    <xf numFmtId="0" fontId="7" fillId="25" borderId="10" xfId="0" applyFont="1" applyFill="1" applyBorder="1" applyAlignment="1">
      <alignment horizontal="center" vertical="center" wrapText="1"/>
    </xf>
    <xf numFmtId="14" fontId="7" fillId="25" borderId="10" xfId="0" applyNumberFormat="1" applyFont="1" applyFill="1" applyBorder="1" applyAlignment="1">
      <alignment horizontal="center" vertical="center" wrapText="1"/>
    </xf>
    <xf numFmtId="14" fontId="7" fillId="15" borderId="2" xfId="0" applyNumberFormat="1" applyFont="1" applyFill="1" applyBorder="1" applyAlignment="1">
      <alignment horizontal="center" vertical="center" wrapText="1"/>
    </xf>
    <xf numFmtId="0" fontId="1" fillId="24" borderId="1" xfId="0" applyFont="1" applyFill="1" applyBorder="1" applyAlignment="1">
      <alignment horizontal="center" vertical="center" wrapText="1"/>
    </xf>
    <xf numFmtId="0" fontId="1" fillId="23" borderId="10" xfId="0" applyFont="1" applyFill="1" applyBorder="1" applyAlignment="1">
      <alignment horizontal="center" vertical="center" wrapText="1"/>
    </xf>
    <xf numFmtId="0" fontId="1" fillId="25" borderId="10" xfId="0" applyFont="1" applyFill="1" applyBorder="1" applyAlignment="1">
      <alignment horizontal="center" vertical="center" wrapText="1"/>
    </xf>
    <xf numFmtId="2" fontId="7" fillId="21" borderId="10" xfId="0" applyNumberFormat="1" applyFont="1" applyFill="1" applyBorder="1" applyAlignment="1">
      <alignment horizontal="center" vertical="center" wrapText="1"/>
    </xf>
    <xf numFmtId="2" fontId="7" fillId="22" borderId="10" xfId="0" applyNumberFormat="1" applyFont="1" applyFill="1" applyBorder="1" applyAlignment="1">
      <alignment horizontal="center" vertical="center" wrapText="1"/>
    </xf>
    <xf numFmtId="2" fontId="7" fillId="23" borderId="10" xfId="0" applyNumberFormat="1" applyFont="1" applyFill="1" applyBorder="1" applyAlignment="1">
      <alignment horizontal="center" vertical="center" wrapText="1"/>
    </xf>
    <xf numFmtId="176" fontId="7" fillId="24" borderId="1" xfId="0" applyNumberFormat="1" applyFont="1" applyFill="1" applyBorder="1" applyAlignment="1">
      <alignment horizontal="center" vertical="center" wrapText="1"/>
    </xf>
    <xf numFmtId="2" fontId="7" fillId="23" borderId="1" xfId="0" applyNumberFormat="1" applyFont="1" applyFill="1" applyBorder="1" applyAlignment="1">
      <alignment horizontal="center" vertical="center" wrapText="1"/>
    </xf>
    <xf numFmtId="2" fontId="7" fillId="23" borderId="2" xfId="0" applyNumberFormat="1" applyFont="1" applyFill="1" applyBorder="1" applyAlignment="1">
      <alignment horizontal="center" vertical="center" wrapText="1"/>
    </xf>
    <xf numFmtId="2" fontId="7" fillId="6" borderId="11" xfId="0" applyNumberFormat="1" applyFont="1" applyFill="1" applyBorder="1" applyAlignment="1">
      <alignment horizontal="center" vertical="center" wrapText="1"/>
    </xf>
    <xf numFmtId="2" fontId="7" fillId="25" borderId="10" xfId="0" applyNumberFormat="1" applyFont="1" applyFill="1" applyBorder="1" applyAlignment="1">
      <alignment horizontal="center" vertical="center" wrapText="1"/>
    </xf>
    <xf numFmtId="2" fontId="7" fillId="25" borderId="11" xfId="0" applyNumberFormat="1" applyFont="1" applyFill="1" applyBorder="1" applyAlignment="1">
      <alignment horizontal="center" vertical="center" wrapText="1"/>
    </xf>
    <xf numFmtId="0" fontId="7" fillId="25" borderId="11" xfId="0" applyFont="1" applyFill="1" applyBorder="1" applyAlignment="1">
      <alignment horizontal="center" vertical="center" wrapText="1"/>
    </xf>
    <xf numFmtId="2" fontId="7" fillId="15" borderId="1" xfId="0" applyNumberFormat="1" applyFont="1" applyFill="1" applyBorder="1" applyAlignment="1">
      <alignment horizontal="center" vertical="center" wrapText="1"/>
    </xf>
    <xf numFmtId="2" fontId="2" fillId="21" borderId="1" xfId="0" applyNumberFormat="1" applyFont="1" applyFill="1" applyBorder="1" applyAlignment="1">
      <alignment horizontal="center" vertical="center"/>
    </xf>
    <xf numFmtId="2" fontId="2" fillId="21" borderId="2" xfId="0" applyNumberFormat="1" applyFont="1" applyFill="1" applyBorder="1" applyAlignment="1">
      <alignment horizontal="center" vertical="center"/>
    </xf>
    <xf numFmtId="0" fontId="7" fillId="21" borderId="11" xfId="0" applyFont="1" applyFill="1" applyBorder="1" applyAlignment="1">
      <alignment horizontal="left" vertical="center" wrapText="1"/>
    </xf>
    <xf numFmtId="2" fontId="2" fillId="21" borderId="11" xfId="0" applyNumberFormat="1" applyFont="1" applyFill="1" applyBorder="1" applyAlignment="1">
      <alignment horizontal="center" vertical="center"/>
    </xf>
    <xf numFmtId="2" fontId="2" fillId="22" borderId="2" xfId="0" applyNumberFormat="1" applyFont="1" applyFill="1" applyBorder="1" applyAlignment="1">
      <alignment horizontal="center" vertical="center"/>
    </xf>
    <xf numFmtId="2" fontId="2" fillId="22" borderId="11" xfId="0" applyNumberFormat="1" applyFont="1" applyFill="1" applyBorder="1" applyAlignment="1">
      <alignment horizontal="center" vertical="center"/>
    </xf>
    <xf numFmtId="2" fontId="2" fillId="22" borderId="1" xfId="0" applyNumberFormat="1" applyFont="1" applyFill="1" applyBorder="1" applyAlignment="1">
      <alignment horizontal="center" vertical="center"/>
    </xf>
    <xf numFmtId="0" fontId="7" fillId="23" borderId="1" xfId="0" applyFont="1" applyFill="1" applyBorder="1" applyAlignment="1">
      <alignment horizontal="left" vertical="center" wrapText="1"/>
    </xf>
    <xf numFmtId="2" fontId="2" fillId="23" borderId="1" xfId="0" applyNumberFormat="1" applyFont="1" applyFill="1" applyBorder="1" applyAlignment="1">
      <alignment horizontal="center" vertical="center"/>
    </xf>
    <xf numFmtId="0" fontId="7" fillId="23" borderId="2" xfId="0" applyFont="1" applyFill="1" applyBorder="1" applyAlignment="1">
      <alignment horizontal="left" vertical="center" wrapText="1"/>
    </xf>
    <xf numFmtId="2" fontId="7" fillId="23" borderId="2" xfId="0" applyNumberFormat="1" applyFont="1" applyFill="1" applyBorder="1" applyAlignment="1">
      <alignment horizontal="center" vertical="center"/>
    </xf>
    <xf numFmtId="2" fontId="7" fillId="11" borderId="2" xfId="0" applyNumberFormat="1" applyFont="1" applyFill="1" applyBorder="1" applyAlignment="1">
      <alignment horizontal="center" vertical="center"/>
    </xf>
    <xf numFmtId="2" fontId="7" fillId="11" borderId="10" xfId="0" applyNumberFormat="1" applyFont="1" applyFill="1" applyBorder="1" applyAlignment="1">
      <alignment horizontal="center" vertical="center"/>
    </xf>
    <xf numFmtId="0" fontId="2" fillId="24" borderId="2" xfId="0" applyFont="1" applyFill="1" applyBorder="1" applyAlignment="1">
      <alignment horizontal="center" vertical="center" wrapText="1"/>
    </xf>
    <xf numFmtId="0" fontId="7" fillId="24" borderId="2" xfId="0" applyFont="1" applyFill="1" applyBorder="1" applyAlignment="1">
      <alignment horizontal="center" vertical="center" wrapText="1"/>
    </xf>
    <xf numFmtId="2" fontId="7" fillId="24" borderId="2" xfId="0" applyNumberFormat="1" applyFont="1" applyFill="1" applyBorder="1" applyAlignment="1">
      <alignment horizontal="center" vertical="center"/>
    </xf>
    <xf numFmtId="0" fontId="2" fillId="24" borderId="11" xfId="0" applyFont="1" applyFill="1" applyBorder="1" applyAlignment="1">
      <alignment horizontal="center" vertical="center" wrapText="1"/>
    </xf>
    <xf numFmtId="0" fontId="7" fillId="24" borderId="11" xfId="0" applyFont="1" applyFill="1" applyBorder="1" applyAlignment="1">
      <alignment horizontal="center" vertical="center" wrapText="1"/>
    </xf>
    <xf numFmtId="2" fontId="7" fillId="24" borderId="11" xfId="0" applyNumberFormat="1" applyFont="1" applyFill="1" applyBorder="1" applyAlignment="1">
      <alignment horizontal="center" vertical="center"/>
    </xf>
    <xf numFmtId="2" fontId="7" fillId="21" borderId="10" xfId="0" applyNumberFormat="1" applyFont="1" applyFill="1" applyBorder="1" applyAlignment="1">
      <alignment horizontal="center" vertical="center"/>
    </xf>
    <xf numFmtId="2" fontId="7" fillId="21" borderId="11" xfId="0" applyNumberFormat="1" applyFont="1" applyFill="1" applyBorder="1" applyAlignment="1">
      <alignment horizontal="center" vertical="center"/>
    </xf>
    <xf numFmtId="0" fontId="2" fillId="24" borderId="1" xfId="0" applyFont="1" applyFill="1" applyBorder="1" applyAlignment="1">
      <alignment horizontal="center" vertical="center" wrapText="1"/>
    </xf>
    <xf numFmtId="2" fontId="7" fillId="24" borderId="1" xfId="0" applyNumberFormat="1" applyFont="1" applyFill="1" applyBorder="1" applyAlignment="1">
      <alignment horizontal="center" vertical="center"/>
    </xf>
    <xf numFmtId="0" fontId="7" fillId="24" borderId="11" xfId="0" applyFont="1" applyFill="1" applyBorder="1" applyAlignment="1">
      <alignment vertical="center" wrapText="1"/>
    </xf>
    <xf numFmtId="0" fontId="7" fillId="23" borderId="1" xfId="0" applyFont="1" applyFill="1" applyBorder="1" applyAlignment="1">
      <alignment vertical="center" wrapText="1"/>
    </xf>
    <xf numFmtId="9" fontId="7" fillId="23" borderId="1" xfId="0" applyNumberFormat="1" applyFont="1" applyFill="1" applyBorder="1" applyAlignment="1">
      <alignment horizontal="center" vertical="center" wrapText="1"/>
    </xf>
    <xf numFmtId="2" fontId="7" fillId="23" borderId="1" xfId="0" applyNumberFormat="1" applyFont="1" applyFill="1" applyBorder="1" applyAlignment="1">
      <alignment horizontal="center" vertical="center"/>
    </xf>
    <xf numFmtId="9" fontId="7" fillId="23" borderId="2" xfId="0" applyNumberFormat="1" applyFont="1" applyFill="1" applyBorder="1" applyAlignment="1">
      <alignment horizontal="center" vertical="center" wrapText="1"/>
    </xf>
    <xf numFmtId="0" fontId="7" fillId="23" borderId="11" xfId="0" applyFont="1" applyFill="1" applyBorder="1" applyAlignment="1">
      <alignment horizontal="center" vertical="center" wrapText="1"/>
    </xf>
    <xf numFmtId="0" fontId="7" fillId="23" borderId="11" xfId="0" applyFont="1" applyFill="1" applyBorder="1" applyAlignment="1">
      <alignment vertical="center" wrapText="1"/>
    </xf>
    <xf numFmtId="9" fontId="7" fillId="23" borderId="11" xfId="0" applyNumberFormat="1" applyFont="1" applyFill="1" applyBorder="1" applyAlignment="1">
      <alignment horizontal="center" vertical="center" wrapText="1"/>
    </xf>
    <xf numFmtId="2" fontId="7" fillId="23" borderId="11" xfId="0" applyNumberFormat="1" applyFont="1" applyFill="1" applyBorder="1" applyAlignment="1">
      <alignment horizontal="center" vertical="center"/>
    </xf>
    <xf numFmtId="0" fontId="40" fillId="5" borderId="10" xfId="0" applyFont="1" applyFill="1" applyBorder="1" applyAlignment="1">
      <alignment horizontal="center" vertical="center" wrapText="1"/>
    </xf>
    <xf numFmtId="2" fontId="7" fillId="5" borderId="2" xfId="0" applyNumberFormat="1" applyFont="1" applyFill="1" applyBorder="1" applyAlignment="1">
      <alignment horizontal="center" vertical="center"/>
    </xf>
    <xf numFmtId="2" fontId="7" fillId="5" borderId="10" xfId="0" applyNumberFormat="1" applyFont="1" applyFill="1" applyBorder="1" applyAlignment="1">
      <alignment horizontal="center" vertical="center"/>
    </xf>
    <xf numFmtId="0" fontId="40" fillId="5" borderId="2"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40" fillId="6" borderId="1" xfId="0" applyFont="1" applyFill="1" applyBorder="1" applyAlignment="1">
      <alignment horizontal="center" vertical="center" wrapText="1"/>
    </xf>
    <xf numFmtId="0" fontId="40" fillId="5" borderId="11" xfId="0" applyFont="1" applyFill="1" applyBorder="1" applyAlignment="1">
      <alignment horizontal="center" vertical="center" wrapText="1"/>
    </xf>
    <xf numFmtId="0" fontId="7" fillId="5" borderId="11" xfId="0" applyFont="1" applyFill="1" applyBorder="1" applyAlignment="1">
      <alignment vertical="center" wrapText="1"/>
    </xf>
    <xf numFmtId="9" fontId="7" fillId="5" borderId="11" xfId="0" applyNumberFormat="1" applyFont="1" applyFill="1" applyBorder="1" applyAlignment="1">
      <alignment horizontal="center" vertical="center" wrapText="1"/>
    </xf>
    <xf numFmtId="0" fontId="40" fillId="5" borderId="1" xfId="0" applyFont="1" applyFill="1" applyBorder="1" applyAlignment="1">
      <alignment horizontal="center" vertical="center" wrapText="1"/>
    </xf>
    <xf numFmtId="0" fontId="7" fillId="5" borderId="1" xfId="0" applyFont="1" applyFill="1" applyBorder="1" applyAlignment="1">
      <alignment vertical="center" wrapText="1"/>
    </xf>
    <xf numFmtId="0" fontId="40" fillId="25" borderId="1" xfId="0" applyFont="1" applyFill="1" applyBorder="1" applyAlignment="1">
      <alignment horizontal="center" vertical="center" wrapText="1"/>
    </xf>
    <xf numFmtId="0" fontId="7" fillId="25" borderId="1" xfId="0" applyFont="1" applyFill="1" applyBorder="1" applyAlignment="1">
      <alignment vertical="center" wrapText="1"/>
    </xf>
    <xf numFmtId="9" fontId="7" fillId="25" borderId="1" xfId="0" applyNumberFormat="1" applyFont="1" applyFill="1" applyBorder="1" applyAlignment="1">
      <alignment horizontal="center" vertical="center" wrapText="1"/>
    </xf>
    <xf numFmtId="2" fontId="7" fillId="25" borderId="1" xfId="0" applyNumberFormat="1" applyFont="1" applyFill="1" applyBorder="1" applyAlignment="1">
      <alignment horizontal="center" vertical="center"/>
    </xf>
    <xf numFmtId="9" fontId="7" fillId="25" borderId="2" xfId="0" applyNumberFormat="1" applyFont="1" applyFill="1" applyBorder="1" applyAlignment="1">
      <alignment horizontal="center" vertical="center" wrapText="1"/>
    </xf>
    <xf numFmtId="2" fontId="7" fillId="25" borderId="2" xfId="0" applyNumberFormat="1" applyFont="1" applyFill="1" applyBorder="1" applyAlignment="1">
      <alignment horizontal="center" vertical="center"/>
    </xf>
    <xf numFmtId="9" fontId="7" fillId="15" borderId="1" xfId="0" applyNumberFormat="1" applyFont="1" applyFill="1" applyBorder="1" applyAlignment="1">
      <alignment horizontal="center" vertical="center" wrapText="1"/>
    </xf>
    <xf numFmtId="2" fontId="7" fillId="15" borderId="1" xfId="0" applyNumberFormat="1" applyFont="1" applyFill="1" applyBorder="1" applyAlignment="1">
      <alignment horizontal="center" vertical="center"/>
    </xf>
    <xf numFmtId="176" fontId="8" fillId="21" borderId="1" xfId="0" applyNumberFormat="1" applyFont="1" applyFill="1" applyBorder="1" applyAlignment="1">
      <alignment horizontal="center" vertical="center"/>
    </xf>
    <xf numFmtId="0" fontId="8" fillId="21" borderId="1" xfId="0" applyFont="1" applyFill="1" applyBorder="1" applyAlignment="1">
      <alignment horizontal="center" vertical="center"/>
    </xf>
    <xf numFmtId="177" fontId="8" fillId="21" borderId="1" xfId="0" applyNumberFormat="1" applyFont="1" applyFill="1" applyBorder="1" applyAlignment="1">
      <alignment horizontal="center" vertical="center"/>
    </xf>
    <xf numFmtId="176" fontId="7" fillId="21" borderId="1" xfId="0" applyNumberFormat="1" applyFont="1" applyFill="1" applyBorder="1" applyAlignment="1">
      <alignment horizontal="center" vertical="center"/>
    </xf>
    <xf numFmtId="2" fontId="7" fillId="21" borderId="1" xfId="0" applyNumberFormat="1" applyFont="1" applyFill="1" applyBorder="1" applyAlignment="1">
      <alignment horizontal="center" vertical="center"/>
    </xf>
    <xf numFmtId="177" fontId="7" fillId="21" borderId="1" xfId="0" applyNumberFormat="1" applyFont="1" applyFill="1" applyBorder="1" applyAlignment="1">
      <alignment horizontal="center" vertical="center"/>
    </xf>
    <xf numFmtId="2" fontId="11" fillId="21" borderId="1" xfId="0" applyNumberFormat="1" applyFont="1" applyFill="1" applyBorder="1" applyAlignment="1">
      <alignment horizontal="center" vertical="center"/>
    </xf>
    <xf numFmtId="2" fontId="7" fillId="22" borderId="1" xfId="0" applyNumberFormat="1" applyFont="1" applyFill="1" applyBorder="1" applyAlignment="1">
      <alignment horizontal="center" vertical="center"/>
    </xf>
    <xf numFmtId="2" fontId="11" fillId="22" borderId="1" xfId="0" applyNumberFormat="1" applyFont="1" applyFill="1" applyBorder="1" applyAlignment="1">
      <alignment horizontal="center" vertical="center"/>
    </xf>
    <xf numFmtId="0" fontId="7" fillId="23" borderId="1" xfId="0" applyFont="1" applyFill="1" applyBorder="1" applyAlignment="1">
      <alignment horizontal="center" vertical="center"/>
    </xf>
    <xf numFmtId="177" fontId="7" fillId="23" borderId="1" xfId="0" applyNumberFormat="1" applyFont="1" applyFill="1" applyBorder="1" applyAlignment="1">
      <alignment horizontal="center" vertical="center"/>
    </xf>
    <xf numFmtId="2" fontId="7" fillId="11" borderId="11" xfId="0" applyNumberFormat="1" applyFont="1" applyFill="1" applyBorder="1" applyAlignment="1">
      <alignment horizontal="center" vertical="center"/>
    </xf>
    <xf numFmtId="0" fontId="11" fillId="11" borderId="11" xfId="0" applyFont="1" applyFill="1" applyBorder="1" applyAlignment="1">
      <alignment horizontal="center" vertical="center"/>
    </xf>
    <xf numFmtId="0" fontId="8" fillId="24" borderId="1" xfId="0" applyFont="1" applyFill="1" applyBorder="1" applyAlignment="1">
      <alignment horizontal="center" vertical="center"/>
    </xf>
    <xf numFmtId="0" fontId="7" fillId="24" borderId="1" xfId="0" applyFont="1" applyFill="1" applyBorder="1" applyAlignment="1">
      <alignment horizontal="center" vertical="center"/>
    </xf>
    <xf numFmtId="177" fontId="7" fillId="24" borderId="1" xfId="0" applyNumberFormat="1" applyFont="1" applyFill="1" applyBorder="1" applyAlignment="1">
      <alignment horizontal="center" vertical="center"/>
    </xf>
    <xf numFmtId="177" fontId="7" fillId="36" borderId="11" xfId="0" applyNumberFormat="1" applyFont="1" applyFill="1" applyBorder="1" applyAlignment="1">
      <alignment horizontal="center" vertical="center"/>
    </xf>
    <xf numFmtId="178" fontId="8" fillId="24" borderId="1" xfId="0" applyNumberFormat="1" applyFont="1" applyFill="1" applyBorder="1" applyAlignment="1">
      <alignment horizontal="center" vertical="center"/>
    </xf>
    <xf numFmtId="178" fontId="7" fillId="24" borderId="1" xfId="0" applyNumberFormat="1" applyFont="1" applyFill="1" applyBorder="1" applyAlignment="1">
      <alignment horizontal="center" vertical="center"/>
    </xf>
    <xf numFmtId="178" fontId="8" fillId="24" borderId="11" xfId="0" applyNumberFormat="1" applyFont="1" applyFill="1" applyBorder="1" applyAlignment="1">
      <alignment horizontal="center" vertical="center"/>
    </xf>
    <xf numFmtId="178" fontId="7" fillId="24" borderId="11" xfId="0" applyNumberFormat="1" applyFont="1" applyFill="1" applyBorder="1" applyAlignment="1">
      <alignment horizontal="center" vertical="center"/>
    </xf>
    <xf numFmtId="177" fontId="7" fillId="24" borderId="11" xfId="0" applyNumberFormat="1" applyFont="1" applyFill="1" applyBorder="1" applyAlignment="1">
      <alignment horizontal="center" vertical="center"/>
    </xf>
    <xf numFmtId="0" fontId="8" fillId="24" borderId="11" xfId="0" applyFont="1" applyFill="1" applyBorder="1" applyAlignment="1">
      <alignment horizontal="center" vertical="center"/>
    </xf>
    <xf numFmtId="0" fontId="7" fillId="24" borderId="11" xfId="0" applyFont="1" applyFill="1" applyBorder="1" applyAlignment="1">
      <alignment horizontal="center" vertical="center"/>
    </xf>
    <xf numFmtId="177" fontId="7" fillId="9" borderId="1" xfId="0" applyNumberFormat="1" applyFont="1" applyFill="1" applyBorder="1" applyAlignment="1">
      <alignment horizontal="center" vertical="center"/>
    </xf>
    <xf numFmtId="0" fontId="11" fillId="9" borderId="1" xfId="0" applyFont="1" applyFill="1" applyBorder="1" applyAlignment="1">
      <alignment horizontal="center" vertical="center"/>
    </xf>
    <xf numFmtId="177" fontId="11" fillId="9" borderId="1" xfId="0" applyNumberFormat="1" applyFont="1" applyFill="1" applyBorder="1" applyAlignment="1">
      <alignment horizontal="center" vertical="center"/>
    </xf>
    <xf numFmtId="0" fontId="11" fillId="24" borderId="1" xfId="0" applyFont="1" applyFill="1" applyBorder="1" applyAlignment="1">
      <alignment horizontal="center" vertical="center"/>
    </xf>
    <xf numFmtId="177" fontId="11" fillId="24" borderId="1" xfId="0" applyNumberFormat="1" applyFont="1" applyFill="1" applyBorder="1" applyAlignment="1">
      <alignment horizontal="center" vertical="center"/>
    </xf>
    <xf numFmtId="0" fontId="1" fillId="24" borderId="1" xfId="0" applyFont="1" applyFill="1" applyBorder="1">
      <alignment vertical="center"/>
    </xf>
    <xf numFmtId="0" fontId="18" fillId="23" borderId="1" xfId="0" applyFont="1" applyFill="1" applyBorder="1" applyAlignment="1">
      <alignment horizontal="center" vertical="center"/>
    </xf>
    <xf numFmtId="14" fontId="7" fillId="23" borderId="1" xfId="0" applyNumberFormat="1" applyFont="1" applyFill="1" applyBorder="1" applyAlignment="1">
      <alignment horizontal="center" vertical="center"/>
    </xf>
    <xf numFmtId="0" fontId="3" fillId="23" borderId="1" xfId="0" applyFont="1" applyFill="1" applyBorder="1" applyAlignment="1">
      <alignment horizontal="center" vertical="center"/>
    </xf>
    <xf numFmtId="0" fontId="7" fillId="23" borderId="11" xfId="0" applyFont="1" applyFill="1" applyBorder="1" applyAlignment="1">
      <alignment horizontal="center" vertical="center"/>
    </xf>
    <xf numFmtId="177" fontId="7" fillId="23" borderId="11" xfId="0" applyNumberFormat="1" applyFont="1" applyFill="1" applyBorder="1" applyAlignment="1">
      <alignment horizontal="center" vertical="center"/>
    </xf>
    <xf numFmtId="2" fontId="7" fillId="25" borderId="11" xfId="0" applyNumberFormat="1" applyFont="1" applyFill="1" applyBorder="1" applyAlignment="1">
      <alignment horizontal="center" vertical="center"/>
    </xf>
    <xf numFmtId="0" fontId="7" fillId="25" borderId="11" xfId="0" applyFont="1" applyFill="1" applyBorder="1" applyAlignment="1">
      <alignment horizontal="center" vertical="center"/>
    </xf>
    <xf numFmtId="177" fontId="7" fillId="25" borderId="11" xfId="0" applyNumberFormat="1" applyFont="1" applyFill="1" applyBorder="1" applyAlignment="1">
      <alignment horizontal="center" vertical="center"/>
    </xf>
    <xf numFmtId="0" fontId="7" fillId="25" borderId="1" xfId="0" applyFont="1" applyFill="1" applyBorder="1" applyAlignment="1">
      <alignment horizontal="center" vertical="center"/>
    </xf>
    <xf numFmtId="0" fontId="7" fillId="25" borderId="10" xfId="0" applyFont="1" applyFill="1" applyBorder="1" applyAlignment="1">
      <alignment horizontal="center" vertical="center"/>
    </xf>
    <xf numFmtId="177" fontId="11" fillId="25" borderId="11" xfId="0" applyNumberFormat="1" applyFont="1" applyFill="1" applyBorder="1" applyAlignment="1">
      <alignment horizontal="center" vertical="center"/>
    </xf>
    <xf numFmtId="2" fontId="8" fillId="15" borderId="1" xfId="0" applyNumberFormat="1" applyFont="1" applyFill="1" applyBorder="1" applyAlignment="1">
      <alignment horizontal="center" vertical="center"/>
    </xf>
    <xf numFmtId="176" fontId="8" fillId="22" borderId="1" xfId="0" applyNumberFormat="1" applyFont="1" applyFill="1" applyBorder="1" applyAlignment="1">
      <alignment horizontal="center" vertical="center"/>
    </xf>
    <xf numFmtId="0" fontId="2" fillId="23" borderId="1" xfId="0" applyFont="1" applyFill="1" applyBorder="1" applyAlignment="1">
      <alignment horizontal="center" vertical="center"/>
    </xf>
    <xf numFmtId="176" fontId="7" fillId="23" borderId="1" xfId="0" applyNumberFormat="1" applyFont="1" applyFill="1" applyBorder="1" applyAlignment="1">
      <alignment horizontal="center" vertical="center"/>
    </xf>
    <xf numFmtId="176" fontId="7" fillId="11" borderId="10" xfId="0" applyNumberFormat="1" applyFont="1" applyFill="1" applyBorder="1" applyAlignment="1">
      <alignment horizontal="center" vertical="center"/>
    </xf>
    <xf numFmtId="176" fontId="15" fillId="11" borderId="1" xfId="0" applyNumberFormat="1" applyFont="1" applyFill="1" applyBorder="1" applyAlignment="1">
      <alignment horizontal="center" vertical="center"/>
    </xf>
    <xf numFmtId="176" fontId="11" fillId="11" borderId="1" xfId="0" applyNumberFormat="1" applyFont="1" applyFill="1" applyBorder="1" applyAlignment="1">
      <alignment horizontal="center" vertical="center"/>
    </xf>
    <xf numFmtId="176" fontId="7" fillId="24" borderId="1" xfId="0" applyNumberFormat="1" applyFont="1" applyFill="1" applyBorder="1" applyAlignment="1">
      <alignment horizontal="center" vertical="center"/>
    </xf>
    <xf numFmtId="176" fontId="7" fillId="36" borderId="11" xfId="0" applyNumberFormat="1" applyFont="1" applyFill="1" applyBorder="1" applyAlignment="1">
      <alignment horizontal="center" vertical="center"/>
    </xf>
    <xf numFmtId="176" fontId="7" fillId="24" borderId="11" xfId="0" applyNumberFormat="1" applyFont="1" applyFill="1" applyBorder="1" applyAlignment="1">
      <alignment horizontal="center" vertical="center"/>
    </xf>
    <xf numFmtId="0" fontId="2" fillId="24" borderId="1" xfId="0" applyFont="1" applyFill="1" applyBorder="1" applyAlignment="1">
      <alignment horizontal="center" vertical="center"/>
    </xf>
    <xf numFmtId="176" fontId="2" fillId="24" borderId="1" xfId="0" applyNumberFormat="1" applyFont="1" applyFill="1" applyBorder="1" applyAlignment="1">
      <alignment horizontal="center" vertical="center"/>
    </xf>
    <xf numFmtId="14" fontId="7" fillId="9" borderId="1" xfId="0" applyNumberFormat="1" applyFont="1" applyFill="1" applyBorder="1" applyAlignment="1">
      <alignment horizontal="center" vertical="center"/>
    </xf>
    <xf numFmtId="0" fontId="2" fillId="9" borderId="1" xfId="0" applyFont="1" applyFill="1" applyBorder="1" applyAlignment="1">
      <alignment horizontal="center" vertical="center"/>
    </xf>
    <xf numFmtId="14" fontId="2" fillId="9" borderId="1" xfId="0" applyNumberFormat="1" applyFont="1" applyFill="1" applyBorder="1" applyAlignment="1">
      <alignment horizontal="center" vertical="center"/>
    </xf>
    <xf numFmtId="14" fontId="2" fillId="24" borderId="1" xfId="0" applyNumberFormat="1" applyFont="1" applyFill="1" applyBorder="1" applyAlignment="1">
      <alignment horizontal="center" vertical="center"/>
    </xf>
    <xf numFmtId="176" fontId="3" fillId="23" borderId="1" xfId="0" applyNumberFormat="1" applyFont="1" applyFill="1" applyBorder="1" applyAlignment="1">
      <alignment horizontal="center" vertical="center"/>
    </xf>
    <xf numFmtId="0" fontId="2" fillId="23" borderId="10" xfId="0" applyFont="1" applyFill="1" applyBorder="1" applyAlignment="1">
      <alignment horizontal="center" vertical="center"/>
    </xf>
    <xf numFmtId="14" fontId="2" fillId="23" borderId="10" xfId="0" applyNumberFormat="1" applyFont="1" applyFill="1" applyBorder="1" applyAlignment="1">
      <alignment horizontal="center" vertical="center"/>
    </xf>
    <xf numFmtId="176" fontId="2" fillId="23" borderId="11" xfId="0" applyNumberFormat="1" applyFont="1" applyFill="1" applyBorder="1" applyAlignment="1">
      <alignment horizontal="center" vertical="center"/>
    </xf>
    <xf numFmtId="14" fontId="2" fillId="23" borderId="1" xfId="0" applyNumberFormat="1" applyFont="1" applyFill="1" applyBorder="1" applyAlignment="1">
      <alignment horizontal="center" vertical="center"/>
    </xf>
    <xf numFmtId="0" fontId="2" fillId="23" borderId="11" xfId="0" applyFont="1" applyFill="1" applyBorder="1" applyAlignment="1">
      <alignment horizontal="center" vertical="center"/>
    </xf>
    <xf numFmtId="176" fontId="7" fillId="23" borderId="11" xfId="0" applyNumberFormat="1" applyFont="1" applyFill="1" applyBorder="1" applyAlignment="1">
      <alignment horizontal="center" vertical="center"/>
    </xf>
    <xf numFmtId="176" fontId="7" fillId="5" borderId="11" xfId="0" applyNumberFormat="1" applyFont="1" applyFill="1" applyBorder="1" applyAlignment="1">
      <alignment horizontal="center" vertical="center"/>
    </xf>
    <xf numFmtId="176" fontId="7" fillId="5" borderId="10" xfId="0" applyNumberFormat="1" applyFont="1" applyFill="1" applyBorder="1" applyAlignment="1">
      <alignment horizontal="center" vertical="center"/>
    </xf>
    <xf numFmtId="14" fontId="2" fillId="25" borderId="11" xfId="0" applyNumberFormat="1" applyFont="1" applyFill="1" applyBorder="1" applyAlignment="1">
      <alignment horizontal="center" vertical="center"/>
    </xf>
    <xf numFmtId="176" fontId="7" fillId="25" borderId="11" xfId="0" applyNumberFormat="1" applyFont="1" applyFill="1" applyBorder="1" applyAlignment="1">
      <alignment horizontal="center" vertical="center"/>
    </xf>
    <xf numFmtId="176" fontId="8" fillId="25" borderId="1" xfId="0" applyNumberFormat="1" applyFont="1" applyFill="1" applyBorder="1" applyAlignment="1">
      <alignment horizontal="center" vertical="center"/>
    </xf>
    <xf numFmtId="0" fontId="2" fillId="25" borderId="1" xfId="0" applyFont="1" applyFill="1" applyBorder="1" applyAlignment="1">
      <alignment horizontal="center" vertical="center"/>
    </xf>
    <xf numFmtId="14" fontId="2" fillId="25" borderId="1" xfId="0" applyNumberFormat="1" applyFont="1" applyFill="1" applyBorder="1" applyAlignment="1">
      <alignment horizontal="center" vertical="center"/>
    </xf>
    <xf numFmtId="176" fontId="11" fillId="25" borderId="11" xfId="0" applyNumberFormat="1" applyFont="1" applyFill="1" applyBorder="1" applyAlignment="1">
      <alignment horizontal="center" vertical="center"/>
    </xf>
    <xf numFmtId="177" fontId="7" fillId="25" borderId="10" xfId="0" applyNumberFormat="1" applyFont="1" applyFill="1" applyBorder="1" applyAlignment="1">
      <alignment horizontal="center" vertical="center"/>
    </xf>
    <xf numFmtId="0" fontId="2" fillId="25" borderId="10" xfId="0" applyFont="1" applyFill="1" applyBorder="1" applyAlignment="1">
      <alignment horizontal="center" vertical="center"/>
    </xf>
    <xf numFmtId="14" fontId="2" fillId="25" borderId="10" xfId="0" applyNumberFormat="1" applyFont="1" applyFill="1" applyBorder="1" applyAlignment="1">
      <alignment horizontal="center" vertical="center"/>
    </xf>
    <xf numFmtId="176" fontId="7" fillId="25" borderId="10" xfId="0" applyNumberFormat="1" applyFont="1" applyFill="1" applyBorder="1" applyAlignment="1">
      <alignment horizontal="center" vertical="center"/>
    </xf>
    <xf numFmtId="176" fontId="7" fillId="15" borderId="1" xfId="0" applyNumberFormat="1" applyFont="1" applyFill="1" applyBorder="1" applyAlignment="1">
      <alignment horizontal="center" vertical="center"/>
    </xf>
    <xf numFmtId="0" fontId="7" fillId="22" borderId="11" xfId="0" applyFont="1" applyFill="1" applyBorder="1" applyAlignment="1">
      <alignment vertical="center" wrapText="1"/>
    </xf>
    <xf numFmtId="0" fontId="7" fillId="11" borderId="11" xfId="0" applyFont="1" applyFill="1" applyBorder="1" applyAlignment="1">
      <alignment vertical="center" wrapText="1"/>
    </xf>
    <xf numFmtId="0" fontId="7" fillId="11" borderId="11" xfId="0" applyFont="1" applyFill="1" applyBorder="1">
      <alignment vertical="center"/>
    </xf>
    <xf numFmtId="178" fontId="7" fillId="36" borderId="11" xfId="0" applyNumberFormat="1" applyFont="1" applyFill="1" applyBorder="1" applyAlignment="1">
      <alignment horizontal="center" vertical="center"/>
    </xf>
    <xf numFmtId="0" fontId="2" fillId="24" borderId="11" xfId="0" applyFont="1" applyFill="1" applyBorder="1">
      <alignment vertical="center"/>
    </xf>
    <xf numFmtId="0" fontId="2" fillId="21" borderId="11" xfId="0" applyFont="1" applyFill="1" applyBorder="1">
      <alignment vertical="center"/>
    </xf>
    <xf numFmtId="178" fontId="7" fillId="9" borderId="11" xfId="0" applyNumberFormat="1" applyFont="1" applyFill="1" applyBorder="1" applyAlignment="1">
      <alignment horizontal="center" vertical="center"/>
    </xf>
    <xf numFmtId="178" fontId="7" fillId="23" borderId="11" xfId="0" applyNumberFormat="1" applyFont="1" applyFill="1" applyBorder="1" applyAlignment="1">
      <alignment horizontal="center" vertical="center"/>
    </xf>
    <xf numFmtId="0" fontId="2" fillId="23" borderId="11" xfId="0" applyFont="1" applyFill="1" applyBorder="1">
      <alignment vertical="center"/>
    </xf>
    <xf numFmtId="178" fontId="7" fillId="5" borderId="11" xfId="0" applyNumberFormat="1" applyFont="1" applyFill="1" applyBorder="1" applyAlignment="1">
      <alignment horizontal="center" vertical="center" wrapText="1"/>
    </xf>
    <xf numFmtId="178" fontId="7" fillId="25" borderId="11" xfId="0" applyNumberFormat="1" applyFont="1" applyFill="1" applyBorder="1" applyAlignment="1">
      <alignment horizontal="center" vertical="center"/>
    </xf>
    <xf numFmtId="0" fontId="2" fillId="25" borderId="11" xfId="0" applyFont="1" applyFill="1" applyBorder="1">
      <alignment vertical="center"/>
    </xf>
    <xf numFmtId="178" fontId="7" fillId="25" borderId="10" xfId="0" applyNumberFormat="1" applyFont="1" applyFill="1" applyBorder="1" applyAlignment="1">
      <alignment horizontal="center" vertical="center"/>
    </xf>
    <xf numFmtId="0" fontId="2" fillId="25" borderId="10" xfId="0" applyFont="1" applyFill="1" applyBorder="1">
      <alignment vertical="center"/>
    </xf>
    <xf numFmtId="178" fontId="7" fillId="15" borderId="1" xfId="0" applyNumberFormat="1" applyFont="1" applyFill="1" applyBorder="1" applyAlignment="1">
      <alignment horizontal="center" vertical="center"/>
    </xf>
    <xf numFmtId="0" fontId="2" fillId="15" borderId="1" xfId="0" applyFont="1" applyFill="1" applyBorder="1">
      <alignment vertical="center"/>
    </xf>
    <xf numFmtId="0" fontId="2" fillId="22" borderId="10" xfId="0" applyFont="1" applyFill="1" applyBorder="1" applyAlignment="1">
      <alignment horizontal="center" vertical="center"/>
    </xf>
    <xf numFmtId="0" fontId="2" fillId="24" borderId="10" xfId="0" applyFont="1" applyFill="1" applyBorder="1" applyAlignment="1">
      <alignment horizontal="center" vertical="center"/>
    </xf>
    <xf numFmtId="0" fontId="7" fillId="6" borderId="11" xfId="0" applyFont="1" applyFill="1" applyBorder="1">
      <alignment vertical="center"/>
    </xf>
    <xf numFmtId="0" fontId="2" fillId="22" borderId="10" xfId="0" applyFont="1" applyFill="1" applyBorder="1" applyAlignment="1">
      <alignment horizontal="center" vertical="center" wrapText="1"/>
    </xf>
    <xf numFmtId="0" fontId="2" fillId="23" borderId="10"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 fillId="25" borderId="10" xfId="0" applyFont="1" applyFill="1" applyBorder="1" applyAlignment="1">
      <alignment horizontal="center" vertical="center" wrapText="1"/>
    </xf>
    <xf numFmtId="14" fontId="7" fillId="15" borderId="10" xfId="0" applyNumberFormat="1" applyFont="1" applyFill="1" applyBorder="1" applyAlignment="1">
      <alignment horizontal="center" vertical="center" wrapText="1"/>
    </xf>
    <xf numFmtId="0" fontId="14" fillId="0" borderId="11" xfId="0" applyFont="1" applyFill="1" applyBorder="1" applyAlignment="1">
      <alignment horizontal="center" vertical="center"/>
    </xf>
    <xf numFmtId="49" fontId="3" fillId="0" borderId="1" xfId="0" applyNumberFormat="1" applyFont="1" applyFill="1" applyBorder="1" applyAlignment="1">
      <alignment horizontal="center" vertical="center" wrapText="1"/>
    </xf>
    <xf numFmtId="49" fontId="3" fillId="3" borderId="10" xfId="0" applyNumberFormat="1" applyFont="1" applyFill="1" applyBorder="1" applyAlignment="1">
      <alignment horizontal="center" vertical="center" wrapText="1"/>
    </xf>
    <xf numFmtId="49" fontId="3" fillId="3" borderId="11" xfId="0" applyNumberFormat="1" applyFont="1" applyFill="1" applyBorder="1" applyAlignment="1">
      <alignment horizontal="center" vertical="center" wrapText="1"/>
    </xf>
    <xf numFmtId="0" fontId="3" fillId="3" borderId="2" xfId="0" applyFont="1" applyFill="1" applyBorder="1" applyAlignment="1">
      <alignment horizontal="center" vertical="center"/>
    </xf>
    <xf numFmtId="0" fontId="3" fillId="3" borderId="10"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wrapText="1"/>
    </xf>
    <xf numFmtId="0" fontId="3" fillId="3" borderId="11" xfId="0" applyFont="1" applyFill="1" applyBorder="1" applyAlignment="1">
      <alignment horizontal="center" vertical="center"/>
    </xf>
    <xf numFmtId="2" fontId="7" fillId="15" borderId="2" xfId="0" applyNumberFormat="1" applyFont="1" applyFill="1" applyBorder="1" applyAlignment="1">
      <alignment horizontal="center" vertical="center" wrapText="1"/>
    </xf>
    <xf numFmtId="2" fontId="7" fillId="14" borderId="2" xfId="0" applyNumberFormat="1" applyFont="1" applyFill="1" applyBorder="1" applyAlignment="1">
      <alignment horizontal="center" vertical="center" wrapText="1"/>
    </xf>
    <xf numFmtId="2" fontId="7" fillId="14" borderId="10" xfId="0" applyNumberFormat="1" applyFont="1" applyFill="1" applyBorder="1" applyAlignment="1">
      <alignment horizontal="center" vertical="center" wrapText="1"/>
    </xf>
    <xf numFmtId="0" fontId="7" fillId="15" borderId="2" xfId="0" applyFont="1" applyFill="1" applyBorder="1" applyAlignment="1">
      <alignment vertical="center" wrapText="1"/>
    </xf>
    <xf numFmtId="9" fontId="7" fillId="15" borderId="2" xfId="0" applyNumberFormat="1" applyFont="1" applyFill="1" applyBorder="1" applyAlignment="1">
      <alignment horizontal="center" vertical="center" wrapText="1"/>
    </xf>
    <xf numFmtId="2" fontId="7" fillId="15" borderId="2" xfId="0" applyNumberFormat="1" applyFont="1" applyFill="1" applyBorder="1" applyAlignment="1">
      <alignment horizontal="center" vertical="center"/>
    </xf>
    <xf numFmtId="0" fontId="2" fillId="14" borderId="2" xfId="0" applyFont="1" applyFill="1" applyBorder="1" applyAlignment="1">
      <alignment horizontal="center" vertical="center" wrapText="1"/>
    </xf>
    <xf numFmtId="0" fontId="7" fillId="14" borderId="2" xfId="0" applyFont="1" applyFill="1" applyBorder="1" applyAlignment="1">
      <alignment vertical="center" wrapText="1"/>
    </xf>
    <xf numFmtId="9" fontId="7" fillId="14" borderId="2" xfId="0" applyNumberFormat="1" applyFont="1" applyFill="1" applyBorder="1" applyAlignment="1">
      <alignment horizontal="center" vertical="center" wrapText="1"/>
    </xf>
    <xf numFmtId="2" fontId="7" fillId="14" borderId="2" xfId="0" applyNumberFormat="1" applyFont="1" applyFill="1" applyBorder="1" applyAlignment="1">
      <alignment horizontal="center" vertical="center"/>
    </xf>
    <xf numFmtId="2" fontId="7" fillId="8" borderId="2" xfId="0" applyNumberFormat="1" applyFont="1" applyFill="1" applyBorder="1" applyAlignment="1">
      <alignment horizontal="center" vertical="center"/>
    </xf>
    <xf numFmtId="2" fontId="7" fillId="8" borderId="10" xfId="0" applyNumberFormat="1" applyFont="1" applyFill="1" applyBorder="1" applyAlignment="1">
      <alignment horizontal="center" vertical="center"/>
    </xf>
    <xf numFmtId="9" fontId="3" fillId="0" borderId="1" xfId="3" applyNumberFormat="1" applyFont="1" applyFill="1" applyBorder="1" applyAlignment="1">
      <alignment horizontal="center" vertical="center"/>
    </xf>
    <xf numFmtId="2" fontId="7" fillId="0" borderId="20" xfId="0" applyNumberFormat="1" applyFont="1" applyFill="1" applyBorder="1" applyAlignment="1">
      <alignment horizontal="center" vertical="center"/>
    </xf>
    <xf numFmtId="2" fontId="7" fillId="0" borderId="24" xfId="0" applyNumberFormat="1" applyFont="1" applyFill="1" applyBorder="1" applyAlignment="1">
      <alignment horizontal="center" vertical="center"/>
    </xf>
    <xf numFmtId="2" fontId="7" fillId="0" borderId="31" xfId="0" applyNumberFormat="1" applyFont="1" applyFill="1" applyBorder="1" applyAlignment="1">
      <alignment horizontal="center" vertical="center"/>
    </xf>
    <xf numFmtId="9" fontId="3" fillId="3" borderId="1" xfId="3" applyNumberFormat="1" applyFont="1" applyFill="1" applyBorder="1" applyAlignment="1">
      <alignment horizontal="center" vertical="center"/>
    </xf>
    <xf numFmtId="2" fontId="7" fillId="3" borderId="1" xfId="0" applyNumberFormat="1" applyFont="1" applyFill="1" applyBorder="1" applyAlignment="1">
      <alignment horizontal="center" vertical="center"/>
    </xf>
    <xf numFmtId="0" fontId="7" fillId="3" borderId="2" xfId="0" applyFont="1" applyFill="1" applyBorder="1" applyAlignment="1">
      <alignment horizontal="left" vertical="center" wrapText="1"/>
    </xf>
    <xf numFmtId="177" fontId="7" fillId="15" borderId="2" xfId="0" applyNumberFormat="1" applyFont="1" applyFill="1" applyBorder="1" applyAlignment="1">
      <alignment horizontal="center" vertical="center"/>
    </xf>
    <xf numFmtId="177" fontId="7" fillId="14" borderId="2" xfId="0" applyNumberFormat="1" applyFont="1" applyFill="1" applyBorder="1" applyAlignment="1">
      <alignment horizontal="center" vertical="center"/>
    </xf>
    <xf numFmtId="177" fontId="7" fillId="8" borderId="10" xfId="0" applyNumberFormat="1" applyFont="1" applyFill="1" applyBorder="1" applyAlignment="1">
      <alignment horizontal="center" vertical="center"/>
    </xf>
    <xf numFmtId="2" fontId="11" fillId="8" borderId="2" xfId="0" applyNumberFormat="1" applyFont="1" applyFill="1" applyBorder="1" applyAlignment="1">
      <alignment horizontal="center" vertical="center"/>
    </xf>
    <xf numFmtId="0" fontId="3" fillId="0" borderId="0" xfId="0" applyFont="1" applyFill="1" applyAlignment="1">
      <alignment horizontal="center" vertical="center"/>
    </xf>
    <xf numFmtId="177" fontId="11" fillId="0" borderId="3" xfId="0" applyNumberFormat="1" applyFont="1" applyFill="1" applyBorder="1" applyAlignment="1">
      <alignment horizontal="center" vertical="center"/>
    </xf>
    <xf numFmtId="0" fontId="7" fillId="0" borderId="40" xfId="0" applyFont="1" applyFill="1" applyBorder="1" applyAlignment="1">
      <alignment horizontal="center" vertical="center"/>
    </xf>
    <xf numFmtId="0" fontId="11" fillId="0" borderId="40" xfId="0" applyFont="1" applyFill="1" applyBorder="1" applyAlignment="1">
      <alignment horizontal="center" vertical="center"/>
    </xf>
    <xf numFmtId="0" fontId="21" fillId="3" borderId="1" xfId="0" applyFont="1" applyFill="1" applyBorder="1" applyAlignment="1">
      <alignment horizontal="center" vertical="center" wrapText="1"/>
    </xf>
    <xf numFmtId="0" fontId="18" fillId="3" borderId="1" xfId="0" applyFont="1" applyFill="1" applyBorder="1" applyAlignment="1">
      <alignment horizontal="center" vertical="center"/>
    </xf>
    <xf numFmtId="2" fontId="7" fillId="0" borderId="2" xfId="0" applyNumberFormat="1" applyFont="1" applyFill="1" applyBorder="1" applyAlignment="1">
      <alignment horizontal="center" vertical="center" wrapText="1"/>
    </xf>
    <xf numFmtId="2" fontId="7" fillId="0" borderId="11" xfId="0" applyNumberFormat="1" applyFont="1" applyFill="1" applyBorder="1" applyAlignment="1">
      <alignment horizontal="center" vertical="center" wrapText="1"/>
    </xf>
    <xf numFmtId="0" fontId="41" fillId="0" borderId="1" xfId="0" applyFont="1" applyFill="1" applyBorder="1" applyAlignment="1">
      <alignment horizontal="center" vertical="center" wrapText="1"/>
    </xf>
    <xf numFmtId="2" fontId="7" fillId="0" borderId="10" xfId="0" applyNumberFormat="1" applyFont="1" applyFill="1" applyBorder="1" applyAlignment="1">
      <alignment horizontal="center" vertical="center" wrapText="1"/>
    </xf>
    <xf numFmtId="176" fontId="7" fillId="0" borderId="10" xfId="0" applyNumberFormat="1" applyFont="1" applyFill="1" applyBorder="1" applyAlignment="1">
      <alignment horizontal="center" vertical="center" wrapText="1"/>
    </xf>
    <xf numFmtId="14" fontId="2" fillId="15" borderId="2" xfId="0" applyNumberFormat="1" applyFont="1" applyFill="1" applyBorder="1" applyAlignment="1">
      <alignment horizontal="center" vertical="center"/>
    </xf>
    <xf numFmtId="176" fontId="7" fillId="15" borderId="2" xfId="0" applyNumberFormat="1" applyFont="1" applyFill="1" applyBorder="1" applyAlignment="1">
      <alignment horizontal="center" vertical="center"/>
    </xf>
    <xf numFmtId="176" fontId="7" fillId="14" borderId="2" xfId="0" applyNumberFormat="1" applyFont="1" applyFill="1" applyBorder="1" applyAlignment="1">
      <alignment horizontal="center" vertical="center"/>
    </xf>
    <xf numFmtId="14" fontId="2" fillId="14" borderId="2" xfId="0" applyNumberFormat="1" applyFont="1" applyFill="1" applyBorder="1" applyAlignment="1">
      <alignment horizontal="center" vertical="center"/>
    </xf>
    <xf numFmtId="14" fontId="2" fillId="8" borderId="2" xfId="0" applyNumberFormat="1" applyFont="1" applyFill="1" applyBorder="1" applyAlignment="1">
      <alignment horizontal="center" vertical="center"/>
    </xf>
    <xf numFmtId="176" fontId="7" fillId="8" borderId="2" xfId="0" applyNumberFormat="1" applyFont="1" applyFill="1" applyBorder="1" applyAlignment="1">
      <alignment horizontal="center" vertical="center"/>
    </xf>
    <xf numFmtId="176" fontId="11" fillId="8" borderId="2" xfId="0" applyNumberFormat="1" applyFont="1" applyFill="1" applyBorder="1" applyAlignment="1">
      <alignment horizontal="center" vertical="center"/>
    </xf>
    <xf numFmtId="177" fontId="8" fillId="0" borderId="1" xfId="0" applyNumberFormat="1" applyFont="1" applyFill="1" applyBorder="1" applyAlignment="1">
      <alignment horizontal="center" vertical="center"/>
    </xf>
    <xf numFmtId="14" fontId="18" fillId="0" borderId="1" xfId="0" applyNumberFormat="1" applyFont="1" applyFill="1" applyBorder="1">
      <alignment vertical="center"/>
    </xf>
    <xf numFmtId="14" fontId="3" fillId="0" borderId="38" xfId="0" applyNumberFormat="1" applyFont="1" applyFill="1" applyBorder="1" applyAlignment="1">
      <alignment horizontal="center" vertical="center"/>
    </xf>
    <xf numFmtId="0" fontId="30" fillId="3" borderId="1" xfId="0" applyFont="1" applyFill="1" applyBorder="1" applyAlignment="1">
      <alignment horizontal="center" vertical="center"/>
    </xf>
    <xf numFmtId="177" fontId="7" fillId="3" borderId="20" xfId="0" applyNumberFormat="1" applyFont="1" applyFill="1" applyBorder="1" applyAlignment="1">
      <alignment horizontal="center" vertical="center"/>
    </xf>
    <xf numFmtId="14" fontId="18" fillId="3" borderId="1" xfId="0" applyNumberFormat="1" applyFont="1" applyFill="1" applyBorder="1">
      <alignment vertical="center"/>
    </xf>
    <xf numFmtId="2" fontId="8" fillId="3" borderId="1" xfId="0" applyNumberFormat="1" applyFont="1" applyFill="1" applyBorder="1" applyAlignment="1">
      <alignment horizontal="center" vertical="center"/>
    </xf>
    <xf numFmtId="14" fontId="3" fillId="0" borderId="24" xfId="0" applyNumberFormat="1" applyFont="1" applyFill="1" applyBorder="1" applyAlignment="1">
      <alignment horizontal="center" vertical="center"/>
    </xf>
    <xf numFmtId="14" fontId="3" fillId="0" borderId="25" xfId="0" applyNumberFormat="1" applyFont="1" applyFill="1" applyBorder="1" applyAlignment="1">
      <alignment horizontal="center" vertical="center"/>
    </xf>
    <xf numFmtId="14" fontId="3" fillId="0" borderId="31" xfId="0" applyNumberFormat="1" applyFont="1" applyFill="1" applyBorder="1" applyAlignment="1">
      <alignment horizontal="center" vertical="center"/>
    </xf>
    <xf numFmtId="0" fontId="30" fillId="0" borderId="2" xfId="0" applyFont="1" applyFill="1" applyBorder="1" applyAlignment="1">
      <alignment horizontal="center" vertical="center"/>
    </xf>
    <xf numFmtId="14" fontId="3" fillId="0" borderId="40" xfId="0" applyNumberFormat="1" applyFont="1" applyFill="1" applyBorder="1" applyAlignment="1">
      <alignment horizontal="center" vertical="center"/>
    </xf>
    <xf numFmtId="178" fontId="7" fillId="15" borderId="2" xfId="0" applyNumberFormat="1" applyFont="1" applyFill="1" applyBorder="1" applyAlignment="1">
      <alignment horizontal="center" vertical="center"/>
    </xf>
    <xf numFmtId="0" fontId="2" fillId="15" borderId="2" xfId="0" applyFont="1" applyFill="1" applyBorder="1">
      <alignment vertical="center"/>
    </xf>
    <xf numFmtId="178" fontId="7" fillId="14" borderId="2" xfId="0" applyNumberFormat="1" applyFont="1" applyFill="1" applyBorder="1" applyAlignment="1">
      <alignment horizontal="center" vertical="center"/>
    </xf>
    <xf numFmtId="0" fontId="2" fillId="14" borderId="2" xfId="0" applyFont="1" applyFill="1" applyBorder="1">
      <alignment vertical="center"/>
    </xf>
    <xf numFmtId="0" fontId="2" fillId="8" borderId="2" xfId="0" applyFont="1" applyFill="1" applyBorder="1">
      <alignment vertical="center"/>
    </xf>
    <xf numFmtId="177" fontId="8" fillId="0" borderId="11" xfId="0" applyNumberFormat="1" applyFont="1" applyFill="1" applyBorder="1" applyAlignment="1">
      <alignment horizontal="center" vertical="center"/>
    </xf>
    <xf numFmtId="0" fontId="2" fillId="0" borderId="11" xfId="0" applyFont="1" applyFill="1" applyBorder="1">
      <alignment vertical="center"/>
    </xf>
    <xf numFmtId="0" fontId="31" fillId="3" borderId="0" xfId="0" applyFont="1" applyFill="1" applyAlignment="1">
      <alignment horizontal="center" vertical="center"/>
    </xf>
    <xf numFmtId="0" fontId="6" fillId="3" borderId="1" xfId="0" applyFont="1" applyFill="1" applyBorder="1">
      <alignment vertical="center"/>
    </xf>
    <xf numFmtId="177" fontId="8" fillId="3" borderId="11" xfId="0" applyNumberFormat="1" applyFont="1" applyFill="1" applyBorder="1" applyAlignment="1">
      <alignment horizontal="center" vertical="center"/>
    </xf>
    <xf numFmtId="0" fontId="6" fillId="0" borderId="0" xfId="0" applyFont="1" applyFill="1" applyAlignment="1">
      <alignment horizontal="center" vertical="center"/>
    </xf>
    <xf numFmtId="14" fontId="8" fillId="0" borderId="1" xfId="0" applyNumberFormat="1" applyFont="1" applyFill="1" applyBorder="1" applyAlignment="1">
      <alignment horizontal="center" vertical="center"/>
    </xf>
    <xf numFmtId="0" fontId="8" fillId="0" borderId="11" xfId="0"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0"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10" xfId="0" applyFont="1" applyFill="1" applyBorder="1" applyAlignment="1">
      <alignment horizontal="center" vertical="center"/>
    </xf>
    <xf numFmtId="0" fontId="11" fillId="3" borderId="11" xfId="0" applyFont="1" applyFill="1" applyBorder="1" applyAlignment="1">
      <alignment horizontal="center" vertical="center"/>
    </xf>
    <xf numFmtId="0" fontId="42" fillId="0" borderId="1" xfId="0" applyFont="1" applyFill="1" applyBorder="1" applyAlignment="1">
      <alignment horizontal="center" vertical="center" wrapText="1"/>
    </xf>
    <xf numFmtId="177" fontId="15" fillId="0" borderId="1" xfId="0" applyNumberFormat="1" applyFont="1" applyFill="1" applyBorder="1" applyAlignment="1">
      <alignment horizontal="center" vertical="center"/>
    </xf>
    <xf numFmtId="0" fontId="18" fillId="0" borderId="11" xfId="0" applyFont="1" applyFill="1" applyBorder="1" applyAlignment="1">
      <alignment horizontal="center" vertical="center"/>
    </xf>
    <xf numFmtId="0" fontId="25" fillId="0" borderId="2" xfId="0" applyFont="1" applyFill="1" applyBorder="1" applyAlignment="1">
      <alignment horizontal="center" vertical="center"/>
    </xf>
    <xf numFmtId="176" fontId="25" fillId="0" borderId="1" xfId="0" applyNumberFormat="1" applyFont="1" applyFill="1" applyBorder="1" applyAlignment="1">
      <alignment horizontal="center" vertical="center"/>
    </xf>
    <xf numFmtId="176" fontId="25" fillId="0" borderId="1" xfId="0" applyNumberFormat="1" applyFont="1" applyFill="1" applyBorder="1" applyAlignment="1">
      <alignment vertical="center"/>
    </xf>
    <xf numFmtId="14" fontId="3" fillId="0" borderId="41" xfId="0" applyNumberFormat="1" applyFont="1" applyFill="1" applyBorder="1" applyAlignment="1">
      <alignment horizontal="center" vertical="center"/>
    </xf>
    <xf numFmtId="176" fontId="21" fillId="0" borderId="1" xfId="0" applyNumberFormat="1" applyFont="1" applyFill="1" applyBorder="1" applyAlignment="1">
      <alignment horizontal="center" vertical="center" wrapText="1"/>
    </xf>
    <xf numFmtId="176" fontId="30" fillId="0" borderId="1" xfId="0" applyNumberFormat="1" applyFont="1" applyFill="1" applyBorder="1" applyAlignment="1">
      <alignment horizontal="center" vertical="center"/>
    </xf>
    <xf numFmtId="14" fontId="25" fillId="0" borderId="2" xfId="0" applyNumberFormat="1" applyFont="1" applyFill="1" applyBorder="1" applyAlignment="1">
      <alignment horizontal="center" vertical="center"/>
    </xf>
    <xf numFmtId="0" fontId="30" fillId="0" borderId="10" xfId="0" applyFont="1" applyFill="1" applyBorder="1" applyAlignment="1">
      <alignment horizontal="center" vertical="center"/>
    </xf>
    <xf numFmtId="0" fontId="11" fillId="0" borderId="1" xfId="0" applyFont="1" applyFill="1" applyBorder="1" applyAlignment="1">
      <alignment horizontal="left" vertical="center" wrapText="1"/>
    </xf>
    <xf numFmtId="0" fontId="11" fillId="0" borderId="2" xfId="0" applyFont="1" applyFill="1" applyBorder="1" applyAlignment="1">
      <alignment horizontal="left" vertical="center" wrapText="1"/>
    </xf>
    <xf numFmtId="0" fontId="6" fillId="0" borderId="10" xfId="0" applyFont="1" applyFill="1" applyBorder="1" applyAlignment="1">
      <alignment horizontal="center" vertical="center"/>
    </xf>
    <xf numFmtId="0" fontId="6" fillId="0" borderId="11" xfId="0" applyFont="1" applyFill="1" applyBorder="1" applyAlignment="1">
      <alignment horizontal="center" vertical="center"/>
    </xf>
    <xf numFmtId="0" fontId="7" fillId="26" borderId="1" xfId="0" applyFont="1" applyFill="1" applyBorder="1" applyAlignment="1">
      <alignment horizontal="center" vertical="center" wrapText="1"/>
    </xf>
    <xf numFmtId="14" fontId="7" fillId="26" borderId="2" xfId="0" applyNumberFormat="1" applyFont="1" applyFill="1" applyBorder="1" applyAlignment="1">
      <alignment horizontal="center" vertical="center" wrapText="1"/>
    </xf>
    <xf numFmtId="14" fontId="7" fillId="26" borderId="10" xfId="0" applyNumberFormat="1" applyFont="1" applyFill="1" applyBorder="1" applyAlignment="1">
      <alignment horizontal="center" vertical="center" wrapText="1"/>
    </xf>
    <xf numFmtId="14" fontId="7" fillId="26" borderId="11" xfId="0"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7" fillId="14" borderId="0" xfId="0" applyFont="1" applyFill="1" applyAlignment="1">
      <alignment horizontal="center" vertical="center"/>
    </xf>
    <xf numFmtId="10" fontId="7" fillId="26" borderId="1" xfId="0" applyNumberFormat="1" applyFont="1" applyFill="1" applyBorder="1" applyAlignment="1">
      <alignment horizontal="center" vertical="center" wrapText="1"/>
    </xf>
    <xf numFmtId="2" fontId="2" fillId="26" borderId="1" xfId="0" applyNumberFormat="1" applyFont="1" applyFill="1" applyBorder="1" applyAlignment="1">
      <alignment horizontal="center" vertical="center"/>
    </xf>
    <xf numFmtId="0" fontId="3" fillId="14" borderId="1" xfId="0" applyFont="1" applyFill="1" applyBorder="1" applyAlignment="1">
      <alignment horizontal="left" vertical="center" wrapText="1"/>
    </xf>
    <xf numFmtId="9" fontId="1" fillId="14" borderId="1" xfId="0" applyNumberFormat="1" applyFont="1" applyFill="1" applyBorder="1" applyAlignment="1">
      <alignment horizontal="center" vertical="center" wrapText="1"/>
    </xf>
    <xf numFmtId="2" fontId="2" fillId="3" borderId="1" xfId="0" applyNumberFormat="1" applyFont="1" applyFill="1" applyBorder="1" applyAlignment="1">
      <alignment horizontal="center" vertical="center"/>
    </xf>
    <xf numFmtId="14" fontId="7" fillId="0" borderId="10" xfId="0" applyNumberFormat="1" applyFont="1" applyFill="1" applyBorder="1" applyAlignment="1">
      <alignment horizontal="center" vertical="center"/>
    </xf>
    <xf numFmtId="176" fontId="21" fillId="0" borderId="2" xfId="0" applyNumberFormat="1" applyFont="1" applyFill="1" applyBorder="1" applyAlignment="1">
      <alignment horizontal="center" vertical="center" wrapText="1"/>
    </xf>
    <xf numFmtId="176" fontId="21" fillId="0" borderId="11" xfId="0" applyNumberFormat="1" applyFont="1" applyFill="1" applyBorder="1" applyAlignment="1">
      <alignment horizontal="center" vertical="center" wrapText="1"/>
    </xf>
    <xf numFmtId="14" fontId="8" fillId="0" borderId="2" xfId="0" applyNumberFormat="1" applyFont="1" applyFill="1" applyBorder="1" applyAlignment="1">
      <alignment horizontal="center" vertical="center"/>
    </xf>
    <xf numFmtId="0" fontId="15" fillId="0" borderId="1" xfId="0" applyFont="1" applyFill="1" applyBorder="1" applyAlignment="1">
      <alignment horizontal="center" vertical="center" wrapText="1"/>
    </xf>
    <xf numFmtId="177" fontId="7" fillId="26" borderId="11" xfId="0" applyNumberFormat="1" applyFont="1" applyFill="1" applyBorder="1" applyAlignment="1">
      <alignment horizontal="center" vertical="center"/>
    </xf>
    <xf numFmtId="2" fontId="11" fillId="26" borderId="1" xfId="0" applyNumberFormat="1" applyFont="1" applyFill="1" applyBorder="1" applyAlignment="1">
      <alignment horizontal="center" vertical="center"/>
    </xf>
    <xf numFmtId="0" fontId="11" fillId="26" borderId="11" xfId="0" applyFont="1" applyFill="1" applyBorder="1" applyAlignment="1">
      <alignment horizontal="center" vertical="center"/>
    </xf>
    <xf numFmtId="177" fontId="11" fillId="26" borderId="11" xfId="0" applyNumberFormat="1" applyFont="1" applyFill="1" applyBorder="1" applyAlignment="1">
      <alignment horizontal="center" vertical="center"/>
    </xf>
    <xf numFmtId="0" fontId="7" fillId="26" borderId="11" xfId="0" applyFont="1" applyFill="1" applyBorder="1" applyAlignment="1">
      <alignment horizontal="center" vertical="center"/>
    </xf>
    <xf numFmtId="177" fontId="7" fillId="14" borderId="11" xfId="0" applyNumberFormat="1" applyFont="1" applyFill="1" applyBorder="1" applyAlignment="1">
      <alignment horizontal="center" vertical="center"/>
    </xf>
    <xf numFmtId="2" fontId="11" fillId="14" borderId="1" xfId="0" applyNumberFormat="1" applyFont="1" applyFill="1" applyBorder="1" applyAlignment="1">
      <alignment horizontal="center" vertical="center"/>
    </xf>
    <xf numFmtId="0" fontId="11" fillId="14" borderId="11" xfId="0" applyFont="1" applyFill="1" applyBorder="1" applyAlignment="1">
      <alignment horizontal="center" vertical="center"/>
    </xf>
    <xf numFmtId="177" fontId="11" fillId="14" borderId="11" xfId="0" applyNumberFormat="1" applyFont="1" applyFill="1" applyBorder="1" applyAlignment="1">
      <alignment horizontal="center" vertical="center"/>
    </xf>
    <xf numFmtId="2" fontId="10" fillId="3" borderId="1" xfId="0" applyNumberFormat="1" applyFont="1" applyFill="1" applyBorder="1" applyAlignment="1">
      <alignment horizontal="center" vertical="center"/>
    </xf>
    <xf numFmtId="0" fontId="8" fillId="3" borderId="11" xfId="0" applyFont="1" applyFill="1" applyBorder="1" applyAlignment="1">
      <alignment horizontal="center" vertical="center"/>
    </xf>
    <xf numFmtId="2" fontId="11" fillId="3" borderId="1" xfId="0" applyNumberFormat="1" applyFont="1" applyFill="1" applyBorder="1" applyAlignment="1">
      <alignment horizontal="center" vertical="center"/>
    </xf>
    <xf numFmtId="177" fontId="11" fillId="3" borderId="11" xfId="0" applyNumberFormat="1" applyFont="1" applyFill="1" applyBorder="1" applyAlignment="1">
      <alignment horizontal="center" vertical="center"/>
    </xf>
    <xf numFmtId="178" fontId="18" fillId="0" borderId="1" xfId="0" applyNumberFormat="1" applyFont="1" applyFill="1" applyBorder="1" applyAlignment="1">
      <alignment horizontal="center" vertical="center"/>
    </xf>
    <xf numFmtId="0" fontId="8" fillId="0" borderId="11" xfId="0" applyFont="1" applyFill="1" applyBorder="1" applyAlignment="1">
      <alignment horizontal="center" vertical="center"/>
    </xf>
    <xf numFmtId="178" fontId="25" fillId="0" borderId="1" xfId="0" applyNumberFormat="1" applyFont="1" applyFill="1" applyBorder="1" applyAlignment="1">
      <alignment horizontal="center" vertical="center"/>
    </xf>
    <xf numFmtId="176" fontId="18" fillId="0" borderId="2" xfId="0" applyNumberFormat="1" applyFont="1" applyFill="1" applyBorder="1" applyAlignment="1">
      <alignment horizontal="center" vertical="center"/>
    </xf>
    <xf numFmtId="176" fontId="18" fillId="0" borderId="10" xfId="0" applyNumberFormat="1" applyFont="1" applyFill="1" applyBorder="1" applyAlignment="1">
      <alignment horizontal="center" vertical="center"/>
    </xf>
    <xf numFmtId="176" fontId="18" fillId="0" borderId="11" xfId="0" applyNumberFormat="1" applyFont="1" applyFill="1" applyBorder="1" applyAlignment="1">
      <alignment horizontal="center" vertical="center"/>
    </xf>
    <xf numFmtId="14" fontId="15" fillId="0" borderId="2" xfId="0" applyNumberFormat="1" applyFont="1" applyFill="1" applyBorder="1" applyAlignment="1">
      <alignment horizontal="center" vertical="center"/>
    </xf>
    <xf numFmtId="0" fontId="3" fillId="0" borderId="1" xfId="0" applyFont="1" applyFill="1" applyBorder="1">
      <alignment vertical="center"/>
    </xf>
    <xf numFmtId="14" fontId="2" fillId="26" borderId="1" xfId="0" applyNumberFormat="1" applyFont="1" applyFill="1" applyBorder="1" applyAlignment="1">
      <alignment horizontal="center" vertical="center"/>
    </xf>
    <xf numFmtId="0" fontId="2" fillId="26" borderId="11" xfId="0" applyFont="1" applyFill="1" applyBorder="1" applyAlignment="1">
      <alignment horizontal="center" vertical="center"/>
    </xf>
    <xf numFmtId="2" fontId="10" fillId="14" borderId="1" xfId="0" applyNumberFormat="1" applyFont="1" applyFill="1" applyBorder="1" applyAlignment="1">
      <alignment horizontal="center" vertical="center"/>
    </xf>
    <xf numFmtId="176" fontId="32" fillId="0" borderId="1" xfId="0" applyNumberFormat="1" applyFont="1" applyFill="1" applyBorder="1" applyAlignment="1">
      <alignment horizontal="center" vertical="center"/>
    </xf>
    <xf numFmtId="0" fontId="11" fillId="0" borderId="10" xfId="0" applyFont="1" applyFill="1" applyBorder="1" applyAlignment="1">
      <alignment horizontal="left" vertical="center"/>
    </xf>
    <xf numFmtId="0" fontId="11" fillId="0" borderId="11" xfId="0" applyFont="1" applyFill="1" applyBorder="1" applyAlignment="1">
      <alignment horizontal="left" vertical="center"/>
    </xf>
    <xf numFmtId="0" fontId="3" fillId="0" borderId="11" xfId="0" applyFont="1" applyFill="1" applyBorder="1">
      <alignment vertical="center"/>
    </xf>
    <xf numFmtId="178" fontId="7" fillId="26" borderId="11" xfId="0" applyNumberFormat="1" applyFont="1" applyFill="1" applyBorder="1" applyAlignment="1">
      <alignment horizontal="center" vertical="center"/>
    </xf>
    <xf numFmtId="0" fontId="2" fillId="26" borderId="11" xfId="0" applyFont="1" applyFill="1" applyBorder="1">
      <alignment vertical="center"/>
    </xf>
    <xf numFmtId="178" fontId="7" fillId="3" borderId="11" xfId="0" applyNumberFormat="1" applyFont="1" applyFill="1" applyBorder="1" applyAlignment="1">
      <alignment horizontal="center" vertical="center"/>
    </xf>
    <xf numFmtId="0" fontId="2" fillId="3" borderId="11" xfId="0" applyFont="1" applyFill="1" applyBorder="1">
      <alignment vertical="center"/>
    </xf>
    <xf numFmtId="0" fontId="30" fillId="0" borderId="0" xfId="0" applyFont="1" applyFill="1" applyAlignment="1">
      <alignment horizontal="center" vertical="center"/>
    </xf>
    <xf numFmtId="176" fontId="30" fillId="0" borderId="0" xfId="0" applyNumberFormat="1" applyFont="1" applyFill="1" applyAlignment="1">
      <alignment horizontal="center" vertical="center"/>
    </xf>
    <xf numFmtId="176" fontId="3" fillId="0" borderId="1" xfId="0" applyNumberFormat="1" applyFont="1" applyFill="1" applyBorder="1">
      <alignment vertical="center"/>
    </xf>
    <xf numFmtId="0" fontId="2" fillId="26" borderId="1" xfId="0" applyFont="1" applyFill="1" applyBorder="1">
      <alignment vertical="center"/>
    </xf>
    <xf numFmtId="0" fontId="2" fillId="26" borderId="1" xfId="0" applyFont="1" applyFill="1" applyBorder="1" applyAlignment="1">
      <alignment horizontal="center" vertical="center"/>
    </xf>
    <xf numFmtId="0" fontId="2" fillId="26"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49" fontId="7" fillId="0" borderId="11" xfId="0" applyNumberFormat="1" applyFont="1" applyFill="1" applyBorder="1" applyAlignment="1">
      <alignment horizontal="center" vertical="center" wrapText="1"/>
    </xf>
    <xf numFmtId="178" fontId="3" fillId="0" borderId="2" xfId="0" applyNumberFormat="1" applyFont="1" applyFill="1" applyBorder="1" applyAlignment="1">
      <alignment horizontal="center" vertical="center"/>
    </xf>
    <xf numFmtId="178" fontId="3" fillId="0" borderId="10" xfId="0" applyNumberFormat="1" applyFont="1" applyFill="1" applyBorder="1" applyAlignment="1">
      <alignment horizontal="center" vertical="center"/>
    </xf>
    <xf numFmtId="178" fontId="3" fillId="0" borderId="11" xfId="0" applyNumberFormat="1" applyFont="1" applyFill="1" applyBorder="1" applyAlignment="1">
      <alignment horizontal="center" vertical="center"/>
    </xf>
    <xf numFmtId="176" fontId="7" fillId="0" borderId="10" xfId="0" applyNumberFormat="1" applyFont="1" applyFill="1" applyBorder="1" applyAlignment="1">
      <alignment horizontal="center" vertical="center"/>
    </xf>
    <xf numFmtId="9" fontId="7" fillId="0" borderId="1" xfId="3" applyNumberFormat="1" applyFont="1" applyFill="1" applyBorder="1" applyAlignment="1">
      <alignment horizontal="center" vertical="center"/>
    </xf>
    <xf numFmtId="0" fontId="18" fillId="0" borderId="10" xfId="0" applyFont="1" applyFill="1" applyBorder="1" applyAlignment="1">
      <alignment horizontal="center" vertical="center"/>
    </xf>
    <xf numFmtId="0" fontId="8" fillId="0" borderId="2" xfId="0" applyFont="1" applyFill="1" applyBorder="1" applyAlignment="1">
      <alignment horizontal="center" vertical="center"/>
    </xf>
    <xf numFmtId="14" fontId="18" fillId="0" borderId="11" xfId="0" applyNumberFormat="1" applyFont="1" applyFill="1" applyBorder="1" applyAlignment="1">
      <alignment horizontal="center" vertical="center"/>
    </xf>
    <xf numFmtId="176" fontId="7" fillId="0" borderId="1" xfId="0" applyNumberFormat="1" applyFont="1" applyFill="1" applyBorder="1" applyAlignment="1">
      <alignment horizontal="center" vertical="center"/>
    </xf>
    <xf numFmtId="176" fontId="15" fillId="0" borderId="1" xfId="0" applyNumberFormat="1" applyFont="1" applyFill="1" applyBorder="1" applyAlignment="1">
      <alignment horizontal="center" vertical="center"/>
    </xf>
    <xf numFmtId="176" fontId="8" fillId="0" borderId="2" xfId="0" applyNumberFormat="1" applyFont="1" applyFill="1" applyBorder="1" applyAlignment="1">
      <alignment horizontal="center" vertical="center"/>
    </xf>
    <xf numFmtId="176" fontId="15" fillId="0" borderId="1" xfId="0" applyNumberFormat="1" applyFont="1" applyFill="1" applyBorder="1" applyAlignment="1">
      <alignment horizontal="center" vertical="center" wrapText="1"/>
    </xf>
    <xf numFmtId="14" fontId="18" fillId="0" borderId="24" xfId="0" applyNumberFormat="1" applyFont="1" applyFill="1" applyBorder="1" applyAlignment="1">
      <alignment horizontal="center" vertical="center"/>
    </xf>
    <xf numFmtId="14" fontId="18" fillId="0" borderId="31" xfId="0" applyNumberFormat="1" applyFont="1" applyFill="1" applyBorder="1" applyAlignment="1">
      <alignment horizontal="center" vertical="center"/>
    </xf>
    <xf numFmtId="0" fontId="32" fillId="0" borderId="2" xfId="0" applyFont="1" applyFill="1" applyBorder="1" applyAlignment="1">
      <alignment horizontal="center" vertical="center"/>
    </xf>
    <xf numFmtId="0" fontId="32" fillId="0" borderId="10" xfId="0" applyFont="1" applyFill="1" applyBorder="1" applyAlignment="1">
      <alignment horizontal="center" vertical="center"/>
    </xf>
    <xf numFmtId="14" fontId="18" fillId="0" borderId="10" xfId="0" applyNumberFormat="1" applyFont="1" applyFill="1" applyBorder="1" applyAlignment="1">
      <alignment horizontal="center" vertical="center"/>
    </xf>
    <xf numFmtId="0" fontId="32" fillId="0" borderId="11" xfId="0" applyFont="1" applyFill="1" applyBorder="1" applyAlignment="1">
      <alignment horizontal="center" vertical="center"/>
    </xf>
    <xf numFmtId="176" fontId="8" fillId="0" borderId="11" xfId="0" applyNumberFormat="1" applyFont="1" applyFill="1" applyBorder="1" applyAlignment="1">
      <alignment horizontal="center" vertical="center"/>
    </xf>
    <xf numFmtId="0" fontId="40" fillId="0" borderId="1" xfId="0" applyFont="1" applyFill="1" applyBorder="1" applyAlignment="1">
      <alignment horizontal="center" vertical="center"/>
    </xf>
    <xf numFmtId="0" fontId="43" fillId="0" borderId="1" xfId="0" applyFont="1" applyFill="1" applyBorder="1" applyAlignment="1">
      <alignment horizontal="center" vertical="center"/>
    </xf>
    <xf numFmtId="0" fontId="7" fillId="0" borderId="1" xfId="0" applyFont="1" applyFill="1" applyBorder="1">
      <alignment vertical="center"/>
    </xf>
    <xf numFmtId="176" fontId="40" fillId="0" borderId="1" xfId="0" applyNumberFormat="1" applyFont="1" applyFill="1" applyBorder="1" applyAlignment="1">
      <alignment horizontal="center" vertical="center"/>
    </xf>
    <xf numFmtId="176" fontId="43" fillId="0" borderId="1" xfId="0" applyNumberFormat="1" applyFont="1" applyFill="1" applyBorder="1" applyAlignment="1">
      <alignment horizontal="center" vertical="center"/>
    </xf>
    <xf numFmtId="14" fontId="8" fillId="0" borderId="20" xfId="0" applyNumberFormat="1" applyFont="1" applyFill="1" applyBorder="1" applyAlignment="1">
      <alignment horizontal="center" vertical="center"/>
    </xf>
    <xf numFmtId="2" fontId="15" fillId="0" borderId="1" xfId="0" applyNumberFormat="1" applyFont="1" applyFill="1" applyBorder="1" applyAlignment="1">
      <alignment horizontal="center" vertical="center"/>
    </xf>
    <xf numFmtId="0" fontId="7" fillId="0" borderId="20" xfId="0" applyFont="1" applyFill="1" applyBorder="1" applyAlignment="1">
      <alignment horizontal="center" vertical="center"/>
    </xf>
    <xf numFmtId="2" fontId="8" fillId="0" borderId="1" xfId="0" applyNumberFormat="1" applyFont="1" applyFill="1" applyBorder="1" applyAlignment="1">
      <alignment horizontal="center" vertical="center"/>
    </xf>
    <xf numFmtId="0" fontId="40" fillId="0" borderId="2" xfId="0" applyFont="1" applyFill="1" applyBorder="1" applyAlignment="1">
      <alignment horizontal="center" vertical="center"/>
    </xf>
    <xf numFmtId="0" fontId="40" fillId="0" borderId="11" xfId="0" applyFont="1" applyFill="1" applyBorder="1" applyAlignment="1">
      <alignment horizontal="center" vertical="center"/>
    </xf>
    <xf numFmtId="0" fontId="40" fillId="0" borderId="0" xfId="0" applyFont="1" applyFill="1" applyAlignment="1">
      <alignment horizontal="center" vertical="center"/>
    </xf>
    <xf numFmtId="49" fontId="1" fillId="14" borderId="1" xfId="0" applyNumberFormat="1" applyFont="1" applyFill="1" applyBorder="1" applyAlignment="1">
      <alignment horizontal="center" vertical="center" wrapText="1"/>
    </xf>
    <xf numFmtId="9" fontId="7" fillId="0" borderId="1" xfId="3" applyNumberFormat="1" applyFont="1" applyFill="1" applyBorder="1" applyAlignment="1">
      <alignment horizontal="center" vertical="center" wrapText="1"/>
    </xf>
    <xf numFmtId="0" fontId="7" fillId="14" borderId="1" xfId="0" applyFont="1" applyFill="1" applyBorder="1" applyAlignment="1">
      <alignment vertical="center" wrapText="1"/>
    </xf>
    <xf numFmtId="10" fontId="1" fillId="14" borderId="1" xfId="0" applyNumberFormat="1" applyFont="1" applyFill="1" applyBorder="1" applyAlignment="1">
      <alignment horizontal="center" vertical="center"/>
    </xf>
    <xf numFmtId="176" fontId="1" fillId="14" borderId="1" xfId="0" applyNumberFormat="1" applyFont="1" applyFill="1" applyBorder="1" applyAlignment="1">
      <alignment horizontal="center" vertical="center"/>
    </xf>
    <xf numFmtId="176" fontId="42" fillId="0" borderId="1" xfId="0" applyNumberFormat="1" applyFont="1" applyFill="1" applyBorder="1" applyAlignment="1">
      <alignment horizontal="center" vertical="center" wrapText="1"/>
    </xf>
    <xf numFmtId="2" fontId="8" fillId="0" borderId="11" xfId="0" applyNumberFormat="1" applyFont="1" applyFill="1" applyBorder="1" applyAlignment="1">
      <alignment horizontal="center" vertical="center" wrapText="1"/>
    </xf>
    <xf numFmtId="176" fontId="8" fillId="0" borderId="10" xfId="0" applyNumberFormat="1" applyFont="1" applyFill="1" applyBorder="1" applyAlignment="1">
      <alignment horizontal="center" vertical="center"/>
    </xf>
    <xf numFmtId="176" fontId="30" fillId="0" borderId="2" xfId="0" applyNumberFormat="1" applyFont="1" applyFill="1" applyBorder="1" applyAlignment="1">
      <alignment horizontal="center" vertical="center"/>
    </xf>
    <xf numFmtId="176" fontId="30" fillId="0" borderId="11" xfId="0" applyNumberFormat="1" applyFont="1" applyFill="1" applyBorder="1" applyAlignment="1">
      <alignment horizontal="center" vertical="center"/>
    </xf>
    <xf numFmtId="0" fontId="3" fillId="0" borderId="20" xfId="0" applyFont="1" applyFill="1" applyBorder="1" applyAlignment="1">
      <alignment horizontal="center" vertical="center"/>
    </xf>
    <xf numFmtId="176" fontId="1" fillId="14" borderId="1" xfId="0" applyNumberFormat="1" applyFont="1" applyFill="1" applyBorder="1">
      <alignment vertical="center"/>
    </xf>
    <xf numFmtId="0" fontId="1" fillId="14" borderId="1" xfId="0" applyFont="1" applyFill="1" applyBorder="1">
      <alignment vertical="center"/>
    </xf>
    <xf numFmtId="14" fontId="1" fillId="18" borderId="2" xfId="0" applyNumberFormat="1" applyFont="1" applyFill="1" applyBorder="1" applyAlignment="1">
      <alignment horizontal="center" vertical="center"/>
    </xf>
    <xf numFmtId="49" fontId="7" fillId="18" borderId="1" xfId="0" applyNumberFormat="1" applyFont="1" applyFill="1" applyBorder="1" applyAlignment="1">
      <alignment horizontal="center" vertical="center" wrapText="1"/>
    </xf>
    <xf numFmtId="14" fontId="1" fillId="18" borderId="10" xfId="0" applyNumberFormat="1" applyFont="1" applyFill="1" applyBorder="1" applyAlignment="1">
      <alignment horizontal="center" vertical="center"/>
    </xf>
    <xf numFmtId="49" fontId="1" fillId="18" borderId="1" xfId="0" applyNumberFormat="1" applyFont="1" applyFill="1" applyBorder="1" applyAlignment="1">
      <alignment horizontal="center" vertical="center" wrapText="1"/>
    </xf>
    <xf numFmtId="0" fontId="1" fillId="18" borderId="2" xfId="0" applyFont="1" applyFill="1" applyBorder="1" applyAlignment="1">
      <alignment horizontal="center" vertical="center"/>
    </xf>
    <xf numFmtId="49" fontId="1" fillId="18" borderId="2" xfId="0" applyNumberFormat="1" applyFont="1" applyFill="1" applyBorder="1" applyAlignment="1">
      <alignment horizontal="center" vertical="center" wrapText="1"/>
    </xf>
    <xf numFmtId="49" fontId="1" fillId="5" borderId="1" xfId="0" applyNumberFormat="1" applyFont="1" applyFill="1" applyBorder="1" applyAlignment="1">
      <alignment horizontal="center" vertical="center" wrapText="1"/>
    </xf>
    <xf numFmtId="49" fontId="1" fillId="0" borderId="0" xfId="0" applyNumberFormat="1" applyFont="1">
      <alignment vertical="center"/>
    </xf>
    <xf numFmtId="0" fontId="1" fillId="14" borderId="2"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1" fillId="18" borderId="10" xfId="0" applyFont="1" applyFill="1" applyBorder="1" applyAlignment="1">
      <alignment horizontal="center" vertical="center" wrapText="1"/>
    </xf>
    <xf numFmtId="0" fontId="1" fillId="18" borderId="10" xfId="0" applyFont="1" applyFill="1" applyBorder="1" applyAlignment="1">
      <alignment horizontal="center" vertical="center"/>
    </xf>
    <xf numFmtId="0" fontId="1" fillId="18" borderId="2" xfId="0" applyFont="1" applyFill="1" applyBorder="1" applyAlignment="1">
      <alignment horizontal="center" vertical="center" wrapText="1"/>
    </xf>
    <xf numFmtId="4" fontId="7" fillId="0" borderId="2" xfId="0" applyNumberFormat="1" applyFont="1" applyFill="1" applyBorder="1" applyAlignment="1">
      <alignment horizontal="center" vertical="center"/>
    </xf>
    <xf numFmtId="4" fontId="7" fillId="0" borderId="10" xfId="0" applyNumberFormat="1" applyFont="1" applyFill="1" applyBorder="1" applyAlignment="1">
      <alignment horizontal="center" vertical="center"/>
    </xf>
    <xf numFmtId="4" fontId="7" fillId="0" borderId="11" xfId="0" applyNumberFormat="1" applyFont="1" applyFill="1" applyBorder="1" applyAlignment="1">
      <alignment horizontal="center" vertical="center"/>
    </xf>
    <xf numFmtId="178" fontId="1" fillId="14" borderId="2" xfId="0" applyNumberFormat="1" applyFont="1" applyFill="1" applyBorder="1" applyAlignment="1">
      <alignment horizontal="center" vertical="center"/>
    </xf>
    <xf numFmtId="178" fontId="1" fillId="18" borderId="2" xfId="0" applyNumberFormat="1" applyFont="1" applyFill="1" applyBorder="1" applyAlignment="1">
      <alignment horizontal="center" vertical="center"/>
    </xf>
    <xf numFmtId="178" fontId="1" fillId="18" borderId="10" xfId="0" applyNumberFormat="1" applyFont="1" applyFill="1" applyBorder="1" applyAlignment="1">
      <alignment horizontal="center" vertical="center"/>
    </xf>
    <xf numFmtId="178" fontId="1" fillId="0" borderId="11" xfId="0" applyNumberFormat="1" applyFont="1" applyFill="1" applyBorder="1" applyAlignment="1">
      <alignment horizontal="center" vertical="center"/>
    </xf>
    <xf numFmtId="176" fontId="1" fillId="0" borderId="2" xfId="0" applyNumberFormat="1" applyFont="1" applyFill="1" applyBorder="1" applyAlignment="1">
      <alignment horizontal="center" vertical="center"/>
    </xf>
    <xf numFmtId="176" fontId="1" fillId="0" borderId="10" xfId="0" applyNumberFormat="1" applyFont="1" applyFill="1" applyBorder="1" applyAlignment="1">
      <alignment horizontal="center" vertical="center"/>
    </xf>
    <xf numFmtId="176" fontId="1" fillId="0" borderId="2" xfId="0" applyNumberFormat="1" applyFont="1" applyFill="1" applyBorder="1" applyAlignment="1">
      <alignment horizontal="center" vertical="center" wrapText="1"/>
    </xf>
    <xf numFmtId="176" fontId="1" fillId="0" borderId="10" xfId="0" applyNumberFormat="1" applyFont="1" applyFill="1" applyBorder="1" applyAlignment="1">
      <alignment horizontal="center" vertical="center" wrapText="1"/>
    </xf>
    <xf numFmtId="176" fontId="1" fillId="0" borderId="11" xfId="0" applyNumberFormat="1" applyFont="1" applyFill="1" applyBorder="1" applyAlignment="1">
      <alignment horizontal="center" vertical="center" wrapText="1"/>
    </xf>
    <xf numFmtId="176" fontId="1" fillId="0" borderId="0" xfId="0" applyNumberFormat="1" applyFont="1">
      <alignment vertical="center"/>
    </xf>
    <xf numFmtId="10" fontId="1" fillId="14" borderId="2" xfId="0" applyNumberFormat="1" applyFont="1" applyFill="1" applyBorder="1" applyAlignment="1">
      <alignment horizontal="center" vertical="center"/>
    </xf>
    <xf numFmtId="176" fontId="1" fillId="14" borderId="2" xfId="0" applyNumberFormat="1" applyFont="1" applyFill="1" applyBorder="1" applyAlignment="1">
      <alignment horizontal="center" vertical="center"/>
    </xf>
    <xf numFmtId="10" fontId="1" fillId="18" borderId="2" xfId="0" applyNumberFormat="1" applyFont="1" applyFill="1" applyBorder="1" applyAlignment="1">
      <alignment horizontal="center" vertical="center"/>
    </xf>
    <xf numFmtId="10" fontId="1" fillId="18" borderId="10" xfId="0" applyNumberFormat="1" applyFont="1" applyFill="1" applyBorder="1" applyAlignment="1">
      <alignment horizontal="center" vertical="center"/>
    </xf>
    <xf numFmtId="0" fontId="1" fillId="18" borderId="11" xfId="0" applyFont="1" applyFill="1" applyBorder="1" applyAlignment="1">
      <alignment horizontal="center" vertical="center" wrapText="1"/>
    </xf>
    <xf numFmtId="10" fontId="1" fillId="18" borderId="11" xfId="0" applyNumberFormat="1" applyFont="1" applyFill="1" applyBorder="1" applyAlignment="1">
      <alignment horizontal="center" vertical="center"/>
    </xf>
    <xf numFmtId="10" fontId="1" fillId="5" borderId="2" xfId="0" applyNumberFormat="1" applyFont="1" applyFill="1" applyBorder="1" applyAlignment="1">
      <alignment horizontal="center" vertical="center"/>
    </xf>
    <xf numFmtId="10" fontId="1" fillId="5" borderId="10" xfId="0" applyNumberFormat="1" applyFont="1" applyFill="1" applyBorder="1" applyAlignment="1">
      <alignment horizontal="center" vertical="center"/>
    </xf>
    <xf numFmtId="10" fontId="1" fillId="5" borderId="11" xfId="0" applyNumberFormat="1" applyFont="1" applyFill="1" applyBorder="1" applyAlignment="1">
      <alignment horizontal="center" vertical="center"/>
    </xf>
    <xf numFmtId="10" fontId="1" fillId="0" borderId="11" xfId="0" applyNumberFormat="1" applyFont="1" applyFill="1" applyBorder="1" applyAlignment="1">
      <alignment horizontal="center" vertical="center"/>
    </xf>
    <xf numFmtId="0" fontId="7" fillId="0" borderId="11" xfId="0" applyFont="1" applyFill="1" applyBorder="1" applyAlignment="1">
      <alignment vertical="center" wrapText="1"/>
    </xf>
    <xf numFmtId="0" fontId="7" fillId="0" borderId="1" xfId="0" applyFont="1" applyFill="1" applyBorder="1" applyAlignment="1">
      <alignment vertical="center" wrapText="1"/>
    </xf>
    <xf numFmtId="10" fontId="1" fillId="0" borderId="1" xfId="0" applyNumberFormat="1" applyFont="1" applyFill="1" applyBorder="1" applyAlignment="1">
      <alignment horizontal="center" vertical="center"/>
    </xf>
    <xf numFmtId="0" fontId="1" fillId="0" borderId="0" xfId="0" applyFont="1" applyAlignment="1">
      <alignment horizontal="center" vertical="center" wrapText="1"/>
    </xf>
    <xf numFmtId="176" fontId="1" fillId="0" borderId="0" xfId="0" applyNumberFormat="1" applyFont="1" applyAlignment="1">
      <alignment horizontal="center" vertical="center"/>
    </xf>
    <xf numFmtId="176" fontId="6" fillId="14" borderId="2" xfId="0" applyNumberFormat="1" applyFont="1" applyFill="1" applyBorder="1" applyAlignment="1">
      <alignment horizontal="center" vertical="center"/>
    </xf>
    <xf numFmtId="0" fontId="6" fillId="14" borderId="2" xfId="0" applyFont="1" applyFill="1" applyBorder="1" applyAlignment="1">
      <alignment horizontal="center" vertical="center"/>
    </xf>
    <xf numFmtId="176" fontId="3" fillId="18" borderId="2" xfId="0" applyNumberFormat="1" applyFont="1" applyFill="1" applyBorder="1" applyAlignment="1">
      <alignment horizontal="center" vertical="center"/>
    </xf>
    <xf numFmtId="176" fontId="7" fillId="18" borderId="2" xfId="0" applyNumberFormat="1" applyFont="1" applyFill="1" applyBorder="1" applyAlignment="1">
      <alignment horizontal="center" vertical="center"/>
    </xf>
    <xf numFmtId="177" fontId="3" fillId="18" borderId="2" xfId="0" applyNumberFormat="1" applyFont="1" applyFill="1" applyBorder="1" applyAlignment="1">
      <alignment horizontal="center" vertical="center"/>
    </xf>
    <xf numFmtId="176" fontId="3" fillId="18" borderId="10" xfId="0" applyNumberFormat="1" applyFont="1" applyFill="1" applyBorder="1" applyAlignment="1">
      <alignment horizontal="center" vertical="center"/>
    </xf>
    <xf numFmtId="177" fontId="3" fillId="18" borderId="10" xfId="0" applyNumberFormat="1" applyFont="1" applyFill="1" applyBorder="1" applyAlignment="1">
      <alignment horizontal="center" vertical="center"/>
    </xf>
    <xf numFmtId="176" fontId="3" fillId="18" borderId="2" xfId="0" applyNumberFormat="1" applyFont="1" applyFill="1" applyBorder="1" applyAlignment="1">
      <alignment horizontal="center" vertical="center" wrapText="1"/>
    </xf>
    <xf numFmtId="176" fontId="3" fillId="18" borderId="10" xfId="0" applyNumberFormat="1" applyFont="1" applyFill="1" applyBorder="1" applyAlignment="1">
      <alignment horizontal="center" vertical="center" wrapText="1"/>
    </xf>
    <xf numFmtId="176" fontId="3" fillId="18" borderId="11" xfId="0" applyNumberFormat="1" applyFont="1" applyFill="1" applyBorder="1" applyAlignment="1">
      <alignment horizontal="center" vertical="center" wrapText="1"/>
    </xf>
    <xf numFmtId="176" fontId="7" fillId="5" borderId="2" xfId="0" applyNumberFormat="1" applyFont="1" applyFill="1" applyBorder="1" applyAlignment="1">
      <alignment horizontal="center" vertical="center"/>
    </xf>
    <xf numFmtId="176" fontId="3" fillId="5" borderId="2" xfId="0" applyNumberFormat="1" applyFont="1" applyFill="1" applyBorder="1" applyAlignment="1">
      <alignment horizontal="center" vertical="center"/>
    </xf>
    <xf numFmtId="176" fontId="3" fillId="5" borderId="10" xfId="0" applyNumberFormat="1" applyFont="1" applyFill="1" applyBorder="1" applyAlignment="1">
      <alignment horizontal="center" vertical="center"/>
    </xf>
    <xf numFmtId="177" fontId="3" fillId="5" borderId="2" xfId="0" applyNumberFormat="1" applyFont="1" applyFill="1" applyBorder="1" applyAlignment="1">
      <alignment horizontal="center" vertical="center"/>
    </xf>
    <xf numFmtId="176" fontId="6" fillId="18" borderId="2" xfId="0" applyNumberFormat="1" applyFont="1" applyFill="1" applyBorder="1" applyAlignment="1">
      <alignment horizontal="center" vertical="center"/>
    </xf>
    <xf numFmtId="176" fontId="6" fillId="18" borderId="10" xfId="0" applyNumberFormat="1" applyFont="1" applyFill="1" applyBorder="1" applyAlignment="1">
      <alignment horizontal="center" vertical="center"/>
    </xf>
    <xf numFmtId="176" fontId="6" fillId="18" borderId="2" xfId="0" applyNumberFormat="1" applyFont="1" applyFill="1" applyBorder="1" applyAlignment="1">
      <alignment horizontal="center" vertical="center" wrapText="1"/>
    </xf>
    <xf numFmtId="176" fontId="6" fillId="18" borderId="10" xfId="0" applyNumberFormat="1" applyFont="1" applyFill="1" applyBorder="1" applyAlignment="1">
      <alignment horizontal="center" vertical="center" wrapText="1"/>
    </xf>
    <xf numFmtId="176" fontId="6" fillId="18" borderId="11" xfId="0" applyNumberFormat="1" applyFont="1" applyFill="1" applyBorder="1" applyAlignment="1">
      <alignment horizontal="center" vertical="center" wrapText="1"/>
    </xf>
    <xf numFmtId="176" fontId="6" fillId="5" borderId="10" xfId="0" applyNumberFormat="1" applyFont="1" applyFill="1" applyBorder="1" applyAlignment="1">
      <alignment horizontal="center" vertical="center"/>
    </xf>
    <xf numFmtId="176" fontId="6" fillId="5" borderId="11" xfId="0" applyNumberFormat="1" applyFont="1" applyFill="1" applyBorder="1" applyAlignment="1">
      <alignment horizontal="center" vertical="center"/>
    </xf>
    <xf numFmtId="176" fontId="6" fillId="5" borderId="2" xfId="0" applyNumberFormat="1" applyFont="1" applyFill="1" applyBorder="1" applyAlignment="1">
      <alignment horizontal="center" vertical="center"/>
    </xf>
    <xf numFmtId="177" fontId="3" fillId="5" borderId="10" xfId="0" applyNumberFormat="1" applyFont="1" applyFill="1" applyBorder="1" applyAlignment="1">
      <alignment horizontal="center" vertical="center"/>
    </xf>
    <xf numFmtId="176" fontId="6" fillId="0" borderId="11" xfId="0" applyNumberFormat="1" applyFont="1" applyFill="1" applyBorder="1" applyAlignment="1">
      <alignment horizontal="center" vertical="center"/>
    </xf>
    <xf numFmtId="176" fontId="1" fillId="14" borderId="2" xfId="0" applyNumberFormat="1" applyFont="1" applyFill="1" applyBorder="1">
      <alignment vertical="center"/>
    </xf>
    <xf numFmtId="0" fontId="1" fillId="14" borderId="2" xfId="0" applyFont="1" applyFill="1" applyBorder="1">
      <alignment vertical="center"/>
    </xf>
    <xf numFmtId="177" fontId="6" fillId="18" borderId="2" xfId="0" applyNumberFormat="1" applyFont="1" applyFill="1" applyBorder="1" applyAlignment="1">
      <alignment horizontal="center" vertical="center"/>
    </xf>
    <xf numFmtId="177" fontId="6" fillId="18" borderId="10" xfId="0" applyNumberFormat="1" applyFont="1" applyFill="1" applyBorder="1" applyAlignment="1">
      <alignment horizontal="center" vertical="center"/>
    </xf>
    <xf numFmtId="176" fontId="1" fillId="18" borderId="2" xfId="0" applyNumberFormat="1" applyFont="1" applyFill="1" applyBorder="1" applyAlignment="1">
      <alignment horizontal="center" vertical="center" wrapText="1"/>
    </xf>
    <xf numFmtId="176" fontId="1" fillId="18" borderId="10" xfId="0" applyNumberFormat="1" applyFont="1" applyFill="1" applyBorder="1" applyAlignment="1">
      <alignment horizontal="center" vertical="center" wrapText="1"/>
    </xf>
    <xf numFmtId="176" fontId="1" fillId="18" borderId="11" xfId="0" applyNumberFormat="1" applyFont="1" applyFill="1" applyBorder="1" applyAlignment="1">
      <alignment horizontal="center" vertical="center" wrapText="1"/>
    </xf>
    <xf numFmtId="14" fontId="6" fillId="5" borderId="10" xfId="0" applyNumberFormat="1" applyFont="1" applyFill="1" applyBorder="1" applyAlignment="1">
      <alignment horizontal="center" vertical="center"/>
    </xf>
    <xf numFmtId="14" fontId="6" fillId="5" borderId="11" xfId="0" applyNumberFormat="1" applyFont="1" applyFill="1" applyBorder="1" applyAlignment="1">
      <alignment horizontal="center" vertical="center"/>
    </xf>
    <xf numFmtId="177" fontId="6" fillId="5" borderId="2" xfId="0" applyNumberFormat="1" applyFont="1" applyFill="1" applyBorder="1" applyAlignment="1">
      <alignment horizontal="center" vertical="center"/>
    </xf>
    <xf numFmtId="177" fontId="6" fillId="5" borderId="10" xfId="0" applyNumberFormat="1" applyFont="1" applyFill="1" applyBorder="1" applyAlignment="1">
      <alignment horizontal="center" vertical="center"/>
    </xf>
    <xf numFmtId="177" fontId="6" fillId="5" borderId="11" xfId="0" applyNumberFormat="1" applyFont="1" applyFill="1" applyBorder="1" applyAlignment="1">
      <alignment horizontal="center" vertical="center"/>
    </xf>
    <xf numFmtId="177" fontId="6" fillId="0" borderId="11" xfId="0" applyNumberFormat="1" applyFont="1" applyFill="1" applyBorder="1" applyAlignment="1">
      <alignment horizontal="center" vertical="center"/>
    </xf>
    <xf numFmtId="176" fontId="1" fillId="0" borderId="11" xfId="0" applyNumberFormat="1" applyFont="1" applyFill="1" applyBorder="1">
      <alignment vertical="center"/>
    </xf>
    <xf numFmtId="0" fontId="1" fillId="0" borderId="11" xfId="0" applyFont="1" applyFill="1" applyBorder="1">
      <alignment vertical="center"/>
    </xf>
    <xf numFmtId="176" fontId="1" fillId="0" borderId="1" xfId="0" applyNumberFormat="1" applyFont="1" applyFill="1" applyBorder="1">
      <alignment vertical="center"/>
    </xf>
    <xf numFmtId="0" fontId="1" fillId="0" borderId="0" xfId="0" applyFont="1" applyFill="1" applyBorder="1">
      <alignment vertical="center"/>
    </xf>
    <xf numFmtId="176" fontId="1" fillId="18" borderId="1" xfId="0" applyNumberFormat="1" applyFont="1" applyFill="1" applyBorder="1" applyAlignment="1">
      <alignment horizontal="center" vertical="center" wrapText="1"/>
    </xf>
    <xf numFmtId="0" fontId="1" fillId="18" borderId="29" xfId="0" applyFont="1" applyFill="1" applyBorder="1">
      <alignment vertical="center"/>
    </xf>
    <xf numFmtId="0" fontId="1" fillId="5" borderId="29" xfId="0" applyFont="1" applyFill="1" applyBorder="1">
      <alignment vertical="center"/>
    </xf>
    <xf numFmtId="176" fontId="3" fillId="0" borderId="0" xfId="0" applyNumberFormat="1" applyFont="1" applyAlignment="1">
      <alignment horizontal="center" vertical="center"/>
    </xf>
    <xf numFmtId="0" fontId="3" fillId="0" borderId="0" xfId="0" applyFont="1" applyAlignment="1">
      <alignment horizontal="center" vertical="center"/>
    </xf>
    <xf numFmtId="0" fontId="1" fillId="0" borderId="0" xfId="0" applyFont="1" applyBorder="1">
      <alignment vertical="center"/>
    </xf>
    <xf numFmtId="0" fontId="1" fillId="3" borderId="0" xfId="0" applyFont="1" applyFill="1" applyBorder="1">
      <alignment vertical="center"/>
    </xf>
    <xf numFmtId="0" fontId="1" fillId="2" borderId="0" xfId="0" applyFont="1" applyFill="1" applyBorder="1">
      <alignment vertical="center"/>
    </xf>
    <xf numFmtId="0" fontId="4" fillId="0" borderId="0" xfId="0" applyFont="1" applyFill="1" applyBorder="1">
      <alignment vertical="center"/>
    </xf>
    <xf numFmtId="0" fontId="1" fillId="4" borderId="0" xfId="0" applyFont="1" applyFill="1" applyBorder="1">
      <alignment vertical="center"/>
    </xf>
    <xf numFmtId="0" fontId="1" fillId="6" borderId="0" xfId="0" applyFont="1" applyFill="1" applyBorder="1">
      <alignment vertical="center"/>
    </xf>
    <xf numFmtId="0" fontId="3" fillId="0" borderId="0" xfId="0" applyFont="1" applyBorder="1">
      <alignment vertical="center"/>
    </xf>
    <xf numFmtId="0" fontId="0" fillId="0" borderId="0" xfId="0" applyBorder="1">
      <alignment vertical="center"/>
    </xf>
    <xf numFmtId="0" fontId="6" fillId="0" borderId="0" xfId="0" applyFont="1" applyFill="1" applyBorder="1">
      <alignment vertical="center"/>
    </xf>
    <xf numFmtId="0" fontId="3" fillId="0" borderId="0" xfId="0" applyFont="1" applyFill="1" applyBorder="1">
      <alignment vertical="center"/>
    </xf>
    <xf numFmtId="0" fontId="0" fillId="0" borderId="0" xfId="0" applyFill="1" applyBorder="1">
      <alignment vertical="center"/>
    </xf>
    <xf numFmtId="0" fontId="3" fillId="15" borderId="0" xfId="0" applyFont="1" applyFill="1" applyBorder="1" applyAlignment="1">
      <alignment horizontal="center" vertical="center"/>
    </xf>
    <xf numFmtId="0" fontId="3" fillId="15" borderId="0" xfId="0" applyFont="1" applyFill="1" applyBorder="1">
      <alignment vertical="center"/>
    </xf>
    <xf numFmtId="0" fontId="3" fillId="2" borderId="0" xfId="0" applyFont="1" applyFill="1" applyBorder="1">
      <alignment vertical="center"/>
    </xf>
    <xf numFmtId="0" fontId="4" fillId="17" borderId="0" xfId="0" applyFont="1" applyFill="1" applyBorder="1">
      <alignment vertical="center"/>
    </xf>
    <xf numFmtId="0" fontId="6" fillId="3" borderId="0" xfId="0" applyFont="1" applyFill="1" applyBorder="1">
      <alignment vertical="center"/>
    </xf>
    <xf numFmtId="0" fontId="1" fillId="0" borderId="0" xfId="0" applyFont="1" applyBorder="1" applyAlignment="1">
      <alignment horizontal="center" vertical="center"/>
    </xf>
    <xf numFmtId="0" fontId="0" fillId="17" borderId="0" xfId="0" applyFill="1" applyBorder="1">
      <alignment vertical="center"/>
    </xf>
    <xf numFmtId="0" fontId="0" fillId="0" borderId="0" xfId="0" applyBorder="1" applyAlignment="1">
      <alignment vertical="center" wrapText="1"/>
    </xf>
    <xf numFmtId="0" fontId="0" fillId="2" borderId="0" xfId="0" applyFill="1" applyBorder="1">
      <alignment vertical="center"/>
    </xf>
    <xf numFmtId="0" fontId="4" fillId="0" borderId="0" xfId="0" applyFont="1" applyBorder="1">
      <alignment vertical="center"/>
    </xf>
    <xf numFmtId="0" fontId="0" fillId="3" borderId="0" xfId="0" applyFill="1" applyBorder="1">
      <alignment vertical="center"/>
    </xf>
    <xf numFmtId="0" fontId="4" fillId="3" borderId="0" xfId="0" applyFont="1" applyFill="1" applyBorder="1">
      <alignment vertical="center"/>
    </xf>
    <xf numFmtId="0" fontId="0" fillId="45" borderId="0" xfId="0" applyFill="1" applyBorder="1">
      <alignment vertical="center"/>
    </xf>
    <xf numFmtId="0" fontId="0" fillId="6" borderId="0" xfId="0" applyFill="1" applyBorder="1">
      <alignment vertical="center"/>
    </xf>
    <xf numFmtId="0" fontId="0" fillId="2" borderId="0" xfId="0" applyFill="1" applyBorder="1" applyAlignment="1">
      <alignment vertical="center" wrapText="1"/>
    </xf>
    <xf numFmtId="0" fontId="0" fillId="18" borderId="0" xfId="0" applyFill="1" applyBorder="1">
      <alignment vertical="center"/>
    </xf>
    <xf numFmtId="0" fontId="0" fillId="11" borderId="0" xfId="0" applyFill="1" applyBorder="1">
      <alignment vertical="center"/>
    </xf>
    <xf numFmtId="0" fontId="0" fillId="5" borderId="0" xfId="0" applyFill="1" applyBorder="1">
      <alignment vertical="center"/>
    </xf>
    <xf numFmtId="0" fontId="0" fillId="13" borderId="0" xfId="0" applyFill="1" applyBorder="1">
      <alignment vertical="center"/>
    </xf>
    <xf numFmtId="0" fontId="0" fillId="15" borderId="0" xfId="0" applyFill="1" applyBorder="1">
      <alignment vertical="center"/>
    </xf>
    <xf numFmtId="0" fontId="0" fillId="19" borderId="0" xfId="0" applyFill="1" applyBorder="1">
      <alignment vertical="center"/>
    </xf>
    <xf numFmtId="0" fontId="0" fillId="22" borderId="0" xfId="0" applyFill="1" applyBorder="1">
      <alignment vertical="center"/>
    </xf>
    <xf numFmtId="0" fontId="0" fillId="46" borderId="0" xfId="0" applyFill="1" applyBorder="1">
      <alignment vertical="center"/>
    </xf>
    <xf numFmtId="0" fontId="0" fillId="47" borderId="0" xfId="0" applyFill="1" applyBorder="1">
      <alignment vertical="center"/>
    </xf>
    <xf numFmtId="0" fontId="0" fillId="9" borderId="0" xfId="0" applyFill="1" applyBorder="1">
      <alignment vertical="center"/>
    </xf>
    <xf numFmtId="0" fontId="0" fillId="48" borderId="0" xfId="0" applyFill="1" applyBorder="1">
      <alignment vertical="center"/>
    </xf>
    <xf numFmtId="0" fontId="4" fillId="2" borderId="0" xfId="0" applyFont="1" applyFill="1" applyBorder="1">
      <alignment vertical="center"/>
    </xf>
    <xf numFmtId="0" fontId="44" fillId="0" borderId="0" xfId="0" applyFont="1" applyFill="1" applyBorder="1">
      <alignment vertical="center"/>
    </xf>
    <xf numFmtId="0" fontId="45" fillId="0" borderId="0" xfId="0" applyFont="1" applyFill="1" applyBorder="1">
      <alignment vertical="center"/>
    </xf>
    <xf numFmtId="0" fontId="4" fillId="4" borderId="0" xfId="0" applyFont="1" applyFill="1" applyBorder="1">
      <alignment vertical="center"/>
    </xf>
    <xf numFmtId="0" fontId="4" fillId="4" borderId="0" xfId="0" applyFont="1" applyFill="1" applyBorder="1" applyAlignment="1">
      <alignment vertical="center" wrapText="1"/>
    </xf>
    <xf numFmtId="0" fontId="3" fillId="3" borderId="0" xfId="0" applyFont="1" applyFill="1" applyBorder="1">
      <alignment vertical="center"/>
    </xf>
    <xf numFmtId="0" fontId="4" fillId="49" borderId="0" xfId="0" applyFont="1" applyFill="1" applyBorder="1">
      <alignment vertical="center"/>
    </xf>
    <xf numFmtId="0" fontId="0" fillId="0" borderId="0" xfId="0" applyBorder="1" applyAlignment="1">
      <alignment horizontal="center" vertical="center"/>
    </xf>
    <xf numFmtId="0" fontId="0" fillId="50" borderId="0" xfId="0" applyFill="1" applyBorder="1">
      <alignment vertical="center"/>
    </xf>
    <xf numFmtId="0" fontId="0" fillId="43" borderId="0" xfId="0" applyFill="1" applyBorder="1">
      <alignment vertical="center"/>
    </xf>
    <xf numFmtId="0" fontId="4" fillId="13" borderId="0" xfId="0" applyFont="1" applyFill="1" applyBorder="1">
      <alignment vertical="center"/>
    </xf>
    <xf numFmtId="0" fontId="0" fillId="14" borderId="0" xfId="0" applyFill="1" applyBorder="1">
      <alignment vertical="center"/>
    </xf>
    <xf numFmtId="0" fontId="0" fillId="13" borderId="1" xfId="0" applyFill="1" applyBorder="1">
      <alignment vertical="center"/>
    </xf>
    <xf numFmtId="0" fontId="1" fillId="13" borderId="0" xfId="0" applyFont="1" applyFill="1" applyBorder="1" applyAlignment="1">
      <alignment horizontal="center" vertical="center"/>
    </xf>
    <xf numFmtId="0" fontId="0" fillId="14" borderId="1" xfId="0" applyFill="1" applyBorder="1">
      <alignment vertical="center"/>
    </xf>
    <xf numFmtId="0" fontId="0" fillId="14" borderId="0" xfId="0" applyFill="1">
      <alignment vertical="center"/>
    </xf>
    <xf numFmtId="0" fontId="1" fillId="0" borderId="0" xfId="0" applyFont="1" applyBorder="1" applyAlignment="1">
      <alignment vertical="center" wrapText="1"/>
    </xf>
    <xf numFmtId="0" fontId="1" fillId="0" borderId="0" xfId="0" applyFont="1" applyFill="1" applyBorder="1" applyAlignment="1">
      <alignment vertical="center" wrapText="1"/>
    </xf>
    <xf numFmtId="0" fontId="3" fillId="0" borderId="0" xfId="0" applyFont="1" applyFill="1" applyBorder="1" applyAlignment="1">
      <alignment vertical="center" wrapText="1"/>
    </xf>
    <xf numFmtId="176" fontId="1" fillId="0" borderId="0" xfId="0" applyNumberFormat="1" applyFont="1" applyFill="1" applyBorder="1" applyAlignment="1">
      <alignment horizontal="center" vertical="center"/>
    </xf>
    <xf numFmtId="176" fontId="1" fillId="0" borderId="0" xfId="0" applyNumberFormat="1" applyFont="1" applyBorder="1">
      <alignment vertical="center"/>
    </xf>
    <xf numFmtId="0" fontId="1" fillId="0" borderId="0" xfId="0" applyFont="1" applyBorder="1" applyAlignment="1">
      <alignment horizontal="center" vertical="center" wrapText="1"/>
    </xf>
    <xf numFmtId="0" fontId="1" fillId="0" borderId="0" xfId="0" applyFont="1" applyBorder="1" applyAlignment="1">
      <alignment horizontal="left" vertical="center"/>
    </xf>
    <xf numFmtId="178" fontId="1" fillId="0" borderId="0" xfId="0" applyNumberFormat="1" applyFont="1" applyBorder="1" applyAlignment="1">
      <alignment horizontal="center" vertical="center"/>
    </xf>
    <xf numFmtId="176" fontId="3" fillId="0" borderId="0" xfId="0" applyNumberFormat="1" applyFont="1" applyBorder="1" applyAlignment="1">
      <alignment horizontal="center" vertical="center"/>
    </xf>
    <xf numFmtId="0" fontId="3" fillId="0" borderId="0" xfId="0" applyFont="1" applyBorder="1" applyAlignment="1">
      <alignment horizontal="center" vertical="center"/>
    </xf>
    <xf numFmtId="177" fontId="3" fillId="0" borderId="0" xfId="0" applyNumberFormat="1" applyFont="1" applyBorder="1" applyAlignment="1">
      <alignment horizontal="center" vertical="center"/>
    </xf>
    <xf numFmtId="176" fontId="18" fillId="0" borderId="0" xfId="0" applyNumberFormat="1" applyFont="1" applyBorder="1" applyAlignment="1">
      <alignment horizontal="center" vertical="center"/>
    </xf>
    <xf numFmtId="177" fontId="3" fillId="0" borderId="0" xfId="0" applyNumberFormat="1" applyFont="1" applyFill="1" applyBorder="1" applyAlignment="1">
      <alignment horizontal="center" vertical="center"/>
    </xf>
    <xf numFmtId="176" fontId="1" fillId="0" borderId="0" xfId="0" applyNumberFormat="1" applyFont="1" applyBorder="1" applyAlignment="1">
      <alignment horizontal="center" vertical="center"/>
    </xf>
    <xf numFmtId="0" fontId="1" fillId="0" borderId="0" xfId="0" applyFont="1" applyBorder="1" applyAlignment="1">
      <alignment horizontal="left" vertical="center" wrapText="1"/>
    </xf>
    <xf numFmtId="178" fontId="1" fillId="0" borderId="0" xfId="0" applyNumberFormat="1" applyFont="1" applyBorder="1">
      <alignment vertical="center"/>
    </xf>
    <xf numFmtId="178" fontId="3" fillId="0" borderId="0" xfId="0" applyNumberFormat="1" applyFont="1" applyBorder="1">
      <alignment vertical="center"/>
    </xf>
    <xf numFmtId="178" fontId="3" fillId="0" borderId="0" xfId="0" applyNumberFormat="1" applyFont="1" applyBorder="1" applyAlignment="1">
      <alignment horizontal="center" vertical="center"/>
    </xf>
    <xf numFmtId="176" fontId="3" fillId="0" borderId="0" xfId="0" applyNumberFormat="1" applyFont="1" applyBorder="1">
      <alignment vertical="center"/>
    </xf>
    <xf numFmtId="178" fontId="9" fillId="0" borderId="0" xfId="0" applyNumberFormat="1" applyFont="1" applyBorder="1" applyAlignment="1">
      <alignment horizontal="center" vertical="center"/>
    </xf>
    <xf numFmtId="178" fontId="1" fillId="0" borderId="0" xfId="0" applyNumberFormat="1" applyFont="1" applyFill="1" applyBorder="1" applyAlignment="1">
      <alignment horizontal="center" vertical="center"/>
    </xf>
    <xf numFmtId="178" fontId="1" fillId="0" borderId="0" xfId="0" applyNumberFormat="1" applyFont="1" applyFill="1" applyBorder="1" applyAlignment="1">
      <alignment horizontal="center" vertical="center" wrapText="1"/>
    </xf>
    <xf numFmtId="178" fontId="9" fillId="51" borderId="1" xfId="0" applyNumberFormat="1" applyFont="1" applyFill="1" applyBorder="1" applyAlignment="1">
      <alignment horizontal="center" vertical="center"/>
    </xf>
    <xf numFmtId="178" fontId="9" fillId="52" borderId="1" xfId="0" applyNumberFormat="1" applyFont="1" applyFill="1" applyBorder="1" applyAlignment="1">
      <alignment horizontal="center" vertical="center"/>
    </xf>
    <xf numFmtId="178" fontId="1" fillId="28" borderId="1" xfId="0" applyNumberFormat="1" applyFont="1" applyFill="1" applyBorder="1" applyAlignment="1">
      <alignment horizontal="center" vertical="center"/>
    </xf>
    <xf numFmtId="178" fontId="7" fillId="28" borderId="2" xfId="0" applyNumberFormat="1" applyFont="1" applyFill="1" applyBorder="1" applyAlignment="1">
      <alignment horizontal="center" vertical="center" wrapText="1"/>
    </xf>
    <xf numFmtId="178" fontId="7" fillId="0" borderId="2" xfId="0" applyNumberFormat="1" applyFont="1" applyBorder="1" applyAlignment="1">
      <alignment horizontal="center" vertical="center" wrapText="1"/>
    </xf>
    <xf numFmtId="178" fontId="1" fillId="53" borderId="1" xfId="0" applyNumberFormat="1" applyFont="1" applyFill="1" applyBorder="1" applyAlignment="1">
      <alignment horizontal="center" vertical="center"/>
    </xf>
    <xf numFmtId="178" fontId="1" fillId="54" borderId="1" xfId="0" applyNumberFormat="1" applyFont="1" applyFill="1" applyBorder="1" applyAlignment="1">
      <alignment horizontal="center" vertical="center"/>
    </xf>
    <xf numFmtId="178" fontId="1" fillId="3" borderId="1" xfId="0" applyNumberFormat="1" applyFont="1" applyFill="1" applyBorder="1" applyAlignment="1">
      <alignment horizontal="center" vertical="center" wrapText="1"/>
    </xf>
    <xf numFmtId="178" fontId="1" fillId="2" borderId="1" xfId="0" applyNumberFormat="1" applyFont="1" applyFill="1" applyBorder="1" applyAlignment="1">
      <alignment horizontal="center" vertical="center" wrapText="1"/>
    </xf>
    <xf numFmtId="178" fontId="7" fillId="3" borderId="1" xfId="0" applyNumberFormat="1" applyFont="1" applyFill="1" applyBorder="1" applyAlignment="1">
      <alignment horizontal="center" vertical="center" wrapText="1"/>
    </xf>
    <xf numFmtId="178" fontId="3" fillId="2" borderId="1" xfId="0" applyNumberFormat="1" applyFont="1" applyFill="1" applyBorder="1" applyAlignment="1">
      <alignment horizontal="center" vertical="center" wrapText="1"/>
    </xf>
    <xf numFmtId="178" fontId="6" fillId="2" borderId="1" xfId="0" applyNumberFormat="1" applyFont="1" applyFill="1" applyBorder="1" applyAlignment="1">
      <alignment horizontal="center" vertical="center" wrapText="1"/>
    </xf>
    <xf numFmtId="178" fontId="9" fillId="0" borderId="1" xfId="0" applyNumberFormat="1" applyFont="1" applyFill="1" applyBorder="1" applyAlignment="1">
      <alignment horizontal="center" vertical="center"/>
    </xf>
    <xf numFmtId="178" fontId="3" fillId="0" borderId="1" xfId="0" applyNumberFormat="1" applyFont="1" applyFill="1" applyBorder="1" applyAlignment="1">
      <alignment horizontal="center" vertical="center" wrapText="1"/>
    </xf>
    <xf numFmtId="178" fontId="3" fillId="3" borderId="1" xfId="0" applyNumberFormat="1" applyFont="1" applyFill="1" applyBorder="1" applyAlignment="1">
      <alignment horizontal="center" vertical="center" wrapText="1"/>
    </xf>
    <xf numFmtId="178" fontId="1" fillId="28" borderId="2" xfId="0" applyNumberFormat="1" applyFont="1" applyFill="1" applyBorder="1" applyAlignment="1">
      <alignment horizontal="center" vertical="center" wrapText="1"/>
    </xf>
    <xf numFmtId="178" fontId="1" fillId="3" borderId="11" xfId="0" applyNumberFormat="1" applyFont="1" applyFill="1" applyBorder="1" applyAlignment="1">
      <alignment horizontal="center" vertical="center" wrapText="1"/>
    </xf>
    <xf numFmtId="178" fontId="7" fillId="28" borderId="2" xfId="0" applyNumberFormat="1" applyFont="1" applyFill="1" applyBorder="1" applyAlignment="1">
      <alignment horizontal="center" vertical="center"/>
    </xf>
    <xf numFmtId="178" fontId="1" fillId="28" borderId="2" xfId="0" applyNumberFormat="1" applyFont="1" applyFill="1" applyBorder="1" applyAlignment="1">
      <alignment horizontal="center" vertical="center"/>
    </xf>
    <xf numFmtId="178" fontId="1" fillId="3" borderId="10" xfId="0" applyNumberFormat="1" applyFont="1" applyFill="1" applyBorder="1" applyAlignment="1">
      <alignment horizontal="center" vertical="center" wrapText="1"/>
    </xf>
    <xf numFmtId="178" fontId="1" fillId="2" borderId="2" xfId="0" applyNumberFormat="1" applyFont="1" applyFill="1" applyBorder="1" applyAlignment="1">
      <alignment horizontal="center" vertical="center" wrapText="1"/>
    </xf>
    <xf numFmtId="178" fontId="1" fillId="2" borderId="10" xfId="0" applyNumberFormat="1" applyFont="1" applyFill="1" applyBorder="1" applyAlignment="1">
      <alignment horizontal="center" vertical="center" wrapText="1"/>
    </xf>
    <xf numFmtId="178" fontId="1" fillId="2" borderId="11" xfId="0" applyNumberFormat="1" applyFont="1" applyFill="1" applyBorder="1" applyAlignment="1">
      <alignment horizontal="center" vertical="center" wrapText="1"/>
    </xf>
    <xf numFmtId="178" fontId="1" fillId="3" borderId="2" xfId="0" applyNumberFormat="1" applyFont="1" applyFill="1" applyBorder="1" applyAlignment="1">
      <alignment horizontal="center" vertical="center" wrapText="1"/>
    </xf>
    <xf numFmtId="178" fontId="3" fillId="2" borderId="2" xfId="0" applyNumberFormat="1" applyFont="1" applyFill="1" applyBorder="1" applyAlignment="1">
      <alignment horizontal="center" vertical="center" wrapText="1"/>
    </xf>
    <xf numFmtId="178" fontId="3" fillId="2" borderId="10" xfId="0" applyNumberFormat="1" applyFont="1" applyFill="1" applyBorder="1" applyAlignment="1">
      <alignment horizontal="center" vertical="center" wrapText="1"/>
    </xf>
    <xf numFmtId="178" fontId="3" fillId="2" borderId="11" xfId="0" applyNumberFormat="1" applyFont="1" applyFill="1" applyBorder="1" applyAlignment="1">
      <alignment horizontal="center" vertical="center" wrapText="1"/>
    </xf>
    <xf numFmtId="178" fontId="7" fillId="0" borderId="2" xfId="0" applyNumberFormat="1" applyFont="1" applyFill="1" applyBorder="1" applyAlignment="1">
      <alignment horizontal="center" vertical="center" wrapText="1"/>
    </xf>
    <xf numFmtId="178" fontId="3" fillId="0" borderId="10" xfId="0" applyNumberFormat="1" applyFont="1" applyFill="1" applyBorder="1" applyAlignment="1">
      <alignment horizontal="center" vertical="center" wrapText="1"/>
    </xf>
    <xf numFmtId="178" fontId="3" fillId="0" borderId="11" xfId="0" applyNumberFormat="1" applyFont="1" applyFill="1" applyBorder="1" applyAlignment="1">
      <alignment horizontal="center" vertical="center" wrapText="1"/>
    </xf>
    <xf numFmtId="178" fontId="9" fillId="55" borderId="1" xfId="0" applyNumberFormat="1" applyFont="1" applyFill="1" applyBorder="1" applyAlignment="1">
      <alignment horizontal="center" vertical="center"/>
    </xf>
    <xf numFmtId="178" fontId="8" fillId="27" borderId="1" xfId="0" applyNumberFormat="1" applyFont="1" applyFill="1" applyBorder="1" applyAlignment="1">
      <alignment horizontal="center" vertical="center"/>
    </xf>
    <xf numFmtId="178" fontId="9" fillId="27" borderId="1" xfId="0" applyNumberFormat="1" applyFont="1" applyFill="1" applyBorder="1" applyAlignment="1">
      <alignment horizontal="center" vertical="center"/>
    </xf>
    <xf numFmtId="178" fontId="1" fillId="0" borderId="1" xfId="0" applyNumberFormat="1" applyFont="1" applyBorder="1" applyAlignment="1">
      <alignment horizontal="center" vertical="center" wrapText="1"/>
    </xf>
    <xf numFmtId="178" fontId="1" fillId="56" borderId="1" xfId="0" applyNumberFormat="1" applyFont="1" applyFill="1" applyBorder="1" applyAlignment="1">
      <alignment horizontal="center" vertical="center"/>
    </xf>
    <xf numFmtId="178" fontId="1" fillId="57" borderId="1" xfId="0" applyNumberFormat="1" applyFont="1" applyFill="1" applyBorder="1" applyAlignment="1">
      <alignment horizontal="center" vertical="center"/>
    </xf>
    <xf numFmtId="178" fontId="1" fillId="58" borderId="1" xfId="0" applyNumberFormat="1" applyFont="1" applyFill="1" applyBorder="1" applyAlignment="1">
      <alignment horizontal="center" vertical="center"/>
    </xf>
    <xf numFmtId="178" fontId="3" fillId="59" borderId="1" xfId="0" applyNumberFormat="1" applyFont="1" applyFill="1" applyBorder="1" applyAlignment="1">
      <alignment horizontal="center" vertical="center"/>
    </xf>
    <xf numFmtId="178" fontId="1" fillId="60" borderId="1" xfId="0" applyNumberFormat="1" applyFont="1" applyFill="1" applyBorder="1" applyAlignment="1">
      <alignment horizontal="center" vertical="center"/>
    </xf>
    <xf numFmtId="178" fontId="1" fillId="61" borderId="1" xfId="0" applyNumberFormat="1" applyFont="1" applyFill="1" applyBorder="1" applyAlignment="1">
      <alignment horizontal="center" vertical="center"/>
    </xf>
    <xf numFmtId="178" fontId="1" fillId="62" borderId="1" xfId="0" applyNumberFormat="1" applyFont="1" applyFill="1" applyBorder="1" applyAlignment="1">
      <alignment horizontal="center" vertical="center"/>
    </xf>
    <xf numFmtId="178" fontId="9" fillId="27" borderId="1" xfId="0" applyNumberFormat="1" applyFont="1" applyFill="1" applyBorder="1" applyAlignment="1">
      <alignment horizontal="center" vertical="center" wrapText="1"/>
    </xf>
    <xf numFmtId="178" fontId="1" fillId="0" borderId="0" xfId="0" applyNumberFormat="1" applyFont="1" applyAlignment="1">
      <alignment horizontal="center" vertical="center" wrapText="1"/>
    </xf>
    <xf numFmtId="178" fontId="46" fillId="0" borderId="1" xfId="6" applyNumberFormat="1" applyFont="1" applyFill="1" applyBorder="1" applyAlignment="1">
      <alignment horizontal="center" vertical="center"/>
    </xf>
    <xf numFmtId="178" fontId="46" fillId="54" borderId="1" xfId="6" applyNumberFormat="1" applyFont="1" applyFill="1" applyBorder="1" applyAlignment="1">
      <alignment horizontal="center" vertical="center"/>
    </xf>
    <xf numFmtId="178" fontId="46" fillId="56" borderId="1" xfId="6" applyNumberFormat="1" applyFont="1" applyFill="1" applyBorder="1" applyAlignment="1">
      <alignment horizontal="center" vertical="center"/>
    </xf>
    <xf numFmtId="178" fontId="46" fillId="57" borderId="1" xfId="6" applyNumberFormat="1" applyFont="1" applyFill="1" applyBorder="1" applyAlignment="1">
      <alignment horizontal="center" vertical="center"/>
    </xf>
    <xf numFmtId="178" fontId="46" fillId="58" borderId="1" xfId="6" applyNumberFormat="1" applyFont="1" applyFill="1" applyBorder="1" applyAlignment="1">
      <alignment horizontal="center" vertical="center"/>
    </xf>
    <xf numFmtId="178" fontId="46" fillId="59" borderId="1" xfId="6" applyNumberFormat="1" applyFont="1" applyFill="1" applyBorder="1" applyAlignment="1">
      <alignment horizontal="center" vertical="center"/>
    </xf>
    <xf numFmtId="178" fontId="46" fillId="60" borderId="1" xfId="6" applyNumberFormat="1" applyFont="1" applyFill="1" applyBorder="1" applyAlignment="1">
      <alignment horizontal="center" vertical="center"/>
    </xf>
    <xf numFmtId="178" fontId="8" fillId="27" borderId="1" xfId="0" applyNumberFormat="1" applyFont="1" applyFill="1" applyBorder="1" applyAlignment="1">
      <alignment horizontal="center" vertical="center" wrapText="1"/>
    </xf>
    <xf numFmtId="178" fontId="47" fillId="0" borderId="1" xfId="6" applyNumberFormat="1" applyFont="1" applyFill="1" applyBorder="1" applyAlignment="1">
      <alignment horizontal="center" vertical="center" wrapText="1"/>
    </xf>
    <xf numFmtId="178" fontId="48" fillId="54" borderId="1" xfId="6" applyNumberFormat="1" applyFont="1" applyFill="1" applyBorder="1" applyAlignment="1">
      <alignment horizontal="center" vertical="center" wrapText="1"/>
    </xf>
    <xf numFmtId="178" fontId="48" fillId="54" borderId="1" xfId="6" applyNumberFormat="1" applyFont="1" applyFill="1" applyBorder="1" applyAlignment="1">
      <alignment horizontal="center" vertical="center"/>
    </xf>
    <xf numFmtId="178" fontId="1" fillId="58" borderId="1" xfId="0" applyNumberFormat="1" applyFont="1" applyFill="1" applyBorder="1" applyAlignment="1">
      <alignment horizontal="center" vertical="center" wrapText="1"/>
    </xf>
    <xf numFmtId="178" fontId="3" fillId="59" borderId="1" xfId="0" applyNumberFormat="1" applyFont="1" applyFill="1" applyBorder="1" applyAlignment="1">
      <alignment horizontal="center" vertical="center" wrapText="1"/>
    </xf>
    <xf numFmtId="178" fontId="3" fillId="54" borderId="1" xfId="0" applyNumberFormat="1" applyFont="1" applyFill="1" applyBorder="1" applyAlignment="1">
      <alignment horizontal="center" vertical="center"/>
    </xf>
    <xf numFmtId="178" fontId="1" fillId="0" borderId="0" xfId="0" applyNumberFormat="1" applyFont="1" applyFill="1" applyBorder="1" applyAlignment="1">
      <alignment horizontal="left" vertical="center"/>
    </xf>
    <xf numFmtId="178" fontId="1" fillId="0" borderId="1" xfId="0" applyNumberFormat="1" applyFont="1" applyFill="1" applyBorder="1" applyAlignment="1">
      <alignment horizontal="left" vertical="center"/>
    </xf>
    <xf numFmtId="178" fontId="2" fillId="0" borderId="1" xfId="0" applyNumberFormat="1" applyFont="1" applyFill="1" applyBorder="1" applyAlignment="1">
      <alignment horizontal="left" vertical="center" wrapText="1"/>
    </xf>
    <xf numFmtId="178" fontId="1" fillId="0" borderId="1" xfId="3" applyNumberFormat="1" applyFont="1" applyFill="1" applyBorder="1" applyAlignment="1">
      <alignment horizontal="center" vertical="center" wrapText="1"/>
    </xf>
    <xf numFmtId="178" fontId="13" fillId="0" borderId="1" xfId="0" applyNumberFormat="1" applyFont="1" applyFill="1" applyBorder="1" applyAlignment="1">
      <alignment horizontal="left" vertical="top" wrapText="1"/>
    </xf>
    <xf numFmtId="178" fontId="2" fillId="0" borderId="2" xfId="0" applyNumberFormat="1" applyFont="1" applyFill="1" applyBorder="1" applyAlignment="1">
      <alignment horizontal="left" vertical="center" wrapText="1"/>
    </xf>
    <xf numFmtId="178" fontId="47" fillId="0" borderId="2" xfId="0" applyNumberFormat="1" applyFont="1" applyFill="1" applyBorder="1" applyAlignment="1">
      <alignment horizontal="center" vertical="center"/>
    </xf>
    <xf numFmtId="178" fontId="2" fillId="0" borderId="11" xfId="0" applyNumberFormat="1" applyFont="1" applyFill="1" applyBorder="1" applyAlignment="1">
      <alignment horizontal="left" vertical="center" wrapText="1"/>
    </xf>
    <xf numFmtId="178" fontId="47" fillId="0" borderId="11" xfId="0" applyNumberFormat="1" applyFont="1" applyFill="1" applyBorder="1" applyAlignment="1">
      <alignment horizontal="center" vertical="center"/>
    </xf>
    <xf numFmtId="178" fontId="2" fillId="3" borderId="1" xfId="3" applyNumberFormat="1" applyFont="1" applyFill="1" applyBorder="1" applyAlignment="1">
      <alignment horizontal="center" vertical="center" wrapText="1"/>
    </xf>
    <xf numFmtId="178" fontId="2" fillId="2" borderId="1" xfId="3" applyNumberFormat="1" applyFont="1" applyFill="1" applyBorder="1" applyAlignment="1">
      <alignment horizontal="center" vertical="center" wrapText="1"/>
    </xf>
    <xf numFmtId="178" fontId="7" fillId="2" borderId="1" xfId="3" applyNumberFormat="1" applyFont="1" applyFill="1" applyBorder="1" applyAlignment="1">
      <alignment horizontal="center" vertical="center" wrapText="1"/>
    </xf>
    <xf numFmtId="178" fontId="1" fillId="3" borderId="1" xfId="3" applyNumberFormat="1" applyFont="1" applyFill="1" applyBorder="1" applyAlignment="1">
      <alignment horizontal="center" vertical="center"/>
    </xf>
    <xf numFmtId="178" fontId="3" fillId="2" borderId="1" xfId="3" applyNumberFormat="1" applyFont="1" applyFill="1" applyBorder="1" applyAlignment="1">
      <alignment horizontal="center" vertical="center" wrapText="1"/>
    </xf>
    <xf numFmtId="178" fontId="1" fillId="0" borderId="1" xfId="3" applyNumberFormat="1" applyFont="1" applyFill="1" applyBorder="1" applyAlignment="1">
      <alignment horizontal="center" vertical="center"/>
    </xf>
    <xf numFmtId="178" fontId="3" fillId="0" borderId="0" xfId="0" applyNumberFormat="1" applyFont="1" applyFill="1" applyBorder="1" applyAlignment="1">
      <alignment horizontal="center" vertical="center"/>
    </xf>
    <xf numFmtId="178" fontId="49" fillId="3" borderId="1" xfId="0" applyNumberFormat="1" applyFont="1" applyFill="1" applyBorder="1" applyAlignment="1">
      <alignment horizontal="center" vertical="center"/>
    </xf>
    <xf numFmtId="178" fontId="11" fillId="3" borderId="1" xfId="0" applyNumberFormat="1" applyFont="1" applyFill="1" applyBorder="1" applyAlignment="1">
      <alignment horizontal="center" vertical="center" wrapText="1"/>
    </xf>
    <xf numFmtId="178" fontId="17" fillId="0" borderId="1" xfId="0" applyNumberFormat="1" applyFont="1" applyBorder="1" applyAlignment="1">
      <alignment horizontal="center" vertical="center" wrapText="1"/>
    </xf>
    <xf numFmtId="178" fontId="1" fillId="0" borderId="1" xfId="0" applyNumberFormat="1" applyFont="1" applyFill="1" applyBorder="1">
      <alignment vertical="center"/>
    </xf>
    <xf numFmtId="178" fontId="6" fillId="0" borderId="1" xfId="0" applyNumberFormat="1" applyFont="1" applyFill="1" applyBorder="1" applyAlignment="1">
      <alignment horizontal="center" vertical="center"/>
    </xf>
    <xf numFmtId="178" fontId="1" fillId="2" borderId="1" xfId="0" applyNumberFormat="1" applyFont="1" applyFill="1" applyBorder="1" applyAlignment="1">
      <alignment vertical="center"/>
    </xf>
    <xf numFmtId="178" fontId="18" fillId="2" borderId="1" xfId="0" applyNumberFormat="1" applyFont="1" applyFill="1" applyBorder="1" applyAlignment="1">
      <alignment horizontal="center" vertical="center"/>
    </xf>
    <xf numFmtId="178" fontId="3" fillId="2" borderId="1" xfId="0" applyNumberFormat="1" applyFont="1" applyFill="1" applyBorder="1" applyAlignment="1">
      <alignment vertical="center"/>
    </xf>
    <xf numFmtId="178" fontId="1" fillId="3" borderId="1" xfId="0" applyNumberFormat="1" applyFont="1" applyFill="1" applyBorder="1">
      <alignment vertical="center"/>
    </xf>
    <xf numFmtId="178" fontId="1" fillId="0" borderId="0" xfId="0" applyNumberFormat="1" applyFont="1" applyFill="1" applyBorder="1" applyAlignment="1">
      <alignment horizontal="left" vertical="center" wrapText="1"/>
    </xf>
    <xf numFmtId="178" fontId="1" fillId="0" borderId="1" xfId="0" applyNumberFormat="1" applyFont="1" applyFill="1" applyBorder="1" applyAlignment="1">
      <alignment horizontal="left" vertical="center" wrapText="1"/>
    </xf>
    <xf numFmtId="178" fontId="47" fillId="0" borderId="1" xfId="0" applyNumberFormat="1" applyFont="1" applyFill="1" applyBorder="1" applyAlignment="1">
      <alignment horizontal="center" vertical="center"/>
    </xf>
    <xf numFmtId="178" fontId="1" fillId="2" borderId="1" xfId="0" applyNumberFormat="1" applyFont="1" applyFill="1" applyBorder="1" applyAlignment="1">
      <alignment vertical="center" wrapText="1"/>
    </xf>
    <xf numFmtId="178" fontId="7" fillId="2" borderId="1" xfId="0" applyNumberFormat="1" applyFont="1" applyFill="1" applyBorder="1" applyAlignment="1">
      <alignment vertical="center" wrapText="1"/>
    </xf>
    <xf numFmtId="178" fontId="7" fillId="3" borderId="1" xfId="0" applyNumberFormat="1" applyFont="1" applyFill="1" applyBorder="1">
      <alignment vertical="center"/>
    </xf>
    <xf numFmtId="178" fontId="1" fillId="3" borderId="1" xfId="0" applyNumberFormat="1" applyFont="1" applyFill="1" applyBorder="1" applyAlignment="1">
      <alignment vertical="center" wrapText="1"/>
    </xf>
    <xf numFmtId="178" fontId="7" fillId="0" borderId="1" xfId="0" applyNumberFormat="1" applyFont="1" applyFill="1" applyBorder="1" applyAlignment="1">
      <alignment horizontal="left" vertical="center"/>
    </xf>
    <xf numFmtId="178" fontId="9" fillId="63" borderId="1" xfId="0" applyNumberFormat="1" applyFont="1" applyFill="1" applyBorder="1" applyAlignment="1">
      <alignment horizontal="center" vertical="center"/>
    </xf>
    <xf numFmtId="178" fontId="1" fillId="0" borderId="1" xfId="0" applyNumberFormat="1" applyFont="1" applyFill="1" applyBorder="1" applyAlignment="1">
      <alignment vertical="center" wrapText="1"/>
    </xf>
    <xf numFmtId="178" fontId="1" fillId="2" borderId="1" xfId="0" applyNumberFormat="1" applyFont="1" applyFill="1" applyBorder="1">
      <alignment vertical="center"/>
    </xf>
    <xf numFmtId="178" fontId="9" fillId="63" borderId="20" xfId="0" applyNumberFormat="1" applyFont="1" applyFill="1" applyBorder="1" applyAlignment="1">
      <alignment horizontal="center" vertical="center"/>
    </xf>
    <xf numFmtId="178" fontId="9" fillId="55" borderId="20" xfId="0" applyNumberFormat="1" applyFont="1" applyFill="1" applyBorder="1" applyAlignment="1">
      <alignment horizontal="center" vertical="center"/>
    </xf>
    <xf numFmtId="178" fontId="3" fillId="0" borderId="46" xfId="0" applyNumberFormat="1" applyFont="1" applyFill="1" applyBorder="1" applyAlignment="1">
      <alignment horizontal="center" vertical="center"/>
    </xf>
    <xf numFmtId="178" fontId="3" fillId="0" borderId="47" xfId="0" applyNumberFormat="1" applyFont="1" applyFill="1" applyBorder="1" applyAlignment="1">
      <alignment horizontal="center" vertical="center"/>
    </xf>
    <xf numFmtId="178" fontId="7" fillId="0" borderId="48" xfId="0" applyNumberFormat="1" applyFont="1" applyFill="1" applyBorder="1" applyAlignment="1">
      <alignment horizontal="center" vertical="center"/>
    </xf>
    <xf numFmtId="178" fontId="3" fillId="0" borderId="49" xfId="0" applyNumberFormat="1" applyFont="1" applyFill="1" applyBorder="1" applyAlignment="1">
      <alignment horizontal="center" vertical="center"/>
    </xf>
    <xf numFmtId="178" fontId="7" fillId="0" borderId="11" xfId="0" applyNumberFormat="1" applyFont="1" applyBorder="1" applyAlignment="1">
      <alignment horizontal="center" vertical="center" wrapText="1"/>
    </xf>
    <xf numFmtId="178" fontId="3" fillId="0" borderId="1" xfId="0" applyNumberFormat="1" applyFont="1" applyFill="1" applyBorder="1">
      <alignment vertical="center"/>
    </xf>
    <xf numFmtId="178" fontId="3" fillId="0" borderId="1" xfId="0" applyNumberFormat="1" applyFont="1" applyFill="1" applyBorder="1" applyAlignment="1">
      <alignment vertical="center"/>
    </xf>
    <xf numFmtId="178" fontId="3" fillId="3" borderId="1" xfId="0" applyNumberFormat="1" applyFont="1" applyFill="1" applyBorder="1">
      <alignment vertical="center"/>
    </xf>
    <xf numFmtId="178" fontId="13" fillId="3" borderId="1" xfId="0" applyNumberFormat="1" applyFont="1" applyFill="1" applyBorder="1" applyAlignment="1">
      <alignment horizontal="center" vertical="center" wrapText="1"/>
    </xf>
    <xf numFmtId="178" fontId="3" fillId="2" borderId="1" xfId="0" applyNumberFormat="1" applyFont="1" applyFill="1" applyBorder="1">
      <alignment vertical="center"/>
    </xf>
    <xf numFmtId="178" fontId="7" fillId="0" borderId="49" xfId="0" applyNumberFormat="1" applyFont="1" applyFill="1" applyBorder="1" applyAlignment="1">
      <alignment horizontal="center" vertical="center" wrapText="1"/>
    </xf>
    <xf numFmtId="178" fontId="7" fillId="0" borderId="1" xfId="0" applyNumberFormat="1" applyFont="1" applyFill="1" applyBorder="1" applyAlignment="1">
      <alignment vertical="center"/>
    </xf>
    <xf numFmtId="178" fontId="7" fillId="0" borderId="49" xfId="0" applyNumberFormat="1" applyFont="1" applyFill="1" applyBorder="1" applyAlignment="1">
      <alignment horizontal="center" vertical="center"/>
    </xf>
    <xf numFmtId="178" fontId="3" fillId="0" borderId="0" xfId="0" applyNumberFormat="1" applyFont="1" applyFill="1" applyBorder="1">
      <alignment vertical="center"/>
    </xf>
    <xf numFmtId="178" fontId="3" fillId="0" borderId="50" xfId="0" applyNumberFormat="1" applyFont="1" applyFill="1" applyBorder="1" applyAlignment="1">
      <alignment horizontal="center" vertical="center"/>
    </xf>
    <xf numFmtId="178" fontId="3" fillId="0" borderId="51" xfId="0" applyNumberFormat="1" applyFont="1" applyFill="1" applyBorder="1" applyAlignment="1">
      <alignment horizontal="center" vertical="center"/>
    </xf>
    <xf numFmtId="178" fontId="7" fillId="0" borderId="52" xfId="0" applyNumberFormat="1" applyFont="1" applyFill="1" applyBorder="1" applyAlignment="1">
      <alignment horizontal="center" vertical="center"/>
    </xf>
    <xf numFmtId="178" fontId="7" fillId="0" borderId="53" xfId="0" applyNumberFormat="1" applyFont="1" applyFill="1" applyBorder="1" applyAlignment="1">
      <alignment horizontal="center" vertical="center"/>
    </xf>
    <xf numFmtId="178" fontId="6" fillId="2" borderId="1" xfId="0" applyNumberFormat="1" applyFont="1" applyFill="1" applyBorder="1">
      <alignment vertical="center"/>
    </xf>
    <xf numFmtId="178" fontId="6" fillId="0" borderId="1" xfId="0" applyNumberFormat="1" applyFont="1" applyFill="1" applyBorder="1">
      <alignment vertical="center"/>
    </xf>
    <xf numFmtId="178" fontId="6" fillId="2" borderId="1" xfId="0" applyNumberFormat="1" applyFont="1" applyFill="1" applyBorder="1" applyAlignment="1">
      <alignment vertical="center"/>
    </xf>
    <xf numFmtId="178" fontId="18" fillId="3" borderId="1" xfId="0" applyNumberFormat="1" applyFont="1" applyFill="1" applyBorder="1" applyAlignment="1">
      <alignment horizontal="center" vertical="center"/>
    </xf>
    <xf numFmtId="178" fontId="19" fillId="3" borderId="1" xfId="0" applyNumberFormat="1" applyFont="1" applyFill="1" applyBorder="1" applyAlignment="1">
      <alignment horizontal="center" vertical="center"/>
    </xf>
    <xf numFmtId="178" fontId="6" fillId="3" borderId="1" xfId="0" applyNumberFormat="1" applyFont="1" applyFill="1" applyBorder="1">
      <alignment vertical="center"/>
    </xf>
    <xf numFmtId="178" fontId="7" fillId="0" borderId="0" xfId="0" applyNumberFormat="1" applyFont="1" applyFill="1" applyBorder="1">
      <alignment vertical="center"/>
    </xf>
    <xf numFmtId="178" fontId="0" fillId="0" borderId="0" xfId="0" applyNumberFormat="1" applyFont="1" applyFill="1" applyBorder="1">
      <alignment vertical="center"/>
    </xf>
    <xf numFmtId="178" fontId="1" fillId="0" borderId="29" xfId="0" applyNumberFormat="1" applyFont="1" applyFill="1" applyBorder="1" applyAlignment="1">
      <alignment horizontal="center" vertical="center"/>
    </xf>
    <xf numFmtId="178" fontId="0" fillId="0" borderId="0" xfId="0" applyNumberFormat="1">
      <alignment vertical="center"/>
    </xf>
    <xf numFmtId="178" fontId="1" fillId="0" borderId="0" xfId="0" applyNumberFormat="1" applyFont="1" applyFill="1" applyBorder="1">
      <alignment vertical="center"/>
    </xf>
    <xf numFmtId="178" fontId="1" fillId="3" borderId="0" xfId="0" applyNumberFormat="1" applyFont="1" applyFill="1" applyBorder="1">
      <alignment vertical="center"/>
    </xf>
    <xf numFmtId="178" fontId="1" fillId="2" borderId="0" xfId="0" applyNumberFormat="1" applyFont="1" applyFill="1" applyBorder="1">
      <alignment vertical="center"/>
    </xf>
    <xf numFmtId="178" fontId="7" fillId="30" borderId="0" xfId="0" applyNumberFormat="1" applyFont="1" applyFill="1" applyBorder="1" applyAlignment="1">
      <alignment horizontal="center" vertical="center"/>
    </xf>
    <xf numFmtId="178" fontId="1" fillId="30" borderId="0" xfId="0" applyNumberFormat="1" applyFont="1" applyFill="1" applyBorder="1" applyAlignment="1">
      <alignment horizontal="center" vertical="center"/>
    </xf>
    <xf numFmtId="178" fontId="44" fillId="15" borderId="1" xfId="0" applyNumberFormat="1" applyFont="1" applyFill="1" applyBorder="1" applyAlignment="1">
      <alignment horizontal="center" vertical="center"/>
    </xf>
    <xf numFmtId="0" fontId="44" fillId="0" borderId="0" xfId="0" applyFont="1" applyBorder="1" applyAlignment="1">
      <alignment horizontal="center" vertical="center"/>
    </xf>
    <xf numFmtId="0" fontId="50" fillId="14" borderId="20" xfId="0" applyFont="1" applyFill="1" applyBorder="1" applyAlignment="1">
      <alignment horizontal="center" vertical="center"/>
    </xf>
    <xf numFmtId="178" fontId="1" fillId="15" borderId="1" xfId="0" applyNumberFormat="1" applyFont="1" applyFill="1" applyBorder="1" applyAlignment="1">
      <alignment horizontal="center" vertical="center"/>
    </xf>
    <xf numFmtId="178" fontId="1" fillId="15" borderId="1" xfId="0" applyNumberFormat="1" applyFont="1" applyFill="1" applyBorder="1">
      <alignment vertical="center"/>
    </xf>
    <xf numFmtId="178" fontId="1" fillId="15" borderId="1" xfId="0" applyNumberFormat="1" applyFont="1" applyFill="1" applyBorder="1" applyAlignment="1">
      <alignment horizontal="center" vertical="center" wrapText="1"/>
    </xf>
    <xf numFmtId="178" fontId="51" fillId="15" borderId="1" xfId="0" applyNumberFormat="1" applyFont="1" applyFill="1" applyBorder="1" applyAlignment="1">
      <alignment horizontal="center" vertical="center"/>
    </xf>
    <xf numFmtId="0" fontId="52" fillId="0" borderId="0" xfId="0" applyFont="1" applyFill="1" applyBorder="1" applyAlignment="1">
      <alignment horizontal="center" vertical="center"/>
    </xf>
    <xf numFmtId="0" fontId="51" fillId="14" borderId="1" xfId="0" applyFont="1" applyFill="1" applyBorder="1" applyAlignment="1">
      <alignment horizontal="center" vertical="center"/>
    </xf>
    <xf numFmtId="178" fontId="1" fillId="0" borderId="54" xfId="0" applyNumberFormat="1" applyFont="1" applyFill="1" applyBorder="1">
      <alignment vertical="center"/>
    </xf>
    <xf numFmtId="0" fontId="1" fillId="0" borderId="54" xfId="0" applyFont="1" applyFill="1" applyBorder="1">
      <alignment vertical="center"/>
    </xf>
    <xf numFmtId="0" fontId="44" fillId="14" borderId="29" xfId="0" applyFont="1" applyFill="1" applyBorder="1" applyAlignment="1">
      <alignment horizontal="center" vertical="center"/>
    </xf>
    <xf numFmtId="0" fontId="44" fillId="5" borderId="20" xfId="0" applyFont="1" applyFill="1" applyBorder="1" applyAlignment="1">
      <alignment horizontal="center" vertical="center"/>
    </xf>
    <xf numFmtId="0" fontId="44" fillId="5" borderId="29" xfId="0" applyFont="1" applyFill="1" applyBorder="1" applyAlignment="1">
      <alignment horizontal="center" vertical="center"/>
    </xf>
    <xf numFmtId="2" fontId="1" fillId="14" borderId="1" xfId="0" applyNumberFormat="1" applyFont="1" applyFill="1" applyBorder="1">
      <alignment vertical="center"/>
    </xf>
    <xf numFmtId="2" fontId="1" fillId="5" borderId="1" xfId="0" applyNumberFormat="1" applyFont="1" applyFill="1" applyBorder="1">
      <alignment vertical="center"/>
    </xf>
    <xf numFmtId="2" fontId="52" fillId="14" borderId="1" xfId="0" applyNumberFormat="1" applyFont="1" applyFill="1" applyBorder="1" applyAlignment="1">
      <alignment horizontal="center" vertical="center"/>
    </xf>
    <xf numFmtId="0" fontId="51" fillId="5" borderId="1" xfId="0" applyFont="1" applyFill="1" applyBorder="1" applyAlignment="1">
      <alignment horizontal="center" vertical="center"/>
    </xf>
    <xf numFmtId="2" fontId="52" fillId="5" borderId="1" xfId="0" applyNumberFormat="1" applyFont="1" applyFill="1" applyBorder="1" applyAlignment="1">
      <alignment horizontal="center" vertical="center"/>
    </xf>
    <xf numFmtId="178" fontId="1" fillId="64" borderId="1" xfId="0" applyNumberFormat="1" applyFont="1" applyFill="1" applyBorder="1" applyAlignment="1">
      <alignment horizontal="center" vertical="center"/>
    </xf>
    <xf numFmtId="178" fontId="1" fillId="53" borderId="1" xfId="0" applyNumberFormat="1" applyFont="1" applyFill="1" applyBorder="1" applyAlignment="1">
      <alignment horizontal="center" vertical="center" wrapText="1"/>
    </xf>
    <xf numFmtId="178" fontId="1" fillId="65" borderId="1" xfId="0" applyNumberFormat="1" applyFont="1" applyFill="1" applyBorder="1" applyAlignment="1">
      <alignment horizontal="center" vertical="center"/>
    </xf>
    <xf numFmtId="178" fontId="3" fillId="6" borderId="1" xfId="0" applyNumberFormat="1" applyFont="1" applyFill="1" applyBorder="1" applyAlignment="1">
      <alignment horizontal="center" vertical="center" wrapText="1"/>
    </xf>
    <xf numFmtId="178" fontId="1" fillId="65" borderId="1" xfId="0" applyNumberFormat="1" applyFont="1" applyFill="1" applyBorder="1" applyAlignment="1">
      <alignment horizontal="center" vertical="center" wrapText="1"/>
    </xf>
    <xf numFmtId="178" fontId="1" fillId="66" borderId="1" xfId="0" applyNumberFormat="1" applyFont="1" applyFill="1" applyBorder="1" applyAlignment="1">
      <alignment horizontal="center" vertical="center"/>
    </xf>
    <xf numFmtId="178" fontId="8" fillId="0" borderId="1" xfId="0" applyNumberFormat="1" applyFont="1" applyFill="1" applyBorder="1" applyAlignment="1">
      <alignment horizontal="center" vertical="center" wrapText="1"/>
    </xf>
    <xf numFmtId="178" fontId="3" fillId="43" borderId="1" xfId="0" applyNumberFormat="1" applyFont="1" applyFill="1" applyBorder="1" applyAlignment="1">
      <alignment horizontal="center" vertical="center"/>
    </xf>
    <xf numFmtId="178" fontId="3" fillId="17" borderId="1" xfId="0" applyNumberFormat="1" applyFont="1" applyFill="1" applyBorder="1" applyAlignment="1">
      <alignment horizontal="center" vertical="center"/>
    </xf>
    <xf numFmtId="178" fontId="7" fillId="53" borderId="1" xfId="0" applyNumberFormat="1" applyFont="1" applyFill="1" applyBorder="1" applyAlignment="1">
      <alignment horizontal="center" vertical="center" wrapText="1"/>
    </xf>
    <xf numFmtId="178" fontId="2" fillId="3" borderId="1" xfId="0" applyNumberFormat="1" applyFont="1" applyFill="1" applyBorder="1" applyAlignment="1">
      <alignment vertical="center" wrapText="1"/>
    </xf>
    <xf numFmtId="178" fontId="2" fillId="0" borderId="1" xfId="0" applyNumberFormat="1" applyFont="1" applyFill="1" applyBorder="1" applyAlignment="1">
      <alignment vertical="center" wrapText="1"/>
    </xf>
    <xf numFmtId="178" fontId="7" fillId="0" borderId="10" xfId="0" applyNumberFormat="1" applyFont="1" applyFill="1" applyBorder="1" applyAlignment="1">
      <alignment horizontal="center" vertical="center" wrapText="1"/>
    </xf>
    <xf numFmtId="178" fontId="7" fillId="0" borderId="11" xfId="0" applyNumberFormat="1" applyFont="1" applyFill="1" applyBorder="1" applyAlignment="1">
      <alignment horizontal="center" vertical="center" wrapText="1"/>
    </xf>
    <xf numFmtId="178" fontId="3" fillId="3" borderId="10" xfId="0" applyNumberFormat="1" applyFont="1" applyFill="1" applyBorder="1" applyAlignment="1">
      <alignment horizontal="center" vertical="center" wrapText="1"/>
    </xf>
    <xf numFmtId="178" fontId="3" fillId="3" borderId="11" xfId="0" applyNumberFormat="1" applyFont="1" applyFill="1" applyBorder="1" applyAlignment="1">
      <alignment horizontal="center" vertical="center" wrapText="1"/>
    </xf>
    <xf numFmtId="178" fontId="7" fillId="53" borderId="2" xfId="0" applyNumberFormat="1" applyFont="1" applyFill="1" applyBorder="1" applyAlignment="1">
      <alignment horizontal="center" vertical="center" wrapText="1"/>
    </xf>
    <xf numFmtId="178" fontId="1" fillId="53" borderId="10" xfId="0" applyNumberFormat="1" applyFont="1" applyFill="1" applyBorder="1" applyAlignment="1">
      <alignment horizontal="center" vertical="center" wrapText="1"/>
    </xf>
    <xf numFmtId="178" fontId="1" fillId="53" borderId="11" xfId="0" applyNumberFormat="1" applyFont="1" applyFill="1" applyBorder="1" applyAlignment="1">
      <alignment horizontal="center" vertical="center" wrapText="1"/>
    </xf>
    <xf numFmtId="178" fontId="1" fillId="65" borderId="2" xfId="0" applyNumberFormat="1" applyFont="1" applyFill="1" applyBorder="1" applyAlignment="1">
      <alignment horizontal="center" vertical="center"/>
    </xf>
    <xf numFmtId="178" fontId="1" fillId="65" borderId="11" xfId="0" applyNumberFormat="1" applyFont="1" applyFill="1" applyBorder="1" applyAlignment="1">
      <alignment horizontal="center" vertical="center"/>
    </xf>
    <xf numFmtId="178" fontId="3" fillId="0" borderId="2" xfId="0" applyNumberFormat="1" applyFont="1" applyFill="1" applyBorder="1" applyAlignment="1">
      <alignment horizontal="center" vertical="center" wrapText="1"/>
    </xf>
    <xf numFmtId="178" fontId="1" fillId="67" borderId="1" xfId="0" applyNumberFormat="1" applyFont="1" applyFill="1" applyBorder="1" applyAlignment="1">
      <alignment horizontal="center" vertical="center"/>
    </xf>
    <xf numFmtId="178" fontId="1" fillId="68" borderId="1" xfId="0" applyNumberFormat="1" applyFont="1" applyFill="1" applyBorder="1">
      <alignment vertical="center"/>
    </xf>
    <xf numFmtId="178" fontId="1" fillId="54" borderId="1" xfId="0" applyNumberFormat="1" applyFont="1" applyFill="1" applyBorder="1">
      <alignment vertical="center"/>
    </xf>
    <xf numFmtId="178" fontId="1" fillId="66" borderId="1" xfId="0" applyNumberFormat="1" applyFont="1" applyFill="1" applyBorder="1">
      <alignment vertical="center"/>
    </xf>
    <xf numFmtId="178" fontId="7" fillId="8" borderId="2" xfId="0" applyNumberFormat="1" applyFont="1" applyFill="1" applyBorder="1" applyAlignment="1">
      <alignment horizontal="center" vertical="center" wrapText="1"/>
    </xf>
    <xf numFmtId="178" fontId="7" fillId="8" borderId="10" xfId="0" applyNumberFormat="1" applyFont="1" applyFill="1" applyBorder="1" applyAlignment="1">
      <alignment horizontal="center" vertical="center" wrapText="1"/>
    </xf>
    <xf numFmtId="178" fontId="7" fillId="14" borderId="10" xfId="0" applyNumberFormat="1" applyFont="1" applyFill="1" applyBorder="1" applyAlignment="1">
      <alignment horizontal="center" vertical="center" wrapText="1"/>
    </xf>
    <xf numFmtId="178" fontId="7" fillId="14" borderId="11" xfId="0" applyNumberFormat="1" applyFont="1" applyFill="1" applyBorder="1" applyAlignment="1">
      <alignment horizontal="center" vertical="center" wrapText="1"/>
    </xf>
    <xf numFmtId="178" fontId="6" fillId="13" borderId="2" xfId="0" applyNumberFormat="1" applyFont="1" applyFill="1" applyBorder="1" applyAlignment="1">
      <alignment horizontal="center" vertical="center" wrapText="1"/>
    </xf>
    <xf numFmtId="178" fontId="6" fillId="13" borderId="10" xfId="0" applyNumberFormat="1" applyFont="1" applyFill="1" applyBorder="1" applyAlignment="1">
      <alignment horizontal="center" vertical="center" wrapText="1"/>
    </xf>
    <xf numFmtId="178" fontId="6" fillId="14" borderId="10" xfId="0" applyNumberFormat="1" applyFont="1" applyFill="1" applyBorder="1" applyAlignment="1">
      <alignment horizontal="center" vertical="center" wrapText="1"/>
    </xf>
    <xf numFmtId="178" fontId="6" fillId="14" borderId="11" xfId="0" applyNumberFormat="1" applyFont="1" applyFill="1" applyBorder="1" applyAlignment="1">
      <alignment horizontal="center" vertical="center" wrapText="1"/>
    </xf>
    <xf numFmtId="178" fontId="3" fillId="11" borderId="2" xfId="0" applyNumberFormat="1" applyFont="1" applyFill="1" applyBorder="1" applyAlignment="1">
      <alignment horizontal="center" vertical="center"/>
    </xf>
    <xf numFmtId="178" fontId="3" fillId="11" borderId="10" xfId="0" applyNumberFormat="1" applyFont="1" applyFill="1" applyBorder="1" applyAlignment="1">
      <alignment horizontal="center" vertical="center"/>
    </xf>
    <xf numFmtId="178" fontId="1" fillId="68" borderId="1" xfId="0" applyNumberFormat="1" applyFont="1" applyFill="1" applyBorder="1" applyAlignment="1">
      <alignment horizontal="center" vertical="center"/>
    </xf>
    <xf numFmtId="178" fontId="1" fillId="67" borderId="1" xfId="0" applyNumberFormat="1" applyFont="1" applyFill="1" applyBorder="1" applyAlignment="1">
      <alignment horizontal="center" vertical="center" wrapText="1"/>
    </xf>
    <xf numFmtId="178" fontId="1" fillId="54" borderId="1" xfId="0" applyNumberFormat="1" applyFont="1" applyFill="1" applyBorder="1" applyAlignment="1">
      <alignment vertical="center" wrapText="1"/>
    </xf>
    <xf numFmtId="178" fontId="3" fillId="13" borderId="2" xfId="0" applyNumberFormat="1" applyFont="1" applyFill="1" applyBorder="1" applyAlignment="1">
      <alignment horizontal="center" vertical="center" wrapText="1"/>
    </xf>
    <xf numFmtId="178" fontId="3" fillId="13" borderId="10" xfId="0" applyNumberFormat="1" applyFont="1" applyFill="1" applyBorder="1" applyAlignment="1">
      <alignment horizontal="center" vertical="center" wrapText="1"/>
    </xf>
    <xf numFmtId="178" fontId="3" fillId="14" borderId="10" xfId="0" applyNumberFormat="1" applyFont="1" applyFill="1" applyBorder="1" applyAlignment="1">
      <alignment horizontal="center" vertical="center" wrapText="1"/>
    </xf>
    <xf numFmtId="178" fontId="3" fillId="14" borderId="11" xfId="0" applyNumberFormat="1" applyFont="1" applyFill="1" applyBorder="1" applyAlignment="1">
      <alignment horizontal="center" vertical="center" wrapText="1"/>
    </xf>
    <xf numFmtId="178" fontId="7" fillId="11" borderId="2" xfId="0" applyNumberFormat="1" applyFont="1" applyFill="1" applyBorder="1" applyAlignment="1">
      <alignment horizontal="center" vertical="center"/>
    </xf>
    <xf numFmtId="178" fontId="1" fillId="53" borderId="1" xfId="3" applyNumberFormat="1" applyFont="1" applyFill="1" applyBorder="1" applyAlignment="1">
      <alignment horizontal="center" vertical="center"/>
    </xf>
    <xf numFmtId="178" fontId="7" fillId="65" borderId="1" xfId="0" applyNumberFormat="1" applyFont="1" applyFill="1" applyBorder="1" applyAlignment="1">
      <alignment horizontal="center" vertical="center" wrapText="1"/>
    </xf>
    <xf numFmtId="178" fontId="1" fillId="65" borderId="1" xfId="3" applyNumberFormat="1" applyFont="1" applyFill="1" applyBorder="1" applyAlignment="1" applyProtection="1">
      <alignment horizontal="center" vertical="center"/>
    </xf>
    <xf numFmtId="178" fontId="7" fillId="65" borderId="1" xfId="0" applyNumberFormat="1" applyFont="1" applyFill="1" applyBorder="1" applyAlignment="1">
      <alignment horizontal="center" vertical="center"/>
    </xf>
    <xf numFmtId="178" fontId="7" fillId="0" borderId="1" xfId="0" applyNumberFormat="1" applyFont="1" applyFill="1" applyBorder="1" applyAlignment="1">
      <alignment horizontal="left" vertical="center" wrapText="1"/>
    </xf>
    <xf numFmtId="178" fontId="7" fillId="0" borderId="2" xfId="0" applyNumberFormat="1" applyFont="1" applyFill="1" applyBorder="1" applyAlignment="1">
      <alignment horizontal="left" vertical="center" wrapText="1"/>
    </xf>
    <xf numFmtId="178" fontId="3" fillId="53" borderId="1" xfId="0" applyNumberFormat="1" applyFont="1" applyFill="1" applyBorder="1" applyAlignment="1">
      <alignment horizontal="center" vertical="center"/>
    </xf>
    <xf numFmtId="178" fontId="6" fillId="65" borderId="1" xfId="0" applyNumberFormat="1" applyFont="1" applyFill="1" applyBorder="1" applyAlignment="1">
      <alignment horizontal="center" vertical="center"/>
    </xf>
    <xf numFmtId="178" fontId="15" fillId="0" borderId="1" xfId="0" applyNumberFormat="1" applyFont="1" applyFill="1" applyBorder="1" applyAlignment="1">
      <alignment horizontal="center" vertical="center" wrapText="1"/>
    </xf>
    <xf numFmtId="178" fontId="53" fillId="0" borderId="1" xfId="0" applyNumberFormat="1" applyFont="1" applyFill="1" applyBorder="1" applyAlignment="1">
      <alignment horizontal="center" vertical="center"/>
    </xf>
    <xf numFmtId="178" fontId="1" fillId="65" borderId="1" xfId="0" applyNumberFormat="1" applyFont="1" applyFill="1" applyBorder="1">
      <alignment vertical="center"/>
    </xf>
    <xf numFmtId="178" fontId="18" fillId="0" borderId="2" xfId="0" applyNumberFormat="1" applyFont="1" applyFill="1" applyBorder="1" applyAlignment="1">
      <alignment horizontal="center" vertical="center"/>
    </xf>
    <xf numFmtId="178" fontId="25" fillId="28" borderId="1" xfId="0" applyNumberFormat="1" applyFont="1" applyFill="1" applyBorder="1" applyAlignment="1">
      <alignment horizontal="center" vertical="center"/>
    </xf>
    <xf numFmtId="178" fontId="25" fillId="0" borderId="2" xfId="0" applyNumberFormat="1" applyFont="1" applyFill="1" applyBorder="1" applyAlignment="1">
      <alignment horizontal="center" vertical="center"/>
    </xf>
    <xf numFmtId="178" fontId="25" fillId="0" borderId="11" xfId="0" applyNumberFormat="1" applyFont="1" applyFill="1" applyBorder="1" applyAlignment="1">
      <alignment horizontal="center" vertical="center"/>
    </xf>
    <xf numFmtId="178" fontId="7" fillId="0" borderId="1" xfId="0" applyNumberFormat="1" applyFont="1" applyFill="1" applyBorder="1">
      <alignment vertical="center"/>
    </xf>
    <xf numFmtId="178" fontId="1" fillId="53" borderId="1" xfId="0" applyNumberFormat="1" applyFont="1" applyFill="1" applyBorder="1">
      <alignment vertical="center"/>
    </xf>
    <xf numFmtId="178" fontId="7" fillId="53" borderId="1" xfId="0" applyNumberFormat="1" applyFont="1" applyFill="1" applyBorder="1" applyAlignment="1">
      <alignment horizontal="center" vertical="center"/>
    </xf>
    <xf numFmtId="178" fontId="1" fillId="65" borderId="1" xfId="0" applyNumberFormat="1" applyFont="1" applyFill="1" applyBorder="1" applyAlignment="1">
      <alignment vertical="center" wrapText="1"/>
    </xf>
    <xf numFmtId="178" fontId="7" fillId="0" borderId="1" xfId="0" applyNumberFormat="1" applyFont="1" applyFill="1" applyBorder="1" applyAlignment="1">
      <alignment vertical="center" wrapText="1"/>
    </xf>
    <xf numFmtId="178" fontId="4" fillId="0" borderId="1" xfId="0" applyNumberFormat="1" applyFont="1" applyFill="1" applyBorder="1" applyAlignment="1">
      <alignment horizontal="center" vertical="center"/>
    </xf>
    <xf numFmtId="178" fontId="20" fillId="0" borderId="1" xfId="0" applyNumberFormat="1" applyFont="1" applyFill="1" applyBorder="1" applyAlignment="1">
      <alignment horizontal="center" vertical="center"/>
    </xf>
    <xf numFmtId="178" fontId="1" fillId="53" borderId="1" xfId="0" applyNumberFormat="1" applyFont="1" applyFill="1" applyBorder="1" applyAlignment="1">
      <alignment vertical="center" wrapText="1"/>
    </xf>
    <xf numFmtId="178" fontId="1" fillId="68" borderId="1" xfId="0" applyNumberFormat="1" applyFont="1" applyFill="1" applyBorder="1" applyAlignment="1">
      <alignment vertical="center"/>
    </xf>
    <xf numFmtId="178" fontId="1" fillId="54" borderId="1" xfId="0" applyNumberFormat="1" applyFont="1" applyFill="1" applyBorder="1" applyAlignment="1">
      <alignment vertical="center"/>
    </xf>
    <xf numFmtId="178" fontId="1" fillId="0" borderId="1" xfId="0" applyNumberFormat="1" applyFont="1" applyFill="1" applyBorder="1" applyAlignment="1">
      <alignment vertical="center"/>
    </xf>
    <xf numFmtId="178" fontId="3" fillId="0" borderId="20" xfId="0" applyNumberFormat="1" applyFont="1" applyFill="1" applyBorder="1" applyAlignment="1">
      <alignment horizontal="center" vertical="center"/>
    </xf>
    <xf numFmtId="178" fontId="3" fillId="53" borderId="1" xfId="0" applyNumberFormat="1" applyFont="1" applyFill="1" applyBorder="1">
      <alignment vertical="center"/>
    </xf>
    <xf numFmtId="178" fontId="3" fillId="0" borderId="55" xfId="0" applyNumberFormat="1" applyFont="1" applyFill="1" applyBorder="1" applyAlignment="1">
      <alignment horizontal="center" vertical="center"/>
    </xf>
    <xf numFmtId="178" fontId="3" fillId="0" borderId="56" xfId="0" applyNumberFormat="1" applyFont="1" applyFill="1" applyBorder="1" applyAlignment="1">
      <alignment horizontal="center" vertical="center"/>
    </xf>
    <xf numFmtId="178" fontId="4" fillId="0" borderId="1" xfId="0" applyNumberFormat="1" applyFont="1" applyFill="1" applyBorder="1">
      <alignment vertical="center"/>
    </xf>
    <xf numFmtId="178" fontId="1" fillId="3" borderId="2" xfId="0" applyNumberFormat="1" applyFont="1" applyFill="1" applyBorder="1">
      <alignment vertical="center"/>
    </xf>
    <xf numFmtId="178" fontId="1" fillId="0" borderId="46" xfId="0" applyNumberFormat="1" applyFont="1" applyFill="1" applyBorder="1">
      <alignment vertical="center"/>
    </xf>
    <xf numFmtId="178" fontId="1" fillId="0" borderId="47" xfId="0" applyNumberFormat="1" applyFont="1" applyFill="1" applyBorder="1">
      <alignment vertical="center"/>
    </xf>
    <xf numFmtId="178" fontId="6" fillId="0" borderId="55" xfId="0" applyNumberFormat="1" applyFont="1" applyFill="1" applyBorder="1">
      <alignment vertical="center"/>
    </xf>
    <xf numFmtId="178" fontId="1" fillId="0" borderId="55" xfId="0" applyNumberFormat="1" applyFont="1" applyFill="1" applyBorder="1">
      <alignment vertical="center"/>
    </xf>
    <xf numFmtId="178" fontId="3" fillId="0" borderId="55" xfId="0" applyNumberFormat="1" applyFont="1" applyFill="1" applyBorder="1">
      <alignment vertical="center"/>
    </xf>
    <xf numFmtId="178" fontId="18" fillId="0" borderId="20" xfId="0" applyNumberFormat="1" applyFont="1" applyFill="1" applyBorder="1" applyAlignment="1">
      <alignment horizontal="center" vertical="center"/>
    </xf>
    <xf numFmtId="178" fontId="1" fillId="0" borderId="20" xfId="0" applyNumberFormat="1" applyFont="1" applyFill="1" applyBorder="1" applyAlignment="1">
      <alignment horizontal="center" vertical="center"/>
    </xf>
    <xf numFmtId="178" fontId="1" fillId="0" borderId="48" xfId="0" applyNumberFormat="1" applyFont="1" applyFill="1" applyBorder="1">
      <alignment vertical="center"/>
    </xf>
    <xf numFmtId="178" fontId="1" fillId="0" borderId="49" xfId="0" applyNumberFormat="1" applyFont="1" applyFill="1" applyBorder="1">
      <alignment vertical="center"/>
    </xf>
    <xf numFmtId="178" fontId="1" fillId="3" borderId="11" xfId="0" applyNumberFormat="1" applyFont="1" applyFill="1" applyBorder="1">
      <alignment vertical="center"/>
    </xf>
    <xf numFmtId="178" fontId="18" fillId="0" borderId="57" xfId="0" applyNumberFormat="1" applyFont="1" applyFill="1" applyBorder="1" applyAlignment="1">
      <alignment horizontal="center" vertical="center"/>
    </xf>
    <xf numFmtId="178" fontId="3" fillId="0" borderId="24" xfId="0" applyNumberFormat="1" applyFont="1" applyFill="1" applyBorder="1" applyAlignment="1">
      <alignment horizontal="center" vertical="center"/>
    </xf>
    <xf numFmtId="178" fontId="18" fillId="0" borderId="58" xfId="0" applyNumberFormat="1" applyFont="1" applyFill="1" applyBorder="1" applyAlignment="1">
      <alignment horizontal="center" vertical="center"/>
    </xf>
    <xf numFmtId="178" fontId="3" fillId="0" borderId="57" xfId="0" applyNumberFormat="1" applyFont="1" applyFill="1" applyBorder="1" applyAlignment="1">
      <alignment horizontal="center" vertical="center"/>
    </xf>
    <xf numFmtId="178" fontId="3" fillId="0" borderId="58" xfId="0" applyNumberFormat="1" applyFont="1" applyFill="1" applyBorder="1" applyAlignment="1">
      <alignment horizontal="center" vertical="center"/>
    </xf>
    <xf numFmtId="178" fontId="6" fillId="0" borderId="20" xfId="0" applyNumberFormat="1" applyFont="1" applyFill="1" applyBorder="1" applyAlignment="1">
      <alignment horizontal="center" vertical="center"/>
    </xf>
    <xf numFmtId="178" fontId="6" fillId="0" borderId="57" xfId="0" applyNumberFormat="1" applyFont="1" applyFill="1" applyBorder="1" applyAlignment="1">
      <alignment horizontal="center" vertical="center"/>
    </xf>
    <xf numFmtId="178" fontId="1" fillId="0" borderId="47" xfId="0" applyNumberFormat="1" applyFont="1" applyFill="1" applyBorder="1" applyAlignment="1">
      <alignment horizontal="center" vertical="center"/>
    </xf>
    <xf numFmtId="178" fontId="3" fillId="0" borderId="59" xfId="0" applyNumberFormat="1" applyFont="1" applyFill="1" applyBorder="1" applyAlignment="1">
      <alignment horizontal="center" vertical="center"/>
    </xf>
    <xf numFmtId="178" fontId="6" fillId="65" borderId="1" xfId="0" applyNumberFormat="1" applyFont="1" applyFill="1" applyBorder="1">
      <alignment vertical="center"/>
    </xf>
    <xf numFmtId="178" fontId="6" fillId="0" borderId="47" xfId="0" applyNumberFormat="1" applyFont="1" applyFill="1" applyBorder="1" applyAlignment="1">
      <alignment horizontal="center" vertical="center"/>
    </xf>
    <xf numFmtId="178" fontId="45" fillId="0" borderId="1" xfId="0" applyNumberFormat="1" applyFont="1" applyFill="1" applyBorder="1">
      <alignment vertical="center"/>
    </xf>
    <xf numFmtId="178" fontId="54" fillId="3" borderId="2" xfId="0" applyNumberFormat="1" applyFont="1" applyFill="1" applyBorder="1">
      <alignment vertical="center"/>
    </xf>
    <xf numFmtId="178" fontId="1" fillId="0" borderId="50" xfId="0" applyNumberFormat="1" applyFont="1" applyFill="1" applyBorder="1">
      <alignment vertical="center"/>
    </xf>
    <xf numFmtId="178" fontId="1" fillId="0" borderId="51" xfId="0" applyNumberFormat="1" applyFont="1" applyFill="1" applyBorder="1" applyAlignment="1">
      <alignment horizontal="center" vertical="center"/>
    </xf>
    <xf numFmtId="178" fontId="6" fillId="0" borderId="20" xfId="0" applyNumberFormat="1" applyFont="1" applyFill="1" applyBorder="1">
      <alignment vertical="center"/>
    </xf>
    <xf numFmtId="178" fontId="1" fillId="0" borderId="20" xfId="0" applyNumberFormat="1" applyFont="1" applyFill="1" applyBorder="1">
      <alignment vertical="center"/>
    </xf>
    <xf numFmtId="178" fontId="3" fillId="0" borderId="20" xfId="0" applyNumberFormat="1" applyFont="1" applyFill="1" applyBorder="1">
      <alignment vertical="center"/>
    </xf>
    <xf numFmtId="178" fontId="7" fillId="0" borderId="57" xfId="0" applyNumberFormat="1" applyFont="1" applyFill="1" applyBorder="1" applyAlignment="1">
      <alignment horizontal="center" vertical="center"/>
    </xf>
    <xf numFmtId="178" fontId="1" fillId="0" borderId="24" xfId="0" applyNumberFormat="1" applyFont="1" applyFill="1" applyBorder="1" applyAlignment="1">
      <alignment horizontal="center" vertical="center"/>
    </xf>
    <xf numFmtId="178" fontId="1" fillId="0" borderId="60" xfId="0" applyNumberFormat="1" applyFont="1" applyFill="1" applyBorder="1">
      <alignment vertical="center"/>
    </xf>
    <xf numFmtId="178" fontId="3" fillId="0" borderId="61" xfId="0" applyNumberFormat="1" applyFont="1" applyFill="1" applyBorder="1" applyAlignment="1">
      <alignment horizontal="center" vertical="center"/>
    </xf>
    <xf numFmtId="178" fontId="6" fillId="0" borderId="11" xfId="0" applyNumberFormat="1" applyFont="1" applyFill="1" applyBorder="1" applyAlignment="1">
      <alignment horizontal="center" vertical="center"/>
    </xf>
    <xf numFmtId="178" fontId="6" fillId="0" borderId="2" xfId="0" applyNumberFormat="1" applyFont="1" applyFill="1" applyBorder="1" applyAlignment="1">
      <alignment horizontal="center" vertical="center"/>
    </xf>
    <xf numFmtId="178" fontId="25" fillId="0" borderId="57" xfId="0" applyNumberFormat="1" applyFont="1" applyFill="1" applyBorder="1" applyAlignment="1">
      <alignment horizontal="center" vertical="center"/>
    </xf>
    <xf numFmtId="178" fontId="6" fillId="0" borderId="24" xfId="0" applyNumberFormat="1" applyFont="1" applyFill="1" applyBorder="1" applyAlignment="1">
      <alignment horizontal="center" vertical="center"/>
    </xf>
    <xf numFmtId="178" fontId="25" fillId="0" borderId="58" xfId="0" applyNumberFormat="1" applyFont="1" applyFill="1" applyBorder="1" applyAlignment="1">
      <alignment horizontal="center" vertical="center"/>
    </xf>
    <xf numFmtId="178" fontId="7" fillId="0" borderId="0" xfId="0" applyNumberFormat="1" applyFont="1" applyFill="1" applyBorder="1" applyAlignment="1">
      <alignment vertical="center" wrapText="1"/>
    </xf>
    <xf numFmtId="178" fontId="1" fillId="27" borderId="1" xfId="0" applyNumberFormat="1" applyFont="1" applyFill="1" applyBorder="1" applyAlignment="1">
      <alignment horizontal="center" vertical="center"/>
    </xf>
    <xf numFmtId="178" fontId="1" fillId="69" borderId="1" xfId="0" applyNumberFormat="1" applyFont="1" applyFill="1" applyBorder="1" applyAlignment="1">
      <alignment horizontal="center" vertical="center"/>
    </xf>
    <xf numFmtId="178" fontId="3" fillId="0" borderId="29" xfId="0" applyNumberFormat="1" applyFont="1" applyFill="1" applyBorder="1" applyAlignment="1">
      <alignment horizontal="center" vertical="center"/>
    </xf>
    <xf numFmtId="178" fontId="4" fillId="0" borderId="0" xfId="0" applyNumberFormat="1" applyFont="1" applyFill="1" applyBorder="1">
      <alignment vertical="center"/>
    </xf>
    <xf numFmtId="178" fontId="47" fillId="0" borderId="1" xfId="0" applyNumberFormat="1" applyFont="1" applyFill="1" applyBorder="1" applyAlignment="1">
      <alignment horizontal="center" vertical="center" wrapText="1"/>
    </xf>
    <xf numFmtId="178" fontId="47" fillId="3" borderId="1" xfId="0" applyNumberFormat="1" applyFont="1" applyFill="1" applyBorder="1" applyAlignment="1">
      <alignment horizontal="center" vertical="center"/>
    </xf>
    <xf numFmtId="178" fontId="47" fillId="70" borderId="1" xfId="0" applyNumberFormat="1" applyFont="1" applyFill="1" applyBorder="1" applyAlignment="1">
      <alignment horizontal="center" vertical="center"/>
    </xf>
    <xf numFmtId="178" fontId="47" fillId="2" borderId="1" xfId="0" applyNumberFormat="1" applyFont="1" applyFill="1" applyBorder="1" applyAlignment="1">
      <alignment horizontal="center" vertical="center"/>
    </xf>
    <xf numFmtId="178" fontId="47" fillId="4" borderId="1" xfId="0" applyNumberFormat="1" applyFont="1" applyFill="1" applyBorder="1" applyAlignment="1">
      <alignment horizontal="center" vertical="center"/>
    </xf>
    <xf numFmtId="178" fontId="7" fillId="4" borderId="1" xfId="0" applyNumberFormat="1" applyFont="1" applyFill="1" applyBorder="1" applyAlignment="1">
      <alignment horizontal="center" vertical="center" wrapText="1"/>
    </xf>
    <xf numFmtId="178" fontId="1" fillId="4" borderId="1" xfId="0" applyNumberFormat="1" applyFont="1" applyFill="1" applyBorder="1" applyAlignment="1">
      <alignment horizontal="center" vertical="center" wrapText="1"/>
    </xf>
    <xf numFmtId="178" fontId="47" fillId="3" borderId="1" xfId="0" applyNumberFormat="1" applyFont="1" applyFill="1" applyBorder="1" applyAlignment="1">
      <alignment horizontal="center" vertical="center" wrapText="1"/>
    </xf>
    <xf numFmtId="178" fontId="7" fillId="3" borderId="1" xfId="0" applyNumberFormat="1" applyFont="1" applyFill="1" applyBorder="1" applyAlignment="1">
      <alignment vertical="center" wrapText="1"/>
    </xf>
    <xf numFmtId="178" fontId="1" fillId="2" borderId="2" xfId="0" applyNumberFormat="1" applyFont="1" applyFill="1" applyBorder="1" applyAlignment="1">
      <alignment horizontal="center" vertical="center"/>
    </xf>
    <xf numFmtId="178" fontId="1" fillId="2" borderId="10" xfId="0" applyNumberFormat="1" applyFont="1" applyFill="1" applyBorder="1" applyAlignment="1">
      <alignment horizontal="center" vertical="center"/>
    </xf>
    <xf numFmtId="178" fontId="1" fillId="2" borderId="11" xfId="0" applyNumberFormat="1" applyFont="1" applyFill="1" applyBorder="1" applyAlignment="1">
      <alignment horizontal="center" vertical="center"/>
    </xf>
    <xf numFmtId="178" fontId="1" fillId="4" borderId="2" xfId="0" applyNumberFormat="1" applyFont="1" applyFill="1" applyBorder="1" applyAlignment="1">
      <alignment horizontal="center" vertical="center" wrapText="1"/>
    </xf>
    <xf numFmtId="178" fontId="1" fillId="4" borderId="10" xfId="0" applyNumberFormat="1" applyFont="1" applyFill="1" applyBorder="1" applyAlignment="1">
      <alignment horizontal="center" vertical="center" wrapText="1"/>
    </xf>
    <xf numFmtId="178" fontId="1" fillId="4" borderId="11" xfId="0" applyNumberFormat="1" applyFont="1" applyFill="1" applyBorder="1" applyAlignment="1">
      <alignment horizontal="center" vertical="center" wrapText="1"/>
    </xf>
    <xf numFmtId="178" fontId="1" fillId="71" borderId="1" xfId="0" applyNumberFormat="1" applyFont="1" applyFill="1" applyBorder="1" applyAlignment="1">
      <alignment horizontal="center" vertical="center"/>
    </xf>
    <xf numFmtId="178" fontId="47" fillId="62" borderId="1" xfId="0" applyNumberFormat="1" applyFont="1" applyFill="1" applyBorder="1" applyAlignment="1">
      <alignment horizontal="center" vertical="center"/>
    </xf>
    <xf numFmtId="178" fontId="1" fillId="72" borderId="1" xfId="0" applyNumberFormat="1" applyFont="1" applyFill="1" applyBorder="1" applyAlignment="1">
      <alignment horizontal="center" vertical="center"/>
    </xf>
    <xf numFmtId="178" fontId="1" fillId="73" borderId="1" xfId="0" applyNumberFormat="1" applyFont="1" applyFill="1" applyBorder="1">
      <alignment vertical="center"/>
    </xf>
    <xf numFmtId="178" fontId="1" fillId="61" borderId="1" xfId="0" applyNumberFormat="1" applyFont="1" applyFill="1" applyBorder="1">
      <alignment vertical="center"/>
    </xf>
    <xf numFmtId="178" fontId="1" fillId="0" borderId="1" xfId="0" applyNumberFormat="1" applyFont="1" applyBorder="1">
      <alignment vertical="center"/>
    </xf>
    <xf numFmtId="178" fontId="1" fillId="70" borderId="1" xfId="0" applyNumberFormat="1" applyFont="1" applyFill="1" applyBorder="1" applyAlignment="1">
      <alignment horizontal="center" vertical="center"/>
    </xf>
    <xf numFmtId="178" fontId="2" fillId="65" borderId="1" xfId="0" applyNumberFormat="1" applyFont="1" applyFill="1" applyBorder="1" applyAlignment="1">
      <alignment horizontal="center" vertical="center"/>
    </xf>
    <xf numFmtId="178" fontId="1" fillId="73" borderId="1" xfId="0" applyNumberFormat="1" applyFont="1" applyFill="1" applyBorder="1" applyAlignment="1">
      <alignment horizontal="center" vertical="center"/>
    </xf>
    <xf numFmtId="178" fontId="1" fillId="71" borderId="1" xfId="0" applyNumberFormat="1" applyFont="1" applyFill="1" applyBorder="1" applyAlignment="1">
      <alignment horizontal="center" vertical="center" wrapText="1"/>
    </xf>
    <xf numFmtId="178" fontId="1" fillId="72" borderId="1" xfId="0" applyNumberFormat="1" applyFont="1" applyFill="1" applyBorder="1" applyAlignment="1">
      <alignment horizontal="center" vertical="center" wrapText="1"/>
    </xf>
    <xf numFmtId="178" fontId="1" fillId="54" borderId="1" xfId="0" applyNumberFormat="1" applyFont="1" applyFill="1" applyBorder="1" applyAlignment="1">
      <alignment horizontal="center" vertical="center" wrapText="1"/>
    </xf>
    <xf numFmtId="178" fontId="13" fillId="2" borderId="1" xfId="0" applyNumberFormat="1" applyFont="1" applyFill="1" applyBorder="1" applyAlignment="1">
      <alignment horizontal="center" vertical="center" wrapText="1"/>
    </xf>
    <xf numFmtId="178" fontId="1" fillId="2" borderId="1" xfId="3" applyNumberFormat="1" applyFont="1" applyFill="1" applyBorder="1" applyAlignment="1">
      <alignment horizontal="center" vertical="center"/>
    </xf>
    <xf numFmtId="178" fontId="47" fillId="0" borderId="1" xfId="3" applyNumberFormat="1" applyFont="1" applyFill="1" applyBorder="1" applyAlignment="1">
      <alignment horizontal="center" vertical="center"/>
    </xf>
    <xf numFmtId="178" fontId="1" fillId="3" borderId="1" xfId="0" applyNumberFormat="1" applyFont="1" applyFill="1" applyBorder="1" applyAlignment="1">
      <alignment horizontal="left" vertical="center" wrapText="1"/>
    </xf>
    <xf numFmtId="178" fontId="1" fillId="3" borderId="1" xfId="3" applyNumberFormat="1" applyFont="1" applyFill="1" applyBorder="1" applyAlignment="1" applyProtection="1">
      <alignment horizontal="center" vertical="center"/>
    </xf>
    <xf numFmtId="178" fontId="7" fillId="3" borderId="1" xfId="3" applyNumberFormat="1" applyFont="1" applyFill="1" applyBorder="1" applyAlignment="1">
      <alignment horizontal="center" vertical="center"/>
    </xf>
    <xf numFmtId="178" fontId="1" fillId="4" borderId="1" xfId="3" applyNumberFormat="1" applyFont="1" applyFill="1" applyBorder="1" applyAlignment="1">
      <alignment horizontal="center" vertical="center"/>
    </xf>
    <xf numFmtId="178" fontId="15" fillId="0" borderId="1" xfId="0" applyNumberFormat="1" applyFont="1" applyFill="1" applyBorder="1" applyAlignment="1">
      <alignment horizontal="center" vertical="center"/>
    </xf>
    <xf numFmtId="178" fontId="6" fillId="0" borderId="1" xfId="0" applyNumberFormat="1" applyFont="1" applyFill="1" applyBorder="1" applyAlignment="1">
      <alignment horizontal="center" vertical="center" wrapText="1"/>
    </xf>
    <xf numFmtId="178" fontId="3" fillId="4" borderId="1" xfId="0" applyNumberFormat="1" applyFont="1" applyFill="1" applyBorder="1" applyAlignment="1">
      <alignment horizontal="center" vertical="center"/>
    </xf>
    <xf numFmtId="178" fontId="7" fillId="4" borderId="1" xfId="0" applyNumberFormat="1" applyFont="1" applyFill="1" applyBorder="1" applyAlignment="1">
      <alignment horizontal="center" vertical="center"/>
    </xf>
    <xf numFmtId="178" fontId="3" fillId="28" borderId="1" xfId="0" applyNumberFormat="1" applyFont="1" applyFill="1" applyBorder="1" applyAlignment="1">
      <alignment horizontal="center" vertical="center"/>
    </xf>
    <xf numFmtId="178" fontId="18" fillId="0" borderId="11" xfId="0" applyNumberFormat="1" applyFont="1" applyFill="1" applyBorder="1" applyAlignment="1">
      <alignment horizontal="center" vertical="center"/>
    </xf>
    <xf numFmtId="178" fontId="7" fillId="0" borderId="2" xfId="0" applyNumberFormat="1" applyFont="1" applyFill="1" applyBorder="1" applyAlignment="1">
      <alignment horizontal="left" vertical="center"/>
    </xf>
    <xf numFmtId="178" fontId="1" fillId="0" borderId="11" xfId="0" applyNumberFormat="1" applyFont="1" applyFill="1" applyBorder="1" applyAlignment="1">
      <alignment horizontal="left" vertical="center"/>
    </xf>
    <xf numFmtId="178" fontId="47" fillId="0" borderId="1" xfId="0" applyNumberFormat="1" applyFont="1" applyFill="1" applyBorder="1">
      <alignment vertical="center"/>
    </xf>
    <xf numFmtId="178" fontId="47" fillId="0" borderId="1" xfId="0" applyNumberFormat="1" applyFont="1" applyFill="1" applyBorder="1" applyAlignment="1">
      <alignment vertical="center" wrapText="1"/>
    </xf>
    <xf numFmtId="178" fontId="7" fillId="2" borderId="1" xfId="0" applyNumberFormat="1" applyFont="1" applyFill="1" applyBorder="1">
      <alignment vertical="center"/>
    </xf>
    <xf numFmtId="178" fontId="1" fillId="4" borderId="1" xfId="0" applyNumberFormat="1" applyFont="1" applyFill="1" applyBorder="1">
      <alignment vertical="center"/>
    </xf>
    <xf numFmtId="178" fontId="7" fillId="4" borderId="1" xfId="0" applyNumberFormat="1" applyFont="1" applyFill="1" applyBorder="1" applyAlignment="1">
      <alignment vertical="center" wrapText="1"/>
    </xf>
    <xf numFmtId="178" fontId="55" fillId="0" borderId="1" xfId="0" applyNumberFormat="1" applyFont="1" applyFill="1" applyBorder="1" applyAlignment="1">
      <alignment horizontal="center" vertical="center" wrapText="1"/>
    </xf>
    <xf numFmtId="178" fontId="56" fillId="0" borderId="1" xfId="0" applyNumberFormat="1" applyFont="1" applyFill="1" applyBorder="1" applyAlignment="1">
      <alignment horizontal="center" vertical="center" wrapText="1"/>
    </xf>
    <xf numFmtId="178" fontId="47" fillId="53" borderId="1" xfId="0" applyNumberFormat="1" applyFont="1" applyFill="1" applyBorder="1" applyAlignment="1">
      <alignment horizontal="center" vertical="center"/>
    </xf>
    <xf numFmtId="178" fontId="1" fillId="4" borderId="1" xfId="0" applyNumberFormat="1" applyFont="1" applyFill="1" applyBorder="1" applyAlignment="1">
      <alignment vertical="center" wrapText="1"/>
    </xf>
    <xf numFmtId="178" fontId="1" fillId="60" borderId="1" xfId="0" applyNumberFormat="1" applyFont="1" applyFill="1" applyBorder="1" applyAlignment="1">
      <alignment vertical="center"/>
    </xf>
    <xf numFmtId="178" fontId="3" fillId="4" borderId="1" xfId="0" applyNumberFormat="1" applyFont="1" applyFill="1" applyBorder="1">
      <alignment vertical="center"/>
    </xf>
    <xf numFmtId="178" fontId="18" fillId="2" borderId="1" xfId="0" applyNumberFormat="1" applyFont="1" applyFill="1" applyBorder="1">
      <alignment vertical="center"/>
    </xf>
    <xf numFmtId="178" fontId="57" fillId="3" borderId="1" xfId="0" applyNumberFormat="1" applyFont="1" applyFill="1" applyBorder="1" applyAlignment="1">
      <alignment horizontal="center" vertical="center"/>
    </xf>
    <xf numFmtId="178" fontId="1" fillId="4" borderId="0" xfId="0" applyNumberFormat="1" applyFont="1" applyFill="1" applyBorder="1">
      <alignment vertical="center"/>
    </xf>
    <xf numFmtId="178" fontId="1" fillId="3" borderId="1" xfId="0" applyNumberFormat="1" applyFont="1" applyFill="1" applyBorder="1" applyAlignment="1">
      <alignment vertical="center"/>
    </xf>
    <xf numFmtId="178" fontId="47" fillId="3" borderId="1" xfId="0" applyNumberFormat="1" applyFont="1" applyFill="1" applyBorder="1" applyAlignment="1">
      <alignment vertical="center"/>
    </xf>
    <xf numFmtId="178" fontId="47" fillId="72" borderId="1" xfId="0" applyNumberFormat="1" applyFont="1" applyFill="1" applyBorder="1" applyAlignment="1">
      <alignment horizontal="center" vertical="center"/>
    </xf>
    <xf numFmtId="178" fontId="7" fillId="6" borderId="2" xfId="0" applyNumberFormat="1" applyFont="1" applyFill="1" applyBorder="1" applyAlignment="1">
      <alignment horizontal="center" vertical="center" wrapText="1"/>
    </xf>
    <xf numFmtId="178" fontId="3" fillId="6" borderId="10" xfId="0" applyNumberFormat="1" applyFont="1" applyFill="1" applyBorder="1" applyAlignment="1">
      <alignment horizontal="center" vertical="center"/>
    </xf>
    <xf numFmtId="178" fontId="3" fillId="6" borderId="10" xfId="0" applyNumberFormat="1" applyFont="1" applyFill="1" applyBorder="1" applyAlignment="1">
      <alignment horizontal="center" vertical="center" wrapText="1"/>
    </xf>
    <xf numFmtId="178" fontId="3" fillId="6" borderId="11" xfId="0" applyNumberFormat="1" applyFont="1" applyFill="1" applyBorder="1" applyAlignment="1">
      <alignment horizontal="center" vertical="center" wrapText="1"/>
    </xf>
    <xf numFmtId="178" fontId="3" fillId="3" borderId="2" xfId="0" applyNumberFormat="1" applyFont="1" applyFill="1" applyBorder="1" applyAlignment="1">
      <alignment horizontal="center" vertical="center" wrapText="1"/>
    </xf>
    <xf numFmtId="178" fontId="1" fillId="60" borderId="1" xfId="0" applyNumberFormat="1" applyFont="1" applyFill="1" applyBorder="1">
      <alignment vertical="center"/>
    </xf>
    <xf numFmtId="178" fontId="1" fillId="74" borderId="1" xfId="0" applyNumberFormat="1" applyFont="1" applyFill="1" applyBorder="1">
      <alignment vertical="center"/>
    </xf>
    <xf numFmtId="178" fontId="1" fillId="64" borderId="1" xfId="0" applyNumberFormat="1" applyFont="1" applyFill="1" applyBorder="1">
      <alignment vertical="center"/>
    </xf>
    <xf numFmtId="178" fontId="1" fillId="55" borderId="1" xfId="0" applyNumberFormat="1" applyFont="1" applyFill="1" applyBorder="1" applyAlignment="1">
      <alignment horizontal="center" vertical="center"/>
    </xf>
    <xf numFmtId="178" fontId="1" fillId="75" borderId="1" xfId="0" applyNumberFormat="1" applyFont="1" applyFill="1" applyBorder="1" applyAlignment="1">
      <alignment horizontal="center" vertical="center"/>
    </xf>
    <xf numFmtId="178" fontId="1" fillId="76" borderId="1" xfId="0" applyNumberFormat="1" applyFont="1" applyFill="1" applyBorder="1" applyAlignment="1">
      <alignment horizontal="center" vertical="center"/>
    </xf>
    <xf numFmtId="178" fontId="58" fillId="3" borderId="1" xfId="0" applyNumberFormat="1" applyFont="1" applyFill="1" applyBorder="1" applyAlignment="1">
      <alignment horizontal="center" vertical="center"/>
    </xf>
    <xf numFmtId="178" fontId="58" fillId="6" borderId="2" xfId="0" applyNumberFormat="1" applyFont="1" applyFill="1" applyBorder="1" applyAlignment="1">
      <alignment horizontal="center" vertical="center"/>
    </xf>
    <xf numFmtId="178" fontId="58" fillId="6" borderId="10" xfId="0" applyNumberFormat="1" applyFont="1" applyFill="1" applyBorder="1" applyAlignment="1">
      <alignment horizontal="center" vertical="center"/>
    </xf>
    <xf numFmtId="178" fontId="58" fillId="6" borderId="11" xfId="0" applyNumberFormat="1" applyFont="1" applyFill="1" applyBorder="1" applyAlignment="1">
      <alignment horizontal="center" vertical="center"/>
    </xf>
    <xf numFmtId="178" fontId="58" fillId="3" borderId="2" xfId="0" applyNumberFormat="1" applyFont="1" applyFill="1" applyBorder="1" applyAlignment="1">
      <alignment horizontal="center" vertical="center"/>
    </xf>
    <xf numFmtId="178" fontId="58" fillId="3" borderId="10" xfId="0" applyNumberFormat="1" applyFont="1" applyFill="1" applyBorder="1" applyAlignment="1">
      <alignment horizontal="center" vertical="center"/>
    </xf>
    <xf numFmtId="178" fontId="1" fillId="74" borderId="1" xfId="0" applyNumberFormat="1" applyFont="1" applyFill="1" applyBorder="1" applyAlignment="1">
      <alignment horizontal="center" vertical="center"/>
    </xf>
    <xf numFmtId="178" fontId="7" fillId="3" borderId="1" xfId="0" applyNumberFormat="1" applyFont="1" applyFill="1" applyBorder="1" applyAlignment="1">
      <alignment horizontal="left" vertical="center" wrapText="1"/>
    </xf>
    <xf numFmtId="178" fontId="1" fillId="0" borderId="1" xfId="3" applyNumberFormat="1" applyFont="1" applyFill="1" applyBorder="1" applyAlignment="1" applyProtection="1">
      <alignment horizontal="center" vertical="center"/>
    </xf>
    <xf numFmtId="178" fontId="1" fillId="0" borderId="2" xfId="0" applyNumberFormat="1" applyFont="1" applyFill="1" applyBorder="1" applyAlignment="1">
      <alignment horizontal="left" vertical="center" wrapText="1"/>
    </xf>
    <xf numFmtId="178" fontId="1" fillId="0" borderId="11" xfId="0" applyNumberFormat="1" applyFont="1" applyFill="1" applyBorder="1" applyAlignment="1">
      <alignment horizontal="left" vertical="center" wrapText="1"/>
    </xf>
    <xf numFmtId="178" fontId="7" fillId="6" borderId="1" xfId="0" applyNumberFormat="1" applyFont="1" applyFill="1" applyBorder="1" applyAlignment="1">
      <alignment horizontal="left" vertical="center" wrapText="1"/>
    </xf>
    <xf numFmtId="178" fontId="3" fillId="53" borderId="1" xfId="0" applyNumberFormat="1" applyFont="1" applyFill="1" applyBorder="1" applyAlignment="1">
      <alignment horizontal="center" vertical="center" wrapText="1"/>
    </xf>
    <xf numFmtId="178" fontId="11" fillId="6" borderId="1" xfId="0" applyNumberFormat="1" applyFont="1" applyFill="1" applyBorder="1" applyAlignment="1">
      <alignment horizontal="center" vertical="center"/>
    </xf>
    <xf numFmtId="178" fontId="6" fillId="6" borderId="1" xfId="0" applyNumberFormat="1" applyFont="1" applyFill="1" applyBorder="1" applyAlignment="1">
      <alignment horizontal="center" vertical="center"/>
    </xf>
    <xf numFmtId="178" fontId="9" fillId="2" borderId="2" xfId="0" applyNumberFormat="1" applyFont="1" applyFill="1" applyBorder="1" applyAlignment="1">
      <alignment horizontal="center" vertical="center"/>
    </xf>
    <xf numFmtId="178" fontId="9" fillId="2" borderId="10" xfId="0" applyNumberFormat="1" applyFont="1" applyFill="1" applyBorder="1" applyAlignment="1">
      <alignment horizontal="center" vertical="center"/>
    </xf>
    <xf numFmtId="178" fontId="18" fillId="2" borderId="2" xfId="0" applyNumberFormat="1" applyFont="1" applyFill="1" applyBorder="1" applyAlignment="1">
      <alignment horizontal="center" vertical="center"/>
    </xf>
    <xf numFmtId="178" fontId="18" fillId="2" borderId="11" xfId="0" applyNumberFormat="1" applyFont="1" applyFill="1" applyBorder="1" applyAlignment="1">
      <alignment horizontal="center" vertical="center"/>
    </xf>
    <xf numFmtId="178" fontId="9" fillId="2" borderId="11" xfId="0" applyNumberFormat="1" applyFont="1" applyFill="1" applyBorder="1" applyAlignment="1">
      <alignment horizontal="center" vertical="center"/>
    </xf>
    <xf numFmtId="178" fontId="3" fillId="6" borderId="1" xfId="0" applyNumberFormat="1" applyFont="1" applyFill="1" applyBorder="1">
      <alignment vertical="center"/>
    </xf>
    <xf numFmtId="178" fontId="1" fillId="62" borderId="1" xfId="0" applyNumberFormat="1" applyFont="1" applyFill="1" applyBorder="1" applyAlignment="1">
      <alignment vertical="center"/>
    </xf>
    <xf numFmtId="178" fontId="1" fillId="61" borderId="1" xfId="0" applyNumberFormat="1" applyFont="1" applyFill="1" applyBorder="1" applyAlignment="1">
      <alignment vertical="center"/>
    </xf>
    <xf numFmtId="178" fontId="1" fillId="74" borderId="1" xfId="0" applyNumberFormat="1" applyFont="1" applyFill="1" applyBorder="1" applyAlignment="1">
      <alignment vertical="center"/>
    </xf>
    <xf numFmtId="178" fontId="1" fillId="64" borderId="1" xfId="0" applyNumberFormat="1" applyFont="1" applyFill="1" applyBorder="1" applyAlignment="1">
      <alignment vertical="center"/>
    </xf>
    <xf numFmtId="178" fontId="1" fillId="55" borderId="1" xfId="0" applyNumberFormat="1" applyFont="1" applyFill="1" applyBorder="1" applyAlignment="1">
      <alignment vertical="center"/>
    </xf>
    <xf numFmtId="178" fontId="1" fillId="72" borderId="1" xfId="0" applyNumberFormat="1" applyFont="1" applyFill="1" applyBorder="1" applyAlignment="1">
      <alignment vertical="center"/>
    </xf>
    <xf numFmtId="178" fontId="3" fillId="3" borderId="1" xfId="0" applyNumberFormat="1" applyFont="1" applyFill="1" applyBorder="1" applyAlignment="1">
      <alignment vertical="center" wrapText="1"/>
    </xf>
    <xf numFmtId="178" fontId="3" fillId="6" borderId="1" xfId="0" applyNumberFormat="1" applyFont="1" applyFill="1" applyBorder="1" applyAlignment="1">
      <alignment vertical="center" wrapText="1"/>
    </xf>
    <xf numFmtId="178" fontId="1" fillId="6" borderId="1" xfId="0" applyNumberFormat="1" applyFont="1" applyFill="1" applyBorder="1">
      <alignment vertical="center"/>
    </xf>
    <xf numFmtId="178" fontId="6" fillId="53" borderId="1" xfId="0" applyNumberFormat="1" applyFont="1" applyFill="1" applyBorder="1">
      <alignment vertical="center"/>
    </xf>
    <xf numFmtId="178" fontId="6" fillId="6" borderId="1" xfId="0" applyNumberFormat="1" applyFont="1" applyFill="1" applyBorder="1">
      <alignment vertical="center"/>
    </xf>
    <xf numFmtId="178" fontId="1" fillId="6" borderId="0" xfId="0" applyNumberFormat="1" applyFont="1" applyFill="1" applyBorder="1">
      <alignment vertical="center"/>
    </xf>
    <xf numFmtId="178" fontId="1" fillId="77" borderId="1" xfId="0" applyNumberFormat="1" applyFont="1" applyFill="1" applyBorder="1" applyAlignment="1">
      <alignment horizontal="center" vertical="center"/>
    </xf>
    <xf numFmtId="178" fontId="7" fillId="77" borderId="1" xfId="0" applyNumberFormat="1" applyFont="1" applyFill="1" applyBorder="1" applyAlignment="1">
      <alignment horizontal="center" vertical="center"/>
    </xf>
    <xf numFmtId="178" fontId="7" fillId="77" borderId="1" xfId="0" applyNumberFormat="1" applyFont="1" applyFill="1" applyBorder="1" applyAlignment="1">
      <alignment horizontal="center" vertical="center" wrapText="1"/>
    </xf>
    <xf numFmtId="178" fontId="1" fillId="77" borderId="1" xfId="0" applyNumberFormat="1" applyFont="1" applyFill="1" applyBorder="1" applyAlignment="1">
      <alignment horizontal="center" vertical="center" wrapText="1"/>
    </xf>
    <xf numFmtId="178" fontId="7" fillId="11" borderId="1" xfId="0" applyNumberFormat="1" applyFont="1" applyFill="1" applyBorder="1" applyAlignment="1">
      <alignment horizontal="center" vertical="center" wrapText="1"/>
    </xf>
    <xf numFmtId="178" fontId="1" fillId="11" borderId="1" xfId="0" applyNumberFormat="1" applyFont="1" applyFill="1" applyBorder="1" applyAlignment="1">
      <alignment horizontal="center" vertical="center" wrapText="1"/>
    </xf>
    <xf numFmtId="178" fontId="1" fillId="29" borderId="1" xfId="0" applyNumberFormat="1" applyFont="1" applyFill="1" applyBorder="1" applyAlignment="1">
      <alignment horizontal="center" vertical="center"/>
    </xf>
    <xf numFmtId="178" fontId="7" fillId="6" borderId="10" xfId="0" applyNumberFormat="1" applyFont="1" applyFill="1" applyBorder="1" applyAlignment="1">
      <alignment horizontal="center" vertical="center" wrapText="1"/>
    </xf>
    <xf numFmtId="178" fontId="7" fillId="6" borderId="11" xfId="0" applyNumberFormat="1" applyFont="1" applyFill="1" applyBorder="1" applyAlignment="1">
      <alignment horizontal="center" vertical="center" wrapText="1"/>
    </xf>
    <xf numFmtId="178" fontId="7" fillId="4" borderId="2" xfId="0" applyNumberFormat="1" applyFont="1" applyFill="1" applyBorder="1" applyAlignment="1">
      <alignment horizontal="center" vertical="center"/>
    </xf>
    <xf numFmtId="178" fontId="1" fillId="4" borderId="2" xfId="0" applyNumberFormat="1" applyFont="1" applyFill="1" applyBorder="1" applyAlignment="1">
      <alignment horizontal="center" vertical="center"/>
    </xf>
    <xf numFmtId="178" fontId="7" fillId="4" borderId="2" xfId="0" applyNumberFormat="1" applyFont="1" applyFill="1" applyBorder="1" applyAlignment="1">
      <alignment horizontal="center" vertical="center" wrapText="1"/>
    </xf>
    <xf numFmtId="178" fontId="7" fillId="4" borderId="10" xfId="0" applyNumberFormat="1" applyFont="1" applyFill="1" applyBorder="1" applyAlignment="1">
      <alignment horizontal="center" vertical="center"/>
    </xf>
    <xf numFmtId="178" fontId="1" fillId="4" borderId="10" xfId="0" applyNumberFormat="1" applyFont="1" applyFill="1" applyBorder="1" applyAlignment="1">
      <alignment horizontal="center" vertical="center"/>
    </xf>
    <xf numFmtId="178" fontId="7" fillId="4" borderId="10" xfId="0" applyNumberFormat="1" applyFont="1" applyFill="1" applyBorder="1" applyAlignment="1">
      <alignment horizontal="center" vertical="center" wrapText="1"/>
    </xf>
    <xf numFmtId="178" fontId="7" fillId="4" borderId="11" xfId="0" applyNumberFormat="1" applyFont="1" applyFill="1" applyBorder="1" applyAlignment="1">
      <alignment horizontal="center" vertical="center"/>
    </xf>
    <xf numFmtId="178" fontId="1" fillId="4" borderId="11" xfId="0" applyNumberFormat="1" applyFont="1" applyFill="1" applyBorder="1" applyAlignment="1">
      <alignment horizontal="center" vertical="center"/>
    </xf>
    <xf numFmtId="178" fontId="7" fillId="4" borderId="11" xfId="0" applyNumberFormat="1" applyFont="1" applyFill="1" applyBorder="1" applyAlignment="1">
      <alignment horizontal="center" vertical="center" wrapText="1"/>
    </xf>
    <xf numFmtId="178" fontId="1" fillId="50" borderId="1" xfId="0" applyNumberFormat="1" applyFont="1" applyFill="1" applyBorder="1" applyAlignment="1">
      <alignment horizontal="center" vertical="center"/>
    </xf>
    <xf numFmtId="178" fontId="7" fillId="50" borderId="1" xfId="0" applyNumberFormat="1" applyFont="1" applyFill="1" applyBorder="1" applyAlignment="1">
      <alignment horizontal="center" vertical="center" wrapText="1"/>
    </xf>
    <xf numFmtId="178" fontId="1" fillId="50" borderId="1" xfId="0" applyNumberFormat="1" applyFont="1" applyFill="1" applyBorder="1" applyAlignment="1">
      <alignment horizontal="center" vertical="center" wrapText="1"/>
    </xf>
    <xf numFmtId="178" fontId="7" fillId="15" borderId="2" xfId="0" applyNumberFormat="1" applyFont="1" applyFill="1" applyBorder="1" applyAlignment="1">
      <alignment horizontal="center" vertical="center" wrapText="1"/>
    </xf>
    <xf numFmtId="178" fontId="1" fillId="15" borderId="10" xfId="0" applyNumberFormat="1" applyFont="1" applyFill="1" applyBorder="1" applyAlignment="1">
      <alignment horizontal="center" vertical="center"/>
    </xf>
    <xf numFmtId="178" fontId="1" fillId="15" borderId="10" xfId="0" applyNumberFormat="1" applyFont="1" applyFill="1" applyBorder="1" applyAlignment="1">
      <alignment horizontal="center" vertical="center" wrapText="1"/>
    </xf>
    <xf numFmtId="178" fontId="1" fillId="4" borderId="1" xfId="0" applyNumberFormat="1" applyFont="1" applyFill="1" applyBorder="1" applyAlignment="1">
      <alignment horizontal="left" vertical="center" wrapText="1"/>
    </xf>
    <xf numFmtId="178" fontId="1" fillId="15" borderId="2" xfId="0" applyNumberFormat="1" applyFont="1" applyFill="1" applyBorder="1" applyAlignment="1">
      <alignment horizontal="center" vertical="center" wrapText="1"/>
    </xf>
    <xf numFmtId="178" fontId="7" fillId="43" borderId="1" xfId="0" applyNumberFormat="1" applyFont="1" applyFill="1" applyBorder="1" applyAlignment="1">
      <alignment horizontal="center" vertical="center" wrapText="1"/>
    </xf>
    <xf numFmtId="178" fontId="1" fillId="77" borderId="2" xfId="0" applyNumberFormat="1" applyFont="1" applyFill="1" applyBorder="1" applyAlignment="1">
      <alignment horizontal="center" vertical="center"/>
    </xf>
    <xf numFmtId="178" fontId="1" fillId="77" borderId="11" xfId="0" applyNumberFormat="1" applyFont="1" applyFill="1" applyBorder="1" applyAlignment="1">
      <alignment horizontal="center" vertical="center"/>
    </xf>
    <xf numFmtId="178" fontId="1" fillId="6" borderId="10" xfId="0" applyNumberFormat="1" applyFont="1" applyFill="1" applyBorder="1" applyAlignment="1">
      <alignment horizontal="center" vertical="center" wrapText="1"/>
    </xf>
    <xf numFmtId="178" fontId="1" fillId="6" borderId="11" xfId="0" applyNumberFormat="1" applyFont="1" applyFill="1" applyBorder="1" applyAlignment="1">
      <alignment horizontal="center" vertical="center" wrapText="1"/>
    </xf>
    <xf numFmtId="178" fontId="1" fillId="50" borderId="2" xfId="0" applyNumberFormat="1" applyFont="1" applyFill="1" applyBorder="1" applyAlignment="1">
      <alignment horizontal="center" vertical="center" wrapText="1"/>
    </xf>
    <xf numFmtId="178" fontId="1" fillId="50" borderId="11" xfId="0" applyNumberFormat="1" applyFont="1" applyFill="1" applyBorder="1" applyAlignment="1">
      <alignment horizontal="center" vertical="center" wrapText="1"/>
    </xf>
    <xf numFmtId="178" fontId="58" fillId="3" borderId="11" xfId="0" applyNumberFormat="1" applyFont="1" applyFill="1" applyBorder="1" applyAlignment="1">
      <alignment horizontal="center" vertical="center"/>
    </xf>
    <xf numFmtId="178" fontId="1" fillId="0" borderId="2" xfId="0" applyNumberFormat="1" applyFont="1" applyBorder="1" applyAlignment="1">
      <alignment horizontal="center" vertical="center"/>
    </xf>
    <xf numFmtId="178" fontId="1" fillId="0" borderId="11" xfId="0" applyNumberFormat="1" applyFont="1" applyBorder="1" applyAlignment="1">
      <alignment horizontal="center" vertical="center"/>
    </xf>
    <xf numFmtId="178" fontId="1" fillId="29" borderId="1" xfId="0" applyNumberFormat="1" applyFont="1" applyFill="1" applyBorder="1">
      <alignment vertical="center"/>
    </xf>
    <xf numFmtId="178" fontId="9" fillId="43" borderId="1" xfId="0" applyNumberFormat="1" applyFont="1" applyFill="1" applyBorder="1" applyAlignment="1">
      <alignment horizontal="center" vertical="center"/>
    </xf>
    <xf numFmtId="178" fontId="1" fillId="43" borderId="2" xfId="0" applyNumberFormat="1" applyFont="1" applyFill="1" applyBorder="1" applyAlignment="1">
      <alignment horizontal="center" vertical="center"/>
    </xf>
    <xf numFmtId="178" fontId="1" fillId="43" borderId="10" xfId="0" applyNumberFormat="1" applyFont="1" applyFill="1" applyBorder="1" applyAlignment="1">
      <alignment horizontal="center" vertical="center"/>
    </xf>
    <xf numFmtId="178" fontId="1" fillId="43" borderId="11" xfId="0" applyNumberFormat="1" applyFont="1" applyFill="1" applyBorder="1" applyAlignment="1">
      <alignment horizontal="center" vertical="center"/>
    </xf>
    <xf numFmtId="178" fontId="7" fillId="43" borderId="2" xfId="0" applyNumberFormat="1" applyFont="1" applyFill="1" applyBorder="1" applyAlignment="1">
      <alignment horizontal="center" vertical="center"/>
    </xf>
    <xf numFmtId="178" fontId="1" fillId="77" borderId="1" xfId="3" applyNumberFormat="1" applyFont="1" applyFill="1" applyBorder="1" applyAlignment="1">
      <alignment horizontal="center" vertical="center"/>
    </xf>
    <xf numFmtId="178" fontId="7" fillId="11" borderId="1" xfId="0" applyNumberFormat="1" applyFont="1" applyFill="1" applyBorder="1">
      <alignment vertical="center"/>
    </xf>
    <xf numFmtId="178" fontId="1" fillId="11" borderId="1" xfId="0" applyNumberFormat="1" applyFont="1" applyFill="1" applyBorder="1">
      <alignment vertical="center"/>
    </xf>
    <xf numFmtId="178" fontId="1" fillId="11" borderId="1" xfId="0" applyNumberFormat="1" applyFont="1" applyFill="1" applyBorder="1" applyAlignment="1">
      <alignment vertical="center" wrapText="1"/>
    </xf>
    <xf numFmtId="178" fontId="1" fillId="3" borderId="11" xfId="0" applyNumberFormat="1" applyFont="1" applyFill="1" applyBorder="1" applyAlignment="1">
      <alignment vertical="center" wrapText="1"/>
    </xf>
    <xf numFmtId="178" fontId="23" fillId="6" borderId="1" xfId="0" applyNumberFormat="1" applyFont="1" applyFill="1" applyBorder="1" applyAlignment="1">
      <alignment horizontal="justify" vertical="center" wrapText="1"/>
    </xf>
    <xf numFmtId="178" fontId="59" fillId="6" borderId="1" xfId="0" applyNumberFormat="1" applyFont="1" applyFill="1" applyBorder="1" applyAlignment="1">
      <alignment horizontal="center" vertical="center" wrapText="1"/>
    </xf>
    <xf numFmtId="178" fontId="1" fillId="50" borderId="1" xfId="3" applyNumberFormat="1" applyFont="1" applyFill="1" applyBorder="1" applyAlignment="1">
      <alignment horizontal="center" vertical="center" wrapText="1"/>
    </xf>
    <xf numFmtId="178" fontId="1" fillId="50" borderId="1" xfId="3" applyNumberFormat="1" applyFont="1" applyFill="1" applyBorder="1" applyAlignment="1">
      <alignment horizontal="center" vertical="center"/>
    </xf>
    <xf numFmtId="178" fontId="7" fillId="15" borderId="1" xfId="0" applyNumberFormat="1" applyFont="1" applyFill="1" applyBorder="1" applyAlignment="1">
      <alignment horizontal="center" vertical="center" wrapText="1"/>
    </xf>
    <xf numFmtId="178" fontId="1" fillId="15" borderId="1" xfId="3" applyNumberFormat="1" applyFont="1" applyFill="1" applyBorder="1" applyAlignment="1">
      <alignment horizontal="center" vertical="center"/>
    </xf>
    <xf numFmtId="178" fontId="8" fillId="43" borderId="1" xfId="0" applyNumberFormat="1" applyFont="1" applyFill="1" applyBorder="1" applyAlignment="1">
      <alignment horizontal="center" vertical="center" wrapText="1"/>
    </xf>
    <xf numFmtId="178" fontId="3" fillId="43" borderId="1" xfId="3" applyNumberFormat="1" applyFont="1" applyFill="1" applyBorder="1" applyAlignment="1">
      <alignment horizontal="center" vertical="center"/>
    </xf>
    <xf numFmtId="178" fontId="1" fillId="43" borderId="1" xfId="3" applyNumberFormat="1" applyFont="1" applyFill="1" applyBorder="1" applyAlignment="1">
      <alignment horizontal="center" vertical="center"/>
    </xf>
    <xf numFmtId="178" fontId="3" fillId="77" borderId="1" xfId="0" applyNumberFormat="1" applyFont="1" applyFill="1" applyBorder="1" applyAlignment="1">
      <alignment horizontal="center" vertical="center"/>
    </xf>
    <xf numFmtId="178" fontId="18" fillId="6" borderId="1" xfId="0" applyNumberFormat="1" applyFont="1" applyFill="1" applyBorder="1" applyAlignment="1">
      <alignment horizontal="center" vertical="center"/>
    </xf>
    <xf numFmtId="178" fontId="3" fillId="10" borderId="1" xfId="0" applyNumberFormat="1" applyFont="1" applyFill="1" applyBorder="1" applyAlignment="1">
      <alignment horizontal="center" vertical="center"/>
    </xf>
    <xf numFmtId="178" fontId="6" fillId="4" borderId="1" xfId="0" applyNumberFormat="1" applyFont="1" applyFill="1" applyBorder="1" applyAlignment="1">
      <alignment horizontal="center" vertical="center"/>
    </xf>
    <xf numFmtId="178" fontId="11" fillId="4" borderId="2" xfId="0" applyNumberFormat="1" applyFont="1" applyFill="1" applyBorder="1" applyAlignment="1">
      <alignment horizontal="center" vertical="center"/>
    </xf>
    <xf numFmtId="178" fontId="6" fillId="4" borderId="2" xfId="0" applyNumberFormat="1" applyFont="1" applyFill="1" applyBorder="1" applyAlignment="1">
      <alignment horizontal="center" vertical="center"/>
    </xf>
    <xf numFmtId="178" fontId="3" fillId="50" borderId="1" xfId="0" applyNumberFormat="1" applyFont="1" applyFill="1" applyBorder="1" applyAlignment="1">
      <alignment horizontal="center" vertical="center"/>
    </xf>
    <xf numFmtId="178" fontId="18" fillId="15" borderId="1" xfId="0" applyNumberFormat="1" applyFont="1" applyFill="1" applyBorder="1" applyAlignment="1">
      <alignment horizontal="center" vertical="center"/>
    </xf>
    <xf numFmtId="178" fontId="8" fillId="15" borderId="1" xfId="0" applyNumberFormat="1" applyFont="1" applyFill="1" applyBorder="1" applyAlignment="1">
      <alignment horizontal="center" vertical="center"/>
    </xf>
    <xf numFmtId="178" fontId="3" fillId="15" borderId="1" xfId="0" applyNumberFormat="1" applyFont="1" applyFill="1" applyBorder="1" applyAlignment="1">
      <alignment horizontal="center" vertical="center"/>
    </xf>
    <xf numFmtId="178" fontId="6" fillId="15" borderId="1" xfId="0" applyNumberFormat="1" applyFont="1" applyFill="1" applyBorder="1" applyAlignment="1">
      <alignment horizontal="center" vertical="center"/>
    </xf>
    <xf numFmtId="178" fontId="11" fillId="15" borderId="1" xfId="0" applyNumberFormat="1" applyFont="1" applyFill="1" applyBorder="1" applyAlignment="1">
      <alignment horizontal="center" vertical="center"/>
    </xf>
    <xf numFmtId="178" fontId="7" fillId="43" borderId="1" xfId="0" applyNumberFormat="1" applyFont="1" applyFill="1" applyBorder="1" applyAlignment="1">
      <alignment horizontal="center" vertical="center"/>
    </xf>
    <xf numFmtId="178" fontId="3" fillId="78" borderId="1" xfId="0" applyNumberFormat="1" applyFont="1" applyFill="1" applyBorder="1" applyAlignment="1">
      <alignment horizontal="center" vertical="center"/>
    </xf>
    <xf numFmtId="178" fontId="1" fillId="77" borderId="1" xfId="0" applyNumberFormat="1" applyFont="1" applyFill="1" applyBorder="1">
      <alignment vertical="center"/>
    </xf>
    <xf numFmtId="178" fontId="19" fillId="0" borderId="1" xfId="0" applyNumberFormat="1" applyFont="1" applyFill="1" applyBorder="1" applyAlignment="1">
      <alignment horizontal="center" vertical="center"/>
    </xf>
    <xf numFmtId="178" fontId="1" fillId="50" borderId="1" xfId="0" applyNumberFormat="1" applyFont="1" applyFill="1" applyBorder="1">
      <alignment vertical="center"/>
    </xf>
    <xf numFmtId="178" fontId="1" fillId="43" borderId="1" xfId="0" applyNumberFormat="1" applyFont="1" applyFill="1" applyBorder="1">
      <alignment vertical="center"/>
    </xf>
    <xf numFmtId="178" fontId="1" fillId="78" borderId="1" xfId="0" applyNumberFormat="1" applyFont="1" applyFill="1" applyBorder="1" applyAlignment="1">
      <alignment horizontal="center" vertical="center"/>
    </xf>
    <xf numFmtId="178" fontId="3" fillId="77" borderId="1" xfId="0" applyNumberFormat="1" applyFont="1" applyFill="1" applyBorder="1">
      <alignment vertical="center"/>
    </xf>
    <xf numFmtId="178" fontId="3" fillId="11" borderId="1" xfId="0" applyNumberFormat="1" applyFont="1" applyFill="1" applyBorder="1">
      <alignment vertical="center"/>
    </xf>
    <xf numFmtId="178" fontId="7" fillId="11" borderId="1" xfId="0" applyNumberFormat="1" applyFont="1" applyFill="1" applyBorder="1" applyAlignment="1">
      <alignment horizontal="center" vertical="center"/>
    </xf>
    <xf numFmtId="178" fontId="1" fillId="50" borderId="1" xfId="0" applyNumberFormat="1" applyFont="1" applyFill="1" applyBorder="1" applyAlignment="1">
      <alignment vertical="center" wrapText="1"/>
    </xf>
    <xf numFmtId="178" fontId="7" fillId="50" borderId="1" xfId="0" applyNumberFormat="1" applyFont="1" applyFill="1" applyBorder="1" applyAlignment="1">
      <alignment horizontal="center" vertical="center"/>
    </xf>
    <xf numFmtId="178" fontId="1" fillId="43" borderId="1" xfId="0" applyNumberFormat="1" applyFont="1" applyFill="1" applyBorder="1" applyAlignment="1">
      <alignment vertical="center" wrapText="1"/>
    </xf>
    <xf numFmtId="178" fontId="1" fillId="77" borderId="1" xfId="0" applyNumberFormat="1" applyFont="1" applyFill="1" applyBorder="1" applyAlignment="1">
      <alignment vertical="center" wrapText="1"/>
    </xf>
    <xf numFmtId="178" fontId="1" fillId="6" borderId="1" xfId="0" applyNumberFormat="1" applyFont="1" applyFill="1" applyBorder="1" applyAlignment="1">
      <alignment vertical="center" wrapText="1"/>
    </xf>
    <xf numFmtId="178" fontId="1" fillId="15" borderId="1" xfId="0" applyNumberFormat="1" applyFont="1" applyFill="1" applyBorder="1" applyAlignment="1">
      <alignment vertical="center" wrapText="1"/>
    </xf>
    <xf numFmtId="178" fontId="3" fillId="50" borderId="1" xfId="0" applyNumberFormat="1" applyFont="1" applyFill="1" applyBorder="1">
      <alignment vertical="center"/>
    </xf>
    <xf numFmtId="178" fontId="3" fillId="15" borderId="1" xfId="0" applyNumberFormat="1" applyFont="1" applyFill="1" applyBorder="1">
      <alignment vertical="center"/>
    </xf>
    <xf numFmtId="178" fontId="3" fillId="43" borderId="1" xfId="0" applyNumberFormat="1" applyFont="1" applyFill="1" applyBorder="1">
      <alignment vertical="center"/>
    </xf>
    <xf numFmtId="178" fontId="3" fillId="15" borderId="11" xfId="0" applyNumberFormat="1" applyFont="1" applyFill="1" applyBorder="1">
      <alignment vertical="center"/>
    </xf>
    <xf numFmtId="178" fontId="18" fillId="15" borderId="11" xfId="0" applyNumberFormat="1" applyFont="1" applyFill="1" applyBorder="1" applyAlignment="1">
      <alignment horizontal="center" vertical="center"/>
    </xf>
    <xf numFmtId="178" fontId="7" fillId="43" borderId="11" xfId="0" applyNumberFormat="1" applyFont="1" applyFill="1" applyBorder="1" applyAlignment="1">
      <alignment horizontal="center" vertical="center" wrapText="1"/>
    </xf>
    <xf numFmtId="178" fontId="7" fillId="43" borderId="1" xfId="0" applyNumberFormat="1" applyFont="1" applyFill="1" applyBorder="1">
      <alignment vertical="center"/>
    </xf>
    <xf numFmtId="178" fontId="3" fillId="43" borderId="11" xfId="0" applyNumberFormat="1" applyFont="1" applyFill="1" applyBorder="1">
      <alignment vertical="center"/>
    </xf>
    <xf numFmtId="178" fontId="3" fillId="43" borderId="11" xfId="0" applyNumberFormat="1" applyFont="1" applyFill="1" applyBorder="1" applyAlignment="1">
      <alignment horizontal="center" vertical="center"/>
    </xf>
    <xf numFmtId="178" fontId="19" fillId="3" borderId="1" xfId="0" applyNumberFormat="1" applyFont="1" applyFill="1" applyBorder="1">
      <alignment vertical="center"/>
    </xf>
    <xf numFmtId="178" fontId="6" fillId="4" borderId="1" xfId="0" applyNumberFormat="1" applyFont="1" applyFill="1" applyBorder="1">
      <alignment vertical="center"/>
    </xf>
    <xf numFmtId="178" fontId="19" fillId="15" borderId="1" xfId="0" applyNumberFormat="1" applyFont="1" applyFill="1" applyBorder="1" applyAlignment="1">
      <alignment horizontal="center" vertical="center"/>
    </xf>
    <xf numFmtId="178" fontId="19" fillId="15" borderId="11" xfId="0" applyNumberFormat="1" applyFont="1" applyFill="1" applyBorder="1" applyAlignment="1">
      <alignment horizontal="center" vertical="center"/>
    </xf>
    <xf numFmtId="178" fontId="6" fillId="50" borderId="1" xfId="0" applyNumberFormat="1" applyFont="1" applyFill="1" applyBorder="1">
      <alignment vertical="center"/>
    </xf>
    <xf numFmtId="178" fontId="19" fillId="15" borderId="1" xfId="0" applyNumberFormat="1" applyFont="1" applyFill="1" applyBorder="1">
      <alignment vertical="center"/>
    </xf>
    <xf numFmtId="178" fontId="6" fillId="15" borderId="1" xfId="0" applyNumberFormat="1" applyFont="1" applyFill="1" applyBorder="1">
      <alignment vertical="center"/>
    </xf>
    <xf numFmtId="178" fontId="7" fillId="43" borderId="11" xfId="0" applyNumberFormat="1" applyFont="1" applyFill="1" applyBorder="1" applyAlignment="1">
      <alignment horizontal="center" vertical="center"/>
    </xf>
    <xf numFmtId="178" fontId="6" fillId="43" borderId="1" xfId="0" applyNumberFormat="1" applyFont="1" applyFill="1" applyBorder="1">
      <alignment vertical="center"/>
    </xf>
    <xf numFmtId="178" fontId="7" fillId="43" borderId="11" xfId="0" applyNumberFormat="1" applyFont="1" applyFill="1" applyBorder="1">
      <alignment vertical="center"/>
    </xf>
    <xf numFmtId="178" fontId="18" fillId="3" borderId="1" xfId="0" applyNumberFormat="1" applyFont="1" applyFill="1" applyBorder="1">
      <alignment vertical="center"/>
    </xf>
    <xf numFmtId="178" fontId="6" fillId="15" borderId="11" xfId="0" applyNumberFormat="1" applyFont="1" applyFill="1" applyBorder="1">
      <alignment vertical="center"/>
    </xf>
    <xf numFmtId="178" fontId="25" fillId="43" borderId="1" xfId="0" applyNumberFormat="1" applyFont="1" applyFill="1" applyBorder="1">
      <alignment vertical="center"/>
    </xf>
    <xf numFmtId="178" fontId="60" fillId="43" borderId="11" xfId="0" applyNumberFormat="1" applyFont="1" applyFill="1" applyBorder="1" applyAlignment="1">
      <alignment horizontal="center" vertical="center" wrapText="1"/>
    </xf>
    <xf numFmtId="178" fontId="18" fillId="43" borderId="1" xfId="0" applyNumberFormat="1" applyFont="1" applyFill="1" applyBorder="1">
      <alignment vertical="center"/>
    </xf>
    <xf numFmtId="178" fontId="9" fillId="3" borderId="1" xfId="0" applyNumberFormat="1" applyFont="1" applyFill="1" applyBorder="1" applyAlignment="1">
      <alignment horizontal="center" vertical="center"/>
    </xf>
    <xf numFmtId="178" fontId="6" fillId="43" borderId="1" xfId="0" applyNumberFormat="1" applyFont="1" applyFill="1" applyBorder="1" applyAlignment="1">
      <alignment horizontal="center" vertical="center"/>
    </xf>
    <xf numFmtId="178" fontId="6" fillId="11" borderId="1" xfId="0" applyNumberFormat="1" applyFont="1" applyFill="1" applyBorder="1">
      <alignment vertical="center"/>
    </xf>
    <xf numFmtId="178" fontId="6" fillId="43" borderId="11" xfId="0" applyNumberFormat="1" applyFont="1" applyFill="1" applyBorder="1" applyAlignment="1">
      <alignment horizontal="center" vertical="center"/>
    </xf>
    <xf numFmtId="178" fontId="6" fillId="43" borderId="11" xfId="0" applyNumberFormat="1" applyFont="1" applyFill="1" applyBorder="1">
      <alignment vertical="center"/>
    </xf>
    <xf numFmtId="178" fontId="7" fillId="79" borderId="2" xfId="0" applyNumberFormat="1" applyFont="1" applyFill="1" applyBorder="1" applyAlignment="1">
      <alignment horizontal="center" vertical="center"/>
    </xf>
    <xf numFmtId="178" fontId="1" fillId="79" borderId="2" xfId="0" applyNumberFormat="1" applyFont="1" applyFill="1" applyBorder="1" applyAlignment="1">
      <alignment horizontal="center" vertical="center"/>
    </xf>
    <xf numFmtId="178" fontId="7" fillId="79" borderId="2" xfId="0" applyNumberFormat="1" applyFont="1" applyFill="1" applyBorder="1" applyAlignment="1">
      <alignment horizontal="center" vertical="center" wrapText="1"/>
    </xf>
    <xf numFmtId="178" fontId="1" fillId="79" borderId="10" xfId="0" applyNumberFormat="1" applyFont="1" applyFill="1" applyBorder="1" applyAlignment="1">
      <alignment horizontal="center" vertical="center"/>
    </xf>
    <xf numFmtId="178" fontId="1" fillId="79" borderId="10" xfId="0" applyNumberFormat="1" applyFont="1" applyFill="1" applyBorder="1" applyAlignment="1">
      <alignment horizontal="center" vertical="center" wrapText="1"/>
    </xf>
    <xf numFmtId="178" fontId="1" fillId="79" borderId="11" xfId="0" applyNumberFormat="1" applyFont="1" applyFill="1" applyBorder="1" applyAlignment="1">
      <alignment horizontal="center" vertical="center"/>
    </xf>
    <xf numFmtId="178" fontId="1" fillId="79" borderId="11" xfId="0" applyNumberFormat="1" applyFont="1" applyFill="1" applyBorder="1" applyAlignment="1">
      <alignment horizontal="center" vertical="center" wrapText="1"/>
    </xf>
    <xf numFmtId="178" fontId="7" fillId="80" borderId="2" xfId="0" applyNumberFormat="1" applyFont="1" applyFill="1" applyBorder="1" applyAlignment="1">
      <alignment horizontal="center" vertical="center"/>
    </xf>
    <xf numFmtId="178" fontId="3" fillId="80" borderId="2" xfId="0" applyNumberFormat="1" applyFont="1" applyFill="1" applyBorder="1" applyAlignment="1">
      <alignment horizontal="center" vertical="center"/>
    </xf>
    <xf numFmtId="178" fontId="7" fillId="80" borderId="2" xfId="0" applyNumberFormat="1" applyFont="1" applyFill="1" applyBorder="1" applyAlignment="1">
      <alignment horizontal="center" vertical="center" wrapText="1"/>
    </xf>
    <xf numFmtId="178" fontId="1" fillId="80" borderId="10" xfId="0" applyNumberFormat="1" applyFont="1" applyFill="1" applyBorder="1" applyAlignment="1">
      <alignment horizontal="center" vertical="center"/>
    </xf>
    <xf numFmtId="178" fontId="1" fillId="80" borderId="10" xfId="0" applyNumberFormat="1" applyFont="1" applyFill="1" applyBorder="1" applyAlignment="1">
      <alignment horizontal="center" vertical="center" wrapText="1"/>
    </xf>
    <xf numFmtId="178" fontId="3" fillId="80" borderId="10" xfId="0" applyNumberFormat="1" applyFont="1" applyFill="1" applyBorder="1" applyAlignment="1">
      <alignment horizontal="center" vertical="center"/>
    </xf>
    <xf numFmtId="178" fontId="3" fillId="80" borderId="10" xfId="0" applyNumberFormat="1" applyFont="1" applyFill="1" applyBorder="1" applyAlignment="1">
      <alignment horizontal="center" vertical="center" wrapText="1"/>
    </xf>
    <xf numFmtId="178" fontId="1" fillId="80" borderId="11" xfId="0" applyNumberFormat="1" applyFont="1" applyFill="1" applyBorder="1" applyAlignment="1">
      <alignment horizontal="center" vertical="center"/>
    </xf>
    <xf numFmtId="178" fontId="1" fillId="80" borderId="11" xfId="0" applyNumberFormat="1" applyFont="1" applyFill="1" applyBorder="1" applyAlignment="1">
      <alignment horizontal="center" vertical="center" wrapText="1"/>
    </xf>
    <xf numFmtId="178" fontId="7" fillId="21" borderId="1" xfId="0" applyNumberFormat="1" applyFont="1" applyFill="1" applyBorder="1" applyAlignment="1">
      <alignment horizontal="center" vertical="center" wrapText="1"/>
    </xf>
    <xf numFmtId="178" fontId="7" fillId="18" borderId="1" xfId="0" applyNumberFormat="1" applyFont="1" applyFill="1" applyBorder="1" applyAlignment="1">
      <alignment horizontal="center" vertical="center" wrapText="1"/>
    </xf>
    <xf numFmtId="178" fontId="1" fillId="79" borderId="2" xfId="0" applyNumberFormat="1" applyFont="1" applyFill="1" applyBorder="1" applyAlignment="1">
      <alignment horizontal="center" vertical="center" wrapText="1"/>
    </xf>
    <xf numFmtId="178" fontId="3" fillId="80" borderId="2" xfId="0" applyNumberFormat="1" applyFont="1" applyFill="1" applyBorder="1" applyAlignment="1">
      <alignment horizontal="center" vertical="center" wrapText="1"/>
    </xf>
    <xf numFmtId="178" fontId="7" fillId="21" borderId="2" xfId="0" applyNumberFormat="1" applyFont="1" applyFill="1" applyBorder="1" applyAlignment="1">
      <alignment horizontal="center" vertical="center" wrapText="1"/>
    </xf>
    <xf numFmtId="178" fontId="1" fillId="21" borderId="10" xfId="0" applyNumberFormat="1" applyFont="1" applyFill="1" applyBorder="1" applyAlignment="1">
      <alignment horizontal="center" vertical="center" wrapText="1"/>
    </xf>
    <xf numFmtId="178" fontId="1" fillId="21" borderId="11" xfId="0" applyNumberFormat="1" applyFont="1" applyFill="1" applyBorder="1" applyAlignment="1">
      <alignment horizontal="center" vertical="center" wrapText="1"/>
    </xf>
    <xf numFmtId="178" fontId="7" fillId="12" borderId="2" xfId="0" applyNumberFormat="1" applyFont="1" applyFill="1" applyBorder="1" applyAlignment="1">
      <alignment horizontal="center" vertical="center" wrapText="1"/>
    </xf>
    <xf numFmtId="178" fontId="1" fillId="12" borderId="10" xfId="0" applyNumberFormat="1" applyFont="1" applyFill="1" applyBorder="1" applyAlignment="1">
      <alignment horizontal="center" vertical="center" wrapText="1"/>
    </xf>
    <xf numFmtId="178" fontId="1" fillId="12" borderId="11" xfId="0" applyNumberFormat="1" applyFont="1" applyFill="1" applyBorder="1" applyAlignment="1">
      <alignment horizontal="center" vertical="center" wrapText="1"/>
    </xf>
    <xf numFmtId="178" fontId="7" fillId="5" borderId="2" xfId="0" applyNumberFormat="1" applyFont="1" applyFill="1" applyBorder="1" applyAlignment="1">
      <alignment horizontal="center" vertical="center" wrapText="1"/>
    </xf>
    <xf numFmtId="178" fontId="1" fillId="5" borderId="10" xfId="0" applyNumberFormat="1" applyFont="1" applyFill="1" applyBorder="1" applyAlignment="1">
      <alignment horizontal="center" vertical="center" wrapText="1"/>
    </xf>
    <xf numFmtId="178" fontId="1" fillId="5" borderId="11" xfId="0" applyNumberFormat="1" applyFont="1" applyFill="1" applyBorder="1" applyAlignment="1">
      <alignment horizontal="center" vertical="center" wrapText="1"/>
    </xf>
    <xf numFmtId="178" fontId="1" fillId="15" borderId="11" xfId="0" applyNumberFormat="1" applyFont="1" applyFill="1" applyBorder="1" applyAlignment="1">
      <alignment horizontal="center" vertical="center" wrapText="1"/>
    </xf>
    <xf numFmtId="178" fontId="7" fillId="79" borderId="10" xfId="0" applyNumberFormat="1" applyFont="1" applyFill="1" applyBorder="1" applyAlignment="1">
      <alignment horizontal="center" vertical="center" wrapText="1"/>
    </xf>
    <xf numFmtId="178" fontId="7" fillId="79" borderId="11" xfId="0" applyNumberFormat="1" applyFont="1" applyFill="1" applyBorder="1" applyAlignment="1">
      <alignment horizontal="center" vertical="center" wrapText="1"/>
    </xf>
    <xf numFmtId="178" fontId="7" fillId="80" borderId="10" xfId="0" applyNumberFormat="1" applyFont="1" applyFill="1" applyBorder="1" applyAlignment="1">
      <alignment horizontal="center" vertical="center" wrapText="1"/>
    </xf>
    <xf numFmtId="178" fontId="7" fillId="80" borderId="11" xfId="0" applyNumberFormat="1" applyFont="1" applyFill="1" applyBorder="1" applyAlignment="1">
      <alignment horizontal="center" vertical="center" wrapText="1"/>
    </xf>
    <xf numFmtId="178" fontId="1" fillId="21" borderId="2" xfId="0" applyNumberFormat="1" applyFont="1" applyFill="1" applyBorder="1" applyAlignment="1">
      <alignment horizontal="center" vertical="center"/>
    </xf>
    <xf numFmtId="178" fontId="7" fillId="21" borderId="10" xfId="0" applyNumberFormat="1" applyFont="1" applyFill="1" applyBorder="1" applyAlignment="1">
      <alignment horizontal="center" vertical="center" wrapText="1"/>
    </xf>
    <xf numFmtId="178" fontId="1" fillId="21" borderId="10" xfId="0" applyNumberFormat="1" applyFont="1" applyFill="1" applyBorder="1" applyAlignment="1">
      <alignment horizontal="center" vertical="center"/>
    </xf>
    <xf numFmtId="178" fontId="7" fillId="21" borderId="11" xfId="0" applyNumberFormat="1" applyFont="1" applyFill="1" applyBorder="1" applyAlignment="1">
      <alignment horizontal="center" vertical="center" wrapText="1"/>
    </xf>
    <xf numFmtId="178" fontId="1" fillId="21" borderId="11" xfId="0" applyNumberFormat="1" applyFont="1" applyFill="1" applyBorder="1" applyAlignment="1">
      <alignment horizontal="center" vertical="center"/>
    </xf>
    <xf numFmtId="178" fontId="1" fillId="12" borderId="2" xfId="0" applyNumberFormat="1" applyFont="1" applyFill="1" applyBorder="1" applyAlignment="1">
      <alignment horizontal="center" vertical="center"/>
    </xf>
    <xf numFmtId="178" fontId="7" fillId="12" borderId="10" xfId="0" applyNumberFormat="1" applyFont="1" applyFill="1" applyBorder="1" applyAlignment="1">
      <alignment horizontal="center" vertical="center" wrapText="1"/>
    </xf>
    <xf numFmtId="178" fontId="1" fillId="12" borderId="10" xfId="0" applyNumberFormat="1" applyFont="1" applyFill="1" applyBorder="1" applyAlignment="1">
      <alignment horizontal="center" vertical="center"/>
    </xf>
    <xf numFmtId="178" fontId="7" fillId="12" borderId="11" xfId="0" applyNumberFormat="1" applyFont="1" applyFill="1" applyBorder="1" applyAlignment="1">
      <alignment horizontal="center" vertical="center" wrapText="1"/>
    </xf>
    <xf numFmtId="178" fontId="1" fillId="12" borderId="11" xfId="0" applyNumberFormat="1" applyFont="1" applyFill="1" applyBorder="1" applyAlignment="1">
      <alignment horizontal="center" vertical="center"/>
    </xf>
    <xf numFmtId="178" fontId="1" fillId="5" borderId="2" xfId="0" applyNumberFormat="1" applyFont="1" applyFill="1" applyBorder="1" applyAlignment="1">
      <alignment horizontal="center" vertical="center"/>
    </xf>
    <xf numFmtId="178" fontId="7" fillId="5" borderId="10" xfId="0" applyNumberFormat="1" applyFont="1" applyFill="1" applyBorder="1" applyAlignment="1">
      <alignment horizontal="center" vertical="center" wrapText="1"/>
    </xf>
    <xf numFmtId="178" fontId="1" fillId="18" borderId="11" xfId="0" applyNumberFormat="1" applyFont="1" applyFill="1" applyBorder="1" applyAlignment="1">
      <alignment horizontal="center" vertical="center"/>
    </xf>
    <xf numFmtId="178" fontId="9" fillId="79" borderId="2" xfId="0" applyNumberFormat="1" applyFont="1" applyFill="1" applyBorder="1" applyAlignment="1">
      <alignment horizontal="center" vertical="center"/>
    </xf>
    <xf numFmtId="178" fontId="9" fillId="79" borderId="10" xfId="0" applyNumberFormat="1" applyFont="1" applyFill="1" applyBorder="1" applyAlignment="1">
      <alignment horizontal="center" vertical="center"/>
    </xf>
    <xf numFmtId="178" fontId="9" fillId="79" borderId="11" xfId="0" applyNumberFormat="1" applyFont="1" applyFill="1" applyBorder="1" applyAlignment="1">
      <alignment horizontal="center" vertical="center"/>
    </xf>
    <xf numFmtId="178" fontId="18" fillId="80" borderId="2" xfId="0" applyNumberFormat="1" applyFont="1" applyFill="1" applyBorder="1" applyAlignment="1">
      <alignment horizontal="center" vertical="center"/>
    </xf>
    <xf numFmtId="178" fontId="1" fillId="80" borderId="2" xfId="0" applyNumberFormat="1" applyFont="1" applyFill="1" applyBorder="1" applyAlignment="1">
      <alignment horizontal="center" vertical="center"/>
    </xf>
    <xf numFmtId="178" fontId="9" fillId="80" borderId="10" xfId="0" applyNumberFormat="1" applyFont="1" applyFill="1" applyBorder="1" applyAlignment="1">
      <alignment horizontal="center" vertical="center"/>
    </xf>
    <xf numFmtId="178" fontId="18" fillId="80" borderId="10" xfId="0" applyNumberFormat="1" applyFont="1" applyFill="1" applyBorder="1" applyAlignment="1">
      <alignment horizontal="center" vertical="center"/>
    </xf>
    <xf numFmtId="178" fontId="9" fillId="80" borderId="11" xfId="0" applyNumberFormat="1" applyFont="1" applyFill="1" applyBorder="1" applyAlignment="1">
      <alignment horizontal="center" vertical="center"/>
    </xf>
    <xf numFmtId="178" fontId="7" fillId="21" borderId="2" xfId="0" applyNumberFormat="1" applyFont="1" applyFill="1" applyBorder="1" applyAlignment="1">
      <alignment horizontal="center" vertical="center"/>
    </xf>
    <xf numFmtId="178" fontId="7" fillId="21" borderId="10" xfId="0" applyNumberFormat="1" applyFont="1" applyFill="1" applyBorder="1" applyAlignment="1">
      <alignment horizontal="center" vertical="center"/>
    </xf>
    <xf numFmtId="178" fontId="7" fillId="12" borderId="2" xfId="0" applyNumberFormat="1" applyFont="1" applyFill="1" applyBorder="1" applyAlignment="1">
      <alignment horizontal="center" vertical="center"/>
    </xf>
    <xf numFmtId="178" fontId="7" fillId="5" borderId="2" xfId="0" applyNumberFormat="1" applyFont="1" applyFill="1" applyBorder="1" applyAlignment="1">
      <alignment horizontal="center" vertical="center"/>
    </xf>
    <xf numFmtId="178" fontId="1" fillId="21" borderId="1" xfId="3" applyNumberFormat="1" applyFont="1" applyFill="1" applyBorder="1" applyAlignment="1">
      <alignment horizontal="center" vertical="center"/>
    </xf>
    <xf numFmtId="178" fontId="3" fillId="21" borderId="1" xfId="3" applyNumberFormat="1" applyFont="1" applyFill="1" applyBorder="1" applyAlignment="1">
      <alignment horizontal="center" vertical="center"/>
    </xf>
    <xf numFmtId="178" fontId="3" fillId="21" borderId="1" xfId="0" applyNumberFormat="1" applyFont="1" applyFill="1" applyBorder="1" applyAlignment="1">
      <alignment horizontal="center" vertical="center"/>
    </xf>
    <xf numFmtId="178" fontId="1" fillId="18" borderId="1" xfId="3" applyNumberFormat="1" applyFont="1" applyFill="1" applyBorder="1" applyAlignment="1">
      <alignment horizontal="center" vertical="center"/>
    </xf>
    <xf numFmtId="178" fontId="1" fillId="15" borderId="1" xfId="0" applyNumberFormat="1" applyFont="1" applyFill="1" applyBorder="1" applyAlignment="1">
      <alignment horizontal="justify" vertical="center"/>
    </xf>
    <xf numFmtId="178" fontId="1" fillId="79" borderId="1" xfId="0" applyNumberFormat="1" applyFont="1" applyFill="1" applyBorder="1" applyAlignment="1">
      <alignment horizontal="center" vertical="center"/>
    </xf>
    <xf numFmtId="178" fontId="7" fillId="79" borderId="1" xfId="0" applyNumberFormat="1" applyFont="1" applyFill="1" applyBorder="1" applyAlignment="1">
      <alignment horizontal="justify" vertical="center"/>
    </xf>
    <xf numFmtId="178" fontId="1" fillId="79" borderId="1" xfId="3" applyNumberFormat="1" applyFont="1" applyFill="1" applyBorder="1" applyAlignment="1">
      <alignment horizontal="center" vertical="center"/>
    </xf>
    <xf numFmtId="178" fontId="3" fillId="79" borderId="1" xfId="0" applyNumberFormat="1" applyFont="1" applyFill="1" applyBorder="1" applyAlignment="1">
      <alignment horizontal="center" vertical="center"/>
    </xf>
    <xf numFmtId="178" fontId="3" fillId="80" borderId="1" xfId="0" applyNumberFormat="1" applyFont="1" applyFill="1" applyBorder="1" applyAlignment="1">
      <alignment horizontal="center" vertical="center"/>
    </xf>
    <xf numFmtId="178" fontId="7" fillId="80" borderId="1" xfId="0" applyNumberFormat="1" applyFont="1" applyFill="1" applyBorder="1" applyAlignment="1">
      <alignment horizontal="justify" vertical="center"/>
    </xf>
    <xf numFmtId="178" fontId="3" fillId="80" borderId="1" xfId="3" applyNumberFormat="1" applyFont="1" applyFill="1" applyBorder="1" applyAlignment="1">
      <alignment horizontal="center" vertical="center"/>
    </xf>
    <xf numFmtId="178" fontId="1" fillId="80" borderId="1" xfId="3" applyNumberFormat="1" applyFont="1" applyFill="1" applyBorder="1" applyAlignment="1">
      <alignment horizontal="center" vertical="center"/>
    </xf>
    <xf numFmtId="178" fontId="3" fillId="80" borderId="11" xfId="0" applyNumberFormat="1" applyFont="1" applyFill="1" applyBorder="1" applyAlignment="1">
      <alignment horizontal="center" vertical="center"/>
    </xf>
    <xf numFmtId="178" fontId="1" fillId="80" borderId="1" xfId="0" applyNumberFormat="1" applyFont="1" applyFill="1" applyBorder="1" applyAlignment="1">
      <alignment horizontal="center" vertical="center"/>
    </xf>
    <xf numFmtId="178" fontId="7" fillId="21" borderId="1" xfId="0" applyNumberFormat="1" applyFont="1" applyFill="1" applyBorder="1" applyAlignment="1">
      <alignment horizontal="justify" vertical="center"/>
    </xf>
    <xf numFmtId="178" fontId="7" fillId="12" borderId="1" xfId="0" applyNumberFormat="1" applyFont="1" applyFill="1" applyBorder="1" applyAlignment="1">
      <alignment horizontal="justify" vertical="center"/>
    </xf>
    <xf numFmtId="178" fontId="1" fillId="12" borderId="1" xfId="3" applyNumberFormat="1" applyFont="1" applyFill="1" applyBorder="1" applyAlignment="1">
      <alignment horizontal="center" vertical="center"/>
    </xf>
    <xf numFmtId="178" fontId="7" fillId="5" borderId="1" xfId="0" applyNumberFormat="1" applyFont="1" applyFill="1" applyBorder="1" applyAlignment="1">
      <alignment horizontal="justify" vertical="center"/>
    </xf>
    <xf numFmtId="178" fontId="1" fillId="5" borderId="1" xfId="3" applyNumberFormat="1" applyFont="1" applyFill="1" applyBorder="1" applyAlignment="1">
      <alignment horizontal="center" vertical="center"/>
    </xf>
    <xf numFmtId="178" fontId="8" fillId="5" borderId="1" xfId="0" applyNumberFormat="1" applyFont="1" applyFill="1" applyBorder="1" applyAlignment="1">
      <alignment horizontal="center" vertical="center"/>
    </xf>
    <xf numFmtId="178" fontId="8" fillId="5" borderId="1" xfId="0" applyNumberFormat="1" applyFont="1" applyFill="1" applyBorder="1" applyAlignment="1">
      <alignment horizontal="center" vertical="center" wrapText="1"/>
    </xf>
    <xf numFmtId="178" fontId="7" fillId="5" borderId="1" xfId="0" applyNumberFormat="1" applyFont="1" applyFill="1" applyBorder="1" applyAlignment="1">
      <alignment horizontal="center" vertical="center" wrapText="1"/>
    </xf>
    <xf numFmtId="178" fontId="8" fillId="12" borderId="1" xfId="0" applyNumberFormat="1" applyFont="1" applyFill="1" applyBorder="1" applyAlignment="1">
      <alignment horizontal="justify" vertical="center"/>
    </xf>
    <xf numFmtId="178" fontId="7" fillId="6" borderId="1" xfId="0" applyNumberFormat="1" applyFont="1" applyFill="1" applyBorder="1" applyAlignment="1">
      <alignment horizontal="justify" vertical="center"/>
    </xf>
    <xf numFmtId="178" fontId="1" fillId="6" borderId="1" xfId="3" applyNumberFormat="1" applyFont="1" applyFill="1" applyBorder="1" applyAlignment="1">
      <alignment horizontal="center" vertical="center"/>
    </xf>
    <xf numFmtId="178" fontId="18" fillId="21" borderId="1" xfId="0" applyNumberFormat="1" applyFont="1" applyFill="1" applyBorder="1" applyAlignment="1">
      <alignment horizontal="center" vertical="center"/>
    </xf>
    <xf numFmtId="178" fontId="7" fillId="21" borderId="1" xfId="0" applyNumberFormat="1" applyFont="1" applyFill="1" applyBorder="1" applyAlignment="1">
      <alignment horizontal="center" vertical="center"/>
    </xf>
    <xf numFmtId="178" fontId="1" fillId="21" borderId="1" xfId="0" applyNumberFormat="1" applyFont="1" applyFill="1" applyBorder="1">
      <alignment vertical="center"/>
    </xf>
    <xf numFmtId="178" fontId="18" fillId="18" borderId="1" xfId="0" applyNumberFormat="1" applyFont="1" applyFill="1" applyBorder="1" applyAlignment="1">
      <alignment horizontal="center" vertical="center"/>
    </xf>
    <xf numFmtId="178" fontId="7" fillId="79" borderId="1" xfId="0" applyNumberFormat="1" applyFont="1" applyFill="1" applyBorder="1" applyAlignment="1">
      <alignment horizontal="center" vertical="center"/>
    </xf>
    <xf numFmtId="178" fontId="7" fillId="80" borderId="1" xfId="0" applyNumberFormat="1" applyFont="1" applyFill="1" applyBorder="1" applyAlignment="1">
      <alignment horizontal="center" vertical="center"/>
    </xf>
    <xf numFmtId="178" fontId="6" fillId="21" borderId="1" xfId="0" applyNumberFormat="1" applyFont="1" applyFill="1" applyBorder="1" applyAlignment="1">
      <alignment horizontal="center" vertical="center"/>
    </xf>
    <xf numFmtId="178" fontId="11" fillId="21" borderId="1" xfId="0" applyNumberFormat="1" applyFont="1" applyFill="1" applyBorder="1" applyAlignment="1">
      <alignment horizontal="center" vertical="center"/>
    </xf>
    <xf numFmtId="178" fontId="7" fillId="12" borderId="1" xfId="0" applyNumberFormat="1" applyFont="1" applyFill="1" applyBorder="1" applyAlignment="1">
      <alignment horizontal="center" vertical="center"/>
    </xf>
    <xf numFmtId="178" fontId="6" fillId="12" borderId="1" xfId="0" applyNumberFormat="1" applyFont="1" applyFill="1" applyBorder="1" applyAlignment="1">
      <alignment horizontal="center" vertical="center"/>
    </xf>
    <xf numFmtId="178" fontId="11" fillId="12" borderId="1" xfId="0" applyNumberFormat="1" applyFont="1" applyFill="1" applyBorder="1" applyAlignment="1">
      <alignment horizontal="center" vertical="center"/>
    </xf>
    <xf numFmtId="178" fontId="11" fillId="5" borderId="1" xfId="0" applyNumberFormat="1" applyFont="1" applyFill="1" applyBorder="1" applyAlignment="1">
      <alignment horizontal="center" vertical="center"/>
    </xf>
    <xf numFmtId="178" fontId="6" fillId="5" borderId="1" xfId="0" applyNumberFormat="1" applyFont="1" applyFill="1" applyBorder="1" applyAlignment="1">
      <alignment horizontal="center" vertical="center"/>
    </xf>
    <xf numFmtId="178" fontId="18" fillId="12" borderId="1" xfId="0" applyNumberFormat="1" applyFont="1" applyFill="1" applyBorder="1" applyAlignment="1">
      <alignment horizontal="center" vertical="center"/>
    </xf>
    <xf numFmtId="178" fontId="8" fillId="12" borderId="1" xfId="0" applyNumberFormat="1" applyFont="1" applyFill="1" applyBorder="1" applyAlignment="1">
      <alignment horizontal="center" vertical="center"/>
    </xf>
    <xf numFmtId="178" fontId="9" fillId="6" borderId="1" xfId="0" applyNumberFormat="1" applyFont="1" applyFill="1" applyBorder="1" applyAlignment="1">
      <alignment horizontal="center" vertical="center"/>
    </xf>
    <xf numFmtId="178" fontId="8" fillId="6" borderId="1" xfId="0" applyNumberFormat="1" applyFont="1" applyFill="1" applyBorder="1" applyAlignment="1">
      <alignment horizontal="center" vertical="center"/>
    </xf>
    <xf numFmtId="178" fontId="1" fillId="18" borderId="1" xfId="0" applyNumberFormat="1" applyFont="1" applyFill="1" applyBorder="1">
      <alignment vertical="center"/>
    </xf>
    <xf numFmtId="178" fontId="3" fillId="18" borderId="1" xfId="0" applyNumberFormat="1" applyFont="1" applyFill="1" applyBorder="1" applyAlignment="1">
      <alignment horizontal="center" vertical="center"/>
    </xf>
    <xf numFmtId="178" fontId="1" fillId="79" borderId="1" xfId="0" applyNumberFormat="1" applyFont="1" applyFill="1" applyBorder="1">
      <alignment vertical="center"/>
    </xf>
    <xf numFmtId="178" fontId="1" fillId="80" borderId="1" xfId="0" applyNumberFormat="1" applyFont="1" applyFill="1" applyBorder="1">
      <alignment vertical="center"/>
    </xf>
    <xf numFmtId="178" fontId="1" fillId="12" borderId="1" xfId="0" applyNumberFormat="1" applyFont="1" applyFill="1" applyBorder="1">
      <alignment vertical="center"/>
    </xf>
    <xf numFmtId="178" fontId="1" fillId="5" borderId="1" xfId="0" applyNumberFormat="1" applyFont="1" applyFill="1" applyBorder="1">
      <alignment vertical="center"/>
    </xf>
    <xf numFmtId="178" fontId="1" fillId="21" borderId="1" xfId="0" applyNumberFormat="1" applyFont="1" applyFill="1" applyBorder="1" applyAlignment="1">
      <alignment vertical="center" wrapText="1"/>
    </xf>
    <xf numFmtId="178" fontId="1" fillId="21" borderId="0" xfId="0" applyNumberFormat="1" applyFont="1" applyFill="1" applyBorder="1">
      <alignment vertical="center"/>
    </xf>
    <xf numFmtId="178" fontId="1" fillId="18" borderId="1" xfId="0" applyNumberFormat="1" applyFont="1" applyFill="1" applyBorder="1" applyAlignment="1">
      <alignment vertical="center" wrapText="1"/>
    </xf>
    <xf numFmtId="178" fontId="7" fillId="18" borderId="1" xfId="0" applyNumberFormat="1" applyFont="1" applyFill="1" applyBorder="1" applyAlignment="1">
      <alignment horizontal="center" vertical="center"/>
    </xf>
    <xf numFmtId="178" fontId="7" fillId="15" borderId="1" xfId="0" applyNumberFormat="1" applyFont="1" applyFill="1" applyBorder="1" applyAlignment="1">
      <alignment vertical="center" wrapText="1"/>
    </xf>
    <xf numFmtId="178" fontId="7" fillId="79" borderId="1" xfId="0" applyNumberFormat="1" applyFont="1" applyFill="1" applyBorder="1" applyAlignment="1">
      <alignment vertical="center" wrapText="1"/>
    </xf>
    <xf numFmtId="178" fontId="7" fillId="79" borderId="1" xfId="0" applyNumberFormat="1" applyFont="1" applyFill="1" applyBorder="1">
      <alignment vertical="center"/>
    </xf>
    <xf numFmtId="178" fontId="3" fillId="80" borderId="1" xfId="0" applyNumberFormat="1" applyFont="1" applyFill="1" applyBorder="1">
      <alignment vertical="center"/>
    </xf>
    <xf numFmtId="178" fontId="1" fillId="79" borderId="1" xfId="0" applyNumberFormat="1" applyFont="1" applyFill="1" applyBorder="1" applyAlignment="1">
      <alignment vertical="center" wrapText="1"/>
    </xf>
    <xf numFmtId="178" fontId="3" fillId="80" borderId="1" xfId="0" applyNumberFormat="1" applyFont="1" applyFill="1" applyBorder="1" applyAlignment="1">
      <alignment vertical="center" wrapText="1"/>
    </xf>
    <xf numFmtId="178" fontId="1" fillId="80" borderId="1" xfId="0" applyNumberFormat="1" applyFont="1" applyFill="1" applyBorder="1" applyAlignment="1">
      <alignment vertical="center" wrapText="1"/>
    </xf>
    <xf numFmtId="178" fontId="1" fillId="12" borderId="1" xfId="0" applyNumberFormat="1" applyFont="1" applyFill="1" applyBorder="1" applyAlignment="1">
      <alignment vertical="center" wrapText="1"/>
    </xf>
    <xf numFmtId="178" fontId="1" fillId="5" borderId="1" xfId="0" applyNumberFormat="1" applyFont="1" applyFill="1" applyBorder="1" applyAlignment="1">
      <alignment vertical="center" wrapText="1"/>
    </xf>
    <xf numFmtId="178" fontId="3" fillId="21" borderId="1" xfId="0" applyNumberFormat="1" applyFont="1" applyFill="1" applyBorder="1">
      <alignment vertical="center"/>
    </xf>
    <xf numFmtId="178" fontId="3" fillId="18" borderId="1" xfId="0" applyNumberFormat="1" applyFont="1" applyFill="1" applyBorder="1">
      <alignment vertical="center"/>
    </xf>
    <xf numFmtId="178" fontId="18" fillId="80" borderId="1" xfId="0" applyNumberFormat="1" applyFont="1" applyFill="1" applyBorder="1" applyAlignment="1">
      <alignment horizontal="center" vertical="center"/>
    </xf>
    <xf numFmtId="178" fontId="9" fillId="5" borderId="1" xfId="0" applyNumberFormat="1" applyFont="1" applyFill="1" applyBorder="1" applyAlignment="1">
      <alignment horizontal="center" vertical="center"/>
    </xf>
    <xf numFmtId="178" fontId="9" fillId="21" borderId="1" xfId="0" applyNumberFormat="1" applyFont="1" applyFill="1" applyBorder="1" applyAlignment="1">
      <alignment horizontal="center" vertical="center"/>
    </xf>
    <xf numFmtId="178" fontId="9" fillId="12" borderId="1" xfId="0" applyNumberFormat="1" applyFont="1" applyFill="1" applyBorder="1" applyAlignment="1">
      <alignment horizontal="center" vertical="center"/>
    </xf>
    <xf numFmtId="178" fontId="18" fillId="21" borderId="1" xfId="0" applyNumberFormat="1" applyFont="1" applyFill="1" applyBorder="1">
      <alignment vertical="center"/>
    </xf>
    <xf numFmtId="178" fontId="18" fillId="18" borderId="1" xfId="0" applyNumberFormat="1" applyFont="1" applyFill="1" applyBorder="1">
      <alignment vertical="center"/>
    </xf>
    <xf numFmtId="178" fontId="6" fillId="79" borderId="1" xfId="0" applyNumberFormat="1" applyFont="1" applyFill="1" applyBorder="1" applyAlignment="1">
      <alignment horizontal="center" vertical="center"/>
    </xf>
    <xf numFmtId="178" fontId="6" fillId="80" borderId="1" xfId="0" applyNumberFormat="1" applyFont="1" applyFill="1" applyBorder="1" applyAlignment="1">
      <alignment horizontal="center" vertical="center"/>
    </xf>
    <xf numFmtId="178" fontId="7" fillId="12" borderId="10" xfId="0" applyNumberFormat="1" applyFont="1" applyFill="1" applyBorder="1" applyAlignment="1">
      <alignment horizontal="center" vertical="center"/>
    </xf>
    <xf numFmtId="178" fontId="7" fillId="21" borderId="11" xfId="0" applyNumberFormat="1" applyFont="1" applyFill="1" applyBorder="1" applyAlignment="1">
      <alignment horizontal="center" vertical="center"/>
    </xf>
    <xf numFmtId="178" fontId="7" fillId="43" borderId="10" xfId="0" applyNumberFormat="1" applyFont="1" applyFill="1" applyBorder="1" applyAlignment="1">
      <alignment horizontal="center" vertical="center"/>
    </xf>
    <xf numFmtId="178" fontId="1" fillId="43" borderId="1" xfId="0" applyNumberFormat="1" applyFont="1" applyFill="1" applyBorder="1" applyAlignment="1">
      <alignment horizontal="center" vertical="center" wrapText="1"/>
    </xf>
    <xf numFmtId="178" fontId="7" fillId="18" borderId="10" xfId="0" applyNumberFormat="1" applyFont="1" applyFill="1" applyBorder="1" applyAlignment="1">
      <alignment horizontal="center" vertical="center"/>
    </xf>
    <xf numFmtId="178" fontId="7" fillId="18" borderId="10" xfId="0" applyNumberFormat="1" applyFont="1" applyFill="1" applyBorder="1" applyAlignment="1">
      <alignment horizontal="center" vertical="center" wrapText="1"/>
    </xf>
    <xf numFmtId="178" fontId="1" fillId="18" borderId="10" xfId="0" applyNumberFormat="1" applyFont="1" applyFill="1" applyBorder="1" applyAlignment="1">
      <alignment horizontal="center" vertical="center" wrapText="1"/>
    </xf>
    <xf numFmtId="178" fontId="1" fillId="18" borderId="11" xfId="0" applyNumberFormat="1" applyFont="1" applyFill="1" applyBorder="1" applyAlignment="1">
      <alignment horizontal="center" vertical="center" wrapText="1"/>
    </xf>
    <xf numFmtId="178" fontId="1" fillId="5" borderId="1" xfId="0" applyNumberFormat="1" applyFont="1" applyFill="1" applyBorder="1" applyAlignment="1">
      <alignment horizontal="center" vertical="center" wrapText="1"/>
    </xf>
    <xf numFmtId="178" fontId="3" fillId="0" borderId="1" xfId="0" applyNumberFormat="1" applyFont="1" applyBorder="1" applyAlignment="1">
      <alignment horizontal="center" vertical="center" wrapText="1"/>
    </xf>
    <xf numFmtId="178" fontId="7" fillId="10" borderId="2" xfId="0" applyNumberFormat="1" applyFont="1" applyFill="1" applyBorder="1" applyAlignment="1">
      <alignment horizontal="center" vertical="center"/>
    </xf>
    <xf numFmtId="178" fontId="3" fillId="10" borderId="2" xfId="0" applyNumberFormat="1" applyFont="1" applyFill="1" applyBorder="1" applyAlignment="1">
      <alignment horizontal="center" vertical="center"/>
    </xf>
    <xf numFmtId="178" fontId="7" fillId="10" borderId="2" xfId="0" applyNumberFormat="1" applyFont="1" applyFill="1" applyBorder="1" applyAlignment="1">
      <alignment horizontal="center" vertical="center" wrapText="1"/>
    </xf>
    <xf numFmtId="178" fontId="7" fillId="10" borderId="11" xfId="0" applyNumberFormat="1" applyFont="1" applyFill="1" applyBorder="1" applyAlignment="1">
      <alignment horizontal="center" vertical="center"/>
    </xf>
    <xf numFmtId="178" fontId="3" fillId="10" borderId="11" xfId="0" applyNumberFormat="1" applyFont="1" applyFill="1" applyBorder="1" applyAlignment="1">
      <alignment horizontal="center" vertical="center"/>
    </xf>
    <xf numFmtId="178" fontId="7" fillId="10" borderId="11" xfId="0" applyNumberFormat="1" applyFont="1" applyFill="1" applyBorder="1" applyAlignment="1">
      <alignment horizontal="center" vertical="center" wrapText="1"/>
    </xf>
    <xf numFmtId="178" fontId="7" fillId="43" borderId="10" xfId="0" applyNumberFormat="1" applyFont="1" applyFill="1" applyBorder="1" applyAlignment="1">
      <alignment horizontal="center" vertical="center" wrapText="1"/>
    </xf>
    <xf numFmtId="178" fontId="1" fillId="43" borderId="10" xfId="0" applyNumberFormat="1" applyFont="1" applyFill="1" applyBorder="1" applyAlignment="1">
      <alignment horizontal="center" vertical="center" wrapText="1"/>
    </xf>
    <xf numFmtId="178" fontId="1" fillId="43" borderId="11" xfId="0" applyNumberFormat="1" applyFont="1" applyFill="1" applyBorder="1" applyAlignment="1">
      <alignment horizontal="center" vertical="center" wrapText="1"/>
    </xf>
    <xf numFmtId="178" fontId="1" fillId="81" borderId="1" xfId="0" applyNumberFormat="1" applyFont="1" applyFill="1" applyBorder="1" applyAlignment="1">
      <alignment horizontal="center" vertical="center"/>
    </xf>
    <xf numFmtId="178" fontId="1" fillId="18" borderId="1" xfId="0" applyNumberFormat="1" applyFont="1" applyFill="1" applyBorder="1" applyAlignment="1">
      <alignment horizontal="center" vertical="center" wrapText="1"/>
    </xf>
    <xf numFmtId="178" fontId="7" fillId="18" borderId="1" xfId="0" applyNumberFormat="1" applyFont="1" applyFill="1" applyBorder="1" applyAlignment="1">
      <alignment horizontal="justify" vertical="center"/>
    </xf>
    <xf numFmtId="178" fontId="1" fillId="0" borderId="1" xfId="0" applyNumberFormat="1" applyFont="1" applyFill="1" applyBorder="1" applyAlignment="1">
      <alignment horizontal="justify" vertical="center"/>
    </xf>
    <xf numFmtId="178" fontId="1" fillId="5" borderId="1" xfId="0" applyNumberFormat="1" applyFont="1" applyFill="1" applyBorder="1" applyAlignment="1">
      <alignment horizontal="justify" vertical="center"/>
    </xf>
    <xf numFmtId="178" fontId="1" fillId="14" borderId="1" xfId="0" applyNumberFormat="1" applyFont="1" applyFill="1" applyBorder="1" applyAlignment="1">
      <alignment horizontal="justify" vertical="center"/>
    </xf>
    <xf numFmtId="178" fontId="1" fillId="14" borderId="1" xfId="3" applyNumberFormat="1" applyFont="1" applyFill="1" applyBorder="1" applyAlignment="1">
      <alignment horizontal="center" vertical="center"/>
    </xf>
    <xf numFmtId="178" fontId="1" fillId="3" borderId="1" xfId="0" applyNumberFormat="1" applyFont="1" applyFill="1" applyBorder="1" applyAlignment="1">
      <alignment horizontal="justify" vertical="center"/>
    </xf>
    <xf numFmtId="178" fontId="7" fillId="0" borderId="1" xfId="0" applyNumberFormat="1" applyFont="1" applyBorder="1" applyAlignment="1">
      <alignment horizontal="left" vertical="center" wrapText="1"/>
    </xf>
    <xf numFmtId="178" fontId="2" fillId="0" borderId="1" xfId="0" applyNumberFormat="1" applyFont="1" applyBorder="1" applyAlignment="1">
      <alignment horizontal="left" vertical="center" wrapText="1"/>
    </xf>
    <xf numFmtId="178" fontId="7" fillId="12" borderId="11" xfId="0" applyNumberFormat="1" applyFont="1" applyFill="1" applyBorder="1" applyAlignment="1">
      <alignment horizontal="center" vertical="center"/>
    </xf>
    <xf numFmtId="178" fontId="6" fillId="18" borderId="1" xfId="0" applyNumberFormat="1" applyFont="1" applyFill="1" applyBorder="1" applyAlignment="1">
      <alignment horizontal="center" vertical="center"/>
    </xf>
    <xf numFmtId="178" fontId="11" fillId="18" borderId="1" xfId="0" applyNumberFormat="1" applyFont="1" applyFill="1" applyBorder="1" applyAlignment="1">
      <alignment horizontal="center" vertical="center"/>
    </xf>
    <xf numFmtId="178" fontId="3" fillId="29" borderId="1" xfId="0" applyNumberFormat="1" applyFont="1" applyFill="1" applyBorder="1" applyAlignment="1">
      <alignment horizontal="center" vertical="center"/>
    </xf>
    <xf numFmtId="178" fontId="3" fillId="12" borderId="2" xfId="0" applyNumberFormat="1" applyFont="1" applyFill="1" applyBorder="1" applyAlignment="1">
      <alignment horizontal="center" vertical="center"/>
    </xf>
    <xf numFmtId="178" fontId="3" fillId="12" borderId="11" xfId="0" applyNumberFormat="1" applyFont="1" applyFill="1" applyBorder="1" applyAlignment="1">
      <alignment horizontal="center" vertical="center"/>
    </xf>
    <xf numFmtId="178" fontId="6" fillId="10" borderId="1" xfId="0" applyNumberFormat="1" applyFont="1" applyFill="1" applyBorder="1" applyAlignment="1">
      <alignment horizontal="center" vertical="center"/>
    </xf>
    <xf numFmtId="178" fontId="7" fillId="82" borderId="1" xfId="0" applyNumberFormat="1" applyFont="1" applyFill="1" applyBorder="1" applyAlignment="1">
      <alignment horizontal="center" vertical="center"/>
    </xf>
    <xf numFmtId="178" fontId="1" fillId="82" borderId="1" xfId="0" applyNumberFormat="1" applyFont="1" applyFill="1" applyBorder="1" applyAlignment="1">
      <alignment horizontal="center" vertical="center"/>
    </xf>
    <xf numFmtId="178" fontId="1" fillId="14" borderId="1" xfId="0" applyNumberFormat="1" applyFont="1" applyFill="1" applyBorder="1">
      <alignment vertical="center"/>
    </xf>
    <xf numFmtId="178" fontId="8" fillId="10" borderId="1" xfId="0" applyNumberFormat="1" applyFont="1" applyFill="1" applyBorder="1" applyAlignment="1">
      <alignment horizontal="center" vertical="center" wrapText="1"/>
    </xf>
    <xf numFmtId="178" fontId="7" fillId="10" borderId="1" xfId="0" applyNumberFormat="1" applyFont="1" applyFill="1" applyBorder="1" applyAlignment="1">
      <alignment horizontal="center" vertical="center" wrapText="1"/>
    </xf>
    <xf numFmtId="178" fontId="1" fillId="82" borderId="1" xfId="0" applyNumberFormat="1" applyFont="1" applyFill="1" applyBorder="1" applyAlignment="1">
      <alignment vertical="center" wrapText="1"/>
    </xf>
    <xf numFmtId="178" fontId="1" fillId="82" borderId="1" xfId="0" applyNumberFormat="1" applyFont="1" applyFill="1" applyBorder="1">
      <alignment vertical="center"/>
    </xf>
    <xf numFmtId="178" fontId="1" fillId="14" borderId="1" xfId="0" applyNumberFormat="1" applyFont="1" applyFill="1" applyBorder="1" applyAlignment="1">
      <alignment vertical="center" wrapText="1"/>
    </xf>
    <xf numFmtId="178" fontId="3" fillId="10" borderId="1" xfId="0" applyNumberFormat="1" applyFont="1" applyFill="1" applyBorder="1" applyAlignment="1">
      <alignment horizontal="center" vertical="center" wrapText="1"/>
    </xf>
    <xf numFmtId="178" fontId="3" fillId="5" borderId="1" xfId="0" applyNumberFormat="1" applyFont="1" applyFill="1" applyBorder="1">
      <alignment vertical="center"/>
    </xf>
    <xf numFmtId="178" fontId="3" fillId="14" borderId="1" xfId="0" applyNumberFormat="1" applyFont="1" applyFill="1" applyBorder="1">
      <alignment vertical="center"/>
    </xf>
    <xf numFmtId="178" fontId="3" fillId="5" borderId="1" xfId="0" applyNumberFormat="1" applyFont="1" applyFill="1" applyBorder="1" applyAlignment="1">
      <alignment horizontal="center" vertical="center" wrapText="1"/>
    </xf>
    <xf numFmtId="178" fontId="6" fillId="14" borderId="1" xfId="0" applyNumberFormat="1" applyFont="1" applyFill="1" applyBorder="1">
      <alignment vertical="center"/>
    </xf>
    <xf numFmtId="178" fontId="3" fillId="5" borderId="1" xfId="0" applyNumberFormat="1" applyFont="1" applyFill="1" applyBorder="1" applyAlignment="1">
      <alignment vertical="center" wrapText="1"/>
    </xf>
    <xf numFmtId="178" fontId="3" fillId="17" borderId="1" xfId="0" applyNumberFormat="1" applyFont="1" applyFill="1" applyBorder="1" applyAlignment="1">
      <alignment horizontal="center" vertical="center" wrapText="1"/>
    </xf>
    <xf numFmtId="178" fontId="3" fillId="63" borderId="1" xfId="0" applyNumberFormat="1" applyFont="1" applyFill="1" applyBorder="1" applyAlignment="1">
      <alignment horizontal="center" vertical="center"/>
    </xf>
    <xf numFmtId="178" fontId="3" fillId="63" borderId="1" xfId="0" applyNumberFormat="1" applyFont="1" applyFill="1" applyBorder="1" applyAlignment="1">
      <alignment horizontal="center" vertical="center" wrapText="1"/>
    </xf>
    <xf numFmtId="178" fontId="3" fillId="14" borderId="1" xfId="0" applyNumberFormat="1" applyFont="1" applyFill="1" applyBorder="1" applyAlignment="1">
      <alignment horizontal="center" vertical="center" wrapText="1"/>
    </xf>
    <xf numFmtId="178" fontId="7" fillId="28" borderId="1" xfId="0" applyNumberFormat="1" applyFont="1" applyFill="1" applyBorder="1" applyAlignment="1">
      <alignment horizontal="center" vertical="center" wrapText="1"/>
    </xf>
    <xf numFmtId="178" fontId="3" fillId="28" borderId="1" xfId="0" applyNumberFormat="1" applyFont="1" applyFill="1" applyBorder="1" applyAlignment="1">
      <alignment horizontal="center" vertical="center" wrapText="1"/>
    </xf>
    <xf numFmtId="178" fontId="7" fillId="17" borderId="1" xfId="0" applyNumberFormat="1" applyFont="1" applyFill="1" applyBorder="1" applyAlignment="1">
      <alignment horizontal="center" vertical="center" wrapText="1"/>
    </xf>
    <xf numFmtId="178" fontId="2" fillId="17" borderId="1" xfId="0" applyNumberFormat="1" applyFont="1" applyFill="1" applyBorder="1" applyAlignment="1">
      <alignment horizontal="left" vertical="center" wrapText="1"/>
    </xf>
    <xf numFmtId="178" fontId="2" fillId="17" borderId="1" xfId="0" applyNumberFormat="1" applyFont="1" applyFill="1" applyBorder="1" applyAlignment="1">
      <alignment horizontal="center" vertical="center" wrapText="1"/>
    </xf>
    <xf numFmtId="178" fontId="3" fillId="0" borderId="1" xfId="0" applyNumberFormat="1" applyFont="1" applyFill="1" applyBorder="1" applyAlignment="1" applyProtection="1">
      <alignment horizontal="center" vertical="center" wrapText="1"/>
    </xf>
    <xf numFmtId="178" fontId="3" fillId="83" borderId="1" xfId="0" applyNumberFormat="1" applyFont="1" applyFill="1" applyBorder="1" applyAlignment="1">
      <alignment horizontal="center" vertical="center" wrapText="1"/>
    </xf>
    <xf numFmtId="178" fontId="3" fillId="83" borderId="1" xfId="0" applyNumberFormat="1" applyFont="1" applyFill="1" applyBorder="1" applyAlignment="1" applyProtection="1">
      <alignment horizontal="center" vertical="center" wrapText="1"/>
    </xf>
    <xf numFmtId="178" fontId="3" fillId="83" borderId="1" xfId="0" applyNumberFormat="1" applyFont="1" applyFill="1" applyBorder="1" applyAlignment="1">
      <alignment horizontal="center" vertical="center"/>
    </xf>
    <xf numFmtId="178" fontId="3" fillId="63" borderId="1" xfId="0" applyNumberFormat="1" applyFont="1" applyFill="1" applyBorder="1" applyAlignment="1" applyProtection="1">
      <alignment horizontal="center" vertical="center" wrapText="1"/>
    </xf>
    <xf numFmtId="178" fontId="3" fillId="63" borderId="1" xfId="0" applyNumberFormat="1" applyFont="1" applyFill="1" applyBorder="1" applyAlignment="1" applyProtection="1">
      <alignment horizontal="center" vertical="center"/>
    </xf>
    <xf numFmtId="178" fontId="3" fillId="6" borderId="1" xfId="0" applyNumberFormat="1" applyFont="1" applyFill="1" applyBorder="1" applyAlignment="1" applyProtection="1">
      <alignment horizontal="center" vertical="center" wrapText="1"/>
    </xf>
    <xf numFmtId="178" fontId="23" fillId="6" borderId="1" xfId="0" applyNumberFormat="1" applyFont="1" applyFill="1" applyBorder="1" applyAlignment="1">
      <alignment horizontal="justify" vertical="center"/>
    </xf>
    <xf numFmtId="178" fontId="2" fillId="14" borderId="1" xfId="0" applyNumberFormat="1" applyFont="1" applyFill="1" applyBorder="1" applyAlignment="1">
      <alignment horizontal="left" vertical="center" wrapText="1"/>
    </xf>
    <xf numFmtId="178" fontId="2" fillId="14" borderId="1" xfId="0" applyNumberFormat="1" applyFont="1" applyFill="1" applyBorder="1" applyAlignment="1">
      <alignment horizontal="center" vertical="center" wrapText="1"/>
    </xf>
    <xf numFmtId="178" fontId="1" fillId="4" borderId="1" xfId="0" applyNumberFormat="1" applyFont="1" applyFill="1" applyBorder="1" applyAlignment="1">
      <alignment horizontal="justify" vertical="center"/>
    </xf>
    <xf numFmtId="178" fontId="7" fillId="0" borderId="1" xfId="0" applyNumberFormat="1" applyFont="1" applyFill="1" applyBorder="1" applyAlignment="1">
      <alignment horizontal="justify" vertical="center"/>
    </xf>
    <xf numFmtId="178" fontId="3" fillId="0" borderId="1" xfId="3" applyNumberFormat="1" applyFont="1" applyFill="1" applyBorder="1" applyAlignment="1">
      <alignment horizontal="center" vertical="center"/>
    </xf>
    <xf numFmtId="178" fontId="18" fillId="29" borderId="1" xfId="0" applyNumberFormat="1" applyFont="1" applyFill="1" applyBorder="1" applyAlignment="1">
      <alignment horizontal="center" vertical="center"/>
    </xf>
    <xf numFmtId="178" fontId="8" fillId="29" borderId="1" xfId="0" applyNumberFormat="1" applyFont="1" applyFill="1" applyBorder="1" applyAlignment="1">
      <alignment horizontal="center" vertical="center"/>
    </xf>
    <xf numFmtId="178" fontId="6" fillId="14" borderId="1" xfId="0" applyNumberFormat="1" applyFont="1" applyFill="1" applyBorder="1" applyAlignment="1">
      <alignment horizontal="center" vertical="center"/>
    </xf>
    <xf numFmtId="178" fontId="18" fillId="0" borderId="1" xfId="0" applyNumberFormat="1" applyFont="1" applyBorder="1" applyAlignment="1">
      <alignment horizontal="center" vertical="center"/>
    </xf>
    <xf numFmtId="178" fontId="6" fillId="17" borderId="1" xfId="0" applyNumberFormat="1" applyFont="1" applyFill="1" applyBorder="1" applyAlignment="1">
      <alignment horizontal="center" vertical="center"/>
    </xf>
    <xf numFmtId="178" fontId="18" fillId="0" borderId="1" xfId="0" applyNumberFormat="1" applyFont="1" applyBorder="1" applyAlignment="1">
      <alignment horizontal="center" vertical="center" wrapText="1"/>
    </xf>
    <xf numFmtId="178" fontId="7" fillId="63" borderId="1" xfId="0" applyNumberFormat="1" applyFont="1" applyFill="1" applyBorder="1" applyAlignment="1">
      <alignment horizontal="center" vertical="center"/>
    </xf>
    <xf numFmtId="178" fontId="18" fillId="6" borderId="1" xfId="0" applyNumberFormat="1" applyFont="1" applyFill="1" applyBorder="1" applyAlignment="1">
      <alignment horizontal="center" vertical="center" wrapText="1"/>
    </xf>
    <xf numFmtId="178" fontId="7" fillId="6" borderId="1" xfId="0" applyNumberFormat="1" applyFont="1" applyFill="1" applyBorder="1" applyAlignment="1">
      <alignment vertical="center" wrapText="1"/>
    </xf>
    <xf numFmtId="178" fontId="7" fillId="4" borderId="1" xfId="0" applyNumberFormat="1" applyFont="1" applyFill="1" applyBorder="1">
      <alignment vertical="center"/>
    </xf>
    <xf numFmtId="178" fontId="3" fillId="14" borderId="20" xfId="0" applyNumberFormat="1" applyFont="1" applyFill="1" applyBorder="1" applyAlignment="1">
      <alignment horizontal="center" vertical="center"/>
    </xf>
    <xf numFmtId="178" fontId="18" fillId="0" borderId="1" xfId="0" applyNumberFormat="1" applyFont="1" applyFill="1" applyBorder="1">
      <alignment vertical="center"/>
    </xf>
    <xf numFmtId="178" fontId="6" fillId="0" borderId="2" xfId="0" applyNumberFormat="1" applyFont="1" applyFill="1" applyBorder="1">
      <alignment vertical="center"/>
    </xf>
    <xf numFmtId="178" fontId="3" fillId="0" borderId="46" xfId="0" applyNumberFormat="1" applyFont="1" applyFill="1" applyBorder="1">
      <alignment vertical="center"/>
    </xf>
    <xf numFmtId="178" fontId="3" fillId="0" borderId="47" xfId="0" applyNumberFormat="1" applyFont="1" applyFill="1" applyBorder="1">
      <alignment vertical="center"/>
    </xf>
    <xf numFmtId="178" fontId="3" fillId="0" borderId="47" xfId="0" applyNumberFormat="1" applyFont="1" applyBorder="1">
      <alignment vertical="center"/>
    </xf>
    <xf numFmtId="178" fontId="6" fillId="63" borderId="1" xfId="0" applyNumberFormat="1" applyFont="1" applyFill="1" applyBorder="1" applyAlignment="1">
      <alignment horizontal="center" vertical="center"/>
    </xf>
    <xf numFmtId="178" fontId="3" fillId="0" borderId="57" xfId="0" applyNumberFormat="1" applyFont="1" applyBorder="1">
      <alignment vertical="center"/>
    </xf>
    <xf numFmtId="178" fontId="1" fillId="17" borderId="1" xfId="0" applyNumberFormat="1" applyFont="1" applyFill="1" applyBorder="1" applyAlignment="1">
      <alignment horizontal="center" vertical="center"/>
    </xf>
    <xf numFmtId="178" fontId="1" fillId="63" borderId="1" xfId="0" applyNumberFormat="1" applyFont="1" applyFill="1" applyBorder="1" applyAlignment="1">
      <alignment horizontal="center" vertical="center"/>
    </xf>
    <xf numFmtId="178" fontId="0" fillId="0" borderId="0" xfId="0" applyNumberFormat="1" applyBorder="1">
      <alignment vertical="center"/>
    </xf>
    <xf numFmtId="178" fontId="6" fillId="0" borderId="0" xfId="0" applyNumberFormat="1" applyFont="1" applyFill="1" applyBorder="1">
      <alignment vertical="center"/>
    </xf>
    <xf numFmtId="178" fontId="1" fillId="84" borderId="1" xfId="0" applyNumberFormat="1" applyFont="1" applyFill="1" applyBorder="1" applyAlignment="1">
      <alignment horizontal="center" vertical="center"/>
    </xf>
    <xf numFmtId="178" fontId="7" fillId="84" borderId="1" xfId="0" applyNumberFormat="1" applyFont="1" applyFill="1" applyBorder="1" applyAlignment="1">
      <alignment horizontal="center" vertical="center" wrapText="1"/>
    </xf>
    <xf numFmtId="178" fontId="1" fillId="84" borderId="1" xfId="0" applyNumberFormat="1" applyFont="1" applyFill="1" applyBorder="1" applyAlignment="1">
      <alignment horizontal="center" vertical="center" wrapText="1"/>
    </xf>
    <xf numFmtId="178" fontId="7" fillId="12" borderId="1" xfId="0" applyNumberFormat="1" applyFont="1" applyFill="1" applyBorder="1" applyAlignment="1">
      <alignment horizontal="center" vertical="center" wrapText="1"/>
    </xf>
    <xf numFmtId="178" fontId="1" fillId="12" borderId="1" xfId="0" applyNumberFormat="1" applyFont="1" applyFill="1" applyBorder="1" applyAlignment="1">
      <alignment horizontal="center" vertical="center" wrapText="1"/>
    </xf>
    <xf numFmtId="178" fontId="1" fillId="84" borderId="2" xfId="0" applyNumberFormat="1" applyFont="1" applyFill="1" applyBorder="1" applyAlignment="1">
      <alignment horizontal="center" vertical="center" wrapText="1"/>
    </xf>
    <xf numFmtId="178" fontId="1" fillId="84" borderId="10" xfId="0" applyNumberFormat="1" applyFont="1" applyFill="1" applyBorder="1" applyAlignment="1">
      <alignment horizontal="center" vertical="center" wrapText="1"/>
    </xf>
    <xf numFmtId="178" fontId="1" fillId="84" borderId="11" xfId="0" applyNumberFormat="1" applyFont="1" applyFill="1" applyBorder="1" applyAlignment="1">
      <alignment horizontal="center" vertical="center" wrapText="1"/>
    </xf>
    <xf numFmtId="178" fontId="47" fillId="0" borderId="10" xfId="0" applyNumberFormat="1" applyFont="1" applyFill="1" applyBorder="1" applyAlignment="1">
      <alignment horizontal="center" vertical="center"/>
    </xf>
    <xf numFmtId="178" fontId="1" fillId="85" borderId="1" xfId="0" applyNumberFormat="1" applyFont="1" applyFill="1" applyBorder="1" applyAlignment="1">
      <alignment horizontal="center" vertical="center"/>
    </xf>
    <xf numFmtId="178" fontId="46" fillId="18" borderId="1" xfId="6" applyNumberFormat="1" applyFont="1" applyFill="1" applyBorder="1" applyAlignment="1">
      <alignment horizontal="center" vertical="center"/>
    </xf>
    <xf numFmtId="178" fontId="1" fillId="0" borderId="0" xfId="0" applyNumberFormat="1" applyFont="1" applyFill="1">
      <alignment vertical="center"/>
    </xf>
    <xf numFmtId="178" fontId="1" fillId="85" borderId="2" xfId="0" applyNumberFormat="1" applyFont="1" applyFill="1" applyBorder="1" applyAlignment="1">
      <alignment horizontal="center" vertical="center"/>
    </xf>
    <xf numFmtId="178" fontId="1" fillId="85" borderId="10" xfId="0" applyNumberFormat="1" applyFont="1" applyFill="1" applyBorder="1" applyAlignment="1">
      <alignment horizontal="center" vertical="center"/>
    </xf>
    <xf numFmtId="178" fontId="1" fillId="85" borderId="11" xfId="0" applyNumberFormat="1" applyFont="1" applyFill="1" applyBorder="1" applyAlignment="1">
      <alignment horizontal="center" vertical="center"/>
    </xf>
    <xf numFmtId="178" fontId="7" fillId="0" borderId="1" xfId="0" applyNumberFormat="1" applyFont="1" applyFill="1" applyBorder="1" applyAlignment="1">
      <alignment horizontal="justify" vertical="center" wrapText="1"/>
    </xf>
    <xf numFmtId="178" fontId="1" fillId="3" borderId="1" xfId="0" applyNumberFormat="1" applyFont="1" applyFill="1" applyBorder="1" applyAlignment="1">
      <alignment horizontal="justify" vertical="center" wrapText="1"/>
    </xf>
    <xf numFmtId="178" fontId="1" fillId="84" borderId="1" xfId="0" applyNumberFormat="1" applyFont="1" applyFill="1" applyBorder="1" applyAlignment="1">
      <alignment horizontal="justify" vertical="center"/>
    </xf>
    <xf numFmtId="178" fontId="1" fillId="84" borderId="1" xfId="3" applyNumberFormat="1" applyFont="1" applyFill="1" applyBorder="1" applyAlignment="1">
      <alignment horizontal="center" vertical="center"/>
    </xf>
    <xf numFmtId="178" fontId="7" fillId="3" borderId="1" xfId="0" applyNumberFormat="1" applyFont="1" applyFill="1" applyBorder="1" applyAlignment="1">
      <alignment horizontal="left" vertical="center"/>
    </xf>
    <xf numFmtId="178" fontId="7" fillId="3" borderId="1" xfId="0" applyNumberFormat="1" applyFont="1" applyFill="1" applyBorder="1" applyAlignment="1">
      <alignment horizontal="justify" vertical="center"/>
    </xf>
    <xf numFmtId="178" fontId="3" fillId="12" borderId="1" xfId="3" applyNumberFormat="1" applyFont="1" applyFill="1" applyBorder="1" applyAlignment="1">
      <alignment horizontal="center" vertical="center"/>
    </xf>
    <xf numFmtId="178" fontId="3" fillId="84" borderId="1" xfId="0" applyNumberFormat="1" applyFont="1" applyFill="1" applyBorder="1" applyAlignment="1">
      <alignment horizontal="center" vertical="center"/>
    </xf>
    <xf numFmtId="178" fontId="7" fillId="84" borderId="1" xfId="0" applyNumberFormat="1" applyFont="1" applyFill="1" applyBorder="1" applyAlignment="1">
      <alignment horizontal="center" vertical="center"/>
    </xf>
    <xf numFmtId="178" fontId="6" fillId="84" borderId="1" xfId="0" applyNumberFormat="1" applyFont="1" applyFill="1" applyBorder="1" applyAlignment="1">
      <alignment horizontal="center" vertical="center"/>
    </xf>
    <xf numFmtId="178" fontId="18" fillId="0" borderId="1" xfId="0" applyNumberFormat="1" applyFont="1" applyFill="1" applyBorder="1" applyAlignment="1">
      <alignment horizontal="center" vertical="center" wrapText="1"/>
    </xf>
    <xf numFmtId="178" fontId="1" fillId="84" borderId="1" xfId="0" applyNumberFormat="1" applyFont="1" applyFill="1" applyBorder="1">
      <alignment vertical="center"/>
    </xf>
    <xf numFmtId="178" fontId="3" fillId="12" borderId="1" xfId="0" applyNumberFormat="1" applyFont="1" applyFill="1" applyBorder="1">
      <alignment vertical="center"/>
    </xf>
    <xf numFmtId="178" fontId="19" fillId="12" borderId="1" xfId="0" applyNumberFormat="1" applyFont="1" applyFill="1" applyBorder="1" applyAlignment="1">
      <alignment horizontal="center" vertical="center"/>
    </xf>
    <xf numFmtId="178" fontId="61" fillId="3" borderId="1" xfId="0" applyNumberFormat="1" applyFont="1" applyFill="1" applyBorder="1" applyAlignment="1">
      <alignment vertical="center" wrapText="1"/>
    </xf>
    <xf numFmtId="178" fontId="7" fillId="12" borderId="1" xfId="0" applyNumberFormat="1" applyFont="1" applyFill="1" applyBorder="1" applyAlignment="1">
      <alignment vertical="center" wrapText="1"/>
    </xf>
    <xf numFmtId="178" fontId="8" fillId="14" borderId="1" xfId="0" applyNumberFormat="1" applyFont="1" applyFill="1" applyBorder="1" applyAlignment="1">
      <alignment vertical="center" wrapText="1"/>
    </xf>
    <xf numFmtId="178" fontId="1" fillId="39" borderId="1" xfId="0" applyNumberFormat="1" applyFont="1" applyFill="1" applyBorder="1" applyAlignment="1">
      <alignment vertical="center" wrapText="1"/>
    </xf>
    <xf numFmtId="178" fontId="1" fillId="39" borderId="1" xfId="0" applyNumberFormat="1" applyFont="1" applyFill="1" applyBorder="1">
      <alignment vertical="center"/>
    </xf>
    <xf numFmtId="178" fontId="1" fillId="85" borderId="1" xfId="0" applyNumberFormat="1" applyFont="1" applyFill="1" applyBorder="1" applyAlignment="1">
      <alignment vertical="center" wrapText="1"/>
    </xf>
    <xf numFmtId="178" fontId="1" fillId="85" borderId="1" xfId="0" applyNumberFormat="1" applyFont="1" applyFill="1" applyBorder="1">
      <alignment vertical="center"/>
    </xf>
    <xf numFmtId="178" fontId="3" fillId="85" borderId="1" xfId="0" applyNumberFormat="1" applyFont="1" applyFill="1" applyBorder="1" applyAlignment="1">
      <alignment horizontal="center" vertical="center"/>
    </xf>
    <xf numFmtId="178" fontId="1" fillId="84" borderId="1" xfId="0" applyNumberFormat="1" applyFont="1" applyFill="1" applyBorder="1" applyAlignment="1">
      <alignment vertical="center" wrapText="1"/>
    </xf>
    <xf numFmtId="178" fontId="3" fillId="0" borderId="48" xfId="0" applyNumberFormat="1" applyFont="1" applyFill="1" applyBorder="1">
      <alignment vertical="center"/>
    </xf>
    <xf numFmtId="178" fontId="3" fillId="0" borderId="49" xfId="0" applyNumberFormat="1" applyFont="1" applyFill="1" applyBorder="1">
      <alignment vertical="center"/>
    </xf>
    <xf numFmtId="178" fontId="3" fillId="0" borderId="11" xfId="0" applyNumberFormat="1" applyFont="1" applyFill="1" applyBorder="1">
      <alignment vertical="center"/>
    </xf>
    <xf numFmtId="178" fontId="3" fillId="84" borderId="1" xfId="0" applyNumberFormat="1" applyFont="1" applyFill="1" applyBorder="1">
      <alignment vertical="center"/>
    </xf>
    <xf numFmtId="178" fontId="18" fillId="12" borderId="1" xfId="0" applyNumberFormat="1" applyFont="1" applyFill="1" applyBorder="1">
      <alignment vertical="center"/>
    </xf>
    <xf numFmtId="178" fontId="9" fillId="12" borderId="1" xfId="0" applyNumberFormat="1" applyFont="1" applyFill="1" applyBorder="1">
      <alignment vertical="center"/>
    </xf>
    <xf numFmtId="178" fontId="3" fillId="0" borderId="1" xfId="0" applyNumberFormat="1" applyFont="1" applyBorder="1">
      <alignment vertical="center"/>
    </xf>
    <xf numFmtId="178" fontId="3" fillId="17" borderId="1" xfId="0" applyNumberFormat="1" applyFont="1" applyFill="1" applyBorder="1">
      <alignment vertical="center"/>
    </xf>
    <xf numFmtId="178" fontId="45" fillId="12" borderId="1" xfId="0" applyNumberFormat="1" applyFont="1" applyFill="1" applyBorder="1">
      <alignment vertical="center"/>
    </xf>
    <xf numFmtId="178" fontId="3" fillId="0" borderId="58" xfId="0" applyNumberFormat="1" applyFont="1" applyBorder="1" applyAlignment="1">
      <alignment horizontal="center" vertical="center"/>
    </xf>
    <xf numFmtId="178" fontId="3" fillId="0" borderId="31" xfId="0" applyNumberFormat="1" applyFont="1" applyFill="1" applyBorder="1" applyAlignment="1">
      <alignment horizontal="center" vertical="center"/>
    </xf>
    <xf numFmtId="178" fontId="3" fillId="0" borderId="62" xfId="0" applyNumberFormat="1" applyFont="1" applyBorder="1" applyAlignment="1">
      <alignment horizontal="center" vertical="center"/>
    </xf>
    <xf numFmtId="178" fontId="4" fillId="0" borderId="58" xfId="0" applyNumberFormat="1" applyFont="1" applyBorder="1" applyAlignment="1">
      <alignment horizontal="center" vertical="center"/>
    </xf>
    <xf numFmtId="178" fontId="3" fillId="0" borderId="25" xfId="0" applyNumberFormat="1" applyFont="1" applyFill="1" applyBorder="1" applyAlignment="1">
      <alignment horizontal="center" vertical="center"/>
    </xf>
    <xf numFmtId="178" fontId="4" fillId="0" borderId="63" xfId="0" applyNumberFormat="1" applyFont="1" applyBorder="1" applyAlignment="1">
      <alignment horizontal="center" vertical="center"/>
    </xf>
    <xf numFmtId="178" fontId="4" fillId="0" borderId="62" xfId="0" applyNumberFormat="1" applyFont="1" applyBorder="1">
      <alignment vertical="center"/>
    </xf>
    <xf numFmtId="178" fontId="1" fillId="0" borderId="11" xfId="0" applyNumberFormat="1" applyFont="1" applyFill="1" applyBorder="1">
      <alignment vertical="center"/>
    </xf>
    <xf numFmtId="178" fontId="6" fillId="12" borderId="1" xfId="0" applyNumberFormat="1" applyFont="1" applyFill="1" applyBorder="1">
      <alignment vertical="center"/>
    </xf>
    <xf numFmtId="178" fontId="6" fillId="0" borderId="49" xfId="0" applyNumberFormat="1" applyFont="1" applyFill="1" applyBorder="1" applyAlignment="1">
      <alignment horizontal="center" vertical="center"/>
    </xf>
    <xf numFmtId="178" fontId="45" fillId="0" borderId="57" xfId="0" applyNumberFormat="1" applyFont="1" applyBorder="1" applyAlignment="1">
      <alignment horizontal="center" vertical="center"/>
    </xf>
    <xf numFmtId="178" fontId="3" fillId="0" borderId="52" xfId="0" applyNumberFormat="1" applyFont="1" applyFill="1" applyBorder="1" applyAlignment="1">
      <alignment horizontal="center" vertical="center"/>
    </xf>
    <xf numFmtId="178" fontId="6" fillId="0" borderId="53" xfId="0" applyNumberFormat="1" applyFont="1" applyBorder="1" applyAlignment="1">
      <alignment horizontal="center" vertical="center"/>
    </xf>
    <xf numFmtId="178" fontId="45" fillId="0" borderId="53" xfId="0" applyNumberFormat="1" applyFont="1" applyBorder="1" applyAlignment="1">
      <alignment horizontal="center" vertical="center"/>
    </xf>
    <xf numFmtId="178" fontId="14" fillId="0" borderId="1" xfId="0" applyNumberFormat="1" applyFont="1" applyFill="1" applyBorder="1" applyAlignment="1">
      <alignment horizontal="center" vertical="center"/>
    </xf>
    <xf numFmtId="178" fontId="14" fillId="3" borderId="1" xfId="0" applyNumberFormat="1" applyFont="1" applyFill="1" applyBorder="1" applyAlignment="1">
      <alignment horizontal="center" vertical="center"/>
    </xf>
    <xf numFmtId="178" fontId="13" fillId="3" borderId="1" xfId="0" applyNumberFormat="1" applyFont="1" applyFill="1" applyBorder="1" applyAlignment="1">
      <alignment horizontal="center" vertical="center"/>
    </xf>
    <xf numFmtId="178" fontId="3" fillId="0" borderId="2" xfId="0" applyNumberFormat="1" applyFont="1" applyBorder="1" applyAlignment="1">
      <alignment horizontal="center" vertical="center" wrapText="1"/>
    </xf>
    <xf numFmtId="178" fontId="3" fillId="0" borderId="11" xfId="0" applyNumberFormat="1" applyFont="1" applyBorder="1" applyAlignment="1">
      <alignment horizontal="center" vertical="center" wrapText="1"/>
    </xf>
    <xf numFmtId="178" fontId="13" fillId="0" borderId="1" xfId="0" applyNumberFormat="1" applyFont="1" applyFill="1" applyBorder="1" applyAlignment="1">
      <alignment horizontal="center" vertical="center" wrapText="1"/>
    </xf>
    <xf numFmtId="178" fontId="1" fillId="21" borderId="2" xfId="0" applyNumberFormat="1" applyFont="1" applyFill="1" applyBorder="1" applyAlignment="1">
      <alignment horizontal="center" vertical="center" wrapText="1"/>
    </xf>
    <xf numFmtId="178" fontId="1" fillId="0" borderId="2" xfId="0" applyNumberFormat="1" applyFont="1" applyBorder="1" applyAlignment="1">
      <alignment horizontal="center" vertical="center" wrapText="1"/>
    </xf>
    <xf numFmtId="178" fontId="1" fillId="0" borderId="10" xfId="0" applyNumberFormat="1" applyFont="1" applyBorder="1" applyAlignment="1">
      <alignment horizontal="center" vertical="center" wrapText="1"/>
    </xf>
    <xf numFmtId="178" fontId="1" fillId="0" borderId="11" xfId="0" applyNumberFormat="1" applyFont="1" applyBorder="1" applyAlignment="1">
      <alignment horizontal="center" vertical="center" wrapText="1"/>
    </xf>
    <xf numFmtId="178" fontId="46" fillId="0" borderId="1" xfId="6" applyNumberFormat="1" applyFont="1" applyBorder="1" applyAlignment="1">
      <alignment horizontal="center" vertical="center"/>
    </xf>
    <xf numFmtId="178" fontId="46" fillId="0" borderId="1" xfId="6" applyNumberFormat="1" applyFont="1" applyFill="1" applyBorder="1" applyAlignment="1">
      <alignment horizontal="center" vertical="center" wrapText="1"/>
    </xf>
    <xf numFmtId="178" fontId="46" fillId="0" borderId="1" xfId="6" applyNumberFormat="1" applyFont="1" applyBorder="1" applyAlignment="1">
      <alignment horizontal="center" vertical="center" wrapText="1"/>
    </xf>
    <xf numFmtId="178" fontId="11" fillId="12" borderId="2" xfId="0" applyNumberFormat="1" applyFont="1" applyFill="1" applyBorder="1" applyAlignment="1">
      <alignment horizontal="left" vertical="center" wrapText="1"/>
    </xf>
    <xf numFmtId="178" fontId="11" fillId="12" borderId="11" xfId="0" applyNumberFormat="1" applyFont="1" applyFill="1" applyBorder="1" applyAlignment="1">
      <alignment horizontal="left" vertical="center"/>
    </xf>
    <xf numFmtId="178" fontId="11" fillId="12" borderId="1" xfId="0" applyNumberFormat="1" applyFont="1" applyFill="1" applyBorder="1" applyAlignment="1">
      <alignment horizontal="justify" vertical="center" wrapText="1"/>
    </xf>
    <xf numFmtId="178" fontId="11" fillId="12" borderId="1" xfId="0" applyNumberFormat="1" applyFont="1" applyFill="1" applyBorder="1" applyAlignment="1">
      <alignment horizontal="justify" vertical="center"/>
    </xf>
    <xf numFmtId="178" fontId="8" fillId="21" borderId="1" xfId="0" applyNumberFormat="1" applyFont="1" applyFill="1" applyBorder="1" applyAlignment="1">
      <alignment horizontal="center" vertical="center"/>
    </xf>
    <xf numFmtId="178" fontId="7" fillId="11" borderId="1" xfId="0" applyNumberFormat="1" applyFont="1" applyFill="1" applyBorder="1" applyAlignment="1">
      <alignment horizontal="justify" vertical="center"/>
    </xf>
    <xf numFmtId="178" fontId="1" fillId="11" borderId="1" xfId="3" applyNumberFormat="1" applyFont="1" applyFill="1" applyBorder="1" applyAlignment="1">
      <alignment horizontal="center" vertical="center"/>
    </xf>
    <xf numFmtId="178" fontId="3" fillId="0" borderId="1" xfId="0" applyNumberFormat="1" applyFont="1" applyFill="1" applyBorder="1" applyAlignment="1">
      <alignment horizontal="left" vertical="center" wrapText="1"/>
    </xf>
    <xf numFmtId="178" fontId="6" fillId="0" borderId="2" xfId="0" applyNumberFormat="1" applyFont="1" applyFill="1" applyBorder="1" applyAlignment="1">
      <alignment horizontal="center" vertical="center" wrapText="1"/>
    </xf>
    <xf numFmtId="178" fontId="6" fillId="0" borderId="10" xfId="0" applyNumberFormat="1" applyFont="1" applyFill="1" applyBorder="1" applyAlignment="1">
      <alignment horizontal="center" vertical="center" wrapText="1"/>
    </xf>
    <xf numFmtId="178" fontId="6" fillId="0" borderId="10" xfId="0" applyNumberFormat="1" applyFont="1" applyFill="1" applyBorder="1" applyAlignment="1">
      <alignment horizontal="center" vertical="center"/>
    </xf>
    <xf numFmtId="178" fontId="7" fillId="2" borderId="1" xfId="0" applyNumberFormat="1" applyFont="1" applyFill="1" applyBorder="1" applyAlignment="1">
      <alignment horizontal="left" vertical="center" wrapText="1"/>
    </xf>
    <xf numFmtId="178" fontId="7" fillId="2" borderId="2" xfId="0" applyNumberFormat="1" applyFont="1" applyFill="1" applyBorder="1" applyAlignment="1">
      <alignment horizontal="left" vertical="center" wrapText="1"/>
    </xf>
    <xf numFmtId="178" fontId="7" fillId="2" borderId="11" xfId="0" applyNumberFormat="1" applyFont="1" applyFill="1" applyBorder="1" applyAlignment="1">
      <alignment horizontal="left" vertical="center" wrapText="1"/>
    </xf>
    <xf numFmtId="178" fontId="14" fillId="0" borderId="1" xfId="0" applyNumberFormat="1" applyFont="1" applyFill="1" applyBorder="1" applyAlignment="1">
      <alignment horizontal="left" vertical="center" wrapText="1"/>
    </xf>
    <xf numFmtId="178" fontId="14" fillId="0" borderId="1" xfId="0" applyNumberFormat="1" applyFont="1" applyFill="1" applyBorder="1" applyAlignment="1">
      <alignment horizontal="center" vertical="center" wrapText="1"/>
    </xf>
    <xf numFmtId="178" fontId="13" fillId="0" borderId="1" xfId="0" applyNumberFormat="1" applyFont="1" applyFill="1" applyBorder="1" applyAlignment="1">
      <alignment horizontal="left" vertical="center" wrapText="1"/>
    </xf>
    <xf numFmtId="178" fontId="13" fillId="4" borderId="1" xfId="0" applyNumberFormat="1" applyFont="1" applyFill="1" applyBorder="1" applyAlignment="1">
      <alignment horizontal="left" vertical="center" wrapText="1"/>
    </xf>
    <xf numFmtId="178" fontId="14" fillId="4" borderId="1" xfId="0" applyNumberFormat="1" applyFont="1" applyFill="1" applyBorder="1" applyAlignment="1">
      <alignment horizontal="center" vertical="center" wrapText="1"/>
    </xf>
    <xf numFmtId="178" fontId="13" fillId="3" borderId="1" xfId="0" applyNumberFormat="1" applyFont="1" applyFill="1" applyBorder="1" applyAlignment="1">
      <alignment horizontal="left" vertical="center" wrapText="1"/>
    </xf>
    <xf numFmtId="178" fontId="13" fillId="3" borderId="1" xfId="0" applyNumberFormat="1" applyFont="1" applyFill="1" applyBorder="1" applyAlignment="1" applyProtection="1">
      <alignment horizontal="center" vertical="center" wrapText="1"/>
    </xf>
    <xf numFmtId="178" fontId="11" fillId="17" borderId="1" xfId="0" applyNumberFormat="1" applyFont="1" applyFill="1" applyBorder="1" applyAlignment="1">
      <alignment horizontal="center" vertical="center"/>
    </xf>
    <xf numFmtId="178" fontId="19" fillId="0" borderId="2" xfId="0" applyNumberFormat="1" applyFont="1" applyFill="1" applyBorder="1" applyAlignment="1">
      <alignment horizontal="center" vertical="center"/>
    </xf>
    <xf numFmtId="178" fontId="17" fillId="0" borderId="2" xfId="0" applyNumberFormat="1" applyFont="1" applyFill="1" applyBorder="1" applyAlignment="1">
      <alignment horizontal="center" vertical="center"/>
    </xf>
    <xf numFmtId="178" fontId="19" fillId="0" borderId="11" xfId="0" applyNumberFormat="1" applyFont="1" applyFill="1" applyBorder="1" applyAlignment="1">
      <alignment horizontal="center" vertical="center"/>
    </xf>
    <xf numFmtId="178" fontId="6" fillId="11" borderId="1" xfId="0" applyNumberFormat="1" applyFont="1" applyFill="1" applyBorder="1" applyAlignment="1">
      <alignment horizontal="center" vertical="center"/>
    </xf>
    <xf numFmtId="178" fontId="8" fillId="2" borderId="1" xfId="0" applyNumberFormat="1" applyFont="1" applyFill="1" applyBorder="1" applyAlignment="1">
      <alignment horizontal="center" vertical="center"/>
    </xf>
    <xf numFmtId="178" fontId="7" fillId="0" borderId="1" xfId="0" applyNumberFormat="1" applyFont="1" applyBorder="1" applyAlignment="1">
      <alignment vertical="center" wrapText="1"/>
    </xf>
    <xf numFmtId="178" fontId="25" fillId="0" borderId="1" xfId="0" applyNumberFormat="1" applyFont="1" applyBorder="1" applyAlignment="1">
      <alignment horizontal="center" vertical="center"/>
    </xf>
    <xf numFmtId="178" fontId="6" fillId="0" borderId="1" xfId="0" applyNumberFormat="1" applyFont="1" applyFill="1" applyBorder="1" applyAlignment="1">
      <alignment horizontal="left" vertical="center" wrapText="1"/>
    </xf>
    <xf numFmtId="178" fontId="3" fillId="2" borderId="1" xfId="0" applyNumberFormat="1" applyFont="1" applyFill="1" applyBorder="1" applyAlignment="1">
      <alignment horizontal="left" vertical="center" wrapText="1"/>
    </xf>
    <xf numFmtId="178" fontId="1" fillId="0" borderId="1" xfId="0" applyNumberFormat="1" applyFont="1" applyBorder="1" applyAlignment="1">
      <alignment horizontal="left" vertical="center" wrapText="1"/>
    </xf>
    <xf numFmtId="178" fontId="18" fillId="0" borderId="1" xfId="0" applyNumberFormat="1" applyFont="1" applyBorder="1">
      <alignment vertical="center"/>
    </xf>
    <xf numFmtId="178" fontId="7" fillId="3" borderId="1" xfId="0" applyNumberFormat="1" applyFont="1" applyFill="1" applyBorder="1" applyAlignment="1">
      <alignment vertical="center"/>
    </xf>
    <xf numFmtId="178" fontId="6" fillId="0" borderId="1" xfId="0" applyNumberFormat="1" applyFont="1" applyBorder="1">
      <alignment vertical="center"/>
    </xf>
    <xf numFmtId="178" fontId="6" fillId="21" borderId="1" xfId="0" applyNumberFormat="1" applyFont="1" applyFill="1" applyBorder="1">
      <alignment vertical="center"/>
    </xf>
    <xf numFmtId="178" fontId="13" fillId="0" borderId="1" xfId="0" applyNumberFormat="1" applyFont="1" applyFill="1" applyBorder="1" applyAlignment="1">
      <alignment vertical="center"/>
    </xf>
    <xf numFmtId="178" fontId="9" fillId="0" borderId="1" xfId="0" applyNumberFormat="1" applyFont="1" applyBorder="1" applyAlignment="1">
      <alignment horizontal="center" vertical="center"/>
    </xf>
    <xf numFmtId="178" fontId="9" fillId="2" borderId="1" xfId="0" applyNumberFormat="1" applyFont="1" applyFill="1" applyBorder="1" applyAlignment="1">
      <alignment horizontal="center" vertical="center"/>
    </xf>
    <xf numFmtId="178" fontId="9" fillId="4" borderId="1" xfId="0" applyNumberFormat="1" applyFont="1" applyFill="1" applyBorder="1" applyAlignment="1">
      <alignment horizontal="center" vertical="center"/>
    </xf>
    <xf numFmtId="178" fontId="14" fillId="4" borderId="1" xfId="0" applyNumberFormat="1" applyFont="1" applyFill="1" applyBorder="1" applyAlignment="1">
      <alignment horizontal="center" vertical="center"/>
    </xf>
    <xf numFmtId="178" fontId="13" fillId="4" borderId="1" xfId="0" applyNumberFormat="1" applyFont="1" applyFill="1" applyBorder="1" applyAlignment="1">
      <alignment horizontal="center" vertical="center" wrapText="1"/>
    </xf>
    <xf numFmtId="178" fontId="3" fillId="0" borderId="10" xfId="0" applyNumberFormat="1" applyFont="1" applyBorder="1" applyAlignment="1">
      <alignment horizontal="center" vertical="center" wrapText="1"/>
    </xf>
    <xf numFmtId="178" fontId="46" fillId="11" borderId="1" xfId="6" applyNumberFormat="1" applyFont="1" applyFill="1" applyBorder="1" applyAlignment="1">
      <alignment horizontal="center" vertical="center"/>
    </xf>
    <xf numFmtId="178" fontId="13" fillId="0" borderId="1" xfId="0" applyNumberFormat="1" applyFont="1" applyFill="1" applyBorder="1" applyAlignment="1" applyProtection="1">
      <alignment horizontal="center" vertical="center" wrapText="1"/>
    </xf>
    <xf numFmtId="178" fontId="13" fillId="4" borderId="1" xfId="0" applyNumberFormat="1" applyFont="1" applyFill="1" applyBorder="1" applyAlignment="1" applyProtection="1">
      <alignment horizontal="center" vertical="center" wrapText="1"/>
    </xf>
    <xf numFmtId="178" fontId="13" fillId="0" borderId="2" xfId="0" applyNumberFormat="1" applyFont="1" applyFill="1" applyBorder="1" applyAlignment="1">
      <alignment horizontal="left" vertical="center" wrapText="1"/>
    </xf>
    <xf numFmtId="178" fontId="13" fillId="0" borderId="2" xfId="0" applyNumberFormat="1" applyFont="1" applyFill="1" applyBorder="1" applyAlignment="1">
      <alignment horizontal="center" vertical="center" wrapText="1"/>
    </xf>
    <xf numFmtId="178" fontId="13" fillId="0" borderId="2" xfId="0" applyNumberFormat="1" applyFont="1" applyFill="1" applyBorder="1" applyAlignment="1">
      <alignment horizontal="center" vertical="center"/>
    </xf>
    <xf numFmtId="178" fontId="13" fillId="0" borderId="11" xfId="0" applyNumberFormat="1" applyFont="1" applyFill="1" applyBorder="1" applyAlignment="1">
      <alignment horizontal="left" vertical="center" wrapText="1"/>
    </xf>
    <xf numFmtId="178" fontId="13" fillId="0" borderId="11" xfId="0" applyNumberFormat="1" applyFont="1" applyFill="1" applyBorder="1" applyAlignment="1">
      <alignment horizontal="center" vertical="center" wrapText="1"/>
    </xf>
    <xf numFmtId="178" fontId="13" fillId="0" borderId="11" xfId="0" applyNumberFormat="1" applyFont="1" applyFill="1" applyBorder="1" applyAlignment="1">
      <alignment horizontal="center" vertical="center"/>
    </xf>
    <xf numFmtId="178" fontId="7" fillId="0" borderId="1" xfId="0" applyNumberFormat="1" applyFont="1" applyFill="1" applyBorder="1" applyAlignment="1" applyProtection="1">
      <alignment horizontal="center" vertical="center" wrapText="1"/>
    </xf>
    <xf numFmtId="178" fontId="15" fillId="0" borderId="1" xfId="0" applyNumberFormat="1" applyFont="1" applyBorder="1" applyAlignment="1">
      <alignment horizontal="center" vertical="center" wrapText="1"/>
    </xf>
    <xf numFmtId="178" fontId="15" fillId="0" borderId="1" xfId="0" applyNumberFormat="1" applyFont="1" applyBorder="1" applyAlignment="1">
      <alignment horizontal="center" vertical="center"/>
    </xf>
    <xf numFmtId="178" fontId="11" fillId="0" borderId="1" xfId="0" applyNumberFormat="1" applyFont="1" applyBorder="1" applyAlignment="1">
      <alignment horizontal="center" vertical="center"/>
    </xf>
    <xf numFmtId="178" fontId="11" fillId="29" borderId="1" xfId="0" applyNumberFormat="1" applyFont="1" applyFill="1" applyBorder="1" applyAlignment="1">
      <alignment horizontal="center" vertical="center" wrapText="1"/>
    </xf>
    <xf numFmtId="178" fontId="6" fillId="29" borderId="1" xfId="0" applyNumberFormat="1" applyFont="1" applyFill="1" applyBorder="1" applyAlignment="1">
      <alignment horizontal="center" vertical="center"/>
    </xf>
    <xf numFmtId="178" fontId="54" fillId="29" borderId="1" xfId="0" applyNumberFormat="1" applyFont="1" applyFill="1" applyBorder="1" applyAlignment="1">
      <alignment horizontal="center" vertical="center"/>
    </xf>
    <xf numFmtId="178" fontId="6" fillId="28" borderId="1" xfId="0" applyNumberFormat="1" applyFont="1" applyFill="1" applyBorder="1" applyAlignment="1">
      <alignment horizontal="center" vertical="center"/>
    </xf>
    <xf numFmtId="178" fontId="45" fillId="0" borderId="1" xfId="0" applyNumberFormat="1" applyFont="1" applyFill="1" applyBorder="1" applyAlignment="1">
      <alignment horizontal="center" vertical="center"/>
    </xf>
    <xf numFmtId="178" fontId="1" fillId="0" borderId="1" xfId="0" applyNumberFormat="1" applyFont="1" applyBorder="1" applyAlignment="1">
      <alignment vertical="center" wrapText="1"/>
    </xf>
    <xf numFmtId="178" fontId="7" fillId="0" borderId="1" xfId="0" applyNumberFormat="1" applyFont="1" applyBorder="1">
      <alignment vertical="center"/>
    </xf>
    <xf numFmtId="178" fontId="11" fillId="0" borderId="1" xfId="0" applyNumberFormat="1" applyFont="1" applyBorder="1" applyAlignment="1">
      <alignment vertical="center" wrapText="1"/>
    </xf>
    <xf numFmtId="178" fontId="3" fillId="0" borderId="1" xfId="0" applyNumberFormat="1" applyFont="1" applyBorder="1" applyAlignment="1">
      <alignment vertical="center" wrapText="1"/>
    </xf>
    <xf numFmtId="178" fontId="25" fillId="0" borderId="1" xfId="0" applyNumberFormat="1" applyFont="1" applyFill="1" applyBorder="1" applyAlignment="1">
      <alignment horizontal="center" vertical="center" wrapText="1"/>
    </xf>
    <xf numFmtId="178" fontId="7" fillId="17" borderId="2" xfId="0" applyNumberFormat="1" applyFont="1" applyFill="1" applyBorder="1" applyAlignment="1">
      <alignment horizontal="center" vertical="center" wrapText="1"/>
    </xf>
    <xf numFmtId="178" fontId="7" fillId="17" borderId="11" xfId="0" applyNumberFormat="1" applyFont="1" applyFill="1" applyBorder="1" applyAlignment="1">
      <alignment horizontal="center" vertical="center" wrapText="1"/>
    </xf>
    <xf numFmtId="178" fontId="11" fillId="0" borderId="1" xfId="0" applyNumberFormat="1" applyFont="1" applyBorder="1" applyAlignment="1">
      <alignment horizontal="left" vertical="center" wrapText="1"/>
    </xf>
    <xf numFmtId="178" fontId="7" fillId="4" borderId="1" xfId="0" applyNumberFormat="1" applyFont="1" applyFill="1" applyBorder="1" applyAlignment="1">
      <alignment horizontal="left" vertical="center" wrapText="1"/>
    </xf>
    <xf numFmtId="178" fontId="3" fillId="0" borderId="1" xfId="0" applyNumberFormat="1" applyFont="1" applyBorder="1" applyAlignment="1">
      <alignment horizontal="left" vertical="center" wrapText="1"/>
    </xf>
    <xf numFmtId="178" fontId="62" fillId="0" borderId="1" xfId="0" applyNumberFormat="1" applyFont="1" applyFill="1" applyBorder="1" applyAlignment="1">
      <alignment horizontal="center" vertical="center"/>
    </xf>
    <xf numFmtId="178" fontId="11" fillId="0" borderId="1" xfId="0" applyNumberFormat="1" applyFont="1" applyFill="1" applyBorder="1" applyAlignment="1">
      <alignment horizontal="left" vertical="center" wrapText="1"/>
    </xf>
    <xf numFmtId="178" fontId="4" fillId="0" borderId="1" xfId="0" applyNumberFormat="1" applyFont="1" applyBorder="1" applyAlignment="1">
      <alignment horizontal="center" vertical="center"/>
    </xf>
    <xf numFmtId="178" fontId="63" fillId="0" borderId="1" xfId="0" applyNumberFormat="1" applyFont="1" applyFill="1" applyBorder="1">
      <alignment vertical="center"/>
    </xf>
    <xf numFmtId="178" fontId="63" fillId="0" borderId="1" xfId="0" applyNumberFormat="1" applyFont="1" applyBorder="1">
      <alignment vertical="center"/>
    </xf>
    <xf numFmtId="178" fontId="30" fillId="0" borderId="1" xfId="0" applyNumberFormat="1" applyFont="1" applyFill="1" applyBorder="1" applyAlignment="1">
      <alignment horizontal="center" vertical="center"/>
    </xf>
    <xf numFmtId="178" fontId="7" fillId="4" borderId="1" xfId="0" applyNumberFormat="1" applyFont="1" applyFill="1" applyBorder="1" applyAlignment="1">
      <alignment vertical="center"/>
    </xf>
    <xf numFmtId="178" fontId="54" fillId="0" borderId="1" xfId="0" applyNumberFormat="1" applyFont="1" applyFill="1" applyBorder="1">
      <alignment vertical="center"/>
    </xf>
    <xf numFmtId="178" fontId="54" fillId="0" borderId="1" xfId="0" applyNumberFormat="1" applyFont="1" applyBorder="1">
      <alignment vertical="center"/>
    </xf>
    <xf numFmtId="178" fontId="30" fillId="0" borderId="1" xfId="0" applyNumberFormat="1" applyFont="1" applyBorder="1" applyAlignment="1">
      <alignment horizontal="center" vertical="center"/>
    </xf>
    <xf numFmtId="178" fontId="63" fillId="0" borderId="1" xfId="0" applyNumberFormat="1" applyFont="1" applyFill="1" applyBorder="1" applyAlignment="1">
      <alignment horizontal="center" vertical="center"/>
    </xf>
    <xf numFmtId="178" fontId="63" fillId="0" borderId="1" xfId="0" applyNumberFormat="1" applyFont="1" applyBorder="1" applyAlignment="1">
      <alignment horizontal="center" vertical="center"/>
    </xf>
    <xf numFmtId="178" fontId="3" fillId="0" borderId="56" xfId="0" applyNumberFormat="1" applyFont="1" applyFill="1" applyBorder="1">
      <alignment vertical="center"/>
    </xf>
    <xf numFmtId="178" fontId="3" fillId="0" borderId="2" xfId="0" applyNumberFormat="1" applyFont="1" applyFill="1" applyBorder="1">
      <alignment vertical="center"/>
    </xf>
    <xf numFmtId="178" fontId="49" fillId="0" borderId="1" xfId="0" applyNumberFormat="1" applyFont="1" applyBorder="1">
      <alignment vertical="center"/>
    </xf>
    <xf numFmtId="178" fontId="64" fillId="0" borderId="1" xfId="0" applyNumberFormat="1" applyFont="1" applyFill="1" applyBorder="1" applyAlignment="1">
      <alignment horizontal="center" vertical="center"/>
    </xf>
    <xf numFmtId="178" fontId="3" fillId="0" borderId="50" xfId="0" applyNumberFormat="1" applyFont="1" applyFill="1" applyBorder="1">
      <alignment vertical="center"/>
    </xf>
    <xf numFmtId="178" fontId="3" fillId="0" borderId="51" xfId="0" applyNumberFormat="1" applyFont="1" applyFill="1" applyBorder="1">
      <alignment vertical="center"/>
    </xf>
    <xf numFmtId="178" fontId="3" fillId="0" borderId="57" xfId="0" applyNumberFormat="1" applyFont="1" applyFill="1" applyBorder="1">
      <alignment vertical="center"/>
    </xf>
    <xf numFmtId="178" fontId="3" fillId="0" borderId="24" xfId="0" applyNumberFormat="1" applyFont="1" applyFill="1" applyBorder="1">
      <alignment vertical="center"/>
    </xf>
    <xf numFmtId="178" fontId="3" fillId="0" borderId="58" xfId="0" applyNumberFormat="1" applyFont="1" applyFill="1" applyBorder="1">
      <alignment vertical="center"/>
    </xf>
    <xf numFmtId="178" fontId="3" fillId="0" borderId="52" xfId="0" applyNumberFormat="1" applyFont="1" applyFill="1" applyBorder="1">
      <alignment vertical="center"/>
    </xf>
    <xf numFmtId="178" fontId="3" fillId="0" borderId="53" xfId="0" applyNumberFormat="1" applyFont="1" applyFill="1" applyBorder="1">
      <alignment vertical="center"/>
    </xf>
    <xf numFmtId="178" fontId="0" fillId="0" borderId="0" xfId="0" applyNumberFormat="1" applyFill="1" applyBorder="1">
      <alignment vertical="center"/>
    </xf>
    <xf numFmtId="178" fontId="7" fillId="0" borderId="2" xfId="0" applyNumberFormat="1" applyFont="1" applyFill="1" applyBorder="1" applyAlignment="1" applyProtection="1">
      <alignment horizontal="center" vertical="center" wrapText="1"/>
    </xf>
    <xf numFmtId="178" fontId="7" fillId="0" borderId="11" xfId="0" applyNumberFormat="1" applyFont="1" applyFill="1" applyBorder="1" applyAlignment="1" applyProtection="1">
      <alignment horizontal="center" vertical="center" wrapText="1"/>
    </xf>
    <xf numFmtId="178" fontId="3" fillId="15" borderId="1" xfId="0" applyNumberFormat="1" applyFont="1" applyFill="1" applyBorder="1" applyAlignment="1">
      <alignment horizontal="center" vertical="center" wrapText="1"/>
    </xf>
    <xf numFmtId="178" fontId="7" fillId="15" borderId="11" xfId="0" applyNumberFormat="1" applyFont="1" applyFill="1" applyBorder="1" applyAlignment="1">
      <alignment horizontal="left" vertical="center" wrapText="1"/>
    </xf>
    <xf numFmtId="178" fontId="7" fillId="15" borderId="11" xfId="0" applyNumberFormat="1" applyFont="1" applyFill="1" applyBorder="1" applyAlignment="1" applyProtection="1">
      <alignment horizontal="center" vertical="center" wrapText="1"/>
    </xf>
    <xf numFmtId="178" fontId="7" fillId="15" borderId="11" xfId="0" applyNumberFormat="1" applyFont="1" applyFill="1" applyBorder="1" applyAlignment="1">
      <alignment horizontal="center" vertical="center"/>
    </xf>
    <xf numFmtId="178" fontId="7" fillId="15" borderId="1" xfId="0" applyNumberFormat="1" applyFont="1" applyFill="1" applyBorder="1" applyAlignment="1">
      <alignment horizontal="left" vertical="center" wrapText="1"/>
    </xf>
    <xf numFmtId="178" fontId="7" fillId="15" borderId="1" xfId="0" applyNumberFormat="1" applyFont="1" applyFill="1" applyBorder="1" applyAlignment="1" applyProtection="1">
      <alignment horizontal="center" vertical="center" wrapText="1"/>
    </xf>
    <xf numFmtId="178" fontId="7" fillId="17" borderId="1" xfId="0" applyNumberFormat="1" applyFont="1" applyFill="1" applyBorder="1" applyAlignment="1" applyProtection="1">
      <alignment horizontal="center" vertical="center" wrapText="1"/>
    </xf>
    <xf numFmtId="178" fontId="7" fillId="17" borderId="1" xfId="0" applyNumberFormat="1" applyFont="1" applyFill="1" applyBorder="1" applyAlignment="1">
      <alignment horizontal="center" vertical="center"/>
    </xf>
    <xf numFmtId="178" fontId="7" fillId="17" borderId="1" xfId="0" applyNumberFormat="1" applyFont="1" applyFill="1" applyBorder="1" applyAlignment="1">
      <alignment horizontal="left" vertical="center" wrapText="1"/>
    </xf>
    <xf numFmtId="178" fontId="28" fillId="0" borderId="1" xfId="0" applyNumberFormat="1" applyFont="1" applyFill="1" applyBorder="1" applyAlignment="1">
      <alignment horizontal="center" vertical="center"/>
    </xf>
    <xf numFmtId="178" fontId="4" fillId="0" borderId="0" xfId="0" applyNumberFormat="1" applyFont="1" applyAlignment="1">
      <alignment horizontal="center" vertical="center"/>
    </xf>
    <xf numFmtId="178" fontId="3" fillId="17" borderId="2" xfId="0" applyNumberFormat="1" applyFont="1" applyFill="1" applyBorder="1" applyAlignment="1">
      <alignment horizontal="center" vertical="center"/>
    </xf>
    <xf numFmtId="178" fontId="7" fillId="17" borderId="2" xfId="0" applyNumberFormat="1" applyFont="1" applyFill="1" applyBorder="1" applyAlignment="1">
      <alignment horizontal="center" vertical="center"/>
    </xf>
    <xf numFmtId="178" fontId="3" fillId="17" borderId="10" xfId="0" applyNumberFormat="1" applyFont="1" applyFill="1" applyBorder="1" applyAlignment="1">
      <alignment horizontal="center" vertical="center"/>
    </xf>
    <xf numFmtId="178" fontId="7" fillId="17" borderId="10" xfId="0" applyNumberFormat="1" applyFont="1" applyFill="1" applyBorder="1" applyAlignment="1">
      <alignment horizontal="center" vertical="center"/>
    </xf>
    <xf numFmtId="178" fontId="3" fillId="17" borderId="11" xfId="0" applyNumberFormat="1" applyFont="1" applyFill="1" applyBorder="1" applyAlignment="1">
      <alignment horizontal="center" vertical="center"/>
    </xf>
    <xf numFmtId="178" fontId="7" fillId="17" borderId="11" xfId="0" applyNumberFormat="1" applyFont="1" applyFill="1" applyBorder="1" applyAlignment="1">
      <alignment horizontal="center" vertical="center"/>
    </xf>
    <xf numFmtId="178" fontId="65" fillId="0" borderId="1" xfId="0" applyNumberFormat="1" applyFont="1" applyFill="1" applyBorder="1" applyAlignment="1">
      <alignment horizontal="center" vertical="center"/>
    </xf>
    <xf numFmtId="178" fontId="17" fillId="0" borderId="1" xfId="0" applyNumberFormat="1" applyFont="1" applyFill="1" applyBorder="1" applyAlignment="1">
      <alignment horizontal="center" vertical="center" wrapText="1"/>
    </xf>
    <xf numFmtId="178" fontId="7" fillId="0" borderId="11" xfId="0" applyNumberFormat="1" applyFont="1" applyFill="1" applyBorder="1" applyAlignment="1">
      <alignment horizontal="left" vertical="center" wrapText="1"/>
    </xf>
    <xf numFmtId="178" fontId="3" fillId="0" borderId="1" xfId="0" applyNumberFormat="1" applyFont="1" applyFill="1" applyBorder="1" applyAlignment="1">
      <alignment vertical="center" wrapText="1"/>
    </xf>
    <xf numFmtId="178" fontId="66" fillId="49" borderId="1" xfId="0" applyNumberFormat="1" applyFont="1" applyFill="1" applyBorder="1">
      <alignment vertical="center"/>
    </xf>
    <xf numFmtId="178" fontId="3" fillId="17" borderId="1" xfId="0" applyNumberFormat="1" applyFont="1" applyFill="1" applyBorder="1" applyAlignment="1">
      <alignment vertical="center" wrapText="1"/>
    </xf>
    <xf numFmtId="178" fontId="7" fillId="17" borderId="1" xfId="0" applyNumberFormat="1" applyFont="1" applyFill="1" applyBorder="1" applyAlignment="1">
      <alignment vertical="center" wrapText="1"/>
    </xf>
    <xf numFmtId="178" fontId="3" fillId="17" borderId="1" xfId="0" applyNumberFormat="1" applyFont="1" applyFill="1" applyBorder="1" applyAlignment="1">
      <alignment horizontal="left" vertical="center" wrapText="1"/>
    </xf>
    <xf numFmtId="178" fontId="11" fillId="0" borderId="1" xfId="0" applyNumberFormat="1" applyFont="1" applyFill="1" applyBorder="1" applyAlignment="1">
      <alignment vertical="center"/>
    </xf>
    <xf numFmtId="178" fontId="11" fillId="15" borderId="1" xfId="0" applyNumberFormat="1" applyFont="1" applyFill="1" applyBorder="1" applyAlignment="1">
      <alignment vertical="center"/>
    </xf>
    <xf numFmtId="178" fontId="3" fillId="0" borderId="64" xfId="0" applyNumberFormat="1" applyFont="1" applyFill="1" applyBorder="1" applyAlignment="1">
      <alignment horizontal="center" vertical="center"/>
    </xf>
    <xf numFmtId="178" fontId="19" fillId="0" borderId="65" xfId="0" applyNumberFormat="1" applyFont="1" applyFill="1" applyBorder="1" applyAlignment="1">
      <alignment horizontal="center" vertical="center"/>
    </xf>
    <xf numFmtId="178" fontId="3" fillId="0" borderId="31" xfId="0" applyNumberFormat="1" applyFont="1" applyFill="1" applyBorder="1">
      <alignment vertical="center"/>
    </xf>
    <xf numFmtId="178" fontId="3" fillId="15" borderId="20" xfId="0" applyNumberFormat="1" applyFont="1" applyFill="1" applyBorder="1" applyAlignment="1">
      <alignment horizontal="center" vertical="center"/>
    </xf>
    <xf numFmtId="178" fontId="3" fillId="15" borderId="20" xfId="0" applyNumberFormat="1" applyFont="1" applyFill="1" applyBorder="1">
      <alignment vertical="center"/>
    </xf>
    <xf numFmtId="178" fontId="3" fillId="15" borderId="55" xfId="0" applyNumberFormat="1" applyFont="1" applyFill="1" applyBorder="1">
      <alignment vertical="center"/>
    </xf>
    <xf numFmtId="178" fontId="7" fillId="0" borderId="20" xfId="0" applyNumberFormat="1" applyFont="1" applyFill="1" applyBorder="1" applyAlignment="1">
      <alignment horizontal="center" vertical="center"/>
    </xf>
    <xf numFmtId="178" fontId="3" fillId="0" borderId="25" xfId="0" applyNumberFormat="1" applyFont="1" applyFill="1" applyBorder="1">
      <alignment vertical="center"/>
    </xf>
    <xf numFmtId="178" fontId="8" fillId="0" borderId="1" xfId="0" applyNumberFormat="1" applyFont="1" applyFill="1" applyBorder="1" applyAlignment="1">
      <alignment vertical="center"/>
    </xf>
    <xf numFmtId="178" fontId="18" fillId="0" borderId="51" xfId="0" applyNumberFormat="1" applyFont="1" applyFill="1" applyBorder="1" applyAlignment="1">
      <alignment horizontal="center" vertical="center"/>
    </xf>
    <xf numFmtId="178" fontId="3" fillId="0" borderId="62" xfId="0" applyNumberFormat="1" applyFont="1" applyFill="1" applyBorder="1">
      <alignment vertical="center"/>
    </xf>
    <xf numFmtId="178" fontId="6" fillId="0" borderId="57" xfId="0" applyNumberFormat="1" applyFont="1" applyFill="1" applyBorder="1">
      <alignment vertical="center"/>
    </xf>
    <xf numFmtId="178" fontId="45" fillId="0" borderId="57" xfId="0" applyNumberFormat="1" applyFont="1" applyFill="1" applyBorder="1">
      <alignment vertical="center"/>
    </xf>
    <xf numFmtId="178" fontId="3" fillId="15" borderId="57" xfId="0" applyNumberFormat="1" applyFont="1" applyFill="1" applyBorder="1">
      <alignment vertical="center"/>
    </xf>
    <xf numFmtId="178" fontId="3" fillId="15" borderId="29" xfId="0" applyNumberFormat="1" applyFont="1" applyFill="1" applyBorder="1" applyAlignment="1">
      <alignment horizontal="center" vertical="center"/>
    </xf>
    <xf numFmtId="178" fontId="3" fillId="15" borderId="0" xfId="0" applyNumberFormat="1" applyFont="1" applyFill="1" applyBorder="1" applyAlignment="1">
      <alignment horizontal="center" vertical="center"/>
    </xf>
    <xf numFmtId="178" fontId="3" fillId="15" borderId="0" xfId="0" applyNumberFormat="1" applyFont="1" applyFill="1" applyBorder="1">
      <alignment vertical="center"/>
    </xf>
    <xf numFmtId="178" fontId="46" fillId="17" borderId="1" xfId="6" applyNumberFormat="1" applyFont="1" applyFill="1" applyBorder="1" applyAlignment="1">
      <alignment horizontal="center" vertical="center"/>
    </xf>
    <xf numFmtId="178" fontId="23" fillId="0" borderId="1" xfId="0" applyNumberFormat="1" applyFont="1" applyFill="1" applyBorder="1" applyAlignment="1">
      <alignment horizontal="center" vertical="center"/>
    </xf>
    <xf numFmtId="178" fontId="14" fillId="2" borderId="1" xfId="0" applyNumberFormat="1" applyFont="1" applyFill="1" applyBorder="1" applyAlignment="1">
      <alignment horizontal="center" vertical="center"/>
    </xf>
    <xf numFmtId="178" fontId="1" fillId="86" borderId="1" xfId="0" applyNumberFormat="1" applyFont="1" applyFill="1" applyBorder="1" applyAlignment="1">
      <alignment horizontal="center" vertical="center"/>
    </xf>
    <xf numFmtId="178" fontId="67" fillId="14" borderId="1" xfId="6" applyNumberFormat="1" applyFont="1" applyFill="1" applyBorder="1" applyAlignment="1">
      <alignment horizontal="center" vertical="center" wrapText="1"/>
    </xf>
    <xf numFmtId="178" fontId="6" fillId="14" borderId="1" xfId="0" applyNumberFormat="1" applyFont="1" applyFill="1" applyBorder="1" applyAlignment="1">
      <alignment horizontal="center" vertical="center" wrapText="1"/>
    </xf>
    <xf numFmtId="178" fontId="6" fillId="0" borderId="1" xfId="0" applyNumberFormat="1" applyFont="1" applyBorder="1" applyAlignment="1">
      <alignment horizontal="center" vertical="center" wrapText="1"/>
    </xf>
    <xf numFmtId="178" fontId="13" fillId="2" borderId="1" xfId="0" applyNumberFormat="1" applyFont="1" applyFill="1" applyBorder="1" applyAlignment="1">
      <alignment horizontal="left" vertical="center" wrapText="1"/>
    </xf>
    <xf numFmtId="178" fontId="13" fillId="2" borderId="1" xfId="0" applyNumberFormat="1" applyFont="1" applyFill="1" applyBorder="1" applyAlignment="1" applyProtection="1">
      <alignment horizontal="center" vertical="center" wrapText="1"/>
    </xf>
    <xf numFmtId="178" fontId="7" fillId="2" borderId="1" xfId="0" applyNumberFormat="1" applyFont="1" applyFill="1" applyBorder="1" applyAlignment="1" applyProtection="1">
      <alignment horizontal="center" vertical="center" wrapText="1"/>
    </xf>
    <xf numFmtId="178" fontId="7" fillId="0" borderId="10" xfId="0" applyNumberFormat="1" applyFont="1" applyFill="1" applyBorder="1" applyAlignment="1">
      <alignment horizontal="left" vertical="center" wrapText="1"/>
    </xf>
    <xf numFmtId="178" fontId="18" fillId="0" borderId="10" xfId="0" applyNumberFormat="1" applyFont="1" applyFill="1" applyBorder="1" applyAlignment="1">
      <alignment horizontal="center" vertical="center"/>
    </xf>
    <xf numFmtId="178" fontId="17" fillId="63" borderId="1" xfId="0" applyNumberFormat="1" applyFont="1" applyFill="1" applyBorder="1" applyAlignment="1">
      <alignment horizontal="center" vertical="center" wrapText="1"/>
    </xf>
    <xf numFmtId="178" fontId="17" fillId="0" borderId="11" xfId="0" applyNumberFormat="1" applyFont="1" applyFill="1" applyBorder="1" applyAlignment="1">
      <alignment horizontal="center" vertical="center" wrapText="1"/>
    </xf>
    <xf numFmtId="178" fontId="8" fillId="0" borderId="1" xfId="0" applyNumberFormat="1" applyFont="1" applyFill="1" applyBorder="1" applyAlignment="1">
      <alignment horizontal="left" vertical="center" wrapText="1"/>
    </xf>
    <xf numFmtId="178" fontId="1" fillId="2" borderId="1" xfId="0" applyNumberFormat="1" applyFont="1" applyFill="1" applyBorder="1" applyAlignment="1">
      <alignment horizontal="left" vertical="center" wrapText="1"/>
    </xf>
    <xf numFmtId="178" fontId="11" fillId="2" borderId="1" xfId="0" applyNumberFormat="1" applyFont="1" applyFill="1" applyBorder="1" applyAlignment="1">
      <alignment horizontal="left" vertical="center" wrapText="1"/>
    </xf>
    <xf numFmtId="178" fontId="7" fillId="0" borderId="2" xfId="0" applyNumberFormat="1" applyFont="1" applyFill="1" applyBorder="1" applyAlignment="1">
      <alignment horizontal="left" vertical="top" wrapText="1"/>
    </xf>
    <xf numFmtId="178" fontId="3" fillId="0" borderId="10" xfId="0" applyNumberFormat="1" applyFont="1" applyFill="1" applyBorder="1" applyAlignment="1">
      <alignment horizontal="left" vertical="top" wrapText="1"/>
    </xf>
    <xf numFmtId="178" fontId="6" fillId="0" borderId="10" xfId="0" applyNumberFormat="1" applyFont="1" applyFill="1" applyBorder="1" applyAlignment="1">
      <alignment horizontal="left" vertical="top" wrapText="1"/>
    </xf>
    <xf numFmtId="178" fontId="3" fillId="17" borderId="10" xfId="0" applyNumberFormat="1" applyFont="1" applyFill="1" applyBorder="1" applyAlignment="1">
      <alignment horizontal="left" vertical="top" wrapText="1"/>
    </xf>
    <xf numFmtId="178" fontId="7" fillId="2" borderId="1" xfId="0" applyNumberFormat="1" applyFont="1" applyFill="1" applyBorder="1" applyAlignment="1">
      <alignment vertical="center"/>
    </xf>
    <xf numFmtId="178" fontId="3" fillId="2" borderId="0" xfId="0" applyNumberFormat="1" applyFont="1" applyFill="1" applyBorder="1">
      <alignment vertical="center"/>
    </xf>
    <xf numFmtId="178" fontId="4" fillId="17" borderId="0" xfId="0" applyNumberFormat="1" applyFont="1" applyFill="1" applyBorder="1">
      <alignment vertical="center"/>
    </xf>
    <xf numFmtId="178" fontId="8" fillId="2" borderId="1" xfId="0" applyNumberFormat="1" applyFont="1" applyFill="1" applyBorder="1" applyAlignment="1">
      <alignment horizontal="center" vertical="center" wrapText="1"/>
    </xf>
    <xf numFmtId="178" fontId="14" fillId="0" borderId="2" xfId="0" applyNumberFormat="1" applyFont="1" applyFill="1" applyBorder="1" applyAlignment="1">
      <alignment horizontal="center" vertical="center"/>
    </xf>
    <xf numFmtId="178" fontId="8" fillId="0" borderId="2" xfId="0" applyNumberFormat="1" applyFont="1" applyBorder="1" applyAlignment="1">
      <alignment horizontal="center" vertical="center" wrapText="1"/>
    </xf>
    <xf numFmtId="178" fontId="14" fillId="0" borderId="10" xfId="0" applyNumberFormat="1" applyFont="1" applyFill="1" applyBorder="1" applyAlignment="1">
      <alignment horizontal="center" vertical="center"/>
    </xf>
    <xf numFmtId="178" fontId="8" fillId="0" borderId="10" xfId="0" applyNumberFormat="1" applyFont="1" applyBorder="1" applyAlignment="1">
      <alignment horizontal="center" vertical="center" wrapText="1"/>
    </xf>
    <xf numFmtId="178" fontId="14" fillId="0" borderId="11" xfId="0" applyNumberFormat="1" applyFont="1" applyFill="1" applyBorder="1" applyAlignment="1">
      <alignment horizontal="center" vertical="center"/>
    </xf>
    <xf numFmtId="178" fontId="8" fillId="0" borderId="11" xfId="0" applyNumberFormat="1" applyFont="1" applyBorder="1" applyAlignment="1">
      <alignment horizontal="center" vertical="center" wrapText="1"/>
    </xf>
    <xf numFmtId="178" fontId="13" fillId="0" borderId="10" xfId="0" applyNumberFormat="1" applyFont="1" applyFill="1" applyBorder="1" applyAlignment="1">
      <alignment horizontal="center" vertical="center" wrapText="1"/>
    </xf>
    <xf numFmtId="178" fontId="3" fillId="43" borderId="1" xfId="0" applyNumberFormat="1" applyFont="1" applyFill="1" applyBorder="1" applyAlignment="1">
      <alignment horizontal="center" vertical="center" wrapText="1"/>
    </xf>
    <xf numFmtId="178" fontId="6" fillId="43" borderId="1" xfId="0" applyNumberFormat="1" applyFont="1" applyFill="1" applyBorder="1" applyAlignment="1">
      <alignment horizontal="center" vertical="center" wrapText="1"/>
    </xf>
    <xf numFmtId="178" fontId="13" fillId="0" borderId="2" xfId="0" applyNumberFormat="1" applyFont="1" applyFill="1" applyBorder="1" applyAlignment="1" applyProtection="1">
      <alignment horizontal="center" vertical="center" wrapText="1"/>
    </xf>
    <xf numFmtId="178" fontId="13" fillId="0" borderId="10" xfId="0" applyNumberFormat="1" applyFont="1" applyFill="1" applyBorder="1" applyAlignment="1" applyProtection="1">
      <alignment horizontal="center" vertical="center" wrapText="1"/>
    </xf>
    <xf numFmtId="178" fontId="13" fillId="0" borderId="10" xfId="0" applyNumberFormat="1" applyFont="1" applyFill="1" applyBorder="1" applyAlignment="1">
      <alignment horizontal="center" vertical="center"/>
    </xf>
    <xf numFmtId="178" fontId="13" fillId="0" borderId="11" xfId="0" applyNumberFormat="1" applyFont="1" applyFill="1" applyBorder="1" applyAlignment="1" applyProtection="1">
      <alignment horizontal="center" vertical="center" wrapText="1"/>
    </xf>
    <xf numFmtId="178" fontId="8" fillId="0" borderId="1" xfId="0" applyNumberFormat="1" applyFont="1" applyBorder="1" applyAlignment="1">
      <alignment horizontal="center" vertical="center"/>
    </xf>
    <xf numFmtId="178" fontId="8" fillId="0" borderId="1" xfId="0" applyNumberFormat="1" applyFont="1" applyBorder="1" applyAlignment="1">
      <alignment horizontal="center" vertical="center" wrapText="1"/>
    </xf>
    <xf numFmtId="178" fontId="8" fillId="0" borderId="2" xfId="0" applyNumberFormat="1" applyFont="1" applyFill="1" applyBorder="1" applyAlignment="1">
      <alignment horizontal="left" vertical="center" wrapText="1"/>
    </xf>
    <xf numFmtId="178" fontId="28" fillId="17" borderId="1" xfId="0" applyNumberFormat="1" applyFont="1" applyFill="1" applyBorder="1" applyAlignment="1">
      <alignment horizontal="left" vertical="center" wrapText="1"/>
    </xf>
    <xf numFmtId="178" fontId="3" fillId="17" borderId="29" xfId="0" applyNumberFormat="1" applyFont="1" applyFill="1" applyBorder="1" applyAlignment="1">
      <alignment horizontal="center" vertical="center"/>
    </xf>
    <xf numFmtId="178" fontId="4" fillId="17" borderId="1" xfId="0" applyNumberFormat="1" applyFont="1" applyFill="1" applyBorder="1" applyAlignment="1">
      <alignment horizontal="left" vertical="center"/>
    </xf>
    <xf numFmtId="178" fontId="3" fillId="0" borderId="11" xfId="0" applyNumberFormat="1" applyFont="1" applyFill="1" applyBorder="1" applyAlignment="1">
      <alignment horizontal="left" vertical="top" wrapText="1"/>
    </xf>
    <xf numFmtId="178" fontId="11" fillId="3" borderId="1" xfId="0" applyNumberFormat="1" applyFont="1" applyFill="1" applyBorder="1" applyAlignment="1">
      <alignment vertical="center"/>
    </xf>
    <xf numFmtId="178" fontId="13" fillId="2" borderId="1" xfId="0" applyNumberFormat="1" applyFont="1" applyFill="1" applyBorder="1" applyAlignment="1">
      <alignment vertical="center"/>
    </xf>
    <xf numFmtId="178" fontId="54" fillId="2" borderId="1" xfId="0" applyNumberFormat="1" applyFont="1" applyFill="1" applyBorder="1">
      <alignment vertical="center"/>
    </xf>
    <xf numFmtId="178" fontId="18" fillId="17" borderId="1" xfId="0" applyNumberFormat="1" applyFont="1" applyFill="1" applyBorder="1" applyAlignment="1">
      <alignment horizontal="center" vertical="center"/>
    </xf>
    <xf numFmtId="178" fontId="7" fillId="3" borderId="1" xfId="0" applyNumberFormat="1" applyFont="1" applyFill="1" applyBorder="1" applyAlignment="1" applyProtection="1">
      <alignment horizontal="center" vertical="center" wrapText="1"/>
    </xf>
    <xf numFmtId="178" fontId="39" fillId="0" borderId="1" xfId="0" applyNumberFormat="1" applyFont="1" applyBorder="1" applyAlignment="1">
      <alignment horizontal="left" vertical="center" wrapText="1"/>
    </xf>
    <xf numFmtId="178" fontId="68" fillId="0" borderId="1" xfId="0" applyNumberFormat="1" applyFont="1" applyBorder="1" applyAlignment="1">
      <alignment horizontal="left" vertical="center" wrapText="1"/>
    </xf>
    <xf numFmtId="178" fontId="39" fillId="2" borderId="1" xfId="0" applyNumberFormat="1" applyFont="1" applyFill="1" applyBorder="1" applyAlignment="1">
      <alignment horizontal="left" vertical="center" wrapText="1"/>
    </xf>
    <xf numFmtId="178" fontId="39" fillId="3" borderId="1" xfId="0" applyNumberFormat="1" applyFont="1" applyFill="1" applyBorder="1" applyAlignment="1">
      <alignment horizontal="left" vertical="center" wrapText="1"/>
    </xf>
    <xf numFmtId="178" fontId="25" fillId="3" borderId="1" xfId="0" applyNumberFormat="1" applyFont="1" applyFill="1" applyBorder="1">
      <alignment vertical="center"/>
    </xf>
    <xf numFmtId="178" fontId="25" fillId="3" borderId="1" xfId="0" applyNumberFormat="1" applyFont="1" applyFill="1" applyBorder="1" applyAlignment="1">
      <alignment horizontal="center" vertical="center"/>
    </xf>
    <xf numFmtId="178" fontId="25" fillId="0" borderId="1" xfId="0" applyNumberFormat="1" applyFont="1" applyFill="1" applyBorder="1">
      <alignment vertical="center"/>
    </xf>
    <xf numFmtId="178" fontId="49" fillId="2" borderId="1" xfId="0" applyNumberFormat="1" applyFont="1" applyFill="1" applyBorder="1">
      <alignment vertical="center"/>
    </xf>
    <xf numFmtId="178" fontId="49" fillId="3" borderId="1" xfId="0" applyNumberFormat="1" applyFont="1" applyFill="1" applyBorder="1">
      <alignment vertical="center"/>
    </xf>
    <xf numFmtId="178" fontId="49" fillId="2" borderId="1" xfId="0" applyNumberFormat="1" applyFont="1" applyFill="1" applyBorder="1" applyAlignment="1">
      <alignment horizontal="center" vertical="center"/>
    </xf>
    <xf numFmtId="178" fontId="8" fillId="3" borderId="1" xfId="0" applyNumberFormat="1" applyFont="1" applyFill="1" applyBorder="1" applyAlignment="1">
      <alignment horizontal="center" vertical="center"/>
    </xf>
    <xf numFmtId="178" fontId="6" fillId="3" borderId="0" xfId="0" applyNumberFormat="1" applyFont="1" applyFill="1" applyBorder="1">
      <alignment vertical="center"/>
    </xf>
    <xf numFmtId="178" fontId="7" fillId="17" borderId="10" xfId="0" applyNumberFormat="1" applyFont="1" applyFill="1" applyBorder="1" applyAlignment="1">
      <alignment horizontal="center" vertical="center" wrapText="1"/>
    </xf>
    <xf numFmtId="178" fontId="18" fillId="28" borderId="1" xfId="0" applyNumberFormat="1" applyFont="1" applyFill="1" applyBorder="1" applyAlignment="1">
      <alignment horizontal="center" vertical="center"/>
    </xf>
    <xf numFmtId="178" fontId="3" fillId="17" borderId="55" xfId="0" applyNumberFormat="1" applyFont="1" applyFill="1" applyBorder="1" applyAlignment="1">
      <alignment horizontal="center" vertical="center"/>
    </xf>
    <xf numFmtId="178" fontId="4" fillId="17" borderId="1" xfId="0" applyNumberFormat="1" applyFont="1" applyFill="1" applyBorder="1">
      <alignment vertical="center"/>
    </xf>
    <xf numFmtId="178" fontId="3" fillId="17" borderId="20" xfId="0" applyNumberFormat="1" applyFont="1" applyFill="1" applyBorder="1" applyAlignment="1">
      <alignment horizontal="center" vertical="center"/>
    </xf>
    <xf numFmtId="178" fontId="3" fillId="17" borderId="57" xfId="0" applyNumberFormat="1" applyFont="1" applyFill="1" applyBorder="1" applyAlignment="1">
      <alignment horizontal="center" vertical="center"/>
    </xf>
    <xf numFmtId="178" fontId="45" fillId="17" borderId="1" xfId="0" applyNumberFormat="1" applyFont="1" applyFill="1" applyBorder="1">
      <alignment vertical="center"/>
    </xf>
    <xf numFmtId="178" fontId="6" fillId="0" borderId="50" xfId="0" applyNumberFormat="1" applyFont="1" applyFill="1" applyBorder="1" applyAlignment="1">
      <alignment horizontal="center" vertical="center"/>
    </xf>
    <xf numFmtId="178" fontId="6" fillId="17" borderId="20" xfId="0" applyNumberFormat="1" applyFont="1" applyFill="1" applyBorder="1" applyAlignment="1">
      <alignment horizontal="center" vertical="center"/>
    </xf>
    <xf numFmtId="178" fontId="1" fillId="17" borderId="0" xfId="0" applyNumberFormat="1" applyFont="1" applyFill="1" applyBorder="1">
      <alignment vertical="center"/>
    </xf>
    <xf numFmtId="178" fontId="3" fillId="17" borderId="0" xfId="0" applyNumberFormat="1" applyFont="1" applyFill="1" applyBorder="1">
      <alignment vertical="center"/>
    </xf>
    <xf numFmtId="178" fontId="7" fillId="0" borderId="10" xfId="0" applyNumberFormat="1" applyFont="1" applyBorder="1" applyAlignment="1">
      <alignment horizontal="center" vertical="center" wrapText="1"/>
    </xf>
    <xf numFmtId="178" fontId="7" fillId="37" borderId="2" xfId="0" applyNumberFormat="1" applyFont="1" applyFill="1" applyBorder="1" applyAlignment="1">
      <alignment horizontal="center" vertical="center" wrapText="1"/>
    </xf>
    <xf numFmtId="178" fontId="7" fillId="37" borderId="10" xfId="0" applyNumberFormat="1" applyFont="1" applyFill="1" applyBorder="1" applyAlignment="1">
      <alignment horizontal="center" vertical="center" wrapText="1"/>
    </xf>
    <xf numFmtId="178" fontId="1" fillId="37" borderId="10" xfId="0" applyNumberFormat="1" applyFont="1" applyFill="1" applyBorder="1" applyAlignment="1">
      <alignment horizontal="center" vertical="center" wrapText="1"/>
    </xf>
    <xf numFmtId="178" fontId="7" fillId="37" borderId="11" xfId="0" applyNumberFormat="1" applyFont="1" applyFill="1" applyBorder="1" applyAlignment="1">
      <alignment horizontal="center" vertical="center" wrapText="1"/>
    </xf>
    <xf numFmtId="178" fontId="1" fillId="37" borderId="11" xfId="0" applyNumberFormat="1" applyFont="1" applyFill="1" applyBorder="1" applyAlignment="1">
      <alignment horizontal="center" vertical="center" wrapText="1"/>
    </xf>
    <xf numFmtId="178" fontId="7" fillId="87" borderId="2" xfId="0" applyNumberFormat="1" applyFont="1" applyFill="1" applyBorder="1" applyAlignment="1">
      <alignment horizontal="center" vertical="center" wrapText="1"/>
    </xf>
    <xf numFmtId="178" fontId="1" fillId="87" borderId="10" xfId="0" applyNumberFormat="1" applyFont="1" applyFill="1" applyBorder="1" applyAlignment="1">
      <alignment horizontal="center" vertical="center" wrapText="1"/>
    </xf>
    <xf numFmtId="178" fontId="7" fillId="87" borderId="10" xfId="0" applyNumberFormat="1" applyFont="1" applyFill="1" applyBorder="1" applyAlignment="1">
      <alignment horizontal="center" vertical="center" wrapText="1"/>
    </xf>
    <xf numFmtId="178" fontId="1" fillId="37" borderId="2" xfId="0" applyNumberFormat="1" applyFont="1" applyFill="1" applyBorder="1" applyAlignment="1">
      <alignment horizontal="center" vertical="center"/>
    </xf>
    <xf numFmtId="178" fontId="1" fillId="37" borderId="10" xfId="0" applyNumberFormat="1" applyFont="1" applyFill="1" applyBorder="1" applyAlignment="1">
      <alignment horizontal="center" vertical="center"/>
    </xf>
    <xf numFmtId="178" fontId="1" fillId="37" borderId="11" xfId="0" applyNumberFormat="1" applyFont="1" applyFill="1" applyBorder="1" applyAlignment="1">
      <alignment horizontal="center" vertical="center"/>
    </xf>
    <xf numFmtId="178" fontId="1" fillId="87" borderId="2" xfId="0" applyNumberFormat="1" applyFont="1" applyFill="1" applyBorder="1" applyAlignment="1">
      <alignment horizontal="center" vertical="center"/>
    </xf>
    <xf numFmtId="178" fontId="1" fillId="87" borderId="10" xfId="0" applyNumberFormat="1" applyFont="1" applyFill="1" applyBorder="1" applyAlignment="1">
      <alignment horizontal="center" vertical="center"/>
    </xf>
    <xf numFmtId="178" fontId="7" fillId="37" borderId="2" xfId="0" applyNumberFormat="1" applyFont="1" applyFill="1" applyBorder="1" applyAlignment="1">
      <alignment horizontal="center" vertical="center"/>
    </xf>
    <xf numFmtId="178" fontId="7" fillId="87" borderId="2" xfId="0" applyNumberFormat="1" applyFont="1" applyFill="1" applyBorder="1" applyAlignment="1">
      <alignment horizontal="center" vertical="center"/>
    </xf>
    <xf numFmtId="178" fontId="14" fillId="2" borderId="1" xfId="0" applyNumberFormat="1" applyFont="1" applyFill="1" applyBorder="1" applyAlignment="1">
      <alignment horizontal="center" vertical="center" wrapText="1"/>
    </xf>
    <xf numFmtId="178" fontId="14" fillId="3" borderId="1" xfId="0" applyNumberFormat="1" applyFont="1" applyFill="1" applyBorder="1" applyAlignment="1">
      <alignment horizontal="center" vertical="center" wrapText="1"/>
    </xf>
    <xf numFmtId="178" fontId="7" fillId="37" borderId="1" xfId="0" applyNumberFormat="1" applyFont="1" applyFill="1" applyBorder="1" applyAlignment="1">
      <alignment horizontal="center" vertical="center" wrapText="1"/>
    </xf>
    <xf numFmtId="178" fontId="14" fillId="37" borderId="1" xfId="0" applyNumberFormat="1" applyFont="1" applyFill="1" applyBorder="1" applyAlignment="1">
      <alignment horizontal="center" vertical="center" wrapText="1"/>
    </xf>
    <xf numFmtId="178" fontId="1" fillId="87" borderId="1" xfId="0" applyNumberFormat="1" applyFont="1" applyFill="1" applyBorder="1" applyAlignment="1">
      <alignment horizontal="center" vertical="center"/>
    </xf>
    <xf numFmtId="178" fontId="7" fillId="87" borderId="1" xfId="0" applyNumberFormat="1" applyFont="1" applyFill="1" applyBorder="1" applyAlignment="1">
      <alignment horizontal="center" vertical="center" wrapText="1"/>
    </xf>
    <xf numFmtId="178" fontId="14" fillId="87" borderId="1" xfId="0" applyNumberFormat="1" applyFont="1" applyFill="1" applyBorder="1" applyAlignment="1">
      <alignment horizontal="center" vertical="center" wrapText="1"/>
    </xf>
    <xf numFmtId="178" fontId="13" fillId="87" borderId="1" xfId="0" applyNumberFormat="1" applyFont="1" applyFill="1" applyBorder="1" applyAlignment="1">
      <alignment horizontal="center" vertical="center"/>
    </xf>
    <xf numFmtId="178" fontId="7" fillId="87" borderId="1" xfId="0" applyNumberFormat="1" applyFont="1" applyFill="1" applyBorder="1" applyAlignment="1">
      <alignment horizontal="center" vertical="center"/>
    </xf>
    <xf numFmtId="178" fontId="25" fillId="17" borderId="1" xfId="0" applyNumberFormat="1" applyFont="1" applyFill="1" applyBorder="1" applyAlignment="1">
      <alignment horizontal="center" vertical="center"/>
    </xf>
    <xf numFmtId="178" fontId="15" fillId="17" borderId="1" xfId="0" applyNumberFormat="1" applyFont="1" applyFill="1" applyBorder="1" applyAlignment="1">
      <alignment horizontal="center" vertical="center" wrapText="1"/>
    </xf>
    <xf numFmtId="178" fontId="15" fillId="0" borderId="2" xfId="0" applyNumberFormat="1" applyFont="1" applyFill="1" applyBorder="1" applyAlignment="1">
      <alignment horizontal="center" vertical="center" wrapText="1"/>
    </xf>
    <xf numFmtId="178" fontId="18" fillId="3" borderId="1" xfId="0" applyNumberFormat="1" applyFont="1" applyFill="1" applyBorder="1" applyAlignment="1">
      <alignment horizontal="center" vertical="center" wrapText="1"/>
    </xf>
    <xf numFmtId="178" fontId="3" fillId="87" borderId="1" xfId="0" applyNumberFormat="1" applyFont="1" applyFill="1" applyBorder="1" applyAlignment="1">
      <alignment horizontal="center" vertical="center"/>
    </xf>
    <xf numFmtId="178" fontId="1" fillId="37" borderId="1" xfId="0" applyNumberFormat="1" applyFont="1" applyFill="1" applyBorder="1">
      <alignment vertical="center"/>
    </xf>
    <xf numFmtId="178" fontId="1" fillId="87" borderId="1" xfId="0" applyNumberFormat="1" applyFont="1" applyFill="1" applyBorder="1">
      <alignment vertical="center"/>
    </xf>
    <xf numFmtId="178" fontId="3" fillId="3" borderId="1" xfId="0" applyNumberFormat="1" applyFont="1" applyFill="1" applyBorder="1" applyAlignment="1">
      <alignment horizontal="left" vertical="center" wrapText="1"/>
    </xf>
    <xf numFmtId="178" fontId="11" fillId="37" borderId="1" xfId="0" applyNumberFormat="1" applyFont="1" applyFill="1" applyBorder="1" applyAlignment="1">
      <alignment horizontal="left" vertical="center" wrapText="1"/>
    </xf>
    <xf numFmtId="178" fontId="11" fillId="87" borderId="1" xfId="0" applyNumberFormat="1" applyFont="1" applyFill="1" applyBorder="1" applyAlignment="1">
      <alignment horizontal="left" vertical="center" wrapText="1"/>
    </xf>
    <xf numFmtId="178" fontId="3" fillId="0" borderId="48" xfId="0" applyNumberFormat="1" applyFont="1" applyFill="1" applyBorder="1" applyAlignment="1">
      <alignment horizontal="center" vertical="center"/>
    </xf>
    <xf numFmtId="178" fontId="3" fillId="2" borderId="11" xfId="0" applyNumberFormat="1" applyFont="1" applyFill="1" applyBorder="1">
      <alignment vertical="center"/>
    </xf>
    <xf numFmtId="178" fontId="7" fillId="37" borderId="1" xfId="0" applyNumberFormat="1" applyFont="1" applyFill="1" applyBorder="1" applyAlignment="1">
      <alignment horizontal="center" vertical="center"/>
    </xf>
    <xf numFmtId="178" fontId="3" fillId="0" borderId="53" xfId="0" applyNumberFormat="1" applyFont="1" applyFill="1" applyBorder="1" applyAlignment="1">
      <alignment horizontal="center" vertical="center"/>
    </xf>
    <xf numFmtId="178" fontId="1" fillId="2" borderId="11" xfId="0" applyNumberFormat="1" applyFont="1" applyFill="1" applyBorder="1">
      <alignment vertical="center"/>
    </xf>
    <xf numFmtId="178" fontId="13" fillId="2" borderId="11" xfId="0" applyNumberFormat="1" applyFont="1" applyFill="1" applyBorder="1" applyAlignment="1">
      <alignment vertical="center"/>
    </xf>
    <xf numFmtId="178" fontId="11" fillId="2" borderId="1" xfId="0" applyNumberFormat="1" applyFont="1" applyFill="1" applyBorder="1" applyAlignment="1">
      <alignment vertical="center"/>
    </xf>
    <xf numFmtId="178" fontId="54" fillId="3" borderId="1" xfId="0" applyNumberFormat="1" applyFont="1" applyFill="1" applyBorder="1">
      <alignment vertical="center"/>
    </xf>
    <xf numFmtId="178" fontId="11" fillId="37" borderId="1" xfId="0" applyNumberFormat="1" applyFont="1" applyFill="1" applyBorder="1" applyAlignment="1">
      <alignment horizontal="center" vertical="center"/>
    </xf>
    <xf numFmtId="178" fontId="11" fillId="87" borderId="1" xfId="0" applyNumberFormat="1" applyFont="1" applyFill="1" applyBorder="1" applyAlignment="1">
      <alignment horizontal="center" vertical="center"/>
    </xf>
    <xf numFmtId="178" fontId="1" fillId="87" borderId="11" xfId="0" applyNumberFormat="1" applyFont="1" applyFill="1" applyBorder="1" applyAlignment="1">
      <alignment horizontal="center" vertical="center" wrapText="1"/>
    </xf>
    <xf numFmtId="178" fontId="7" fillId="88" borderId="2" xfId="0" applyNumberFormat="1" applyFont="1" applyFill="1" applyBorder="1" applyAlignment="1">
      <alignment horizontal="center" vertical="center" wrapText="1"/>
    </xf>
    <xf numFmtId="178" fontId="1" fillId="88" borderId="10" xfId="0" applyNumberFormat="1" applyFont="1" applyFill="1" applyBorder="1" applyAlignment="1">
      <alignment horizontal="center" vertical="center" wrapText="1"/>
    </xf>
    <xf numFmtId="178" fontId="1" fillId="88" borderId="11" xfId="0" applyNumberFormat="1" applyFont="1" applyFill="1" applyBorder="1" applyAlignment="1">
      <alignment horizontal="center" vertical="center" wrapText="1"/>
    </xf>
    <xf numFmtId="178" fontId="7" fillId="89" borderId="2" xfId="0" applyNumberFormat="1" applyFont="1" applyFill="1" applyBorder="1" applyAlignment="1">
      <alignment horizontal="center" vertical="center" wrapText="1"/>
    </xf>
    <xf numFmtId="178" fontId="1" fillId="89" borderId="10" xfId="0" applyNumberFormat="1" applyFont="1" applyFill="1" applyBorder="1" applyAlignment="1">
      <alignment horizontal="center" vertical="center" wrapText="1"/>
    </xf>
    <xf numFmtId="178" fontId="1" fillId="89" borderId="11" xfId="0" applyNumberFormat="1" applyFont="1" applyFill="1" applyBorder="1" applyAlignment="1">
      <alignment horizontal="center" vertical="center" wrapText="1"/>
    </xf>
    <xf numFmtId="178" fontId="7" fillId="30" borderId="2" xfId="0" applyNumberFormat="1" applyFont="1" applyFill="1" applyBorder="1" applyAlignment="1">
      <alignment horizontal="center" vertical="center" wrapText="1"/>
    </xf>
    <xf numFmtId="178" fontId="1" fillId="30" borderId="10" xfId="0" applyNumberFormat="1" applyFont="1" applyFill="1" applyBorder="1" applyAlignment="1">
      <alignment horizontal="center" vertical="center" wrapText="1"/>
    </xf>
    <xf numFmtId="178" fontId="1" fillId="30" borderId="11" xfId="0" applyNumberFormat="1" applyFont="1" applyFill="1" applyBorder="1" applyAlignment="1">
      <alignment horizontal="center" vertical="center" wrapText="1"/>
    </xf>
    <xf numFmtId="178" fontId="7" fillId="90" borderId="10" xfId="0" applyNumberFormat="1" applyFont="1" applyFill="1" applyBorder="1" applyAlignment="1">
      <alignment horizontal="center" vertical="center" wrapText="1"/>
    </xf>
    <xf numFmtId="178" fontId="1" fillId="90" borderId="10" xfId="0" applyNumberFormat="1" applyFont="1" applyFill="1" applyBorder="1" applyAlignment="1">
      <alignment horizontal="center" vertical="center" wrapText="1"/>
    </xf>
    <xf numFmtId="178" fontId="1" fillId="90" borderId="11" xfId="0" applyNumberFormat="1" applyFont="1" applyFill="1" applyBorder="1" applyAlignment="1">
      <alignment horizontal="center" vertical="center" wrapText="1"/>
    </xf>
    <xf numFmtId="178" fontId="7" fillId="91" borderId="10" xfId="0" applyNumberFormat="1" applyFont="1" applyFill="1" applyBorder="1" applyAlignment="1">
      <alignment horizontal="center" vertical="center" wrapText="1"/>
    </xf>
    <xf numFmtId="178" fontId="1" fillId="91" borderId="10" xfId="0" applyNumberFormat="1" applyFont="1" applyFill="1" applyBorder="1" applyAlignment="1">
      <alignment horizontal="center" vertical="center" wrapText="1"/>
    </xf>
    <xf numFmtId="178" fontId="1" fillId="91" borderId="11" xfId="0" applyNumberFormat="1" applyFont="1" applyFill="1" applyBorder="1" applyAlignment="1">
      <alignment horizontal="center" vertical="center" wrapText="1"/>
    </xf>
    <xf numFmtId="178" fontId="7" fillId="92" borderId="10" xfId="0" applyNumberFormat="1" applyFont="1" applyFill="1" applyBorder="1" applyAlignment="1">
      <alignment horizontal="center" vertical="center" wrapText="1"/>
    </xf>
    <xf numFmtId="178" fontId="1" fillId="92" borderId="10" xfId="0" applyNumberFormat="1" applyFont="1" applyFill="1" applyBorder="1" applyAlignment="1">
      <alignment horizontal="center" vertical="center" wrapText="1"/>
    </xf>
    <xf numFmtId="178" fontId="1" fillId="92" borderId="11" xfId="0" applyNumberFormat="1" applyFont="1" applyFill="1" applyBorder="1" applyAlignment="1">
      <alignment horizontal="center" vertical="center" wrapText="1"/>
    </xf>
    <xf numFmtId="178" fontId="7" fillId="93" borderId="10" xfId="0" applyNumberFormat="1" applyFont="1" applyFill="1" applyBorder="1" applyAlignment="1">
      <alignment horizontal="center" vertical="center" wrapText="1"/>
    </xf>
    <xf numFmtId="178" fontId="1" fillId="93" borderId="10" xfId="0" applyNumberFormat="1" applyFont="1" applyFill="1" applyBorder="1" applyAlignment="1">
      <alignment horizontal="center" vertical="center" wrapText="1"/>
    </xf>
    <xf numFmtId="178" fontId="1" fillId="93" borderId="11" xfId="0" applyNumberFormat="1" applyFont="1" applyFill="1" applyBorder="1" applyAlignment="1">
      <alignment horizontal="center" vertical="center" wrapText="1"/>
    </xf>
    <xf numFmtId="178" fontId="7" fillId="94" borderId="10" xfId="0" applyNumberFormat="1" applyFont="1" applyFill="1" applyBorder="1" applyAlignment="1">
      <alignment horizontal="center" vertical="center" wrapText="1"/>
    </xf>
    <xf numFmtId="178" fontId="1" fillId="94" borderId="10" xfId="0" applyNumberFormat="1" applyFont="1" applyFill="1" applyBorder="1" applyAlignment="1">
      <alignment horizontal="center" vertical="center" wrapText="1"/>
    </xf>
    <xf numFmtId="178" fontId="1" fillId="94" borderId="11" xfId="0" applyNumberFormat="1" applyFont="1" applyFill="1" applyBorder="1" applyAlignment="1">
      <alignment horizontal="center" vertical="center" wrapText="1"/>
    </xf>
    <xf numFmtId="178" fontId="7" fillId="95" borderId="10" xfId="0" applyNumberFormat="1" applyFont="1" applyFill="1" applyBorder="1" applyAlignment="1">
      <alignment horizontal="center" vertical="center" wrapText="1"/>
    </xf>
    <xf numFmtId="178" fontId="1" fillId="95" borderId="10" xfId="0" applyNumberFormat="1" applyFont="1" applyFill="1" applyBorder="1" applyAlignment="1">
      <alignment horizontal="center" vertical="center" wrapText="1"/>
    </xf>
    <xf numFmtId="178" fontId="3" fillId="95" borderId="11" xfId="0" applyNumberFormat="1" applyFont="1" applyFill="1" applyBorder="1" applyAlignment="1">
      <alignment horizontal="center" vertical="center" wrapText="1"/>
    </xf>
    <xf numFmtId="178" fontId="7" fillId="96" borderId="1" xfId="0" applyNumberFormat="1" applyFont="1" applyFill="1" applyBorder="1" applyAlignment="1">
      <alignment horizontal="center" vertical="center" wrapText="1"/>
    </xf>
    <xf numFmtId="178" fontId="1" fillId="96" borderId="1" xfId="0" applyNumberFormat="1" applyFont="1" applyFill="1" applyBorder="1" applyAlignment="1">
      <alignment horizontal="center" vertical="center" wrapText="1"/>
    </xf>
    <xf numFmtId="178" fontId="7" fillId="87" borderId="11" xfId="0" applyNumberFormat="1" applyFont="1" applyFill="1" applyBorder="1" applyAlignment="1">
      <alignment horizontal="center" vertical="center" wrapText="1"/>
    </xf>
    <xf numFmtId="178" fontId="1" fillId="88" borderId="2" xfId="0" applyNumberFormat="1" applyFont="1" applyFill="1" applyBorder="1" applyAlignment="1">
      <alignment horizontal="center" vertical="center" wrapText="1"/>
    </xf>
    <xf numFmtId="178" fontId="7" fillId="88" borderId="10" xfId="0" applyNumberFormat="1" applyFont="1" applyFill="1" applyBorder="1" applyAlignment="1">
      <alignment horizontal="center" vertical="center" wrapText="1"/>
    </xf>
    <xf numFmtId="178" fontId="7" fillId="88" borderId="11" xfId="0" applyNumberFormat="1" applyFont="1" applyFill="1" applyBorder="1" applyAlignment="1">
      <alignment horizontal="center" vertical="center" wrapText="1"/>
    </xf>
    <xf numFmtId="178" fontId="7" fillId="89" borderId="10" xfId="0" applyNumberFormat="1" applyFont="1" applyFill="1" applyBorder="1" applyAlignment="1">
      <alignment horizontal="center" vertical="center" wrapText="1"/>
    </xf>
    <xf numFmtId="178" fontId="7" fillId="89" borderId="11" xfId="0" applyNumberFormat="1" applyFont="1" applyFill="1" applyBorder="1" applyAlignment="1">
      <alignment horizontal="center" vertical="center" wrapText="1"/>
    </xf>
    <xf numFmtId="178" fontId="7" fillId="30" borderId="10" xfId="0" applyNumberFormat="1" applyFont="1" applyFill="1" applyBorder="1" applyAlignment="1">
      <alignment horizontal="center" vertical="center" wrapText="1"/>
    </xf>
    <xf numFmtId="178" fontId="7" fillId="30" borderId="11" xfId="0" applyNumberFormat="1" applyFont="1" applyFill="1" applyBorder="1" applyAlignment="1">
      <alignment horizontal="center" vertical="center" wrapText="1"/>
    </xf>
    <xf numFmtId="178" fontId="7" fillId="2" borderId="10" xfId="0" applyNumberFormat="1" applyFont="1" applyFill="1" applyBorder="1" applyAlignment="1">
      <alignment horizontal="center" vertical="center" wrapText="1"/>
    </xf>
    <xf numFmtId="178" fontId="7" fillId="90" borderId="11" xfId="0" applyNumberFormat="1" applyFont="1" applyFill="1" applyBorder="1" applyAlignment="1">
      <alignment horizontal="center" vertical="center" wrapText="1"/>
    </xf>
    <xf numFmtId="178" fontId="7" fillId="91" borderId="11" xfId="0" applyNumberFormat="1" applyFont="1" applyFill="1" applyBorder="1" applyAlignment="1">
      <alignment horizontal="center" vertical="center" wrapText="1"/>
    </xf>
    <xf numFmtId="178" fontId="7" fillId="92" borderId="11" xfId="0" applyNumberFormat="1" applyFont="1" applyFill="1" applyBorder="1" applyAlignment="1">
      <alignment horizontal="center" vertical="center" wrapText="1"/>
    </xf>
    <xf numFmtId="178" fontId="7" fillId="93" borderId="11" xfId="0" applyNumberFormat="1" applyFont="1" applyFill="1" applyBorder="1" applyAlignment="1">
      <alignment horizontal="center" vertical="center" wrapText="1"/>
    </xf>
    <xf numFmtId="178" fontId="7" fillId="94" borderId="11" xfId="0" applyNumberFormat="1" applyFont="1" applyFill="1" applyBorder="1" applyAlignment="1">
      <alignment horizontal="center" vertical="center" wrapText="1"/>
    </xf>
    <xf numFmtId="178" fontId="7" fillId="95" borderId="11" xfId="0" applyNumberFormat="1" applyFont="1" applyFill="1" applyBorder="1" applyAlignment="1">
      <alignment horizontal="center" vertical="center" wrapText="1"/>
    </xf>
    <xf numFmtId="178" fontId="7" fillId="96" borderId="2" xfId="0" applyNumberFormat="1" applyFont="1" applyFill="1" applyBorder="1" applyAlignment="1">
      <alignment horizontal="center" vertical="center" wrapText="1"/>
    </xf>
    <xf numFmtId="178" fontId="7" fillId="96" borderId="10" xfId="0" applyNumberFormat="1" applyFont="1" applyFill="1" applyBorder="1" applyAlignment="1">
      <alignment horizontal="center" vertical="center" wrapText="1"/>
    </xf>
    <xf numFmtId="178" fontId="1" fillId="87" borderId="11" xfId="0" applyNumberFormat="1" applyFont="1" applyFill="1" applyBorder="1" applyAlignment="1">
      <alignment horizontal="center" vertical="center"/>
    </xf>
    <xf numFmtId="178" fontId="1" fillId="88" borderId="2" xfId="0" applyNumberFormat="1" applyFont="1" applyFill="1" applyBorder="1" applyAlignment="1">
      <alignment horizontal="center" vertical="center"/>
    </xf>
    <xf numFmtId="178" fontId="1" fillId="88" borderId="10" xfId="0" applyNumberFormat="1" applyFont="1" applyFill="1" applyBorder="1" applyAlignment="1">
      <alignment horizontal="center" vertical="center"/>
    </xf>
    <xf numFmtId="178" fontId="1" fillId="88" borderId="11" xfId="0" applyNumberFormat="1" applyFont="1" applyFill="1" applyBorder="1" applyAlignment="1">
      <alignment horizontal="center" vertical="center"/>
    </xf>
    <xf numFmtId="178" fontId="9" fillId="89" borderId="2" xfId="0" applyNumberFormat="1" applyFont="1" applyFill="1" applyBorder="1" applyAlignment="1">
      <alignment horizontal="center" vertical="center"/>
    </xf>
    <xf numFmtId="178" fontId="1" fillId="89" borderId="2" xfId="0" applyNumberFormat="1" applyFont="1" applyFill="1" applyBorder="1" applyAlignment="1">
      <alignment horizontal="center" vertical="center"/>
    </xf>
    <xf numFmtId="178" fontId="9" fillId="89" borderId="10" xfId="0" applyNumberFormat="1" applyFont="1" applyFill="1" applyBorder="1" applyAlignment="1">
      <alignment horizontal="center" vertical="center"/>
    </xf>
    <xf numFmtId="178" fontId="1" fillId="89" borderId="10" xfId="0" applyNumberFormat="1" applyFont="1" applyFill="1" applyBorder="1" applyAlignment="1">
      <alignment horizontal="center" vertical="center"/>
    </xf>
    <xf numFmtId="178" fontId="9" fillId="89" borderId="11" xfId="0" applyNumberFormat="1" applyFont="1" applyFill="1" applyBorder="1" applyAlignment="1">
      <alignment horizontal="center" vertical="center"/>
    </xf>
    <xf numFmtId="178" fontId="1" fillId="89" borderId="11" xfId="0" applyNumberFormat="1" applyFont="1" applyFill="1" applyBorder="1" applyAlignment="1">
      <alignment horizontal="center" vertical="center"/>
    </xf>
    <xf numFmtId="178" fontId="9" fillId="30" borderId="2" xfId="0" applyNumberFormat="1" applyFont="1" applyFill="1" applyBorder="1" applyAlignment="1">
      <alignment horizontal="center" vertical="center"/>
    </xf>
    <xf numFmtId="178" fontId="1" fillId="30" borderId="2" xfId="0" applyNumberFormat="1" applyFont="1" applyFill="1" applyBorder="1" applyAlignment="1">
      <alignment horizontal="center" vertical="center"/>
    </xf>
    <xf numFmtId="178" fontId="9" fillId="30" borderId="10" xfId="0" applyNumberFormat="1" applyFont="1" applyFill="1" applyBorder="1" applyAlignment="1">
      <alignment horizontal="center" vertical="center"/>
    </xf>
    <xf numFmtId="178" fontId="1" fillId="30" borderId="10" xfId="0" applyNumberFormat="1" applyFont="1" applyFill="1" applyBorder="1" applyAlignment="1">
      <alignment horizontal="center" vertical="center"/>
    </xf>
    <xf numFmtId="178" fontId="9" fillId="30" borderId="11" xfId="0" applyNumberFormat="1" applyFont="1" applyFill="1" applyBorder="1" applyAlignment="1">
      <alignment horizontal="center" vertical="center"/>
    </xf>
    <xf numFmtId="178" fontId="1" fillId="30" borderId="11" xfId="0" applyNumberFormat="1" applyFont="1" applyFill="1" applyBorder="1" applyAlignment="1">
      <alignment horizontal="center" vertical="center"/>
    </xf>
    <xf numFmtId="178" fontId="1" fillId="90" borderId="10" xfId="0" applyNumberFormat="1" applyFont="1" applyFill="1" applyBorder="1" applyAlignment="1">
      <alignment horizontal="center" vertical="center"/>
    </xf>
    <xf numFmtId="178" fontId="1" fillId="90" borderId="11" xfId="0" applyNumberFormat="1" applyFont="1" applyFill="1" applyBorder="1" applyAlignment="1">
      <alignment horizontal="center" vertical="center"/>
    </xf>
    <xf numFmtId="178" fontId="1" fillId="91" borderId="10" xfId="0" applyNumberFormat="1" applyFont="1" applyFill="1" applyBorder="1" applyAlignment="1">
      <alignment horizontal="center" vertical="center"/>
    </xf>
    <xf numFmtId="178" fontId="1" fillId="91" borderId="11" xfId="0" applyNumberFormat="1" applyFont="1" applyFill="1" applyBorder="1" applyAlignment="1">
      <alignment horizontal="center" vertical="center"/>
    </xf>
    <xf numFmtId="178" fontId="1" fillId="92" borderId="10" xfId="0" applyNumberFormat="1" applyFont="1" applyFill="1" applyBorder="1" applyAlignment="1">
      <alignment horizontal="center" vertical="center"/>
    </xf>
    <xf numFmtId="178" fontId="1" fillId="92" borderId="11" xfId="0" applyNumberFormat="1" applyFont="1" applyFill="1" applyBorder="1" applyAlignment="1">
      <alignment horizontal="center" vertical="center"/>
    </xf>
    <xf numFmtId="178" fontId="9" fillId="93" borderId="10" xfId="0" applyNumberFormat="1" applyFont="1" applyFill="1" applyBorder="1" applyAlignment="1">
      <alignment horizontal="center" vertical="center"/>
    </xf>
    <xf numFmtId="178" fontId="1" fillId="93" borderId="10" xfId="0" applyNumberFormat="1" applyFont="1" applyFill="1" applyBorder="1" applyAlignment="1">
      <alignment horizontal="center" vertical="center"/>
    </xf>
    <xf numFmtId="178" fontId="9" fillId="93" borderId="11" xfId="0" applyNumberFormat="1" applyFont="1" applyFill="1" applyBorder="1" applyAlignment="1">
      <alignment horizontal="center" vertical="center"/>
    </xf>
    <xf numFmtId="178" fontId="1" fillId="93" borderId="11" xfId="0" applyNumberFormat="1" applyFont="1" applyFill="1" applyBorder="1" applyAlignment="1">
      <alignment horizontal="center" vertical="center"/>
    </xf>
    <xf numFmtId="178" fontId="9" fillId="94" borderId="10" xfId="0" applyNumberFormat="1" applyFont="1" applyFill="1" applyBorder="1" applyAlignment="1">
      <alignment horizontal="center" vertical="center"/>
    </xf>
    <xf numFmtId="178" fontId="1" fillId="94" borderId="10" xfId="0" applyNumberFormat="1" applyFont="1" applyFill="1" applyBorder="1" applyAlignment="1">
      <alignment horizontal="center" vertical="center"/>
    </xf>
    <xf numFmtId="178" fontId="9" fillId="94" borderId="11" xfId="0" applyNumberFormat="1" applyFont="1" applyFill="1" applyBorder="1" applyAlignment="1">
      <alignment horizontal="center" vertical="center"/>
    </xf>
    <xf numFmtId="178" fontId="1" fillId="94" borderId="11" xfId="0" applyNumberFormat="1" applyFont="1" applyFill="1" applyBorder="1" applyAlignment="1">
      <alignment horizontal="center" vertical="center"/>
    </xf>
    <xf numFmtId="178" fontId="9" fillId="95" borderId="10" xfId="0" applyNumberFormat="1" applyFont="1" applyFill="1" applyBorder="1" applyAlignment="1">
      <alignment horizontal="center" vertical="center"/>
    </xf>
    <xf numFmtId="178" fontId="1" fillId="95" borderId="10" xfId="0" applyNumberFormat="1" applyFont="1" applyFill="1" applyBorder="1" applyAlignment="1">
      <alignment horizontal="center" vertical="center"/>
    </xf>
    <xf numFmtId="178" fontId="18" fillId="95" borderId="11" xfId="0" applyNumberFormat="1" applyFont="1" applyFill="1" applyBorder="1" applyAlignment="1">
      <alignment horizontal="center" vertical="center"/>
    </xf>
    <xf numFmtId="178" fontId="1" fillId="95" borderId="11" xfId="0" applyNumberFormat="1" applyFont="1" applyFill="1" applyBorder="1" applyAlignment="1">
      <alignment horizontal="center" vertical="center"/>
    </xf>
    <xf numFmtId="178" fontId="1" fillId="96" borderId="1" xfId="0" applyNumberFormat="1" applyFont="1" applyFill="1" applyBorder="1" applyAlignment="1">
      <alignment horizontal="center" vertical="center"/>
    </xf>
    <xf numFmtId="178" fontId="1" fillId="96" borderId="10" xfId="0" applyNumberFormat="1" applyFont="1" applyFill="1" applyBorder="1" applyAlignment="1">
      <alignment horizontal="center" vertical="center"/>
    </xf>
    <xf numFmtId="178" fontId="7" fillId="88" borderId="2" xfId="0" applyNumberFormat="1" applyFont="1" applyFill="1" applyBorder="1" applyAlignment="1">
      <alignment horizontal="center" vertical="center"/>
    </xf>
    <xf numFmtId="178" fontId="7" fillId="90" borderId="10" xfId="0" applyNumberFormat="1" applyFont="1" applyFill="1" applyBorder="1" applyAlignment="1">
      <alignment horizontal="center" vertical="center"/>
    </xf>
    <xf numFmtId="178" fontId="7" fillId="91" borderId="10" xfId="0" applyNumberFormat="1" applyFont="1" applyFill="1" applyBorder="1" applyAlignment="1">
      <alignment horizontal="center" vertical="center"/>
    </xf>
    <xf numFmtId="178" fontId="7" fillId="92" borderId="10" xfId="0" applyNumberFormat="1" applyFont="1" applyFill="1" applyBorder="1" applyAlignment="1">
      <alignment horizontal="center" vertical="center"/>
    </xf>
    <xf numFmtId="178" fontId="7" fillId="96" borderId="10" xfId="0" applyNumberFormat="1" applyFont="1" applyFill="1" applyBorder="1" applyAlignment="1">
      <alignment horizontal="center" vertical="center"/>
    </xf>
    <xf numFmtId="178" fontId="1" fillId="88" borderId="1" xfId="0" applyNumberFormat="1" applyFont="1" applyFill="1" applyBorder="1" applyAlignment="1">
      <alignment horizontal="center" vertical="center"/>
    </xf>
    <xf numFmtId="178" fontId="7" fillId="88" borderId="1" xfId="0" applyNumberFormat="1" applyFont="1" applyFill="1" applyBorder="1" applyAlignment="1">
      <alignment horizontal="center" vertical="center" wrapText="1"/>
    </xf>
    <xf numFmtId="178" fontId="14" fillId="88" borderId="1" xfId="0" applyNumberFormat="1" applyFont="1" applyFill="1" applyBorder="1" applyAlignment="1">
      <alignment horizontal="center" vertical="center" wrapText="1"/>
    </xf>
    <xf numFmtId="178" fontId="13" fillId="88" borderId="1" xfId="0" applyNumberFormat="1" applyFont="1" applyFill="1" applyBorder="1" applyAlignment="1">
      <alignment horizontal="center" vertical="center"/>
    </xf>
    <xf numFmtId="178" fontId="1" fillId="89" borderId="1" xfId="0" applyNumberFormat="1" applyFont="1" applyFill="1" applyBorder="1" applyAlignment="1">
      <alignment horizontal="center" vertical="center"/>
    </xf>
    <xf numFmtId="178" fontId="7" fillId="89" borderId="1" xfId="0" applyNumberFormat="1" applyFont="1" applyFill="1" applyBorder="1" applyAlignment="1">
      <alignment horizontal="center" vertical="center" wrapText="1"/>
    </xf>
    <xf numFmtId="178" fontId="14" fillId="89" borderId="1" xfId="0" applyNumberFormat="1" applyFont="1" applyFill="1" applyBorder="1" applyAlignment="1">
      <alignment horizontal="center" vertical="center" wrapText="1"/>
    </xf>
    <xf numFmtId="178" fontId="13" fillId="89" borderId="1" xfId="0" applyNumberFormat="1" applyFont="1" applyFill="1" applyBorder="1" applyAlignment="1">
      <alignment horizontal="center" vertical="center"/>
    </xf>
    <xf numFmtId="178" fontId="1" fillId="30" borderId="1" xfId="0" applyNumberFormat="1" applyFont="1" applyFill="1" applyBorder="1" applyAlignment="1">
      <alignment horizontal="center" vertical="center"/>
    </xf>
    <xf numFmtId="178" fontId="7" fillId="30" borderId="1" xfId="0" applyNumberFormat="1" applyFont="1" applyFill="1" applyBorder="1" applyAlignment="1">
      <alignment horizontal="center" vertical="center" wrapText="1"/>
    </xf>
    <xf numFmtId="178" fontId="14" fillId="30" borderId="1" xfId="0" applyNumberFormat="1" applyFont="1" applyFill="1" applyBorder="1" applyAlignment="1">
      <alignment horizontal="center" vertical="center" wrapText="1"/>
    </xf>
    <xf numFmtId="178" fontId="13" fillId="30" borderId="1" xfId="0" applyNumberFormat="1" applyFont="1" applyFill="1" applyBorder="1" applyAlignment="1">
      <alignment horizontal="center" vertical="center"/>
    </xf>
    <xf numFmtId="178" fontId="1" fillId="90" borderId="1" xfId="0" applyNumberFormat="1" applyFont="1" applyFill="1" applyBorder="1" applyAlignment="1">
      <alignment horizontal="center" vertical="center"/>
    </xf>
    <xf numFmtId="178" fontId="7" fillId="90" borderId="1" xfId="0" applyNumberFormat="1" applyFont="1" applyFill="1" applyBorder="1" applyAlignment="1">
      <alignment horizontal="center" vertical="center" wrapText="1"/>
    </xf>
    <xf numFmtId="178" fontId="14" fillId="90" borderId="1" xfId="0" applyNumberFormat="1" applyFont="1" applyFill="1" applyBorder="1" applyAlignment="1">
      <alignment horizontal="center" vertical="center" wrapText="1"/>
    </xf>
    <xf numFmtId="178" fontId="13" fillId="90" borderId="1" xfId="0" applyNumberFormat="1" applyFont="1" applyFill="1" applyBorder="1" applyAlignment="1">
      <alignment horizontal="center" vertical="center"/>
    </xf>
    <xf numFmtId="178" fontId="1" fillId="91" borderId="1" xfId="0" applyNumberFormat="1" applyFont="1" applyFill="1" applyBorder="1" applyAlignment="1">
      <alignment horizontal="center" vertical="center"/>
    </xf>
    <xf numFmtId="178" fontId="7" fillId="91" borderId="1" xfId="0" applyNumberFormat="1" applyFont="1" applyFill="1" applyBorder="1" applyAlignment="1">
      <alignment horizontal="center" vertical="center" wrapText="1"/>
    </xf>
    <xf numFmtId="178" fontId="14" fillId="91" borderId="1" xfId="0" applyNumberFormat="1" applyFont="1" applyFill="1" applyBorder="1" applyAlignment="1">
      <alignment horizontal="center" vertical="center" wrapText="1"/>
    </xf>
    <xf numFmtId="178" fontId="13" fillId="91" borderId="1" xfId="0" applyNumberFormat="1" applyFont="1" applyFill="1" applyBorder="1" applyAlignment="1">
      <alignment horizontal="center" vertical="center"/>
    </xf>
    <xf numFmtId="178" fontId="7" fillId="91" borderId="1" xfId="0" applyNumberFormat="1" applyFont="1" applyFill="1" applyBorder="1" applyAlignment="1">
      <alignment horizontal="center" vertical="center"/>
    </xf>
    <xf numFmtId="178" fontId="1" fillId="92" borderId="2" xfId="0" applyNumberFormat="1" applyFont="1" applyFill="1" applyBorder="1" applyAlignment="1">
      <alignment horizontal="center" vertical="center"/>
    </xf>
    <xf numFmtId="178" fontId="7" fillId="92" borderId="2" xfId="0" applyNumberFormat="1" applyFont="1" applyFill="1" applyBorder="1" applyAlignment="1">
      <alignment horizontal="center" vertical="center" wrapText="1"/>
    </xf>
    <xf numFmtId="178" fontId="14" fillId="92" borderId="2" xfId="0" applyNumberFormat="1" applyFont="1" applyFill="1" applyBorder="1" applyAlignment="1">
      <alignment horizontal="center" vertical="center" wrapText="1"/>
    </xf>
    <xf numFmtId="178" fontId="13" fillId="92" borderId="2" xfId="0" applyNumberFormat="1" applyFont="1" applyFill="1" applyBorder="1" applyAlignment="1">
      <alignment horizontal="center" vertical="center"/>
    </xf>
    <xf numFmtId="178" fontId="7" fillId="92" borderId="1" xfId="0" applyNumberFormat="1" applyFont="1" applyFill="1" applyBorder="1" applyAlignment="1">
      <alignment horizontal="center" vertical="center" wrapText="1"/>
    </xf>
    <xf numFmtId="178" fontId="14" fillId="92" borderId="11" xfId="0" applyNumberFormat="1" applyFont="1" applyFill="1" applyBorder="1" applyAlignment="1">
      <alignment horizontal="center" vertical="center" wrapText="1"/>
    </xf>
    <xf numFmtId="178" fontId="13" fillId="92" borderId="11" xfId="0" applyNumberFormat="1" applyFont="1" applyFill="1" applyBorder="1" applyAlignment="1">
      <alignment horizontal="center" vertical="center"/>
    </xf>
    <xf numFmtId="178" fontId="14" fillId="92" borderId="1" xfId="0" applyNumberFormat="1" applyFont="1" applyFill="1" applyBorder="1" applyAlignment="1">
      <alignment horizontal="center" vertical="center" wrapText="1"/>
    </xf>
    <xf numFmtId="178" fontId="13" fillId="92" borderId="1" xfId="0" applyNumberFormat="1" applyFont="1" applyFill="1" applyBorder="1" applyAlignment="1">
      <alignment horizontal="center" vertical="center"/>
    </xf>
    <xf numFmtId="178" fontId="1" fillId="93" borderId="1" xfId="0" applyNumberFormat="1" applyFont="1" applyFill="1" applyBorder="1" applyAlignment="1">
      <alignment horizontal="center" vertical="center"/>
    </xf>
    <xf numFmtId="178" fontId="7" fillId="93" borderId="1" xfId="0" applyNumberFormat="1" applyFont="1" applyFill="1" applyBorder="1" applyAlignment="1">
      <alignment horizontal="center" vertical="center" wrapText="1"/>
    </xf>
    <xf numFmtId="178" fontId="14" fillId="93" borderId="1" xfId="0" applyNumberFormat="1" applyFont="1" applyFill="1" applyBorder="1" applyAlignment="1">
      <alignment horizontal="center" vertical="center" wrapText="1"/>
    </xf>
    <xf numFmtId="178" fontId="13" fillId="93" borderId="1" xfId="0" applyNumberFormat="1" applyFont="1" applyFill="1" applyBorder="1" applyAlignment="1">
      <alignment horizontal="center" vertical="center"/>
    </xf>
    <xf numFmtId="178" fontId="1" fillId="94" borderId="1" xfId="0" applyNumberFormat="1" applyFont="1" applyFill="1" applyBorder="1" applyAlignment="1">
      <alignment horizontal="center" vertical="center"/>
    </xf>
    <xf numFmtId="178" fontId="7" fillId="94" borderId="1" xfId="0" applyNumberFormat="1" applyFont="1" applyFill="1" applyBorder="1" applyAlignment="1">
      <alignment horizontal="center" vertical="center" wrapText="1"/>
    </xf>
    <xf numFmtId="178" fontId="14" fillId="94" borderId="1" xfId="0" applyNumberFormat="1" applyFont="1" applyFill="1" applyBorder="1" applyAlignment="1">
      <alignment horizontal="center" vertical="center" wrapText="1"/>
    </xf>
    <xf numFmtId="178" fontId="13" fillId="94" borderId="1" xfId="0" applyNumberFormat="1" applyFont="1" applyFill="1" applyBorder="1" applyAlignment="1">
      <alignment horizontal="center" vertical="center"/>
    </xf>
    <xf numFmtId="178" fontId="1" fillId="94" borderId="2" xfId="0" applyNumberFormat="1" applyFont="1" applyFill="1" applyBorder="1" applyAlignment="1">
      <alignment horizontal="center" vertical="center"/>
    </xf>
    <xf numFmtId="178" fontId="7" fillId="94" borderId="2" xfId="0" applyNumberFormat="1" applyFont="1" applyFill="1" applyBorder="1" applyAlignment="1">
      <alignment horizontal="center" vertical="center" wrapText="1"/>
    </xf>
    <xf numFmtId="178" fontId="14" fillId="94" borderId="2" xfId="0" applyNumberFormat="1" applyFont="1" applyFill="1" applyBorder="1" applyAlignment="1">
      <alignment horizontal="center" vertical="center" wrapText="1"/>
    </xf>
    <xf numFmtId="178" fontId="13" fillId="94" borderId="2" xfId="0" applyNumberFormat="1" applyFont="1" applyFill="1" applyBorder="1" applyAlignment="1">
      <alignment horizontal="center" vertical="center"/>
    </xf>
    <xf numFmtId="178" fontId="14" fillId="94" borderId="11" xfId="0" applyNumberFormat="1" applyFont="1" applyFill="1" applyBorder="1" applyAlignment="1">
      <alignment horizontal="center" vertical="center" wrapText="1"/>
    </xf>
    <xf numFmtId="178" fontId="13" fillId="94" borderId="11" xfId="0" applyNumberFormat="1" applyFont="1" applyFill="1" applyBorder="1" applyAlignment="1">
      <alignment horizontal="center" vertical="center"/>
    </xf>
    <xf numFmtId="178" fontId="1" fillId="95" borderId="1" xfId="0" applyNumberFormat="1" applyFont="1" applyFill="1" applyBorder="1" applyAlignment="1">
      <alignment horizontal="center" vertical="center"/>
    </xf>
    <xf numFmtId="178" fontId="7" fillId="95" borderId="1" xfId="0" applyNumberFormat="1" applyFont="1" applyFill="1" applyBorder="1" applyAlignment="1">
      <alignment horizontal="center" vertical="center" wrapText="1"/>
    </xf>
    <xf numFmtId="178" fontId="14" fillId="95" borderId="1" xfId="0" applyNumberFormat="1" applyFont="1" applyFill="1" applyBorder="1" applyAlignment="1">
      <alignment horizontal="center" vertical="center" wrapText="1"/>
    </xf>
    <xf numFmtId="178" fontId="13" fillId="95" borderId="1" xfId="0" applyNumberFormat="1" applyFont="1" applyFill="1" applyBorder="1" applyAlignment="1">
      <alignment horizontal="center" vertical="center"/>
    </xf>
    <xf numFmtId="178" fontId="3" fillId="95" borderId="1" xfId="0" applyNumberFormat="1" applyFont="1" applyFill="1" applyBorder="1" applyAlignment="1">
      <alignment horizontal="center" vertical="center"/>
    </xf>
    <xf numFmtId="178" fontId="7" fillId="95" borderId="1" xfId="0" applyNumberFormat="1" applyFont="1" applyFill="1" applyBorder="1" applyAlignment="1">
      <alignment horizontal="center" vertical="center"/>
    </xf>
    <xf numFmtId="178" fontId="14" fillId="96" borderId="1" xfId="0" applyNumberFormat="1" applyFont="1" applyFill="1" applyBorder="1" applyAlignment="1">
      <alignment horizontal="center" vertical="center" wrapText="1"/>
    </xf>
    <xf numFmtId="178" fontId="13" fillId="96" borderId="1" xfId="0" applyNumberFormat="1" applyFont="1" applyFill="1" applyBorder="1" applyAlignment="1">
      <alignment horizontal="center" vertical="center"/>
    </xf>
    <xf numFmtId="178" fontId="3" fillId="88" borderId="1" xfId="0" applyNumberFormat="1" applyFont="1" applyFill="1" applyBorder="1" applyAlignment="1">
      <alignment horizontal="center" vertical="center"/>
    </xf>
    <xf numFmtId="178" fontId="3" fillId="89" borderId="1" xfId="0" applyNumberFormat="1" applyFont="1" applyFill="1" applyBorder="1" applyAlignment="1">
      <alignment horizontal="center" vertical="center"/>
    </xf>
    <xf numFmtId="178" fontId="3" fillId="30" borderId="1" xfId="0" applyNumberFormat="1" applyFont="1" applyFill="1" applyBorder="1" applyAlignment="1">
      <alignment horizontal="center" vertical="center"/>
    </xf>
    <xf numFmtId="178" fontId="3" fillId="90" borderId="1" xfId="0" applyNumberFormat="1" applyFont="1" applyFill="1" applyBorder="1" applyAlignment="1">
      <alignment horizontal="center" vertical="center"/>
    </xf>
    <xf numFmtId="178" fontId="3" fillId="91" borderId="1" xfId="0" applyNumberFormat="1" applyFont="1" applyFill="1" applyBorder="1" applyAlignment="1">
      <alignment horizontal="center" vertical="center"/>
    </xf>
    <xf numFmtId="178" fontId="7" fillId="92" borderId="1" xfId="0" applyNumberFormat="1" applyFont="1" applyFill="1" applyBorder="1" applyAlignment="1">
      <alignment horizontal="center" vertical="center"/>
    </xf>
    <xf numFmtId="178" fontId="3" fillId="92" borderId="1" xfId="0" applyNumberFormat="1" applyFont="1" applyFill="1" applyBorder="1" applyAlignment="1">
      <alignment horizontal="center" vertical="center"/>
    </xf>
    <xf numFmtId="178" fontId="1" fillId="92" borderId="1" xfId="0" applyNumberFormat="1" applyFont="1" applyFill="1" applyBorder="1" applyAlignment="1">
      <alignment horizontal="center" vertical="center"/>
    </xf>
    <xf numFmtId="178" fontId="7" fillId="93" borderId="1" xfId="0" applyNumberFormat="1" applyFont="1" applyFill="1" applyBorder="1" applyAlignment="1">
      <alignment horizontal="center" vertical="center"/>
    </xf>
    <xf numFmtId="178" fontId="3" fillId="93" borderId="1" xfId="0" applyNumberFormat="1" applyFont="1" applyFill="1" applyBorder="1" applyAlignment="1">
      <alignment horizontal="center" vertical="center"/>
    </xf>
    <xf numFmtId="178" fontId="7" fillId="94" borderId="1" xfId="0" applyNumberFormat="1" applyFont="1" applyFill="1" applyBorder="1" applyAlignment="1">
      <alignment horizontal="center" vertical="center"/>
    </xf>
    <xf numFmtId="178" fontId="3" fillId="94" borderId="1" xfId="0" applyNumberFormat="1" applyFont="1" applyFill="1" applyBorder="1" applyAlignment="1">
      <alignment horizontal="center" vertical="center"/>
    </xf>
    <xf numFmtId="178" fontId="69" fillId="23" borderId="1" xfId="0" applyNumberFormat="1" applyFont="1" applyFill="1" applyBorder="1" applyAlignment="1">
      <alignment horizontal="center" vertical="center"/>
    </xf>
    <xf numFmtId="178" fontId="69" fillId="23" borderId="1" xfId="0" applyNumberFormat="1" applyFont="1" applyFill="1" applyBorder="1" applyAlignment="1">
      <alignment horizontal="center" vertical="center" wrapText="1"/>
    </xf>
    <xf numFmtId="178" fontId="70" fillId="23" borderId="1" xfId="0" applyNumberFormat="1" applyFont="1" applyFill="1" applyBorder="1" applyAlignment="1">
      <alignment horizontal="center" vertical="center"/>
    </xf>
    <xf numFmtId="178" fontId="3" fillId="96" borderId="1" xfId="0" applyNumberFormat="1" applyFont="1" applyFill="1" applyBorder="1" applyAlignment="1">
      <alignment horizontal="center" vertical="center"/>
    </xf>
    <xf numFmtId="178" fontId="7" fillId="94" borderId="2" xfId="0" applyNumberFormat="1" applyFont="1" applyFill="1" applyBorder="1" applyAlignment="1">
      <alignment horizontal="center" vertical="center"/>
    </xf>
    <xf numFmtId="178" fontId="7" fillId="94" borderId="11" xfId="0" applyNumberFormat="1" applyFont="1" applyFill="1" applyBorder="1" applyAlignment="1">
      <alignment horizontal="center" vertical="center"/>
    </xf>
    <xf numFmtId="178" fontId="1" fillId="88" borderId="1" xfId="0" applyNumberFormat="1" applyFont="1" applyFill="1" applyBorder="1">
      <alignment vertical="center"/>
    </xf>
    <xf numFmtId="178" fontId="1" fillId="89" borderId="1" xfId="0" applyNumberFormat="1" applyFont="1" applyFill="1" applyBorder="1">
      <alignment vertical="center"/>
    </xf>
    <xf numFmtId="178" fontId="1" fillId="30" borderId="1" xfId="0" applyNumberFormat="1" applyFont="1" applyFill="1" applyBorder="1">
      <alignment vertical="center"/>
    </xf>
    <xf numFmtId="178" fontId="1" fillId="90" borderId="1" xfId="0" applyNumberFormat="1" applyFont="1" applyFill="1" applyBorder="1">
      <alignment vertical="center"/>
    </xf>
    <xf numFmtId="178" fontId="1" fillId="91" borderId="1" xfId="0" applyNumberFormat="1" applyFont="1" applyFill="1" applyBorder="1">
      <alignment vertical="center"/>
    </xf>
    <xf numFmtId="178" fontId="1" fillId="92" borderId="1" xfId="0" applyNumberFormat="1" applyFont="1" applyFill="1" applyBorder="1">
      <alignment vertical="center"/>
    </xf>
    <xf numFmtId="178" fontId="1" fillId="93" borderId="1" xfId="0" applyNumberFormat="1" applyFont="1" applyFill="1" applyBorder="1">
      <alignment vertical="center"/>
    </xf>
    <xf numFmtId="178" fontId="1" fillId="94" borderId="1" xfId="0" applyNumberFormat="1" applyFont="1" applyFill="1" applyBorder="1">
      <alignment vertical="center"/>
    </xf>
    <xf numFmtId="178" fontId="3" fillId="94" borderId="2" xfId="0" applyNumberFormat="1" applyFont="1" applyFill="1" applyBorder="1" applyAlignment="1">
      <alignment horizontal="center" vertical="center"/>
    </xf>
    <xf numFmtId="178" fontId="3" fillId="94" borderId="11" xfId="0" applyNumberFormat="1" applyFont="1" applyFill="1" applyBorder="1" applyAlignment="1">
      <alignment horizontal="center" vertical="center"/>
    </xf>
    <xf numFmtId="178" fontId="1" fillId="95" borderId="1" xfId="0" applyNumberFormat="1" applyFont="1" applyFill="1" applyBorder="1">
      <alignment vertical="center"/>
    </xf>
    <xf numFmtId="178" fontId="3" fillId="95" borderId="1" xfId="0" applyNumberFormat="1" applyFont="1" applyFill="1" applyBorder="1">
      <alignment vertical="center"/>
    </xf>
    <xf numFmtId="178" fontId="7" fillId="96" borderId="1" xfId="0" applyNumberFormat="1" applyFont="1" applyFill="1" applyBorder="1" applyAlignment="1">
      <alignment horizontal="center" vertical="center"/>
    </xf>
    <xf numFmtId="178" fontId="7" fillId="96" borderId="1" xfId="0" applyNumberFormat="1" applyFont="1" applyFill="1" applyBorder="1">
      <alignment vertical="center"/>
    </xf>
    <xf numFmtId="178" fontId="1" fillId="96" borderId="1" xfId="0" applyNumberFormat="1" applyFont="1" applyFill="1" applyBorder="1">
      <alignment vertical="center"/>
    </xf>
    <xf numFmtId="178" fontId="11" fillId="88" borderId="1" xfId="0" applyNumberFormat="1" applyFont="1" applyFill="1" applyBorder="1" applyAlignment="1">
      <alignment horizontal="left" vertical="center" wrapText="1"/>
    </xf>
    <xf numFmtId="178" fontId="11" fillId="89" borderId="1" xfId="0" applyNumberFormat="1" applyFont="1" applyFill="1" applyBorder="1" applyAlignment="1">
      <alignment horizontal="left" vertical="center" wrapText="1"/>
    </xf>
    <xf numFmtId="178" fontId="11" fillId="30" borderId="1" xfId="0" applyNumberFormat="1" applyFont="1" applyFill="1" applyBorder="1" applyAlignment="1">
      <alignment horizontal="left" vertical="center" wrapText="1"/>
    </xf>
    <xf numFmtId="178" fontId="11" fillId="90" borderId="1" xfId="0" applyNumberFormat="1" applyFont="1" applyFill="1" applyBorder="1" applyAlignment="1">
      <alignment horizontal="left" vertical="center" wrapText="1"/>
    </xf>
    <xf numFmtId="178" fontId="11" fillId="91" borderId="1" xfId="0" applyNumberFormat="1" applyFont="1" applyFill="1" applyBorder="1" applyAlignment="1">
      <alignment horizontal="left" vertical="center" wrapText="1"/>
    </xf>
    <xf numFmtId="178" fontId="11" fillId="92" borderId="1" xfId="0" applyNumberFormat="1" applyFont="1" applyFill="1" applyBorder="1" applyAlignment="1">
      <alignment horizontal="left" vertical="center" wrapText="1"/>
    </xf>
    <xf numFmtId="178" fontId="11" fillId="93" borderId="1" xfId="0" applyNumberFormat="1" applyFont="1" applyFill="1" applyBorder="1" applyAlignment="1">
      <alignment horizontal="left" vertical="center" wrapText="1"/>
    </xf>
    <xf numFmtId="178" fontId="11" fillId="94" borderId="1" xfId="0" applyNumberFormat="1" applyFont="1" applyFill="1" applyBorder="1" applyAlignment="1">
      <alignment horizontal="left" vertical="center" wrapText="1"/>
    </xf>
    <xf numFmtId="178" fontId="11" fillId="95" borderId="1" xfId="0" applyNumberFormat="1" applyFont="1" applyFill="1" applyBorder="1" applyAlignment="1">
      <alignment horizontal="left" vertical="center" wrapText="1"/>
    </xf>
    <xf numFmtId="178" fontId="7" fillId="95" borderId="1" xfId="0" applyNumberFormat="1" applyFont="1" applyFill="1" applyBorder="1" applyAlignment="1">
      <alignment horizontal="left" vertical="center" wrapText="1"/>
    </xf>
    <xf numFmtId="178" fontId="11" fillId="96" borderId="1" xfId="0" applyNumberFormat="1" applyFont="1" applyFill="1" applyBorder="1" applyAlignment="1">
      <alignment horizontal="left" vertical="center" wrapText="1"/>
    </xf>
    <xf numFmtId="178" fontId="7" fillId="96" borderId="11" xfId="0" applyNumberFormat="1" applyFont="1" applyFill="1" applyBorder="1" applyAlignment="1">
      <alignment horizontal="center" vertical="center" wrapText="1"/>
    </xf>
    <xf numFmtId="178" fontId="6" fillId="94" borderId="1" xfId="0" applyNumberFormat="1" applyFont="1" applyFill="1" applyBorder="1" applyAlignment="1">
      <alignment horizontal="center" vertical="center"/>
    </xf>
    <xf numFmtId="178" fontId="18" fillId="95" borderId="1" xfId="0" applyNumberFormat="1" applyFont="1" applyFill="1" applyBorder="1" applyAlignment="1">
      <alignment horizontal="center" vertical="center"/>
    </xf>
    <xf numFmtId="178" fontId="7" fillId="88" borderId="1" xfId="0" applyNumberFormat="1" applyFont="1" applyFill="1" applyBorder="1" applyAlignment="1">
      <alignment horizontal="center" vertical="center"/>
    </xf>
    <xf numFmtId="178" fontId="7" fillId="89" borderId="1" xfId="0" applyNumberFormat="1" applyFont="1" applyFill="1" applyBorder="1" applyAlignment="1">
      <alignment horizontal="center" vertical="center"/>
    </xf>
    <xf numFmtId="178" fontId="7" fillId="30" borderId="1" xfId="0" applyNumberFormat="1" applyFont="1" applyFill="1" applyBorder="1" applyAlignment="1">
      <alignment horizontal="center" vertical="center"/>
    </xf>
    <xf numFmtId="178" fontId="7" fillId="90" borderId="1" xfId="0" applyNumberFormat="1" applyFont="1" applyFill="1" applyBorder="1" applyAlignment="1">
      <alignment horizontal="center" vertical="center"/>
    </xf>
    <xf numFmtId="178" fontId="6" fillId="92" borderId="1" xfId="0" applyNumberFormat="1" applyFont="1" applyFill="1" applyBorder="1" applyAlignment="1">
      <alignment horizontal="center" vertical="center"/>
    </xf>
    <xf numFmtId="178" fontId="11" fillId="88" borderId="1" xfId="0" applyNumberFormat="1" applyFont="1" applyFill="1" applyBorder="1" applyAlignment="1">
      <alignment horizontal="center" vertical="center"/>
    </xf>
    <xf numFmtId="178" fontId="11" fillId="30" borderId="1" xfId="0" applyNumberFormat="1" applyFont="1" applyFill="1" applyBorder="1" applyAlignment="1">
      <alignment horizontal="center" vertical="center"/>
    </xf>
    <xf numFmtId="178" fontId="11" fillId="2" borderId="1" xfId="0" applyNumberFormat="1" applyFont="1" applyFill="1" applyBorder="1" applyAlignment="1">
      <alignment horizontal="center" vertical="center"/>
    </xf>
    <xf numFmtId="178" fontId="11" fillId="90" borderId="1" xfId="0" applyNumberFormat="1" applyFont="1" applyFill="1" applyBorder="1" applyAlignment="1">
      <alignment horizontal="center" vertical="center"/>
    </xf>
    <xf numFmtId="178" fontId="11" fillId="91" borderId="1" xfId="0" applyNumberFormat="1" applyFont="1" applyFill="1" applyBorder="1" applyAlignment="1">
      <alignment horizontal="center" vertical="center"/>
    </xf>
    <xf numFmtId="178" fontId="11" fillId="92" borderId="1" xfId="0" applyNumberFormat="1" applyFont="1" applyFill="1" applyBorder="1" applyAlignment="1">
      <alignment horizontal="center" vertical="center"/>
    </xf>
    <xf numFmtId="178" fontId="11" fillId="94" borderId="1" xfId="0" applyNumberFormat="1" applyFont="1" applyFill="1" applyBorder="1" applyAlignment="1">
      <alignment horizontal="center" vertical="center"/>
    </xf>
    <xf numFmtId="178" fontId="11" fillId="95" borderId="1" xfId="0" applyNumberFormat="1" applyFont="1" applyFill="1" applyBorder="1" applyAlignment="1">
      <alignment horizontal="center" vertical="center"/>
    </xf>
    <xf numFmtId="178" fontId="9" fillId="93" borderId="1" xfId="0" applyNumberFormat="1" applyFont="1" applyFill="1" applyBorder="1" applyAlignment="1">
      <alignment horizontal="center" vertical="center"/>
    </xf>
    <xf numFmtId="178" fontId="9" fillId="94" borderId="1" xfId="0" applyNumberFormat="1" applyFont="1" applyFill="1" applyBorder="1" applyAlignment="1">
      <alignment horizontal="center" vertical="center"/>
    </xf>
    <xf numFmtId="178" fontId="9" fillId="95" borderId="1" xfId="0" applyNumberFormat="1" applyFont="1" applyFill="1" applyBorder="1" applyAlignment="1">
      <alignment horizontal="center" vertical="center"/>
    </xf>
    <xf numFmtId="178" fontId="3" fillId="96" borderId="1" xfId="0" applyNumberFormat="1" applyFont="1" applyFill="1" applyBorder="1" applyAlignment="1">
      <alignment horizontal="center" vertical="center" wrapText="1"/>
    </xf>
    <xf numFmtId="178" fontId="7" fillId="97" borderId="1" xfId="0" applyNumberFormat="1" applyFont="1" applyFill="1" applyBorder="1" applyAlignment="1">
      <alignment horizontal="center" vertical="center" wrapText="1"/>
    </xf>
    <xf numFmtId="178" fontId="1" fillId="97" borderId="1" xfId="0" applyNumberFormat="1" applyFont="1" applyFill="1" applyBorder="1" applyAlignment="1">
      <alignment horizontal="center" vertical="center" wrapText="1"/>
    </xf>
    <xf numFmtId="178" fontId="3" fillId="97" borderId="1" xfId="0" applyNumberFormat="1" applyFont="1" applyFill="1" applyBorder="1" applyAlignment="1">
      <alignment horizontal="center" vertical="center" wrapText="1"/>
    </xf>
    <xf numFmtId="178" fontId="3" fillId="21" borderId="1" xfId="0" applyNumberFormat="1" applyFont="1" applyFill="1" applyBorder="1" applyAlignment="1">
      <alignment horizontal="center" vertical="center" wrapText="1"/>
    </xf>
    <xf numFmtId="178" fontId="7" fillId="98" borderId="1" xfId="0" applyNumberFormat="1" applyFont="1" applyFill="1" applyBorder="1" applyAlignment="1">
      <alignment horizontal="center" vertical="center" wrapText="1"/>
    </xf>
    <xf numFmtId="178" fontId="1" fillId="98" borderId="1" xfId="0" applyNumberFormat="1" applyFont="1" applyFill="1" applyBorder="1" applyAlignment="1">
      <alignment horizontal="center" vertical="center" wrapText="1"/>
    </xf>
    <xf numFmtId="178" fontId="3" fillId="98" borderId="1" xfId="0" applyNumberFormat="1" applyFont="1" applyFill="1" applyBorder="1" applyAlignment="1">
      <alignment horizontal="center" vertical="center" wrapText="1"/>
    </xf>
    <xf numFmtId="178" fontId="7" fillId="99" borderId="1" xfId="0" applyNumberFormat="1" applyFont="1" applyFill="1" applyBorder="1" applyAlignment="1">
      <alignment horizontal="center" vertical="center" wrapText="1"/>
    </xf>
    <xf numFmtId="178" fontId="1" fillId="99" borderId="1" xfId="0" applyNumberFormat="1" applyFont="1" applyFill="1" applyBorder="1" applyAlignment="1">
      <alignment horizontal="center" vertical="center" wrapText="1"/>
    </xf>
    <xf numFmtId="178" fontId="3" fillId="99" borderId="1" xfId="0" applyNumberFormat="1" applyFont="1" applyFill="1" applyBorder="1" applyAlignment="1">
      <alignment horizontal="center" vertical="center" wrapText="1"/>
    </xf>
    <xf numFmtId="178" fontId="7" fillId="100" borderId="1" xfId="0" applyNumberFormat="1" applyFont="1" applyFill="1" applyBorder="1" applyAlignment="1">
      <alignment horizontal="center" vertical="center" wrapText="1"/>
    </xf>
    <xf numFmtId="178" fontId="1" fillId="100" borderId="1" xfId="0" applyNumberFormat="1" applyFont="1" applyFill="1" applyBorder="1" applyAlignment="1">
      <alignment horizontal="center" vertical="center" wrapText="1"/>
    </xf>
    <xf numFmtId="178" fontId="3" fillId="100" borderId="1" xfId="0" applyNumberFormat="1" applyFont="1" applyFill="1" applyBorder="1" applyAlignment="1">
      <alignment horizontal="center" vertical="center" wrapText="1"/>
    </xf>
    <xf numFmtId="178" fontId="7" fillId="41" borderId="2" xfId="0" applyNumberFormat="1" applyFont="1" applyFill="1" applyBorder="1" applyAlignment="1">
      <alignment horizontal="center" vertical="center" wrapText="1"/>
    </xf>
    <xf numFmtId="178" fontId="1" fillId="41" borderId="10" xfId="0" applyNumberFormat="1" applyFont="1" applyFill="1" applyBorder="1" applyAlignment="1">
      <alignment horizontal="center" vertical="center" wrapText="1"/>
    </xf>
    <xf numFmtId="178" fontId="1" fillId="41" borderId="11" xfId="0" applyNumberFormat="1" applyFont="1" applyFill="1" applyBorder="1" applyAlignment="1">
      <alignment horizontal="center" vertical="center" wrapText="1"/>
    </xf>
    <xf numFmtId="178" fontId="1" fillId="11" borderId="10" xfId="0" applyNumberFormat="1" applyFont="1" applyFill="1" applyBorder="1" applyAlignment="1">
      <alignment horizontal="center" vertical="center" wrapText="1"/>
    </xf>
    <xf numFmtId="178" fontId="1" fillId="11" borderId="11" xfId="0" applyNumberFormat="1" applyFont="1" applyFill="1" applyBorder="1" applyAlignment="1">
      <alignment horizontal="center" vertical="center" wrapText="1"/>
    </xf>
    <xf numFmtId="178" fontId="1" fillId="13" borderId="10" xfId="0" applyNumberFormat="1" applyFont="1" applyFill="1" applyBorder="1" applyAlignment="1">
      <alignment horizontal="center" vertical="center" wrapText="1"/>
    </xf>
    <xf numFmtId="178" fontId="7" fillId="97" borderId="2" xfId="0" applyNumberFormat="1" applyFont="1" applyFill="1" applyBorder="1" applyAlignment="1">
      <alignment horizontal="center" vertical="center" wrapText="1"/>
    </xf>
    <xf numFmtId="178" fontId="7" fillId="97" borderId="10" xfId="0" applyNumberFormat="1" applyFont="1" applyFill="1" applyBorder="1" applyAlignment="1">
      <alignment horizontal="center" vertical="center" wrapText="1"/>
    </xf>
    <xf numFmtId="178" fontId="7" fillId="97" borderId="11" xfId="0" applyNumberFormat="1" applyFont="1" applyFill="1" applyBorder="1" applyAlignment="1">
      <alignment horizontal="center" vertical="center" wrapText="1"/>
    </xf>
    <xf numFmtId="178" fontId="7" fillId="98" borderId="2" xfId="0" applyNumberFormat="1" applyFont="1" applyFill="1" applyBorder="1" applyAlignment="1">
      <alignment horizontal="center" vertical="center" wrapText="1"/>
    </xf>
    <xf numFmtId="178" fontId="7" fillId="98" borderId="10" xfId="0" applyNumberFormat="1" applyFont="1" applyFill="1" applyBorder="1" applyAlignment="1">
      <alignment horizontal="center" vertical="center" wrapText="1"/>
    </xf>
    <xf numFmtId="178" fontId="7" fillId="98" borderId="11" xfId="0" applyNumberFormat="1" applyFont="1" applyFill="1" applyBorder="1" applyAlignment="1">
      <alignment horizontal="center" vertical="center" wrapText="1"/>
    </xf>
    <xf numFmtId="178" fontId="7" fillId="99" borderId="2" xfId="0" applyNumberFormat="1" applyFont="1" applyFill="1" applyBorder="1" applyAlignment="1">
      <alignment horizontal="center" vertical="center" wrapText="1"/>
    </xf>
    <xf numFmtId="178" fontId="7" fillId="99" borderId="10" xfId="0" applyNumberFormat="1" applyFont="1" applyFill="1" applyBorder="1" applyAlignment="1">
      <alignment horizontal="center" vertical="center" wrapText="1"/>
    </xf>
    <xf numFmtId="178" fontId="7" fillId="99" borderId="11" xfId="0" applyNumberFormat="1" applyFont="1" applyFill="1" applyBorder="1" applyAlignment="1">
      <alignment horizontal="center" vertical="center" wrapText="1"/>
    </xf>
    <xf numFmtId="178" fontId="7" fillId="100" borderId="2" xfId="0" applyNumberFormat="1" applyFont="1" applyFill="1" applyBorder="1" applyAlignment="1">
      <alignment horizontal="center" vertical="center" wrapText="1"/>
    </xf>
    <xf numFmtId="178" fontId="7" fillId="100" borderId="10" xfId="0" applyNumberFormat="1" applyFont="1" applyFill="1" applyBorder="1" applyAlignment="1">
      <alignment horizontal="center" vertical="center" wrapText="1"/>
    </xf>
    <xf numFmtId="178" fontId="7" fillId="100" borderId="11" xfId="0" applyNumberFormat="1" applyFont="1" applyFill="1" applyBorder="1" applyAlignment="1">
      <alignment horizontal="center" vertical="center" wrapText="1"/>
    </xf>
    <xf numFmtId="178" fontId="7" fillId="41" borderId="10" xfId="0" applyNumberFormat="1" applyFont="1" applyFill="1" applyBorder="1" applyAlignment="1">
      <alignment horizontal="center" vertical="center" wrapText="1"/>
    </xf>
    <xf numFmtId="178" fontId="7" fillId="41" borderId="11" xfId="0" applyNumberFormat="1" applyFont="1" applyFill="1" applyBorder="1" applyAlignment="1">
      <alignment horizontal="center" vertical="center" wrapText="1"/>
    </xf>
    <xf numFmtId="178" fontId="1" fillId="5" borderId="2" xfId="0" applyNumberFormat="1" applyFont="1" applyFill="1" applyBorder="1" applyAlignment="1">
      <alignment horizontal="center" vertical="center" wrapText="1"/>
    </xf>
    <xf numFmtId="178" fontId="1" fillId="96" borderId="11" xfId="0" applyNumberFormat="1" applyFont="1" applyFill="1" applyBorder="1" applyAlignment="1">
      <alignment horizontal="center" vertical="center"/>
    </xf>
    <xf numFmtId="178" fontId="1" fillId="97" borderId="1" xfId="0" applyNumberFormat="1" applyFont="1" applyFill="1" applyBorder="1" applyAlignment="1">
      <alignment horizontal="center" vertical="center"/>
    </xf>
    <xf numFmtId="178" fontId="1" fillId="97" borderId="10" xfId="0" applyNumberFormat="1" applyFont="1" applyFill="1" applyBorder="1" applyAlignment="1">
      <alignment horizontal="center" vertical="center"/>
    </xf>
    <xf numFmtId="178" fontId="3" fillId="97" borderId="1" xfId="0" applyNumberFormat="1" applyFont="1" applyFill="1" applyBorder="1" applyAlignment="1">
      <alignment horizontal="center" vertical="center"/>
    </xf>
    <xf numFmtId="178" fontId="1" fillId="97" borderId="11" xfId="0" applyNumberFormat="1" applyFont="1" applyFill="1" applyBorder="1" applyAlignment="1">
      <alignment horizontal="center" vertical="center"/>
    </xf>
    <xf numFmtId="178" fontId="9" fillId="98" borderId="1" xfId="0" applyNumberFormat="1" applyFont="1" applyFill="1" applyBorder="1" applyAlignment="1">
      <alignment horizontal="center" vertical="center"/>
    </xf>
    <xf numFmtId="178" fontId="1" fillId="98" borderId="10" xfId="0" applyNumberFormat="1" applyFont="1" applyFill="1" applyBorder="1" applyAlignment="1">
      <alignment horizontal="center" vertical="center"/>
    </xf>
    <xf numFmtId="178" fontId="18" fillId="98" borderId="1" xfId="0" applyNumberFormat="1" applyFont="1" applyFill="1" applyBorder="1" applyAlignment="1">
      <alignment horizontal="center" vertical="center"/>
    </xf>
    <xf numFmtId="178" fontId="1" fillId="98" borderId="11" xfId="0" applyNumberFormat="1" applyFont="1" applyFill="1" applyBorder="1" applyAlignment="1">
      <alignment horizontal="center" vertical="center"/>
    </xf>
    <xf numFmtId="178" fontId="9" fillId="99" borderId="1" xfId="0" applyNumberFormat="1" applyFont="1" applyFill="1" applyBorder="1" applyAlignment="1">
      <alignment horizontal="center" vertical="center"/>
    </xf>
    <xf numFmtId="178" fontId="1" fillId="99" borderId="10" xfId="0" applyNumberFormat="1" applyFont="1" applyFill="1" applyBorder="1" applyAlignment="1">
      <alignment horizontal="center" vertical="center"/>
    </xf>
    <xf numFmtId="178" fontId="18" fillId="99" borderId="1" xfId="0" applyNumberFormat="1" applyFont="1" applyFill="1" applyBorder="1" applyAlignment="1">
      <alignment horizontal="center" vertical="center"/>
    </xf>
    <xf numFmtId="178" fontId="1" fillId="99" borderId="11" xfId="0" applyNumberFormat="1" applyFont="1" applyFill="1" applyBorder="1" applyAlignment="1">
      <alignment horizontal="center" vertical="center"/>
    </xf>
    <xf numFmtId="178" fontId="9" fillId="100" borderId="1" xfId="0" applyNumberFormat="1" applyFont="1" applyFill="1" applyBorder="1" applyAlignment="1">
      <alignment horizontal="center" vertical="center"/>
    </xf>
    <xf numFmtId="178" fontId="1" fillId="100" borderId="10" xfId="0" applyNumberFormat="1" applyFont="1" applyFill="1" applyBorder="1" applyAlignment="1">
      <alignment horizontal="center" vertical="center"/>
    </xf>
    <xf numFmtId="178" fontId="18" fillId="100" borderId="1" xfId="0" applyNumberFormat="1" applyFont="1" applyFill="1" applyBorder="1" applyAlignment="1">
      <alignment horizontal="center" vertical="center"/>
    </xf>
    <xf numFmtId="178" fontId="1" fillId="100" borderId="11" xfId="0" applyNumberFormat="1" applyFont="1" applyFill="1" applyBorder="1" applyAlignment="1">
      <alignment horizontal="center" vertical="center"/>
    </xf>
    <xf numFmtId="178" fontId="1" fillId="13" borderId="2" xfId="0" applyNumberFormat="1" applyFont="1" applyFill="1" applyBorder="1" applyAlignment="1">
      <alignment horizontal="center" vertical="center"/>
    </xf>
    <xf numFmtId="178" fontId="1" fillId="13" borderId="10" xfId="0" applyNumberFormat="1" applyFont="1" applyFill="1" applyBorder="1" applyAlignment="1">
      <alignment horizontal="center" vertical="center"/>
    </xf>
    <xf numFmtId="178" fontId="7" fillId="97" borderId="10" xfId="0" applyNumberFormat="1" applyFont="1" applyFill="1" applyBorder="1" applyAlignment="1">
      <alignment horizontal="center" vertical="center"/>
    </xf>
    <xf numFmtId="178" fontId="7" fillId="41" borderId="10" xfId="0" applyNumberFormat="1" applyFont="1" applyFill="1" applyBorder="1" applyAlignment="1">
      <alignment horizontal="center" vertical="center"/>
    </xf>
    <xf numFmtId="178" fontId="7" fillId="11" borderId="10" xfId="0" applyNumberFormat="1" applyFont="1" applyFill="1" applyBorder="1" applyAlignment="1">
      <alignment horizontal="center" vertical="center"/>
    </xf>
    <xf numFmtId="178" fontId="7" fillId="5" borderId="10" xfId="0" applyNumberFormat="1" applyFont="1" applyFill="1" applyBorder="1" applyAlignment="1">
      <alignment horizontal="center" vertical="center"/>
    </xf>
    <xf numFmtId="178" fontId="14" fillId="97" borderId="1" xfId="0" applyNumberFormat="1" applyFont="1" applyFill="1" applyBorder="1" applyAlignment="1">
      <alignment horizontal="center" vertical="center" wrapText="1"/>
    </xf>
    <xf numFmtId="178" fontId="13" fillId="97" borderId="1" xfId="0" applyNumberFormat="1" applyFont="1" applyFill="1" applyBorder="1" applyAlignment="1">
      <alignment horizontal="center" vertical="center"/>
    </xf>
    <xf numFmtId="178" fontId="7" fillId="97" borderId="1" xfId="0" applyNumberFormat="1" applyFont="1" applyFill="1" applyBorder="1" applyAlignment="1">
      <alignment horizontal="center" vertical="center"/>
    </xf>
    <xf numFmtId="178" fontId="14" fillId="21" borderId="2" xfId="0" applyNumberFormat="1" applyFont="1" applyFill="1" applyBorder="1" applyAlignment="1">
      <alignment horizontal="center" vertical="center" wrapText="1"/>
    </xf>
    <xf numFmtId="178" fontId="13" fillId="21" borderId="2" xfId="0" applyNumberFormat="1" applyFont="1" applyFill="1" applyBorder="1" applyAlignment="1">
      <alignment horizontal="center" vertical="center"/>
    </xf>
    <xf numFmtId="178" fontId="14" fillId="21" borderId="10" xfId="0" applyNumberFormat="1" applyFont="1" applyFill="1" applyBorder="1" applyAlignment="1">
      <alignment horizontal="center" vertical="center" wrapText="1"/>
    </xf>
    <xf numFmtId="178" fontId="13" fillId="21" borderId="10" xfId="0" applyNumberFormat="1" applyFont="1" applyFill="1" applyBorder="1" applyAlignment="1">
      <alignment horizontal="center" vertical="center"/>
    </xf>
    <xf numFmtId="178" fontId="3" fillId="21" borderId="10" xfId="0" applyNumberFormat="1" applyFont="1" applyFill="1" applyBorder="1" applyAlignment="1">
      <alignment horizontal="center" vertical="center"/>
    </xf>
    <xf numFmtId="178" fontId="3" fillId="21" borderId="2" xfId="0" applyNumberFormat="1" applyFont="1" applyFill="1" applyBorder="1" applyAlignment="1">
      <alignment horizontal="center" vertical="center"/>
    </xf>
    <xf numFmtId="178" fontId="3" fillId="21" borderId="11" xfId="0" applyNumberFormat="1" applyFont="1" applyFill="1" applyBorder="1" applyAlignment="1">
      <alignment horizontal="center" vertical="center"/>
    </xf>
    <xf numFmtId="178" fontId="14" fillId="21" borderId="11" xfId="0" applyNumberFormat="1" applyFont="1" applyFill="1" applyBorder="1" applyAlignment="1">
      <alignment horizontal="center" vertical="center" wrapText="1"/>
    </xf>
    <xf numFmtId="178" fontId="13" fillId="21" borderId="11" xfId="0" applyNumberFormat="1" applyFont="1" applyFill="1" applyBorder="1" applyAlignment="1">
      <alignment horizontal="center" vertical="center"/>
    </xf>
    <xf numFmtId="178" fontId="1" fillId="98" borderId="1" xfId="0" applyNumberFormat="1" applyFont="1" applyFill="1" applyBorder="1" applyAlignment="1">
      <alignment horizontal="center" vertical="center"/>
    </xf>
    <xf numFmtId="178" fontId="14" fillId="98" borderId="1" xfId="0" applyNumberFormat="1" applyFont="1" applyFill="1" applyBorder="1" applyAlignment="1">
      <alignment horizontal="center" vertical="center" wrapText="1"/>
    </xf>
    <xf numFmtId="178" fontId="13" fillId="98" borderId="1" xfId="0" applyNumberFormat="1" applyFont="1" applyFill="1" applyBorder="1" applyAlignment="1">
      <alignment horizontal="center" vertical="center"/>
    </xf>
    <xf numFmtId="178" fontId="1" fillId="98" borderId="2" xfId="0" applyNumberFormat="1" applyFont="1" applyFill="1" applyBorder="1" applyAlignment="1">
      <alignment horizontal="center" vertical="center"/>
    </xf>
    <xf numFmtId="178" fontId="14" fillId="98" borderId="2" xfId="0" applyNumberFormat="1" applyFont="1" applyFill="1" applyBorder="1" applyAlignment="1">
      <alignment horizontal="center" vertical="center" wrapText="1"/>
    </xf>
    <xf numFmtId="178" fontId="13" fillId="98" borderId="2" xfId="0" applyNumberFormat="1" applyFont="1" applyFill="1" applyBorder="1" applyAlignment="1">
      <alignment horizontal="center" vertical="center"/>
    </xf>
    <xf numFmtId="178" fontId="14" fillId="98" borderId="11" xfId="0" applyNumberFormat="1" applyFont="1" applyFill="1" applyBorder="1" applyAlignment="1">
      <alignment horizontal="center" vertical="center" wrapText="1"/>
    </xf>
    <xf numFmtId="178" fontId="13" fillId="98" borderId="11" xfId="0" applyNumberFormat="1" applyFont="1" applyFill="1" applyBorder="1" applyAlignment="1">
      <alignment horizontal="center" vertical="center"/>
    </xf>
    <xf numFmtId="178" fontId="3" fillId="98" borderId="1" xfId="0" applyNumberFormat="1" applyFont="1" applyFill="1" applyBorder="1" applyAlignment="1">
      <alignment horizontal="center" vertical="center"/>
    </xf>
    <xf numFmtId="178" fontId="7" fillId="98" borderId="1" xfId="0" applyNumberFormat="1" applyFont="1" applyFill="1" applyBorder="1" applyAlignment="1">
      <alignment horizontal="center" vertical="center"/>
    </xf>
    <xf numFmtId="178" fontId="1" fillId="99" borderId="1" xfId="0" applyNumberFormat="1" applyFont="1" applyFill="1" applyBorder="1" applyAlignment="1">
      <alignment horizontal="center" vertical="center"/>
    </xf>
    <xf numFmtId="178" fontId="14" fillId="99" borderId="1" xfId="0" applyNumberFormat="1" applyFont="1" applyFill="1" applyBorder="1" applyAlignment="1">
      <alignment horizontal="center" vertical="center" wrapText="1"/>
    </xf>
    <xf numFmtId="178" fontId="13" fillId="99" borderId="1" xfId="0" applyNumberFormat="1" applyFont="1" applyFill="1" applyBorder="1" applyAlignment="1">
      <alignment horizontal="center" vertical="center"/>
    </xf>
    <xf numFmtId="178" fontId="3" fillId="99" borderId="1" xfId="0" applyNumberFormat="1" applyFont="1" applyFill="1" applyBorder="1" applyAlignment="1">
      <alignment horizontal="center" vertical="center"/>
    </xf>
    <xf numFmtId="178" fontId="7" fillId="99" borderId="1" xfId="0" applyNumberFormat="1" applyFont="1" applyFill="1" applyBorder="1" applyAlignment="1">
      <alignment horizontal="center" vertical="center"/>
    </xf>
    <xf numFmtId="178" fontId="1" fillId="100" borderId="1" xfId="0" applyNumberFormat="1" applyFont="1" applyFill="1" applyBorder="1" applyAlignment="1">
      <alignment horizontal="center" vertical="center"/>
    </xf>
    <xf numFmtId="178" fontId="14" fillId="100" borderId="1" xfId="0" applyNumberFormat="1" applyFont="1" applyFill="1" applyBorder="1" applyAlignment="1">
      <alignment horizontal="center" vertical="center" wrapText="1"/>
    </xf>
    <xf numFmtId="178" fontId="13" fillId="100" borderId="1" xfId="0" applyNumberFormat="1" applyFont="1" applyFill="1" applyBorder="1" applyAlignment="1">
      <alignment horizontal="center" vertical="center"/>
    </xf>
    <xf numFmtId="178" fontId="3" fillId="100" borderId="1" xfId="0" applyNumberFormat="1" applyFont="1" applyFill="1" applyBorder="1" applyAlignment="1">
      <alignment horizontal="center" vertical="center"/>
    </xf>
    <xf numFmtId="178" fontId="7" fillId="100" borderId="1" xfId="0" applyNumberFormat="1" applyFont="1" applyFill="1" applyBorder="1" applyAlignment="1">
      <alignment horizontal="center" vertical="center"/>
    </xf>
    <xf numFmtId="178" fontId="1" fillId="41" borderId="1" xfId="0" applyNumberFormat="1" applyFont="1" applyFill="1" applyBorder="1" applyAlignment="1">
      <alignment horizontal="center" vertical="center"/>
    </xf>
    <xf numFmtId="178" fontId="1" fillId="41" borderId="1" xfId="0" applyNumberFormat="1" applyFont="1" applyFill="1" applyBorder="1" applyAlignment="1">
      <alignment horizontal="center" vertical="center" wrapText="1"/>
    </xf>
    <xf numFmtId="178" fontId="14" fillId="41" borderId="1" xfId="0" applyNumberFormat="1" applyFont="1" applyFill="1" applyBorder="1" applyAlignment="1">
      <alignment horizontal="center" vertical="center" wrapText="1"/>
    </xf>
    <xf numFmtId="178" fontId="14" fillId="11" borderId="1" xfId="0" applyNumberFormat="1" applyFont="1" applyFill="1" applyBorder="1" applyAlignment="1">
      <alignment horizontal="center" vertical="center" wrapText="1"/>
    </xf>
    <xf numFmtId="178" fontId="14" fillId="5" borderId="1" xfId="0" applyNumberFormat="1" applyFont="1" applyFill="1" applyBorder="1" applyAlignment="1">
      <alignment horizontal="center" vertical="center" wrapText="1"/>
    </xf>
    <xf numFmtId="178" fontId="14" fillId="5" borderId="2" xfId="0" applyNumberFormat="1" applyFont="1" applyFill="1" applyBorder="1" applyAlignment="1">
      <alignment horizontal="center" vertical="center" wrapText="1"/>
    </xf>
    <xf numFmtId="178" fontId="13" fillId="5" borderId="2" xfId="0" applyNumberFormat="1" applyFont="1" applyFill="1" applyBorder="1" applyAlignment="1">
      <alignment horizontal="center" vertical="center"/>
    </xf>
    <xf numFmtId="178" fontId="14" fillId="5" borderId="11" xfId="0" applyNumberFormat="1" applyFont="1" applyFill="1" applyBorder="1" applyAlignment="1">
      <alignment horizontal="center" vertical="center" wrapText="1"/>
    </xf>
    <xf numFmtId="178" fontId="12" fillId="5" borderId="1" xfId="0" applyNumberFormat="1" applyFont="1" applyFill="1" applyBorder="1" applyAlignment="1">
      <alignment horizontal="center" vertical="center"/>
    </xf>
    <xf numFmtId="178" fontId="14" fillId="6" borderId="1" xfId="0" applyNumberFormat="1" applyFont="1" applyFill="1" applyBorder="1" applyAlignment="1">
      <alignment horizontal="center" vertical="center" wrapText="1"/>
    </xf>
    <xf numFmtId="178" fontId="7" fillId="13" borderId="1" xfId="0" applyNumberFormat="1" applyFont="1" applyFill="1" applyBorder="1" applyAlignment="1">
      <alignment horizontal="center" vertical="center" wrapText="1"/>
    </xf>
    <xf numFmtId="178" fontId="14" fillId="13" borderId="1" xfId="0" applyNumberFormat="1" applyFont="1" applyFill="1" applyBorder="1" applyAlignment="1">
      <alignment horizontal="center" vertical="center" wrapText="1"/>
    </xf>
    <xf numFmtId="178" fontId="69" fillId="96" borderId="1" xfId="0" applyNumberFormat="1" applyFont="1" applyFill="1" applyBorder="1" applyAlignment="1">
      <alignment horizontal="center" vertical="center" wrapText="1"/>
    </xf>
    <xf numFmtId="178" fontId="70" fillId="96" borderId="1" xfId="0" applyNumberFormat="1" applyFont="1" applyFill="1" applyBorder="1" applyAlignment="1">
      <alignment horizontal="center" vertical="center"/>
    </xf>
    <xf numFmtId="178" fontId="69" fillId="97" borderId="1" xfId="0" applyNumberFormat="1" applyFont="1" applyFill="1" applyBorder="1" applyAlignment="1">
      <alignment horizontal="center" vertical="center" wrapText="1"/>
    </xf>
    <xf numFmtId="178" fontId="70" fillId="97" borderId="1" xfId="0" applyNumberFormat="1" applyFont="1" applyFill="1" applyBorder="1" applyAlignment="1">
      <alignment horizontal="center" vertical="center"/>
    </xf>
    <xf numFmtId="178" fontId="69" fillId="21" borderId="1" xfId="0" applyNumberFormat="1" applyFont="1" applyFill="1" applyBorder="1" applyAlignment="1">
      <alignment horizontal="center" vertical="center" wrapText="1"/>
    </xf>
    <xf numFmtId="178" fontId="70" fillId="21" borderId="1" xfId="0" applyNumberFormat="1" applyFont="1" applyFill="1" applyBorder="1" applyAlignment="1">
      <alignment horizontal="center" vertical="center"/>
    </xf>
    <xf numFmtId="178" fontId="71" fillId="21" borderId="1" xfId="0" applyNumberFormat="1" applyFont="1" applyFill="1" applyBorder="1" applyAlignment="1">
      <alignment horizontal="center" vertical="center"/>
    </xf>
    <xf numFmtId="178" fontId="3" fillId="98" borderId="2" xfId="0" applyNumberFormat="1" applyFont="1" applyFill="1" applyBorder="1" applyAlignment="1">
      <alignment horizontal="center" vertical="center"/>
    </xf>
    <xf numFmtId="178" fontId="3" fillId="98" borderId="11" xfId="0" applyNumberFormat="1" applyFont="1" applyFill="1" applyBorder="1" applyAlignment="1">
      <alignment horizontal="center" vertical="center"/>
    </xf>
    <xf numFmtId="178" fontId="69" fillId="98" borderId="1" xfId="0" applyNumberFormat="1" applyFont="1" applyFill="1" applyBorder="1" applyAlignment="1">
      <alignment horizontal="center" vertical="center" wrapText="1"/>
    </xf>
    <xf numFmtId="178" fontId="70" fillId="98" borderId="1" xfId="0" applyNumberFormat="1" applyFont="1" applyFill="1" applyBorder="1" applyAlignment="1">
      <alignment horizontal="center" vertical="center"/>
    </xf>
    <xf numFmtId="178" fontId="70" fillId="99" borderId="1" xfId="0" applyNumberFormat="1" applyFont="1" applyFill="1" applyBorder="1" applyAlignment="1">
      <alignment horizontal="center" vertical="center"/>
    </xf>
    <xf numFmtId="178" fontId="70" fillId="100" borderId="1" xfId="0" applyNumberFormat="1" applyFont="1" applyFill="1" applyBorder="1" applyAlignment="1">
      <alignment horizontal="center" vertical="center"/>
    </xf>
    <xf numFmtId="178" fontId="7" fillId="41" borderId="1" xfId="0" applyNumberFormat="1" applyFont="1" applyFill="1" applyBorder="1" applyAlignment="1">
      <alignment horizontal="center" vertical="center" wrapText="1"/>
    </xf>
    <xf numFmtId="178" fontId="18" fillId="11" borderId="1" xfId="0" applyNumberFormat="1" applyFont="1" applyFill="1" applyBorder="1" applyAlignment="1">
      <alignment horizontal="center" vertical="center"/>
    </xf>
    <xf numFmtId="178" fontId="8" fillId="11" borderId="1" xfId="0" applyNumberFormat="1" applyFont="1" applyFill="1" applyBorder="1" applyAlignment="1">
      <alignment horizontal="center" vertical="center" wrapText="1"/>
    </xf>
    <xf numFmtId="178" fontId="6" fillId="96" borderId="1" xfId="0" applyNumberFormat="1" applyFont="1" applyFill="1" applyBorder="1" applyAlignment="1">
      <alignment horizontal="center" vertical="center"/>
    </xf>
    <xf numFmtId="178" fontId="9" fillId="97" borderId="1" xfId="0" applyNumberFormat="1" applyFont="1" applyFill="1" applyBorder="1" applyAlignment="1">
      <alignment horizontal="center" vertical="center"/>
    </xf>
    <xf numFmtId="178" fontId="6" fillId="97" borderId="1" xfId="0" applyNumberFormat="1" applyFont="1" applyFill="1" applyBorder="1" applyAlignment="1">
      <alignment horizontal="center" vertical="center"/>
    </xf>
    <xf numFmtId="178" fontId="9" fillId="98" borderId="2" xfId="0" applyNumberFormat="1" applyFont="1" applyFill="1" applyBorder="1" applyAlignment="1">
      <alignment horizontal="center" vertical="center"/>
    </xf>
    <xf numFmtId="178" fontId="9" fillId="98" borderId="11" xfId="0" applyNumberFormat="1" applyFont="1" applyFill="1" applyBorder="1" applyAlignment="1">
      <alignment horizontal="center" vertical="center"/>
    </xf>
    <xf numFmtId="178" fontId="6" fillId="98" borderId="1" xfId="0" applyNumberFormat="1" applyFont="1" applyFill="1" applyBorder="1" applyAlignment="1">
      <alignment horizontal="center" vertical="center"/>
    </xf>
    <xf numFmtId="178" fontId="3" fillId="96" borderId="1" xfId="0" applyNumberFormat="1" applyFont="1" applyFill="1" applyBorder="1">
      <alignment vertical="center"/>
    </xf>
    <xf numFmtId="178" fontId="1" fillId="97" borderId="1" xfId="0" applyNumberFormat="1" applyFont="1" applyFill="1" applyBorder="1">
      <alignment vertical="center"/>
    </xf>
    <xf numFmtId="178" fontId="3" fillId="97" borderId="1" xfId="0" applyNumberFormat="1" applyFont="1" applyFill="1" applyBorder="1">
      <alignment vertical="center"/>
    </xf>
    <xf numFmtId="178" fontId="1" fillId="98" borderId="1" xfId="0" applyNumberFormat="1" applyFont="1" applyFill="1" applyBorder="1">
      <alignment vertical="center"/>
    </xf>
    <xf numFmtId="178" fontId="7" fillId="98" borderId="1" xfId="0" applyNumberFormat="1" applyFont="1" applyFill="1" applyBorder="1" applyAlignment="1">
      <alignment vertical="center" wrapText="1"/>
    </xf>
    <xf numFmtId="178" fontId="3" fillId="98" borderId="1" xfId="0" applyNumberFormat="1" applyFont="1" applyFill="1" applyBorder="1">
      <alignment vertical="center"/>
    </xf>
    <xf numFmtId="178" fontId="1" fillId="99" borderId="1" xfId="0" applyNumberFormat="1" applyFont="1" applyFill="1" applyBorder="1">
      <alignment vertical="center"/>
    </xf>
    <xf numFmtId="178" fontId="7" fillId="99" borderId="1" xfId="0" applyNumberFormat="1" applyFont="1" applyFill="1" applyBorder="1">
      <alignment vertical="center"/>
    </xf>
    <xf numFmtId="178" fontId="3" fillId="99" borderId="1" xfId="0" applyNumberFormat="1" applyFont="1" applyFill="1" applyBorder="1">
      <alignment vertical="center"/>
    </xf>
    <xf numFmtId="178" fontId="1" fillId="100" borderId="1" xfId="0" applyNumberFormat="1" applyFont="1" applyFill="1" applyBorder="1">
      <alignment vertical="center"/>
    </xf>
    <xf numFmtId="178" fontId="3" fillId="100" borderId="1" xfId="0" applyNumberFormat="1" applyFont="1" applyFill="1" applyBorder="1">
      <alignment vertical="center"/>
    </xf>
    <xf numFmtId="178" fontId="1" fillId="41" borderId="1" xfId="0" applyNumberFormat="1" applyFont="1" applyFill="1" applyBorder="1">
      <alignment vertical="center"/>
    </xf>
    <xf numFmtId="178" fontId="1" fillId="13" borderId="1" xfId="0" applyNumberFormat="1" applyFont="1" applyFill="1" applyBorder="1">
      <alignment vertical="center"/>
    </xf>
    <xf numFmtId="178" fontId="7" fillId="96" borderId="1" xfId="0" applyNumberFormat="1" applyFont="1" applyFill="1" applyBorder="1" applyAlignment="1">
      <alignment horizontal="left" vertical="center" wrapText="1"/>
    </xf>
    <xf numFmtId="178" fontId="11" fillId="97" borderId="1" xfId="0" applyNumberFormat="1" applyFont="1" applyFill="1" applyBorder="1" applyAlignment="1">
      <alignment horizontal="left" vertical="center" wrapText="1"/>
    </xf>
    <xf numFmtId="178" fontId="7" fillId="97" borderId="1" xfId="0" applyNumberFormat="1" applyFont="1" applyFill="1" applyBorder="1" applyAlignment="1">
      <alignment horizontal="left" vertical="center" wrapText="1"/>
    </xf>
    <xf numFmtId="178" fontId="11" fillId="21" borderId="1" xfId="0" applyNumberFormat="1" applyFont="1" applyFill="1" applyBorder="1" applyAlignment="1">
      <alignment horizontal="left" vertical="center" wrapText="1"/>
    </xf>
    <xf numFmtId="178" fontId="7" fillId="21" borderId="1" xfId="0" applyNumberFormat="1" applyFont="1" applyFill="1" applyBorder="1" applyAlignment="1">
      <alignment horizontal="left" vertical="center" wrapText="1"/>
    </xf>
    <xf numFmtId="178" fontId="11" fillId="98" borderId="1" xfId="0" applyNumberFormat="1" applyFont="1" applyFill="1" applyBorder="1" applyAlignment="1">
      <alignment horizontal="left" vertical="center" wrapText="1"/>
    </xf>
    <xf numFmtId="178" fontId="7" fillId="98" borderId="1" xfId="0" applyNumberFormat="1" applyFont="1" applyFill="1" applyBorder="1" applyAlignment="1">
      <alignment horizontal="left" vertical="center" wrapText="1"/>
    </xf>
    <xf numFmtId="178" fontId="11" fillId="99" borderId="1" xfId="0" applyNumberFormat="1" applyFont="1" applyFill="1" applyBorder="1" applyAlignment="1">
      <alignment horizontal="left" vertical="center" wrapText="1"/>
    </xf>
    <xf numFmtId="178" fontId="7" fillId="99" borderId="1" xfId="0" applyNumberFormat="1" applyFont="1" applyFill="1" applyBorder="1" applyAlignment="1">
      <alignment horizontal="left" vertical="center" wrapText="1"/>
    </xf>
    <xf numFmtId="178" fontId="11" fillId="100" borderId="1" xfId="0" applyNumberFormat="1" applyFont="1" applyFill="1" applyBorder="1" applyAlignment="1">
      <alignment horizontal="left" vertical="center" wrapText="1"/>
    </xf>
    <xf numFmtId="178" fontId="7" fillId="100" borderId="1" xfId="0" applyNumberFormat="1" applyFont="1" applyFill="1" applyBorder="1" applyAlignment="1">
      <alignment horizontal="left" vertical="center" wrapText="1"/>
    </xf>
    <xf numFmtId="178" fontId="11" fillId="41" borderId="1" xfId="0" applyNumberFormat="1" applyFont="1" applyFill="1" applyBorder="1" applyAlignment="1">
      <alignment horizontal="left" vertical="center" wrapText="1"/>
    </xf>
    <xf numFmtId="178" fontId="11" fillId="11" borderId="1" xfId="0" applyNumberFormat="1" applyFont="1" applyFill="1" applyBorder="1" applyAlignment="1">
      <alignment horizontal="left" vertical="center" wrapText="1"/>
    </xf>
    <xf numFmtId="178" fontId="11" fillId="5" borderId="1" xfId="0" applyNumberFormat="1" applyFont="1" applyFill="1" applyBorder="1" applyAlignment="1">
      <alignment horizontal="left" vertical="center" wrapText="1"/>
    </xf>
    <xf numFmtId="178" fontId="11" fillId="6" borderId="1" xfId="0" applyNumberFormat="1" applyFont="1" applyFill="1" applyBorder="1" applyAlignment="1">
      <alignment horizontal="left" vertical="center" wrapText="1"/>
    </xf>
    <xf numFmtId="178" fontId="11" fillId="13" borderId="1" xfId="0" applyNumberFormat="1" applyFont="1" applyFill="1" applyBorder="1" applyAlignment="1">
      <alignment horizontal="left" vertical="center" wrapText="1"/>
    </xf>
    <xf numFmtId="178" fontId="6" fillId="99" borderId="1" xfId="0" applyNumberFormat="1" applyFont="1" applyFill="1" applyBorder="1" applyAlignment="1">
      <alignment horizontal="center" vertical="center"/>
    </xf>
    <xf numFmtId="178" fontId="18" fillId="13" borderId="1" xfId="0" applyNumberFormat="1" applyFont="1" applyFill="1" applyBorder="1" applyAlignment="1">
      <alignment horizontal="center" vertical="center"/>
    </xf>
    <xf numFmtId="178" fontId="7" fillId="41" borderId="1" xfId="0" applyNumberFormat="1" applyFont="1" applyFill="1" applyBorder="1" applyAlignment="1">
      <alignment horizontal="center" vertical="center"/>
    </xf>
    <xf numFmtId="178" fontId="7" fillId="13" borderId="1" xfId="0" applyNumberFormat="1" applyFont="1" applyFill="1" applyBorder="1" applyAlignment="1">
      <alignment horizontal="center" vertical="center"/>
    </xf>
    <xf numFmtId="178" fontId="11" fillId="96" borderId="1" xfId="0" applyNumberFormat="1" applyFont="1" applyFill="1" applyBorder="1" applyAlignment="1">
      <alignment horizontal="center" vertical="center"/>
    </xf>
    <xf numFmtId="178" fontId="11" fillId="97" borderId="1" xfId="0" applyNumberFormat="1" applyFont="1" applyFill="1" applyBorder="1" applyAlignment="1">
      <alignment horizontal="center" vertical="center"/>
    </xf>
    <xf numFmtId="178" fontId="11" fillId="98" borderId="1" xfId="0" applyNumberFormat="1" applyFont="1" applyFill="1" applyBorder="1" applyAlignment="1">
      <alignment horizontal="center" vertical="center"/>
    </xf>
    <xf numFmtId="178" fontId="11" fillId="99" borderId="1" xfId="0" applyNumberFormat="1" applyFont="1" applyFill="1" applyBorder="1" applyAlignment="1">
      <alignment horizontal="center" vertical="center"/>
    </xf>
    <xf numFmtId="178" fontId="11" fillId="100" borderId="1" xfId="0" applyNumberFormat="1" applyFont="1" applyFill="1" applyBorder="1" applyAlignment="1">
      <alignment horizontal="center" vertical="center"/>
    </xf>
    <xf numFmtId="178" fontId="11" fillId="41" borderId="1" xfId="0" applyNumberFormat="1" applyFont="1" applyFill="1" applyBorder="1" applyAlignment="1">
      <alignment horizontal="center" vertical="center"/>
    </xf>
    <xf numFmtId="178" fontId="11" fillId="11" borderId="1" xfId="0" applyNumberFormat="1" applyFont="1" applyFill="1" applyBorder="1" applyAlignment="1">
      <alignment horizontal="center" vertical="center"/>
    </xf>
    <xf numFmtId="178" fontId="11" fillId="13" borderId="1" xfId="0" applyNumberFormat="1" applyFont="1" applyFill="1" applyBorder="1" applyAlignment="1">
      <alignment horizontal="center" vertical="center"/>
    </xf>
    <xf numFmtId="178" fontId="9" fillId="96" borderId="1" xfId="0" applyNumberFormat="1" applyFont="1" applyFill="1" applyBorder="1" applyAlignment="1">
      <alignment horizontal="center" vertical="center"/>
    </xf>
    <xf numFmtId="178" fontId="9" fillId="41" borderId="1" xfId="0" applyNumberFormat="1" applyFont="1" applyFill="1" applyBorder="1" applyAlignment="1">
      <alignment horizontal="center" vertical="center"/>
    </xf>
    <xf numFmtId="178" fontId="9" fillId="11" borderId="1" xfId="0" applyNumberFormat="1" applyFont="1" applyFill="1" applyBorder="1" applyAlignment="1">
      <alignment horizontal="center" vertical="center"/>
    </xf>
    <xf numFmtId="178" fontId="9" fillId="13" borderId="1" xfId="0" applyNumberFormat="1" applyFont="1" applyFill="1" applyBorder="1" applyAlignment="1">
      <alignment horizontal="center" vertical="center"/>
    </xf>
    <xf numFmtId="178" fontId="1" fillId="99" borderId="0" xfId="0" applyNumberFormat="1" applyFont="1" applyFill="1" applyBorder="1">
      <alignment vertical="center"/>
    </xf>
    <xf numFmtId="178" fontId="3" fillId="99" borderId="0" xfId="0" applyNumberFormat="1" applyFont="1" applyFill="1" applyBorder="1">
      <alignment vertical="center"/>
    </xf>
    <xf numFmtId="0" fontId="1" fillId="99" borderId="0" xfId="0" applyFont="1" applyFill="1" applyBorder="1">
      <alignment vertical="center"/>
    </xf>
    <xf numFmtId="0" fontId="3" fillId="99" borderId="0" xfId="0" applyFont="1" applyFill="1" applyBorder="1">
      <alignment vertical="center"/>
    </xf>
    <xf numFmtId="178" fontId="1" fillId="13" borderId="11" xfId="0" applyNumberFormat="1" applyFont="1" applyFill="1" applyBorder="1" applyAlignment="1">
      <alignment horizontal="center" vertical="center" wrapText="1"/>
    </xf>
    <xf numFmtId="178" fontId="7" fillId="101" borderId="2" xfId="0" applyNumberFormat="1" applyFont="1" applyFill="1" applyBorder="1" applyAlignment="1">
      <alignment horizontal="center" vertical="center" wrapText="1"/>
    </xf>
    <xf numFmtId="178" fontId="1" fillId="101" borderId="10" xfId="0" applyNumberFormat="1" applyFont="1" applyFill="1" applyBorder="1" applyAlignment="1">
      <alignment horizontal="center" vertical="center" wrapText="1"/>
    </xf>
    <xf numFmtId="178" fontId="1" fillId="101" borderId="11" xfId="0" applyNumberFormat="1" applyFont="1" applyFill="1" applyBorder="1" applyAlignment="1">
      <alignment horizontal="center" vertical="center" wrapText="1"/>
    </xf>
    <xf numFmtId="178" fontId="1" fillId="10" borderId="10" xfId="0" applyNumberFormat="1" applyFont="1" applyFill="1" applyBorder="1" applyAlignment="1">
      <alignment horizontal="center" vertical="center" wrapText="1"/>
    </xf>
    <xf numFmtId="178" fontId="1" fillId="10" borderId="11" xfId="0" applyNumberFormat="1" applyFont="1" applyFill="1" applyBorder="1" applyAlignment="1">
      <alignment horizontal="center" vertical="center" wrapText="1"/>
    </xf>
    <xf numFmtId="178" fontId="3" fillId="99" borderId="10" xfId="0" applyNumberFormat="1" applyFont="1" applyFill="1" applyBorder="1" applyAlignment="1">
      <alignment horizontal="center" vertical="center" wrapText="1"/>
    </xf>
    <xf numFmtId="178" fontId="1" fillId="99" borderId="10" xfId="0" applyNumberFormat="1" applyFont="1" applyFill="1" applyBorder="1" applyAlignment="1">
      <alignment horizontal="center" vertical="center" wrapText="1"/>
    </xf>
    <xf numFmtId="178" fontId="3" fillId="99" borderId="11" xfId="0" applyNumberFormat="1" applyFont="1" applyFill="1" applyBorder="1" applyAlignment="1">
      <alignment horizontal="center" vertical="center" wrapText="1"/>
    </xf>
    <xf numFmtId="178" fontId="1" fillId="99" borderId="11" xfId="0" applyNumberFormat="1" applyFont="1" applyFill="1" applyBorder="1" applyAlignment="1">
      <alignment horizontal="center" vertical="center" wrapText="1"/>
    </xf>
    <xf numFmtId="178" fontId="7" fillId="102" borderId="2" xfId="0" applyNumberFormat="1" applyFont="1" applyFill="1" applyBorder="1" applyAlignment="1">
      <alignment horizontal="center" vertical="center" wrapText="1"/>
    </xf>
    <xf numFmtId="178" fontId="1" fillId="102" borderId="10" xfId="0" applyNumberFormat="1" applyFont="1" applyFill="1" applyBorder="1" applyAlignment="1">
      <alignment horizontal="center" vertical="center" wrapText="1"/>
    </xf>
    <xf numFmtId="178" fontId="1" fillId="102" borderId="11" xfId="0" applyNumberFormat="1" applyFont="1" applyFill="1" applyBorder="1" applyAlignment="1">
      <alignment horizontal="center" vertical="center" wrapText="1"/>
    </xf>
    <xf numFmtId="178" fontId="7" fillId="22" borderId="2" xfId="0" applyNumberFormat="1" applyFont="1" applyFill="1" applyBorder="1" applyAlignment="1">
      <alignment horizontal="center" vertical="center" wrapText="1"/>
    </xf>
    <xf numFmtId="178" fontId="1" fillId="22" borderId="2" xfId="0" applyNumberFormat="1" applyFont="1" applyFill="1" applyBorder="1" applyAlignment="1">
      <alignment horizontal="center" vertical="center" wrapText="1"/>
    </xf>
    <xf numFmtId="178" fontId="1" fillId="22" borderId="10" xfId="0" applyNumberFormat="1" applyFont="1" applyFill="1" applyBorder="1" applyAlignment="1">
      <alignment horizontal="center" vertical="center" wrapText="1"/>
    </xf>
    <xf numFmtId="178" fontId="1" fillId="22" borderId="11" xfId="0" applyNumberFormat="1" applyFont="1" applyFill="1" applyBorder="1" applyAlignment="1">
      <alignment horizontal="center" vertical="center" wrapText="1"/>
    </xf>
    <xf numFmtId="178" fontId="7" fillId="78" borderId="2" xfId="0" applyNumberFormat="1" applyFont="1" applyFill="1" applyBorder="1" applyAlignment="1">
      <alignment horizontal="center" vertical="center" wrapText="1"/>
    </xf>
    <xf numFmtId="178" fontId="7" fillId="101" borderId="10" xfId="0" applyNumberFormat="1" applyFont="1" applyFill="1" applyBorder="1" applyAlignment="1">
      <alignment horizontal="center" vertical="center" wrapText="1"/>
    </xf>
    <xf numFmtId="178" fontId="7" fillId="101" borderId="11" xfId="0" applyNumberFormat="1" applyFont="1" applyFill="1" applyBorder="1" applyAlignment="1">
      <alignment horizontal="center" vertical="center" wrapText="1"/>
    </xf>
    <xf numFmtId="178" fontId="7" fillId="10" borderId="10" xfId="0" applyNumberFormat="1" applyFont="1" applyFill="1" applyBorder="1" applyAlignment="1">
      <alignment horizontal="center" vertical="center" wrapText="1"/>
    </xf>
    <xf numFmtId="178" fontId="7" fillId="102" borderId="10" xfId="0" applyNumberFormat="1" applyFont="1" applyFill="1" applyBorder="1" applyAlignment="1">
      <alignment horizontal="center" vertical="center" wrapText="1"/>
    </xf>
    <xf numFmtId="178" fontId="7" fillId="102" borderId="11" xfId="0" applyNumberFormat="1" applyFont="1" applyFill="1" applyBorder="1" applyAlignment="1">
      <alignment horizontal="center" vertical="center" wrapText="1"/>
    </xf>
    <xf numFmtId="178" fontId="7" fillId="22" borderId="10" xfId="0" applyNumberFormat="1" applyFont="1" applyFill="1" applyBorder="1" applyAlignment="1">
      <alignment horizontal="center" vertical="center" wrapText="1"/>
    </xf>
    <xf numFmtId="178" fontId="1" fillId="13" borderId="11" xfId="0" applyNumberFormat="1" applyFont="1" applyFill="1" applyBorder="1" applyAlignment="1">
      <alignment horizontal="center" vertical="center"/>
    </xf>
    <xf numFmtId="178" fontId="1" fillId="101" borderId="2" xfId="0" applyNumberFormat="1" applyFont="1" applyFill="1" applyBorder="1" applyAlignment="1">
      <alignment horizontal="center" vertical="center"/>
    </xf>
    <xf numFmtId="178" fontId="1" fillId="101" borderId="10" xfId="0" applyNumberFormat="1" applyFont="1" applyFill="1" applyBorder="1" applyAlignment="1">
      <alignment horizontal="center" vertical="center"/>
    </xf>
    <xf numFmtId="178" fontId="1" fillId="101" borderId="11" xfId="0" applyNumberFormat="1" applyFont="1" applyFill="1" applyBorder="1" applyAlignment="1">
      <alignment horizontal="center" vertical="center"/>
    </xf>
    <xf numFmtId="178" fontId="1" fillId="10" borderId="10" xfId="0" applyNumberFormat="1" applyFont="1" applyFill="1" applyBorder="1" applyAlignment="1">
      <alignment horizontal="center" vertical="center"/>
    </xf>
    <xf numFmtId="178" fontId="1" fillId="10" borderId="11" xfId="0" applyNumberFormat="1" applyFont="1" applyFill="1" applyBorder="1" applyAlignment="1">
      <alignment horizontal="center" vertical="center"/>
    </xf>
    <xf numFmtId="178" fontId="1" fillId="99" borderId="2" xfId="0" applyNumberFormat="1" applyFont="1" applyFill="1" applyBorder="1" applyAlignment="1">
      <alignment horizontal="center" vertical="center"/>
    </xf>
    <xf numFmtId="178" fontId="1" fillId="102" borderId="2" xfId="0" applyNumberFormat="1" applyFont="1" applyFill="1" applyBorder="1" applyAlignment="1">
      <alignment horizontal="center" vertical="center"/>
    </xf>
    <xf numFmtId="178" fontId="1" fillId="102" borderId="10" xfId="0" applyNumberFormat="1" applyFont="1" applyFill="1" applyBorder="1" applyAlignment="1">
      <alignment horizontal="center" vertical="center"/>
    </xf>
    <xf numFmtId="178" fontId="1" fillId="102" borderId="11" xfId="0" applyNumberFormat="1" applyFont="1" applyFill="1" applyBorder="1" applyAlignment="1">
      <alignment horizontal="center" vertical="center"/>
    </xf>
    <xf numFmtId="178" fontId="1" fillId="22" borderId="10" xfId="0" applyNumberFormat="1" applyFont="1" applyFill="1" applyBorder="1" applyAlignment="1">
      <alignment horizontal="center" vertical="center"/>
    </xf>
    <xf numFmtId="178" fontId="1" fillId="78" borderId="2" xfId="0" applyNumberFormat="1" applyFont="1" applyFill="1" applyBorder="1" applyAlignment="1">
      <alignment horizontal="center" vertical="center"/>
    </xf>
    <xf numFmtId="178" fontId="1" fillId="78" borderId="10" xfId="0" applyNumberFormat="1" applyFont="1" applyFill="1" applyBorder="1" applyAlignment="1">
      <alignment horizontal="center" vertical="center"/>
    </xf>
    <xf numFmtId="178" fontId="7" fillId="99" borderId="2" xfId="0" applyNumberFormat="1" applyFont="1" applyFill="1" applyBorder="1" applyAlignment="1">
      <alignment horizontal="center" vertical="center"/>
    </xf>
    <xf numFmtId="178" fontId="1" fillId="102" borderId="1" xfId="0" applyNumberFormat="1" applyFont="1" applyFill="1" applyBorder="1" applyAlignment="1">
      <alignment horizontal="center" vertical="center"/>
    </xf>
    <xf numFmtId="178" fontId="7" fillId="13" borderId="10" xfId="0" applyNumberFormat="1" applyFont="1" applyFill="1" applyBorder="1" applyAlignment="1">
      <alignment horizontal="center" vertical="center"/>
    </xf>
    <xf numFmtId="178" fontId="7" fillId="78" borderId="10" xfId="0" applyNumberFormat="1" applyFont="1" applyFill="1" applyBorder="1" applyAlignment="1">
      <alignment horizontal="center" vertical="center"/>
    </xf>
    <xf numFmtId="178" fontId="1" fillId="101" borderId="1" xfId="0" applyNumberFormat="1" applyFont="1" applyFill="1" applyBorder="1" applyAlignment="1">
      <alignment horizontal="center" vertical="center"/>
    </xf>
    <xf numFmtId="178" fontId="13" fillId="101" borderId="1" xfId="0" applyNumberFormat="1" applyFont="1" applyFill="1" applyBorder="1" applyAlignment="1">
      <alignment horizontal="center" vertical="center" wrapText="1"/>
    </xf>
    <xf numFmtId="178" fontId="14" fillId="101" borderId="1" xfId="0" applyNumberFormat="1" applyFont="1" applyFill="1" applyBorder="1" applyAlignment="1">
      <alignment horizontal="center" vertical="center" wrapText="1"/>
    </xf>
    <xf numFmtId="178" fontId="13" fillId="101" borderId="1" xfId="0" applyNumberFormat="1" applyFont="1" applyFill="1" applyBorder="1" applyAlignment="1">
      <alignment horizontal="center" vertical="center"/>
    </xf>
    <xf numFmtId="178" fontId="7" fillId="101" borderId="1" xfId="0" applyNumberFormat="1" applyFont="1" applyFill="1" applyBorder="1" applyAlignment="1">
      <alignment horizontal="center" vertical="center" wrapText="1"/>
    </xf>
    <xf numFmtId="178" fontId="14" fillId="21" borderId="1" xfId="0" applyNumberFormat="1" applyFont="1" applyFill="1" applyBorder="1" applyAlignment="1">
      <alignment horizontal="center" vertical="center" wrapText="1"/>
    </xf>
    <xf numFmtId="178" fontId="14" fillId="10" borderId="1" xfId="0" applyNumberFormat="1" applyFont="1" applyFill="1" applyBorder="1" applyAlignment="1">
      <alignment horizontal="center" vertical="center" wrapText="1"/>
    </xf>
    <xf numFmtId="178" fontId="14" fillId="99" borderId="2" xfId="0" applyNumberFormat="1" applyFont="1" applyFill="1" applyBorder="1" applyAlignment="1">
      <alignment horizontal="center" vertical="center" wrapText="1"/>
    </xf>
    <xf numFmtId="178" fontId="13" fillId="99" borderId="2" xfId="0" applyNumberFormat="1" applyFont="1" applyFill="1" applyBorder="1" applyAlignment="1">
      <alignment horizontal="center" vertical="center"/>
    </xf>
    <xf numFmtId="178" fontId="14" fillId="99" borderId="11" xfId="0" applyNumberFormat="1" applyFont="1" applyFill="1" applyBorder="1" applyAlignment="1">
      <alignment horizontal="center" vertical="center" wrapText="1"/>
    </xf>
    <xf numFmtId="178" fontId="13" fillId="99" borderId="11" xfId="0" applyNumberFormat="1" applyFont="1" applyFill="1" applyBorder="1" applyAlignment="1">
      <alignment horizontal="center" vertical="center"/>
    </xf>
    <xf numFmtId="178" fontId="7" fillId="102" borderId="1" xfId="0" applyNumberFormat="1" applyFont="1" applyFill="1" applyBorder="1" applyAlignment="1">
      <alignment horizontal="center" vertical="center" wrapText="1"/>
    </xf>
    <xf numFmtId="178" fontId="14" fillId="102" borderId="1" xfId="0" applyNumberFormat="1" applyFont="1" applyFill="1" applyBorder="1" applyAlignment="1">
      <alignment horizontal="center" vertical="center" wrapText="1"/>
    </xf>
    <xf numFmtId="178" fontId="13" fillId="102" borderId="1" xfId="0" applyNumberFormat="1" applyFont="1" applyFill="1" applyBorder="1" applyAlignment="1">
      <alignment horizontal="center" vertical="center"/>
    </xf>
    <xf numFmtId="178" fontId="7" fillId="22" borderId="1" xfId="0" applyNumberFormat="1" applyFont="1" applyFill="1" applyBorder="1" applyAlignment="1">
      <alignment horizontal="center" vertical="center" wrapText="1"/>
    </xf>
    <xf numFmtId="178" fontId="14" fillId="22" borderId="1" xfId="0" applyNumberFormat="1" applyFont="1" applyFill="1" applyBorder="1" applyAlignment="1">
      <alignment horizontal="center" vertical="center" wrapText="1"/>
    </xf>
    <xf numFmtId="178" fontId="3" fillId="13" borderId="1" xfId="0" applyNumberFormat="1" applyFont="1" applyFill="1" applyBorder="1" applyAlignment="1">
      <alignment horizontal="center" vertical="center" wrapText="1"/>
    </xf>
    <xf numFmtId="178" fontId="7" fillId="13" borderId="2" xfId="0" applyNumberFormat="1" applyFont="1" applyFill="1" applyBorder="1" applyAlignment="1">
      <alignment horizontal="center" vertical="center"/>
    </xf>
    <xf numFmtId="178" fontId="14" fillId="13" borderId="11" xfId="0" applyNumberFormat="1" applyFont="1" applyFill="1" applyBorder="1" applyAlignment="1">
      <alignment horizontal="center" vertical="center" wrapText="1"/>
    </xf>
    <xf numFmtId="178" fontId="13" fillId="13" borderId="11" xfId="0" applyNumberFormat="1" applyFont="1" applyFill="1" applyBorder="1" applyAlignment="1">
      <alignment horizontal="center" vertical="center"/>
    </xf>
    <xf numFmtId="178" fontId="1" fillId="13" borderId="1" xfId="0" applyNumberFormat="1" applyFont="1" applyFill="1" applyBorder="1" applyAlignment="1">
      <alignment horizontal="center" vertical="center" wrapText="1"/>
    </xf>
    <xf numFmtId="178" fontId="1" fillId="102" borderId="1" xfId="0" applyNumberFormat="1" applyFont="1" applyFill="1" applyBorder="1" applyAlignment="1">
      <alignment horizontal="center" vertical="center" wrapText="1"/>
    </xf>
    <xf numFmtId="178" fontId="1" fillId="78" borderId="1" xfId="0" applyNumberFormat="1" applyFont="1" applyFill="1" applyBorder="1" applyAlignment="1">
      <alignment horizontal="center" vertical="center" wrapText="1"/>
    </xf>
    <xf numFmtId="178" fontId="14" fillId="78" borderId="1" xfId="0" applyNumberFormat="1" applyFont="1" applyFill="1" applyBorder="1" applyAlignment="1">
      <alignment horizontal="center" vertical="center" wrapText="1"/>
    </xf>
    <xf numFmtId="178" fontId="13" fillId="78" borderId="1" xfId="0" applyNumberFormat="1" applyFont="1" applyFill="1" applyBorder="1" applyAlignment="1">
      <alignment horizontal="center" vertical="center"/>
    </xf>
    <xf numFmtId="178" fontId="6" fillId="13" borderId="1" xfId="0" applyNumberFormat="1" applyFont="1" applyFill="1" applyBorder="1" applyAlignment="1">
      <alignment horizontal="center" vertical="center"/>
    </xf>
    <xf numFmtId="178" fontId="11" fillId="13" borderId="1" xfId="0" applyNumberFormat="1" applyFont="1" applyFill="1" applyBorder="1" applyAlignment="1">
      <alignment horizontal="center" vertical="center" wrapText="1"/>
    </xf>
    <xf numFmtId="178" fontId="3" fillId="101" borderId="1" xfId="0" applyNumberFormat="1" applyFont="1" applyFill="1" applyBorder="1" applyAlignment="1">
      <alignment horizontal="center" vertical="center"/>
    </xf>
    <xf numFmtId="178" fontId="11" fillId="99" borderId="1" xfId="0" applyNumberFormat="1" applyFont="1" applyFill="1" applyBorder="1" applyAlignment="1">
      <alignment horizontal="center" vertical="center" wrapText="1"/>
    </xf>
    <xf numFmtId="178" fontId="3" fillId="102" borderId="1" xfId="0" applyNumberFormat="1" applyFont="1" applyFill="1" applyBorder="1" applyAlignment="1">
      <alignment horizontal="center" vertical="center"/>
    </xf>
    <xf numFmtId="178" fontId="70" fillId="22" borderId="1" xfId="0" applyNumberFormat="1" applyFont="1" applyFill="1" applyBorder="1" applyAlignment="1">
      <alignment horizontal="center" vertical="center"/>
    </xf>
    <xf numFmtId="178" fontId="69" fillId="22" borderId="1" xfId="0" applyNumberFormat="1" applyFont="1" applyFill="1" applyBorder="1" applyAlignment="1">
      <alignment horizontal="center" vertical="center" wrapText="1"/>
    </xf>
    <xf numFmtId="178" fontId="70" fillId="13" borderId="1" xfId="0" applyNumberFormat="1" applyFont="1" applyFill="1" applyBorder="1" applyAlignment="1">
      <alignment horizontal="center" vertical="center"/>
    </xf>
    <xf numFmtId="178" fontId="69" fillId="13" borderId="1" xfId="0" applyNumberFormat="1" applyFont="1" applyFill="1" applyBorder="1" applyAlignment="1">
      <alignment horizontal="center" vertical="center" wrapText="1"/>
    </xf>
    <xf numFmtId="178" fontId="8" fillId="21" borderId="1" xfId="0" applyNumberFormat="1" applyFont="1" applyFill="1" applyBorder="1" applyAlignment="1">
      <alignment horizontal="center" vertical="center" wrapText="1"/>
    </xf>
    <xf numFmtId="178" fontId="8" fillId="6" borderId="1" xfId="0" applyNumberFormat="1" applyFont="1" applyFill="1" applyBorder="1" applyAlignment="1">
      <alignment horizontal="center" vertical="center" wrapText="1"/>
    </xf>
    <xf numFmtId="178" fontId="8" fillId="13" borderId="1" xfId="0" applyNumberFormat="1" applyFont="1" applyFill="1" applyBorder="1" applyAlignment="1">
      <alignment horizontal="center" vertical="center"/>
    </xf>
    <xf numFmtId="178" fontId="8" fillId="13" borderId="1" xfId="0" applyNumberFormat="1" applyFont="1" applyFill="1" applyBorder="1" applyAlignment="1">
      <alignment horizontal="center" vertical="center" wrapText="1"/>
    </xf>
    <xf numFmtId="178" fontId="8" fillId="22" borderId="1" xfId="0" applyNumberFormat="1" applyFont="1" applyFill="1" applyBorder="1" applyAlignment="1">
      <alignment horizontal="center" vertical="center"/>
    </xf>
    <xf numFmtId="178" fontId="8" fillId="22" borderId="1" xfId="0" applyNumberFormat="1" applyFont="1" applyFill="1" applyBorder="1" applyAlignment="1">
      <alignment horizontal="center" vertical="center" wrapText="1"/>
    </xf>
    <xf numFmtId="178" fontId="18" fillId="22" borderId="1" xfId="0" applyNumberFormat="1" applyFont="1" applyFill="1" applyBorder="1" applyAlignment="1">
      <alignment horizontal="center" vertical="center"/>
    </xf>
    <xf numFmtId="178" fontId="8" fillId="102" borderId="1" xfId="0" applyNumberFormat="1" applyFont="1" applyFill="1" applyBorder="1" applyAlignment="1">
      <alignment horizontal="center" vertical="center"/>
    </xf>
    <xf numFmtId="178" fontId="8" fillId="102" borderId="1" xfId="0" applyNumberFormat="1" applyFont="1" applyFill="1" applyBorder="1" applyAlignment="1">
      <alignment horizontal="center" vertical="center" wrapText="1"/>
    </xf>
    <xf numFmtId="178" fontId="18" fillId="102" borderId="1" xfId="0" applyNumberFormat="1" applyFont="1" applyFill="1" applyBorder="1" applyAlignment="1">
      <alignment horizontal="center" vertical="center"/>
    </xf>
    <xf numFmtId="178" fontId="7" fillId="102" borderId="1" xfId="0" applyNumberFormat="1" applyFont="1" applyFill="1" applyBorder="1" applyAlignment="1">
      <alignment horizontal="center" vertical="center"/>
    </xf>
    <xf numFmtId="178" fontId="8" fillId="78" borderId="1" xfId="0" applyNumberFormat="1" applyFont="1" applyFill="1" applyBorder="1" applyAlignment="1">
      <alignment horizontal="center" vertical="center"/>
    </xf>
    <xf numFmtId="178" fontId="8" fillId="78" borderId="1" xfId="0" applyNumberFormat="1" applyFont="1" applyFill="1" applyBorder="1" applyAlignment="1">
      <alignment horizontal="center" vertical="center" wrapText="1"/>
    </xf>
    <xf numFmtId="178" fontId="18" fillId="78" borderId="1" xfId="0" applyNumberFormat="1" applyFont="1" applyFill="1" applyBorder="1" applyAlignment="1">
      <alignment horizontal="center" vertical="center"/>
    </xf>
    <xf numFmtId="178" fontId="6" fillId="102" borderId="1" xfId="0" applyNumberFormat="1" applyFont="1" applyFill="1" applyBorder="1" applyAlignment="1">
      <alignment horizontal="center" vertical="center"/>
    </xf>
    <xf numFmtId="178" fontId="6" fillId="22" borderId="1" xfId="0" applyNumberFormat="1" applyFont="1" applyFill="1" applyBorder="1" applyAlignment="1">
      <alignment horizontal="center" vertical="center"/>
    </xf>
    <xf numFmtId="178" fontId="1" fillId="101" borderId="1" xfId="0" applyNumberFormat="1" applyFont="1" applyFill="1" applyBorder="1">
      <alignment vertical="center"/>
    </xf>
    <xf numFmtId="178" fontId="1" fillId="10" borderId="1" xfId="0" applyNumberFormat="1" applyFont="1" applyFill="1" applyBorder="1">
      <alignment vertical="center"/>
    </xf>
    <xf numFmtId="178" fontId="1" fillId="102" borderId="1" xfId="0" applyNumberFormat="1" applyFont="1" applyFill="1" applyBorder="1">
      <alignment vertical="center"/>
    </xf>
    <xf numFmtId="178" fontId="1" fillId="22" borderId="1" xfId="0" applyNumberFormat="1" applyFont="1" applyFill="1" applyBorder="1">
      <alignment vertical="center"/>
    </xf>
    <xf numFmtId="178" fontId="3" fillId="13" borderId="1" xfId="0" applyNumberFormat="1" applyFont="1" applyFill="1" applyBorder="1">
      <alignment vertical="center"/>
    </xf>
    <xf numFmtId="178" fontId="1" fillId="78" borderId="1" xfId="0" applyNumberFormat="1" applyFont="1" applyFill="1" applyBorder="1">
      <alignment vertical="center"/>
    </xf>
    <xf numFmtId="178" fontId="11" fillId="101" borderId="1" xfId="0" applyNumberFormat="1" applyFont="1" applyFill="1" applyBorder="1" applyAlignment="1">
      <alignment horizontal="left" vertical="center" wrapText="1"/>
    </xf>
    <xf numFmtId="178" fontId="11" fillId="10" borderId="1" xfId="0" applyNumberFormat="1" applyFont="1" applyFill="1" applyBorder="1" applyAlignment="1">
      <alignment horizontal="left" vertical="center" wrapText="1"/>
    </xf>
    <xf numFmtId="178" fontId="11" fillId="102" borderId="1" xfId="0" applyNumberFormat="1" applyFont="1" applyFill="1" applyBorder="1" applyAlignment="1">
      <alignment horizontal="left" vertical="center" wrapText="1"/>
    </xf>
    <xf numFmtId="178" fontId="11" fillId="22" borderId="1" xfId="0" applyNumberFormat="1" applyFont="1" applyFill="1" applyBorder="1" applyAlignment="1">
      <alignment horizontal="left" vertical="center" wrapText="1"/>
    </xf>
    <xf numFmtId="178" fontId="7" fillId="13" borderId="1" xfId="0" applyNumberFormat="1" applyFont="1" applyFill="1" applyBorder="1" applyAlignment="1">
      <alignment horizontal="left" vertical="center" wrapText="1"/>
    </xf>
    <xf numFmtId="178" fontId="11" fillId="78" borderId="1" xfId="0" applyNumberFormat="1" applyFont="1" applyFill="1" applyBorder="1" applyAlignment="1">
      <alignment horizontal="left" vertical="center" wrapText="1"/>
    </xf>
    <xf numFmtId="178" fontId="18" fillId="101" borderId="1" xfId="0" applyNumberFormat="1" applyFont="1" applyFill="1" applyBorder="1" applyAlignment="1">
      <alignment horizontal="center" vertical="center"/>
    </xf>
    <xf numFmtId="178" fontId="7" fillId="101" borderId="1" xfId="0" applyNumberFormat="1" applyFont="1" applyFill="1" applyBorder="1" applyAlignment="1">
      <alignment horizontal="center" vertical="center"/>
    </xf>
    <xf numFmtId="178" fontId="7" fillId="10" borderId="1" xfId="0" applyNumberFormat="1" applyFont="1" applyFill="1" applyBorder="1" applyAlignment="1">
      <alignment horizontal="center" vertical="center"/>
    </xf>
    <xf numFmtId="178" fontId="7" fillId="78" borderId="1" xfId="0" applyNumberFormat="1" applyFont="1" applyFill="1" applyBorder="1" applyAlignment="1">
      <alignment horizontal="center" vertical="center"/>
    </xf>
    <xf numFmtId="178" fontId="11" fillId="101" borderId="1" xfId="0" applyNumberFormat="1" applyFont="1" applyFill="1" applyBorder="1" applyAlignment="1">
      <alignment horizontal="center" vertical="center"/>
    </xf>
    <xf numFmtId="178" fontId="11" fillId="10" borderId="1" xfId="0" applyNumberFormat="1" applyFont="1" applyFill="1" applyBorder="1" applyAlignment="1">
      <alignment horizontal="center" vertical="center"/>
    </xf>
    <xf numFmtId="178" fontId="11" fillId="102" borderId="1" xfId="0" applyNumberFormat="1" applyFont="1" applyFill="1" applyBorder="1" applyAlignment="1">
      <alignment horizontal="center" vertical="center"/>
    </xf>
    <xf numFmtId="178" fontId="11" fillId="22" borderId="1" xfId="0" applyNumberFormat="1" applyFont="1" applyFill="1" applyBorder="1" applyAlignment="1">
      <alignment horizontal="center" vertical="center"/>
    </xf>
    <xf numFmtId="178" fontId="11" fillId="78" borderId="1" xfId="0" applyNumberFormat="1" applyFont="1" applyFill="1" applyBorder="1" applyAlignment="1">
      <alignment horizontal="center" vertical="center"/>
    </xf>
    <xf numFmtId="178" fontId="9" fillId="101" borderId="1" xfId="0" applyNumberFormat="1" applyFont="1" applyFill="1" applyBorder="1" applyAlignment="1">
      <alignment horizontal="center" vertical="center"/>
    </xf>
    <xf numFmtId="178" fontId="9" fillId="10" borderId="1" xfId="0" applyNumberFormat="1" applyFont="1" applyFill="1" applyBorder="1" applyAlignment="1">
      <alignment horizontal="center" vertical="center"/>
    </xf>
    <xf numFmtId="178" fontId="9" fillId="102" borderId="1" xfId="0" applyNumberFormat="1" applyFont="1" applyFill="1" applyBorder="1" applyAlignment="1">
      <alignment horizontal="center" vertical="center"/>
    </xf>
    <xf numFmtId="178" fontId="9" fillId="22" borderId="1" xfId="0" applyNumberFormat="1" applyFont="1" applyFill="1" applyBorder="1" applyAlignment="1">
      <alignment horizontal="center" vertical="center"/>
    </xf>
    <xf numFmtId="178" fontId="9" fillId="78" borderId="1" xfId="0" applyNumberFormat="1" applyFont="1" applyFill="1" applyBorder="1" applyAlignment="1">
      <alignment horizontal="center" vertical="center"/>
    </xf>
    <xf numFmtId="178" fontId="1" fillId="78" borderId="10" xfId="0" applyNumberFormat="1" applyFont="1" applyFill="1" applyBorder="1" applyAlignment="1">
      <alignment horizontal="center" vertical="center" wrapText="1"/>
    </xf>
    <xf numFmtId="178" fontId="1" fillId="78" borderId="11" xfId="0" applyNumberFormat="1" applyFont="1" applyFill="1" applyBorder="1" applyAlignment="1">
      <alignment horizontal="center" vertical="center" wrapText="1"/>
    </xf>
    <xf numFmtId="178" fontId="7" fillId="8" borderId="1" xfId="0" applyNumberFormat="1" applyFont="1" applyFill="1" applyBorder="1" applyAlignment="1">
      <alignment horizontal="center" vertical="center" wrapText="1"/>
    </xf>
    <xf numFmtId="178" fontId="3" fillId="101" borderId="10" xfId="0" applyNumberFormat="1" applyFont="1" applyFill="1" applyBorder="1" applyAlignment="1">
      <alignment horizontal="center" vertical="center" wrapText="1"/>
    </xf>
    <xf numFmtId="178" fontId="3" fillId="101" borderId="11" xfId="0" applyNumberFormat="1" applyFont="1" applyFill="1" applyBorder="1" applyAlignment="1">
      <alignment horizontal="center" vertical="center" wrapText="1"/>
    </xf>
    <xf numFmtId="178" fontId="3" fillId="13" borderId="11" xfId="0" applyNumberFormat="1" applyFont="1" applyFill="1" applyBorder="1" applyAlignment="1">
      <alignment horizontal="center" vertical="center" wrapText="1"/>
    </xf>
    <xf numFmtId="178" fontId="7" fillId="26" borderId="2" xfId="0" applyNumberFormat="1" applyFont="1" applyFill="1" applyBorder="1" applyAlignment="1">
      <alignment horizontal="center" vertical="center" wrapText="1"/>
    </xf>
    <xf numFmtId="178" fontId="3" fillId="26" borderId="10" xfId="0" applyNumberFormat="1" applyFont="1" applyFill="1" applyBorder="1" applyAlignment="1">
      <alignment horizontal="center" vertical="center" wrapText="1"/>
    </xf>
    <xf numFmtId="178" fontId="1" fillId="26" borderId="11" xfId="0" applyNumberFormat="1" applyFont="1" applyFill="1" applyBorder="1" applyAlignment="1">
      <alignment horizontal="center" vertical="center" wrapText="1"/>
    </xf>
    <xf numFmtId="178" fontId="3" fillId="11" borderId="1" xfId="0" applyNumberFormat="1" applyFont="1" applyFill="1" applyBorder="1" applyAlignment="1">
      <alignment horizontal="center" vertical="center" wrapText="1"/>
    </xf>
    <xf numFmtId="178" fontId="3" fillId="11" borderId="10" xfId="0" applyNumberFormat="1" applyFont="1" applyFill="1" applyBorder="1" applyAlignment="1">
      <alignment horizontal="center" vertical="center" wrapText="1"/>
    </xf>
    <xf numFmtId="178" fontId="1" fillId="101" borderId="1" xfId="0" applyNumberFormat="1" applyFont="1" applyFill="1" applyBorder="1" applyAlignment="1">
      <alignment horizontal="center" vertical="center" wrapText="1"/>
    </xf>
    <xf numFmtId="178" fontId="7" fillId="78" borderId="10" xfId="0" applyNumberFormat="1" applyFont="1" applyFill="1" applyBorder="1" applyAlignment="1">
      <alignment horizontal="center" vertical="center" wrapText="1"/>
    </xf>
    <xf numFmtId="178" fontId="7" fillId="78" borderId="11" xfId="0" applyNumberFormat="1" applyFont="1" applyFill="1" applyBorder="1" applyAlignment="1">
      <alignment horizontal="center" vertical="center" wrapText="1"/>
    </xf>
    <xf numFmtId="178" fontId="1" fillId="8" borderId="10" xfId="0" applyNumberFormat="1" applyFont="1" applyFill="1" applyBorder="1" applyAlignment="1">
      <alignment horizontal="center" vertical="center" wrapText="1"/>
    </xf>
    <xf numFmtId="178" fontId="1" fillId="8" borderId="11" xfId="0" applyNumberFormat="1" applyFont="1" applyFill="1" applyBorder="1" applyAlignment="1">
      <alignment horizontal="center" vertical="center" wrapText="1"/>
    </xf>
    <xf numFmtId="178" fontId="7" fillId="26" borderId="10" xfId="0" applyNumberFormat="1" applyFont="1" applyFill="1" applyBorder="1" applyAlignment="1">
      <alignment horizontal="center" vertical="center" wrapText="1"/>
    </xf>
    <xf numFmtId="178" fontId="7" fillId="26" borderId="11" xfId="0" applyNumberFormat="1" applyFont="1" applyFill="1" applyBorder="1" applyAlignment="1">
      <alignment horizontal="center" vertical="center" wrapText="1"/>
    </xf>
    <xf numFmtId="178" fontId="3" fillId="21" borderId="10" xfId="0" applyNumberFormat="1" applyFont="1" applyFill="1" applyBorder="1" applyAlignment="1">
      <alignment horizontal="center" vertical="center" wrapText="1"/>
    </xf>
    <xf numFmtId="178" fontId="3" fillId="21" borderId="11" xfId="0" applyNumberFormat="1" applyFont="1" applyFill="1" applyBorder="1" applyAlignment="1">
      <alignment horizontal="center" vertical="center" wrapText="1"/>
    </xf>
    <xf numFmtId="178" fontId="1" fillId="78" borderId="11" xfId="0" applyNumberFormat="1" applyFont="1" applyFill="1" applyBorder="1" applyAlignment="1">
      <alignment horizontal="center" vertical="center"/>
    </xf>
    <xf numFmtId="178" fontId="1" fillId="8" borderId="10" xfId="0" applyNumberFormat="1" applyFont="1" applyFill="1" applyBorder="1" applyAlignment="1">
      <alignment horizontal="center" vertical="center"/>
    </xf>
    <xf numFmtId="178" fontId="1" fillId="8" borderId="11" xfId="0" applyNumberFormat="1" applyFont="1" applyFill="1" applyBorder="1" applyAlignment="1">
      <alignment horizontal="center" vertical="center"/>
    </xf>
    <xf numFmtId="178" fontId="3" fillId="101" borderId="10" xfId="0" applyNumberFormat="1" applyFont="1" applyFill="1" applyBorder="1" applyAlignment="1">
      <alignment horizontal="center" vertical="center"/>
    </xf>
    <xf numFmtId="178" fontId="3" fillId="13" borderId="11" xfId="0" applyNumberFormat="1" applyFont="1" applyFill="1" applyBorder="1" applyAlignment="1">
      <alignment horizontal="center" vertical="center"/>
    </xf>
    <xf numFmtId="178" fontId="3" fillId="26" borderId="2" xfId="0" applyNumberFormat="1" applyFont="1" applyFill="1" applyBorder="1" applyAlignment="1">
      <alignment horizontal="center" vertical="center"/>
    </xf>
    <xf numFmtId="178" fontId="1" fillId="26" borderId="10" xfId="0" applyNumberFormat="1" applyFont="1" applyFill="1" applyBorder="1" applyAlignment="1">
      <alignment horizontal="center" vertical="center"/>
    </xf>
    <xf numFmtId="178" fontId="3" fillId="26" borderId="10" xfId="0" applyNumberFormat="1" applyFont="1" applyFill="1" applyBorder="1" applyAlignment="1">
      <alignment horizontal="center" vertical="center"/>
    </xf>
    <xf numFmtId="178" fontId="1" fillId="26" borderId="11" xfId="0" applyNumberFormat="1" applyFont="1" applyFill="1" applyBorder="1" applyAlignment="1">
      <alignment horizontal="center" vertical="center"/>
    </xf>
    <xf numFmtId="178" fontId="7" fillId="8" borderId="10" xfId="0" applyNumberFormat="1" applyFont="1" applyFill="1" applyBorder="1" applyAlignment="1">
      <alignment horizontal="center" vertical="center"/>
    </xf>
    <xf numFmtId="178" fontId="7" fillId="101" borderId="10" xfId="0" applyNumberFormat="1" applyFont="1" applyFill="1" applyBorder="1" applyAlignment="1">
      <alignment horizontal="center" vertical="center"/>
    </xf>
    <xf numFmtId="178" fontId="14" fillId="8" borderId="1" xfId="0" applyNumberFormat="1" applyFont="1" applyFill="1" applyBorder="1" applyAlignment="1">
      <alignment horizontal="center" vertical="center" wrapText="1"/>
    </xf>
    <xf numFmtId="178" fontId="14" fillId="8" borderId="2" xfId="0" applyNumberFormat="1" applyFont="1" applyFill="1" applyBorder="1" applyAlignment="1">
      <alignment horizontal="center" vertical="center" wrapText="1"/>
    </xf>
    <xf numFmtId="178" fontId="14" fillId="8" borderId="11" xfId="0" applyNumberFormat="1" applyFont="1" applyFill="1" applyBorder="1" applyAlignment="1">
      <alignment horizontal="center" vertical="center" wrapText="1"/>
    </xf>
    <xf numFmtId="178" fontId="14" fillId="6" borderId="2" xfId="0" applyNumberFormat="1" applyFont="1" applyFill="1" applyBorder="1" applyAlignment="1">
      <alignment horizontal="center" vertical="center" wrapText="1"/>
    </xf>
    <xf numFmtId="178" fontId="14" fillId="6" borderId="11" xfId="0" applyNumberFormat="1" applyFont="1" applyFill="1" applyBorder="1" applyAlignment="1">
      <alignment horizontal="center" vertical="center" wrapText="1"/>
    </xf>
    <xf numFmtId="178" fontId="3" fillId="101" borderId="2" xfId="0" applyNumberFormat="1" applyFont="1" applyFill="1" applyBorder="1" applyAlignment="1">
      <alignment horizontal="center" vertical="center"/>
    </xf>
    <xf numFmtId="178" fontId="3" fillId="101" borderId="2" xfId="0" applyNumberFormat="1" applyFont="1" applyFill="1" applyBorder="1" applyAlignment="1">
      <alignment horizontal="center" vertical="center" wrapText="1"/>
    </xf>
    <xf numFmtId="178" fontId="7" fillId="101" borderId="2" xfId="0" applyNumberFormat="1" applyFont="1" applyFill="1" applyBorder="1" applyAlignment="1">
      <alignment horizontal="center" vertical="center"/>
    </xf>
    <xf numFmtId="178" fontId="14" fillId="101" borderId="11" xfId="0" applyNumberFormat="1" applyFont="1" applyFill="1" applyBorder="1" applyAlignment="1">
      <alignment horizontal="center" vertical="center" wrapText="1"/>
    </xf>
    <xf numFmtId="178" fontId="13" fillId="101" borderId="11" xfId="0" applyNumberFormat="1" applyFont="1" applyFill="1" applyBorder="1" applyAlignment="1">
      <alignment horizontal="center" vertical="center"/>
    </xf>
    <xf numFmtId="178" fontId="3" fillId="26" borderId="1" xfId="0" applyNumberFormat="1" applyFont="1" applyFill="1" applyBorder="1" applyAlignment="1">
      <alignment horizontal="center" vertical="center"/>
    </xf>
    <xf numFmtId="178" fontId="3" fillId="26" borderId="1" xfId="0" applyNumberFormat="1" applyFont="1" applyFill="1" applyBorder="1" applyAlignment="1">
      <alignment horizontal="center" vertical="center" wrapText="1"/>
    </xf>
    <xf numFmtId="178" fontId="7" fillId="26" borderId="1" xfId="0" applyNumberFormat="1" applyFont="1" applyFill="1" applyBorder="1" applyAlignment="1">
      <alignment horizontal="center" vertical="center" wrapText="1"/>
    </xf>
    <xf numFmtId="178" fontId="7" fillId="26" borderId="1" xfId="0" applyNumberFormat="1" applyFont="1" applyFill="1" applyBorder="1" applyAlignment="1">
      <alignment horizontal="center" vertical="center"/>
    </xf>
    <xf numFmtId="178" fontId="1" fillId="26" borderId="1" xfId="0" applyNumberFormat="1" applyFont="1" applyFill="1" applyBorder="1" applyAlignment="1">
      <alignment horizontal="center" vertical="center"/>
    </xf>
    <xf numFmtId="178" fontId="1" fillId="26" borderId="1" xfId="0" applyNumberFormat="1" applyFont="1" applyFill="1" applyBorder="1" applyAlignment="1">
      <alignment horizontal="center" vertical="center" wrapText="1"/>
    </xf>
    <xf numFmtId="178" fontId="14" fillId="26" borderId="1" xfId="0" applyNumberFormat="1" applyFont="1" applyFill="1" applyBorder="1" applyAlignment="1">
      <alignment horizontal="center" vertical="center" wrapText="1"/>
    </xf>
    <xf numFmtId="178" fontId="13" fillId="26" borderId="1" xfId="0" applyNumberFormat="1" applyFont="1" applyFill="1" applyBorder="1" applyAlignment="1">
      <alignment horizontal="center" vertical="center"/>
    </xf>
    <xf numFmtId="178" fontId="7" fillId="78" borderId="1" xfId="0" applyNumberFormat="1" applyFont="1" applyFill="1" applyBorder="1" applyAlignment="1">
      <alignment horizontal="center" vertical="center" wrapText="1"/>
    </xf>
    <xf numFmtId="178" fontId="8" fillId="8" borderId="1" xfId="0" applyNumberFormat="1" applyFont="1" applyFill="1" applyBorder="1" applyAlignment="1">
      <alignment horizontal="center" vertical="center"/>
    </xf>
    <xf numFmtId="178" fontId="8" fillId="8" borderId="1" xfId="0" applyNumberFormat="1" applyFont="1" applyFill="1" applyBorder="1" applyAlignment="1">
      <alignment horizontal="center" vertical="center" wrapText="1"/>
    </xf>
    <xf numFmtId="178" fontId="18" fillId="8" borderId="1" xfId="0" applyNumberFormat="1" applyFont="1" applyFill="1" applyBorder="1" applyAlignment="1">
      <alignment horizontal="center" vertical="center"/>
    </xf>
    <xf numFmtId="178" fontId="11" fillId="8" borderId="1" xfId="0" applyNumberFormat="1" applyFont="1" applyFill="1" applyBorder="1" applyAlignment="1">
      <alignment horizontal="center" vertical="center"/>
    </xf>
    <xf numFmtId="178" fontId="11" fillId="8" borderId="1" xfId="0" applyNumberFormat="1" applyFont="1" applyFill="1" applyBorder="1" applyAlignment="1">
      <alignment horizontal="center" vertical="center" wrapText="1"/>
    </xf>
    <xf numFmtId="178" fontId="6" fillId="8" borderId="1" xfId="0" applyNumberFormat="1" applyFont="1" applyFill="1" applyBorder="1" applyAlignment="1">
      <alignment horizontal="center" vertical="center"/>
    </xf>
    <xf numFmtId="178" fontId="11" fillId="6" borderId="1" xfId="0" applyNumberFormat="1" applyFont="1" applyFill="1" applyBorder="1" applyAlignment="1">
      <alignment horizontal="center" vertical="center" wrapText="1"/>
    </xf>
    <xf numFmtId="178" fontId="8" fillId="101" borderId="1" xfId="0" applyNumberFormat="1" applyFont="1" applyFill="1" applyBorder="1" applyAlignment="1">
      <alignment horizontal="center" vertical="center"/>
    </xf>
    <xf numFmtId="178" fontId="8" fillId="101" borderId="1" xfId="0" applyNumberFormat="1" applyFont="1" applyFill="1" applyBorder="1" applyAlignment="1">
      <alignment horizontal="center" vertical="center" wrapText="1"/>
    </xf>
    <xf numFmtId="178" fontId="11" fillId="101" borderId="1" xfId="0" applyNumberFormat="1" applyFont="1" applyFill="1" applyBorder="1" applyAlignment="1">
      <alignment horizontal="center" vertical="center" wrapText="1"/>
    </xf>
    <xf numFmtId="178" fontId="6" fillId="101" borderId="1" xfId="0" applyNumberFormat="1" applyFont="1" applyFill="1" applyBorder="1" applyAlignment="1">
      <alignment horizontal="center" vertical="center"/>
    </xf>
    <xf numFmtId="178" fontId="8" fillId="26" borderId="1" xfId="0" applyNumberFormat="1" applyFont="1" applyFill="1" applyBorder="1" applyAlignment="1">
      <alignment horizontal="center" vertical="center"/>
    </xf>
    <xf numFmtId="178" fontId="8" fillId="26" borderId="1" xfId="0" applyNumberFormat="1" applyFont="1" applyFill="1" applyBorder="1" applyAlignment="1">
      <alignment horizontal="center" vertical="center" wrapText="1"/>
    </xf>
    <xf numFmtId="178" fontId="18" fillId="26" borderId="1" xfId="0" applyNumberFormat="1" applyFont="1" applyFill="1" applyBorder="1" applyAlignment="1">
      <alignment horizontal="center" vertical="center"/>
    </xf>
    <xf numFmtId="178" fontId="8" fillId="11" borderId="1" xfId="0" applyNumberFormat="1" applyFont="1" applyFill="1" applyBorder="1" applyAlignment="1">
      <alignment horizontal="center" vertical="center"/>
    </xf>
    <xf numFmtId="178" fontId="12" fillId="21" borderId="1" xfId="0" applyNumberFormat="1" applyFont="1" applyFill="1" applyBorder="1" applyAlignment="1">
      <alignment horizontal="center" vertical="center"/>
    </xf>
    <xf numFmtId="178" fontId="11" fillId="21" borderId="1" xfId="0" applyNumberFormat="1" applyFont="1" applyFill="1" applyBorder="1" applyAlignment="1">
      <alignment horizontal="center" vertical="center" wrapText="1"/>
    </xf>
    <xf numFmtId="178" fontId="8" fillId="30" borderId="1" xfId="0" applyNumberFormat="1" applyFont="1" applyFill="1" applyBorder="1" applyAlignment="1">
      <alignment horizontal="center" vertical="center"/>
    </xf>
    <xf numFmtId="178" fontId="8" fillId="30" borderId="1" xfId="0" applyNumberFormat="1" applyFont="1" applyFill="1" applyBorder="1" applyAlignment="1">
      <alignment horizontal="center" vertical="center" wrapText="1"/>
    </xf>
    <xf numFmtId="178" fontId="18" fillId="30" borderId="1" xfId="0" applyNumberFormat="1" applyFont="1" applyFill="1" applyBorder="1" applyAlignment="1">
      <alignment horizontal="center" vertical="center"/>
    </xf>
    <xf numFmtId="178" fontId="72" fillId="30" borderId="1" xfId="0" applyNumberFormat="1" applyFont="1" applyFill="1" applyBorder="1" applyAlignment="1">
      <alignment horizontal="center" vertical="center"/>
    </xf>
    <xf numFmtId="178" fontId="19" fillId="30" borderId="1" xfId="0" applyNumberFormat="1" applyFont="1" applyFill="1" applyBorder="1" applyAlignment="1">
      <alignment horizontal="center" vertical="center"/>
    </xf>
    <xf numFmtId="178" fontId="1" fillId="8" borderId="1" xfId="0" applyNumberFormat="1" applyFont="1" applyFill="1" applyBorder="1">
      <alignment vertical="center"/>
    </xf>
    <xf numFmtId="178" fontId="3" fillId="101" borderId="1" xfId="0" applyNumberFormat="1" applyFont="1" applyFill="1" applyBorder="1">
      <alignment vertical="center"/>
    </xf>
    <xf numFmtId="178" fontId="3" fillId="26" borderId="1" xfId="0" applyNumberFormat="1" applyFont="1" applyFill="1" applyBorder="1">
      <alignment vertical="center"/>
    </xf>
    <xf numFmtId="178" fontId="1" fillId="26" borderId="1" xfId="0" applyNumberFormat="1" applyFont="1" applyFill="1" applyBorder="1">
      <alignment vertical="center"/>
    </xf>
    <xf numFmtId="178" fontId="17" fillId="21" borderId="1" xfId="0" applyNumberFormat="1" applyFont="1" applyFill="1" applyBorder="1" applyAlignment="1">
      <alignment vertical="center" wrapText="1"/>
    </xf>
    <xf numFmtId="178" fontId="6" fillId="78" borderId="1" xfId="0" applyNumberFormat="1" applyFont="1" applyFill="1" applyBorder="1" applyAlignment="1">
      <alignment horizontal="center" vertical="center"/>
    </xf>
    <xf numFmtId="178" fontId="7" fillId="30" borderId="1" xfId="0" applyNumberFormat="1" applyFont="1" applyFill="1" applyBorder="1">
      <alignment vertical="center"/>
    </xf>
    <xf numFmtId="178" fontId="11" fillId="8" borderId="1" xfId="0" applyNumberFormat="1" applyFont="1" applyFill="1" applyBorder="1" applyAlignment="1">
      <alignment horizontal="left" vertical="center" wrapText="1"/>
    </xf>
    <xf numFmtId="178" fontId="7" fillId="101" borderId="1" xfId="0" applyNumberFormat="1" applyFont="1" applyFill="1" applyBorder="1" applyAlignment="1">
      <alignment horizontal="left" vertical="center" wrapText="1"/>
    </xf>
    <xf numFmtId="178" fontId="7" fillId="26" borderId="1" xfId="0" applyNumberFormat="1" applyFont="1" applyFill="1" applyBorder="1" applyAlignment="1">
      <alignment horizontal="left" vertical="center" wrapText="1"/>
    </xf>
    <xf numFmtId="178" fontId="11" fillId="26" borderId="1" xfId="0" applyNumberFormat="1" applyFont="1" applyFill="1" applyBorder="1" applyAlignment="1">
      <alignment horizontal="left" vertical="center" wrapText="1"/>
    </xf>
    <xf numFmtId="178" fontId="7" fillId="11" borderId="1" xfId="0" applyNumberFormat="1" applyFont="1" applyFill="1" applyBorder="1" applyAlignment="1">
      <alignment horizontal="left" vertical="center" wrapText="1"/>
    </xf>
    <xf numFmtId="178" fontId="11" fillId="26" borderId="1" xfId="0" applyNumberFormat="1" applyFont="1" applyFill="1" applyBorder="1" applyAlignment="1">
      <alignment horizontal="center" vertical="center"/>
    </xf>
    <xf numFmtId="178" fontId="9" fillId="8" borderId="1" xfId="0" applyNumberFormat="1" applyFont="1" applyFill="1" applyBorder="1" applyAlignment="1">
      <alignment horizontal="center" vertical="center"/>
    </xf>
    <xf numFmtId="178" fontId="9" fillId="26" borderId="1" xfId="0" applyNumberFormat="1" applyFont="1" applyFill="1" applyBorder="1" applyAlignment="1">
      <alignment horizontal="center" vertical="center"/>
    </xf>
    <xf numFmtId="178" fontId="9" fillId="30" borderId="1" xfId="0" applyNumberFormat="1" applyFont="1" applyFill="1" applyBorder="1" applyAlignment="1">
      <alignment horizontal="center" vertical="center"/>
    </xf>
    <xf numFmtId="178" fontId="73" fillId="0" borderId="10" xfId="0" applyNumberFormat="1" applyFont="1" applyBorder="1" applyAlignment="1">
      <alignment horizontal="center" vertical="center" wrapText="1"/>
    </xf>
    <xf numFmtId="178" fontId="3" fillId="18" borderId="1" xfId="0" applyNumberFormat="1" applyFont="1" applyFill="1" applyBorder="1" applyAlignment="1">
      <alignment horizontal="center" vertical="center" wrapText="1"/>
    </xf>
    <xf numFmtId="178" fontId="1" fillId="10" borderId="1" xfId="0" applyNumberFormat="1" applyFont="1" applyFill="1" applyBorder="1" applyAlignment="1">
      <alignment horizontal="center" vertical="center" wrapText="1"/>
    </xf>
    <xf numFmtId="178" fontId="7" fillId="10" borderId="10" xfId="0" applyNumberFormat="1" applyFont="1" applyFill="1" applyBorder="1" applyAlignment="1">
      <alignment horizontal="center" vertical="center"/>
    </xf>
    <xf numFmtId="178" fontId="14" fillId="18" borderId="1" xfId="0" applyNumberFormat="1" applyFont="1" applyFill="1" applyBorder="1" applyAlignment="1">
      <alignment horizontal="center" vertical="center" wrapText="1"/>
    </xf>
    <xf numFmtId="178" fontId="14" fillId="43" borderId="1" xfId="0" applyNumberFormat="1" applyFont="1" applyFill="1" applyBorder="1" applyAlignment="1">
      <alignment horizontal="center" vertical="center" wrapText="1"/>
    </xf>
    <xf numFmtId="178" fontId="13" fillId="43" borderId="1" xfId="0" applyNumberFormat="1" applyFont="1" applyFill="1" applyBorder="1" applyAlignment="1">
      <alignment horizontal="center" vertical="center"/>
    </xf>
    <xf numFmtId="178" fontId="13" fillId="3" borderId="2" xfId="0" applyNumberFormat="1" applyFont="1" applyFill="1" applyBorder="1" applyAlignment="1">
      <alignment horizontal="center" vertical="center" wrapText="1"/>
    </xf>
    <xf numFmtId="178" fontId="13" fillId="3" borderId="2" xfId="0" applyNumberFormat="1" applyFont="1" applyFill="1" applyBorder="1" applyAlignment="1" applyProtection="1">
      <alignment horizontal="center" vertical="center" wrapText="1"/>
    </xf>
    <xf numFmtId="178" fontId="13" fillId="3" borderId="2" xfId="0" applyNumberFormat="1" applyFont="1" applyFill="1" applyBorder="1" applyAlignment="1">
      <alignment horizontal="center" vertical="center"/>
    </xf>
    <xf numFmtId="178" fontId="13" fillId="3" borderId="11" xfId="0" applyNumberFormat="1" applyFont="1" applyFill="1" applyBorder="1" applyAlignment="1">
      <alignment horizontal="center" vertical="center" wrapText="1"/>
    </xf>
    <xf numFmtId="178" fontId="13" fillId="3" borderId="11" xfId="0" applyNumberFormat="1" applyFont="1" applyFill="1" applyBorder="1" applyAlignment="1" applyProtection="1">
      <alignment horizontal="center" vertical="center" wrapText="1"/>
    </xf>
    <xf numFmtId="178" fontId="13" fillId="3" borderId="11" xfId="0" applyNumberFormat="1" applyFont="1" applyFill="1" applyBorder="1" applyAlignment="1">
      <alignment horizontal="center" vertical="center"/>
    </xf>
    <xf numFmtId="178" fontId="11" fillId="18" borderId="1" xfId="0" applyNumberFormat="1" applyFont="1" applyFill="1" applyBorder="1" applyAlignment="1">
      <alignment horizontal="center" vertical="center" wrapText="1"/>
    </xf>
    <xf numFmtId="178" fontId="11" fillId="43" borderId="1" xfId="0" applyNumberFormat="1" applyFont="1" applyFill="1" applyBorder="1" applyAlignment="1">
      <alignment horizontal="center" vertical="center"/>
    </xf>
    <xf numFmtId="178" fontId="11" fillId="43" borderId="1" xfId="0" applyNumberFormat="1" applyFont="1" applyFill="1" applyBorder="1" applyAlignment="1">
      <alignment horizontal="center" vertical="center" wrapText="1"/>
    </xf>
    <xf numFmtId="178" fontId="11" fillId="78" borderId="1" xfId="0" applyNumberFormat="1" applyFont="1" applyFill="1" applyBorder="1" applyAlignment="1">
      <alignment horizontal="center" vertical="center" wrapText="1"/>
    </xf>
    <xf numFmtId="178" fontId="7" fillId="3" borderId="2" xfId="0" applyNumberFormat="1" applyFont="1" applyFill="1" applyBorder="1" applyAlignment="1">
      <alignment horizontal="left" vertical="center"/>
    </xf>
    <xf numFmtId="178" fontId="7" fillId="3" borderId="10" xfId="0" applyNumberFormat="1" applyFont="1" applyFill="1" applyBorder="1" applyAlignment="1">
      <alignment horizontal="left" vertical="center"/>
    </xf>
    <xf numFmtId="178" fontId="7" fillId="3" borderId="11" xfId="0" applyNumberFormat="1" applyFont="1" applyFill="1" applyBorder="1" applyAlignment="1">
      <alignment horizontal="left" vertical="center"/>
    </xf>
    <xf numFmtId="178" fontId="11" fillId="18" borderId="1" xfId="0" applyNumberFormat="1" applyFont="1" applyFill="1" applyBorder="1" applyAlignment="1">
      <alignment horizontal="left" vertical="center" wrapText="1"/>
    </xf>
    <xf numFmtId="178" fontId="11" fillId="43" borderId="1" xfId="0" applyNumberFormat="1" applyFont="1" applyFill="1" applyBorder="1" applyAlignment="1">
      <alignment horizontal="left" vertical="center" wrapText="1"/>
    </xf>
    <xf numFmtId="178" fontId="11" fillId="3" borderId="1" xfId="0" applyNumberFormat="1" applyFont="1" applyFill="1" applyBorder="1" applyAlignment="1">
      <alignment horizontal="left" vertical="center" wrapText="1"/>
    </xf>
    <xf numFmtId="178" fontId="9" fillId="18" borderId="1" xfId="0" applyNumberFormat="1" applyFont="1" applyFill="1" applyBorder="1" applyAlignment="1">
      <alignment horizontal="center" vertical="center"/>
    </xf>
    <xf numFmtId="178" fontId="1" fillId="28" borderId="1" xfId="0" applyNumberFormat="1" applyFont="1" applyFill="1" applyBorder="1" applyAlignment="1">
      <alignment horizontal="center" vertical="center" wrapText="1"/>
    </xf>
    <xf numFmtId="178" fontId="7" fillId="28" borderId="1" xfId="0" applyNumberFormat="1" applyFont="1" applyFill="1" applyBorder="1" applyAlignment="1">
      <alignment horizontal="center" vertical="center"/>
    </xf>
    <xf numFmtId="178" fontId="1" fillId="28" borderId="10" xfId="0" applyNumberFormat="1" applyFont="1" applyFill="1" applyBorder="1" applyAlignment="1">
      <alignment horizontal="center" vertical="center" wrapText="1"/>
    </xf>
    <xf numFmtId="178" fontId="1" fillId="28" borderId="11" xfId="0" applyNumberFormat="1" applyFont="1" applyFill="1" applyBorder="1" applyAlignment="1">
      <alignment horizontal="center" vertical="center" wrapText="1"/>
    </xf>
    <xf numFmtId="178" fontId="7" fillId="28" borderId="10" xfId="0" applyNumberFormat="1" applyFont="1" applyFill="1" applyBorder="1" applyAlignment="1">
      <alignment horizontal="center" vertical="center" wrapText="1"/>
    </xf>
    <xf numFmtId="178" fontId="7" fillId="28" borderId="11" xfId="0" applyNumberFormat="1" applyFont="1" applyFill="1" applyBorder="1" applyAlignment="1">
      <alignment horizontal="center" vertical="center" wrapText="1"/>
    </xf>
    <xf numFmtId="178" fontId="47" fillId="28" borderId="1" xfId="0" applyNumberFormat="1" applyFont="1" applyFill="1" applyBorder="1" applyAlignment="1">
      <alignment horizontal="center" vertical="center"/>
    </xf>
    <xf numFmtId="178" fontId="74" fillId="0" borderId="1" xfId="6" applyNumberFormat="1" applyFont="1" applyBorder="1" applyAlignment="1">
      <alignment horizontal="center" vertical="center"/>
    </xf>
    <xf numFmtId="178" fontId="3" fillId="0" borderId="20" xfId="0" applyNumberFormat="1" applyFont="1" applyBorder="1" applyAlignment="1">
      <alignment horizontal="center" vertical="center"/>
    </xf>
    <xf numFmtId="178" fontId="2" fillId="0" borderId="1" xfId="0" applyNumberFormat="1" applyFont="1" applyBorder="1" applyAlignment="1">
      <alignment horizontal="justify" vertical="center" wrapText="1" indent="1"/>
    </xf>
    <xf numFmtId="178" fontId="2" fillId="0" borderId="1" xfId="0" applyNumberFormat="1" applyFont="1" applyFill="1" applyBorder="1" applyAlignment="1">
      <alignment horizontal="justify" vertical="center" wrapText="1" indent="1"/>
    </xf>
    <xf numFmtId="178" fontId="75" fillId="0" borderId="1" xfId="0" applyNumberFormat="1" applyFont="1" applyBorder="1" applyAlignment="1">
      <alignment horizontal="center" vertical="center" wrapText="1"/>
    </xf>
    <xf numFmtId="178" fontId="75" fillId="0" borderId="1" xfId="0" applyNumberFormat="1" applyFont="1" applyBorder="1" applyAlignment="1">
      <alignment horizontal="center" vertical="center"/>
    </xf>
    <xf numFmtId="178" fontId="2" fillId="0" borderId="1" xfId="0" applyNumberFormat="1" applyFont="1" applyBorder="1" applyAlignment="1">
      <alignment horizontal="justify" vertical="center"/>
    </xf>
    <xf numFmtId="178" fontId="7" fillId="0" borderId="1" xfId="0" applyNumberFormat="1" applyFont="1" applyBorder="1" applyAlignment="1">
      <alignment horizontal="justify" vertical="center"/>
    </xf>
    <xf numFmtId="178" fontId="2" fillId="0" borderId="1" xfId="0" applyNumberFormat="1" applyFont="1" applyBorder="1" applyAlignment="1">
      <alignment vertical="center" wrapText="1"/>
    </xf>
    <xf numFmtId="178" fontId="2" fillId="0" borderId="1" xfId="0" applyNumberFormat="1" applyFont="1" applyBorder="1" applyAlignment="1">
      <alignment horizontal="justify" vertical="center" wrapText="1" indent="2"/>
    </xf>
    <xf numFmtId="178" fontId="7" fillId="0" borderId="29" xfId="0" applyNumberFormat="1" applyFont="1" applyBorder="1" applyAlignment="1">
      <alignment horizontal="center" vertical="center"/>
    </xf>
    <xf numFmtId="178" fontId="76" fillId="0" borderId="2" xfId="0" applyNumberFormat="1" applyFont="1" applyFill="1" applyBorder="1" applyAlignment="1">
      <alignment horizontal="center" vertical="center" wrapText="1"/>
    </xf>
    <xf numFmtId="178" fontId="76" fillId="0" borderId="10" xfId="0" applyNumberFormat="1" applyFont="1" applyFill="1" applyBorder="1" applyAlignment="1">
      <alignment horizontal="center" vertical="center" wrapText="1"/>
    </xf>
    <xf numFmtId="178" fontId="76" fillId="0" borderId="11" xfId="0" applyNumberFormat="1" applyFont="1" applyFill="1" applyBorder="1" applyAlignment="1">
      <alignment vertical="center" wrapText="1"/>
    </xf>
    <xf numFmtId="178" fontId="47" fillId="0" borderId="1" xfId="0" applyNumberFormat="1" applyFont="1" applyBorder="1" applyAlignment="1">
      <alignment horizontal="center" vertical="center" wrapText="1"/>
    </xf>
    <xf numFmtId="178" fontId="19" fillId="0" borderId="1" xfId="0" applyNumberFormat="1" applyFont="1" applyBorder="1" applyAlignment="1">
      <alignment horizontal="center" vertical="center" wrapText="1"/>
    </xf>
    <xf numFmtId="178" fontId="3" fillId="83" borderId="1" xfId="0" applyNumberFormat="1" applyFont="1" applyFill="1" applyBorder="1">
      <alignment vertical="center"/>
    </xf>
    <xf numFmtId="178" fontId="3" fillId="0" borderId="1" xfId="0" applyNumberFormat="1" applyFont="1" applyBorder="1" applyAlignment="1">
      <alignment vertical="center"/>
    </xf>
    <xf numFmtId="178" fontId="1" fillId="0" borderId="1" xfId="0" applyNumberFormat="1" applyFont="1" applyBorder="1" applyAlignment="1">
      <alignment vertical="center"/>
    </xf>
    <xf numFmtId="178" fontId="19" fillId="0" borderId="1" xfId="0" applyNumberFormat="1" applyFont="1" applyBorder="1" applyAlignment="1">
      <alignment horizontal="center" vertical="center"/>
    </xf>
    <xf numFmtId="178" fontId="9" fillId="0" borderId="1" xfId="0" applyNumberFormat="1" applyFont="1" applyBorder="1">
      <alignment vertical="center"/>
    </xf>
    <xf numFmtId="178" fontId="13" fillId="4" borderId="1" xfId="0" applyNumberFormat="1" applyFont="1" applyFill="1" applyBorder="1" applyAlignment="1">
      <alignment vertical="center"/>
    </xf>
    <xf numFmtId="178" fontId="11" fillId="4" borderId="1" xfId="0" applyNumberFormat="1" applyFont="1" applyFill="1" applyBorder="1" applyAlignment="1">
      <alignment vertical="center"/>
    </xf>
    <xf numFmtId="178" fontId="11" fillId="0" borderId="1" xfId="0" applyNumberFormat="1" applyFont="1" applyBorder="1">
      <alignment vertical="center"/>
    </xf>
    <xf numFmtId="178" fontId="1" fillId="28" borderId="10" xfId="0" applyNumberFormat="1" applyFont="1" applyFill="1" applyBorder="1" applyAlignment="1">
      <alignment horizontal="center" vertical="center"/>
    </xf>
    <xf numFmtId="178" fontId="1" fillId="28" borderId="11" xfId="0" applyNumberFormat="1" applyFont="1" applyFill="1" applyBorder="1" applyAlignment="1">
      <alignment horizontal="center" vertical="center"/>
    </xf>
    <xf numFmtId="178" fontId="46" fillId="0" borderId="2" xfId="6" applyNumberFormat="1" applyFont="1" applyBorder="1" applyAlignment="1">
      <alignment horizontal="center" vertical="center"/>
    </xf>
    <xf numFmtId="178" fontId="13" fillId="0" borderId="1" xfId="0" applyNumberFormat="1" applyFont="1" applyBorder="1" applyAlignment="1">
      <alignment horizontal="justify" vertical="center" wrapText="1" indent="2"/>
    </xf>
    <xf numFmtId="178" fontId="2" fillId="0" borderId="1" xfId="0" applyNumberFormat="1" applyFont="1" applyBorder="1" applyAlignment="1">
      <alignment horizontal="center" vertical="top" wrapText="1"/>
    </xf>
    <xf numFmtId="178" fontId="2" fillId="0" borderId="1" xfId="0" applyNumberFormat="1" applyFont="1" applyFill="1" applyBorder="1" applyAlignment="1">
      <alignment horizontal="center" vertical="top" wrapText="1"/>
    </xf>
    <xf numFmtId="178" fontId="47" fillId="0" borderId="1" xfId="0" applyNumberFormat="1" applyFont="1" applyBorder="1" applyAlignment="1">
      <alignment horizontal="center" vertical="center"/>
    </xf>
    <xf numFmtId="178" fontId="7" fillId="0" borderId="2" xfId="0" applyNumberFormat="1" applyFont="1" applyBorder="1" applyAlignment="1">
      <alignment horizontal="left" vertical="center"/>
    </xf>
    <xf numFmtId="178" fontId="1" fillId="0" borderId="10" xfId="0" applyNumberFormat="1" applyFont="1" applyBorder="1" applyAlignment="1">
      <alignment horizontal="left" vertical="center"/>
    </xf>
    <xf numFmtId="178" fontId="1" fillId="0" borderId="11" xfId="0" applyNumberFormat="1" applyFont="1" applyBorder="1" applyAlignment="1">
      <alignment horizontal="left" vertical="center"/>
    </xf>
    <xf numFmtId="178" fontId="6" fillId="0" borderId="1" xfId="0" applyNumberFormat="1" applyFont="1" applyFill="1" applyBorder="1" applyAlignment="1">
      <alignment vertical="center"/>
    </xf>
    <xf numFmtId="178" fontId="1" fillId="83" borderId="1" xfId="0" applyNumberFormat="1" applyFont="1" applyFill="1" applyBorder="1">
      <alignment vertical="center"/>
    </xf>
    <xf numFmtId="178" fontId="7" fillId="20" borderId="1" xfId="0" applyNumberFormat="1" applyFont="1" applyFill="1" applyBorder="1" applyAlignment="1">
      <alignment horizontal="center" vertical="center" wrapText="1"/>
    </xf>
    <xf numFmtId="178" fontId="1" fillId="20" borderId="1" xfId="0" applyNumberFormat="1" applyFont="1" applyFill="1" applyBorder="1" applyAlignment="1">
      <alignment horizontal="center" vertical="center" wrapText="1"/>
    </xf>
    <xf numFmtId="178" fontId="7" fillId="39" borderId="1" xfId="0" applyNumberFormat="1" applyFont="1" applyFill="1" applyBorder="1" applyAlignment="1">
      <alignment horizontal="center" vertical="center" wrapText="1"/>
    </xf>
    <xf numFmtId="178" fontId="1" fillId="39" borderId="1" xfId="0" applyNumberFormat="1" applyFont="1" applyFill="1" applyBorder="1" applyAlignment="1">
      <alignment horizontal="center" vertical="center" wrapText="1"/>
    </xf>
    <xf numFmtId="178" fontId="1" fillId="17" borderId="1" xfId="0" applyNumberFormat="1" applyFont="1" applyFill="1" applyBorder="1" applyAlignment="1">
      <alignment horizontal="center" vertical="center" wrapText="1"/>
    </xf>
    <xf numFmtId="178" fontId="7" fillId="20" borderId="2" xfId="0" applyNumberFormat="1" applyFont="1" applyFill="1" applyBorder="1" applyAlignment="1">
      <alignment horizontal="center" vertical="center" wrapText="1"/>
    </xf>
    <xf numFmtId="178" fontId="7" fillId="20" borderId="10" xfId="0" applyNumberFormat="1" applyFont="1" applyFill="1" applyBorder="1" applyAlignment="1">
      <alignment horizontal="center" vertical="center" wrapText="1"/>
    </xf>
    <xf numFmtId="178" fontId="7" fillId="20" borderId="11" xfId="0" applyNumberFormat="1" applyFont="1" applyFill="1" applyBorder="1" applyAlignment="1">
      <alignment horizontal="center" vertical="center" wrapText="1"/>
    </xf>
    <xf numFmtId="178" fontId="13" fillId="0" borderId="1" xfId="0" applyNumberFormat="1" applyFont="1" applyBorder="1" applyAlignment="1">
      <alignment horizontal="justify" vertical="center"/>
    </xf>
    <xf numFmtId="178" fontId="1" fillId="20" borderId="1" xfId="0" applyNumberFormat="1" applyFont="1" applyFill="1" applyBorder="1" applyAlignment="1">
      <alignment vertical="center" wrapText="1"/>
    </xf>
    <xf numFmtId="178" fontId="1" fillId="13" borderId="1" xfId="0" applyNumberFormat="1" applyFont="1" applyFill="1" applyBorder="1" applyAlignment="1">
      <alignment vertical="center" wrapText="1"/>
    </xf>
    <xf numFmtId="178" fontId="3" fillId="20" borderId="1" xfId="0" applyNumberFormat="1" applyFont="1" applyFill="1" applyBorder="1" applyAlignment="1">
      <alignment horizontal="center" vertical="center"/>
    </xf>
    <xf numFmtId="178" fontId="7" fillId="39" borderId="1" xfId="0" applyNumberFormat="1" applyFont="1" applyFill="1" applyBorder="1" applyAlignment="1">
      <alignment horizontal="center" vertical="center"/>
    </xf>
    <xf numFmtId="178" fontId="62" fillId="0" borderId="1" xfId="0" applyNumberFormat="1" applyFont="1" applyBorder="1" applyAlignment="1">
      <alignment horizontal="center" vertical="center"/>
    </xf>
    <xf numFmtId="178" fontId="62" fillId="13" borderId="1" xfId="0" applyNumberFormat="1" applyFont="1" applyFill="1" applyBorder="1" applyAlignment="1">
      <alignment horizontal="center" vertical="center"/>
    </xf>
    <xf numFmtId="178" fontId="3" fillId="20" borderId="1" xfId="0" applyNumberFormat="1" applyFont="1" applyFill="1" applyBorder="1" applyAlignment="1">
      <alignment horizontal="center" vertical="center" wrapText="1"/>
    </xf>
    <xf numFmtId="178" fontId="3" fillId="20" borderId="1" xfId="0" applyNumberFormat="1" applyFont="1" applyFill="1" applyBorder="1">
      <alignment vertical="center"/>
    </xf>
    <xf numFmtId="178" fontId="3" fillId="39" borderId="1" xfId="0" applyNumberFormat="1" applyFont="1" applyFill="1" applyBorder="1">
      <alignment vertical="center"/>
    </xf>
    <xf numFmtId="178" fontId="1" fillId="20" borderId="1" xfId="0" applyNumberFormat="1" applyFont="1" applyFill="1" applyBorder="1">
      <alignment vertical="center"/>
    </xf>
    <xf numFmtId="178" fontId="0" fillId="17" borderId="0" xfId="0" applyNumberFormat="1" applyFill="1" applyBorder="1">
      <alignment vertical="center"/>
    </xf>
    <xf numFmtId="178" fontId="7" fillId="23" borderId="1" xfId="0" applyNumberFormat="1" applyFont="1" applyFill="1" applyBorder="1" applyAlignment="1">
      <alignment horizontal="center" vertical="center" wrapText="1"/>
    </xf>
    <xf numFmtId="178" fontId="1" fillId="23" borderId="1" xfId="0" applyNumberFormat="1" applyFont="1" applyFill="1" applyBorder="1" applyAlignment="1">
      <alignment horizontal="center" vertical="center" wrapText="1"/>
    </xf>
    <xf numFmtId="178" fontId="19" fillId="0" borderId="1" xfId="0" applyNumberFormat="1" applyFont="1" applyFill="1" applyBorder="1" applyAlignment="1">
      <alignment horizontal="center" vertical="center" wrapText="1"/>
    </xf>
    <xf numFmtId="178" fontId="46" fillId="23" borderId="1" xfId="6" applyNumberFormat="1" applyFont="1" applyFill="1" applyBorder="1" applyAlignment="1">
      <alignment horizontal="center" vertical="center" wrapText="1"/>
    </xf>
    <xf numFmtId="178" fontId="19" fillId="0" borderId="2" xfId="0" applyNumberFormat="1" applyFont="1" applyFill="1" applyBorder="1" applyAlignment="1">
      <alignment horizontal="center" vertical="center" wrapText="1"/>
    </xf>
    <xf numFmtId="178" fontId="19" fillId="0" borderId="10" xfId="0" applyNumberFormat="1" applyFont="1" applyFill="1" applyBorder="1" applyAlignment="1">
      <alignment horizontal="center" vertical="center" wrapText="1"/>
    </xf>
    <xf numFmtId="178" fontId="19" fillId="0" borderId="11" xfId="0" applyNumberFormat="1" applyFont="1" applyFill="1" applyBorder="1" applyAlignment="1">
      <alignment horizontal="center" vertical="center" wrapText="1"/>
    </xf>
    <xf numFmtId="178" fontId="1" fillId="23" borderId="1" xfId="0" applyNumberFormat="1" applyFont="1" applyFill="1" applyBorder="1" applyAlignment="1">
      <alignment horizontal="center" vertical="center"/>
    </xf>
    <xf numFmtId="178" fontId="7" fillId="0" borderId="11" xfId="0" applyNumberFormat="1" applyFont="1" applyFill="1" applyBorder="1" applyAlignment="1">
      <alignment vertical="center" wrapText="1"/>
    </xf>
    <xf numFmtId="178" fontId="3" fillId="23" borderId="1" xfId="0" applyNumberFormat="1" applyFont="1" applyFill="1" applyBorder="1" applyAlignment="1">
      <alignment horizontal="center" vertical="center"/>
    </xf>
    <xf numFmtId="178" fontId="7" fillId="23" borderId="1" xfId="0" applyNumberFormat="1" applyFont="1" applyFill="1" applyBorder="1" applyAlignment="1">
      <alignment horizontal="center" vertical="center"/>
    </xf>
    <xf numFmtId="178" fontId="1" fillId="0" borderId="0" xfId="0" applyNumberFormat="1" applyFont="1" applyBorder="1" applyAlignment="1">
      <alignment horizontal="center" vertical="center" wrapText="1"/>
    </xf>
    <xf numFmtId="178" fontId="8" fillId="0" borderId="2" xfId="0" applyNumberFormat="1" applyFont="1" applyFill="1" applyBorder="1" applyAlignment="1">
      <alignment horizontal="center" vertical="center" wrapText="1"/>
    </xf>
    <xf numFmtId="178" fontId="8" fillId="0" borderId="11" xfId="0" applyNumberFormat="1" applyFont="1" applyFill="1" applyBorder="1" applyAlignment="1">
      <alignment horizontal="center" vertical="center" wrapText="1"/>
    </xf>
    <xf numFmtId="178" fontId="8" fillId="0" borderId="10" xfId="0" applyNumberFormat="1" applyFont="1" applyFill="1" applyBorder="1" applyAlignment="1">
      <alignment horizontal="center" vertical="center" wrapText="1"/>
    </xf>
    <xf numFmtId="178" fontId="17" fillId="0" borderId="1" xfId="0" applyNumberFormat="1" applyFont="1" applyFill="1" applyBorder="1" applyAlignment="1">
      <alignment horizontal="center" vertical="center"/>
    </xf>
    <xf numFmtId="178" fontId="0" fillId="0" borderId="1" xfId="0" applyNumberFormat="1" applyFill="1" applyBorder="1">
      <alignment vertical="center"/>
    </xf>
    <xf numFmtId="178" fontId="7" fillId="13" borderId="1" xfId="0" applyNumberFormat="1" applyFont="1" applyFill="1" applyBorder="1" applyAlignment="1">
      <alignment vertical="center" wrapText="1"/>
    </xf>
    <xf numFmtId="178" fontId="3" fillId="23" borderId="1" xfId="0" applyNumberFormat="1" applyFont="1" applyFill="1" applyBorder="1">
      <alignment vertical="center"/>
    </xf>
    <xf numFmtId="178" fontId="1" fillId="23" borderId="1" xfId="0" applyNumberFormat="1" applyFont="1" applyFill="1" applyBorder="1">
      <alignment vertical="center"/>
    </xf>
    <xf numFmtId="178" fontId="3" fillId="2" borderId="1" xfId="0" applyNumberFormat="1" applyFont="1" applyFill="1" applyBorder="1" applyAlignment="1">
      <alignment vertical="center" wrapText="1"/>
    </xf>
    <xf numFmtId="178" fontId="3" fillId="0" borderId="0" xfId="0" applyNumberFormat="1" applyFont="1" applyFill="1" applyBorder="1" applyAlignment="1">
      <alignment horizontal="center" vertical="center" wrapText="1"/>
    </xf>
    <xf numFmtId="178" fontId="0" fillId="0" borderId="0" xfId="0" applyNumberFormat="1" applyBorder="1" applyAlignment="1">
      <alignment vertical="center" wrapText="1"/>
    </xf>
    <xf numFmtId="178" fontId="6" fillId="13" borderId="1" xfId="0" applyNumberFormat="1" applyFont="1" applyFill="1" applyBorder="1">
      <alignment vertical="center"/>
    </xf>
    <xf numFmtId="178" fontId="6" fillId="2" borderId="1" xfId="0" applyNumberFormat="1" applyFont="1" applyFill="1" applyBorder="1" applyAlignment="1">
      <alignment vertical="center" wrapText="1"/>
    </xf>
    <xf numFmtId="178" fontId="54" fillId="2" borderId="1" xfId="0" applyNumberFormat="1" applyFont="1" applyFill="1" applyBorder="1" applyAlignment="1">
      <alignment horizontal="center" vertical="center"/>
    </xf>
    <xf numFmtId="178" fontId="9" fillId="0" borderId="1" xfId="0" applyNumberFormat="1" applyFont="1" applyFill="1" applyBorder="1">
      <alignment vertical="center"/>
    </xf>
    <xf numFmtId="178" fontId="0" fillId="0" borderId="0" xfId="0" applyNumberFormat="1" applyFill="1">
      <alignment vertical="center"/>
    </xf>
    <xf numFmtId="178" fontId="0" fillId="2" borderId="0" xfId="0" applyNumberFormat="1" applyFill="1" applyBorder="1">
      <alignment vertical="center"/>
    </xf>
    <xf numFmtId="178" fontId="3" fillId="45" borderId="1" xfId="0" applyNumberFormat="1" applyFont="1" applyFill="1" applyBorder="1" applyAlignment="1">
      <alignment horizontal="center" vertical="center"/>
    </xf>
    <xf numFmtId="178" fontId="7" fillId="45" borderId="1" xfId="0" applyNumberFormat="1" applyFont="1" applyFill="1" applyBorder="1" applyAlignment="1">
      <alignment horizontal="center" vertical="center" wrapText="1"/>
    </xf>
    <xf numFmtId="178" fontId="3" fillId="45" borderId="1" xfId="0" applyNumberFormat="1" applyFont="1" applyFill="1" applyBorder="1" applyAlignment="1">
      <alignment horizontal="center" vertical="center" wrapText="1"/>
    </xf>
    <xf numFmtId="178" fontId="77" fillId="3" borderId="1" xfId="0" applyNumberFormat="1" applyFont="1" applyFill="1" applyBorder="1" applyAlignment="1">
      <alignment horizontal="center" vertical="center" wrapText="1"/>
    </xf>
    <xf numFmtId="178" fontId="19" fillId="2" borderId="1" xfId="0" applyNumberFormat="1" applyFont="1" applyFill="1" applyBorder="1" applyAlignment="1">
      <alignment horizontal="center" vertical="center" wrapText="1"/>
    </xf>
    <xf numFmtId="178" fontId="46" fillId="3" borderId="1" xfId="6" applyNumberFormat="1" applyFont="1" applyFill="1" applyBorder="1" applyAlignment="1">
      <alignment horizontal="center" vertical="center"/>
    </xf>
    <xf numFmtId="178" fontId="46" fillId="43" borderId="1" xfId="6" applyNumberFormat="1" applyFont="1" applyFill="1" applyBorder="1" applyAlignment="1">
      <alignment horizontal="center" vertical="center"/>
    </xf>
    <xf numFmtId="178" fontId="46" fillId="45" borderId="1" xfId="6" applyNumberFormat="1" applyFont="1" applyFill="1" applyBorder="1" applyAlignment="1">
      <alignment horizontal="center" vertical="center"/>
    </xf>
    <xf numFmtId="178" fontId="3" fillId="2" borderId="1" xfId="0" applyNumberFormat="1" applyFont="1" applyFill="1" applyBorder="1" applyAlignment="1" applyProtection="1">
      <alignment horizontal="center" vertical="center" wrapText="1"/>
    </xf>
    <xf numFmtId="178" fontId="3" fillId="3" borderId="1" xfId="0" applyNumberFormat="1" applyFont="1" applyFill="1" applyBorder="1" applyAlignment="1" applyProtection="1">
      <alignment horizontal="center" vertical="center" wrapText="1"/>
    </xf>
    <xf numFmtId="178" fontId="2" fillId="3" borderId="1" xfId="0" applyNumberFormat="1" applyFont="1" applyFill="1" applyBorder="1" applyAlignment="1">
      <alignment horizontal="left" vertical="center" wrapText="1"/>
    </xf>
    <xf numFmtId="178" fontId="2" fillId="2" borderId="1" xfId="0" applyNumberFormat="1" applyFont="1" applyFill="1" applyBorder="1" applyAlignment="1">
      <alignment horizontal="left" vertical="center" wrapText="1"/>
    </xf>
    <xf numFmtId="178" fontId="7" fillId="45" borderId="1" xfId="0" applyNumberFormat="1" applyFont="1" applyFill="1" applyBorder="1" applyAlignment="1">
      <alignment horizontal="left" vertical="center" wrapText="1"/>
    </xf>
    <xf numFmtId="178" fontId="2" fillId="45" borderId="1" xfId="0" applyNumberFormat="1" applyFont="1" applyFill="1" applyBorder="1" applyAlignment="1">
      <alignment horizontal="center" vertical="center" wrapText="1"/>
    </xf>
    <xf numFmtId="178" fontId="7" fillId="45" borderId="1" xfId="0" applyNumberFormat="1" applyFont="1" applyFill="1" applyBorder="1" applyAlignment="1">
      <alignment horizontal="center" vertical="center"/>
    </xf>
    <xf numFmtId="178" fontId="2" fillId="45" borderId="1" xfId="0" applyNumberFormat="1" applyFont="1" applyFill="1" applyBorder="1" applyAlignment="1">
      <alignment horizontal="left" vertical="center" wrapText="1"/>
    </xf>
    <xf numFmtId="178" fontId="18" fillId="2" borderId="1" xfId="0" applyNumberFormat="1" applyFont="1" applyFill="1" applyBorder="1" applyAlignment="1">
      <alignment horizontal="center" vertical="center" wrapText="1"/>
    </xf>
    <xf numFmtId="178" fontId="19" fillId="45" borderId="1" xfId="0" applyNumberFormat="1" applyFont="1" applyFill="1" applyBorder="1" applyAlignment="1">
      <alignment horizontal="center" vertical="center"/>
    </xf>
    <xf numFmtId="178" fontId="4" fillId="45" borderId="1" xfId="0" applyNumberFormat="1" applyFont="1" applyFill="1" applyBorder="1">
      <alignment vertical="center"/>
    </xf>
    <xf numFmtId="178" fontId="4" fillId="0" borderId="0" xfId="0" applyNumberFormat="1" applyFont="1" applyBorder="1">
      <alignment vertical="center"/>
    </xf>
    <xf numFmtId="178" fontId="0" fillId="3" borderId="0" xfId="0" applyNumberFormat="1" applyFill="1" applyBorder="1">
      <alignment vertical="center"/>
    </xf>
    <xf numFmtId="178" fontId="1" fillId="45" borderId="1" xfId="0" applyNumberFormat="1" applyFont="1" applyFill="1" applyBorder="1" applyAlignment="1">
      <alignment horizontal="center" vertical="center"/>
    </xf>
    <xf numFmtId="178" fontId="7" fillId="63" borderId="1" xfId="0" applyNumberFormat="1" applyFont="1" applyFill="1" applyBorder="1" applyAlignment="1">
      <alignment horizontal="center" vertical="center" wrapText="1"/>
    </xf>
    <xf numFmtId="178" fontId="3" fillId="45" borderId="2" xfId="0" applyNumberFormat="1" applyFont="1" applyFill="1" applyBorder="1" applyAlignment="1">
      <alignment horizontal="center" vertical="center"/>
    </xf>
    <xf numFmtId="178" fontId="3" fillId="45" borderId="11" xfId="0" applyNumberFormat="1" applyFont="1" applyFill="1" applyBorder="1" applyAlignment="1">
      <alignment horizontal="center" vertical="center"/>
    </xf>
    <xf numFmtId="178" fontId="3" fillId="45" borderId="10" xfId="0" applyNumberFormat="1" applyFont="1" applyFill="1" applyBorder="1" applyAlignment="1">
      <alignment horizontal="center" vertical="center"/>
    </xf>
    <xf numFmtId="178" fontId="54" fillId="3" borderId="1" xfId="0" applyNumberFormat="1" applyFont="1" applyFill="1" applyBorder="1" applyAlignment="1">
      <alignment horizontal="center" vertical="center"/>
    </xf>
    <xf numFmtId="178" fontId="6" fillId="20" borderId="1" xfId="0" applyNumberFormat="1" applyFont="1" applyFill="1" applyBorder="1" applyAlignment="1">
      <alignment horizontal="center" vertical="center"/>
    </xf>
    <xf numFmtId="178" fontId="4" fillId="3" borderId="0" xfId="0" applyNumberFormat="1" applyFont="1" applyFill="1" applyBorder="1">
      <alignment vertical="center"/>
    </xf>
    <xf numFmtId="178" fontId="0" fillId="45" borderId="0" xfId="0" applyNumberFormat="1" applyFill="1" applyBorder="1">
      <alignment vertical="center"/>
    </xf>
    <xf numFmtId="178" fontId="0" fillId="6" borderId="0" xfId="0" applyNumberFormat="1" applyFill="1" applyBorder="1">
      <alignment vertical="center"/>
    </xf>
    <xf numFmtId="178" fontId="3" fillId="102" borderId="1" xfId="0" applyNumberFormat="1" applyFont="1" applyFill="1" applyBorder="1" applyAlignment="1">
      <alignment horizontal="center" vertical="center" wrapText="1"/>
    </xf>
    <xf numFmtId="178" fontId="3" fillId="29" borderId="1" xfId="0" applyNumberFormat="1" applyFont="1" applyFill="1" applyBorder="1" applyAlignment="1">
      <alignment horizontal="center" vertical="center" wrapText="1"/>
    </xf>
    <xf numFmtId="178" fontId="7" fillId="36" borderId="1" xfId="0" applyNumberFormat="1" applyFont="1" applyFill="1" applyBorder="1" applyAlignment="1">
      <alignment horizontal="center" vertical="center" wrapText="1"/>
    </xf>
    <xf numFmtId="178" fontId="3" fillId="6" borderId="2" xfId="0" applyNumberFormat="1" applyFont="1" applyFill="1" applyBorder="1" applyAlignment="1">
      <alignment horizontal="center" vertical="center" wrapText="1"/>
    </xf>
    <xf numFmtId="178" fontId="3" fillId="36" borderId="1" xfId="0" applyNumberFormat="1" applyFont="1" applyFill="1" applyBorder="1" applyAlignment="1">
      <alignment horizontal="center" vertical="center" wrapText="1"/>
    </xf>
    <xf numFmtId="178" fontId="3" fillId="18" borderId="2" xfId="0" applyNumberFormat="1" applyFont="1" applyFill="1" applyBorder="1" applyAlignment="1">
      <alignment horizontal="center" vertical="center" wrapText="1"/>
    </xf>
    <xf numFmtId="178" fontId="3" fillId="18" borderId="10" xfId="0" applyNumberFormat="1" applyFont="1" applyFill="1" applyBorder="1" applyAlignment="1">
      <alignment horizontal="center" vertical="center" wrapText="1"/>
    </xf>
    <xf numFmtId="178" fontId="3" fillId="18" borderId="11" xfId="0" applyNumberFormat="1" applyFont="1" applyFill="1" applyBorder="1" applyAlignment="1">
      <alignment horizontal="center" vertical="center" wrapText="1"/>
    </xf>
    <xf numFmtId="178" fontId="18" fillId="36" borderId="1" xfId="0" applyNumberFormat="1" applyFont="1" applyFill="1" applyBorder="1" applyAlignment="1">
      <alignment horizontal="center" vertical="center"/>
    </xf>
    <xf numFmtId="178" fontId="19" fillId="6" borderId="1" xfId="0" applyNumberFormat="1" applyFont="1" applyFill="1" applyBorder="1" applyAlignment="1">
      <alignment horizontal="center" vertical="center"/>
    </xf>
    <xf numFmtId="178" fontId="7" fillId="102" borderId="1" xfId="0" applyNumberFormat="1" applyFont="1" applyFill="1" applyBorder="1" applyAlignment="1">
      <alignment horizontal="left" vertical="center" wrapText="1"/>
    </xf>
    <xf numFmtId="178" fontId="7" fillId="18" borderId="1" xfId="0" applyNumberFormat="1" applyFont="1" applyFill="1" applyBorder="1" applyAlignment="1">
      <alignment horizontal="left" vertical="center" wrapText="1"/>
    </xf>
    <xf numFmtId="178" fontId="2" fillId="36" borderId="1" xfId="0" applyNumberFormat="1" applyFont="1" applyFill="1" applyBorder="1" applyAlignment="1">
      <alignment horizontal="center" vertical="center" wrapText="1"/>
    </xf>
    <xf numFmtId="178" fontId="2" fillId="18" borderId="1" xfId="0" applyNumberFormat="1" applyFont="1" applyFill="1" applyBorder="1" applyAlignment="1">
      <alignment horizontal="center" vertical="center" wrapText="1"/>
    </xf>
    <xf numFmtId="178" fontId="2" fillId="20" borderId="1" xfId="0" applyNumberFormat="1" applyFont="1" applyFill="1" applyBorder="1" applyAlignment="1">
      <alignment horizontal="center" vertical="center" wrapText="1"/>
    </xf>
    <xf numFmtId="178" fontId="3" fillId="103" borderId="1" xfId="0" applyNumberFormat="1" applyFont="1" applyFill="1" applyBorder="1" applyAlignment="1">
      <alignment horizontal="center" vertical="center"/>
    </xf>
    <xf numFmtId="178" fontId="54" fillId="2" borderId="1" xfId="0" applyNumberFormat="1" applyFont="1" applyFill="1" applyBorder="1" applyAlignment="1">
      <alignment horizontal="center" vertical="center" wrapText="1"/>
    </xf>
    <xf numFmtId="178" fontId="6" fillId="18" borderId="1" xfId="0" applyNumberFormat="1" applyFont="1" applyFill="1" applyBorder="1" applyAlignment="1">
      <alignment horizontal="center" vertical="center" wrapText="1"/>
    </xf>
    <xf numFmtId="178" fontId="54" fillId="18" borderId="1" xfId="0" applyNumberFormat="1" applyFont="1" applyFill="1" applyBorder="1" applyAlignment="1">
      <alignment horizontal="center" vertical="center" wrapText="1"/>
    </xf>
    <xf numFmtId="178" fontId="6" fillId="6" borderId="1" xfId="0" applyNumberFormat="1" applyFont="1" applyFill="1" applyBorder="1" applyAlignment="1">
      <alignment horizontal="center" vertical="center" wrapText="1"/>
    </xf>
    <xf numFmtId="178" fontId="54" fillId="6" borderId="1" xfId="0" applyNumberFormat="1" applyFont="1" applyFill="1" applyBorder="1" applyAlignment="1">
      <alignment horizontal="center" vertical="center" wrapText="1"/>
    </xf>
    <xf numFmtId="178" fontId="0" fillId="2" borderId="0" xfId="0" applyNumberFormat="1" applyFill="1" applyBorder="1" applyAlignment="1">
      <alignment vertical="center" wrapText="1"/>
    </xf>
    <xf numFmtId="178" fontId="54" fillId="0" borderId="1" xfId="0" applyNumberFormat="1" applyFont="1" applyBorder="1" applyAlignment="1">
      <alignment horizontal="center" vertical="center" wrapText="1"/>
    </xf>
    <xf numFmtId="178" fontId="54" fillId="36" borderId="1" xfId="0" applyNumberFormat="1" applyFont="1" applyFill="1" applyBorder="1" applyAlignment="1">
      <alignment horizontal="center" vertical="center"/>
    </xf>
    <xf numFmtId="178" fontId="0" fillId="18" borderId="0" xfId="0" applyNumberFormat="1" applyFill="1" applyBorder="1">
      <alignment vertical="center"/>
    </xf>
    <xf numFmtId="178" fontId="54" fillId="18" borderId="1" xfId="0" applyNumberFormat="1" applyFont="1" applyFill="1" applyBorder="1" applyAlignment="1">
      <alignment horizontal="center" vertical="center"/>
    </xf>
    <xf numFmtId="178" fontId="54" fillId="11" borderId="1" xfId="0" applyNumberFormat="1" applyFont="1" applyFill="1" applyBorder="1" applyAlignment="1">
      <alignment horizontal="center" vertical="center"/>
    </xf>
    <xf numFmtId="178" fontId="0" fillId="11" borderId="0" xfId="0" applyNumberFormat="1" applyFill="1" applyBorder="1">
      <alignment vertical="center"/>
    </xf>
    <xf numFmtId="178" fontId="54" fillId="6" borderId="1" xfId="0" applyNumberFormat="1" applyFont="1" applyFill="1" applyBorder="1" applyAlignment="1">
      <alignment horizontal="center" vertical="center"/>
    </xf>
    <xf numFmtId="178" fontId="54" fillId="20" borderId="1" xfId="0" applyNumberFormat="1" applyFont="1" applyFill="1" applyBorder="1" applyAlignment="1">
      <alignment horizontal="center" vertical="center"/>
    </xf>
    <xf numFmtId="178" fontId="0" fillId="2" borderId="1" xfId="0" applyNumberFormat="1" applyFill="1" applyBorder="1">
      <alignment vertical="center"/>
    </xf>
    <xf numFmtId="178" fontId="11" fillId="20" borderId="1" xfId="0" applyNumberFormat="1" applyFont="1" applyFill="1" applyBorder="1" applyAlignment="1">
      <alignment horizontal="center" vertical="center"/>
    </xf>
    <xf numFmtId="178" fontId="3" fillId="49" borderId="1" xfId="0" applyNumberFormat="1" applyFont="1" applyFill="1" applyBorder="1" applyAlignment="1">
      <alignment horizontal="center" vertical="center"/>
    </xf>
    <xf numFmtId="178" fontId="3" fillId="5" borderId="2" xfId="0" applyNumberFormat="1" applyFont="1" applyFill="1" applyBorder="1" applyAlignment="1">
      <alignment horizontal="center" vertical="center" wrapText="1"/>
    </xf>
    <xf numFmtId="178" fontId="3" fillId="5" borderId="10" xfId="0" applyNumberFormat="1" applyFont="1" applyFill="1" applyBorder="1" applyAlignment="1">
      <alignment horizontal="center" vertical="center" wrapText="1"/>
    </xf>
    <xf numFmtId="178" fontId="0" fillId="13" borderId="1" xfId="0" applyNumberFormat="1" applyFill="1" applyBorder="1">
      <alignment vertical="center"/>
    </xf>
    <xf numFmtId="178" fontId="3" fillId="29" borderId="2" xfId="0" applyNumberFormat="1" applyFont="1" applyFill="1" applyBorder="1" applyAlignment="1">
      <alignment horizontal="center" vertical="center"/>
    </xf>
    <xf numFmtId="178" fontId="3" fillId="29" borderId="10" xfId="0" applyNumberFormat="1" applyFont="1" applyFill="1" applyBorder="1" applyAlignment="1">
      <alignment horizontal="center" vertical="center"/>
    </xf>
    <xf numFmtId="178" fontId="3" fillId="29" borderId="11" xfId="0" applyNumberFormat="1" applyFont="1" applyFill="1" applyBorder="1" applyAlignment="1">
      <alignment horizontal="center" vertical="center"/>
    </xf>
    <xf numFmtId="178" fontId="3" fillId="11" borderId="11" xfId="0" applyNumberFormat="1" applyFont="1" applyFill="1" applyBorder="1" applyAlignment="1">
      <alignment horizontal="center" vertical="center"/>
    </xf>
    <xf numFmtId="178" fontId="3" fillId="49" borderId="1" xfId="0" applyNumberFormat="1" applyFont="1" applyFill="1" applyBorder="1" applyAlignment="1">
      <alignment horizontal="center" vertical="center" wrapText="1"/>
    </xf>
    <xf numFmtId="178" fontId="7" fillId="29" borderId="2" xfId="0" applyNumberFormat="1" applyFont="1" applyFill="1" applyBorder="1" applyAlignment="1">
      <alignment horizontal="center" vertical="center" wrapText="1"/>
    </xf>
    <xf numFmtId="178" fontId="7" fillId="29" borderId="10" xfId="0" applyNumberFormat="1" applyFont="1" applyFill="1" applyBorder="1" applyAlignment="1">
      <alignment horizontal="center" vertical="center" wrapText="1"/>
    </xf>
    <xf numFmtId="178" fontId="7" fillId="29" borderId="11" xfId="0" applyNumberFormat="1" applyFont="1" applyFill="1" applyBorder="1" applyAlignment="1">
      <alignment horizontal="center" vertical="center" wrapText="1"/>
    </xf>
    <xf numFmtId="178" fontId="7" fillId="10" borderId="1" xfId="0" applyNumberFormat="1" applyFont="1" applyFill="1" applyBorder="1" applyAlignment="1">
      <alignment horizontal="left" vertical="center" wrapText="1"/>
    </xf>
    <xf numFmtId="178" fontId="2" fillId="10" borderId="1" xfId="0" applyNumberFormat="1" applyFont="1" applyFill="1" applyBorder="1" applyAlignment="1">
      <alignment horizontal="center" vertical="center" wrapText="1"/>
    </xf>
    <xf numFmtId="178" fontId="54" fillId="0" borderId="1" xfId="0" applyNumberFormat="1" applyFont="1" applyBorder="1" applyAlignment="1">
      <alignment horizontal="center" vertical="center"/>
    </xf>
    <xf numFmtId="178" fontId="19" fillId="2" borderId="1" xfId="0" applyNumberFormat="1" applyFont="1" applyFill="1" applyBorder="1" applyAlignment="1">
      <alignment horizontal="center" vertical="center"/>
    </xf>
    <xf numFmtId="178" fontId="2" fillId="6" borderId="1" xfId="0" applyNumberFormat="1" applyFont="1" applyFill="1" applyBorder="1" applyAlignment="1">
      <alignment horizontal="left" vertical="center" wrapText="1"/>
    </xf>
    <xf numFmtId="178" fontId="2" fillId="6" borderId="11" xfId="0" applyNumberFormat="1" applyFont="1" applyFill="1" applyBorder="1" applyAlignment="1">
      <alignment horizontal="left" vertical="center" wrapText="1"/>
    </xf>
    <xf numFmtId="178" fontId="7" fillId="9" borderId="1" xfId="0" applyNumberFormat="1" applyFont="1" applyFill="1" applyBorder="1" applyAlignment="1">
      <alignment horizontal="center" vertical="center" wrapText="1"/>
    </xf>
    <xf numFmtId="178" fontId="78" fillId="6" borderId="1" xfId="0" applyNumberFormat="1" applyFont="1" applyFill="1" applyBorder="1" applyAlignment="1">
      <alignment horizontal="center" vertical="center"/>
    </xf>
    <xf numFmtId="178" fontId="7" fillId="9" borderId="1" xfId="0" applyNumberFormat="1" applyFont="1" applyFill="1" applyBorder="1" applyAlignment="1">
      <alignment horizontal="center" vertical="center"/>
    </xf>
    <xf numFmtId="178" fontId="6" fillId="9" borderId="1" xfId="0" applyNumberFormat="1" applyFont="1" applyFill="1" applyBorder="1" applyAlignment="1">
      <alignment horizontal="center" vertical="center"/>
    </xf>
    <xf numFmtId="178" fontId="79" fillId="13" borderId="1" xfId="0" applyNumberFormat="1" applyFont="1" applyFill="1" applyBorder="1" applyAlignment="1">
      <alignment horizontal="center" vertical="center"/>
    </xf>
    <xf numFmtId="178" fontId="6" fillId="5" borderId="1" xfId="0" applyNumberFormat="1" applyFont="1" applyFill="1" applyBorder="1" applyAlignment="1">
      <alignment horizontal="center" vertical="center" wrapText="1"/>
    </xf>
    <xf numFmtId="178" fontId="11" fillId="5" borderId="1" xfId="0" applyNumberFormat="1" applyFont="1" applyFill="1" applyBorder="1" applyAlignment="1">
      <alignment horizontal="center" vertical="center" wrapText="1"/>
    </xf>
    <xf numFmtId="178" fontId="78" fillId="6" borderId="1" xfId="0" applyNumberFormat="1" applyFont="1" applyFill="1" applyBorder="1">
      <alignment vertical="center"/>
    </xf>
    <xf numFmtId="178" fontId="78" fillId="6" borderId="2" xfId="0" applyNumberFormat="1" applyFont="1" applyFill="1" applyBorder="1">
      <alignment vertical="center"/>
    </xf>
    <xf numFmtId="178" fontId="78" fillId="6" borderId="11" xfId="0" applyNumberFormat="1" applyFont="1" applyFill="1" applyBorder="1">
      <alignment vertical="center"/>
    </xf>
    <xf numFmtId="178" fontId="78" fillId="10" borderId="1" xfId="0" applyNumberFormat="1" applyFont="1" applyFill="1" applyBorder="1" applyAlignment="1">
      <alignment horizontal="center" vertical="center"/>
    </xf>
    <xf numFmtId="178" fontId="54" fillId="13" borderId="1" xfId="0" applyNumberFormat="1" applyFont="1" applyFill="1" applyBorder="1" applyAlignment="1">
      <alignment horizontal="center" vertical="center"/>
    </xf>
    <xf numFmtId="178" fontId="54" fillId="10" borderId="1" xfId="0" applyNumberFormat="1" applyFont="1" applyFill="1" applyBorder="1" applyAlignment="1">
      <alignment horizontal="center" vertical="center"/>
    </xf>
    <xf numFmtId="178" fontId="0" fillId="5" borderId="0" xfId="0" applyNumberFormat="1" applyFill="1" applyBorder="1">
      <alignment vertical="center"/>
    </xf>
    <xf numFmtId="178" fontId="7" fillId="15" borderId="10" xfId="0" applyNumberFormat="1" applyFont="1" applyFill="1" applyBorder="1" applyAlignment="1">
      <alignment horizontal="center" vertical="center"/>
    </xf>
    <xf numFmtId="178" fontId="3" fillId="19" borderId="1" xfId="0" applyNumberFormat="1" applyFont="1" applyFill="1" applyBorder="1" applyAlignment="1">
      <alignment horizontal="center" vertical="center"/>
    </xf>
    <xf numFmtId="178" fontId="7" fillId="19" borderId="10" xfId="0" applyNumberFormat="1" applyFont="1" applyFill="1" applyBorder="1" applyAlignment="1">
      <alignment horizontal="center" vertical="center"/>
    </xf>
    <xf numFmtId="178" fontId="7" fillId="19" borderId="10" xfId="0" applyNumberFormat="1" applyFont="1" applyFill="1" applyBorder="1" applyAlignment="1">
      <alignment horizontal="center" vertical="center" wrapText="1"/>
    </xf>
    <xf numFmtId="178" fontId="7" fillId="22" borderId="10" xfId="0" applyNumberFormat="1" applyFont="1" applyFill="1" applyBorder="1" applyAlignment="1">
      <alignment horizontal="center" vertical="center"/>
    </xf>
    <xf numFmtId="178" fontId="3" fillId="46" borderId="1" xfId="0" applyNumberFormat="1" applyFont="1" applyFill="1" applyBorder="1" applyAlignment="1">
      <alignment horizontal="center" vertical="center"/>
    </xf>
    <xf numFmtId="178" fontId="7" fillId="46" borderId="10" xfId="0" applyNumberFormat="1" applyFont="1" applyFill="1" applyBorder="1" applyAlignment="1">
      <alignment horizontal="center" vertical="center"/>
    </xf>
    <xf numFmtId="178" fontId="7" fillId="46" borderId="10" xfId="0" applyNumberFormat="1" applyFont="1" applyFill="1" applyBorder="1" applyAlignment="1">
      <alignment horizontal="center" vertical="center" wrapText="1"/>
    </xf>
    <xf numFmtId="178" fontId="3" fillId="47" borderId="1" xfId="0" applyNumberFormat="1" applyFont="1" applyFill="1" applyBorder="1" applyAlignment="1">
      <alignment horizontal="center" vertical="center"/>
    </xf>
    <xf numFmtId="178" fontId="7" fillId="47" borderId="10" xfId="0" applyNumberFormat="1" applyFont="1" applyFill="1" applyBorder="1" applyAlignment="1">
      <alignment horizontal="center" vertical="center"/>
    </xf>
    <xf numFmtId="178" fontId="7" fillId="47" borderId="10" xfId="0" applyNumberFormat="1" applyFont="1" applyFill="1" applyBorder="1" applyAlignment="1">
      <alignment horizontal="center" vertical="center" wrapText="1"/>
    </xf>
    <xf numFmtId="178" fontId="7" fillId="9" borderId="10" xfId="0" applyNumberFormat="1" applyFont="1" applyFill="1" applyBorder="1" applyAlignment="1">
      <alignment horizontal="center" vertical="center"/>
    </xf>
    <xf numFmtId="178" fontId="7" fillId="9" borderId="10" xfId="0" applyNumberFormat="1" applyFont="1" applyFill="1" applyBorder="1" applyAlignment="1">
      <alignment horizontal="center" vertical="center" wrapText="1"/>
    </xf>
    <xf numFmtId="178" fontId="3" fillId="48" borderId="1" xfId="0" applyNumberFormat="1" applyFont="1" applyFill="1" applyBorder="1" applyAlignment="1">
      <alignment horizontal="center" vertical="center"/>
    </xf>
    <xf numFmtId="178" fontId="7" fillId="48" borderId="10" xfId="0" applyNumberFormat="1" applyFont="1" applyFill="1" applyBorder="1" applyAlignment="1">
      <alignment horizontal="center" vertical="center"/>
    </xf>
    <xf numFmtId="178" fontId="7" fillId="48" borderId="10" xfId="0" applyNumberFormat="1" applyFont="1" applyFill="1" applyBorder="1" applyAlignment="1">
      <alignment horizontal="center" vertical="center" wrapText="1"/>
    </xf>
    <xf numFmtId="178" fontId="7" fillId="48" borderId="11" xfId="0" applyNumberFormat="1" applyFont="1" applyFill="1" applyBorder="1" applyAlignment="1">
      <alignment horizontal="center" vertical="center"/>
    </xf>
    <xf numFmtId="178" fontId="7" fillId="48" borderId="11" xfId="0" applyNumberFormat="1" applyFont="1" applyFill="1" applyBorder="1" applyAlignment="1">
      <alignment horizontal="center" vertical="center" wrapText="1"/>
    </xf>
    <xf numFmtId="178" fontId="3" fillId="22" borderId="10" xfId="0" applyNumberFormat="1" applyFont="1" applyFill="1" applyBorder="1" applyAlignment="1">
      <alignment horizontal="center" vertical="center"/>
    </xf>
    <xf numFmtId="178" fontId="3" fillId="15" borderId="10" xfId="0" applyNumberFormat="1" applyFont="1" applyFill="1" applyBorder="1" applyAlignment="1">
      <alignment horizontal="center" vertical="center" wrapText="1"/>
    </xf>
    <xf numFmtId="178" fontId="3" fillId="15" borderId="11" xfId="0" applyNumberFormat="1" applyFont="1" applyFill="1" applyBorder="1" applyAlignment="1">
      <alignment horizontal="center" vertical="center" wrapText="1"/>
    </xf>
    <xf numFmtId="178" fontId="3" fillId="19" borderId="10" xfId="0" applyNumberFormat="1" applyFont="1" applyFill="1" applyBorder="1" applyAlignment="1">
      <alignment horizontal="center" vertical="center"/>
    </xf>
    <xf numFmtId="178" fontId="7" fillId="19" borderId="2" xfId="0" applyNumberFormat="1" applyFont="1" applyFill="1" applyBorder="1" applyAlignment="1">
      <alignment horizontal="center" vertical="center" wrapText="1"/>
    </xf>
    <xf numFmtId="178" fontId="3" fillId="19" borderId="11" xfId="0" applyNumberFormat="1" applyFont="1" applyFill="1" applyBorder="1" applyAlignment="1">
      <alignment horizontal="center" vertical="center"/>
    </xf>
    <xf numFmtId="178" fontId="7" fillId="22" borderId="2" xfId="0" applyNumberFormat="1" applyFont="1" applyFill="1" applyBorder="1" applyAlignment="1">
      <alignment horizontal="center" vertical="center"/>
    </xf>
    <xf numFmtId="178" fontId="3" fillId="22" borderId="11" xfId="0" applyNumberFormat="1" applyFont="1" applyFill="1" applyBorder="1" applyAlignment="1">
      <alignment horizontal="center" vertical="center"/>
    </xf>
    <xf numFmtId="178" fontId="3" fillId="46" borderId="10" xfId="0" applyNumberFormat="1" applyFont="1" applyFill="1" applyBorder="1" applyAlignment="1">
      <alignment horizontal="center" vertical="center"/>
    </xf>
    <xf numFmtId="178" fontId="3" fillId="47" borderId="10" xfId="0" applyNumberFormat="1" applyFont="1" applyFill="1" applyBorder="1" applyAlignment="1">
      <alignment horizontal="center" vertical="center"/>
    </xf>
    <xf numFmtId="178" fontId="7" fillId="104" borderId="1" xfId="0" applyNumberFormat="1" applyFont="1" applyFill="1" applyBorder="1" applyAlignment="1">
      <alignment horizontal="center" vertical="center"/>
    </xf>
    <xf numFmtId="178" fontId="3" fillId="104" borderId="1" xfId="0" applyNumberFormat="1" applyFont="1" applyFill="1" applyBorder="1" applyAlignment="1">
      <alignment horizontal="center" vertical="center"/>
    </xf>
    <xf numFmtId="178" fontId="3" fillId="9" borderId="10" xfId="0" applyNumberFormat="1" applyFont="1" applyFill="1" applyBorder="1" applyAlignment="1">
      <alignment horizontal="center" vertical="center"/>
    </xf>
    <xf numFmtId="178" fontId="3" fillId="48" borderId="10" xfId="0" applyNumberFormat="1" applyFont="1" applyFill="1" applyBorder="1" applyAlignment="1">
      <alignment horizontal="center" vertical="center"/>
    </xf>
    <xf numFmtId="178" fontId="7" fillId="48" borderId="1" xfId="0" applyNumberFormat="1" applyFont="1" applyFill="1" applyBorder="1" applyAlignment="1">
      <alignment horizontal="center" vertical="center"/>
    </xf>
    <xf numFmtId="178" fontId="3" fillId="48" borderId="11" xfId="0" applyNumberFormat="1" applyFont="1" applyFill="1" applyBorder="1" applyAlignment="1">
      <alignment horizontal="center" vertical="center"/>
    </xf>
    <xf numFmtId="178" fontId="3" fillId="5" borderId="11" xfId="0" applyNumberFormat="1" applyFont="1" applyFill="1" applyBorder="1" applyAlignment="1">
      <alignment horizontal="center" vertical="center" wrapText="1"/>
    </xf>
    <xf numFmtId="178" fontId="7" fillId="19" borderId="1" xfId="0" applyNumberFormat="1" applyFont="1" applyFill="1" applyBorder="1" applyAlignment="1">
      <alignment horizontal="center" vertical="center" wrapText="1"/>
    </xf>
    <xf numFmtId="178" fontId="3" fillId="19" borderId="2" xfId="0" applyNumberFormat="1" applyFont="1" applyFill="1" applyBorder="1" applyAlignment="1">
      <alignment horizontal="center" vertical="center" wrapText="1"/>
    </xf>
    <xf numFmtId="178" fontId="3" fillId="19" borderId="1" xfId="0" applyNumberFormat="1" applyFont="1" applyFill="1" applyBorder="1" applyAlignment="1">
      <alignment horizontal="center" vertical="center" wrapText="1"/>
    </xf>
    <xf numFmtId="178" fontId="3" fillId="19" borderId="11" xfId="0" applyNumberFormat="1" applyFont="1" applyFill="1" applyBorder="1" applyAlignment="1">
      <alignment horizontal="center" vertical="center" wrapText="1"/>
    </xf>
    <xf numFmtId="178" fontId="3" fillId="22" borderId="1" xfId="0" applyNumberFormat="1" applyFont="1" applyFill="1" applyBorder="1" applyAlignment="1">
      <alignment horizontal="center" vertical="center" wrapText="1"/>
    </xf>
    <xf numFmtId="178" fontId="3" fillId="22" borderId="11" xfId="0" applyNumberFormat="1" applyFont="1" applyFill="1" applyBorder="1" applyAlignment="1">
      <alignment horizontal="center" vertical="center" wrapText="1"/>
    </xf>
    <xf numFmtId="178" fontId="3" fillId="22" borderId="10" xfId="0" applyNumberFormat="1" applyFont="1" applyFill="1" applyBorder="1" applyAlignment="1">
      <alignment horizontal="center" vertical="center" wrapText="1"/>
    </xf>
    <xf numFmtId="178" fontId="7" fillId="46" borderId="1" xfId="0" applyNumberFormat="1" applyFont="1" applyFill="1" applyBorder="1" applyAlignment="1">
      <alignment horizontal="center" vertical="center" wrapText="1"/>
    </xf>
    <xf numFmtId="178" fontId="7" fillId="46" borderId="2" xfId="0" applyNumberFormat="1" applyFont="1" applyFill="1" applyBorder="1" applyAlignment="1">
      <alignment horizontal="center" vertical="center" wrapText="1"/>
    </xf>
    <xf numFmtId="178" fontId="3" fillId="46" borderId="1" xfId="0" applyNumberFormat="1" applyFont="1" applyFill="1" applyBorder="1" applyAlignment="1">
      <alignment horizontal="center" vertical="center" wrapText="1"/>
    </xf>
    <xf numFmtId="178" fontId="3" fillId="46" borderId="10" xfId="0" applyNumberFormat="1" applyFont="1" applyFill="1" applyBorder="1" applyAlignment="1">
      <alignment horizontal="center" vertical="center" wrapText="1"/>
    </xf>
    <xf numFmtId="178" fontId="3" fillId="46" borderId="11" xfId="0" applyNumberFormat="1" applyFont="1" applyFill="1" applyBorder="1" applyAlignment="1">
      <alignment horizontal="center" vertical="center" wrapText="1"/>
    </xf>
    <xf numFmtId="178" fontId="7" fillId="104" borderId="1" xfId="0" applyNumberFormat="1" applyFont="1" applyFill="1" applyBorder="1" applyAlignment="1">
      <alignment horizontal="center" vertical="center" wrapText="1"/>
    </xf>
    <xf numFmtId="178" fontId="3" fillId="104" borderId="1" xfId="0" applyNumberFormat="1" applyFont="1" applyFill="1" applyBorder="1" applyAlignment="1">
      <alignment horizontal="center" vertical="center" wrapText="1"/>
    </xf>
    <xf numFmtId="178" fontId="3" fillId="9" borderId="1" xfId="0" applyNumberFormat="1" applyFont="1" applyFill="1" applyBorder="1" applyAlignment="1">
      <alignment horizontal="center" vertical="center" wrapText="1"/>
    </xf>
    <xf numFmtId="178" fontId="7" fillId="48" borderId="1" xfId="0" applyNumberFormat="1" applyFont="1" applyFill="1" applyBorder="1" applyAlignment="1">
      <alignment horizontal="center" vertical="center" wrapText="1"/>
    </xf>
    <xf numFmtId="178" fontId="3" fillId="48" borderId="1" xfId="0" applyNumberFormat="1" applyFont="1" applyFill="1" applyBorder="1" applyAlignment="1">
      <alignment horizontal="center" vertical="center" wrapText="1"/>
    </xf>
    <xf numFmtId="178" fontId="18" fillId="19" borderId="10" xfId="0" applyNumberFormat="1" applyFont="1" applyFill="1" applyBorder="1" applyAlignment="1">
      <alignment horizontal="center" vertical="center"/>
    </xf>
    <xf numFmtId="178" fontId="18" fillId="19" borderId="1" xfId="0" applyNumberFormat="1" applyFont="1" applyFill="1" applyBorder="1" applyAlignment="1">
      <alignment horizontal="center" vertical="center"/>
    </xf>
    <xf numFmtId="178" fontId="18" fillId="19" borderId="11" xfId="0" applyNumberFormat="1" applyFont="1" applyFill="1" applyBorder="1" applyAlignment="1">
      <alignment horizontal="center" vertical="center"/>
    </xf>
    <xf numFmtId="178" fontId="3" fillId="22" borderId="2" xfId="0" applyNumberFormat="1" applyFont="1" applyFill="1" applyBorder="1" applyAlignment="1">
      <alignment horizontal="center" vertical="center"/>
    </xf>
    <xf numFmtId="178" fontId="3" fillId="29" borderId="10" xfId="0" applyNumberFormat="1" applyFont="1" applyFill="1" applyBorder="1" applyAlignment="1">
      <alignment horizontal="center" vertical="center" wrapText="1"/>
    </xf>
    <xf numFmtId="178" fontId="3" fillId="29" borderId="11" xfId="0" applyNumberFormat="1" applyFont="1" applyFill="1" applyBorder="1" applyAlignment="1">
      <alignment horizontal="center" vertical="center" wrapText="1"/>
    </xf>
    <xf numFmtId="178" fontId="80" fillId="0" borderId="1" xfId="0" applyNumberFormat="1" applyFont="1" applyBorder="1" applyAlignment="1">
      <alignment horizontal="center" vertical="center"/>
    </xf>
    <xf numFmtId="178" fontId="7" fillId="29" borderId="40" xfId="0" applyNumberFormat="1" applyFont="1" applyFill="1" applyBorder="1" applyAlignment="1">
      <alignment horizontal="center" vertical="center" wrapText="1"/>
    </xf>
    <xf numFmtId="178" fontId="80" fillId="0" borderId="1" xfId="0" applyNumberFormat="1" applyFont="1" applyFill="1" applyBorder="1" applyAlignment="1">
      <alignment horizontal="center" vertical="center"/>
    </xf>
    <xf numFmtId="178" fontId="3" fillId="29" borderId="41" xfId="0" applyNumberFormat="1" applyFont="1" applyFill="1" applyBorder="1" applyAlignment="1">
      <alignment horizontal="center" vertical="center" wrapText="1"/>
    </xf>
    <xf numFmtId="178" fontId="3" fillId="29" borderId="38" xfId="0" applyNumberFormat="1" applyFont="1" applyFill="1" applyBorder="1" applyAlignment="1">
      <alignment horizontal="center" vertical="center" wrapText="1"/>
    </xf>
    <xf numFmtId="178" fontId="3" fillId="29" borderId="24" xfId="0" applyNumberFormat="1" applyFont="1" applyFill="1" applyBorder="1" applyAlignment="1">
      <alignment horizontal="center" vertical="center"/>
    </xf>
    <xf numFmtId="178" fontId="3" fillId="29" borderId="25" xfId="0" applyNumberFormat="1" applyFont="1" applyFill="1" applyBorder="1" applyAlignment="1">
      <alignment horizontal="center" vertical="center"/>
    </xf>
    <xf numFmtId="178" fontId="7" fillId="29" borderId="41" xfId="0" applyNumberFormat="1" applyFont="1" applyFill="1" applyBorder="1" applyAlignment="1">
      <alignment horizontal="center" vertical="center" wrapText="1"/>
    </xf>
    <xf numFmtId="178" fontId="3" fillId="29" borderId="31" xfId="0" applyNumberFormat="1" applyFont="1" applyFill="1" applyBorder="1" applyAlignment="1">
      <alignment horizontal="center" vertical="center"/>
    </xf>
    <xf numFmtId="178" fontId="7" fillId="29" borderId="10" xfId="0" applyNumberFormat="1" applyFont="1" applyFill="1" applyBorder="1" applyAlignment="1">
      <alignment horizontal="center" vertical="center"/>
    </xf>
    <xf numFmtId="178" fontId="2" fillId="13" borderId="1" xfId="0" applyNumberFormat="1" applyFont="1" applyFill="1" applyBorder="1" applyAlignment="1">
      <alignment horizontal="left" vertical="center" wrapText="1"/>
    </xf>
    <xf numFmtId="178" fontId="2" fillId="15" borderId="1" xfId="0" applyNumberFormat="1" applyFont="1" applyFill="1" applyBorder="1" applyAlignment="1">
      <alignment horizontal="left" vertical="center" wrapText="1"/>
    </xf>
    <xf numFmtId="178" fontId="2" fillId="11" borderId="1" xfId="0" applyNumberFormat="1" applyFont="1" applyFill="1" applyBorder="1" applyAlignment="1">
      <alignment horizontal="left" vertical="center" wrapText="1"/>
    </xf>
    <xf numFmtId="178" fontId="2" fillId="19" borderId="1" xfId="0" applyNumberFormat="1" applyFont="1" applyFill="1" applyBorder="1" applyAlignment="1">
      <alignment horizontal="left" vertical="center" wrapText="1"/>
    </xf>
    <xf numFmtId="178" fontId="2" fillId="19" borderId="1" xfId="0" applyNumberFormat="1" applyFont="1" applyFill="1" applyBorder="1" applyAlignment="1">
      <alignment horizontal="center" vertical="center" wrapText="1"/>
    </xf>
    <xf numFmtId="178" fontId="2" fillId="22" borderId="1" xfId="0" applyNumberFormat="1" applyFont="1" applyFill="1" applyBorder="1" applyAlignment="1">
      <alignment horizontal="left" vertical="center" wrapText="1"/>
    </xf>
    <xf numFmtId="178" fontId="2" fillId="22" borderId="1" xfId="0" applyNumberFormat="1" applyFont="1" applyFill="1" applyBorder="1" applyAlignment="1">
      <alignment horizontal="center" vertical="center" wrapText="1"/>
    </xf>
    <xf numFmtId="178" fontId="2" fillId="46" borderId="1" xfId="0" applyNumberFormat="1" applyFont="1" applyFill="1" applyBorder="1" applyAlignment="1">
      <alignment horizontal="center" vertical="center" wrapText="1"/>
    </xf>
    <xf numFmtId="178" fontId="2" fillId="46" borderId="1" xfId="0" applyNumberFormat="1" applyFont="1" applyFill="1" applyBorder="1" applyAlignment="1">
      <alignment horizontal="left" vertical="center" wrapText="1"/>
    </xf>
    <xf numFmtId="178" fontId="2" fillId="46" borderId="2" xfId="0" applyNumberFormat="1" applyFont="1" applyFill="1" applyBorder="1" applyAlignment="1">
      <alignment horizontal="center" vertical="center" wrapText="1"/>
    </xf>
    <xf numFmtId="178" fontId="3" fillId="46" borderId="2" xfId="0" applyNumberFormat="1" applyFont="1" applyFill="1" applyBorder="1" applyAlignment="1">
      <alignment horizontal="center" vertical="center"/>
    </xf>
    <xf numFmtId="178" fontId="2" fillId="46" borderId="11" xfId="0" applyNumberFormat="1" applyFont="1" applyFill="1" applyBorder="1" applyAlignment="1">
      <alignment horizontal="center" vertical="center" wrapText="1"/>
    </xf>
    <xf numFmtId="178" fontId="2" fillId="46" borderId="11" xfId="0" applyNumberFormat="1" applyFont="1" applyFill="1" applyBorder="1" applyAlignment="1">
      <alignment horizontal="left" vertical="center" wrapText="1"/>
    </xf>
    <xf numFmtId="178" fontId="3" fillId="46" borderId="11" xfId="0" applyNumberFormat="1" applyFont="1" applyFill="1" applyBorder="1" applyAlignment="1">
      <alignment horizontal="center" vertical="center"/>
    </xf>
    <xf numFmtId="178" fontId="40" fillId="104" borderId="1" xfId="0" applyNumberFormat="1" applyFont="1" applyFill="1" applyBorder="1" applyAlignment="1">
      <alignment horizontal="center" vertical="center" wrapText="1"/>
    </xf>
    <xf numFmtId="178" fontId="40" fillId="104" borderId="2" xfId="0" applyNumberFormat="1" applyFont="1" applyFill="1" applyBorder="1" applyAlignment="1">
      <alignment horizontal="center" vertical="center" wrapText="1"/>
    </xf>
    <xf numFmtId="178" fontId="7" fillId="104" borderId="2" xfId="0" applyNumberFormat="1" applyFont="1" applyFill="1" applyBorder="1" applyAlignment="1">
      <alignment horizontal="center" vertical="center" wrapText="1"/>
    </xf>
    <xf numFmtId="178" fontId="3" fillId="104" borderId="2" xfId="0" applyNumberFormat="1" applyFont="1" applyFill="1" applyBorder="1" applyAlignment="1">
      <alignment horizontal="center" vertical="center"/>
    </xf>
    <xf numFmtId="178" fontId="40" fillId="104" borderId="11" xfId="0" applyNumberFormat="1" applyFont="1" applyFill="1" applyBorder="1" applyAlignment="1">
      <alignment horizontal="center" vertical="center" wrapText="1"/>
    </xf>
    <xf numFmtId="178" fontId="7" fillId="104" borderId="11" xfId="0" applyNumberFormat="1" applyFont="1" applyFill="1" applyBorder="1" applyAlignment="1">
      <alignment horizontal="center" vertical="center" wrapText="1"/>
    </xf>
    <xf numFmtId="178" fontId="3" fillId="104" borderId="11" xfId="0" applyNumberFormat="1" applyFont="1" applyFill="1" applyBorder="1" applyAlignment="1">
      <alignment horizontal="center" vertical="center"/>
    </xf>
    <xf numFmtId="178" fontId="2" fillId="9" borderId="1" xfId="0" applyNumberFormat="1" applyFont="1" applyFill="1" applyBorder="1" applyAlignment="1">
      <alignment horizontal="center" vertical="center" wrapText="1"/>
    </xf>
    <xf numFmtId="178" fontId="7" fillId="9" borderId="1" xfId="0" applyNumberFormat="1" applyFont="1" applyFill="1" applyBorder="1" applyAlignment="1">
      <alignment horizontal="left" vertical="center" wrapText="1"/>
    </xf>
    <xf numFmtId="178" fontId="2" fillId="9" borderId="2" xfId="0" applyNumberFormat="1" applyFont="1" applyFill="1" applyBorder="1" applyAlignment="1">
      <alignment horizontal="center" vertical="center" wrapText="1"/>
    </xf>
    <xf numFmtId="178" fontId="7" fillId="9" borderId="2" xfId="0" applyNumberFormat="1" applyFont="1" applyFill="1" applyBorder="1" applyAlignment="1">
      <alignment horizontal="center" vertical="center" wrapText="1"/>
    </xf>
    <xf numFmtId="178" fontId="3" fillId="9" borderId="2" xfId="0" applyNumberFormat="1" applyFont="1" applyFill="1" applyBorder="1" applyAlignment="1">
      <alignment horizontal="center" vertical="center"/>
    </xf>
    <xf numFmtId="178" fontId="2" fillId="9" borderId="11" xfId="0" applyNumberFormat="1" applyFont="1" applyFill="1" applyBorder="1" applyAlignment="1">
      <alignment horizontal="center" vertical="center" wrapText="1"/>
    </xf>
    <xf numFmtId="178" fontId="7" fillId="9" borderId="11" xfId="0" applyNumberFormat="1" applyFont="1" applyFill="1" applyBorder="1" applyAlignment="1">
      <alignment horizontal="left" vertical="center" wrapText="1"/>
    </xf>
    <xf numFmtId="178" fontId="7" fillId="9" borderId="11" xfId="0" applyNumberFormat="1" applyFont="1" applyFill="1" applyBorder="1" applyAlignment="1">
      <alignment horizontal="center" vertical="center" wrapText="1"/>
    </xf>
    <xf numFmtId="178" fontId="3" fillId="9" borderId="11" xfId="0" applyNumberFormat="1" applyFont="1" applyFill="1" applyBorder="1" applyAlignment="1">
      <alignment horizontal="center" vertical="center"/>
    </xf>
    <xf numFmtId="178" fontId="2" fillId="48" borderId="1" xfId="0" applyNumberFormat="1" applyFont="1" applyFill="1" applyBorder="1" applyAlignment="1">
      <alignment horizontal="left" vertical="center" wrapText="1"/>
    </xf>
    <xf numFmtId="178" fontId="2" fillId="48" borderId="1" xfId="0" applyNumberFormat="1" applyFont="1" applyFill="1" applyBorder="1" applyAlignment="1">
      <alignment horizontal="center" vertical="center" wrapText="1"/>
    </xf>
    <xf numFmtId="178" fontId="3" fillId="48" borderId="2" xfId="0" applyNumberFormat="1" applyFont="1" applyFill="1" applyBorder="1" applyAlignment="1">
      <alignment horizontal="center" vertical="center" wrapText="1"/>
    </xf>
    <xf numFmtId="178" fontId="7" fillId="48" borderId="2" xfId="0" applyNumberFormat="1" applyFont="1" applyFill="1" applyBorder="1" applyAlignment="1">
      <alignment horizontal="center" vertical="center" wrapText="1"/>
    </xf>
    <xf numFmtId="178" fontId="2" fillId="48" borderId="2" xfId="0" applyNumberFormat="1" applyFont="1" applyFill="1" applyBorder="1" applyAlignment="1">
      <alignment horizontal="center" vertical="center" wrapText="1"/>
    </xf>
    <xf numFmtId="178" fontId="19" fillId="48" borderId="2" xfId="0" applyNumberFormat="1" applyFont="1" applyFill="1" applyBorder="1" applyAlignment="1">
      <alignment horizontal="center" vertical="center"/>
    </xf>
    <xf numFmtId="178" fontId="3" fillId="48" borderId="11" xfId="0" applyNumberFormat="1" applyFont="1" applyFill="1" applyBorder="1" applyAlignment="1">
      <alignment horizontal="center" vertical="center" wrapText="1"/>
    </xf>
    <xf numFmtId="178" fontId="7" fillId="48" borderId="11" xfId="0" applyNumberFormat="1" applyFont="1" applyFill="1" applyBorder="1" applyAlignment="1">
      <alignment horizontal="left" vertical="center" wrapText="1"/>
    </xf>
    <xf numFmtId="178" fontId="2" fillId="48" borderId="11" xfId="0" applyNumberFormat="1" applyFont="1" applyFill="1" applyBorder="1" applyAlignment="1">
      <alignment horizontal="center" vertical="center" wrapText="1"/>
    </xf>
    <xf numFmtId="178" fontId="19" fillId="48" borderId="11" xfId="0" applyNumberFormat="1" applyFont="1" applyFill="1" applyBorder="1" applyAlignment="1">
      <alignment horizontal="center" vertical="center"/>
    </xf>
    <xf numFmtId="178" fontId="80" fillId="22" borderId="1" xfId="0" applyNumberFormat="1" applyFont="1" applyFill="1" applyBorder="1" applyAlignment="1">
      <alignment horizontal="center" vertical="center" wrapText="1"/>
    </xf>
    <xf numFmtId="178" fontId="80" fillId="22" borderId="2" xfId="0" applyNumberFormat="1" applyFont="1" applyFill="1" applyBorder="1" applyAlignment="1">
      <alignment horizontal="center" vertical="center" wrapText="1"/>
    </xf>
    <xf numFmtId="178" fontId="80" fillId="22" borderId="10" xfId="0" applyNumberFormat="1" applyFont="1" applyFill="1" applyBorder="1" applyAlignment="1">
      <alignment horizontal="center" vertical="center" wrapText="1"/>
    </xf>
    <xf numFmtId="178" fontId="80" fillId="22" borderId="11" xfId="0" applyNumberFormat="1" applyFont="1" applyFill="1" applyBorder="1" applyAlignment="1">
      <alignment horizontal="center" vertical="center" wrapText="1"/>
    </xf>
    <xf numFmtId="178" fontId="18" fillId="9" borderId="1" xfId="0" applyNumberFormat="1" applyFont="1" applyFill="1" applyBorder="1" applyAlignment="1">
      <alignment horizontal="center" vertical="center"/>
    </xf>
    <xf numFmtId="178" fontId="8" fillId="9" borderId="1" xfId="0" applyNumberFormat="1" applyFont="1" applyFill="1" applyBorder="1" applyAlignment="1">
      <alignment horizontal="center" vertical="center"/>
    </xf>
    <xf numFmtId="178" fontId="18" fillId="5" borderId="1" xfId="0" applyNumberFormat="1" applyFont="1" applyFill="1" applyBorder="1" applyAlignment="1">
      <alignment horizontal="center" vertical="center"/>
    </xf>
    <xf numFmtId="178" fontId="11" fillId="9" borderId="1" xfId="0" applyNumberFormat="1" applyFont="1" applyFill="1" applyBorder="1" applyAlignment="1">
      <alignment horizontal="center" vertical="center"/>
    </xf>
    <xf numFmtId="178" fontId="7" fillId="13" borderId="11" xfId="0" applyNumberFormat="1" applyFont="1" applyFill="1" applyBorder="1" applyAlignment="1">
      <alignment horizontal="center" vertical="center"/>
    </xf>
    <xf numFmtId="178" fontId="7" fillId="19" borderId="1" xfId="0" applyNumberFormat="1" applyFont="1" applyFill="1" applyBorder="1" applyAlignment="1">
      <alignment horizontal="center" vertical="center"/>
    </xf>
    <xf numFmtId="178" fontId="6" fillId="19" borderId="1" xfId="0" applyNumberFormat="1" applyFont="1" applyFill="1" applyBorder="1" applyAlignment="1">
      <alignment horizontal="center" vertical="center"/>
    </xf>
    <xf numFmtId="178" fontId="8" fillId="19" borderId="1" xfId="0" applyNumberFormat="1" applyFont="1" applyFill="1" applyBorder="1" applyAlignment="1">
      <alignment horizontal="center" vertical="center"/>
    </xf>
    <xf numFmtId="178" fontId="11" fillId="19" borderId="1" xfId="0" applyNumberFormat="1" applyFont="1" applyFill="1" applyBorder="1" applyAlignment="1">
      <alignment horizontal="center" vertical="center"/>
    </xf>
    <xf numFmtId="178" fontId="7" fillId="46" borderId="1" xfId="0" applyNumberFormat="1" applyFont="1" applyFill="1" applyBorder="1" applyAlignment="1">
      <alignment horizontal="center" vertical="center"/>
    </xf>
    <xf numFmtId="178" fontId="7" fillId="46" borderId="2" xfId="0" applyNumberFormat="1" applyFont="1" applyFill="1" applyBorder="1" applyAlignment="1">
      <alignment horizontal="center" vertical="center"/>
    </xf>
    <xf numFmtId="178" fontId="7" fillId="46" borderId="11" xfId="0" applyNumberFormat="1" applyFont="1" applyFill="1" applyBorder="1" applyAlignment="1">
      <alignment horizontal="center" vertical="center"/>
    </xf>
    <xf numFmtId="178" fontId="6" fillId="46" borderId="1" xfId="0" applyNumberFormat="1" applyFont="1" applyFill="1" applyBorder="1" applyAlignment="1">
      <alignment horizontal="center" vertical="center"/>
    </xf>
    <xf numFmtId="178" fontId="6" fillId="104" borderId="1" xfId="0" applyNumberFormat="1" applyFont="1" applyFill="1" applyBorder="1" applyAlignment="1">
      <alignment horizontal="center" vertical="center"/>
    </xf>
    <xf numFmtId="178" fontId="18" fillId="104" borderId="1" xfId="0" applyNumberFormat="1" applyFont="1" applyFill="1" applyBorder="1" applyAlignment="1">
      <alignment horizontal="center" vertical="center"/>
    </xf>
    <xf numFmtId="178" fontId="8" fillId="104" borderId="1" xfId="0" applyNumberFormat="1" applyFont="1" applyFill="1" applyBorder="1" applyAlignment="1">
      <alignment horizontal="center" vertical="center"/>
    </xf>
    <xf numFmtId="178" fontId="3" fillId="48" borderId="2" xfId="0" applyNumberFormat="1" applyFont="1" applyFill="1" applyBorder="1" applyAlignment="1">
      <alignment horizontal="center" vertical="center"/>
    </xf>
    <xf numFmtId="178" fontId="7" fillId="48" borderId="2" xfId="0" applyNumberFormat="1" applyFont="1" applyFill="1" applyBorder="1" applyAlignment="1">
      <alignment horizontal="center" vertical="center"/>
    </xf>
    <xf numFmtId="178" fontId="6" fillId="48" borderId="1" xfId="0" applyNumberFormat="1" applyFont="1" applyFill="1" applyBorder="1" applyAlignment="1">
      <alignment horizontal="center" vertical="center"/>
    </xf>
    <xf numFmtId="178" fontId="7" fillId="22" borderId="11" xfId="0" applyNumberFormat="1" applyFont="1" applyFill="1" applyBorder="1" applyAlignment="1">
      <alignment horizontal="center" vertical="center"/>
    </xf>
    <xf numFmtId="178" fontId="6" fillId="9" borderId="1" xfId="0" applyNumberFormat="1" applyFont="1" applyFill="1" applyBorder="1" applyAlignment="1">
      <alignment horizontal="center" vertical="center" wrapText="1"/>
    </xf>
    <xf numFmtId="178" fontId="6" fillId="13" borderId="1" xfId="0" applyNumberFormat="1" applyFont="1" applyFill="1" applyBorder="1" applyAlignment="1">
      <alignment horizontal="center" vertical="center" wrapText="1"/>
    </xf>
    <xf numFmtId="178" fontId="17" fillId="13" borderId="1" xfId="0" applyNumberFormat="1" applyFont="1" applyFill="1" applyBorder="1" applyAlignment="1">
      <alignment horizontal="center" vertical="center" wrapText="1"/>
    </xf>
    <xf numFmtId="178" fontId="6" fillId="15" borderId="1" xfId="0" applyNumberFormat="1" applyFont="1" applyFill="1" applyBorder="1" applyAlignment="1">
      <alignment horizontal="center" vertical="center" wrapText="1"/>
    </xf>
    <xf numFmtId="178" fontId="6" fillId="11" borderId="1" xfId="0" applyNumberFormat="1" applyFont="1" applyFill="1" applyBorder="1" applyAlignment="1">
      <alignment horizontal="center" vertical="center" wrapText="1"/>
    </xf>
    <xf numFmtId="178" fontId="6" fillId="19" borderId="1" xfId="0" applyNumberFormat="1" applyFont="1" applyFill="1" applyBorder="1" applyAlignment="1">
      <alignment horizontal="center" vertical="center" wrapText="1"/>
    </xf>
    <xf numFmtId="178" fontId="6" fillId="22" borderId="1" xfId="0" applyNumberFormat="1" applyFont="1" applyFill="1" applyBorder="1" applyAlignment="1">
      <alignment horizontal="center" vertical="center" wrapText="1"/>
    </xf>
    <xf numFmtId="178" fontId="6" fillId="46" borderId="1" xfId="0" applyNumberFormat="1" applyFont="1" applyFill="1" applyBorder="1" applyAlignment="1">
      <alignment horizontal="center" vertical="center" wrapText="1"/>
    </xf>
    <xf numFmtId="178" fontId="6" fillId="104" borderId="1" xfId="0" applyNumberFormat="1" applyFont="1" applyFill="1" applyBorder="1" applyAlignment="1">
      <alignment horizontal="center" vertical="center" wrapText="1"/>
    </xf>
    <xf numFmtId="178" fontId="6" fillId="48" borderId="1" xfId="0" applyNumberFormat="1" applyFont="1" applyFill="1" applyBorder="1" applyAlignment="1">
      <alignment horizontal="center" vertical="center" wrapText="1"/>
    </xf>
    <xf numFmtId="178" fontId="19" fillId="13" borderId="1" xfId="0" applyNumberFormat="1" applyFont="1" applyFill="1" applyBorder="1" applyAlignment="1">
      <alignment horizontal="center" vertical="center"/>
    </xf>
    <xf numFmtId="178" fontId="0" fillId="13" borderId="0" xfId="0" applyNumberFormat="1" applyFill="1" applyBorder="1">
      <alignment vertical="center"/>
    </xf>
    <xf numFmtId="178" fontId="0" fillId="15" borderId="0" xfId="0" applyNumberFormat="1" applyFill="1" applyBorder="1">
      <alignment vertical="center"/>
    </xf>
    <xf numFmtId="178" fontId="0" fillId="19" borderId="0" xfId="0" applyNumberFormat="1" applyFill="1" applyBorder="1">
      <alignment vertical="center"/>
    </xf>
    <xf numFmtId="178" fontId="0" fillId="22" borderId="0" xfId="0" applyNumberFormat="1" applyFill="1" applyBorder="1">
      <alignment vertical="center"/>
    </xf>
    <xf numFmtId="178" fontId="0" fillId="46" borderId="0" xfId="0" applyNumberFormat="1" applyFill="1" applyBorder="1">
      <alignment vertical="center"/>
    </xf>
    <xf numFmtId="178" fontId="0" fillId="47" borderId="0" xfId="0" applyNumberFormat="1" applyFill="1" applyBorder="1">
      <alignment vertical="center"/>
    </xf>
    <xf numFmtId="178" fontId="0" fillId="9" borderId="0" xfId="0" applyNumberFormat="1" applyFill="1" applyBorder="1">
      <alignment vertical="center"/>
    </xf>
    <xf numFmtId="178" fontId="0" fillId="48" borderId="0" xfId="0" applyNumberFormat="1" applyFill="1" applyBorder="1">
      <alignment vertical="center"/>
    </xf>
    <xf numFmtId="178" fontId="7" fillId="19" borderId="11" xfId="0" applyNumberFormat="1" applyFont="1" applyFill="1" applyBorder="1" applyAlignment="1">
      <alignment horizontal="center" vertical="center"/>
    </xf>
    <xf numFmtId="178" fontId="7" fillId="19" borderId="11" xfId="0" applyNumberFormat="1" applyFont="1" applyFill="1" applyBorder="1" applyAlignment="1">
      <alignment horizontal="center" vertical="center" wrapText="1"/>
    </xf>
    <xf numFmtId="178" fontId="7" fillId="105" borderId="2" xfId="0" applyNumberFormat="1" applyFont="1" applyFill="1" applyBorder="1" applyAlignment="1">
      <alignment horizontal="center" vertical="center"/>
    </xf>
    <xf numFmtId="178" fontId="7" fillId="105" borderId="10" xfId="0" applyNumberFormat="1" applyFont="1" applyFill="1" applyBorder="1" applyAlignment="1">
      <alignment horizontal="center" vertical="center"/>
    </xf>
    <xf numFmtId="178" fontId="7" fillId="105" borderId="11" xfId="0" applyNumberFormat="1" applyFont="1" applyFill="1" applyBorder="1" applyAlignment="1">
      <alignment horizontal="center" vertical="center"/>
    </xf>
    <xf numFmtId="178" fontId="7" fillId="20" borderId="10" xfId="0" applyNumberFormat="1" applyFont="1" applyFill="1" applyBorder="1" applyAlignment="1">
      <alignment horizontal="center" vertical="center"/>
    </xf>
    <xf numFmtId="178" fontId="7" fillId="20" borderId="11" xfId="0" applyNumberFormat="1" applyFont="1" applyFill="1" applyBorder="1" applyAlignment="1">
      <alignment horizontal="center" vertical="center"/>
    </xf>
    <xf numFmtId="178" fontId="3" fillId="8" borderId="11" xfId="0" applyNumberFormat="1" applyFont="1" applyFill="1" applyBorder="1" applyAlignment="1">
      <alignment horizontal="center" vertical="center" wrapText="1"/>
    </xf>
    <xf numFmtId="178" fontId="3" fillId="105" borderId="11" xfId="0" applyNumberFormat="1" applyFont="1" applyFill="1" applyBorder="1" applyAlignment="1">
      <alignment horizontal="center" vertical="center" wrapText="1"/>
    </xf>
    <xf numFmtId="178" fontId="3" fillId="20" borderId="11" xfId="0" applyNumberFormat="1" applyFont="1" applyFill="1" applyBorder="1" applyAlignment="1">
      <alignment horizontal="center" vertical="center" wrapText="1"/>
    </xf>
    <xf numFmtId="178" fontId="3" fillId="105" borderId="10" xfId="0" applyNumberFormat="1" applyFont="1" applyFill="1" applyBorder="1" applyAlignment="1">
      <alignment horizontal="center" vertical="center"/>
    </xf>
    <xf numFmtId="178" fontId="3" fillId="105" borderId="11" xfId="0" applyNumberFormat="1" applyFont="1" applyFill="1" applyBorder="1" applyAlignment="1">
      <alignment horizontal="center" vertical="center"/>
    </xf>
    <xf numFmtId="178" fontId="3" fillId="20" borderId="10" xfId="0" applyNumberFormat="1" applyFont="1" applyFill="1" applyBorder="1" applyAlignment="1">
      <alignment horizontal="center" vertical="center"/>
    </xf>
    <xf numFmtId="178" fontId="3" fillId="20" borderId="11" xfId="0" applyNumberFormat="1" applyFont="1" applyFill="1" applyBorder="1" applyAlignment="1">
      <alignment horizontal="center" vertical="center"/>
    </xf>
    <xf numFmtId="178" fontId="46" fillId="63" borderId="1" xfId="6" applyNumberFormat="1" applyFont="1" applyFill="1" applyBorder="1" applyAlignment="1">
      <alignment horizontal="center" vertical="center"/>
    </xf>
    <xf numFmtId="178" fontId="3" fillId="63" borderId="2" xfId="0" applyNumberFormat="1" applyFont="1" applyFill="1" applyBorder="1" applyAlignment="1">
      <alignment horizontal="center" vertical="center"/>
    </xf>
    <xf numFmtId="178" fontId="6" fillId="63" borderId="1" xfId="0" applyNumberFormat="1" applyFont="1" applyFill="1" applyBorder="1" applyAlignment="1">
      <alignment horizontal="center" vertical="center" wrapText="1"/>
    </xf>
    <xf numFmtId="178" fontId="3" fillId="63" borderId="10" xfId="0" applyNumberFormat="1" applyFont="1" applyFill="1" applyBorder="1" applyAlignment="1">
      <alignment horizontal="center" vertical="center"/>
    </xf>
    <xf numFmtId="178" fontId="2" fillId="21" borderId="1" xfId="0" applyNumberFormat="1" applyFont="1" applyFill="1" applyBorder="1" applyAlignment="1">
      <alignment horizontal="left" vertical="center" wrapText="1"/>
    </xf>
    <xf numFmtId="178" fontId="7" fillId="14" borderId="1" xfId="0" applyNumberFormat="1" applyFont="1" applyFill="1" applyBorder="1" applyAlignment="1">
      <alignment horizontal="left" vertical="center" wrapText="1"/>
    </xf>
    <xf numFmtId="178" fontId="7" fillId="21" borderId="11" xfId="0" applyNumberFormat="1" applyFont="1" applyFill="1" applyBorder="1" applyAlignment="1">
      <alignment horizontal="left" vertical="center" wrapText="1"/>
    </xf>
    <xf numFmtId="178" fontId="2" fillId="8" borderId="1" xfId="0" applyNumberFormat="1" applyFont="1" applyFill="1" applyBorder="1" applyAlignment="1">
      <alignment horizontal="center" vertical="center" wrapText="1"/>
    </xf>
    <xf numFmtId="178" fontId="2" fillId="8" borderId="1" xfId="0" applyNumberFormat="1" applyFont="1" applyFill="1" applyBorder="1" applyAlignment="1">
      <alignment horizontal="left" vertical="center" wrapText="1"/>
    </xf>
    <xf numFmtId="178" fontId="2" fillId="105" borderId="1" xfId="0" applyNumberFormat="1" applyFont="1" applyFill="1" applyBorder="1" applyAlignment="1">
      <alignment horizontal="center" vertical="center" wrapText="1"/>
    </xf>
    <xf numFmtId="178" fontId="2" fillId="105" borderId="1" xfId="0" applyNumberFormat="1" applyFont="1" applyFill="1" applyBorder="1" applyAlignment="1">
      <alignment horizontal="left" vertical="center" wrapText="1"/>
    </xf>
    <xf numFmtId="178" fontId="3" fillId="105" borderId="1" xfId="0" applyNumberFormat="1" applyFont="1" applyFill="1" applyBorder="1" applyAlignment="1">
      <alignment horizontal="center" vertical="center"/>
    </xf>
    <xf numFmtId="178" fontId="2" fillId="20" borderId="1" xfId="0" applyNumberFormat="1" applyFont="1" applyFill="1" applyBorder="1" applyAlignment="1">
      <alignment horizontal="left" vertical="center" wrapText="1"/>
    </xf>
    <xf numFmtId="178" fontId="30" fillId="6" borderId="1" xfId="0" applyNumberFormat="1" applyFont="1" applyFill="1" applyBorder="1" applyAlignment="1">
      <alignment horizontal="center" vertical="center" wrapText="1"/>
    </xf>
    <xf numFmtId="178" fontId="30" fillId="6" borderId="1" xfId="0" applyNumberFormat="1" applyFont="1" applyFill="1" applyBorder="1" applyAlignment="1">
      <alignment horizontal="center" vertical="center"/>
    </xf>
    <xf numFmtId="178" fontId="7" fillId="3" borderId="11" xfId="0" applyNumberFormat="1" applyFont="1" applyFill="1" applyBorder="1" applyAlignment="1">
      <alignment horizontal="left" vertical="center" wrapText="1"/>
    </xf>
    <xf numFmtId="178" fontId="11" fillId="14" borderId="1" xfId="0" applyNumberFormat="1" applyFont="1" applyFill="1" applyBorder="1" applyAlignment="1">
      <alignment horizontal="center" vertical="center"/>
    </xf>
    <xf numFmtId="178" fontId="6" fillId="105" borderId="1" xfId="0" applyNumberFormat="1" applyFont="1" applyFill="1" applyBorder="1" applyAlignment="1">
      <alignment horizontal="center" vertical="center"/>
    </xf>
    <xf numFmtId="178" fontId="18" fillId="2" borderId="10" xfId="0" applyNumberFormat="1" applyFont="1" applyFill="1" applyBorder="1" applyAlignment="1">
      <alignment horizontal="center" vertical="center"/>
    </xf>
    <xf numFmtId="178" fontId="6" fillId="21" borderId="1" xfId="0" applyNumberFormat="1" applyFont="1" applyFill="1" applyBorder="1" applyAlignment="1">
      <alignment horizontal="center" vertical="center" wrapText="1"/>
    </xf>
    <xf numFmtId="178" fontId="6" fillId="8" borderId="1" xfId="0" applyNumberFormat="1" applyFont="1" applyFill="1" applyBorder="1" applyAlignment="1">
      <alignment horizontal="center" vertical="center" wrapText="1"/>
    </xf>
    <xf numFmtId="178" fontId="6" fillId="105" borderId="1" xfId="0" applyNumberFormat="1" applyFont="1" applyFill="1" applyBorder="1" applyAlignment="1">
      <alignment horizontal="center" vertical="center" wrapText="1"/>
    </xf>
    <xf numFmtId="178" fontId="6" fillId="20" borderId="1" xfId="0" applyNumberFormat="1" applyFont="1" applyFill="1" applyBorder="1" applyAlignment="1">
      <alignment horizontal="center" vertical="center" wrapText="1"/>
    </xf>
    <xf numFmtId="178" fontId="0" fillId="21" borderId="0" xfId="0" applyNumberFormat="1" applyFill="1" applyBorder="1">
      <alignment vertical="center"/>
    </xf>
    <xf numFmtId="178" fontId="4" fillId="2" borderId="0" xfId="0" applyNumberFormat="1" applyFont="1" applyFill="1" applyBorder="1">
      <alignment vertical="center"/>
    </xf>
    <xf numFmtId="178" fontId="7" fillId="0" borderId="10" xfId="0" applyNumberFormat="1" applyFont="1" applyBorder="1" applyAlignment="1">
      <alignment horizontal="center" vertical="center"/>
    </xf>
    <xf numFmtId="178" fontId="81" fillId="3" borderId="1" xfId="0" applyNumberFormat="1" applyFont="1" applyFill="1" applyBorder="1" applyAlignment="1">
      <alignment horizontal="center" vertical="center" wrapText="1"/>
    </xf>
    <xf numFmtId="178" fontId="8" fillId="14" borderId="1" xfId="0" applyNumberFormat="1" applyFont="1" applyFill="1" applyBorder="1" applyAlignment="1">
      <alignment horizontal="center" vertical="center" wrapText="1"/>
    </xf>
    <xf numFmtId="178" fontId="82" fillId="14" borderId="1" xfId="6" applyNumberFormat="1" applyFont="1" applyFill="1" applyBorder="1" applyAlignment="1">
      <alignment horizontal="center" vertical="center" wrapText="1"/>
    </xf>
    <xf numFmtId="178" fontId="18" fillId="14" borderId="1" xfId="0" applyNumberFormat="1" applyFont="1" applyFill="1" applyBorder="1" applyAlignment="1">
      <alignment horizontal="center" vertical="center" wrapText="1"/>
    </xf>
    <xf numFmtId="178" fontId="18" fillId="43" borderId="1" xfId="0" applyNumberFormat="1" applyFont="1" applyFill="1" applyBorder="1" applyAlignment="1">
      <alignment horizontal="center" vertical="center" wrapText="1"/>
    </xf>
    <xf numFmtId="178" fontId="11" fillId="14" borderId="1" xfId="0" applyNumberFormat="1" applyFont="1" applyFill="1" applyBorder="1" applyAlignment="1">
      <alignment horizontal="center" vertical="center" wrapText="1"/>
    </xf>
    <xf numFmtId="178" fontId="3" fillId="28" borderId="2" xfId="0" applyNumberFormat="1" applyFont="1" applyFill="1" applyBorder="1" applyAlignment="1">
      <alignment horizontal="center" vertical="center"/>
    </xf>
    <xf numFmtId="178" fontId="3" fillId="28" borderId="11" xfId="0" applyNumberFormat="1" applyFont="1" applyFill="1" applyBorder="1" applyAlignment="1">
      <alignment horizontal="center" vertical="center"/>
    </xf>
    <xf numFmtId="178" fontId="72" fillId="0" borderId="1" xfId="0" applyNumberFormat="1" applyFont="1" applyFill="1" applyBorder="1" applyAlignment="1">
      <alignment horizontal="center" vertical="center"/>
    </xf>
    <xf numFmtId="178" fontId="18" fillId="29" borderId="2" xfId="0" applyNumberFormat="1" applyFont="1" applyFill="1" applyBorder="1" applyAlignment="1">
      <alignment horizontal="center" vertical="center"/>
    </xf>
    <xf numFmtId="178" fontId="18" fillId="28" borderId="2" xfId="0" applyNumberFormat="1" applyFont="1" applyFill="1" applyBorder="1" applyAlignment="1">
      <alignment horizontal="center" vertical="center"/>
    </xf>
    <xf numFmtId="178" fontId="18" fillId="29" borderId="10" xfId="0" applyNumberFormat="1" applyFont="1" applyFill="1" applyBorder="1" applyAlignment="1">
      <alignment horizontal="center" vertical="center"/>
    </xf>
    <xf numFmtId="178" fontId="18" fillId="28" borderId="10" xfId="0" applyNumberFormat="1" applyFont="1" applyFill="1" applyBorder="1" applyAlignment="1">
      <alignment horizontal="center" vertical="center"/>
    </xf>
    <xf numFmtId="178" fontId="18" fillId="29" borderId="11" xfId="0" applyNumberFormat="1" applyFont="1" applyFill="1" applyBorder="1" applyAlignment="1">
      <alignment horizontal="center" vertical="center"/>
    </xf>
    <xf numFmtId="178" fontId="18" fillId="28" borderId="11" xfId="0" applyNumberFormat="1" applyFont="1" applyFill="1" applyBorder="1" applyAlignment="1">
      <alignment horizontal="center" vertical="center"/>
    </xf>
    <xf numFmtId="178" fontId="25" fillId="29" borderId="1" xfId="0" applyNumberFormat="1" applyFont="1" applyFill="1" applyBorder="1" applyAlignment="1">
      <alignment horizontal="center" vertical="center"/>
    </xf>
    <xf numFmtId="178" fontId="8" fillId="0" borderId="2" xfId="0" applyNumberFormat="1" applyFont="1" applyFill="1" applyBorder="1" applyAlignment="1">
      <alignment horizontal="center" vertical="center"/>
    </xf>
    <xf numFmtId="178" fontId="18" fillId="0" borderId="2" xfId="0" applyNumberFormat="1" applyFont="1" applyBorder="1" applyAlignment="1">
      <alignment horizontal="center" vertical="center"/>
    </xf>
    <xf numFmtId="178" fontId="18" fillId="0" borderId="10" xfId="0" applyNumberFormat="1" applyFont="1" applyBorder="1" applyAlignment="1">
      <alignment horizontal="center" vertical="center"/>
    </xf>
    <xf numFmtId="178" fontId="18" fillId="0" borderId="11" xfId="0" applyNumberFormat="1" applyFont="1" applyBorder="1" applyAlignment="1">
      <alignment horizontal="center" vertical="center"/>
    </xf>
    <xf numFmtId="178" fontId="44" fillId="0" borderId="0" xfId="0" applyNumberFormat="1" applyFont="1" applyFill="1" applyBorder="1">
      <alignment vertical="center"/>
    </xf>
    <xf numFmtId="178" fontId="7" fillId="17" borderId="2" xfId="0" applyNumberFormat="1" applyFont="1" applyFill="1" applyBorder="1" applyAlignment="1">
      <alignment horizontal="left" vertical="center" wrapText="1"/>
    </xf>
    <xf numFmtId="178" fontId="38" fillId="0" borderId="2" xfId="0" applyNumberFormat="1" applyFont="1" applyFill="1" applyBorder="1" applyAlignment="1">
      <alignment horizontal="center" vertical="center" wrapText="1"/>
    </xf>
    <xf numFmtId="178" fontId="6" fillId="0" borderId="11" xfId="0" applyNumberFormat="1" applyFont="1" applyFill="1" applyBorder="1" applyAlignment="1">
      <alignment horizontal="center" vertical="center" wrapText="1"/>
    </xf>
    <xf numFmtId="178" fontId="7" fillId="0" borderId="10" xfId="0" applyNumberFormat="1" applyFont="1" applyFill="1" applyBorder="1" applyAlignment="1">
      <alignment horizontal="left" vertical="top" wrapText="1"/>
    </xf>
    <xf numFmtId="178" fontId="7" fillId="0" borderId="11" xfId="0" applyNumberFormat="1" applyFont="1" applyFill="1" applyBorder="1" applyAlignment="1">
      <alignment horizontal="left" vertical="top" wrapText="1"/>
    </xf>
    <xf numFmtId="178" fontId="18" fillId="63" borderId="1" xfId="0" applyNumberFormat="1" applyFont="1" applyFill="1" applyBorder="1" applyAlignment="1">
      <alignment horizontal="center" vertical="center"/>
    </xf>
    <xf numFmtId="178" fontId="4" fillId="63" borderId="1" xfId="0" applyNumberFormat="1" applyFont="1" applyFill="1" applyBorder="1" applyAlignment="1">
      <alignment horizontal="center" vertical="center"/>
    </xf>
    <xf numFmtId="178" fontId="3" fillId="0" borderId="0" xfId="0" applyNumberFormat="1" applyFont="1" applyFill="1" applyAlignment="1">
      <alignment horizontal="center" vertical="center"/>
    </xf>
    <xf numFmtId="178" fontId="22" fillId="0" borderId="0" xfId="0" applyNumberFormat="1" applyFont="1" applyAlignment="1">
      <alignment horizontal="center" vertical="center"/>
    </xf>
    <xf numFmtId="178" fontId="45" fillId="0" borderId="0" xfId="0" applyNumberFormat="1" applyFont="1" applyFill="1" applyBorder="1">
      <alignment vertical="center"/>
    </xf>
    <xf numFmtId="178" fontId="73" fillId="17" borderId="10" xfId="0" applyNumberFormat="1" applyFont="1" applyFill="1" applyBorder="1" applyAlignment="1">
      <alignment horizontal="center" vertical="center" wrapText="1"/>
    </xf>
    <xf numFmtId="178" fontId="7" fillId="106" borderId="1" xfId="0" applyNumberFormat="1" applyFont="1" applyFill="1" applyBorder="1" applyAlignment="1">
      <alignment horizontal="center" vertical="center"/>
    </xf>
    <xf numFmtId="178" fontId="3" fillId="106" borderId="1" xfId="0" applyNumberFormat="1" applyFont="1" applyFill="1" applyBorder="1" applyAlignment="1">
      <alignment horizontal="center" vertical="center"/>
    </xf>
    <xf numFmtId="178" fontId="7" fillId="106" borderId="1" xfId="0" applyNumberFormat="1" applyFont="1" applyFill="1" applyBorder="1" applyAlignment="1">
      <alignment horizontal="center" vertical="center" wrapText="1"/>
    </xf>
    <xf numFmtId="178" fontId="3" fillId="106" borderId="1" xfId="0" applyNumberFormat="1" applyFont="1" applyFill="1" applyBorder="1" applyAlignment="1">
      <alignment horizontal="center" vertical="center" wrapText="1"/>
    </xf>
    <xf numFmtId="178" fontId="3" fillId="50" borderId="1" xfId="0" applyNumberFormat="1" applyFont="1" applyFill="1" applyBorder="1" applyAlignment="1">
      <alignment horizontal="center" vertical="center" wrapText="1"/>
    </xf>
    <xf numFmtId="178" fontId="46" fillId="6" borderId="1" xfId="6" applyNumberFormat="1" applyFont="1" applyFill="1" applyBorder="1" applyAlignment="1">
      <alignment horizontal="center" vertical="center"/>
    </xf>
    <xf numFmtId="178" fontId="3" fillId="22" borderId="2" xfId="0" applyNumberFormat="1" applyFont="1" applyFill="1" applyBorder="1" applyAlignment="1">
      <alignment horizontal="center" vertical="center" wrapText="1"/>
    </xf>
    <xf numFmtId="178" fontId="7" fillId="22" borderId="1" xfId="0" applyNumberFormat="1" applyFont="1" applyFill="1" applyBorder="1" applyAlignment="1">
      <alignment horizontal="left" vertical="center" wrapText="1"/>
    </xf>
    <xf numFmtId="178" fontId="7" fillId="0" borderId="10" xfId="0" applyNumberFormat="1" applyFont="1" applyFill="1" applyBorder="1" applyAlignment="1" applyProtection="1">
      <alignment horizontal="center" vertical="center" wrapText="1"/>
    </xf>
    <xf numFmtId="178" fontId="7" fillId="3" borderId="10" xfId="0" applyNumberFormat="1" applyFont="1" applyFill="1" applyBorder="1" applyAlignment="1" applyProtection="1">
      <alignment horizontal="center" vertical="center" wrapText="1"/>
    </xf>
    <xf numFmtId="178" fontId="7" fillId="3" borderId="11" xfId="0" applyNumberFormat="1" applyFont="1" applyFill="1" applyBorder="1" applyAlignment="1" applyProtection="1">
      <alignment horizontal="center" vertical="center" wrapText="1"/>
    </xf>
    <xf numFmtId="178" fontId="11" fillId="106" borderId="1" xfId="0" applyNumberFormat="1" applyFont="1" applyFill="1" applyBorder="1" applyAlignment="1">
      <alignment horizontal="center" vertical="center"/>
    </xf>
    <xf numFmtId="178" fontId="6" fillId="106" borderId="1" xfId="0" applyNumberFormat="1" applyFont="1" applyFill="1" applyBorder="1" applyAlignment="1">
      <alignment horizontal="center" vertical="center"/>
    </xf>
    <xf numFmtId="178" fontId="18" fillId="50" borderId="1" xfId="0" applyNumberFormat="1" applyFont="1" applyFill="1" applyBorder="1" applyAlignment="1">
      <alignment horizontal="center" vertical="center"/>
    </xf>
    <xf numFmtId="178" fontId="8" fillId="50" borderId="1" xfId="0" applyNumberFormat="1" applyFont="1" applyFill="1" applyBorder="1" applyAlignment="1">
      <alignment horizontal="center" vertical="center"/>
    </xf>
    <xf numFmtId="178" fontId="8" fillId="0" borderId="11" xfId="0" applyNumberFormat="1" applyFont="1" applyFill="1" applyBorder="1" applyAlignment="1">
      <alignment horizontal="center" vertical="center"/>
    </xf>
    <xf numFmtId="178" fontId="0" fillId="106" borderId="1" xfId="0" applyNumberFormat="1" applyFont="1" applyFill="1" applyBorder="1">
      <alignment vertical="center"/>
    </xf>
    <xf numFmtId="178" fontId="25" fillId="17" borderId="2" xfId="0" applyNumberFormat="1" applyFont="1" applyFill="1" applyBorder="1" applyAlignment="1">
      <alignment horizontal="center" vertical="center"/>
    </xf>
    <xf numFmtId="178" fontId="83" fillId="3" borderId="2" xfId="0" applyNumberFormat="1" applyFont="1" applyFill="1" applyBorder="1" applyAlignment="1">
      <alignment horizontal="center" vertical="center" wrapText="1"/>
    </xf>
    <xf numFmtId="178" fontId="83" fillId="3" borderId="10" xfId="0" applyNumberFormat="1" applyFont="1" applyFill="1" applyBorder="1" applyAlignment="1">
      <alignment horizontal="center" vertical="center"/>
    </xf>
    <xf numFmtId="178" fontId="83" fillId="3" borderId="11" xfId="0" applyNumberFormat="1" applyFont="1" applyFill="1" applyBorder="1" applyAlignment="1">
      <alignment horizontal="center" vertical="center"/>
    </xf>
    <xf numFmtId="178" fontId="20" fillId="0" borderId="11" xfId="0" applyNumberFormat="1" applyFont="1" applyFill="1" applyBorder="1" applyAlignment="1">
      <alignment horizontal="center" vertical="center"/>
    </xf>
    <xf numFmtId="178" fontId="3" fillId="4" borderId="1" xfId="0" applyNumberFormat="1" applyFont="1" applyFill="1" applyBorder="1" applyAlignment="1">
      <alignment horizontal="center" vertical="center" wrapText="1"/>
    </xf>
    <xf numFmtId="178" fontId="3" fillId="0" borderId="11" xfId="0" applyNumberFormat="1" applyFont="1" applyFill="1" applyBorder="1" applyAlignment="1">
      <alignment horizontal="left" vertical="center" wrapText="1"/>
    </xf>
    <xf numFmtId="178" fontId="13" fillId="3" borderId="1" xfId="0" applyNumberFormat="1" applyFont="1" applyFill="1" applyBorder="1" applyAlignment="1">
      <alignment vertical="center"/>
    </xf>
    <xf numFmtId="178" fontId="9" fillId="3" borderId="1" xfId="0" applyNumberFormat="1" applyFont="1" applyFill="1" applyBorder="1">
      <alignment vertical="center"/>
    </xf>
    <xf numFmtId="178" fontId="1" fillId="106" borderId="1" xfId="0" applyNumberFormat="1" applyFont="1" applyFill="1" applyBorder="1" applyAlignment="1">
      <alignment horizontal="center" vertical="center"/>
    </xf>
    <xf numFmtId="178" fontId="4" fillId="4" borderId="0" xfId="0" applyNumberFormat="1" applyFont="1" applyFill="1" applyBorder="1">
      <alignment vertical="center"/>
    </xf>
    <xf numFmtId="178" fontId="4" fillId="4" borderId="0" xfId="0" applyNumberFormat="1" applyFont="1" applyFill="1" applyBorder="1" applyAlignment="1">
      <alignment vertical="center" wrapText="1"/>
    </xf>
    <xf numFmtId="178" fontId="3" fillId="3" borderId="0" xfId="0" applyNumberFormat="1" applyFont="1" applyFill="1" applyBorder="1">
      <alignment vertical="center"/>
    </xf>
    <xf numFmtId="178" fontId="0" fillId="0" borderId="1" xfId="0" applyNumberFormat="1" applyFont="1" applyFill="1" applyBorder="1" applyAlignment="1">
      <alignment horizontal="center" vertical="center"/>
    </xf>
    <xf numFmtId="178" fontId="0" fillId="0" borderId="1" xfId="0" applyNumberFormat="1" applyFill="1" applyBorder="1" applyAlignment="1">
      <alignment horizontal="center" vertical="center"/>
    </xf>
    <xf numFmtId="178" fontId="84" fillId="0" borderId="2" xfId="0" applyNumberFormat="1" applyFont="1" applyFill="1" applyBorder="1" applyAlignment="1">
      <alignment horizontal="center" vertical="center" wrapText="1"/>
    </xf>
    <xf numFmtId="178" fontId="84" fillId="0" borderId="10" xfId="0" applyNumberFormat="1" applyFont="1" applyFill="1" applyBorder="1" applyAlignment="1">
      <alignment horizontal="center" vertical="center" wrapText="1"/>
    </xf>
    <xf numFmtId="178" fontId="84" fillId="0" borderId="11" xfId="0" applyNumberFormat="1" applyFont="1" applyFill="1" applyBorder="1" applyAlignment="1">
      <alignment horizontal="center" vertical="center" wrapText="1"/>
    </xf>
    <xf numFmtId="178" fontId="39" fillId="0" borderId="1" xfId="0" applyNumberFormat="1" applyFont="1" applyFill="1" applyBorder="1" applyAlignment="1">
      <alignment horizontal="left" vertical="center" wrapText="1"/>
    </xf>
    <xf numFmtId="178" fontId="39" fillId="0" borderId="1" xfId="0" applyNumberFormat="1" applyFont="1" applyFill="1" applyBorder="1" applyAlignment="1">
      <alignment horizontal="center" vertical="center" wrapText="1"/>
    </xf>
    <xf numFmtId="178" fontId="45" fillId="0" borderId="1" xfId="0" applyNumberFormat="1" applyFont="1" applyBorder="1" applyAlignment="1">
      <alignment horizontal="center" vertical="center" wrapText="1"/>
    </xf>
    <xf numFmtId="178" fontId="49" fillId="0" borderId="1" xfId="0" applyNumberFormat="1" applyFont="1" applyFill="1" applyBorder="1">
      <alignment vertical="center"/>
    </xf>
    <xf numFmtId="178" fontId="1" fillId="0" borderId="2" xfId="0" applyNumberFormat="1" applyFont="1" applyFill="1" applyBorder="1">
      <alignment vertical="center"/>
    </xf>
    <xf numFmtId="178" fontId="4" fillId="49" borderId="0" xfId="0" applyNumberFormat="1" applyFont="1" applyFill="1" applyBorder="1">
      <alignment vertical="center"/>
    </xf>
    <xf numFmtId="178" fontId="0" fillId="0" borderId="0" xfId="0" applyNumberFormat="1" applyBorder="1" applyAlignment="1">
      <alignment horizontal="center" vertical="center"/>
    </xf>
    <xf numFmtId="178" fontId="7" fillId="0" borderId="0" xfId="0" applyNumberFormat="1" applyFont="1" applyFill="1" applyBorder="1" applyAlignment="1">
      <alignment horizontal="center" vertical="center" wrapText="1"/>
    </xf>
    <xf numFmtId="178" fontId="7" fillId="0" borderId="0" xfId="0" applyNumberFormat="1" applyFont="1" applyFill="1" applyBorder="1" applyAlignment="1">
      <alignment horizontal="center" vertical="center"/>
    </xf>
    <xf numFmtId="178" fontId="80" fillId="3" borderId="1" xfId="0" applyNumberFormat="1" applyFont="1" applyFill="1" applyBorder="1" applyAlignment="1">
      <alignment horizontal="center" vertical="center" wrapText="1"/>
    </xf>
    <xf numFmtId="178" fontId="2" fillId="3" borderId="1" xfId="0" applyNumberFormat="1" applyFont="1" applyFill="1" applyBorder="1" applyAlignment="1">
      <alignment horizontal="justify" vertical="center" wrapText="1"/>
    </xf>
    <xf numFmtId="178" fontId="8" fillId="0" borderId="1" xfId="0" applyNumberFormat="1" applyFont="1" applyFill="1" applyBorder="1" applyAlignment="1">
      <alignment vertical="center" wrapText="1"/>
    </xf>
    <xf numFmtId="178" fontId="11" fillId="0" borderId="1" xfId="0" applyNumberFormat="1" applyFont="1" applyFill="1" applyBorder="1">
      <alignment vertical="center"/>
    </xf>
    <xf numFmtId="178" fontId="17" fillId="0" borderId="1" xfId="0" applyNumberFormat="1" applyFont="1" applyFill="1" applyBorder="1" applyAlignment="1">
      <alignment vertical="center" wrapText="1"/>
    </xf>
    <xf numFmtId="178" fontId="49" fillId="0" borderId="1" xfId="0" applyNumberFormat="1" applyFont="1" applyFill="1" applyBorder="1" applyAlignment="1">
      <alignment horizontal="center" vertical="center"/>
    </xf>
    <xf numFmtId="178" fontId="1" fillId="17" borderId="10" xfId="0" applyNumberFormat="1" applyFont="1" applyFill="1" applyBorder="1" applyAlignment="1">
      <alignment horizontal="center" vertical="center" wrapText="1"/>
    </xf>
    <xf numFmtId="178" fontId="19" fillId="3" borderId="2" xfId="0" applyNumberFormat="1" applyFont="1" applyFill="1" applyBorder="1" applyAlignment="1">
      <alignment horizontal="center" vertical="center"/>
    </xf>
    <xf numFmtId="178" fontId="19" fillId="3" borderId="10" xfId="0" applyNumberFormat="1" applyFont="1" applyFill="1" applyBorder="1" applyAlignment="1">
      <alignment horizontal="center" vertical="center"/>
    </xf>
    <xf numFmtId="178" fontId="19" fillId="3" borderId="11" xfId="0" applyNumberFormat="1" applyFont="1" applyFill="1" applyBorder="1" applyAlignment="1">
      <alignment horizontal="center" vertical="center"/>
    </xf>
    <xf numFmtId="178" fontId="7" fillId="20" borderId="1" xfId="0" applyNumberFormat="1" applyFont="1" applyFill="1" applyBorder="1" applyAlignment="1">
      <alignment vertical="center" wrapText="1"/>
    </xf>
    <xf numFmtId="178" fontId="17" fillId="3" borderId="1" xfId="0" applyNumberFormat="1" applyFont="1" applyFill="1" applyBorder="1">
      <alignment vertical="center"/>
    </xf>
    <xf numFmtId="178" fontId="3" fillId="20" borderId="2" xfId="0" applyNumberFormat="1" applyFont="1" applyFill="1" applyBorder="1" applyAlignment="1">
      <alignment horizontal="center" vertical="center"/>
    </xf>
    <xf numFmtId="178" fontId="1" fillId="9" borderId="11" xfId="0" applyNumberFormat="1" applyFont="1" applyFill="1" applyBorder="1" applyAlignment="1">
      <alignment horizontal="center" vertical="center" wrapText="1"/>
    </xf>
    <xf numFmtId="178" fontId="7" fillId="42" borderId="1" xfId="0" applyNumberFormat="1" applyFont="1" applyFill="1" applyBorder="1" applyAlignment="1">
      <alignment horizontal="center" vertical="center" wrapText="1"/>
    </xf>
    <xf numFmtId="178" fontId="1" fillId="42" borderId="1" xfId="0" applyNumberFormat="1" applyFont="1" applyFill="1" applyBorder="1" applyAlignment="1">
      <alignment horizontal="center" vertical="center" wrapText="1"/>
    </xf>
    <xf numFmtId="178" fontId="9" fillId="5" borderId="2" xfId="0" applyNumberFormat="1" applyFont="1" applyFill="1" applyBorder="1" applyAlignment="1">
      <alignment horizontal="center" vertical="center"/>
    </xf>
    <xf numFmtId="178" fontId="9" fillId="5" borderId="10" xfId="0" applyNumberFormat="1" applyFont="1" applyFill="1" applyBorder="1" applyAlignment="1">
      <alignment horizontal="center" vertical="center"/>
    </xf>
    <xf numFmtId="178" fontId="9" fillId="5" borderId="11" xfId="0" applyNumberFormat="1" applyFont="1" applyFill="1" applyBorder="1" applyAlignment="1">
      <alignment horizontal="center" vertical="center"/>
    </xf>
    <xf numFmtId="178" fontId="1" fillId="5" borderId="2" xfId="0" applyNumberFormat="1" applyFont="1" applyFill="1" applyBorder="1" applyAlignment="1">
      <alignment vertical="center"/>
    </xf>
    <xf numFmtId="178" fontId="1" fillId="5" borderId="10" xfId="0" applyNumberFormat="1" applyFont="1" applyFill="1" applyBorder="1" applyAlignment="1">
      <alignment vertical="center"/>
    </xf>
    <xf numFmtId="178" fontId="1" fillId="5" borderId="11" xfId="0" applyNumberFormat="1" applyFont="1" applyFill="1" applyBorder="1" applyAlignment="1">
      <alignment vertical="center"/>
    </xf>
    <xf numFmtId="178" fontId="2" fillId="78" borderId="1" xfId="0" applyNumberFormat="1" applyFont="1" applyFill="1" applyBorder="1" applyAlignment="1">
      <alignment horizontal="center" vertical="center" wrapText="1"/>
    </xf>
    <xf numFmtId="178" fontId="7" fillId="78" borderId="1" xfId="0" applyNumberFormat="1" applyFont="1" applyFill="1" applyBorder="1" applyAlignment="1">
      <alignment horizontal="left" vertical="center" wrapText="1"/>
    </xf>
    <xf numFmtId="178" fontId="2" fillId="78" borderId="1" xfId="0" applyNumberFormat="1" applyFont="1" applyFill="1" applyBorder="1" applyAlignment="1">
      <alignment horizontal="left" vertical="center" wrapText="1"/>
    </xf>
    <xf numFmtId="178" fontId="2" fillId="43" borderId="1" xfId="0" applyNumberFormat="1" applyFont="1" applyFill="1" applyBorder="1" applyAlignment="1">
      <alignment horizontal="center" vertical="center" wrapText="1"/>
    </xf>
    <xf numFmtId="178" fontId="2" fillId="43" borderId="1" xfId="0" applyNumberFormat="1" applyFont="1" applyFill="1" applyBorder="1" applyAlignment="1">
      <alignment horizontal="left" vertical="center" wrapText="1"/>
    </xf>
    <xf numFmtId="178" fontId="7" fillId="14" borderId="1" xfId="0" applyNumberFormat="1" applyFont="1" applyFill="1" applyBorder="1" applyAlignment="1">
      <alignment vertical="center" wrapText="1"/>
    </xf>
    <xf numFmtId="178" fontId="2" fillId="9" borderId="1" xfId="0" applyNumberFormat="1" applyFont="1" applyFill="1" applyBorder="1" applyAlignment="1">
      <alignment vertical="center" wrapText="1"/>
    </xf>
    <xf numFmtId="178" fontId="7" fillId="9" borderId="1" xfId="0" applyNumberFormat="1" applyFont="1" applyFill="1" applyBorder="1" applyAlignment="1">
      <alignment vertical="center" wrapText="1"/>
    </xf>
    <xf numFmtId="178" fontId="7" fillId="42" borderId="1" xfId="0" applyNumberFormat="1" applyFont="1" applyFill="1" applyBorder="1" applyAlignment="1">
      <alignment horizontal="justify" vertical="center" wrapText="1"/>
    </xf>
    <xf numFmtId="178" fontId="2" fillId="42" borderId="1" xfId="0" applyNumberFormat="1" applyFont="1" applyFill="1" applyBorder="1" applyAlignment="1">
      <alignment horizontal="center" vertical="center" wrapText="1"/>
    </xf>
    <xf numFmtId="178" fontId="2" fillId="42" borderId="1" xfId="0" applyNumberFormat="1" applyFont="1" applyFill="1" applyBorder="1" applyAlignment="1">
      <alignment horizontal="justify" vertical="center" wrapText="1"/>
    </xf>
    <xf numFmtId="178" fontId="2" fillId="42" borderId="1" xfId="0" applyNumberFormat="1" applyFont="1" applyFill="1" applyBorder="1" applyAlignment="1">
      <alignment horizontal="left" vertical="center" wrapText="1"/>
    </xf>
    <xf numFmtId="178" fontId="2" fillId="6" borderId="1" xfId="0" applyNumberFormat="1" applyFont="1" applyFill="1" applyBorder="1" applyAlignment="1">
      <alignment horizontal="justify" vertical="center" wrapText="1"/>
    </xf>
    <xf numFmtId="178" fontId="2" fillId="43" borderId="1" xfId="0" applyNumberFormat="1" applyFont="1" applyFill="1" applyBorder="1" applyAlignment="1">
      <alignment horizontal="justify" vertical="center" wrapText="1"/>
    </xf>
    <xf numFmtId="178" fontId="2" fillId="43" borderId="1" xfId="0" applyNumberFormat="1" applyFont="1" applyFill="1" applyBorder="1" applyAlignment="1">
      <alignment horizontal="center" vertical="center"/>
    </xf>
    <xf numFmtId="178" fontId="2" fillId="50" borderId="1" xfId="0" applyNumberFormat="1" applyFont="1" applyFill="1" applyBorder="1" applyAlignment="1">
      <alignment horizontal="justify" vertical="center" wrapText="1"/>
    </xf>
    <xf numFmtId="178" fontId="2" fillId="50" borderId="1" xfId="0" applyNumberFormat="1" applyFont="1" applyFill="1" applyBorder="1" applyAlignment="1">
      <alignment horizontal="center" vertical="center" wrapText="1"/>
    </xf>
    <xf numFmtId="178" fontId="7" fillId="5" borderId="1" xfId="0" applyNumberFormat="1" applyFont="1" applyFill="1" applyBorder="1" applyAlignment="1">
      <alignment vertical="center" wrapText="1"/>
    </xf>
    <xf numFmtId="178" fontId="1" fillId="44" borderId="1" xfId="0" applyNumberFormat="1" applyFont="1" applyFill="1" applyBorder="1" applyAlignment="1">
      <alignment horizontal="center" vertical="center"/>
    </xf>
    <xf numFmtId="178" fontId="13" fillId="5" borderId="1" xfId="0" applyNumberFormat="1" applyFont="1" applyFill="1" applyBorder="1" applyAlignment="1">
      <alignment horizontal="left" vertical="center" wrapText="1"/>
    </xf>
    <xf numFmtId="178" fontId="2" fillId="5" borderId="1" xfId="0" applyNumberFormat="1" applyFont="1" applyFill="1" applyBorder="1" applyAlignment="1">
      <alignment horizontal="center" vertical="center" wrapText="1"/>
    </xf>
    <xf numFmtId="178" fontId="11" fillId="5" borderId="1" xfId="0" applyNumberFormat="1" applyFont="1" applyFill="1" applyBorder="1" applyAlignment="1">
      <alignment vertical="center" wrapText="1"/>
    </xf>
    <xf numFmtId="178" fontId="0" fillId="20" borderId="1" xfId="0" applyNumberFormat="1" applyFont="1" applyFill="1" applyBorder="1" applyAlignment="1">
      <alignment horizontal="center" vertical="center"/>
    </xf>
    <xf numFmtId="178" fontId="7" fillId="42" borderId="1" xfId="0" applyNumberFormat="1" applyFont="1" applyFill="1" applyBorder="1" applyAlignment="1">
      <alignment horizontal="center" vertical="center"/>
    </xf>
    <xf numFmtId="178" fontId="1" fillId="9" borderId="1" xfId="0" applyNumberFormat="1" applyFont="1" applyFill="1" applyBorder="1">
      <alignment vertical="center"/>
    </xf>
    <xf numFmtId="178" fontId="1" fillId="42" borderId="1" xfId="0" applyNumberFormat="1" applyFont="1" applyFill="1" applyBorder="1">
      <alignment vertical="center"/>
    </xf>
    <xf numFmtId="178" fontId="1" fillId="45" borderId="1" xfId="0" applyNumberFormat="1" applyFont="1" applyFill="1" applyBorder="1">
      <alignment vertical="center"/>
    </xf>
    <xf numFmtId="178" fontId="3" fillId="78" borderId="1" xfId="0" applyNumberFormat="1" applyFont="1" applyFill="1" applyBorder="1">
      <alignment vertical="center"/>
    </xf>
    <xf numFmtId="178" fontId="3" fillId="9" borderId="1" xfId="0" applyNumberFormat="1" applyFont="1" applyFill="1" applyBorder="1">
      <alignment vertical="center"/>
    </xf>
    <xf numFmtId="178" fontId="3" fillId="42" borderId="1" xfId="0" applyNumberFormat="1" applyFont="1" applyFill="1" applyBorder="1">
      <alignment vertical="center"/>
    </xf>
    <xf numFmtId="178" fontId="18" fillId="15" borderId="1" xfId="0" applyNumberFormat="1" applyFont="1" applyFill="1" applyBorder="1">
      <alignment vertical="center"/>
    </xf>
    <xf numFmtId="178" fontId="6" fillId="20" borderId="1" xfId="0" applyNumberFormat="1" applyFont="1" applyFill="1" applyBorder="1">
      <alignment vertical="center"/>
    </xf>
    <xf numFmtId="178" fontId="6" fillId="78" borderId="1" xfId="0" applyNumberFormat="1" applyFont="1" applyFill="1" applyBorder="1">
      <alignment vertical="center"/>
    </xf>
    <xf numFmtId="178" fontId="6" fillId="9" borderId="1" xfId="0" applyNumberFormat="1" applyFont="1" applyFill="1" applyBorder="1">
      <alignment vertical="center"/>
    </xf>
    <xf numFmtId="178" fontId="6" fillId="42" borderId="1" xfId="0" applyNumberFormat="1" applyFont="1" applyFill="1" applyBorder="1">
      <alignment vertical="center"/>
    </xf>
    <xf numFmtId="178" fontId="6" fillId="5" borderId="1" xfId="0" applyNumberFormat="1" applyFont="1" applyFill="1" applyBorder="1">
      <alignment vertical="center"/>
    </xf>
    <xf numFmtId="178" fontId="7" fillId="5" borderId="1" xfId="0" applyNumberFormat="1" applyFont="1" applyFill="1" applyBorder="1">
      <alignment vertical="center"/>
    </xf>
    <xf numFmtId="178" fontId="0" fillId="50" borderId="0" xfId="0" applyNumberFormat="1" applyFill="1" applyBorder="1">
      <alignment vertical="center"/>
    </xf>
    <xf numFmtId="178" fontId="7" fillId="14" borderId="10" xfId="0" applyNumberFormat="1" applyFont="1" applyFill="1" applyBorder="1" applyAlignment="1">
      <alignment horizontal="center" vertical="center"/>
    </xf>
    <xf numFmtId="178" fontId="1" fillId="14" borderId="10" xfId="0" applyNumberFormat="1" applyFont="1" applyFill="1" applyBorder="1" applyAlignment="1">
      <alignment horizontal="center" vertical="center"/>
    </xf>
    <xf numFmtId="178" fontId="1" fillId="14" borderId="11" xfId="0" applyNumberFormat="1" applyFont="1" applyFill="1" applyBorder="1" applyAlignment="1">
      <alignment horizontal="center" vertical="center"/>
    </xf>
    <xf numFmtId="178" fontId="1" fillId="0" borderId="1" xfId="0" applyNumberFormat="1" applyFont="1" applyFill="1" applyBorder="1" applyAlignment="1">
      <alignment horizontal="justify" vertical="center" wrapText="1"/>
    </xf>
    <xf numFmtId="178" fontId="7" fillId="15" borderId="11" xfId="0" applyNumberFormat="1" applyFont="1" applyFill="1" applyBorder="1" applyAlignment="1">
      <alignment horizontal="center" vertical="center" wrapText="1"/>
    </xf>
    <xf numFmtId="178" fontId="7" fillId="43" borderId="2" xfId="0" applyNumberFormat="1" applyFont="1" applyFill="1" applyBorder="1" applyAlignment="1">
      <alignment horizontal="center" vertical="center" wrapText="1"/>
    </xf>
    <xf numFmtId="178" fontId="2" fillId="43" borderId="1" xfId="0" applyNumberFormat="1" applyFont="1" applyFill="1" applyBorder="1" applyAlignment="1">
      <alignment horizontal="justify" vertical="center"/>
    </xf>
    <xf numFmtId="178" fontId="1" fillId="13" borderId="2" xfId="0" applyNumberFormat="1" applyFont="1" applyFill="1" applyBorder="1" applyAlignment="1">
      <alignment horizontal="center" vertical="center" wrapText="1"/>
    </xf>
    <xf numFmtId="178" fontId="85" fillId="0" borderId="1" xfId="0" applyNumberFormat="1" applyFont="1" applyFill="1" applyBorder="1" applyAlignment="1">
      <alignment horizontal="center" vertical="center" wrapText="1"/>
    </xf>
    <xf numFmtId="178" fontId="85" fillId="0" borderId="2" xfId="0" applyNumberFormat="1" applyFont="1" applyFill="1" applyBorder="1" applyAlignment="1">
      <alignment horizontal="center" vertical="center" wrapText="1"/>
    </xf>
    <xf numFmtId="178" fontId="85" fillId="0" borderId="10" xfId="0" applyNumberFormat="1" applyFont="1" applyFill="1" applyBorder="1" applyAlignment="1">
      <alignment horizontal="center" vertical="center" wrapText="1"/>
    </xf>
    <xf numFmtId="178" fontId="9" fillId="14" borderId="10" xfId="0" applyNumberFormat="1" applyFont="1" applyFill="1" applyBorder="1" applyAlignment="1">
      <alignment horizontal="center" vertical="center"/>
    </xf>
    <xf numFmtId="178" fontId="17" fillId="14" borderId="10" xfId="0" applyNumberFormat="1" applyFont="1" applyFill="1" applyBorder="1" applyAlignment="1">
      <alignment horizontal="center" vertical="center"/>
    </xf>
    <xf numFmtId="178" fontId="17" fillId="14" borderId="11" xfId="0" applyNumberFormat="1" applyFont="1" applyFill="1" applyBorder="1" applyAlignment="1">
      <alignment horizontal="center" vertical="center"/>
    </xf>
    <xf numFmtId="178" fontId="9" fillId="14" borderId="11" xfId="0" applyNumberFormat="1" applyFont="1" applyFill="1" applyBorder="1" applyAlignment="1">
      <alignment horizontal="center" vertical="center"/>
    </xf>
    <xf numFmtId="178" fontId="9" fillId="13" borderId="2" xfId="0" applyNumberFormat="1" applyFont="1" applyFill="1" applyBorder="1" applyAlignment="1">
      <alignment horizontal="center" vertical="center"/>
    </xf>
    <xf numFmtId="178" fontId="9" fillId="13" borderId="10" xfId="0" applyNumberFormat="1" applyFont="1" applyFill="1" applyBorder="1" applyAlignment="1">
      <alignment horizontal="center" vertical="center"/>
    </xf>
    <xf numFmtId="178" fontId="9" fillId="13" borderId="11" xfId="0" applyNumberFormat="1" applyFont="1" applyFill="1" applyBorder="1" applyAlignment="1">
      <alignment horizontal="center" vertical="center"/>
    </xf>
    <xf numFmtId="178" fontId="1" fillId="0" borderId="2" xfId="0" applyNumberFormat="1" applyFont="1" applyFill="1" applyBorder="1" applyAlignment="1">
      <alignment horizontal="center" vertical="center"/>
    </xf>
    <xf numFmtId="178" fontId="1" fillId="0" borderId="10" xfId="0" applyNumberFormat="1" applyFont="1" applyFill="1" applyBorder="1" applyAlignment="1">
      <alignment horizontal="center" vertical="center"/>
    </xf>
    <xf numFmtId="178" fontId="1" fillId="0" borderId="10" xfId="0" applyNumberFormat="1" applyFont="1" applyFill="1" applyBorder="1" applyAlignment="1">
      <alignment horizontal="center" vertical="center"/>
    </xf>
    <xf numFmtId="178" fontId="1" fillId="30" borderId="2" xfId="0" applyNumberFormat="1" applyFont="1" applyFill="1" applyBorder="1" applyAlignment="1">
      <alignment vertical="center"/>
    </xf>
    <xf numFmtId="178" fontId="1" fillId="43" borderId="2" xfId="0" applyNumberFormat="1" applyFont="1" applyFill="1" applyBorder="1" applyAlignment="1">
      <alignment horizontal="center" vertical="center"/>
    </xf>
    <xf numFmtId="178" fontId="1" fillId="43" borderId="10" xfId="0" applyNumberFormat="1" applyFont="1" applyFill="1" applyBorder="1" applyAlignment="1">
      <alignment horizontal="center" vertical="center"/>
    </xf>
    <xf numFmtId="178" fontId="1" fillId="43" borderId="11" xfId="0" applyNumberFormat="1" applyFont="1" applyFill="1" applyBorder="1" applyAlignment="1">
      <alignment horizontal="center" vertical="center"/>
    </xf>
    <xf numFmtId="178" fontId="9" fillId="14" borderId="10" xfId="0" applyNumberFormat="1" applyFont="1" applyFill="1" applyBorder="1" applyAlignment="1">
      <alignment horizontal="center" vertical="center" wrapText="1"/>
    </xf>
    <xf numFmtId="178" fontId="9" fillId="14" borderId="11" xfId="0" applyNumberFormat="1" applyFont="1" applyFill="1" applyBorder="1" applyAlignment="1">
      <alignment horizontal="center" vertical="center" wrapText="1"/>
    </xf>
    <xf numFmtId="178" fontId="8" fillId="13" borderId="2" xfId="0" applyNumberFormat="1" applyFont="1" applyFill="1" applyBorder="1" applyAlignment="1">
      <alignment horizontal="center" vertical="center" wrapText="1"/>
    </xf>
    <xf numFmtId="178" fontId="9" fillId="13" borderId="10" xfId="0" applyNumberFormat="1" applyFont="1" applyFill="1" applyBorder="1" applyAlignment="1">
      <alignment horizontal="center" vertical="center" wrapText="1"/>
    </xf>
    <xf numFmtId="178" fontId="9" fillId="13" borderId="11" xfId="0" applyNumberFormat="1" applyFont="1" applyFill="1" applyBorder="1" applyAlignment="1">
      <alignment horizontal="center" vertical="center" wrapText="1"/>
    </xf>
    <xf numFmtId="178" fontId="1" fillId="15" borderId="11" xfId="0" applyNumberFormat="1" applyFont="1" applyFill="1" applyBorder="1" applyAlignment="1">
      <alignment horizontal="center" vertical="center"/>
    </xf>
    <xf numFmtId="178" fontId="2" fillId="14" borderId="2" xfId="0" applyNumberFormat="1" applyFont="1" applyFill="1" applyBorder="1" applyAlignment="1">
      <alignment horizontal="center" vertical="center" wrapText="1"/>
    </xf>
    <xf numFmtId="178" fontId="2" fillId="14" borderId="11" xfId="0" applyNumberFormat="1" applyFont="1" applyFill="1" applyBorder="1" applyAlignment="1">
      <alignment horizontal="center" vertical="center" wrapText="1"/>
    </xf>
    <xf numFmtId="178" fontId="1" fillId="0" borderId="1" xfId="0" applyNumberFormat="1" applyFont="1" applyBorder="1" applyAlignment="1">
      <alignment horizontal="justify" vertical="center"/>
    </xf>
    <xf numFmtId="178" fontId="0" fillId="0" borderId="2" xfId="0" applyNumberFormat="1" applyFill="1" applyBorder="1" applyAlignment="1">
      <alignment horizontal="center" vertical="center"/>
    </xf>
    <xf numFmtId="178" fontId="0" fillId="0" borderId="11" xfId="0" applyNumberFormat="1" applyFill="1" applyBorder="1" applyAlignment="1">
      <alignment horizontal="center" vertical="center"/>
    </xf>
    <xf numFmtId="178" fontId="25" fillId="13" borderId="1" xfId="0" applyNumberFormat="1" applyFont="1" applyFill="1" applyBorder="1" applyAlignment="1">
      <alignment horizontal="center" vertical="center"/>
    </xf>
    <xf numFmtId="178" fontId="19" fillId="14" borderId="2" xfId="0" applyNumberFormat="1" applyFont="1" applyFill="1" applyBorder="1" applyAlignment="1">
      <alignment horizontal="center" vertical="center"/>
    </xf>
    <xf numFmtId="178" fontId="17" fillId="14" borderId="1" xfId="0" applyNumberFormat="1" applyFont="1" applyFill="1" applyBorder="1" applyAlignment="1">
      <alignment horizontal="center" vertical="center"/>
    </xf>
    <xf numFmtId="178" fontId="19" fillId="14" borderId="1" xfId="0" applyNumberFormat="1" applyFont="1" applyFill="1" applyBorder="1" applyAlignment="1">
      <alignment horizontal="center" vertical="center"/>
    </xf>
    <xf numFmtId="178" fontId="18" fillId="14" borderId="1" xfId="0" applyNumberFormat="1" applyFont="1" applyFill="1" applyBorder="1" applyAlignment="1">
      <alignment horizontal="center" vertical="center"/>
    </xf>
    <xf numFmtId="178" fontId="8" fillId="14" borderId="1" xfId="0" applyNumberFormat="1" applyFont="1" applyFill="1" applyBorder="1" applyAlignment="1">
      <alignment horizontal="center" vertical="center"/>
    </xf>
    <xf numFmtId="178" fontId="0" fillId="0" borderId="1" xfId="0" applyNumberFormat="1" applyFont="1" applyFill="1" applyBorder="1">
      <alignment vertical="center"/>
    </xf>
    <xf numFmtId="178" fontId="9" fillId="0" borderId="10" xfId="0" applyNumberFormat="1" applyFont="1" applyFill="1" applyBorder="1" applyAlignment="1">
      <alignment horizontal="center" vertical="center"/>
    </xf>
    <xf numFmtId="178" fontId="15" fillId="0" borderId="2" xfId="0" applyNumberFormat="1" applyFont="1" applyFill="1" applyBorder="1" applyAlignment="1">
      <alignment horizontal="center" vertical="center"/>
    </xf>
    <xf numFmtId="178" fontId="25" fillId="0" borderId="2" xfId="0" applyNumberFormat="1" applyFont="1" applyFill="1" applyBorder="1" applyAlignment="1">
      <alignment horizontal="center" vertical="center" wrapText="1"/>
    </xf>
    <xf numFmtId="178" fontId="15" fillId="0" borderId="10" xfId="0" applyNumberFormat="1" applyFont="1" applyFill="1" applyBorder="1" applyAlignment="1">
      <alignment horizontal="center" vertical="center"/>
    </xf>
    <xf numFmtId="178" fontId="25" fillId="0" borderId="10" xfId="0" applyNumberFormat="1" applyFont="1" applyFill="1" applyBorder="1" applyAlignment="1">
      <alignment horizontal="center" vertical="center" wrapText="1"/>
    </xf>
    <xf numFmtId="178" fontId="17" fillId="15" borderId="1" xfId="0" applyNumberFormat="1" applyFont="1" applyFill="1" applyBorder="1" applyAlignment="1">
      <alignment horizontal="center" vertical="center" wrapText="1"/>
    </xf>
    <xf numFmtId="178" fontId="17" fillId="43" borderId="1" xfId="0" applyNumberFormat="1" applyFont="1" applyFill="1" applyBorder="1" applyAlignment="1">
      <alignment horizontal="center" vertical="center" wrapText="1"/>
    </xf>
    <xf numFmtId="178" fontId="17" fillId="14" borderId="1" xfId="0" applyNumberFormat="1" applyFont="1" applyFill="1" applyBorder="1" applyAlignment="1">
      <alignment horizontal="center" vertical="center" wrapText="1"/>
    </xf>
    <xf numFmtId="178" fontId="7" fillId="14" borderId="11" xfId="0" applyNumberFormat="1" applyFont="1" applyFill="1" applyBorder="1" applyAlignment="1">
      <alignment vertical="center" wrapText="1"/>
    </xf>
    <xf numFmtId="178" fontId="17" fillId="14" borderId="11" xfId="0" applyNumberFormat="1" applyFont="1" applyFill="1" applyBorder="1" applyAlignment="1">
      <alignment horizontal="center" vertical="center" wrapText="1"/>
    </xf>
    <xf numFmtId="178" fontId="1" fillId="0" borderId="2" xfId="0" applyNumberFormat="1" applyFont="1" applyFill="1" applyBorder="1" applyAlignment="1">
      <alignment vertical="center" wrapText="1"/>
    </xf>
    <xf numFmtId="178" fontId="1" fillId="0" borderId="11" xfId="0" applyNumberFormat="1" applyFont="1" applyFill="1" applyBorder="1" applyAlignment="1">
      <alignment vertical="center" wrapText="1"/>
    </xf>
    <xf numFmtId="178" fontId="0" fillId="0" borderId="11" xfId="0" applyNumberFormat="1" applyFill="1" applyBorder="1">
      <alignment vertical="center"/>
    </xf>
    <xf numFmtId="178" fontId="72" fillId="0" borderId="2" xfId="0" applyNumberFormat="1" applyFont="1" applyFill="1" applyBorder="1" applyAlignment="1">
      <alignment horizontal="center" vertical="center"/>
    </xf>
    <xf numFmtId="178" fontId="72" fillId="0" borderId="10" xfId="0" applyNumberFormat="1" applyFont="1" applyFill="1" applyBorder="1" applyAlignment="1">
      <alignment horizontal="center" vertical="center"/>
    </xf>
    <xf numFmtId="178" fontId="7" fillId="15" borderId="1" xfId="0" applyNumberFormat="1" applyFont="1" applyFill="1" applyBorder="1">
      <alignment vertical="center"/>
    </xf>
    <xf numFmtId="178" fontId="18" fillId="43" borderId="1" xfId="0" applyNumberFormat="1" applyFont="1" applyFill="1" applyBorder="1" applyAlignment="1">
      <alignment horizontal="center" vertical="center"/>
    </xf>
    <xf numFmtId="178" fontId="0" fillId="14" borderId="0" xfId="0" applyNumberFormat="1" applyFill="1" applyBorder="1">
      <alignment vertical="center"/>
    </xf>
    <xf numFmtId="178" fontId="1" fillId="14" borderId="2" xfId="0" applyNumberFormat="1" applyFont="1" applyFill="1" applyBorder="1">
      <alignment vertical="center"/>
    </xf>
    <xf numFmtId="178" fontId="6" fillId="14" borderId="2" xfId="0" applyNumberFormat="1" applyFont="1" applyFill="1" applyBorder="1" applyAlignment="1">
      <alignment horizontal="center" vertical="center"/>
    </xf>
    <xf numFmtId="178" fontId="1" fillId="14" borderId="11" xfId="0" applyNumberFormat="1" applyFont="1" applyFill="1" applyBorder="1">
      <alignment vertical="center"/>
    </xf>
    <xf numFmtId="178" fontId="1" fillId="13" borderId="1" xfId="0" applyNumberFormat="1" applyFont="1" applyFill="1" applyBorder="1" applyAlignment="1">
      <alignment vertical="center"/>
    </xf>
    <xf numFmtId="178" fontId="6" fillId="14" borderId="2" xfId="0" applyNumberFormat="1" applyFont="1" applyFill="1" applyBorder="1">
      <alignment vertical="center"/>
    </xf>
    <xf numFmtId="178" fontId="3" fillId="0" borderId="10" xfId="0" applyNumberFormat="1" applyFont="1" applyFill="1" applyBorder="1" applyAlignment="1">
      <alignment vertical="center"/>
    </xf>
    <xf numFmtId="178" fontId="3" fillId="14" borderId="11" xfId="0" applyNumberFormat="1" applyFont="1" applyFill="1" applyBorder="1">
      <alignment vertical="center"/>
    </xf>
    <xf numFmtId="178" fontId="0" fillId="43" borderId="0" xfId="0" applyNumberFormat="1" applyFill="1" applyBorder="1">
      <alignment vertical="center"/>
    </xf>
    <xf numFmtId="178" fontId="4" fillId="13" borderId="0" xfId="0" applyNumberFormat="1" applyFont="1" applyFill="1" applyBorder="1">
      <alignment vertical="center"/>
    </xf>
    <xf numFmtId="178" fontId="0" fillId="0" borderId="20" xfId="0" applyNumberFormat="1" applyFill="1" applyBorder="1">
      <alignment vertical="center"/>
    </xf>
    <xf numFmtId="0" fontId="0" fillId="0" borderId="29" xfId="0" applyFill="1" applyBorder="1">
      <alignment vertical="center"/>
    </xf>
    <xf numFmtId="178" fontId="17" fillId="13" borderId="10" xfId="0" applyNumberFormat="1" applyFont="1" applyFill="1" applyBorder="1" applyAlignment="1">
      <alignment horizontal="center" vertical="center"/>
    </xf>
    <xf numFmtId="178" fontId="19" fillId="13" borderId="10" xfId="0" applyNumberFormat="1" applyFont="1" applyFill="1" applyBorder="1" applyAlignment="1">
      <alignment horizontal="center" vertical="center"/>
    </xf>
    <xf numFmtId="178" fontId="17" fillId="13" borderId="10" xfId="0" applyNumberFormat="1" applyFont="1" applyFill="1" applyBorder="1" applyAlignment="1">
      <alignment horizontal="center" vertical="center" wrapText="1"/>
    </xf>
    <xf numFmtId="178" fontId="7" fillId="14" borderId="0" xfId="0" applyNumberFormat="1" applyFont="1" applyFill="1" applyBorder="1" applyAlignment="1">
      <alignment horizontal="center" vertical="center"/>
    </xf>
    <xf numFmtId="178" fontId="19" fillId="13" borderId="10" xfId="0" applyNumberFormat="1" applyFont="1" applyFill="1" applyBorder="1" applyAlignment="1">
      <alignment horizontal="center" vertical="center" wrapText="1"/>
    </xf>
    <xf numFmtId="178" fontId="86" fillId="0" borderId="2" xfId="0" applyNumberFormat="1" applyFont="1" applyFill="1" applyBorder="1" applyAlignment="1">
      <alignment horizontal="center" vertical="center" wrapText="1"/>
    </xf>
    <xf numFmtId="178" fontId="86" fillId="0" borderId="10" xfId="0" applyNumberFormat="1" applyFont="1" applyFill="1" applyBorder="1" applyAlignment="1">
      <alignment horizontal="center" vertical="center" wrapText="1"/>
    </xf>
    <xf numFmtId="178" fontId="1" fillId="13" borderId="1" xfId="0" applyNumberFormat="1" applyFont="1" applyFill="1" applyBorder="1" applyAlignment="1">
      <alignment horizontal="left" vertical="center" wrapText="1"/>
    </xf>
    <xf numFmtId="178" fontId="3" fillId="13" borderId="1" xfId="0" applyNumberFormat="1" applyFont="1" applyFill="1" applyBorder="1" applyAlignment="1">
      <alignment horizontal="left" vertical="center" wrapText="1"/>
    </xf>
    <xf numFmtId="178" fontId="7" fillId="13" borderId="2" xfId="0" applyNumberFormat="1" applyFont="1" applyFill="1" applyBorder="1" applyAlignment="1">
      <alignment horizontal="left" vertical="center" wrapText="1"/>
    </xf>
    <xf numFmtId="178" fontId="1" fillId="13" borderId="2" xfId="0" applyNumberFormat="1" applyFont="1" applyFill="1" applyBorder="1" applyAlignment="1">
      <alignment horizontal="left" vertical="center" wrapText="1"/>
    </xf>
    <xf numFmtId="178" fontId="7" fillId="14" borderId="2" xfId="0" applyNumberFormat="1" applyFont="1" applyFill="1" applyBorder="1" applyAlignment="1">
      <alignment horizontal="left" vertical="center" wrapText="1"/>
    </xf>
    <xf numFmtId="178" fontId="7" fillId="14" borderId="2" xfId="0" applyNumberFormat="1" applyFont="1" applyFill="1" applyBorder="1" applyAlignment="1" applyProtection="1">
      <alignment horizontal="center" vertical="center" wrapText="1"/>
    </xf>
    <xf numFmtId="178" fontId="1" fillId="14" borderId="1" xfId="0" applyNumberFormat="1" applyFont="1" applyFill="1" applyBorder="1" applyAlignment="1">
      <alignment horizontal="left" vertical="center" wrapText="1"/>
    </xf>
    <xf numFmtId="178" fontId="7" fillId="14" borderId="1" xfId="0" applyNumberFormat="1" applyFont="1" applyFill="1" applyBorder="1" applyAlignment="1" applyProtection="1">
      <alignment horizontal="center" vertical="center" wrapText="1"/>
    </xf>
    <xf numFmtId="178" fontId="1" fillId="14" borderId="2" xfId="0" applyNumberFormat="1" applyFont="1" applyFill="1" applyBorder="1" applyAlignment="1">
      <alignment horizontal="left" vertical="center" wrapText="1"/>
    </xf>
    <xf numFmtId="178" fontId="7" fillId="22" borderId="2" xfId="0" applyNumberFormat="1" applyFont="1" applyFill="1" applyBorder="1" applyAlignment="1">
      <alignment horizontal="left" vertical="center" wrapText="1"/>
    </xf>
    <xf numFmtId="178" fontId="7" fillId="22" borderId="2" xfId="0" applyNumberFormat="1" applyFont="1" applyFill="1" applyBorder="1" applyAlignment="1" applyProtection="1">
      <alignment horizontal="center" vertical="center" wrapText="1"/>
    </xf>
    <xf numFmtId="178" fontId="0" fillId="13" borderId="1" xfId="0" applyNumberFormat="1" applyFont="1" applyFill="1" applyBorder="1">
      <alignment vertical="center"/>
    </xf>
    <xf numFmtId="178" fontId="17" fillId="13" borderId="1" xfId="0" applyNumberFormat="1" applyFont="1" applyFill="1" applyBorder="1" applyAlignment="1">
      <alignment horizontal="center" vertical="center"/>
    </xf>
    <xf numFmtId="178" fontId="0" fillId="13" borderId="2" xfId="0" applyNumberFormat="1" applyFont="1" applyFill="1" applyBorder="1">
      <alignment vertical="center"/>
    </xf>
    <xf numFmtId="178" fontId="11" fillId="14" borderId="2" xfId="0" applyNumberFormat="1" applyFont="1" applyFill="1" applyBorder="1" applyAlignment="1">
      <alignment horizontal="center" vertical="center"/>
    </xf>
    <xf numFmtId="178" fontId="16" fillId="14" borderId="2" xfId="0" applyNumberFormat="1" applyFont="1" applyFill="1" applyBorder="1" applyAlignment="1">
      <alignment horizontal="center" vertical="center"/>
    </xf>
    <xf numFmtId="178" fontId="20" fillId="14" borderId="2" xfId="0" applyNumberFormat="1" applyFont="1" applyFill="1" applyBorder="1" applyAlignment="1">
      <alignment horizontal="center" vertical="center"/>
    </xf>
    <xf numFmtId="178" fontId="0" fillId="14" borderId="1" xfId="0" applyNumberFormat="1" applyFill="1" applyBorder="1">
      <alignment vertical="center"/>
    </xf>
    <xf numFmtId="178" fontId="7" fillId="14" borderId="2" xfId="0" applyNumberFormat="1" applyFont="1" applyFill="1" applyBorder="1">
      <alignment vertical="center"/>
    </xf>
    <xf numFmtId="178" fontId="7" fillId="22" borderId="2" xfId="0" applyNumberFormat="1" applyFont="1" applyFill="1" applyBorder="1">
      <alignment vertical="center"/>
    </xf>
    <xf numFmtId="178" fontId="4" fillId="13" borderId="1" xfId="0" applyNumberFormat="1" applyFont="1" applyFill="1" applyBorder="1">
      <alignment vertical="center"/>
    </xf>
    <xf numFmtId="178" fontId="0" fillId="13" borderId="2" xfId="0" applyNumberFormat="1" applyFill="1" applyBorder="1">
      <alignment vertical="center"/>
    </xf>
    <xf numFmtId="178" fontId="0" fillId="14" borderId="2" xfId="0" applyNumberFormat="1" applyFill="1" applyBorder="1">
      <alignment vertical="center"/>
    </xf>
    <xf numFmtId="178" fontId="3" fillId="14" borderId="2" xfId="0" applyNumberFormat="1" applyFont="1" applyFill="1" applyBorder="1">
      <alignment vertical="center"/>
    </xf>
    <xf numFmtId="178" fontId="3" fillId="22" borderId="2" xfId="0" applyNumberFormat="1" applyFont="1" applyFill="1" applyBorder="1">
      <alignment vertical="center"/>
    </xf>
    <xf numFmtId="178" fontId="6" fillId="22" borderId="2" xfId="0" applyNumberFormat="1" applyFont="1" applyFill="1" applyBorder="1">
      <alignment vertical="center"/>
    </xf>
    <xf numFmtId="178" fontId="0" fillId="14" borderId="0" xfId="0" applyNumberForma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D73434"/>
      </font>
      <fill>
        <patternFill patternType="solid">
          <bgColor rgb="FFFEC8CE"/>
        </patternFill>
      </fill>
    </dxf>
  </dxfs>
  <tableStyles count="0" defaultTableStyle="TableStyleMedium2" defaultPivotStyle="PivotStyleLight16"/>
  <colors>
    <mruColors>
      <color rgb="00FEF23F"/>
      <color rgb="00F384C5"/>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5.xml"/><Relationship Id="rId7" Type="http://schemas.openxmlformats.org/officeDocument/2006/relationships/customXml" Target="../customXml/item4.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608000" TargetMode="External"/><Relationship Id="rId4" Type="http://schemas.openxmlformats.org/officeDocument/2006/relationships/hyperlink" Target="201650" TargetMode="External"/><Relationship Id="rId3" Type="http://schemas.openxmlformats.org/officeDocument/2006/relationships/hyperlink" Target="0"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Q2723"/>
  <sheetViews>
    <sheetView tabSelected="1" workbookViewId="0">
      <pane xSplit="1" ySplit="3" topLeftCell="I86" activePane="bottomRight" state="frozen"/>
      <selection/>
      <selection pane="topRight"/>
      <selection pane="bottomLeft"/>
      <selection pane="bottomRight" activeCell="Q88" sqref="A1:CH2721"/>
    </sheetView>
  </sheetViews>
  <sheetFormatPr defaultColWidth="9" defaultRowHeight="16.8"/>
  <cols>
    <col min="1" max="1" width="6.39423076923077" style="4971" customWidth="1"/>
    <col min="2" max="2" width="5.375" style="4987" customWidth="1"/>
    <col min="3" max="3" width="11.25" style="4971" customWidth="1"/>
    <col min="4" max="4" width="11.25" style="5024" customWidth="1"/>
    <col min="5" max="5" width="11.25" style="4965" customWidth="1"/>
    <col min="6" max="6" width="11.25" style="5025" customWidth="1"/>
    <col min="7" max="7" width="10.125" style="5025" customWidth="1"/>
    <col min="8" max="8" width="11.25" style="4965" customWidth="1"/>
    <col min="9" max="9" width="11" style="5026" customWidth="1"/>
    <col min="10" max="10" width="11.25" style="5025" customWidth="1"/>
    <col min="11" max="11" width="9.72115384615385" style="4965" customWidth="1"/>
    <col min="12" max="12" width="9.625" style="5025" customWidth="1"/>
    <col min="13" max="13" width="13.0576923076923" style="5027" customWidth="1"/>
    <col min="14" max="19" width="11.25" style="5028" customWidth="1" outlineLevel="1"/>
    <col min="20" max="20" width="8.19230769230769" style="5028" customWidth="1" outlineLevel="1"/>
    <col min="21" max="27" width="11.25" style="5028" customWidth="1" outlineLevel="1"/>
    <col min="28" max="28" width="9.93269230769231" style="4971" customWidth="1" outlineLevel="1"/>
    <col min="29" max="29" width="7.875" style="5029" customWidth="1"/>
    <col min="30" max="30" width="26.0865384615385" style="5030" customWidth="1"/>
    <col min="31" max="31" width="8.75" style="4987" customWidth="1"/>
    <col min="32" max="32" width="13" style="5031" customWidth="1"/>
    <col min="33" max="33" width="12.5" style="5032" customWidth="1" outlineLevel="1"/>
    <col min="34" max="34" width="12.5" style="5033" customWidth="1" outlineLevel="1"/>
    <col min="35" max="35" width="12.5" style="5034" customWidth="1" outlineLevel="1"/>
    <col min="36" max="36" width="12.5" style="5032" customWidth="1" outlineLevel="1"/>
    <col min="37" max="37" width="12.5" style="5034" customWidth="1" outlineLevel="1"/>
    <col min="38" max="38" width="12.5" style="5032" customWidth="1" outlineLevel="1"/>
    <col min="39" max="39" width="12.4230769230769" style="5034" customWidth="1" outlineLevel="1"/>
    <col min="40" max="40" width="12.5" style="5035" customWidth="1" outlineLevel="1"/>
    <col min="41" max="41" width="12.5" style="5036" customWidth="1" outlineLevel="1"/>
    <col min="42" max="42" width="12.5" style="5037" customWidth="1" outlineLevel="1"/>
    <col min="43" max="43" width="31.125" style="5038" customWidth="1" outlineLevel="1"/>
    <col min="44" max="44" width="12.5" style="5029" customWidth="1"/>
    <col min="45" max="45" width="16.1057692307692" style="5029" customWidth="1"/>
    <col min="46" max="46" width="12.5" style="4987" customWidth="1"/>
    <col min="47" max="47" width="12.6442307692308" style="4971" customWidth="1" outlineLevel="1"/>
    <col min="48" max="48" width="12.3557692307692" style="4971" customWidth="1" outlineLevel="1"/>
    <col min="49" max="49" width="11.5288461538462" style="4971" customWidth="1" outlineLevel="1"/>
    <col min="50" max="50" width="10.9711538461538" style="4971" customWidth="1" outlineLevel="1"/>
    <col min="51" max="51" width="12.5" style="5039" customWidth="1" outlineLevel="1"/>
    <col min="52" max="52" width="12.125" style="5039" customWidth="1" outlineLevel="1"/>
    <col min="53" max="53" width="11.25" style="4977" customWidth="1"/>
    <col min="54" max="54" width="11.25" style="5040" customWidth="1"/>
    <col min="55" max="55" width="11.125" style="5041" customWidth="1"/>
    <col min="56" max="59" width="11.25" style="4977" customWidth="1"/>
    <col min="60" max="60" width="11.25" style="5041" customWidth="1"/>
    <col min="61" max="62" width="11.25" style="5042" customWidth="1"/>
    <col min="63" max="65" width="11.25" style="5040" customWidth="1"/>
    <col min="66" max="66" width="11.25" style="5041" customWidth="1"/>
    <col min="67" max="71" width="11.25" style="5040" customWidth="1"/>
    <col min="72" max="72" width="11.25" style="5041" customWidth="1"/>
    <col min="73" max="73" width="11.25" style="5040" customWidth="1"/>
    <col min="74" max="74" width="11.25" style="5041" customWidth="1"/>
    <col min="75" max="77" width="11.25" style="5040" customWidth="1"/>
    <col min="78" max="79" width="11.25" style="5041" customWidth="1"/>
    <col min="80" max="80" width="11.25" style="5040" customWidth="1"/>
    <col min="81" max="82" width="12.125" style="4987" customWidth="1"/>
    <col min="83" max="83" width="11.125"/>
    <col min="84" max="84" width="15.625" customWidth="1"/>
    <col min="85" max="86" width="15.625" style="4978" customWidth="1"/>
    <col min="87" max="91" width="15.625" customWidth="1"/>
    <col min="92" max="92" width="14.75" customWidth="1"/>
    <col min="93" max="93" width="11.125"/>
  </cols>
  <sheetData>
    <row r="1" s="4971" customFormat="1" ht="24.5" hidden="1" customHeight="1" spans="1:86">
      <c r="A1" s="5043" t="s">
        <v>0</v>
      </c>
      <c r="B1" s="5044"/>
      <c r="C1" s="5044"/>
      <c r="D1" s="5045"/>
      <c r="E1" s="5044"/>
      <c r="F1" s="5045"/>
      <c r="G1" s="5045"/>
      <c r="H1" s="5044"/>
      <c r="I1" s="5045"/>
      <c r="J1" s="5045"/>
      <c r="K1" s="5044"/>
      <c r="L1" s="5044"/>
      <c r="M1" s="5044"/>
      <c r="N1" s="5043"/>
      <c r="O1" s="5043"/>
      <c r="P1" s="5043"/>
      <c r="Q1" s="5043"/>
      <c r="R1" s="5043"/>
      <c r="S1" s="5043"/>
      <c r="T1" s="5043"/>
      <c r="U1" s="5043"/>
      <c r="V1" s="5043"/>
      <c r="W1" s="5043"/>
      <c r="X1" s="5043"/>
      <c r="Y1" s="5043"/>
      <c r="Z1" s="5043"/>
      <c r="AA1" s="5043"/>
      <c r="AB1" s="5043"/>
      <c r="AC1" s="5045"/>
      <c r="AD1" s="5103"/>
      <c r="AE1" s="5044"/>
      <c r="AF1" s="5044"/>
      <c r="AG1" s="5118"/>
      <c r="AH1" s="5118"/>
      <c r="AI1" s="5118"/>
      <c r="AJ1" s="5118"/>
      <c r="AK1" s="5118"/>
      <c r="AL1" s="5118"/>
      <c r="AM1" s="5118"/>
      <c r="AN1" s="5118"/>
      <c r="AO1" s="5118"/>
      <c r="AP1" s="5044"/>
      <c r="AQ1" s="5128"/>
      <c r="AR1" s="5045"/>
      <c r="AS1" s="5045"/>
      <c r="AT1" s="5044"/>
      <c r="AU1" s="5043"/>
      <c r="AV1" s="5043"/>
      <c r="AW1" s="5043"/>
      <c r="AX1" s="5043"/>
      <c r="AY1" s="5043"/>
      <c r="AZ1" s="5043"/>
      <c r="BA1" s="5118"/>
      <c r="BB1" s="5118"/>
      <c r="BC1" s="5118"/>
      <c r="BD1" s="5118"/>
      <c r="BE1" s="5118"/>
      <c r="BF1" s="5118"/>
      <c r="BG1" s="5118"/>
      <c r="BH1" s="5118"/>
      <c r="BI1" s="5118"/>
      <c r="BJ1" s="5118"/>
      <c r="BK1" s="5118"/>
      <c r="BL1" s="5118"/>
      <c r="BM1" s="5118"/>
      <c r="BN1" s="5118"/>
      <c r="BO1" s="5154"/>
      <c r="BP1" s="5154"/>
      <c r="BQ1" s="5154"/>
      <c r="BR1" s="5154"/>
      <c r="BS1" s="5154"/>
      <c r="BT1" s="5118"/>
      <c r="BU1" s="5154"/>
      <c r="BV1" s="5118"/>
      <c r="BW1" s="5154"/>
      <c r="BX1" s="5154"/>
      <c r="BY1" s="5154"/>
      <c r="BZ1" s="5118"/>
      <c r="CA1" s="5118"/>
      <c r="CB1" s="5165"/>
      <c r="CC1" s="5166"/>
      <c r="CD1" s="5166"/>
      <c r="CE1" s="5039"/>
      <c r="CF1" s="5039"/>
      <c r="CG1" s="5039"/>
      <c r="CH1" s="5039"/>
    </row>
    <row r="2" s="4971" customFormat="1" ht="16.65" customHeight="1" spans="1:86">
      <c r="A2" s="5046" t="s">
        <v>1</v>
      </c>
      <c r="B2" s="3524"/>
      <c r="C2" s="3524"/>
      <c r="D2" s="3742"/>
      <c r="E2" s="3524"/>
      <c r="F2" s="3742"/>
      <c r="G2" s="3742"/>
      <c r="H2" s="3524"/>
      <c r="I2" s="5059"/>
      <c r="J2" s="3742"/>
      <c r="K2" s="3524"/>
      <c r="L2" s="3742"/>
      <c r="M2" s="3524"/>
      <c r="N2" s="5076" t="s">
        <v>2</v>
      </c>
      <c r="O2" s="5076"/>
      <c r="P2" s="5076"/>
      <c r="Q2" s="5076"/>
      <c r="R2" s="5076"/>
      <c r="S2" s="5076"/>
      <c r="T2" s="5076"/>
      <c r="U2" s="5076"/>
      <c r="V2" s="5076"/>
      <c r="W2" s="5076"/>
      <c r="X2" s="5076"/>
      <c r="Y2" s="5076"/>
      <c r="Z2" s="5076"/>
      <c r="AA2" s="5076"/>
      <c r="AB2" s="5076"/>
      <c r="AC2" s="3742" t="s">
        <v>3</v>
      </c>
      <c r="AD2" s="5104"/>
      <c r="AE2" s="3524"/>
      <c r="AF2" s="3524"/>
      <c r="AG2" s="3812" t="s">
        <v>4</v>
      </c>
      <c r="AH2" s="3812"/>
      <c r="AI2" s="3812"/>
      <c r="AJ2" s="3812"/>
      <c r="AK2" s="3812"/>
      <c r="AL2" s="3812"/>
      <c r="AM2" s="3812"/>
      <c r="AN2" s="4813"/>
      <c r="AO2" s="3812"/>
      <c r="AP2" s="3524"/>
      <c r="AQ2" s="5129"/>
      <c r="AR2" s="3742" t="s">
        <v>5</v>
      </c>
      <c r="AS2" s="3742"/>
      <c r="AT2" s="3524"/>
      <c r="AU2" s="5136" t="s">
        <v>6</v>
      </c>
      <c r="AV2" s="5136"/>
      <c r="AW2" s="5136"/>
      <c r="AX2" s="5136"/>
      <c r="AY2" s="5136"/>
      <c r="AZ2" s="5139"/>
      <c r="BA2" s="5141" t="s">
        <v>7</v>
      </c>
      <c r="BB2" s="5142"/>
      <c r="BC2" s="5142"/>
      <c r="BD2" s="5142"/>
      <c r="BE2" s="5142"/>
      <c r="BF2" s="5142"/>
      <c r="BG2" s="5142"/>
      <c r="BH2" s="5142"/>
      <c r="BI2" s="5142"/>
      <c r="BJ2" s="5142"/>
      <c r="BK2" s="5142"/>
      <c r="BL2" s="5142"/>
      <c r="BM2" s="5155"/>
      <c r="BN2" s="5156"/>
      <c r="BO2" s="5141" t="s">
        <v>8</v>
      </c>
      <c r="BP2" s="5142"/>
      <c r="BQ2" s="5142"/>
      <c r="BR2" s="5142"/>
      <c r="BS2" s="5142"/>
      <c r="BT2" s="5142"/>
      <c r="BU2" s="5142"/>
      <c r="BV2" s="5142"/>
      <c r="BW2" s="5142"/>
      <c r="BX2" s="5142"/>
      <c r="BY2" s="5142"/>
      <c r="BZ2" s="5142"/>
      <c r="CA2" s="5155"/>
      <c r="CB2" s="5156"/>
      <c r="CC2" s="5167" t="s">
        <v>9</v>
      </c>
      <c r="CD2" s="3524"/>
      <c r="CE2" s="5039"/>
      <c r="CF2" s="5168"/>
      <c r="CG2" s="5172" t="s">
        <v>10</v>
      </c>
      <c r="CH2" s="5173">
        <v>45323</v>
      </c>
    </row>
    <row r="3" s="4971" customFormat="1" ht="46.75" spans="1:86">
      <c r="A3" s="5047" t="s">
        <v>11</v>
      </c>
      <c r="B3" s="3524" t="s">
        <v>12</v>
      </c>
      <c r="C3" s="3524" t="s">
        <v>13</v>
      </c>
      <c r="D3" s="3742" t="s">
        <v>14</v>
      </c>
      <c r="E3" s="1032" t="s">
        <v>15</v>
      </c>
      <c r="F3" s="1032" t="s">
        <v>16</v>
      </c>
      <c r="G3" s="1032" t="s">
        <v>17</v>
      </c>
      <c r="H3" s="3524" t="s">
        <v>18</v>
      </c>
      <c r="I3" s="1032" t="s">
        <v>19</v>
      </c>
      <c r="J3" s="3742" t="s">
        <v>20</v>
      </c>
      <c r="K3" s="3524" t="s">
        <v>21</v>
      </c>
      <c r="L3" s="3742" t="s">
        <v>22</v>
      </c>
      <c r="M3" s="3524" t="s">
        <v>23</v>
      </c>
      <c r="N3" s="5077" t="s">
        <v>24</v>
      </c>
      <c r="O3" s="5077" t="s">
        <v>25</v>
      </c>
      <c r="P3" s="5078" t="s">
        <v>26</v>
      </c>
      <c r="Q3" s="5078" t="s">
        <v>27</v>
      </c>
      <c r="R3" s="5078" t="s">
        <v>28</v>
      </c>
      <c r="S3" s="5078" t="s">
        <v>29</v>
      </c>
      <c r="T3" s="5087" t="s">
        <v>30</v>
      </c>
      <c r="U3" s="5078" t="s">
        <v>31</v>
      </c>
      <c r="V3" s="5078" t="s">
        <v>32</v>
      </c>
      <c r="W3" s="5096" t="s">
        <v>33</v>
      </c>
      <c r="X3" s="5078" t="s">
        <v>34</v>
      </c>
      <c r="Y3" s="5077" t="s">
        <v>35</v>
      </c>
      <c r="Z3" s="5077" t="s">
        <v>36</v>
      </c>
      <c r="AA3" s="5077" t="s">
        <v>37</v>
      </c>
      <c r="AB3" s="5087" t="s">
        <v>38</v>
      </c>
      <c r="AC3" s="3742" t="s">
        <v>39</v>
      </c>
      <c r="AD3" s="3524" t="s">
        <v>40</v>
      </c>
      <c r="AE3" s="3524" t="s">
        <v>41</v>
      </c>
      <c r="AF3" s="3524" t="s">
        <v>42</v>
      </c>
      <c r="AG3" s="857" t="s">
        <v>43</v>
      </c>
      <c r="AH3" s="3812" t="s">
        <v>44</v>
      </c>
      <c r="AI3" s="3812" t="s">
        <v>45</v>
      </c>
      <c r="AJ3" s="3812" t="s">
        <v>46</v>
      </c>
      <c r="AK3" s="3812" t="s">
        <v>47</v>
      </c>
      <c r="AL3" s="3812" t="s">
        <v>48</v>
      </c>
      <c r="AM3" s="3812" t="s">
        <v>49</v>
      </c>
      <c r="AN3" s="857" t="s">
        <v>50</v>
      </c>
      <c r="AO3" s="3812" t="s">
        <v>51</v>
      </c>
      <c r="AP3" s="5130" t="s">
        <v>52</v>
      </c>
      <c r="AQ3" s="3742" t="s">
        <v>53</v>
      </c>
      <c r="AR3" s="3742" t="s">
        <v>54</v>
      </c>
      <c r="AS3" s="3742" t="s">
        <v>55</v>
      </c>
      <c r="AT3" s="1032" t="s">
        <v>56</v>
      </c>
      <c r="AU3" s="5076" t="s">
        <v>57</v>
      </c>
      <c r="AV3" s="5076" t="s">
        <v>58</v>
      </c>
      <c r="AW3" s="5076" t="s">
        <v>59</v>
      </c>
      <c r="AX3" s="5076" t="s">
        <v>60</v>
      </c>
      <c r="AY3" s="5076" t="s">
        <v>61</v>
      </c>
      <c r="AZ3" s="5140" t="s">
        <v>62</v>
      </c>
      <c r="BA3" s="5143" t="s">
        <v>24</v>
      </c>
      <c r="BB3" s="5144" t="s">
        <v>25</v>
      </c>
      <c r="BC3" s="5144" t="s">
        <v>26</v>
      </c>
      <c r="BD3" s="5144" t="s">
        <v>27</v>
      </c>
      <c r="BE3" s="5144" t="s">
        <v>28</v>
      </c>
      <c r="BF3" s="5144" t="s">
        <v>63</v>
      </c>
      <c r="BG3" s="5151" t="s">
        <v>30</v>
      </c>
      <c r="BH3" s="5144" t="s">
        <v>31</v>
      </c>
      <c r="BI3" s="5144" t="s">
        <v>32</v>
      </c>
      <c r="BJ3" s="5151" t="s">
        <v>33</v>
      </c>
      <c r="BK3" s="5144" t="s">
        <v>34</v>
      </c>
      <c r="BL3" s="5153" t="s">
        <v>35</v>
      </c>
      <c r="BM3" s="5157" t="s">
        <v>36</v>
      </c>
      <c r="BN3" s="5158" t="s">
        <v>37</v>
      </c>
      <c r="BO3" s="5143" t="s">
        <v>24</v>
      </c>
      <c r="BP3" s="5144" t="s">
        <v>25</v>
      </c>
      <c r="BQ3" s="5144" t="s">
        <v>26</v>
      </c>
      <c r="BR3" s="5144" t="s">
        <v>27</v>
      </c>
      <c r="BS3" s="5144" t="s">
        <v>28</v>
      </c>
      <c r="BT3" s="5144" t="s">
        <v>63</v>
      </c>
      <c r="BU3" s="5151" t="s">
        <v>30</v>
      </c>
      <c r="BV3" s="5144" t="s">
        <v>31</v>
      </c>
      <c r="BW3" s="5144" t="s">
        <v>32</v>
      </c>
      <c r="BX3" s="5151" t="s">
        <v>33</v>
      </c>
      <c r="BY3" s="5144" t="s">
        <v>34</v>
      </c>
      <c r="BZ3" s="5153" t="s">
        <v>35</v>
      </c>
      <c r="CA3" s="5157" t="s">
        <v>36</v>
      </c>
      <c r="CB3" s="5158" t="s">
        <v>37</v>
      </c>
      <c r="CC3" s="5167" t="s">
        <v>64</v>
      </c>
      <c r="CD3" s="857" t="s">
        <v>65</v>
      </c>
      <c r="CE3" s="5039"/>
      <c r="CF3" s="5168"/>
      <c r="CG3" s="5172" t="s">
        <v>66</v>
      </c>
      <c r="CH3" s="5173">
        <v>45351</v>
      </c>
    </row>
    <row r="4" s="4971" customFormat="1" ht="107" spans="1:92">
      <c r="A4" s="5048" t="s">
        <v>67</v>
      </c>
      <c r="B4" s="5049" t="s">
        <v>68</v>
      </c>
      <c r="C4" s="5050" t="s">
        <v>69</v>
      </c>
      <c r="D4" s="5049" t="s">
        <v>70</v>
      </c>
      <c r="E4" s="5049" t="s">
        <v>71</v>
      </c>
      <c r="F4" s="5049" t="s">
        <v>72</v>
      </c>
      <c r="G4" s="5061" t="s">
        <v>73</v>
      </c>
      <c r="H4" s="3740" t="s">
        <v>74</v>
      </c>
      <c r="I4" s="3740"/>
      <c r="J4" s="5061" t="s">
        <v>75</v>
      </c>
      <c r="K4" s="5063" t="s">
        <v>76</v>
      </c>
      <c r="L4" s="5064" t="s">
        <v>77</v>
      </c>
      <c r="M4" s="5061" t="s">
        <v>78</v>
      </c>
      <c r="N4" s="5079" t="s">
        <v>79</v>
      </c>
      <c r="O4" s="5079" t="s">
        <v>79</v>
      </c>
      <c r="P4" s="5079" t="s">
        <v>79</v>
      </c>
      <c r="Q4" s="5079" t="s">
        <v>79</v>
      </c>
      <c r="R4" s="5079" t="s">
        <v>79</v>
      </c>
      <c r="S4" s="5079" t="s">
        <v>79</v>
      </c>
      <c r="T4" s="5088" t="s">
        <v>79</v>
      </c>
      <c r="U4" s="5079" t="s">
        <v>79</v>
      </c>
      <c r="V4" s="5079" t="s">
        <v>79</v>
      </c>
      <c r="W4" s="5079" t="s">
        <v>79</v>
      </c>
      <c r="X4" s="5079"/>
      <c r="Y4" s="5079"/>
      <c r="Z4" s="5079"/>
      <c r="AA4" s="5079" t="s">
        <v>80</v>
      </c>
      <c r="AB4" s="5079" t="s">
        <v>81</v>
      </c>
      <c r="AC4" s="1035" t="s">
        <v>82</v>
      </c>
      <c r="AD4" s="859" t="s">
        <v>83</v>
      </c>
      <c r="AE4" s="1035" t="s">
        <v>84</v>
      </c>
      <c r="AF4" s="859" t="s">
        <v>85</v>
      </c>
      <c r="AG4" s="1035" t="s">
        <v>86</v>
      </c>
      <c r="AH4" s="1035" t="s">
        <v>87</v>
      </c>
      <c r="AI4" s="1052" t="s">
        <v>88</v>
      </c>
      <c r="AJ4" s="5079" t="s">
        <v>89</v>
      </c>
      <c r="AK4" s="5079" t="s">
        <v>90</v>
      </c>
      <c r="AL4" s="5079" t="s">
        <v>89</v>
      </c>
      <c r="AM4" s="5079" t="s">
        <v>91</v>
      </c>
      <c r="AN4" s="5121" t="s">
        <v>92</v>
      </c>
      <c r="AO4" s="1052" t="s">
        <v>93</v>
      </c>
      <c r="AP4" s="1035" t="s">
        <v>94</v>
      </c>
      <c r="AQ4" s="859" t="s">
        <v>95</v>
      </c>
      <c r="AR4" s="1035" t="s">
        <v>96</v>
      </c>
      <c r="AS4" s="5079" t="s">
        <v>97</v>
      </c>
      <c r="AT4" s="5079" t="s">
        <v>98</v>
      </c>
      <c r="AU4" s="1035" t="s">
        <v>99</v>
      </c>
      <c r="AV4" s="1035" t="s">
        <v>100</v>
      </c>
      <c r="AW4" s="1035" t="s">
        <v>101</v>
      </c>
      <c r="AX4" s="5079" t="s">
        <v>102</v>
      </c>
      <c r="AY4" s="3742" t="s">
        <v>103</v>
      </c>
      <c r="AZ4" s="3742" t="s">
        <v>104</v>
      </c>
      <c r="BA4" s="5145" t="s">
        <v>105</v>
      </c>
      <c r="BB4" s="5145" t="s">
        <v>105</v>
      </c>
      <c r="BC4" s="5145" t="s">
        <v>105</v>
      </c>
      <c r="BD4" s="5145" t="s">
        <v>105</v>
      </c>
      <c r="BE4" s="5145" t="s">
        <v>105</v>
      </c>
      <c r="BF4" s="5145" t="s">
        <v>105</v>
      </c>
      <c r="BG4" s="5145" t="s">
        <v>105</v>
      </c>
      <c r="BH4" s="5145" t="s">
        <v>105</v>
      </c>
      <c r="BI4" s="5145" t="s">
        <v>105</v>
      </c>
      <c r="BJ4" s="5145" t="s">
        <v>105</v>
      </c>
      <c r="BK4" s="5145"/>
      <c r="BL4" s="5145"/>
      <c r="BM4" s="5145"/>
      <c r="BN4" s="5145" t="s">
        <v>105</v>
      </c>
      <c r="BO4" s="5145" t="s">
        <v>105</v>
      </c>
      <c r="BP4" s="5145" t="s">
        <v>105</v>
      </c>
      <c r="BQ4" s="5145" t="s">
        <v>105</v>
      </c>
      <c r="BR4" s="5145" t="s">
        <v>105</v>
      </c>
      <c r="BS4" s="5145" t="s">
        <v>105</v>
      </c>
      <c r="BT4" s="5145" t="s">
        <v>105</v>
      </c>
      <c r="BU4" s="5145" t="s">
        <v>105</v>
      </c>
      <c r="BV4" s="5145" t="s">
        <v>105</v>
      </c>
      <c r="BW4" s="5145" t="s">
        <v>105</v>
      </c>
      <c r="BX4" s="5145" t="s">
        <v>105</v>
      </c>
      <c r="BY4" s="5145"/>
      <c r="BZ4" s="5145"/>
      <c r="CA4" s="5145"/>
      <c r="CB4" s="5145" t="s">
        <v>105</v>
      </c>
      <c r="CC4" s="5079" t="s">
        <v>106</v>
      </c>
      <c r="CD4" s="2680" t="s">
        <v>107</v>
      </c>
      <c r="CE4" s="5039"/>
      <c r="CF4" s="5168"/>
      <c r="CG4" s="5174" t="s">
        <v>108</v>
      </c>
      <c r="CH4" s="5174"/>
      <c r="CI4" s="5175"/>
      <c r="CJ4" s="5176" t="s">
        <v>109</v>
      </c>
      <c r="CK4" s="5185"/>
      <c r="CL4" s="5175"/>
      <c r="CM4" s="5186" t="s">
        <v>110</v>
      </c>
      <c r="CN4" s="5187"/>
    </row>
    <row r="5" s="4965" customFormat="1" spans="1:92">
      <c r="A5" s="5051">
        <v>1</v>
      </c>
      <c r="B5" s="857" t="s">
        <v>111</v>
      </c>
      <c r="C5" s="3524">
        <v>43631</v>
      </c>
      <c r="D5" s="3742" t="s">
        <v>112</v>
      </c>
      <c r="E5" s="3524" t="s">
        <v>113</v>
      </c>
      <c r="F5" s="3742" t="s">
        <v>114</v>
      </c>
      <c r="G5" s="3742" t="s">
        <v>115</v>
      </c>
      <c r="H5" s="1032" t="s">
        <v>116</v>
      </c>
      <c r="I5" s="1032" t="s">
        <v>117</v>
      </c>
      <c r="J5" s="1032" t="s">
        <v>118</v>
      </c>
      <c r="K5" s="3524">
        <v>355047.68</v>
      </c>
      <c r="L5" s="3742" t="s">
        <v>119</v>
      </c>
      <c r="M5" s="3524">
        <f>SUM(N5:AA29)</f>
        <v>14734478.72</v>
      </c>
      <c r="N5" s="3524">
        <v>0</v>
      </c>
      <c r="O5" s="3524">
        <v>0</v>
      </c>
      <c r="P5" s="3524">
        <v>0</v>
      </c>
      <c r="Q5" s="3524">
        <v>6390858.24</v>
      </c>
      <c r="R5" s="3524">
        <v>0</v>
      </c>
      <c r="S5" s="3524">
        <v>8343620.48</v>
      </c>
      <c r="T5" s="5089">
        <v>0</v>
      </c>
      <c r="U5" s="3524">
        <v>0</v>
      </c>
      <c r="V5" s="3524">
        <v>0</v>
      </c>
      <c r="W5" s="3524">
        <v>0</v>
      </c>
      <c r="X5" s="3524">
        <v>0</v>
      </c>
      <c r="Y5" s="3524"/>
      <c r="Z5" s="3524"/>
      <c r="AA5" s="3524">
        <v>0</v>
      </c>
      <c r="AB5" s="5097" t="s">
        <v>120</v>
      </c>
      <c r="AC5" s="3524">
        <v>1</v>
      </c>
      <c r="AD5" s="5105" t="s">
        <v>121</v>
      </c>
      <c r="AE5" s="5106">
        <v>0.2</v>
      </c>
      <c r="AF5" s="3812">
        <f>AE5*M5</f>
        <v>2946895.744</v>
      </c>
      <c r="AG5" s="3524">
        <v>2946895.75</v>
      </c>
      <c r="AH5" s="3524" t="s">
        <v>122</v>
      </c>
      <c r="AI5" s="3524">
        <v>43777</v>
      </c>
      <c r="AJ5" s="3524">
        <v>2946895.75</v>
      </c>
      <c r="AK5" s="3524">
        <v>43777</v>
      </c>
      <c r="AL5" s="3524">
        <f>SUM(BI5:BV5)</f>
        <v>3000000</v>
      </c>
      <c r="AM5" s="3524">
        <v>43823</v>
      </c>
      <c r="AN5" s="3524">
        <f>SUM(BO5:CB5)</f>
        <v>3000000</v>
      </c>
      <c r="AO5" s="857">
        <v>43818</v>
      </c>
      <c r="AP5" s="857">
        <v>0.35</v>
      </c>
      <c r="AQ5" s="5122"/>
      <c r="AR5" s="3524" t="s">
        <v>123</v>
      </c>
      <c r="AS5" s="1032"/>
      <c r="AT5" s="3524">
        <f>C5</f>
        <v>43631</v>
      </c>
      <c r="AU5" s="3524">
        <f>SUM(AG5:AG29)</f>
        <v>9872100.74</v>
      </c>
      <c r="AV5" s="857">
        <f>SUBTOTAL(9,AL5:AL29)</f>
        <v>9872100.74</v>
      </c>
      <c r="AW5" s="857">
        <f>SUBTOTAL(9,AN5:AN29)</f>
        <v>7551420</v>
      </c>
      <c r="AX5" s="857">
        <f>M5-AU5</f>
        <v>4862377.98</v>
      </c>
      <c r="AY5" s="857">
        <f>AU5-AV5</f>
        <v>0</v>
      </c>
      <c r="AZ5" s="857">
        <f>AV5-AW5</f>
        <v>2320680.74</v>
      </c>
      <c r="BA5" s="5146"/>
      <c r="BB5" s="3812"/>
      <c r="BC5" s="3812"/>
      <c r="BD5" s="4840">
        <v>3400469.16</v>
      </c>
      <c r="BE5" s="5146"/>
      <c r="BF5" s="3366">
        <v>4150951.19</v>
      </c>
      <c r="BG5" s="5152"/>
      <c r="BH5" s="3812"/>
      <c r="BI5" s="3812"/>
      <c r="BJ5" s="3812"/>
      <c r="BK5" s="3812"/>
      <c r="BL5" s="3812"/>
      <c r="BM5" s="3812"/>
      <c r="BN5" s="3812"/>
      <c r="BO5" s="5122"/>
      <c r="BP5" s="5122"/>
      <c r="BQ5" s="5122"/>
      <c r="BR5" s="5122">
        <v>1300000</v>
      </c>
      <c r="BS5" s="5122"/>
      <c r="BT5" s="5122">
        <v>1700000</v>
      </c>
      <c r="BU5" s="5122"/>
      <c r="BV5" s="5122"/>
      <c r="BW5" s="5122"/>
      <c r="BX5" s="5122"/>
      <c r="BY5" s="5122"/>
      <c r="BZ5" s="5122"/>
      <c r="CA5" s="5122"/>
      <c r="CB5" s="5122"/>
      <c r="CC5" s="3524" t="s">
        <v>124</v>
      </c>
      <c r="CD5" s="3524" t="s">
        <v>125</v>
      </c>
      <c r="CE5" s="5169"/>
      <c r="CF5" s="5168"/>
      <c r="CG5" s="5177" t="s">
        <v>126</v>
      </c>
      <c r="CH5" s="5178">
        <f>SUMPRODUCT(($C$5:$C$2712&gt;=$CH$2)*($C$5:$C$2712&lt;=$CH$3)*$AA$5:$AA$2712)/10000</f>
        <v>0</v>
      </c>
      <c r="CJ5" s="40" t="s">
        <v>126</v>
      </c>
      <c r="CK5" s="5188">
        <f>SUMPRODUCT(($AI$5:$AI$2712&gt;=$CH$2)*($AI$5:$AI$2712&lt;=$CH$3)*$BN$5:$BN$2712)/10600</f>
        <v>0</v>
      </c>
      <c r="CM5" s="2995" t="s">
        <v>126</v>
      </c>
      <c r="CN5" s="5189">
        <f>SUMPRODUCT(($AO$5:$AO$2712&gt;=$CH$2)*($AO$5:$AO$2712&lt;=$CH$3)*$CB$5:$CB$2712)/10000</f>
        <v>159.719362</v>
      </c>
    </row>
    <row r="6" s="4965" customFormat="1" ht="122" spans="1:92">
      <c r="A6" s="5051"/>
      <c r="B6" s="3524"/>
      <c r="C6" s="3524"/>
      <c r="D6" s="3742"/>
      <c r="E6" s="3524"/>
      <c r="F6" s="3742"/>
      <c r="G6" s="3742"/>
      <c r="H6" s="3742"/>
      <c r="I6" s="3742"/>
      <c r="J6" s="3742"/>
      <c r="K6" s="3524"/>
      <c r="L6" s="3524"/>
      <c r="M6" s="3524"/>
      <c r="N6" s="3524"/>
      <c r="O6" s="3524"/>
      <c r="P6" s="3524"/>
      <c r="Q6" s="3524"/>
      <c r="R6" s="3524"/>
      <c r="S6" s="3524"/>
      <c r="T6" s="3524"/>
      <c r="U6" s="3524"/>
      <c r="V6" s="3524"/>
      <c r="W6" s="3524"/>
      <c r="X6" s="3524"/>
      <c r="Y6" s="3524"/>
      <c r="Z6" s="3524"/>
      <c r="AA6" s="3524"/>
      <c r="AB6" s="5097"/>
      <c r="AC6" s="3524">
        <v>2</v>
      </c>
      <c r="AD6" s="5107" t="s">
        <v>127</v>
      </c>
      <c r="AE6" s="5106">
        <v>0.06</v>
      </c>
      <c r="AF6" s="3812">
        <f>M5*AE6</f>
        <v>884068.7232</v>
      </c>
      <c r="AG6" s="3524">
        <v>884068.7232</v>
      </c>
      <c r="AH6" s="3524" t="s">
        <v>122</v>
      </c>
      <c r="AI6" s="3524">
        <v>43777</v>
      </c>
      <c r="AJ6" s="3524">
        <v>884068.7232</v>
      </c>
      <c r="AK6" s="3524">
        <v>43777</v>
      </c>
      <c r="AL6" s="3524">
        <f>SUM(BI6:BV6)</f>
        <v>2500000</v>
      </c>
      <c r="AM6" s="3524">
        <v>43917</v>
      </c>
      <c r="AN6" s="3524">
        <f>SUM(BO6:CB6)</f>
        <v>2500000</v>
      </c>
      <c r="AO6" s="3524">
        <v>43921</v>
      </c>
      <c r="AP6" s="857"/>
      <c r="AQ6" s="5122"/>
      <c r="AR6" s="3524" t="s">
        <v>128</v>
      </c>
      <c r="AS6" s="3742"/>
      <c r="AT6" s="3524"/>
      <c r="AU6" s="3524"/>
      <c r="AV6" s="857"/>
      <c r="AW6" s="857"/>
      <c r="AX6" s="857"/>
      <c r="AY6" s="857"/>
      <c r="AZ6" s="857"/>
      <c r="BA6" s="5146"/>
      <c r="BB6" s="3812"/>
      <c r="BC6" s="3812"/>
      <c r="BD6" s="4841"/>
      <c r="BE6" s="5146"/>
      <c r="BF6" s="3408"/>
      <c r="BG6" s="5152"/>
      <c r="BH6" s="3812"/>
      <c r="BI6" s="3812"/>
      <c r="BJ6" s="3812"/>
      <c r="BK6" s="3812"/>
      <c r="BL6" s="3812"/>
      <c r="BM6" s="3812"/>
      <c r="BN6" s="3812"/>
      <c r="BO6" s="5122"/>
      <c r="BP6" s="5122"/>
      <c r="BQ6" s="5122"/>
      <c r="BR6" s="5122">
        <v>1150000</v>
      </c>
      <c r="BS6" s="5122"/>
      <c r="BT6" s="5122">
        <v>1350000</v>
      </c>
      <c r="BU6" s="5122"/>
      <c r="BV6" s="5122"/>
      <c r="BW6" s="5122"/>
      <c r="BX6" s="5122"/>
      <c r="BY6" s="5122"/>
      <c r="BZ6" s="5122"/>
      <c r="CA6" s="5122"/>
      <c r="CB6" s="5122"/>
      <c r="CC6" s="3524"/>
      <c r="CD6" s="3524"/>
      <c r="CE6" s="5169"/>
      <c r="CF6" s="5168"/>
      <c r="CG6" s="5177" t="s">
        <v>129</v>
      </c>
      <c r="CH6" s="5178">
        <f>SUMPRODUCT(($C$5:$C$2712&gt;=$CH$2)*($C$5:$C$2712&lt;=$CH$3)*$X$5:$X$2712)/10000</f>
        <v>0</v>
      </c>
      <c r="CJ6" s="40" t="s">
        <v>129</v>
      </c>
      <c r="CK6" s="5188">
        <f>SUMPRODUCT(($AI$5:$AI$2712&gt;=$CH$2)*($AI$5:$AI$2712&lt;=$CH$3)*$BK$5:$BK$2712)/10600</f>
        <v>0</v>
      </c>
      <c r="CM6" s="2995" t="s">
        <v>129</v>
      </c>
      <c r="CN6" s="5189">
        <f>SUMPRODUCT(($AO$5:$AO$2712&gt;=$CH$2)*($AO$5:$AO$2712&lt;=$CH$3)*$BY$5:$BY$2712)/10000</f>
        <v>0</v>
      </c>
    </row>
    <row r="7" s="4965" customFormat="1" ht="31" spans="1:92">
      <c r="A7" s="5051"/>
      <c r="B7" s="3524"/>
      <c r="C7" s="3524"/>
      <c r="D7" s="3742"/>
      <c r="E7" s="3524"/>
      <c r="F7" s="3742"/>
      <c r="G7" s="3742"/>
      <c r="H7" s="3742"/>
      <c r="I7" s="3742"/>
      <c r="J7" s="3742"/>
      <c r="K7" s="3524"/>
      <c r="L7" s="3524"/>
      <c r="M7" s="3524"/>
      <c r="N7" s="3524"/>
      <c r="O7" s="3524"/>
      <c r="P7" s="3524"/>
      <c r="Q7" s="3524"/>
      <c r="R7" s="3524"/>
      <c r="S7" s="3524"/>
      <c r="T7" s="3524"/>
      <c r="U7" s="3524"/>
      <c r="V7" s="3524"/>
      <c r="W7" s="3524"/>
      <c r="X7" s="3524"/>
      <c r="Y7" s="3524"/>
      <c r="Z7" s="3524"/>
      <c r="AA7" s="3524"/>
      <c r="AB7" s="5097"/>
      <c r="AC7" s="3524">
        <v>3</v>
      </c>
      <c r="AD7" s="5107" t="s">
        <v>130</v>
      </c>
      <c r="AE7" s="5106">
        <v>0.04</v>
      </c>
      <c r="AF7" s="3812">
        <f>AE7*M5</f>
        <v>589379.1488</v>
      </c>
      <c r="AG7" s="3524">
        <v>589379.1488</v>
      </c>
      <c r="AH7" s="3524" t="s">
        <v>122</v>
      </c>
      <c r="AI7" s="3524">
        <v>43777</v>
      </c>
      <c r="AJ7" s="3524">
        <v>589379.1488</v>
      </c>
      <c r="AK7" s="3524">
        <v>43777</v>
      </c>
      <c r="AL7" s="3812">
        <v>1000000</v>
      </c>
      <c r="AM7" s="3524">
        <v>43938</v>
      </c>
      <c r="AN7" s="3812">
        <v>1000000</v>
      </c>
      <c r="AO7" s="3812">
        <v>44134</v>
      </c>
      <c r="AP7" s="857"/>
      <c r="AQ7" s="5122"/>
      <c r="AR7" s="3524" t="s">
        <v>128</v>
      </c>
      <c r="AS7" s="3742"/>
      <c r="AT7" s="5122"/>
      <c r="AU7" s="3524"/>
      <c r="AV7" s="857"/>
      <c r="AW7" s="857"/>
      <c r="AX7" s="857"/>
      <c r="AY7" s="857"/>
      <c r="AZ7" s="857"/>
      <c r="BA7" s="5146"/>
      <c r="BB7" s="3812"/>
      <c r="BC7" s="3812"/>
      <c r="BD7" s="4841"/>
      <c r="BE7" s="5146"/>
      <c r="BF7" s="3408"/>
      <c r="BG7" s="5152"/>
      <c r="BH7" s="3812"/>
      <c r="BI7" s="3812"/>
      <c r="BJ7" s="3812"/>
      <c r="BK7" s="3812"/>
      <c r="BL7" s="3812"/>
      <c r="BM7" s="3812"/>
      <c r="BN7" s="3812"/>
      <c r="BO7" s="5122"/>
      <c r="BP7" s="5122"/>
      <c r="BQ7" s="5122"/>
      <c r="BR7" s="5146">
        <v>460000</v>
      </c>
      <c r="BS7" s="5146"/>
      <c r="BT7" s="5146">
        <v>540000</v>
      </c>
      <c r="BU7" s="5146"/>
      <c r="BV7" s="5122"/>
      <c r="BW7" s="5122"/>
      <c r="BX7" s="5122"/>
      <c r="BY7" s="5122"/>
      <c r="BZ7" s="5122"/>
      <c r="CA7" s="5122"/>
      <c r="CB7" s="5122"/>
      <c r="CC7" s="3524"/>
      <c r="CD7" s="3524"/>
      <c r="CE7" s="5169"/>
      <c r="CF7" s="5168"/>
      <c r="CG7" s="5177" t="s">
        <v>25</v>
      </c>
      <c r="CH7" s="5178">
        <f>SUMPRODUCT(($C$5:$C$2712&gt;=$CH$2)*($C$5:$C$2712&lt;=$CH$3)*$O$5:$O$2712)/10000</f>
        <v>0</v>
      </c>
      <c r="CJ7" s="40" t="s">
        <v>25</v>
      </c>
      <c r="CK7" s="5188">
        <f>SUMPRODUCT(($AI$5:$AI$2712&gt;=$CH$2)*($AI$5:$AI$2712&lt;=$CH$3)*$BB$5:$BB$2712)/10600</f>
        <v>0</v>
      </c>
      <c r="CM7" s="2995" t="s">
        <v>25</v>
      </c>
      <c r="CN7" s="5189">
        <f>SUMPRODUCT(($AO$5:$AO$2712&gt;=$CH$2)*($AO$5:$AO$2712&lt;=$CH$3)*$BP$5:$BP$2712)/10000</f>
        <v>74.1138438999999</v>
      </c>
    </row>
    <row r="8" s="4965" customFormat="1" ht="31" spans="1:92">
      <c r="A8" s="5051"/>
      <c r="B8" s="3524"/>
      <c r="C8" s="3524"/>
      <c r="D8" s="3742"/>
      <c r="E8" s="3524"/>
      <c r="F8" s="3742"/>
      <c r="G8" s="3742"/>
      <c r="H8" s="3742"/>
      <c r="I8" s="3742"/>
      <c r="J8" s="3742"/>
      <c r="K8" s="3524"/>
      <c r="L8" s="3524"/>
      <c r="M8" s="3524"/>
      <c r="N8" s="3524"/>
      <c r="O8" s="3524"/>
      <c r="P8" s="3524"/>
      <c r="Q8" s="3524"/>
      <c r="R8" s="3524"/>
      <c r="S8" s="3524"/>
      <c r="T8" s="3524"/>
      <c r="U8" s="3524"/>
      <c r="V8" s="3524"/>
      <c r="W8" s="3524"/>
      <c r="X8" s="3524"/>
      <c r="Y8" s="3524"/>
      <c r="Z8" s="3524"/>
      <c r="AA8" s="3524"/>
      <c r="AB8" s="5097"/>
      <c r="AC8" s="3524">
        <v>4</v>
      </c>
      <c r="AD8" s="5107" t="s">
        <v>131</v>
      </c>
      <c r="AE8" s="5106">
        <v>0.0625</v>
      </c>
      <c r="AF8" s="3812">
        <f>AE8*M5</f>
        <v>920904.92</v>
      </c>
      <c r="AG8" s="3524">
        <v>920904.92</v>
      </c>
      <c r="AH8" s="3524" t="s">
        <v>122</v>
      </c>
      <c r="AI8" s="3524">
        <v>43777</v>
      </c>
      <c r="AJ8" s="3524">
        <v>920904.92</v>
      </c>
      <c r="AK8" s="3524">
        <v>43777</v>
      </c>
      <c r="AL8" s="4087">
        <v>1051420</v>
      </c>
      <c r="AM8" s="3812">
        <v>44328</v>
      </c>
      <c r="AN8" s="3812">
        <v>1051420</v>
      </c>
      <c r="AO8" s="3812">
        <v>44328</v>
      </c>
      <c r="AP8" s="857"/>
      <c r="AQ8" s="5122"/>
      <c r="AR8" s="3524" t="s">
        <v>128</v>
      </c>
      <c r="AS8" s="3742"/>
      <c r="AT8" s="5122"/>
      <c r="AU8" s="3524"/>
      <c r="AV8" s="857"/>
      <c r="AW8" s="857"/>
      <c r="AX8" s="857"/>
      <c r="AY8" s="857"/>
      <c r="AZ8" s="857"/>
      <c r="BA8" s="5146"/>
      <c r="BB8" s="3812"/>
      <c r="BC8" s="3812"/>
      <c r="BD8" s="4842"/>
      <c r="BE8" s="5146"/>
      <c r="BF8" s="3409"/>
      <c r="BG8" s="5152"/>
      <c r="BH8" s="3812"/>
      <c r="BI8" s="3812"/>
      <c r="BJ8" s="3812"/>
      <c r="BK8" s="3812"/>
      <c r="BL8" s="3812"/>
      <c r="BM8" s="3812"/>
      <c r="BN8" s="3812"/>
      <c r="BO8" s="5146"/>
      <c r="BP8" s="5146"/>
      <c r="BQ8" s="5146"/>
      <c r="BR8" s="4840">
        <f>950469-460000</f>
        <v>490469</v>
      </c>
      <c r="BS8" s="5146"/>
      <c r="BT8" s="4840">
        <f>1100951-540000</f>
        <v>560951</v>
      </c>
      <c r="BU8" s="5146"/>
      <c r="BV8" s="5146"/>
      <c r="BW8" s="5146"/>
      <c r="BX8" s="5146"/>
      <c r="BY8" s="5146"/>
      <c r="BZ8" s="5146"/>
      <c r="CA8" s="5146"/>
      <c r="CB8" s="5146"/>
      <c r="CC8" s="3524"/>
      <c r="CD8" s="3524"/>
      <c r="CE8" s="5169"/>
      <c r="CF8" s="5168"/>
      <c r="CG8" s="5177" t="s">
        <v>26</v>
      </c>
      <c r="CH8" s="5178">
        <f>SUMPRODUCT(($C$5:$C$2712&gt;=$CH$2)*($C$5:$C$2712&lt;=$CH$3)*$P$5:$P$2712)/10000</f>
        <v>95</v>
      </c>
      <c r="CJ8" s="40" t="s">
        <v>26</v>
      </c>
      <c r="CK8" s="5188">
        <f>SUMPRODUCT(($AI$5:$AI$2712&gt;=$CH$2)*($AI$5:$AI$2712&lt;=$CH$3)*$BC$5:$BC$2712)/10600</f>
        <v>0</v>
      </c>
      <c r="CM8" s="2995" t="s">
        <v>26</v>
      </c>
      <c r="CN8" s="5189">
        <f>SUMPRODUCT(($AO$5:$AO$2712&gt;=$CH$2)*($AO$5:$AO$2712&lt;=$CH$3)*$BQ$5:$BQ$2712)/10000</f>
        <v>40</v>
      </c>
    </row>
    <row r="9" s="4965" customFormat="1" ht="61" spans="1:92">
      <c r="A9" s="5051"/>
      <c r="B9" s="3524"/>
      <c r="C9" s="3524"/>
      <c r="D9" s="3742"/>
      <c r="E9" s="3524"/>
      <c r="F9" s="3742"/>
      <c r="G9" s="3742"/>
      <c r="H9" s="3742"/>
      <c r="I9" s="3742"/>
      <c r="J9" s="3742"/>
      <c r="K9" s="3524"/>
      <c r="L9" s="3524"/>
      <c r="M9" s="3524"/>
      <c r="N9" s="3524"/>
      <c r="O9" s="3524"/>
      <c r="P9" s="3524"/>
      <c r="Q9" s="3524"/>
      <c r="R9" s="3524"/>
      <c r="S9" s="3524"/>
      <c r="T9" s="3524"/>
      <c r="U9" s="3524"/>
      <c r="V9" s="3524"/>
      <c r="W9" s="3524"/>
      <c r="X9" s="3524"/>
      <c r="Y9" s="3524"/>
      <c r="Z9" s="3524"/>
      <c r="AA9" s="3524"/>
      <c r="AB9" s="5097"/>
      <c r="AC9" s="3524">
        <v>5</v>
      </c>
      <c r="AD9" s="5105" t="s">
        <v>132</v>
      </c>
      <c r="AE9" s="5106">
        <v>0.05</v>
      </c>
      <c r="AF9" s="3812">
        <f>AE9*M5</f>
        <v>736723.936</v>
      </c>
      <c r="AG9" s="3524">
        <v>736723.936</v>
      </c>
      <c r="AH9" s="3524" t="s">
        <v>122</v>
      </c>
      <c r="AI9" s="3524">
        <v>43777</v>
      </c>
      <c r="AJ9" s="3524">
        <v>736723.936</v>
      </c>
      <c r="AK9" s="3524">
        <v>43777</v>
      </c>
      <c r="AL9" s="4088"/>
      <c r="AM9" s="3812"/>
      <c r="AN9" s="3812"/>
      <c r="AO9" s="3812"/>
      <c r="AP9" s="857"/>
      <c r="AQ9" s="5122"/>
      <c r="AR9" s="3524" t="s">
        <v>128</v>
      </c>
      <c r="AS9" s="3742"/>
      <c r="AT9" s="5122"/>
      <c r="AU9" s="3524"/>
      <c r="AV9" s="857"/>
      <c r="AW9" s="857"/>
      <c r="AX9" s="857"/>
      <c r="AY9" s="857"/>
      <c r="AZ9" s="857"/>
      <c r="BA9" s="5146"/>
      <c r="BB9" s="3812"/>
      <c r="BC9" s="3812"/>
      <c r="BD9" s="5147"/>
      <c r="BE9" s="5146"/>
      <c r="BF9" s="5152"/>
      <c r="BG9" s="5152"/>
      <c r="BH9" s="3812"/>
      <c r="BI9" s="3812"/>
      <c r="BJ9" s="3812"/>
      <c r="BK9" s="3812"/>
      <c r="BL9" s="3812"/>
      <c r="BM9" s="3812"/>
      <c r="BN9" s="3812"/>
      <c r="BO9" s="5146"/>
      <c r="BP9" s="5146"/>
      <c r="BQ9" s="5146"/>
      <c r="BR9" s="4841"/>
      <c r="BS9" s="5146"/>
      <c r="BT9" s="4841"/>
      <c r="BU9" s="5146"/>
      <c r="BV9" s="5146"/>
      <c r="BW9" s="5146"/>
      <c r="BX9" s="5146"/>
      <c r="BY9" s="5146"/>
      <c r="BZ9" s="5146"/>
      <c r="CA9" s="5146"/>
      <c r="CB9" s="5146"/>
      <c r="CC9" s="3524"/>
      <c r="CD9" s="3524"/>
      <c r="CE9" s="5169"/>
      <c r="CF9" s="5168"/>
      <c r="CG9" s="5177" t="s">
        <v>27</v>
      </c>
      <c r="CH9" s="5178">
        <f>SUMPRODUCT(($C$5:$C$2712&gt;=$CH$2)*($C$5:$C$2712&lt;=$CH$3)*$Q$5:$Q$2712)/10000</f>
        <v>200</v>
      </c>
      <c r="CJ9" s="40" t="s">
        <v>27</v>
      </c>
      <c r="CK9" s="5188">
        <f>SUMPRODUCT(($AI$5:$AI$2712&gt;=$CH$2)*($AI$5:$AI$2712&lt;=$CH$3)*$BD$5:$BD$2712)/10600</f>
        <v>0</v>
      </c>
      <c r="CM9" s="2995" t="s">
        <v>27</v>
      </c>
      <c r="CN9" s="5189">
        <f>SUMPRODUCT(($AO$5:$AO$2712&gt;=$CH$2)*($AO$5:$AO$2712&lt;=$CH$3)*$BR$5:$BR$2712)/10000</f>
        <v>50</v>
      </c>
    </row>
    <row r="10" s="4965" customFormat="1" ht="46" spans="1:92">
      <c r="A10" s="5051"/>
      <c r="B10" s="3524"/>
      <c r="C10" s="3524"/>
      <c r="D10" s="3742"/>
      <c r="E10" s="3524"/>
      <c r="F10" s="3742"/>
      <c r="G10" s="3742"/>
      <c r="H10" s="3742"/>
      <c r="I10" s="3742"/>
      <c r="J10" s="3742"/>
      <c r="K10" s="3524"/>
      <c r="L10" s="3524"/>
      <c r="M10" s="3524"/>
      <c r="N10" s="3524"/>
      <c r="O10" s="3524"/>
      <c r="P10" s="3524"/>
      <c r="Q10" s="3524"/>
      <c r="R10" s="3524"/>
      <c r="S10" s="3524"/>
      <c r="T10" s="3524"/>
      <c r="U10" s="3524"/>
      <c r="V10" s="3524"/>
      <c r="W10" s="3524"/>
      <c r="X10" s="3524"/>
      <c r="Y10" s="3524"/>
      <c r="Z10" s="3524"/>
      <c r="AA10" s="3524"/>
      <c r="AB10" s="5097"/>
      <c r="AC10" s="3524">
        <v>6</v>
      </c>
      <c r="AD10" s="5105" t="s">
        <v>133</v>
      </c>
      <c r="AE10" s="5106">
        <v>0.05</v>
      </c>
      <c r="AF10" s="3812">
        <f>AE10*M5</f>
        <v>736723.936</v>
      </c>
      <c r="AG10" s="3524">
        <v>736723.936</v>
      </c>
      <c r="AH10" s="3524" t="s">
        <v>122</v>
      </c>
      <c r="AI10" s="3524">
        <v>43777</v>
      </c>
      <c r="AJ10" s="3524">
        <v>736723.936</v>
      </c>
      <c r="AK10" s="3524">
        <v>43777</v>
      </c>
      <c r="AL10" s="4088"/>
      <c r="AM10" s="3812"/>
      <c r="AN10" s="3812"/>
      <c r="AO10" s="3812"/>
      <c r="AP10" s="857"/>
      <c r="AQ10" s="5122"/>
      <c r="AR10" s="3524" t="s">
        <v>128</v>
      </c>
      <c r="AS10" s="3742"/>
      <c r="AT10" s="5122"/>
      <c r="AU10" s="3524"/>
      <c r="AV10" s="857"/>
      <c r="AW10" s="857"/>
      <c r="AX10" s="857"/>
      <c r="AY10" s="857"/>
      <c r="AZ10" s="857"/>
      <c r="BA10" s="5146"/>
      <c r="BB10" s="3812"/>
      <c r="BC10" s="3812"/>
      <c r="BD10" s="5147"/>
      <c r="BE10" s="5146"/>
      <c r="BF10" s="5152"/>
      <c r="BG10" s="5152"/>
      <c r="BH10" s="3812"/>
      <c r="BI10" s="3812"/>
      <c r="BJ10" s="3812"/>
      <c r="BK10" s="3812"/>
      <c r="BL10" s="3812"/>
      <c r="BM10" s="3812"/>
      <c r="BN10" s="3812"/>
      <c r="BO10" s="5146"/>
      <c r="BP10" s="5146"/>
      <c r="BQ10" s="5146"/>
      <c r="BR10" s="4841"/>
      <c r="BS10" s="5146"/>
      <c r="BT10" s="4841"/>
      <c r="BU10" s="5146"/>
      <c r="BV10" s="5146"/>
      <c r="BW10" s="5146"/>
      <c r="BX10" s="5146"/>
      <c r="BY10" s="5146"/>
      <c r="BZ10" s="5146"/>
      <c r="CA10" s="5146"/>
      <c r="CB10" s="5146"/>
      <c r="CC10" s="3524"/>
      <c r="CD10" s="3524"/>
      <c r="CE10" s="5169"/>
      <c r="CF10" s="5168"/>
      <c r="CG10" s="5177" t="s">
        <v>28</v>
      </c>
      <c r="CH10" s="5178">
        <f>SUMPRODUCT(($C$5:$C$2712&gt;=$CH$2)*($C$5:$C$2712&lt;=$CH$3)*$R$5:$R$2712)/10000</f>
        <v>0</v>
      </c>
      <c r="CJ10" s="40" t="s">
        <v>28</v>
      </c>
      <c r="CK10" s="5188">
        <f>SUMPRODUCT(($AI$5:$AI$2712&gt;=$CH$2)*($AI$5:$AI$2712&lt;=$CH$3)*$BE$5:$BE$2712)/10600</f>
        <v>0</v>
      </c>
      <c r="CM10" s="2995" t="s">
        <v>28</v>
      </c>
      <c r="CN10" s="5189">
        <f>SUMPRODUCT(($AO$5:$AO$2712&gt;=$CH$2)*($AO$5:$AO$2712&lt;=$CH$3)*$BS$5:$BS$2712)/10000</f>
        <v>0</v>
      </c>
    </row>
    <row r="11" s="4965" customFormat="1" ht="46" spans="1:92">
      <c r="A11" s="5051"/>
      <c r="B11" s="3524"/>
      <c r="C11" s="3524"/>
      <c r="D11" s="3742"/>
      <c r="E11" s="3524"/>
      <c r="F11" s="3742"/>
      <c r="G11" s="3742"/>
      <c r="H11" s="3742"/>
      <c r="I11" s="3742"/>
      <c r="J11" s="3742"/>
      <c r="K11" s="3524"/>
      <c r="L11" s="3524"/>
      <c r="M11" s="3524"/>
      <c r="N11" s="3524"/>
      <c r="O11" s="3524"/>
      <c r="P11" s="3524"/>
      <c r="Q11" s="3524"/>
      <c r="R11" s="3524"/>
      <c r="S11" s="3524"/>
      <c r="T11" s="3524"/>
      <c r="U11" s="3524"/>
      <c r="V11" s="3524"/>
      <c r="W11" s="3524"/>
      <c r="X11" s="3524"/>
      <c r="Y11" s="3524"/>
      <c r="Z11" s="3524"/>
      <c r="AA11" s="3524"/>
      <c r="AB11" s="5097"/>
      <c r="AC11" s="3524">
        <v>7</v>
      </c>
      <c r="AD11" s="5105" t="s">
        <v>134</v>
      </c>
      <c r="AE11" s="5106">
        <v>0.025</v>
      </c>
      <c r="AF11" s="3812">
        <f>AE11*M5</f>
        <v>368361.968</v>
      </c>
      <c r="AG11" s="3524">
        <v>368361.968</v>
      </c>
      <c r="AH11" s="3524" t="s">
        <v>122</v>
      </c>
      <c r="AI11" s="3524">
        <v>43777</v>
      </c>
      <c r="AJ11" s="3524">
        <v>368361.968</v>
      </c>
      <c r="AK11" s="3524">
        <v>43777</v>
      </c>
      <c r="AL11" s="4088"/>
      <c r="AM11" s="3812"/>
      <c r="AN11" s="3812"/>
      <c r="AO11" s="3812"/>
      <c r="AP11" s="857"/>
      <c r="AQ11" s="5122"/>
      <c r="AR11" s="3524" t="s">
        <v>128</v>
      </c>
      <c r="AS11" s="3742"/>
      <c r="AT11" s="5122"/>
      <c r="AU11" s="3524"/>
      <c r="AV11" s="857"/>
      <c r="AW11" s="857"/>
      <c r="AX11" s="857"/>
      <c r="AY11" s="857"/>
      <c r="AZ11" s="857"/>
      <c r="BA11" s="5146"/>
      <c r="BB11" s="3812"/>
      <c r="BC11" s="3812"/>
      <c r="BD11" s="5147"/>
      <c r="BE11" s="5146"/>
      <c r="BF11" s="5152"/>
      <c r="BG11" s="5152"/>
      <c r="BH11" s="3812"/>
      <c r="BI11" s="3812"/>
      <c r="BJ11" s="3812"/>
      <c r="BK11" s="3812"/>
      <c r="BL11" s="3812"/>
      <c r="BM11" s="3812"/>
      <c r="BN11" s="3812"/>
      <c r="BO11" s="5146"/>
      <c r="BP11" s="5146"/>
      <c r="BQ11" s="5146"/>
      <c r="BR11" s="4841"/>
      <c r="BS11" s="5146"/>
      <c r="BT11" s="4841"/>
      <c r="BU11" s="5146"/>
      <c r="BV11" s="5146"/>
      <c r="BW11" s="5146"/>
      <c r="BX11" s="5146"/>
      <c r="BY11" s="5146"/>
      <c r="BZ11" s="5146"/>
      <c r="CA11" s="5146"/>
      <c r="CB11" s="5146"/>
      <c r="CC11" s="3524"/>
      <c r="CD11" s="3524"/>
      <c r="CE11" s="5169"/>
      <c r="CF11" s="5168"/>
      <c r="CG11" s="5177" t="s">
        <v>135</v>
      </c>
      <c r="CH11" s="5178">
        <v>0</v>
      </c>
      <c r="CJ11" s="40" t="s">
        <v>135</v>
      </c>
      <c r="CK11" s="5188">
        <v>0</v>
      </c>
      <c r="CM11" s="2995" t="s">
        <v>135</v>
      </c>
      <c r="CN11" s="5189">
        <v>0</v>
      </c>
    </row>
    <row r="12" s="4965" customFormat="1" ht="31" spans="1:92">
      <c r="A12" s="5051"/>
      <c r="B12" s="3524"/>
      <c r="C12" s="3524"/>
      <c r="D12" s="3742"/>
      <c r="E12" s="3524"/>
      <c r="F12" s="3742"/>
      <c r="G12" s="3742"/>
      <c r="H12" s="3742"/>
      <c r="I12" s="3742"/>
      <c r="J12" s="3742"/>
      <c r="K12" s="3524"/>
      <c r="L12" s="3524"/>
      <c r="M12" s="3524"/>
      <c r="N12" s="3524"/>
      <c r="O12" s="3524"/>
      <c r="P12" s="3524"/>
      <c r="Q12" s="3524"/>
      <c r="R12" s="3524"/>
      <c r="S12" s="3524"/>
      <c r="T12" s="3524"/>
      <c r="U12" s="3524"/>
      <c r="V12" s="3524"/>
      <c r="W12" s="3524"/>
      <c r="X12" s="3524"/>
      <c r="Y12" s="3524"/>
      <c r="Z12" s="3524"/>
      <c r="AA12" s="3524"/>
      <c r="AB12" s="5097"/>
      <c r="AC12" s="3524">
        <v>8</v>
      </c>
      <c r="AD12" s="5105" t="s">
        <v>136</v>
      </c>
      <c r="AE12" s="5106">
        <v>0.025</v>
      </c>
      <c r="AF12" s="3812">
        <f>AE12*M5</f>
        <v>368361.968</v>
      </c>
      <c r="AG12" s="3524">
        <v>368361.968</v>
      </c>
      <c r="AH12" s="3524" t="s">
        <v>122</v>
      </c>
      <c r="AI12" s="3524">
        <v>43777</v>
      </c>
      <c r="AJ12" s="3524">
        <v>368361.968</v>
      </c>
      <c r="AK12" s="3524">
        <v>43777</v>
      </c>
      <c r="AL12" s="4903"/>
      <c r="AM12" s="3812"/>
      <c r="AN12" s="3812"/>
      <c r="AO12" s="3812"/>
      <c r="AP12" s="857"/>
      <c r="AQ12" s="5122"/>
      <c r="AR12" s="3524" t="s">
        <v>128</v>
      </c>
      <c r="AS12" s="3742"/>
      <c r="AT12" s="5122"/>
      <c r="AU12" s="3524"/>
      <c r="AV12" s="857"/>
      <c r="AW12" s="857"/>
      <c r="AX12" s="857"/>
      <c r="AY12" s="857"/>
      <c r="AZ12" s="857"/>
      <c r="BA12" s="5146"/>
      <c r="BB12" s="3812"/>
      <c r="BC12" s="3812"/>
      <c r="BD12" s="5147"/>
      <c r="BE12" s="5146"/>
      <c r="BF12" s="5152"/>
      <c r="BG12" s="5152"/>
      <c r="BH12" s="3812"/>
      <c r="BI12" s="3812"/>
      <c r="BJ12" s="3812"/>
      <c r="BK12" s="3812"/>
      <c r="BL12" s="3812"/>
      <c r="BM12" s="3812"/>
      <c r="BN12" s="3812"/>
      <c r="BO12" s="5146"/>
      <c r="BP12" s="5146"/>
      <c r="BQ12" s="5146"/>
      <c r="BR12" s="4842"/>
      <c r="BS12" s="5146"/>
      <c r="BT12" s="4842"/>
      <c r="BU12" s="5146"/>
      <c r="BV12" s="5146"/>
      <c r="BW12" s="5146"/>
      <c r="BX12" s="5146"/>
      <c r="BY12" s="5146"/>
      <c r="BZ12" s="5146"/>
      <c r="CA12" s="5146"/>
      <c r="CB12" s="5146"/>
      <c r="CC12" s="3524"/>
      <c r="CD12" s="3524"/>
      <c r="CE12" s="5169"/>
      <c r="CF12" s="5168"/>
      <c r="CG12" s="5177" t="s">
        <v>137</v>
      </c>
      <c r="CH12" s="5178">
        <f>SUMPRODUCT(($C$5:$C$2712&gt;=$CH$2)*($C$5:$C$2712&lt;=$CH$3)*$U$5:$U$2712)/10000</f>
        <v>0</v>
      </c>
      <c r="CJ12" s="40" t="s">
        <v>137</v>
      </c>
      <c r="CK12" s="5188">
        <f>SUMPRODUCT(($AI$5:$AI$2712&gt;=$CH$2)*($AI$5:$AI$2712&lt;=$CH$3)*$BH$5:$BH$2712)/10600</f>
        <v>0</v>
      </c>
      <c r="CM12" s="2995" t="s">
        <v>137</v>
      </c>
      <c r="CN12" s="5189">
        <f>SUMPRODUCT(($AO$5:$AO$2712&gt;=$CH$2)*($AO$5:$AO$2712&lt;=$CH$3)*$BV$5:$BV$2712)/10000</f>
        <v>82.7695459</v>
      </c>
    </row>
    <row r="13" s="4965" customFormat="1" spans="1:92">
      <c r="A13" s="5051"/>
      <c r="B13" s="3524"/>
      <c r="C13" s="3524"/>
      <c r="D13" s="3742"/>
      <c r="E13" s="3524"/>
      <c r="F13" s="3742"/>
      <c r="G13" s="3742"/>
      <c r="H13" s="3742"/>
      <c r="I13" s="3742"/>
      <c r="J13" s="3742"/>
      <c r="K13" s="3524"/>
      <c r="L13" s="3524"/>
      <c r="M13" s="3524"/>
      <c r="N13" s="3524"/>
      <c r="O13" s="3524"/>
      <c r="P13" s="3524"/>
      <c r="Q13" s="3524"/>
      <c r="R13" s="3524"/>
      <c r="S13" s="3524"/>
      <c r="T13" s="3524"/>
      <c r="U13" s="3524"/>
      <c r="V13" s="3524"/>
      <c r="W13" s="3524"/>
      <c r="X13" s="3524"/>
      <c r="Y13" s="3524"/>
      <c r="Z13" s="3524"/>
      <c r="AA13" s="3524"/>
      <c r="AB13" s="5097"/>
      <c r="AC13" s="4087">
        <v>9</v>
      </c>
      <c r="AD13" s="5108" t="s">
        <v>127</v>
      </c>
      <c r="AE13" s="5106">
        <v>0.1</v>
      </c>
      <c r="AF13" s="5109">
        <f>AE13*M5</f>
        <v>1473447.872</v>
      </c>
      <c r="AG13" s="4840">
        <f>SUBTOTAL(9,BA13:BN13)</f>
        <v>2320680.39</v>
      </c>
      <c r="AH13" s="4840" t="s">
        <v>122</v>
      </c>
      <c r="AI13" s="4840">
        <v>44532</v>
      </c>
      <c r="AJ13" s="4840">
        <v>2320680.39</v>
      </c>
      <c r="AK13" s="4840">
        <v>44547</v>
      </c>
      <c r="AL13" s="3812">
        <v>700000</v>
      </c>
      <c r="AM13" s="3812">
        <v>44547</v>
      </c>
      <c r="AN13" s="3812">
        <f>SUBTOTAL(9,BO13:CB13)</f>
        <v>700000</v>
      </c>
      <c r="AO13" s="3812">
        <v>44580</v>
      </c>
      <c r="AP13" s="857"/>
      <c r="AQ13" s="5122"/>
      <c r="AR13" s="3524"/>
      <c r="AS13" s="5137"/>
      <c r="AT13" s="5122"/>
      <c r="AU13" s="3524"/>
      <c r="AV13" s="857"/>
      <c r="AW13" s="857"/>
      <c r="AX13" s="857"/>
      <c r="AY13" s="857"/>
      <c r="AZ13" s="857"/>
      <c r="BA13" s="5146"/>
      <c r="BB13" s="3812"/>
      <c r="BC13" s="3812"/>
      <c r="BD13" s="4840">
        <v>2320680.39</v>
      </c>
      <c r="BE13" s="5146"/>
      <c r="BF13" s="5146"/>
      <c r="BG13" s="5146"/>
      <c r="BH13" s="3812"/>
      <c r="BI13" s="3812"/>
      <c r="BJ13" s="3812"/>
      <c r="BK13" s="3812"/>
      <c r="BL13" s="3812"/>
      <c r="BM13" s="3812"/>
      <c r="BN13" s="3812"/>
      <c r="BO13" s="5146"/>
      <c r="BP13" s="5146"/>
      <c r="BQ13" s="5146"/>
      <c r="BR13" s="5146">
        <v>700000</v>
      </c>
      <c r="BS13" s="5146"/>
      <c r="BT13" s="5146"/>
      <c r="BU13" s="5146"/>
      <c r="BV13" s="5146"/>
      <c r="BW13" s="5146"/>
      <c r="BX13" s="5146"/>
      <c r="BY13" s="5146"/>
      <c r="BZ13" s="5146"/>
      <c r="CA13" s="5146"/>
      <c r="CB13" s="5146"/>
      <c r="CC13" s="3524"/>
      <c r="CD13" s="3524"/>
      <c r="CE13" s="5169"/>
      <c r="CF13" s="5168"/>
      <c r="CG13" s="5177" t="s">
        <v>138</v>
      </c>
      <c r="CH13" s="5178">
        <f>SUMPRODUCT(($C$5:$C$2712&gt;=$CH$2)*($C$5:$C$2712&lt;=$CH$3)*$S$5:$S$2712)</f>
        <v>0</v>
      </c>
      <c r="CJ13" s="40" t="s">
        <v>138</v>
      </c>
      <c r="CK13" s="5188">
        <f>SUMPRODUCT(($AI$5:$AI$2712&gt;=$CH$2)*($AI$5:$AI$2712&lt;=$CH$3)*$BF$5:$BF$2712)/10600</f>
        <v>0</v>
      </c>
      <c r="CM13" s="2995" t="s">
        <v>138</v>
      </c>
      <c r="CN13" s="5189">
        <f>SUMPRODUCT(($AO$5:$AO$2712&gt;=$CH$2)*($AO$5:$AO$2712&lt;=$CH$3)*$BT$5:$BT$2712)/10000</f>
        <v>0</v>
      </c>
    </row>
    <row r="14" s="4965" customFormat="1" spans="1:92">
      <c r="A14" s="5051"/>
      <c r="B14" s="3524"/>
      <c r="C14" s="3524"/>
      <c r="D14" s="3742"/>
      <c r="E14" s="3524"/>
      <c r="F14" s="3742"/>
      <c r="G14" s="3742"/>
      <c r="H14" s="3742"/>
      <c r="I14" s="3742"/>
      <c r="J14" s="3742"/>
      <c r="K14" s="3524"/>
      <c r="L14" s="3524"/>
      <c r="M14" s="3524"/>
      <c r="N14" s="3524"/>
      <c r="O14" s="3524"/>
      <c r="P14" s="3524"/>
      <c r="Q14" s="3524"/>
      <c r="R14" s="3524"/>
      <c r="S14" s="3524"/>
      <c r="T14" s="3524"/>
      <c r="U14" s="3524"/>
      <c r="V14" s="3524"/>
      <c r="W14" s="3524"/>
      <c r="X14" s="3524"/>
      <c r="Y14" s="3524"/>
      <c r="Z14" s="3524"/>
      <c r="AA14" s="3524"/>
      <c r="AB14" s="5097"/>
      <c r="AC14" s="4903"/>
      <c r="AD14" s="5110"/>
      <c r="AE14" s="5106"/>
      <c r="AF14" s="5111"/>
      <c r="AG14" s="4842"/>
      <c r="AH14" s="4842"/>
      <c r="AI14" s="4842"/>
      <c r="AJ14" s="4842"/>
      <c r="AK14" s="4842"/>
      <c r="AL14" s="5058">
        <v>1620680.74</v>
      </c>
      <c r="AM14" s="5058">
        <v>45946</v>
      </c>
      <c r="AN14" s="4813">
        <f>SUBTOTAL(9,BO14:CB14)</f>
        <v>1620680.74</v>
      </c>
      <c r="AO14" s="4815"/>
      <c r="AP14" s="857"/>
      <c r="AQ14" s="5122"/>
      <c r="AR14" s="3524"/>
      <c r="AS14" s="5137"/>
      <c r="AT14" s="5122"/>
      <c r="AU14" s="3524"/>
      <c r="AV14" s="857"/>
      <c r="AW14" s="857"/>
      <c r="AX14" s="857"/>
      <c r="AY14" s="857"/>
      <c r="AZ14" s="857"/>
      <c r="BA14" s="5122"/>
      <c r="BB14" s="3524"/>
      <c r="BC14" s="3524"/>
      <c r="BD14" s="4842"/>
      <c r="BE14" s="5122"/>
      <c r="BF14" s="5122"/>
      <c r="BG14" s="5122"/>
      <c r="BH14" s="3524"/>
      <c r="BI14" s="3524"/>
      <c r="BJ14" s="3524"/>
      <c r="BK14" s="3524"/>
      <c r="BL14" s="3524"/>
      <c r="BM14" s="3524"/>
      <c r="BN14" s="3524"/>
      <c r="BO14" s="5122"/>
      <c r="BP14" s="5122"/>
      <c r="BQ14" s="5122"/>
      <c r="BR14" s="5160">
        <v>1620680.74</v>
      </c>
      <c r="BS14" s="5122"/>
      <c r="BT14" s="5122"/>
      <c r="BU14" s="5122"/>
      <c r="BV14" s="5122"/>
      <c r="BW14" s="5122"/>
      <c r="BX14" s="5122"/>
      <c r="BY14" s="5122"/>
      <c r="BZ14" s="5122"/>
      <c r="CA14" s="5122"/>
      <c r="CB14" s="5122"/>
      <c r="CC14" s="3524"/>
      <c r="CD14" s="3524"/>
      <c r="CE14" s="5169"/>
      <c r="CF14" s="5168"/>
      <c r="CG14" s="5177"/>
      <c r="CH14" s="5178"/>
      <c r="CJ14" s="40"/>
      <c r="CK14" s="5188"/>
      <c r="CM14" s="2995"/>
      <c r="CN14" s="5189"/>
    </row>
    <row r="15" s="4965" customFormat="1" ht="46" spans="1:92">
      <c r="A15" s="5051"/>
      <c r="B15" s="3524"/>
      <c r="C15" s="3524"/>
      <c r="D15" s="3742"/>
      <c r="E15" s="3524"/>
      <c r="F15" s="3742"/>
      <c r="G15" s="3742"/>
      <c r="H15" s="3742"/>
      <c r="I15" s="3742"/>
      <c r="J15" s="3742"/>
      <c r="K15" s="3524"/>
      <c r="L15" s="3524"/>
      <c r="M15" s="3524"/>
      <c r="N15" s="3524"/>
      <c r="O15" s="3524"/>
      <c r="P15" s="3524"/>
      <c r="Q15" s="3524"/>
      <c r="R15" s="3524"/>
      <c r="S15" s="3524"/>
      <c r="T15" s="3524"/>
      <c r="U15" s="3524"/>
      <c r="V15" s="3524"/>
      <c r="W15" s="3524"/>
      <c r="X15" s="3524"/>
      <c r="Y15" s="3524"/>
      <c r="Z15" s="3524"/>
      <c r="AA15" s="3524"/>
      <c r="AB15" s="5097"/>
      <c r="AC15" s="3524">
        <v>10</v>
      </c>
      <c r="AD15" s="5105" t="s">
        <v>139</v>
      </c>
      <c r="AE15" s="5106">
        <v>0.0375</v>
      </c>
      <c r="AF15" s="3524">
        <f>AE15*M5</f>
        <v>552542.952</v>
      </c>
      <c r="AG15" s="3524"/>
      <c r="AH15" s="3524"/>
      <c r="AI15" s="3524"/>
      <c r="AJ15" s="3524"/>
      <c r="AK15" s="5122"/>
      <c r="AL15" s="3524"/>
      <c r="AM15" s="3524"/>
      <c r="AN15" s="5123"/>
      <c r="AO15" s="5123"/>
      <c r="AP15" s="857"/>
      <c r="AQ15" s="5122"/>
      <c r="AR15" s="3524"/>
      <c r="AS15" s="5137"/>
      <c r="AT15" s="5122"/>
      <c r="AU15" s="3524"/>
      <c r="AV15" s="857"/>
      <c r="AW15" s="857"/>
      <c r="AX15" s="857"/>
      <c r="AY15" s="857"/>
      <c r="AZ15" s="857"/>
      <c r="BA15" s="5122"/>
      <c r="BB15" s="3524"/>
      <c r="BC15" s="3524"/>
      <c r="BD15" s="5122"/>
      <c r="BE15" s="5122"/>
      <c r="BF15" s="5122"/>
      <c r="BG15" s="5122"/>
      <c r="BH15" s="3524"/>
      <c r="BI15" s="3524"/>
      <c r="BJ15" s="3524"/>
      <c r="BK15" s="3524"/>
      <c r="BL15" s="3524"/>
      <c r="BM15" s="3524"/>
      <c r="BN15" s="3524"/>
      <c r="BO15" s="5122"/>
      <c r="BP15" s="5122"/>
      <c r="BQ15" s="5122"/>
      <c r="BR15" s="5160"/>
      <c r="BS15" s="5122"/>
      <c r="BT15" s="5122"/>
      <c r="BU15" s="5122"/>
      <c r="BV15" s="5122"/>
      <c r="BW15" s="5122"/>
      <c r="BX15" s="5122"/>
      <c r="BY15" s="5122"/>
      <c r="BZ15" s="5122"/>
      <c r="CA15" s="5122"/>
      <c r="CB15" s="5122"/>
      <c r="CC15" s="3524"/>
      <c r="CD15" s="3524"/>
      <c r="CE15" s="5169"/>
      <c r="CF15" s="5168"/>
      <c r="CG15" s="5177" t="s">
        <v>35</v>
      </c>
      <c r="CH15" s="5178">
        <f>SUMPRODUCT(($C$5:$C$2712&gt;=$CH$2)*($C$5:$C$2712&lt;=$CH$3)*$T$5:$T$2712)/10000+SUMPRODUCT(($C$5:$C$2712&gt;=$CH$2)*($C$5:$C$2712&lt;=$CH$3)*$Y$5:$Y$2712)/10000</f>
        <v>0</v>
      </c>
      <c r="CJ15" s="40" t="s">
        <v>35</v>
      </c>
      <c r="CK15" s="5188">
        <f>SUMPRODUCT(($AI$5:$AI$2712&gt;=$CH$2)*($AI$5:$AI$2712&lt;=$CH$3)*$BG$5:$BG$2712)/10600+SUMPRODUCT(($AI$5:$AI$2712&gt;=$CH$2)*($AI$5:$AI$2712&lt;=$CH$3)*$BL$5:$BL$2712)/10600</f>
        <v>0</v>
      </c>
      <c r="CM15" s="2995" t="s">
        <v>35</v>
      </c>
      <c r="CN15" s="5189">
        <f>SUMPRODUCT(($AO$5:$AO$2712&gt;=$CH$2)*($AO$5:$AO$2712&lt;=$CH$3)*$BU$5:$BU$2712)/10000+SUMPRODUCT(($AO$5:$AO$2712&gt;=$CH$2)*($AO$5:$AO$2712&lt;=$CH$3)*$BZ$5:$BZ$2712)/10000</f>
        <v>0</v>
      </c>
    </row>
    <row r="16" s="4965" customFormat="1" ht="31" spans="1:92">
      <c r="A16" s="5051"/>
      <c r="B16" s="3524"/>
      <c r="C16" s="3524"/>
      <c r="D16" s="3742"/>
      <c r="E16" s="3524"/>
      <c r="F16" s="3742"/>
      <c r="G16" s="3742"/>
      <c r="H16" s="3742"/>
      <c r="I16" s="3742"/>
      <c r="J16" s="3742"/>
      <c r="K16" s="3524"/>
      <c r="L16" s="3524"/>
      <c r="M16" s="3524"/>
      <c r="N16" s="3524"/>
      <c r="O16" s="3524"/>
      <c r="P16" s="3524"/>
      <c r="Q16" s="3524"/>
      <c r="R16" s="3524"/>
      <c r="S16" s="3524"/>
      <c r="T16" s="3524"/>
      <c r="U16" s="3524"/>
      <c r="V16" s="3524"/>
      <c r="W16" s="3524"/>
      <c r="X16" s="3524"/>
      <c r="Y16" s="3524"/>
      <c r="Z16" s="3524"/>
      <c r="AA16" s="3524"/>
      <c r="AB16" s="5097"/>
      <c r="AC16" s="3524">
        <v>11</v>
      </c>
      <c r="AD16" s="5105" t="s">
        <v>131</v>
      </c>
      <c r="AE16" s="5106">
        <v>0.05</v>
      </c>
      <c r="AF16" s="3524">
        <f>AE16*M5</f>
        <v>736723.936</v>
      </c>
      <c r="AG16" s="3524"/>
      <c r="AH16" s="3524"/>
      <c r="AI16" s="3524"/>
      <c r="AJ16" s="3524"/>
      <c r="AK16" s="5122"/>
      <c r="AL16" s="3524"/>
      <c r="AM16" s="3524"/>
      <c r="AN16" s="3524"/>
      <c r="AO16" s="3524"/>
      <c r="AP16" s="857"/>
      <c r="AQ16" s="5122"/>
      <c r="AR16" s="3524"/>
      <c r="AS16" s="5137"/>
      <c r="AT16" s="5122"/>
      <c r="AU16" s="3524"/>
      <c r="AV16" s="857"/>
      <c r="AW16" s="857"/>
      <c r="AX16" s="857"/>
      <c r="AY16" s="857"/>
      <c r="AZ16" s="857"/>
      <c r="BA16" s="5122"/>
      <c r="BB16" s="3524"/>
      <c r="BC16" s="3524"/>
      <c r="BD16" s="5122"/>
      <c r="BE16" s="5122"/>
      <c r="BF16" s="5122"/>
      <c r="BG16" s="5122"/>
      <c r="BH16" s="3524"/>
      <c r="BI16" s="3524"/>
      <c r="BJ16" s="3524"/>
      <c r="BK16" s="3524"/>
      <c r="BL16" s="3524"/>
      <c r="BM16" s="3524"/>
      <c r="BN16" s="3524"/>
      <c r="BO16" s="5122"/>
      <c r="BP16" s="5122"/>
      <c r="BQ16" s="5122"/>
      <c r="BR16" s="5122"/>
      <c r="BS16" s="5122"/>
      <c r="BT16" s="5122"/>
      <c r="BU16" s="5122"/>
      <c r="BV16" s="5122"/>
      <c r="BW16" s="5122"/>
      <c r="BX16" s="5122"/>
      <c r="BY16" s="5122"/>
      <c r="BZ16" s="5122"/>
      <c r="CA16" s="5122"/>
      <c r="CB16" s="5122"/>
      <c r="CC16" s="3524"/>
      <c r="CD16" s="3524"/>
      <c r="CE16" s="5169"/>
      <c r="CF16" s="5168"/>
      <c r="CG16" s="5177" t="s">
        <v>32</v>
      </c>
      <c r="CH16" s="5178">
        <f>SUMPRODUCT(($C$5:$C$2712&gt;=$CH$2)*($C$5:$C$2712&lt;=$CH$3)*$V$5:$V$2712)/10000</f>
        <v>0</v>
      </c>
      <c r="CJ16" s="40" t="s">
        <v>32</v>
      </c>
      <c r="CK16" s="5188">
        <f>SUMPRODUCT(($AI$5:$AI$2712&gt;=$CH$2)*($AI$5:$AI$2712&lt;=$CH$3)*$BI$5:$BI$2712)/10600</f>
        <v>0</v>
      </c>
      <c r="CM16" s="2995" t="s">
        <v>32</v>
      </c>
      <c r="CN16" s="5189">
        <f>SUMPRODUCT(($AO$5:$AO$2712&gt;=$CH$2)*($AO$5:$AO$2712&lt;=$CH$3)*$BW$5:$BW$2712)/10000</f>
        <v>21.8</v>
      </c>
    </row>
    <row r="17" s="4965" customFormat="1" ht="61" spans="1:92">
      <c r="A17" s="5051"/>
      <c r="B17" s="3524"/>
      <c r="C17" s="3524"/>
      <c r="D17" s="3742"/>
      <c r="E17" s="3524"/>
      <c r="F17" s="3742"/>
      <c r="G17" s="3742"/>
      <c r="H17" s="3742"/>
      <c r="I17" s="3742"/>
      <c r="J17" s="3742"/>
      <c r="K17" s="3524"/>
      <c r="L17" s="3524"/>
      <c r="M17" s="3524"/>
      <c r="N17" s="3524"/>
      <c r="O17" s="3524"/>
      <c r="P17" s="3524"/>
      <c r="Q17" s="3524"/>
      <c r="R17" s="3524"/>
      <c r="S17" s="3524"/>
      <c r="T17" s="3524"/>
      <c r="U17" s="3524"/>
      <c r="V17" s="3524"/>
      <c r="W17" s="3524"/>
      <c r="X17" s="3524"/>
      <c r="Y17" s="3524"/>
      <c r="Z17" s="3524"/>
      <c r="AA17" s="3524"/>
      <c r="AB17" s="5097"/>
      <c r="AC17" s="3524">
        <v>12</v>
      </c>
      <c r="AD17" s="5105" t="s">
        <v>132</v>
      </c>
      <c r="AE17" s="5106">
        <v>0.04</v>
      </c>
      <c r="AF17" s="3524">
        <f>AE17*M5</f>
        <v>589379.1488</v>
      </c>
      <c r="AG17" s="3524"/>
      <c r="AH17" s="3524"/>
      <c r="AI17" s="3524"/>
      <c r="AJ17" s="3524"/>
      <c r="AK17" s="5122"/>
      <c r="AL17" s="3524"/>
      <c r="AM17" s="3524"/>
      <c r="AN17" s="3524"/>
      <c r="AO17" s="3524"/>
      <c r="AP17" s="857"/>
      <c r="AQ17" s="5122"/>
      <c r="AR17" s="3524"/>
      <c r="AS17" s="5137"/>
      <c r="AT17" s="5122"/>
      <c r="AU17" s="3524"/>
      <c r="AV17" s="857"/>
      <c r="AW17" s="857"/>
      <c r="AX17" s="857"/>
      <c r="AY17" s="857"/>
      <c r="AZ17" s="857"/>
      <c r="BA17" s="5122"/>
      <c r="BB17" s="3524"/>
      <c r="BC17" s="3524"/>
      <c r="BD17" s="5122"/>
      <c r="BE17" s="5122"/>
      <c r="BF17" s="5122"/>
      <c r="BG17" s="5122"/>
      <c r="BH17" s="3524"/>
      <c r="BI17" s="3524"/>
      <c r="BJ17" s="3524"/>
      <c r="BK17" s="3524"/>
      <c r="BL17" s="3524"/>
      <c r="BM17" s="3524"/>
      <c r="BN17" s="3524"/>
      <c r="BO17" s="5122"/>
      <c r="BP17" s="5122"/>
      <c r="BQ17" s="5122"/>
      <c r="BR17" s="5122"/>
      <c r="BS17" s="5122"/>
      <c r="BT17" s="5122"/>
      <c r="BU17" s="5122"/>
      <c r="BV17" s="5122"/>
      <c r="BW17" s="5122"/>
      <c r="BX17" s="5122"/>
      <c r="BY17" s="5122"/>
      <c r="BZ17" s="5122"/>
      <c r="CA17" s="5122"/>
      <c r="CB17" s="5122"/>
      <c r="CC17" s="3524"/>
      <c r="CD17" s="3524"/>
      <c r="CE17" s="5169"/>
      <c r="CF17" s="5168"/>
      <c r="CG17" s="5179" t="s">
        <v>140</v>
      </c>
      <c r="CH17" s="5178">
        <f>SUMPRODUCT(($C$5:$C$2712&gt;=$CH$2)*($C$5:$C$2712&lt;=$CH$3)*$W$5:$W$2712)/10000</f>
        <v>0</v>
      </c>
      <c r="CI17" s="5025"/>
      <c r="CJ17" s="4013" t="s">
        <v>140</v>
      </c>
      <c r="CK17" s="5188">
        <f>SUMPRODUCT(($AI$5:$AI$2712&gt;=$CH$2)*($AI$5:$AI$2712&lt;=$CH$3)*$BJ$5:$BJ$2712)/10600</f>
        <v>1.49848018867925</v>
      </c>
      <c r="CL17" s="5025"/>
      <c r="CM17" s="4023" t="s">
        <v>140</v>
      </c>
      <c r="CN17" s="5189">
        <f>SUMPRODUCT(($AO$5:$AO$2712&gt;=$CH$2)*($AO$5:$AO$2712&lt;=$CH$3)*$BX$5:$BX$2712)/10000</f>
        <v>0</v>
      </c>
    </row>
    <row r="18" s="4965" customFormat="1" ht="46" spans="1:92">
      <c r="A18" s="5051"/>
      <c r="B18" s="3524"/>
      <c r="C18" s="3524"/>
      <c r="D18" s="3742"/>
      <c r="E18" s="3524"/>
      <c r="F18" s="3742"/>
      <c r="G18" s="3742"/>
      <c r="H18" s="3742"/>
      <c r="I18" s="3742"/>
      <c r="J18" s="3742"/>
      <c r="K18" s="3524"/>
      <c r="L18" s="3524"/>
      <c r="M18" s="3524"/>
      <c r="N18" s="3524"/>
      <c r="O18" s="3524"/>
      <c r="P18" s="3524"/>
      <c r="Q18" s="3524"/>
      <c r="R18" s="3524"/>
      <c r="S18" s="3524"/>
      <c r="T18" s="3524"/>
      <c r="U18" s="3524"/>
      <c r="V18" s="3524"/>
      <c r="W18" s="3524"/>
      <c r="X18" s="3524"/>
      <c r="Y18" s="3524"/>
      <c r="Z18" s="3524"/>
      <c r="AA18" s="3524"/>
      <c r="AB18" s="5097"/>
      <c r="AC18" s="3524">
        <v>13</v>
      </c>
      <c r="AD18" s="5105" t="s">
        <v>133</v>
      </c>
      <c r="AE18" s="5106">
        <v>0.04</v>
      </c>
      <c r="AF18" s="3524">
        <f>AE18*M5</f>
        <v>589379.1488</v>
      </c>
      <c r="AG18" s="3524"/>
      <c r="AH18" s="3524"/>
      <c r="AI18" s="3524"/>
      <c r="AJ18" s="3524"/>
      <c r="AK18" s="5122"/>
      <c r="AL18" s="3524"/>
      <c r="AM18" s="3524"/>
      <c r="AN18" s="3524"/>
      <c r="AO18" s="3524"/>
      <c r="AP18" s="857"/>
      <c r="AQ18" s="5122"/>
      <c r="AR18" s="3524"/>
      <c r="AS18" s="5137"/>
      <c r="AT18" s="5122"/>
      <c r="AU18" s="3524"/>
      <c r="AV18" s="857"/>
      <c r="AW18" s="857"/>
      <c r="AX18" s="857"/>
      <c r="AY18" s="857"/>
      <c r="AZ18" s="857"/>
      <c r="BA18" s="5122"/>
      <c r="BB18" s="3524"/>
      <c r="BC18" s="3524"/>
      <c r="BD18" s="5122"/>
      <c r="BE18" s="5122"/>
      <c r="BF18" s="5122"/>
      <c r="BG18" s="5122"/>
      <c r="BH18" s="3524"/>
      <c r="BI18" s="3524"/>
      <c r="BJ18" s="3524"/>
      <c r="BK18" s="3524"/>
      <c r="BL18" s="3524"/>
      <c r="BM18" s="3524"/>
      <c r="BN18" s="3524"/>
      <c r="BO18" s="5122"/>
      <c r="BP18" s="5122"/>
      <c r="BQ18" s="5122"/>
      <c r="BR18" s="5122"/>
      <c r="BS18" s="5122"/>
      <c r="BT18" s="5122"/>
      <c r="BU18" s="5122"/>
      <c r="BV18" s="5122"/>
      <c r="BW18" s="5122"/>
      <c r="BX18" s="5122"/>
      <c r="BY18" s="5122"/>
      <c r="BZ18" s="5122"/>
      <c r="CA18" s="5122"/>
      <c r="CB18" s="5122"/>
      <c r="CC18" s="3524"/>
      <c r="CD18" s="3524"/>
      <c r="CE18" s="5169"/>
      <c r="CF18" s="5168"/>
      <c r="CG18" s="5180" t="s">
        <v>141</v>
      </c>
      <c r="CH18" s="5180">
        <f>SUM(CH5:CH17)</f>
        <v>295</v>
      </c>
      <c r="CI18" s="5181"/>
      <c r="CJ18" s="5182" t="s">
        <v>141</v>
      </c>
      <c r="CK18" s="5190">
        <f>SUM(CK5:CK17)</f>
        <v>1.49848018867925</v>
      </c>
      <c r="CL18" s="5181"/>
      <c r="CM18" s="5191" t="s">
        <v>141</v>
      </c>
      <c r="CN18" s="5192">
        <f>SUM(CN5:CN17)</f>
        <v>428.4027518</v>
      </c>
    </row>
    <row r="19" s="4965" customFormat="1" ht="46" spans="1:92">
      <c r="A19" s="5051"/>
      <c r="B19" s="3524"/>
      <c r="C19" s="3524"/>
      <c r="D19" s="3742"/>
      <c r="E19" s="3524"/>
      <c r="F19" s="3742"/>
      <c r="G19" s="3742"/>
      <c r="H19" s="3742"/>
      <c r="I19" s="3742"/>
      <c r="J19" s="3742"/>
      <c r="K19" s="3524"/>
      <c r="L19" s="3524"/>
      <c r="M19" s="3524"/>
      <c r="N19" s="3524"/>
      <c r="O19" s="3524"/>
      <c r="P19" s="3524"/>
      <c r="Q19" s="3524"/>
      <c r="R19" s="3524"/>
      <c r="S19" s="3524"/>
      <c r="T19" s="3524"/>
      <c r="U19" s="3524"/>
      <c r="V19" s="3524"/>
      <c r="W19" s="3524"/>
      <c r="X19" s="3524"/>
      <c r="Y19" s="3524"/>
      <c r="Z19" s="3524"/>
      <c r="AA19" s="3524"/>
      <c r="AB19" s="5097"/>
      <c r="AC19" s="3524">
        <v>14</v>
      </c>
      <c r="AD19" s="5105" t="s">
        <v>134</v>
      </c>
      <c r="AE19" s="5106">
        <v>0.02</v>
      </c>
      <c r="AF19" s="3524">
        <f>M5</f>
        <v>14734478.72</v>
      </c>
      <c r="AG19" s="3524"/>
      <c r="AH19" s="3524"/>
      <c r="AI19" s="3524"/>
      <c r="AJ19" s="3524"/>
      <c r="AK19" s="5122"/>
      <c r="AL19" s="3524"/>
      <c r="AM19" s="3524"/>
      <c r="AN19" s="3524"/>
      <c r="AO19" s="3524"/>
      <c r="AP19" s="857"/>
      <c r="AQ19" s="5122"/>
      <c r="AR19" s="3524"/>
      <c r="AS19" s="5137"/>
      <c r="AT19" s="5122"/>
      <c r="AU19" s="3524"/>
      <c r="AV19" s="857"/>
      <c r="AW19" s="857"/>
      <c r="AX19" s="857"/>
      <c r="AY19" s="857"/>
      <c r="AZ19" s="857"/>
      <c r="BA19" s="5122"/>
      <c r="BB19" s="3524"/>
      <c r="BC19" s="3524"/>
      <c r="BD19" s="5122"/>
      <c r="BE19" s="5122"/>
      <c r="BF19" s="5122"/>
      <c r="BG19" s="5122"/>
      <c r="BH19" s="3524"/>
      <c r="BI19" s="3524"/>
      <c r="BJ19" s="3524"/>
      <c r="BK19" s="3524"/>
      <c r="BL19" s="3524"/>
      <c r="BM19" s="3524"/>
      <c r="BN19" s="3524"/>
      <c r="BO19" s="5122"/>
      <c r="BP19" s="5122"/>
      <c r="BQ19" s="5122"/>
      <c r="BR19" s="5122"/>
      <c r="BS19" s="5122"/>
      <c r="BT19" s="5122"/>
      <c r="BU19" s="5122"/>
      <c r="BV19" s="5122"/>
      <c r="BW19" s="5122"/>
      <c r="BX19" s="5122"/>
      <c r="BY19" s="5122"/>
      <c r="BZ19" s="5122"/>
      <c r="CA19" s="5122"/>
      <c r="CB19" s="5122"/>
      <c r="CC19" s="3524"/>
      <c r="CD19" s="3524"/>
      <c r="CE19" s="5169"/>
      <c r="CF19" s="5168"/>
      <c r="CG19" s="5183"/>
      <c r="CH19" s="5183"/>
      <c r="CJ19" s="5184"/>
      <c r="CK19" s="5184"/>
      <c r="CM19" s="5184"/>
      <c r="CN19" s="5184"/>
    </row>
    <row r="20" s="4965" customFormat="1" ht="31" spans="1:86">
      <c r="A20" s="5051"/>
      <c r="B20" s="3524"/>
      <c r="C20" s="3524"/>
      <c r="D20" s="3742"/>
      <c r="E20" s="3524"/>
      <c r="F20" s="3742"/>
      <c r="G20" s="3742"/>
      <c r="H20" s="3742"/>
      <c r="I20" s="3742"/>
      <c r="J20" s="3742"/>
      <c r="K20" s="3524"/>
      <c r="L20" s="3524"/>
      <c r="M20" s="3524"/>
      <c r="N20" s="3524"/>
      <c r="O20" s="3524"/>
      <c r="P20" s="3524"/>
      <c r="Q20" s="3524"/>
      <c r="R20" s="3524"/>
      <c r="S20" s="3524"/>
      <c r="T20" s="3524"/>
      <c r="U20" s="3524"/>
      <c r="V20" s="3524"/>
      <c r="W20" s="3524"/>
      <c r="X20" s="3524"/>
      <c r="Y20" s="3524"/>
      <c r="Z20" s="3524"/>
      <c r="AA20" s="3524"/>
      <c r="AB20" s="5097"/>
      <c r="AC20" s="3524">
        <v>15</v>
      </c>
      <c r="AD20" s="5105" t="s">
        <v>136</v>
      </c>
      <c r="AE20" s="5106">
        <v>0.02</v>
      </c>
      <c r="AF20" s="3524">
        <f>M5</f>
        <v>14734478.72</v>
      </c>
      <c r="AG20" s="3524"/>
      <c r="AH20" s="3524"/>
      <c r="AI20" s="3524"/>
      <c r="AJ20" s="3524"/>
      <c r="AK20" s="5122"/>
      <c r="AL20" s="3524"/>
      <c r="AM20" s="3524"/>
      <c r="AN20" s="3524"/>
      <c r="AO20" s="3524"/>
      <c r="AP20" s="857"/>
      <c r="AQ20" s="5122"/>
      <c r="AR20" s="3524"/>
      <c r="AS20" s="5137"/>
      <c r="AT20" s="5122"/>
      <c r="AU20" s="3524"/>
      <c r="AV20" s="857"/>
      <c r="AW20" s="857"/>
      <c r="AX20" s="857"/>
      <c r="AY20" s="857"/>
      <c r="AZ20" s="857"/>
      <c r="BA20" s="5122"/>
      <c r="BB20" s="3524"/>
      <c r="BC20" s="3524"/>
      <c r="BD20" s="5122"/>
      <c r="BE20" s="5122"/>
      <c r="BF20" s="5122"/>
      <c r="BG20" s="5122"/>
      <c r="BH20" s="3524"/>
      <c r="BI20" s="3524"/>
      <c r="BJ20" s="3524"/>
      <c r="BK20" s="3524"/>
      <c r="BL20" s="3524"/>
      <c r="BM20" s="3524"/>
      <c r="BN20" s="3524"/>
      <c r="BO20" s="5122"/>
      <c r="BP20" s="5122"/>
      <c r="BQ20" s="5122"/>
      <c r="BR20" s="5122"/>
      <c r="BS20" s="5122"/>
      <c r="BT20" s="5122"/>
      <c r="BU20" s="5122"/>
      <c r="BV20" s="5122"/>
      <c r="BW20" s="5122"/>
      <c r="BX20" s="5122"/>
      <c r="BY20" s="5122"/>
      <c r="BZ20" s="5122"/>
      <c r="CA20" s="5122"/>
      <c r="CB20" s="5122"/>
      <c r="CC20" s="3524"/>
      <c r="CD20" s="3524"/>
      <c r="CE20" s="5169"/>
      <c r="CF20" s="5169"/>
      <c r="CG20" s="5169"/>
      <c r="CH20" s="5169"/>
    </row>
    <row r="21" s="4965" customFormat="1" ht="46" spans="1:86">
      <c r="A21" s="5051"/>
      <c r="B21" s="3524"/>
      <c r="C21" s="3524"/>
      <c r="D21" s="3742"/>
      <c r="E21" s="3524"/>
      <c r="F21" s="3742"/>
      <c r="G21" s="3742"/>
      <c r="H21" s="3742"/>
      <c r="I21" s="3742"/>
      <c r="J21" s="3742"/>
      <c r="K21" s="3524"/>
      <c r="L21" s="3524"/>
      <c r="M21" s="3524"/>
      <c r="N21" s="3524"/>
      <c r="O21" s="3524"/>
      <c r="P21" s="3524"/>
      <c r="Q21" s="3524"/>
      <c r="R21" s="3524"/>
      <c r="S21" s="3524"/>
      <c r="T21" s="3524"/>
      <c r="U21" s="3524"/>
      <c r="V21" s="3524"/>
      <c r="W21" s="3524"/>
      <c r="X21" s="3524"/>
      <c r="Y21" s="3524"/>
      <c r="Z21" s="3524"/>
      <c r="AA21" s="3524"/>
      <c r="AB21" s="5097"/>
      <c r="AC21" s="3524">
        <v>16</v>
      </c>
      <c r="AD21" s="5105" t="s">
        <v>139</v>
      </c>
      <c r="AE21" s="5106">
        <v>0.03</v>
      </c>
      <c r="AF21" s="3524">
        <f>M5</f>
        <v>14734478.72</v>
      </c>
      <c r="AG21" s="3524"/>
      <c r="AH21" s="3524"/>
      <c r="AI21" s="3524"/>
      <c r="AJ21" s="3524"/>
      <c r="AK21" s="5122"/>
      <c r="AL21" s="3524"/>
      <c r="AM21" s="3524"/>
      <c r="AN21" s="3524"/>
      <c r="AO21" s="3524"/>
      <c r="AP21" s="857"/>
      <c r="AQ21" s="5122"/>
      <c r="AR21" s="3524"/>
      <c r="AS21" s="5137"/>
      <c r="AT21" s="5122"/>
      <c r="AU21" s="3524"/>
      <c r="AV21" s="857"/>
      <c r="AW21" s="857"/>
      <c r="AX21" s="857"/>
      <c r="AY21" s="857"/>
      <c r="AZ21" s="857"/>
      <c r="BA21" s="5122"/>
      <c r="BB21" s="3524"/>
      <c r="BC21" s="3524"/>
      <c r="BD21" s="5122"/>
      <c r="BE21" s="5122"/>
      <c r="BF21" s="5122"/>
      <c r="BG21" s="5122"/>
      <c r="BH21" s="3524"/>
      <c r="BI21" s="3524"/>
      <c r="BJ21" s="3524"/>
      <c r="BK21" s="3524"/>
      <c r="BL21" s="3524"/>
      <c r="BM21" s="3524"/>
      <c r="BN21" s="3524"/>
      <c r="BO21" s="5122"/>
      <c r="BP21" s="5122"/>
      <c r="BQ21" s="5122"/>
      <c r="BR21" s="5122"/>
      <c r="BS21" s="5122"/>
      <c r="BT21" s="5122"/>
      <c r="BU21" s="5122"/>
      <c r="BV21" s="5122"/>
      <c r="BW21" s="5122"/>
      <c r="BX21" s="5122"/>
      <c r="BY21" s="5122"/>
      <c r="BZ21" s="5122"/>
      <c r="CA21" s="5122"/>
      <c r="CB21" s="5122"/>
      <c r="CC21" s="3524"/>
      <c r="CD21" s="3524"/>
      <c r="CE21" s="5169"/>
      <c r="CF21" s="5169"/>
      <c r="CG21" s="5169"/>
      <c r="CH21" s="5169"/>
    </row>
    <row r="22" s="4965" customFormat="1" ht="16" spans="1:86">
      <c r="A22" s="5051"/>
      <c r="B22" s="3524"/>
      <c r="C22" s="3524"/>
      <c r="D22" s="3742"/>
      <c r="E22" s="3524"/>
      <c r="F22" s="3742"/>
      <c r="G22" s="3742"/>
      <c r="H22" s="3742"/>
      <c r="I22" s="3742"/>
      <c r="J22" s="3742"/>
      <c r="K22" s="3524"/>
      <c r="L22" s="3524"/>
      <c r="M22" s="3524"/>
      <c r="N22" s="3524"/>
      <c r="O22" s="3524"/>
      <c r="P22" s="3524"/>
      <c r="Q22" s="3524"/>
      <c r="R22" s="3524"/>
      <c r="S22" s="3524"/>
      <c r="T22" s="3524"/>
      <c r="U22" s="3524"/>
      <c r="V22" s="3524"/>
      <c r="W22" s="3524"/>
      <c r="X22" s="3524"/>
      <c r="Y22" s="3524"/>
      <c r="Z22" s="3524"/>
      <c r="AA22" s="3524"/>
      <c r="AB22" s="5097"/>
      <c r="AC22" s="3524">
        <v>17</v>
      </c>
      <c r="AD22" s="5105" t="s">
        <v>142</v>
      </c>
      <c r="AE22" s="5106">
        <v>0.014</v>
      </c>
      <c r="AF22" s="3524">
        <f>AE22*M5</f>
        <v>206282.70208</v>
      </c>
      <c r="AG22" s="3524"/>
      <c r="AH22" s="3524"/>
      <c r="AI22" s="3524"/>
      <c r="AJ22" s="3524"/>
      <c r="AK22" s="5122"/>
      <c r="AL22" s="3524"/>
      <c r="AM22" s="3524"/>
      <c r="AN22" s="3524"/>
      <c r="AO22" s="3524"/>
      <c r="AP22" s="857"/>
      <c r="AQ22" s="5122"/>
      <c r="AR22" s="3524"/>
      <c r="AS22" s="5137"/>
      <c r="AT22" s="5122"/>
      <c r="AU22" s="3524"/>
      <c r="AV22" s="857"/>
      <c r="AW22" s="857"/>
      <c r="AX22" s="857"/>
      <c r="AY22" s="857"/>
      <c r="AZ22" s="857"/>
      <c r="BA22" s="5122"/>
      <c r="BB22" s="3524"/>
      <c r="BC22" s="3524"/>
      <c r="BD22" s="5122"/>
      <c r="BE22" s="5122"/>
      <c r="BF22" s="5122"/>
      <c r="BG22" s="5122"/>
      <c r="BH22" s="3524"/>
      <c r="BI22" s="3524"/>
      <c r="BJ22" s="3524"/>
      <c r="BK22" s="3524"/>
      <c r="BL22" s="3524"/>
      <c r="BM22" s="3524"/>
      <c r="BN22" s="3524"/>
      <c r="BO22" s="5122"/>
      <c r="BP22" s="5122"/>
      <c r="BQ22" s="5122"/>
      <c r="BR22" s="5122"/>
      <c r="BS22" s="5122"/>
      <c r="BT22" s="5122"/>
      <c r="BU22" s="5122"/>
      <c r="BV22" s="5122"/>
      <c r="BW22" s="5122"/>
      <c r="BX22" s="5122"/>
      <c r="BY22" s="5122"/>
      <c r="BZ22" s="5122"/>
      <c r="CA22" s="5122"/>
      <c r="CB22" s="5122"/>
      <c r="CC22" s="3524"/>
      <c r="CD22" s="3524"/>
      <c r="CE22" s="5169"/>
      <c r="CF22" s="5169"/>
      <c r="CG22" s="5169"/>
      <c r="CH22" s="5169"/>
    </row>
    <row r="23" s="4965" customFormat="1" ht="16" spans="1:86">
      <c r="A23" s="5051"/>
      <c r="B23" s="3524"/>
      <c r="C23" s="3524"/>
      <c r="D23" s="3742"/>
      <c r="E23" s="3524"/>
      <c r="F23" s="3742"/>
      <c r="G23" s="3742"/>
      <c r="H23" s="3742"/>
      <c r="I23" s="3742"/>
      <c r="J23" s="3742"/>
      <c r="K23" s="3524"/>
      <c r="L23" s="3524"/>
      <c r="M23" s="3524"/>
      <c r="N23" s="3524"/>
      <c r="O23" s="3524"/>
      <c r="P23" s="3524"/>
      <c r="Q23" s="3524"/>
      <c r="R23" s="3524"/>
      <c r="S23" s="3524"/>
      <c r="T23" s="3524"/>
      <c r="U23" s="3524"/>
      <c r="V23" s="3524"/>
      <c r="W23" s="3524"/>
      <c r="X23" s="3524"/>
      <c r="Y23" s="3524"/>
      <c r="Z23" s="3524"/>
      <c r="AA23" s="3524"/>
      <c r="AB23" s="5097"/>
      <c r="AC23" s="3524">
        <v>18</v>
      </c>
      <c r="AD23" s="5105" t="s">
        <v>143</v>
      </c>
      <c r="AE23" s="5106">
        <v>0.021</v>
      </c>
      <c r="AF23" s="3524">
        <f>AE23*M5</f>
        <v>309424.05312</v>
      </c>
      <c r="AG23" s="3524"/>
      <c r="AH23" s="3524"/>
      <c r="AI23" s="3524"/>
      <c r="AJ23" s="3524"/>
      <c r="AK23" s="5122"/>
      <c r="AL23" s="3524"/>
      <c r="AM23" s="3524"/>
      <c r="AN23" s="3524"/>
      <c r="AO23" s="3524"/>
      <c r="AP23" s="857"/>
      <c r="AQ23" s="5122"/>
      <c r="AR23" s="3524"/>
      <c r="AS23" s="5137"/>
      <c r="AT23" s="5122"/>
      <c r="AU23" s="3524"/>
      <c r="AV23" s="857"/>
      <c r="AW23" s="857"/>
      <c r="AX23" s="857"/>
      <c r="AY23" s="857"/>
      <c r="AZ23" s="857"/>
      <c r="BA23" s="5122"/>
      <c r="BB23" s="3524"/>
      <c r="BC23" s="3524"/>
      <c r="BD23" s="5122"/>
      <c r="BE23" s="5122"/>
      <c r="BF23" s="5122"/>
      <c r="BG23" s="5122"/>
      <c r="BH23" s="3524"/>
      <c r="BI23" s="3524"/>
      <c r="BJ23" s="3524"/>
      <c r="BK23" s="3524"/>
      <c r="BL23" s="3524"/>
      <c r="BM23" s="3524"/>
      <c r="BN23" s="3524"/>
      <c r="BO23" s="5122"/>
      <c r="BP23" s="5122"/>
      <c r="BQ23" s="5122"/>
      <c r="BR23" s="5122"/>
      <c r="BS23" s="5122"/>
      <c r="BT23" s="5122"/>
      <c r="BU23" s="5122"/>
      <c r="BV23" s="5122"/>
      <c r="BW23" s="5122"/>
      <c r="BX23" s="5122"/>
      <c r="BY23" s="5122"/>
      <c r="BZ23" s="5122"/>
      <c r="CA23" s="5122"/>
      <c r="CB23" s="5122"/>
      <c r="CC23" s="3524"/>
      <c r="CD23" s="3524"/>
      <c r="CE23" s="5169"/>
      <c r="CF23" s="5169"/>
      <c r="CG23" s="5169"/>
      <c r="CH23" s="5169"/>
    </row>
    <row r="24" s="4965" customFormat="1" ht="31" spans="1:86">
      <c r="A24" s="5051"/>
      <c r="B24" s="3524"/>
      <c r="C24" s="3524"/>
      <c r="D24" s="3742"/>
      <c r="E24" s="3524"/>
      <c r="F24" s="3742"/>
      <c r="G24" s="3742"/>
      <c r="H24" s="3742"/>
      <c r="I24" s="3742"/>
      <c r="J24" s="3742"/>
      <c r="K24" s="3524"/>
      <c r="L24" s="3524"/>
      <c r="M24" s="3524"/>
      <c r="N24" s="3524"/>
      <c r="O24" s="3524"/>
      <c r="P24" s="3524"/>
      <c r="Q24" s="3524"/>
      <c r="R24" s="3524"/>
      <c r="S24" s="3524"/>
      <c r="T24" s="3524"/>
      <c r="U24" s="3524"/>
      <c r="V24" s="3524"/>
      <c r="W24" s="3524"/>
      <c r="X24" s="3524"/>
      <c r="Y24" s="3524"/>
      <c r="Z24" s="3524"/>
      <c r="AA24" s="3524"/>
      <c r="AB24" s="5097"/>
      <c r="AC24" s="3524">
        <v>19</v>
      </c>
      <c r="AD24" s="5105" t="s">
        <v>144</v>
      </c>
      <c r="AE24" s="5106">
        <v>0.0175</v>
      </c>
      <c r="AF24" s="3524">
        <f>AE24*M5</f>
        <v>257853.3776</v>
      </c>
      <c r="AG24" s="3524"/>
      <c r="AH24" s="3524"/>
      <c r="AI24" s="3524"/>
      <c r="AJ24" s="3524"/>
      <c r="AK24" s="5122"/>
      <c r="AL24" s="3524"/>
      <c r="AM24" s="3524"/>
      <c r="AN24" s="3524"/>
      <c r="AO24" s="3524"/>
      <c r="AP24" s="857"/>
      <c r="AQ24" s="5122"/>
      <c r="AR24" s="3524"/>
      <c r="AS24" s="5137"/>
      <c r="AT24" s="5122"/>
      <c r="AU24" s="3524"/>
      <c r="AV24" s="857"/>
      <c r="AW24" s="857"/>
      <c r="AX24" s="857"/>
      <c r="AY24" s="857"/>
      <c r="AZ24" s="857"/>
      <c r="BA24" s="5122"/>
      <c r="BB24" s="3524"/>
      <c r="BC24" s="3524"/>
      <c r="BD24" s="5122"/>
      <c r="BE24" s="5122"/>
      <c r="BF24" s="5122"/>
      <c r="BG24" s="5122"/>
      <c r="BH24" s="3524"/>
      <c r="BI24" s="3524"/>
      <c r="BJ24" s="3524"/>
      <c r="BK24" s="3524"/>
      <c r="BL24" s="3524"/>
      <c r="BM24" s="3524"/>
      <c r="BN24" s="3524"/>
      <c r="BO24" s="5122"/>
      <c r="BP24" s="5122"/>
      <c r="BQ24" s="5122"/>
      <c r="BR24" s="5122"/>
      <c r="BS24" s="5122"/>
      <c r="BT24" s="5122"/>
      <c r="BU24" s="5122"/>
      <c r="BV24" s="5122"/>
      <c r="BW24" s="5122"/>
      <c r="BX24" s="5122"/>
      <c r="BY24" s="5122"/>
      <c r="BZ24" s="5122"/>
      <c r="CA24" s="5122"/>
      <c r="CB24" s="5122"/>
      <c r="CC24" s="3524"/>
      <c r="CD24" s="3524"/>
      <c r="CE24" s="5169"/>
      <c r="CF24" s="5169"/>
      <c r="CG24" s="5169"/>
      <c r="CH24" s="5169"/>
    </row>
    <row r="25" s="4965" customFormat="1" ht="16" spans="1:86">
      <c r="A25" s="5051"/>
      <c r="B25" s="3524"/>
      <c r="C25" s="3524"/>
      <c r="D25" s="3742"/>
      <c r="E25" s="3524"/>
      <c r="F25" s="3742"/>
      <c r="G25" s="3742"/>
      <c r="H25" s="3742"/>
      <c r="I25" s="3742"/>
      <c r="J25" s="3742"/>
      <c r="K25" s="3524"/>
      <c r="L25" s="3524"/>
      <c r="M25" s="3524"/>
      <c r="N25" s="3524"/>
      <c r="O25" s="3524"/>
      <c r="P25" s="3524"/>
      <c r="Q25" s="3524"/>
      <c r="R25" s="3524"/>
      <c r="S25" s="3524"/>
      <c r="T25" s="3524"/>
      <c r="U25" s="3524"/>
      <c r="V25" s="3524"/>
      <c r="W25" s="3524"/>
      <c r="X25" s="3524"/>
      <c r="Y25" s="3524"/>
      <c r="Z25" s="3524"/>
      <c r="AA25" s="3524"/>
      <c r="AB25" s="5097"/>
      <c r="AC25" s="3524">
        <v>20</v>
      </c>
      <c r="AD25" s="5105" t="s">
        <v>145</v>
      </c>
      <c r="AE25" s="5106">
        <v>0.0175</v>
      </c>
      <c r="AF25" s="3524">
        <f>AE25*M5</f>
        <v>257853.3776</v>
      </c>
      <c r="AG25" s="3524"/>
      <c r="AH25" s="3524"/>
      <c r="AI25" s="3524"/>
      <c r="AJ25" s="3524"/>
      <c r="AK25" s="5122"/>
      <c r="AL25" s="3524"/>
      <c r="AM25" s="3524"/>
      <c r="AN25" s="3524"/>
      <c r="AO25" s="3524"/>
      <c r="AP25" s="857"/>
      <c r="AQ25" s="5122"/>
      <c r="AR25" s="3524"/>
      <c r="AS25" s="5137"/>
      <c r="AT25" s="5122"/>
      <c r="AU25" s="3524"/>
      <c r="AV25" s="857"/>
      <c r="AW25" s="857"/>
      <c r="AX25" s="857"/>
      <c r="AY25" s="857"/>
      <c r="AZ25" s="857"/>
      <c r="BA25" s="5122"/>
      <c r="BB25" s="3524"/>
      <c r="BC25" s="3524"/>
      <c r="BD25" s="5122"/>
      <c r="BE25" s="5122"/>
      <c r="BF25" s="5122"/>
      <c r="BG25" s="5122"/>
      <c r="BH25" s="3524"/>
      <c r="BI25" s="3524"/>
      <c r="BJ25" s="3524"/>
      <c r="BK25" s="3524"/>
      <c r="BL25" s="3524"/>
      <c r="BM25" s="3524"/>
      <c r="BN25" s="3524"/>
      <c r="BO25" s="5122"/>
      <c r="BP25" s="5122"/>
      <c r="BQ25" s="5122"/>
      <c r="BR25" s="5122"/>
      <c r="BS25" s="5122"/>
      <c r="BT25" s="5122"/>
      <c r="BU25" s="5122"/>
      <c r="BV25" s="5122"/>
      <c r="BW25" s="5122"/>
      <c r="BX25" s="5122"/>
      <c r="BY25" s="5122"/>
      <c r="BZ25" s="5122"/>
      <c r="CA25" s="5122"/>
      <c r="CB25" s="5122"/>
      <c r="CC25" s="3524"/>
      <c r="CD25" s="3524"/>
      <c r="CE25" s="5169"/>
      <c r="CF25" s="5169"/>
      <c r="CG25" s="5169"/>
      <c r="CH25" s="5169"/>
    </row>
    <row r="26" s="4965" customFormat="1" ht="16" spans="1:86">
      <c r="A26" s="5051"/>
      <c r="B26" s="3524"/>
      <c r="C26" s="3524"/>
      <c r="D26" s="3742"/>
      <c r="E26" s="3524"/>
      <c r="F26" s="3742"/>
      <c r="G26" s="3742"/>
      <c r="H26" s="3742"/>
      <c r="I26" s="3742"/>
      <c r="J26" s="3742"/>
      <c r="K26" s="3524"/>
      <c r="L26" s="3524"/>
      <c r="M26" s="3524"/>
      <c r="N26" s="3524"/>
      <c r="O26" s="3524"/>
      <c r="P26" s="3524"/>
      <c r="Q26" s="3524"/>
      <c r="R26" s="3524"/>
      <c r="S26" s="3524"/>
      <c r="T26" s="3524"/>
      <c r="U26" s="3524"/>
      <c r="V26" s="3524"/>
      <c r="W26" s="3524"/>
      <c r="X26" s="3524"/>
      <c r="Y26" s="3524"/>
      <c r="Z26" s="3524"/>
      <c r="AA26" s="3524"/>
      <c r="AB26" s="5097"/>
      <c r="AC26" s="3524">
        <v>21</v>
      </c>
      <c r="AD26" s="5105" t="s">
        <v>142</v>
      </c>
      <c r="AE26" s="5106">
        <v>0.016</v>
      </c>
      <c r="AF26" s="3524">
        <f>M5</f>
        <v>14734478.72</v>
      </c>
      <c r="AG26" s="3524"/>
      <c r="AH26" s="3524"/>
      <c r="AI26" s="3524"/>
      <c r="AJ26" s="3524"/>
      <c r="AK26" s="5122"/>
      <c r="AL26" s="3524"/>
      <c r="AM26" s="3524"/>
      <c r="AN26" s="3524"/>
      <c r="AO26" s="3524"/>
      <c r="AP26" s="857"/>
      <c r="AQ26" s="5122"/>
      <c r="AR26" s="3524"/>
      <c r="AS26" s="5137"/>
      <c r="AT26" s="5122"/>
      <c r="AU26" s="3524"/>
      <c r="AV26" s="857"/>
      <c r="AW26" s="857"/>
      <c r="AX26" s="857"/>
      <c r="AY26" s="857"/>
      <c r="AZ26" s="857"/>
      <c r="BA26" s="5122"/>
      <c r="BB26" s="3524"/>
      <c r="BC26" s="3524"/>
      <c r="BD26" s="5122"/>
      <c r="BE26" s="5122"/>
      <c r="BF26" s="5122"/>
      <c r="BG26" s="5122"/>
      <c r="BH26" s="3524"/>
      <c r="BI26" s="3524"/>
      <c r="BJ26" s="3524"/>
      <c r="BK26" s="3524"/>
      <c r="BL26" s="3524"/>
      <c r="BM26" s="3524"/>
      <c r="BN26" s="3524"/>
      <c r="BO26" s="5122"/>
      <c r="BP26" s="5122"/>
      <c r="BQ26" s="5122"/>
      <c r="BR26" s="5122"/>
      <c r="BS26" s="5122"/>
      <c r="BT26" s="5122"/>
      <c r="BU26" s="5122"/>
      <c r="BV26" s="5122"/>
      <c r="BW26" s="5122"/>
      <c r="BX26" s="5122"/>
      <c r="BY26" s="5122"/>
      <c r="BZ26" s="5122"/>
      <c r="CA26" s="5122"/>
      <c r="CB26" s="5122"/>
      <c r="CC26" s="3524"/>
      <c r="CD26" s="3524"/>
      <c r="CE26" s="5169"/>
      <c r="CF26" s="5169"/>
      <c r="CG26" s="5169"/>
      <c r="CH26" s="5169"/>
    </row>
    <row r="27" s="4965" customFormat="1" ht="16" spans="1:86">
      <c r="A27" s="5051"/>
      <c r="B27" s="3524"/>
      <c r="C27" s="3524"/>
      <c r="D27" s="3742"/>
      <c r="E27" s="3524"/>
      <c r="F27" s="3742"/>
      <c r="G27" s="3742"/>
      <c r="H27" s="3742"/>
      <c r="I27" s="3742"/>
      <c r="J27" s="3742"/>
      <c r="K27" s="3524"/>
      <c r="L27" s="3524"/>
      <c r="M27" s="3524"/>
      <c r="N27" s="3524"/>
      <c r="O27" s="3524"/>
      <c r="P27" s="3524"/>
      <c r="Q27" s="3524"/>
      <c r="R27" s="3524"/>
      <c r="S27" s="3524"/>
      <c r="T27" s="3524"/>
      <c r="U27" s="3524"/>
      <c r="V27" s="3524"/>
      <c r="W27" s="3524"/>
      <c r="X27" s="3524"/>
      <c r="Y27" s="3524"/>
      <c r="Z27" s="3524"/>
      <c r="AA27" s="3524"/>
      <c r="AB27" s="5097"/>
      <c r="AC27" s="3524">
        <v>22</v>
      </c>
      <c r="AD27" s="5105" t="s">
        <v>143</v>
      </c>
      <c r="AE27" s="5106">
        <v>0.024</v>
      </c>
      <c r="AF27" s="3524">
        <f>M5</f>
        <v>14734478.72</v>
      </c>
      <c r="AG27" s="3524"/>
      <c r="AH27" s="3524"/>
      <c r="AI27" s="3524"/>
      <c r="AJ27" s="3524"/>
      <c r="AK27" s="5122"/>
      <c r="AL27" s="3524"/>
      <c r="AM27" s="3524"/>
      <c r="AN27" s="3524"/>
      <c r="AO27" s="3524"/>
      <c r="AP27" s="857"/>
      <c r="AQ27" s="5122"/>
      <c r="AR27" s="3524"/>
      <c r="AS27" s="5137"/>
      <c r="AT27" s="5122"/>
      <c r="AU27" s="3524"/>
      <c r="AV27" s="857"/>
      <c r="AW27" s="857"/>
      <c r="AX27" s="857"/>
      <c r="AY27" s="857"/>
      <c r="AZ27" s="857"/>
      <c r="BA27" s="5122"/>
      <c r="BB27" s="3524"/>
      <c r="BC27" s="3524"/>
      <c r="BD27" s="5122"/>
      <c r="BE27" s="5122"/>
      <c r="BF27" s="5122"/>
      <c r="BG27" s="5122"/>
      <c r="BH27" s="3524"/>
      <c r="BI27" s="3524"/>
      <c r="BJ27" s="3524"/>
      <c r="BK27" s="3524"/>
      <c r="BL27" s="3524"/>
      <c r="BM27" s="3524"/>
      <c r="BN27" s="3524"/>
      <c r="BO27" s="5122"/>
      <c r="BP27" s="5122"/>
      <c r="BQ27" s="5122"/>
      <c r="BR27" s="5122"/>
      <c r="BS27" s="5122"/>
      <c r="BT27" s="5122"/>
      <c r="BU27" s="5122"/>
      <c r="BV27" s="5122"/>
      <c r="BW27" s="5122"/>
      <c r="BX27" s="5122"/>
      <c r="BY27" s="5122"/>
      <c r="BZ27" s="5122"/>
      <c r="CA27" s="5122"/>
      <c r="CB27" s="5122"/>
      <c r="CC27" s="3524"/>
      <c r="CD27" s="3524"/>
      <c r="CE27" s="5169"/>
      <c r="CF27" s="5169"/>
      <c r="CG27" s="5169"/>
      <c r="CH27" s="5169"/>
    </row>
    <row r="28" s="4965" customFormat="1" ht="31" spans="1:86">
      <c r="A28" s="5051"/>
      <c r="B28" s="3524"/>
      <c r="C28" s="3524"/>
      <c r="D28" s="3742"/>
      <c r="E28" s="3524"/>
      <c r="F28" s="3742"/>
      <c r="G28" s="3742"/>
      <c r="H28" s="3742"/>
      <c r="I28" s="3742"/>
      <c r="J28" s="3742"/>
      <c r="K28" s="3524"/>
      <c r="L28" s="3524"/>
      <c r="M28" s="3524"/>
      <c r="N28" s="3524"/>
      <c r="O28" s="3524"/>
      <c r="P28" s="3524"/>
      <c r="Q28" s="3524"/>
      <c r="R28" s="3524"/>
      <c r="S28" s="3524"/>
      <c r="T28" s="3524"/>
      <c r="U28" s="3524"/>
      <c r="V28" s="3524"/>
      <c r="W28" s="3524"/>
      <c r="X28" s="3524"/>
      <c r="Y28" s="3524"/>
      <c r="Z28" s="3524"/>
      <c r="AA28" s="3524"/>
      <c r="AB28" s="5097"/>
      <c r="AC28" s="3524">
        <v>23</v>
      </c>
      <c r="AD28" s="5105" t="s">
        <v>144</v>
      </c>
      <c r="AE28" s="5106">
        <v>0.02</v>
      </c>
      <c r="AF28" s="3524">
        <f>M5</f>
        <v>14734478.72</v>
      </c>
      <c r="AG28" s="3524"/>
      <c r="AH28" s="3524"/>
      <c r="AI28" s="3524"/>
      <c r="AJ28" s="3524"/>
      <c r="AK28" s="5122"/>
      <c r="AL28" s="3524"/>
      <c r="AM28" s="3524"/>
      <c r="AN28" s="3524"/>
      <c r="AO28" s="3524"/>
      <c r="AP28" s="857"/>
      <c r="AQ28" s="5122"/>
      <c r="AR28" s="3524"/>
      <c r="AS28" s="5137"/>
      <c r="AT28" s="5122"/>
      <c r="AU28" s="3524"/>
      <c r="AV28" s="857"/>
      <c r="AW28" s="857"/>
      <c r="AX28" s="857"/>
      <c r="AY28" s="857"/>
      <c r="AZ28" s="857"/>
      <c r="BA28" s="5122"/>
      <c r="BB28" s="3524"/>
      <c r="BC28" s="3524"/>
      <c r="BD28" s="5122"/>
      <c r="BE28" s="5122"/>
      <c r="BF28" s="5122"/>
      <c r="BG28" s="5122"/>
      <c r="BH28" s="3524"/>
      <c r="BI28" s="3524"/>
      <c r="BJ28" s="3524"/>
      <c r="BK28" s="3524"/>
      <c r="BL28" s="3524"/>
      <c r="BM28" s="3524"/>
      <c r="BN28" s="3524"/>
      <c r="BO28" s="5122"/>
      <c r="BP28" s="5122"/>
      <c r="BQ28" s="5122"/>
      <c r="BR28" s="5122"/>
      <c r="BS28" s="5122"/>
      <c r="BT28" s="5122"/>
      <c r="BU28" s="5122"/>
      <c r="BV28" s="5122"/>
      <c r="BW28" s="5122"/>
      <c r="BX28" s="5122"/>
      <c r="BY28" s="5122"/>
      <c r="BZ28" s="5122"/>
      <c r="CA28" s="5122"/>
      <c r="CB28" s="5122"/>
      <c r="CC28" s="3524"/>
      <c r="CD28" s="3524"/>
      <c r="CE28" s="5169"/>
      <c r="CF28" s="5169"/>
      <c r="CG28" s="5169"/>
      <c r="CH28" s="5169"/>
    </row>
    <row r="29" s="4965" customFormat="1" ht="16" spans="1:86">
      <c r="A29" s="5051"/>
      <c r="B29" s="3524"/>
      <c r="C29" s="3524"/>
      <c r="D29" s="3742"/>
      <c r="E29" s="3524"/>
      <c r="F29" s="3742"/>
      <c r="G29" s="3742"/>
      <c r="H29" s="3742"/>
      <c r="I29" s="3742"/>
      <c r="J29" s="3742"/>
      <c r="K29" s="3524"/>
      <c r="L29" s="3524"/>
      <c r="M29" s="3524"/>
      <c r="N29" s="3524"/>
      <c r="O29" s="3524"/>
      <c r="P29" s="3524"/>
      <c r="Q29" s="3524"/>
      <c r="R29" s="3524"/>
      <c r="S29" s="3524"/>
      <c r="T29" s="3524"/>
      <c r="U29" s="3524"/>
      <c r="V29" s="3524"/>
      <c r="W29" s="3524"/>
      <c r="X29" s="3524"/>
      <c r="Y29" s="3524"/>
      <c r="Z29" s="3524"/>
      <c r="AA29" s="3524"/>
      <c r="AB29" s="5097"/>
      <c r="AC29" s="3524">
        <v>24</v>
      </c>
      <c r="AD29" s="5105" t="s">
        <v>145</v>
      </c>
      <c r="AE29" s="5106">
        <v>0.02</v>
      </c>
      <c r="AF29" s="3524">
        <f>M5</f>
        <v>14734478.72</v>
      </c>
      <c r="AG29" s="3524">
        <f t="shared" ref="AG29:AG38" si="0">SUM(BA29:BN29)</f>
        <v>0</v>
      </c>
      <c r="AH29" s="3524"/>
      <c r="AI29" s="3524"/>
      <c r="AJ29" s="3524"/>
      <c r="AK29" s="5122"/>
      <c r="AL29" s="3524"/>
      <c r="AM29" s="3524"/>
      <c r="AN29" s="3524">
        <f t="shared" ref="AN29:AN37" si="1">SUM(BO29:CB29)</f>
        <v>0</v>
      </c>
      <c r="AO29" s="3524"/>
      <c r="AP29" s="857">
        <f t="shared" ref="AP29:AP37" si="2">AG29-AN29</f>
        <v>0</v>
      </c>
      <c r="AQ29" s="5122"/>
      <c r="AR29" s="3524"/>
      <c r="AS29" s="5137"/>
      <c r="AT29" s="5122"/>
      <c r="AU29" s="3524"/>
      <c r="AV29" s="857"/>
      <c r="AW29" s="857"/>
      <c r="AX29" s="857"/>
      <c r="AY29" s="857"/>
      <c r="AZ29" s="857"/>
      <c r="BA29" s="5122"/>
      <c r="BB29" s="3524"/>
      <c r="BC29" s="3524"/>
      <c r="BD29" s="5122"/>
      <c r="BE29" s="5122"/>
      <c r="BF29" s="5122"/>
      <c r="BG29" s="5122"/>
      <c r="BH29" s="3524"/>
      <c r="BI29" s="3524"/>
      <c r="BJ29" s="3524"/>
      <c r="BK29" s="3524"/>
      <c r="BL29" s="3524"/>
      <c r="BM29" s="3524"/>
      <c r="BN29" s="3524"/>
      <c r="BO29" s="5122"/>
      <c r="BP29" s="5122"/>
      <c r="BQ29" s="5122"/>
      <c r="BR29" s="5122"/>
      <c r="BS29" s="5122"/>
      <c r="BT29" s="5122"/>
      <c r="BU29" s="5122"/>
      <c r="BV29" s="5122"/>
      <c r="BW29" s="5122"/>
      <c r="BX29" s="5122"/>
      <c r="BY29" s="5122"/>
      <c r="BZ29" s="5122"/>
      <c r="CA29" s="5122"/>
      <c r="CB29" s="5122"/>
      <c r="CC29" s="3524"/>
      <c r="CD29" s="3524"/>
      <c r="CE29" s="5169"/>
      <c r="CF29" s="5169"/>
      <c r="CG29" s="5169"/>
      <c r="CH29" s="5169"/>
    </row>
    <row r="30" s="4972" customFormat="1" ht="16" spans="1:86">
      <c r="A30" s="5052">
        <v>2</v>
      </c>
      <c r="B30" s="3667" t="s">
        <v>146</v>
      </c>
      <c r="C30" s="3667">
        <v>43617</v>
      </c>
      <c r="D30" s="3911" t="s">
        <v>147</v>
      </c>
      <c r="E30" s="3667" t="s">
        <v>113</v>
      </c>
      <c r="F30" s="5062" t="s">
        <v>148</v>
      </c>
      <c r="G30" s="5062" t="s">
        <v>149</v>
      </c>
      <c r="H30" s="5062" t="s">
        <v>150</v>
      </c>
      <c r="I30" s="5065"/>
      <c r="J30" s="5062" t="s">
        <v>151</v>
      </c>
      <c r="K30" s="3667">
        <v>178000</v>
      </c>
      <c r="L30" s="5062" t="s">
        <v>152</v>
      </c>
      <c r="M30" s="3667">
        <f>SUM(N30:AA34)</f>
        <v>1513000</v>
      </c>
      <c r="N30" s="5052">
        <v>0</v>
      </c>
      <c r="O30" s="5052">
        <v>0</v>
      </c>
      <c r="P30" s="5052">
        <v>0</v>
      </c>
      <c r="Q30" s="5052">
        <v>0</v>
      </c>
      <c r="R30" s="5052">
        <v>0</v>
      </c>
      <c r="S30" s="5052">
        <v>0</v>
      </c>
      <c r="T30" s="5090">
        <v>0</v>
      </c>
      <c r="U30" s="5052">
        <v>890000</v>
      </c>
      <c r="V30" s="5052">
        <v>623000</v>
      </c>
      <c r="W30" s="5052">
        <v>0</v>
      </c>
      <c r="X30" s="5052">
        <v>0</v>
      </c>
      <c r="Y30" s="5052"/>
      <c r="Z30" s="5052"/>
      <c r="AA30" s="5052">
        <v>0</v>
      </c>
      <c r="AB30" s="5098"/>
      <c r="AC30" s="3662">
        <v>1</v>
      </c>
      <c r="AD30" s="5055" t="s">
        <v>153</v>
      </c>
      <c r="AE30" s="5112">
        <v>0.2</v>
      </c>
      <c r="AF30" s="2139">
        <f>AE30*M30</f>
        <v>302600</v>
      </c>
      <c r="AG30" s="3662">
        <f t="shared" si="0"/>
        <v>302600</v>
      </c>
      <c r="AH30" s="3662" t="s">
        <v>122</v>
      </c>
      <c r="AI30" s="3662">
        <v>43800</v>
      </c>
      <c r="AJ30" s="3662">
        <v>302600</v>
      </c>
      <c r="AK30" s="3662">
        <v>43800</v>
      </c>
      <c r="AL30" s="3662">
        <f>AF30</f>
        <v>302600</v>
      </c>
      <c r="AM30" s="3662">
        <v>43931</v>
      </c>
      <c r="AN30" s="3662">
        <f t="shared" si="1"/>
        <v>302600</v>
      </c>
      <c r="AO30" s="3814">
        <v>43943</v>
      </c>
      <c r="AP30" s="3814">
        <f t="shared" si="2"/>
        <v>0</v>
      </c>
      <c r="AQ30" s="5127"/>
      <c r="AR30" s="3662" t="s">
        <v>128</v>
      </c>
      <c r="AS30" s="5134"/>
      <c r="AT30" s="5127"/>
      <c r="AU30" s="3662">
        <f>SUM(AG30:AG34)</f>
        <v>1086804.72</v>
      </c>
      <c r="AV30" s="3814">
        <f>SUM(AL30:AL34)</f>
        <v>1086804.72</v>
      </c>
      <c r="AW30" s="3814">
        <f>SUM(AN30:AN34)</f>
        <v>1086804.72</v>
      </c>
      <c r="AX30" s="3814">
        <f>M30-AU30</f>
        <v>426195.28</v>
      </c>
      <c r="AY30" s="3814">
        <f>AU30-AV30</f>
        <v>0</v>
      </c>
      <c r="AZ30" s="3814">
        <f>AV30-AW30</f>
        <v>0</v>
      </c>
      <c r="BA30" s="5148"/>
      <c r="BB30" s="3684"/>
      <c r="BC30" s="3684"/>
      <c r="BD30" s="5148"/>
      <c r="BE30" s="5148"/>
      <c r="BF30" s="5148"/>
      <c r="BG30" s="5148"/>
      <c r="BH30" s="3684">
        <f>U30*AE30</f>
        <v>178000</v>
      </c>
      <c r="BI30" s="3684">
        <f>V30*AE30</f>
        <v>124600</v>
      </c>
      <c r="BJ30" s="3684"/>
      <c r="BK30" s="3684"/>
      <c r="BL30" s="3684"/>
      <c r="BM30" s="3684"/>
      <c r="BN30" s="3684"/>
      <c r="BO30" s="5127"/>
      <c r="BP30" s="5127"/>
      <c r="BQ30" s="5127"/>
      <c r="BR30" s="5127"/>
      <c r="BS30" s="5127"/>
      <c r="BT30" s="5127"/>
      <c r="BU30" s="5127"/>
      <c r="BV30" s="5127">
        <v>178000</v>
      </c>
      <c r="BW30" s="5127">
        <v>124600</v>
      </c>
      <c r="BX30" s="5127"/>
      <c r="BY30" s="5127"/>
      <c r="BZ30" s="5127"/>
      <c r="CA30" s="5127"/>
      <c r="CB30" s="5127"/>
      <c r="CC30" s="3662" t="s">
        <v>124</v>
      </c>
      <c r="CD30" s="3662" t="s">
        <v>154</v>
      </c>
      <c r="CE30" s="5170"/>
      <c r="CF30" s="5170"/>
      <c r="CG30" s="5170"/>
      <c r="CH30" s="5170"/>
    </row>
    <row r="31" s="4972" customFormat="1" ht="15.2" spans="1:86">
      <c r="A31" s="5052"/>
      <c r="B31" s="3662"/>
      <c r="C31" s="3662"/>
      <c r="D31" s="5053"/>
      <c r="E31" s="3662"/>
      <c r="F31" s="5053"/>
      <c r="G31" s="5053"/>
      <c r="H31" s="5053"/>
      <c r="I31" s="5065"/>
      <c r="J31" s="5053"/>
      <c r="K31" s="3662"/>
      <c r="L31" s="5053"/>
      <c r="M31" s="3662"/>
      <c r="N31" s="5052"/>
      <c r="O31" s="5052"/>
      <c r="P31" s="5052"/>
      <c r="Q31" s="5052"/>
      <c r="R31" s="5052"/>
      <c r="S31" s="5052"/>
      <c r="T31" s="5052"/>
      <c r="U31" s="5052"/>
      <c r="V31" s="5052"/>
      <c r="W31" s="5052"/>
      <c r="X31" s="5052"/>
      <c r="Y31" s="5052"/>
      <c r="Z31" s="5052"/>
      <c r="AA31" s="5052"/>
      <c r="AB31" s="5098"/>
      <c r="AC31" s="3744">
        <v>2</v>
      </c>
      <c r="AD31" s="3909" t="s">
        <v>155</v>
      </c>
      <c r="AE31" s="5112">
        <v>0.4</v>
      </c>
      <c r="AF31" s="2139">
        <f>AE31*M30</f>
        <v>605200</v>
      </c>
      <c r="AG31" s="3684">
        <f t="shared" si="0"/>
        <v>605200</v>
      </c>
      <c r="AH31" s="3662" t="s">
        <v>122</v>
      </c>
      <c r="AI31" s="3662">
        <v>43800</v>
      </c>
      <c r="AJ31" s="2139">
        <v>605200</v>
      </c>
      <c r="AK31" s="3662">
        <v>43800</v>
      </c>
      <c r="AL31" s="3684">
        <v>605200</v>
      </c>
      <c r="AM31" s="3684">
        <v>44568</v>
      </c>
      <c r="AN31" s="3684">
        <f t="shared" si="1"/>
        <v>605200</v>
      </c>
      <c r="AO31" s="3814">
        <v>44579</v>
      </c>
      <c r="AP31" s="3814">
        <f t="shared" si="2"/>
        <v>0</v>
      </c>
      <c r="AQ31" s="5055" t="s">
        <v>156</v>
      </c>
      <c r="AR31" s="3662"/>
      <c r="AS31" s="5134"/>
      <c r="AT31" s="5127"/>
      <c r="AU31" s="3662"/>
      <c r="AV31" s="3814"/>
      <c r="AW31" s="3814"/>
      <c r="AX31" s="3814"/>
      <c r="AY31" s="3814"/>
      <c r="AZ31" s="3814"/>
      <c r="BA31" s="5148"/>
      <c r="BB31" s="3684"/>
      <c r="BC31" s="3684"/>
      <c r="BD31" s="5148"/>
      <c r="BE31" s="5148"/>
      <c r="BF31" s="5148"/>
      <c r="BG31" s="5148"/>
      <c r="BH31" s="3684">
        <v>387600</v>
      </c>
      <c r="BI31" s="3684">
        <v>217600</v>
      </c>
      <c r="BJ31" s="3684"/>
      <c r="BK31" s="3684"/>
      <c r="BL31" s="3684"/>
      <c r="BM31" s="3684"/>
      <c r="BN31" s="3684"/>
      <c r="BO31" s="5127"/>
      <c r="BP31" s="5127"/>
      <c r="BQ31" s="5127"/>
      <c r="BR31" s="5127"/>
      <c r="BS31" s="5127"/>
      <c r="BT31" s="5127"/>
      <c r="BU31" s="5127"/>
      <c r="BV31" s="3684">
        <v>387600</v>
      </c>
      <c r="BW31" s="3684">
        <v>217600</v>
      </c>
      <c r="BX31" s="5163"/>
      <c r="BY31" s="5163"/>
      <c r="BZ31" s="5163"/>
      <c r="CA31" s="5163"/>
      <c r="CB31" s="5127"/>
      <c r="CC31" s="3662"/>
      <c r="CD31" s="3662"/>
      <c r="CE31" s="5170"/>
      <c r="CF31" s="5170"/>
      <c r="CG31" s="5170"/>
      <c r="CH31" s="5170"/>
    </row>
    <row r="32" s="4972" customFormat="1" ht="15.2" spans="1:86">
      <c r="A32" s="5052"/>
      <c r="B32" s="3662"/>
      <c r="C32" s="3662"/>
      <c r="D32" s="5053"/>
      <c r="E32" s="3662"/>
      <c r="F32" s="5053"/>
      <c r="G32" s="5053"/>
      <c r="H32" s="5053"/>
      <c r="I32" s="5065"/>
      <c r="J32" s="5053"/>
      <c r="K32" s="3662"/>
      <c r="L32" s="5053"/>
      <c r="M32" s="3662"/>
      <c r="N32" s="5052"/>
      <c r="O32" s="5052"/>
      <c r="P32" s="5052"/>
      <c r="Q32" s="5052"/>
      <c r="R32" s="5052"/>
      <c r="S32" s="5052"/>
      <c r="T32" s="5052"/>
      <c r="U32" s="5052"/>
      <c r="V32" s="5052"/>
      <c r="W32" s="5052"/>
      <c r="X32" s="5052"/>
      <c r="Y32" s="5052"/>
      <c r="Z32" s="5052"/>
      <c r="AA32" s="5052"/>
      <c r="AB32" s="5099"/>
      <c r="AC32" s="3667"/>
      <c r="AD32" s="3911"/>
      <c r="AE32" s="5112">
        <v>0.2</v>
      </c>
      <c r="AF32" s="2139">
        <f>AE32*M30</f>
        <v>302600</v>
      </c>
      <c r="AG32" s="3684">
        <f t="shared" si="0"/>
        <v>179004.72</v>
      </c>
      <c r="AH32" s="3684" t="s">
        <v>122</v>
      </c>
      <c r="AI32" s="3684">
        <v>44539</v>
      </c>
      <c r="AJ32" s="5055">
        <v>179004.72</v>
      </c>
      <c r="AK32" s="3684">
        <v>44539</v>
      </c>
      <c r="AL32" s="3684">
        <v>179004.72</v>
      </c>
      <c r="AM32" s="3684">
        <v>44568</v>
      </c>
      <c r="AN32" s="3684">
        <f t="shared" si="1"/>
        <v>179004.72</v>
      </c>
      <c r="AO32" s="3814">
        <v>44579</v>
      </c>
      <c r="AP32" s="3814">
        <f t="shared" si="2"/>
        <v>0</v>
      </c>
      <c r="AQ32" s="5053"/>
      <c r="AR32" s="3662"/>
      <c r="AS32" s="5134"/>
      <c r="AT32" s="5127"/>
      <c r="AU32" s="3662"/>
      <c r="AV32" s="3814"/>
      <c r="AW32" s="3814"/>
      <c r="AX32" s="3814"/>
      <c r="AY32" s="3814"/>
      <c r="AZ32" s="3814"/>
      <c r="BA32" s="5148"/>
      <c r="BB32" s="3684"/>
      <c r="BC32" s="5055"/>
      <c r="BD32" s="5148"/>
      <c r="BE32" s="5148"/>
      <c r="BF32" s="5148"/>
      <c r="BG32" s="5148"/>
      <c r="BH32" s="3684">
        <v>105296.89</v>
      </c>
      <c r="BI32" s="3684">
        <v>73707.83</v>
      </c>
      <c r="BJ32" s="3684"/>
      <c r="BK32" s="3684"/>
      <c r="BL32" s="3684"/>
      <c r="BM32" s="3684"/>
      <c r="BN32" s="3684"/>
      <c r="BO32" s="5127"/>
      <c r="BP32" s="5127"/>
      <c r="BQ32" s="2139"/>
      <c r="BR32" s="5127"/>
      <c r="BS32" s="5127"/>
      <c r="BT32" s="5127"/>
      <c r="BU32" s="5127"/>
      <c r="BV32" s="3684">
        <v>105296.89</v>
      </c>
      <c r="BW32" s="3684">
        <v>73707.83</v>
      </c>
      <c r="BX32" s="3662"/>
      <c r="BY32" s="3662"/>
      <c r="BZ32" s="3662"/>
      <c r="CA32" s="3662"/>
      <c r="CB32" s="5127"/>
      <c r="CC32" s="3662"/>
      <c r="CD32" s="3662"/>
      <c r="CE32" s="5170"/>
      <c r="CF32" s="5170"/>
      <c r="CG32" s="5170"/>
      <c r="CH32" s="5170"/>
    </row>
    <row r="33" s="4972" customFormat="1" ht="16" spans="1:86">
      <c r="A33" s="5052"/>
      <c r="B33" s="3662"/>
      <c r="C33" s="3662"/>
      <c r="D33" s="5053"/>
      <c r="E33" s="3662"/>
      <c r="F33" s="5053"/>
      <c r="G33" s="5053"/>
      <c r="H33" s="5053"/>
      <c r="I33" s="5065"/>
      <c r="J33" s="5053"/>
      <c r="K33" s="3662"/>
      <c r="L33" s="5053"/>
      <c r="M33" s="3662"/>
      <c r="N33" s="5052"/>
      <c r="O33" s="5052"/>
      <c r="P33" s="5052"/>
      <c r="Q33" s="5052"/>
      <c r="R33" s="5052"/>
      <c r="S33" s="5052"/>
      <c r="T33" s="5052"/>
      <c r="U33" s="5052"/>
      <c r="V33" s="5052"/>
      <c r="W33" s="5052"/>
      <c r="X33" s="5052"/>
      <c r="Y33" s="5052"/>
      <c r="Z33" s="5052"/>
      <c r="AA33" s="5052"/>
      <c r="AB33" s="5099"/>
      <c r="AC33" s="3662">
        <v>3</v>
      </c>
      <c r="AD33" s="5055" t="s">
        <v>157</v>
      </c>
      <c r="AE33" s="5112">
        <v>0.1</v>
      </c>
      <c r="AF33" s="2139">
        <f>AE33*M30</f>
        <v>151300</v>
      </c>
      <c r="AG33" s="3684">
        <f t="shared" si="0"/>
        <v>0</v>
      </c>
      <c r="AH33" s="3708"/>
      <c r="AI33" s="5119"/>
      <c r="AJ33" s="5120"/>
      <c r="AK33" s="5119"/>
      <c r="AL33" s="3708"/>
      <c r="AM33" s="5119"/>
      <c r="AN33" s="3708">
        <f t="shared" si="1"/>
        <v>0</v>
      </c>
      <c r="AO33" s="3708"/>
      <c r="AP33" s="3814">
        <f t="shared" si="2"/>
        <v>0</v>
      </c>
      <c r="AQ33" s="5127"/>
      <c r="AR33" s="3662"/>
      <c r="AS33" s="5134"/>
      <c r="AT33" s="5127"/>
      <c r="AU33" s="3662"/>
      <c r="AV33" s="3814"/>
      <c r="AW33" s="3814"/>
      <c r="AX33" s="3814"/>
      <c r="AY33" s="3814"/>
      <c r="AZ33" s="3814"/>
      <c r="BA33" s="5127"/>
      <c r="BB33" s="3662"/>
      <c r="BC33" s="5149"/>
      <c r="BD33" s="5127"/>
      <c r="BE33" s="5127"/>
      <c r="BF33" s="5127"/>
      <c r="BG33" s="5127"/>
      <c r="BH33" s="3708"/>
      <c r="BI33" s="3708"/>
      <c r="BJ33" s="3662"/>
      <c r="BK33" s="3662"/>
      <c r="BL33" s="3662"/>
      <c r="BM33" s="3662"/>
      <c r="BN33" s="3662"/>
      <c r="BO33" s="5127"/>
      <c r="BP33" s="5127"/>
      <c r="BQ33" s="2139"/>
      <c r="BR33" s="5127"/>
      <c r="BS33" s="5127"/>
      <c r="BT33" s="5127"/>
      <c r="BU33" s="5127"/>
      <c r="BV33" s="5164"/>
      <c r="BW33" s="5164"/>
      <c r="BX33" s="5127"/>
      <c r="BY33" s="5127"/>
      <c r="BZ33" s="5127"/>
      <c r="CA33" s="5127"/>
      <c r="CB33" s="5127"/>
      <c r="CC33" s="3662"/>
      <c r="CD33" s="3662"/>
      <c r="CE33" s="5170"/>
      <c r="CF33" s="5170"/>
      <c r="CG33" s="5170"/>
      <c r="CH33" s="5170"/>
    </row>
    <row r="34" s="4972" customFormat="1" ht="16" spans="1:86">
      <c r="A34" s="5052"/>
      <c r="B34" s="3662"/>
      <c r="C34" s="3662"/>
      <c r="D34" s="5053"/>
      <c r="E34" s="3662"/>
      <c r="F34" s="5053"/>
      <c r="G34" s="5053"/>
      <c r="H34" s="5053"/>
      <c r="I34" s="5062"/>
      <c r="J34" s="5053"/>
      <c r="K34" s="3662"/>
      <c r="L34" s="5053"/>
      <c r="M34" s="3662"/>
      <c r="N34" s="5052"/>
      <c r="O34" s="5052"/>
      <c r="P34" s="5052"/>
      <c r="Q34" s="5052"/>
      <c r="R34" s="5052"/>
      <c r="S34" s="5052"/>
      <c r="T34" s="5052"/>
      <c r="U34" s="5052"/>
      <c r="V34" s="5052"/>
      <c r="W34" s="5052"/>
      <c r="X34" s="5052"/>
      <c r="Y34" s="5052"/>
      <c r="Z34" s="5052"/>
      <c r="AA34" s="5052"/>
      <c r="AB34" s="5099"/>
      <c r="AC34" s="3662">
        <v>4</v>
      </c>
      <c r="AD34" s="5055" t="s">
        <v>158</v>
      </c>
      <c r="AE34" s="5112">
        <v>0.1</v>
      </c>
      <c r="AF34" s="2139">
        <f>AE34*M30</f>
        <v>151300</v>
      </c>
      <c r="AG34" s="3684">
        <f t="shared" si="0"/>
        <v>0</v>
      </c>
      <c r="AH34" s="3708"/>
      <c r="AI34" s="5119"/>
      <c r="AJ34" s="5120"/>
      <c r="AK34" s="5119"/>
      <c r="AL34" s="3708"/>
      <c r="AM34" s="5119"/>
      <c r="AN34" s="3708">
        <f t="shared" si="1"/>
        <v>0</v>
      </c>
      <c r="AO34" s="3708"/>
      <c r="AP34" s="3814">
        <f t="shared" si="2"/>
        <v>0</v>
      </c>
      <c r="AQ34" s="5127"/>
      <c r="AR34" s="3662"/>
      <c r="AS34" s="5134"/>
      <c r="AT34" s="5127"/>
      <c r="AU34" s="3662"/>
      <c r="AV34" s="3814"/>
      <c r="AW34" s="3814"/>
      <c r="AX34" s="3814"/>
      <c r="AY34" s="3814"/>
      <c r="AZ34" s="3814"/>
      <c r="BA34" s="5127"/>
      <c r="BB34" s="3662"/>
      <c r="BC34" s="3662"/>
      <c r="BD34" s="5127"/>
      <c r="BE34" s="5127"/>
      <c r="BF34" s="5127"/>
      <c r="BG34" s="5127"/>
      <c r="BH34" s="3708"/>
      <c r="BI34" s="3708"/>
      <c r="BJ34" s="3662"/>
      <c r="BK34" s="3662"/>
      <c r="BL34" s="3662"/>
      <c r="BM34" s="3662"/>
      <c r="BN34" s="3662"/>
      <c r="BO34" s="5127"/>
      <c r="BP34" s="5127"/>
      <c r="BQ34" s="2139"/>
      <c r="BR34" s="5127"/>
      <c r="BS34" s="5127"/>
      <c r="BT34" s="5127"/>
      <c r="BU34" s="5127"/>
      <c r="BV34" s="5164"/>
      <c r="BW34" s="5164"/>
      <c r="BX34" s="5127"/>
      <c r="BY34" s="5127"/>
      <c r="BZ34" s="5127"/>
      <c r="CA34" s="5127"/>
      <c r="CB34" s="5127"/>
      <c r="CC34" s="3662"/>
      <c r="CD34" s="3662"/>
      <c r="CE34" s="5170"/>
      <c r="CF34" s="5170"/>
      <c r="CG34" s="5170"/>
      <c r="CH34" s="5170"/>
    </row>
    <row r="35" s="4973" customFormat="1" ht="61" spans="1:86">
      <c r="A35" s="3058">
        <v>3</v>
      </c>
      <c r="B35" s="3058" t="s">
        <v>159</v>
      </c>
      <c r="C35" s="3058">
        <v>43532</v>
      </c>
      <c r="D35" s="1125" t="s">
        <v>160</v>
      </c>
      <c r="E35" s="3058" t="s">
        <v>113</v>
      </c>
      <c r="F35" s="5054" t="s">
        <v>161</v>
      </c>
      <c r="G35" s="5054" t="s">
        <v>162</v>
      </c>
      <c r="H35" s="5054" t="s">
        <v>31</v>
      </c>
      <c r="I35" s="5066"/>
      <c r="J35" s="5054" t="s">
        <v>163</v>
      </c>
      <c r="K35" s="3058">
        <v>130000</v>
      </c>
      <c r="L35" s="5054" t="s">
        <v>164</v>
      </c>
      <c r="M35" s="3058">
        <f>SUM(N35:AA37)</f>
        <v>650000</v>
      </c>
      <c r="N35" s="5080">
        <v>0</v>
      </c>
      <c r="O35" s="5080">
        <v>0</v>
      </c>
      <c r="P35" s="5080">
        <v>0</v>
      </c>
      <c r="Q35" s="5080">
        <v>0</v>
      </c>
      <c r="R35" s="5080">
        <v>0</v>
      </c>
      <c r="S35" s="5080">
        <v>0</v>
      </c>
      <c r="T35" s="5091">
        <v>0</v>
      </c>
      <c r="U35" s="5080">
        <f>K35*5</f>
        <v>650000</v>
      </c>
      <c r="V35" s="5080">
        <v>0</v>
      </c>
      <c r="W35" s="5080">
        <v>0</v>
      </c>
      <c r="X35" s="5080">
        <v>0</v>
      </c>
      <c r="Y35" s="5080"/>
      <c r="Z35" s="5080"/>
      <c r="AA35" s="5080">
        <v>0</v>
      </c>
      <c r="AB35" s="5080"/>
      <c r="AC35" s="3058">
        <v>1</v>
      </c>
      <c r="AD35" s="1082" t="s">
        <v>165</v>
      </c>
      <c r="AE35" s="5113">
        <v>0.2</v>
      </c>
      <c r="AF35" s="3058">
        <f>U35*AE35</f>
        <v>130000</v>
      </c>
      <c r="AG35" s="3058">
        <f t="shared" si="0"/>
        <v>130000</v>
      </c>
      <c r="AH35" s="3058" t="s">
        <v>122</v>
      </c>
      <c r="AI35" s="3058">
        <v>43797</v>
      </c>
      <c r="AJ35" s="3058">
        <v>130000</v>
      </c>
      <c r="AK35" s="5124">
        <v>43770</v>
      </c>
      <c r="AL35" s="3058">
        <v>130000</v>
      </c>
      <c r="AM35" s="3058">
        <v>43770</v>
      </c>
      <c r="AN35" s="3058">
        <f t="shared" si="1"/>
        <v>130000</v>
      </c>
      <c r="AO35" s="3058">
        <v>43799</v>
      </c>
      <c r="AP35" s="584">
        <f t="shared" si="2"/>
        <v>0</v>
      </c>
      <c r="AQ35" s="3058"/>
      <c r="AR35" s="3058" t="s">
        <v>128</v>
      </c>
      <c r="AS35" s="5054"/>
      <c r="AT35" s="3058"/>
      <c r="AU35" s="5080">
        <f>SUM(AG35:AG38)</f>
        <v>632304.3</v>
      </c>
      <c r="AV35" s="5080">
        <f>SUM(AL35:AL38)</f>
        <v>632304.3</v>
      </c>
      <c r="AW35" s="5080">
        <f>SUM(AN35:AN38)</f>
        <v>632304.3</v>
      </c>
      <c r="AX35" s="5080">
        <f>M35-AU35</f>
        <v>17695.7</v>
      </c>
      <c r="AY35" s="5080">
        <f>AU35-AV35</f>
        <v>0</v>
      </c>
      <c r="AZ35" s="5080">
        <f>AV35-AW35</f>
        <v>0</v>
      </c>
      <c r="BA35" s="3057"/>
      <c r="BB35" s="3057"/>
      <c r="BC35" s="3057"/>
      <c r="BD35" s="3057"/>
      <c r="BE35" s="3057"/>
      <c r="BF35" s="3057"/>
      <c r="BG35" s="3057"/>
      <c r="BH35" s="3057">
        <v>130000</v>
      </c>
      <c r="BI35" s="3057"/>
      <c r="BJ35" s="3057"/>
      <c r="BK35" s="3057"/>
      <c r="BL35" s="3057"/>
      <c r="BM35" s="3057"/>
      <c r="BN35" s="3057"/>
      <c r="BO35" s="3058"/>
      <c r="BP35" s="3058"/>
      <c r="BQ35" s="3058"/>
      <c r="BR35" s="3058"/>
      <c r="BS35" s="3058"/>
      <c r="BT35" s="3058"/>
      <c r="BU35" s="3058"/>
      <c r="BV35" s="3058">
        <v>130000</v>
      </c>
      <c r="BW35" s="3058"/>
      <c r="BX35" s="3058"/>
      <c r="BY35" s="3058"/>
      <c r="BZ35" s="3058"/>
      <c r="CA35" s="3058"/>
      <c r="CB35" s="3058"/>
      <c r="CC35" s="3058" t="s">
        <v>166</v>
      </c>
      <c r="CD35" s="3058" t="s">
        <v>154</v>
      </c>
      <c r="CE35" s="5171"/>
      <c r="CF35" s="5171"/>
      <c r="CG35" s="5171"/>
      <c r="CH35" s="5171"/>
    </row>
    <row r="36" s="4973" customFormat="1" ht="61" spans="1:86">
      <c r="A36" s="3058"/>
      <c r="B36" s="3058"/>
      <c r="C36" s="3058"/>
      <c r="D36" s="5054"/>
      <c r="E36" s="3058"/>
      <c r="F36" s="5054"/>
      <c r="G36" s="5054"/>
      <c r="H36" s="5054"/>
      <c r="I36" s="5067"/>
      <c r="J36" s="5054"/>
      <c r="K36" s="3058"/>
      <c r="L36" s="5054"/>
      <c r="M36" s="3058"/>
      <c r="N36" s="5080"/>
      <c r="O36" s="5080"/>
      <c r="P36" s="5080"/>
      <c r="Q36" s="5080"/>
      <c r="R36" s="5080"/>
      <c r="S36" s="5080"/>
      <c r="T36" s="5080"/>
      <c r="U36" s="5080"/>
      <c r="V36" s="5080"/>
      <c r="W36" s="5080"/>
      <c r="X36" s="5080"/>
      <c r="Y36" s="5080"/>
      <c r="Z36" s="5080"/>
      <c r="AA36" s="5080"/>
      <c r="AB36" s="5080"/>
      <c r="AC36" s="3058">
        <v>2</v>
      </c>
      <c r="AD36" s="1082" t="s">
        <v>167</v>
      </c>
      <c r="AE36" s="5113">
        <v>0.6</v>
      </c>
      <c r="AF36" s="3058">
        <f>U35*AE36</f>
        <v>390000</v>
      </c>
      <c r="AG36" s="3058">
        <f t="shared" si="0"/>
        <v>390000</v>
      </c>
      <c r="AH36" s="3058" t="s">
        <v>122</v>
      </c>
      <c r="AI36" s="3058"/>
      <c r="AJ36" s="3058">
        <f>AF36</f>
        <v>390000</v>
      </c>
      <c r="AK36" s="5124">
        <v>43770</v>
      </c>
      <c r="AL36" s="3058">
        <f>AF36</f>
        <v>390000</v>
      </c>
      <c r="AM36" s="3058">
        <v>43929</v>
      </c>
      <c r="AN36" s="3058">
        <f t="shared" si="1"/>
        <v>390000</v>
      </c>
      <c r="AO36" s="3058">
        <v>43948</v>
      </c>
      <c r="AP36" s="584">
        <f t="shared" si="2"/>
        <v>0</v>
      </c>
      <c r="AQ36" s="5131"/>
      <c r="AR36" s="3058" t="s">
        <v>168</v>
      </c>
      <c r="AS36" s="5131"/>
      <c r="AT36" s="5138"/>
      <c r="AU36" s="5080"/>
      <c r="AV36" s="5080"/>
      <c r="AW36" s="5080"/>
      <c r="AX36" s="5080"/>
      <c r="AY36" s="5080"/>
      <c r="AZ36" s="5080"/>
      <c r="BA36" s="5150"/>
      <c r="BB36" s="3057"/>
      <c r="BC36" s="5126"/>
      <c r="BD36" s="5150"/>
      <c r="BE36" s="5150"/>
      <c r="BF36" s="5150"/>
      <c r="BG36" s="5150"/>
      <c r="BH36" s="3057">
        <v>390000</v>
      </c>
      <c r="BI36" s="3057"/>
      <c r="BJ36" s="3057"/>
      <c r="BK36" s="3057"/>
      <c r="BL36" s="3057"/>
      <c r="BM36" s="3057"/>
      <c r="BN36" s="3057"/>
      <c r="BO36" s="5138"/>
      <c r="BP36" s="5138"/>
      <c r="BQ36" s="5124"/>
      <c r="BR36" s="5138"/>
      <c r="BS36" s="5138"/>
      <c r="BT36" s="5138"/>
      <c r="BU36" s="5138"/>
      <c r="BV36" s="5138">
        <v>390000</v>
      </c>
      <c r="BW36" s="5138"/>
      <c r="BX36" s="5138"/>
      <c r="BY36" s="5138"/>
      <c r="BZ36" s="5138"/>
      <c r="CA36" s="5138"/>
      <c r="CB36" s="5138"/>
      <c r="CC36" s="3058"/>
      <c r="CD36" s="3058"/>
      <c r="CE36" s="5171"/>
      <c r="CF36" s="5171"/>
      <c r="CG36" s="5171"/>
      <c r="CH36" s="5171"/>
    </row>
    <row r="37" s="4973" customFormat="1" ht="46" spans="1:86">
      <c r="A37" s="3058"/>
      <c r="B37" s="3058"/>
      <c r="C37" s="3058"/>
      <c r="D37" s="5054"/>
      <c r="E37" s="3058"/>
      <c r="F37" s="5054"/>
      <c r="G37" s="5054"/>
      <c r="H37" s="5054"/>
      <c r="I37" s="5067"/>
      <c r="J37" s="5054"/>
      <c r="K37" s="3058"/>
      <c r="L37" s="5054"/>
      <c r="M37" s="3058"/>
      <c r="N37" s="5080"/>
      <c r="O37" s="5080"/>
      <c r="P37" s="5080"/>
      <c r="Q37" s="5080"/>
      <c r="R37" s="5080"/>
      <c r="S37" s="5080"/>
      <c r="T37" s="5080"/>
      <c r="U37" s="5080"/>
      <c r="V37" s="5080"/>
      <c r="W37" s="5080"/>
      <c r="X37" s="5080"/>
      <c r="Y37" s="5080"/>
      <c r="Z37" s="5080"/>
      <c r="AA37" s="5080"/>
      <c r="AB37" s="5080"/>
      <c r="AC37" s="3058">
        <v>3</v>
      </c>
      <c r="AD37" s="1082" t="s">
        <v>169</v>
      </c>
      <c r="AE37" s="5113">
        <v>0.2</v>
      </c>
      <c r="AF37" s="3058">
        <f>U35*AE37</f>
        <v>130000</v>
      </c>
      <c r="AG37" s="3058">
        <f t="shared" si="0"/>
        <v>130000</v>
      </c>
      <c r="AH37" s="3058" t="s">
        <v>122</v>
      </c>
      <c r="AI37" s="3058"/>
      <c r="AJ37" s="3058">
        <f>AF37</f>
        <v>130000</v>
      </c>
      <c r="AK37" s="3058">
        <v>43770</v>
      </c>
      <c r="AL37" s="3057">
        <v>112304.3</v>
      </c>
      <c r="AM37" s="3057">
        <v>44481</v>
      </c>
      <c r="AN37" s="5125">
        <f t="shared" si="1"/>
        <v>112304.3</v>
      </c>
      <c r="AO37" s="3057">
        <v>45625</v>
      </c>
      <c r="AP37" s="584">
        <v>0</v>
      </c>
      <c r="AQ37" s="5132" t="s">
        <v>170</v>
      </c>
      <c r="AR37" s="3058"/>
      <c r="AS37" s="5131"/>
      <c r="AT37" s="5138"/>
      <c r="AU37" s="5080"/>
      <c r="AV37" s="5080"/>
      <c r="AW37" s="5080"/>
      <c r="AX37" s="5080"/>
      <c r="AY37" s="5080"/>
      <c r="AZ37" s="5080"/>
      <c r="BA37" s="5150"/>
      <c r="BB37" s="3057"/>
      <c r="BC37" s="5126"/>
      <c r="BD37" s="5150"/>
      <c r="BE37" s="5150"/>
      <c r="BF37" s="5150"/>
      <c r="BG37" s="5150"/>
      <c r="BH37" s="3057">
        <v>130000</v>
      </c>
      <c r="BI37" s="3057"/>
      <c r="BJ37" s="3057"/>
      <c r="BK37" s="3057"/>
      <c r="BL37" s="3057"/>
      <c r="BM37" s="3057"/>
      <c r="BN37" s="3057"/>
      <c r="BO37" s="5159"/>
      <c r="BP37" s="5159"/>
      <c r="BQ37" s="5161"/>
      <c r="BR37" s="5159"/>
      <c r="BS37" s="5159"/>
      <c r="BT37" s="5159"/>
      <c r="BU37" s="5159"/>
      <c r="BV37" s="5159">
        <v>112304.3</v>
      </c>
      <c r="BW37" s="5159"/>
      <c r="BX37" s="5159"/>
      <c r="BY37" s="5159"/>
      <c r="BZ37" s="5159"/>
      <c r="CA37" s="5159"/>
      <c r="CB37" s="5159"/>
      <c r="CC37" s="3058"/>
      <c r="CD37" s="3058"/>
      <c r="CE37" s="5171"/>
      <c r="CF37" s="5171"/>
      <c r="CG37" s="5171"/>
      <c r="CH37" s="5171"/>
    </row>
    <row r="38" s="4973" customFormat="1" ht="31" spans="1:86">
      <c r="A38" s="3058"/>
      <c r="B38" s="3058"/>
      <c r="C38" s="3058"/>
      <c r="D38" s="5054"/>
      <c r="E38" s="3058"/>
      <c r="F38" s="5054"/>
      <c r="G38" s="5054"/>
      <c r="H38" s="5054"/>
      <c r="I38" s="5068"/>
      <c r="J38" s="5054"/>
      <c r="K38" s="3058"/>
      <c r="L38" s="5054"/>
      <c r="M38" s="3058"/>
      <c r="N38" s="5080"/>
      <c r="O38" s="5080"/>
      <c r="P38" s="5080"/>
      <c r="Q38" s="5080"/>
      <c r="R38" s="5080"/>
      <c r="S38" s="5080"/>
      <c r="T38" s="5080"/>
      <c r="U38" s="5080"/>
      <c r="V38" s="5080"/>
      <c r="W38" s="5080"/>
      <c r="X38" s="5080"/>
      <c r="Y38" s="5080"/>
      <c r="Z38" s="5080"/>
      <c r="AA38" s="5080"/>
      <c r="AB38" s="5080"/>
      <c r="AC38" s="3058"/>
      <c r="AD38" s="1125" t="s">
        <v>171</v>
      </c>
      <c r="AE38" s="5114" t="s">
        <v>171</v>
      </c>
      <c r="AF38" s="584" t="s">
        <v>171</v>
      </c>
      <c r="AG38" s="3058">
        <f t="shared" si="0"/>
        <v>-17695.7</v>
      </c>
      <c r="AH38" s="3058" t="s">
        <v>122</v>
      </c>
      <c r="AI38" s="3058">
        <v>44479</v>
      </c>
      <c r="AJ38" s="3058">
        <f>AG38</f>
        <v>-17695.7</v>
      </c>
      <c r="AK38" s="3058">
        <v>44479</v>
      </c>
      <c r="AL38" s="5126"/>
      <c r="AM38" s="3057"/>
      <c r="AN38" s="3058"/>
      <c r="AO38" s="4059"/>
      <c r="AP38" s="584"/>
      <c r="AQ38" s="5132" t="s">
        <v>172</v>
      </c>
      <c r="AR38" s="3058"/>
      <c r="AS38" s="5131"/>
      <c r="AT38" s="5138"/>
      <c r="AU38" s="5080"/>
      <c r="AV38" s="5080"/>
      <c r="AW38" s="5080"/>
      <c r="AX38" s="5080"/>
      <c r="AY38" s="5080"/>
      <c r="AZ38" s="5080"/>
      <c r="BA38" s="5150"/>
      <c r="BB38" s="3057"/>
      <c r="BC38" s="5126"/>
      <c r="BD38" s="5150"/>
      <c r="BE38" s="5150"/>
      <c r="BF38" s="5150"/>
      <c r="BG38" s="5150"/>
      <c r="BH38" s="3057">
        <v>-17695.7</v>
      </c>
      <c r="BI38" s="3057"/>
      <c r="BJ38" s="3057"/>
      <c r="BK38" s="3057"/>
      <c r="BL38" s="3057"/>
      <c r="BM38" s="3057"/>
      <c r="BN38" s="3057"/>
      <c r="BO38" s="5159"/>
      <c r="BP38" s="5159"/>
      <c r="BQ38" s="5161"/>
      <c r="BR38" s="5159"/>
      <c r="BS38" s="5159"/>
      <c r="BT38" s="5159"/>
      <c r="BU38" s="5159"/>
      <c r="BV38" s="5159"/>
      <c r="BW38" s="5159"/>
      <c r="BX38" s="5159"/>
      <c r="BY38" s="5159"/>
      <c r="BZ38" s="5159"/>
      <c r="CA38" s="5159"/>
      <c r="CB38" s="5159"/>
      <c r="CC38" s="3058"/>
      <c r="CD38" s="3058"/>
      <c r="CE38" s="5171"/>
      <c r="CF38" s="5171"/>
      <c r="CG38" s="5171"/>
      <c r="CH38" s="5171"/>
    </row>
    <row r="39" s="4972" customFormat="1" ht="61" spans="1:86">
      <c r="A39" s="3662">
        <v>4</v>
      </c>
      <c r="B39" s="3662" t="s">
        <v>173</v>
      </c>
      <c r="C39" s="3662">
        <v>43566</v>
      </c>
      <c r="D39" s="5055" t="s">
        <v>174</v>
      </c>
      <c r="E39" s="3662" t="s">
        <v>113</v>
      </c>
      <c r="F39" s="5053" t="s">
        <v>175</v>
      </c>
      <c r="G39" s="5053" t="s">
        <v>176</v>
      </c>
      <c r="H39" s="5053" t="s">
        <v>31</v>
      </c>
      <c r="I39" s="5069"/>
      <c r="J39" s="5053" t="s">
        <v>177</v>
      </c>
      <c r="K39" s="3662">
        <v>157693</v>
      </c>
      <c r="L39" s="5053" t="s">
        <v>178</v>
      </c>
      <c r="M39" s="3662">
        <f>SUM(N39:AA40)</f>
        <v>788465</v>
      </c>
      <c r="N39" s="5081">
        <v>0</v>
      </c>
      <c r="O39" s="5081">
        <v>0</v>
      </c>
      <c r="P39" s="5081">
        <v>0</v>
      </c>
      <c r="Q39" s="5081">
        <v>0</v>
      </c>
      <c r="R39" s="5081">
        <v>0</v>
      </c>
      <c r="S39" s="5081">
        <v>0</v>
      </c>
      <c r="T39" s="5092">
        <v>0</v>
      </c>
      <c r="U39" s="5081">
        <f>5*K39</f>
        <v>788465</v>
      </c>
      <c r="V39" s="5081">
        <v>0</v>
      </c>
      <c r="W39" s="5081">
        <v>0</v>
      </c>
      <c r="X39" s="5081">
        <v>0</v>
      </c>
      <c r="Y39" s="5081"/>
      <c r="Z39" s="5081"/>
      <c r="AA39" s="5081">
        <v>0</v>
      </c>
      <c r="AB39" s="5081"/>
      <c r="AC39" s="3662">
        <v>1</v>
      </c>
      <c r="AD39" s="5055" t="s">
        <v>179</v>
      </c>
      <c r="AE39" s="5115">
        <v>0.2</v>
      </c>
      <c r="AF39" s="3662">
        <f>M39*AE39</f>
        <v>157693</v>
      </c>
      <c r="AG39" s="3662">
        <f t="shared" ref="AG39:AG80" si="3">SUM(BA39:BN39)</f>
        <v>157693</v>
      </c>
      <c r="AH39" s="3662" t="s">
        <v>122</v>
      </c>
      <c r="AI39" s="3662">
        <v>43674</v>
      </c>
      <c r="AJ39" s="3662">
        <f>AF39</f>
        <v>157693</v>
      </c>
      <c r="AK39" s="3662">
        <v>43674</v>
      </c>
      <c r="AL39" s="3662">
        <f>AF39</f>
        <v>157693</v>
      </c>
      <c r="AM39" s="3662">
        <v>43705</v>
      </c>
      <c r="AN39" s="3662">
        <f t="shared" ref="AN39:AN78" si="4">SUM(BO39:CB39)</f>
        <v>157693</v>
      </c>
      <c r="AO39" s="3662">
        <v>43770</v>
      </c>
      <c r="AP39" s="3814">
        <f t="shared" ref="AP39:AP78" si="5">AG39-AN39</f>
        <v>0</v>
      </c>
      <c r="AQ39" s="5127"/>
      <c r="AR39" s="3662" t="s">
        <v>128</v>
      </c>
      <c r="AS39" s="5134"/>
      <c r="AT39" s="5127"/>
      <c r="AU39" s="3662">
        <f>SUM(AG39:AG40)</f>
        <v>788465</v>
      </c>
      <c r="AV39" s="3662">
        <f>SUM(AL39:AL40)</f>
        <v>788465</v>
      </c>
      <c r="AW39" s="3662">
        <f>SUM(AN39:AN40)</f>
        <v>788465</v>
      </c>
      <c r="AX39" s="3662">
        <f>M39-AU39</f>
        <v>0</v>
      </c>
      <c r="AY39" s="3662">
        <f>AU39-AV39</f>
        <v>0</v>
      </c>
      <c r="AZ39" s="3662">
        <f>AV39-AW39</f>
        <v>0</v>
      </c>
      <c r="BA39" s="5148"/>
      <c r="BB39" s="3684"/>
      <c r="BC39" s="3684"/>
      <c r="BD39" s="5148"/>
      <c r="BE39" s="5148"/>
      <c r="BF39" s="5148"/>
      <c r="BG39" s="5148"/>
      <c r="BH39" s="3684">
        <v>157693</v>
      </c>
      <c r="BI39" s="3684"/>
      <c r="BJ39" s="3684"/>
      <c r="BK39" s="3684"/>
      <c r="BL39" s="3684"/>
      <c r="BM39" s="3684"/>
      <c r="BN39" s="3684"/>
      <c r="BO39" s="5127"/>
      <c r="BP39" s="5127"/>
      <c r="BQ39" s="5127"/>
      <c r="BR39" s="5127"/>
      <c r="BS39" s="5127"/>
      <c r="BT39" s="5127"/>
      <c r="BU39" s="5127"/>
      <c r="BV39" s="3662">
        <v>157693</v>
      </c>
      <c r="BW39" s="5127"/>
      <c r="BX39" s="5127"/>
      <c r="BY39" s="5127"/>
      <c r="BZ39" s="5127"/>
      <c r="CA39" s="5127"/>
      <c r="CB39" s="5127"/>
      <c r="CC39" s="3662" t="s">
        <v>166</v>
      </c>
      <c r="CD39" s="3662" t="s">
        <v>154</v>
      </c>
      <c r="CE39" s="5170"/>
      <c r="CF39" s="5170"/>
      <c r="CG39" s="5170"/>
      <c r="CH39" s="5170"/>
    </row>
    <row r="40" s="4972" customFormat="1" ht="61" spans="1:86">
      <c r="A40" s="3662"/>
      <c r="B40" s="3662"/>
      <c r="C40" s="3662"/>
      <c r="D40" s="5053"/>
      <c r="E40" s="3662"/>
      <c r="F40" s="5053"/>
      <c r="G40" s="5053"/>
      <c r="H40" s="5053"/>
      <c r="I40" s="5062"/>
      <c r="J40" s="5053"/>
      <c r="K40" s="3662"/>
      <c r="L40" s="5053"/>
      <c r="M40" s="3662"/>
      <c r="N40" s="5081"/>
      <c r="O40" s="5081"/>
      <c r="P40" s="5081"/>
      <c r="Q40" s="5081"/>
      <c r="R40" s="5081"/>
      <c r="S40" s="5081"/>
      <c r="T40" s="5081"/>
      <c r="U40" s="5081"/>
      <c r="V40" s="5081"/>
      <c r="W40" s="5081"/>
      <c r="X40" s="5081"/>
      <c r="Y40" s="5081"/>
      <c r="Z40" s="5081"/>
      <c r="AA40" s="5081"/>
      <c r="AB40" s="5081"/>
      <c r="AC40" s="3662">
        <v>2</v>
      </c>
      <c r="AD40" s="5055" t="s">
        <v>180</v>
      </c>
      <c r="AE40" s="5115">
        <v>0.8</v>
      </c>
      <c r="AF40" s="3662">
        <f>M39*AE40</f>
        <v>630772</v>
      </c>
      <c r="AG40" s="3662">
        <f t="shared" si="3"/>
        <v>630772</v>
      </c>
      <c r="AH40" s="3662" t="s">
        <v>122</v>
      </c>
      <c r="AI40" s="3662">
        <v>43674</v>
      </c>
      <c r="AJ40" s="3662">
        <v>630772</v>
      </c>
      <c r="AK40" s="3662">
        <v>43674</v>
      </c>
      <c r="AL40" s="3662">
        <f>AF40</f>
        <v>630772</v>
      </c>
      <c r="AM40" s="3662">
        <v>43929</v>
      </c>
      <c r="AN40" s="3684">
        <f t="shared" si="4"/>
        <v>630772</v>
      </c>
      <c r="AO40" s="3684">
        <v>44551</v>
      </c>
      <c r="AP40" s="3814">
        <f t="shared" si="5"/>
        <v>0</v>
      </c>
      <c r="AQ40" s="5133" t="s">
        <v>181</v>
      </c>
      <c r="AR40" s="3662"/>
      <c r="AS40" s="5134"/>
      <c r="AT40" s="5127"/>
      <c r="AU40" s="3662"/>
      <c r="AV40" s="3662"/>
      <c r="AW40" s="3662"/>
      <c r="AX40" s="3662"/>
      <c r="AY40" s="3662"/>
      <c r="AZ40" s="3662"/>
      <c r="BA40" s="5148"/>
      <c r="BB40" s="3684"/>
      <c r="BC40" s="3684"/>
      <c r="BD40" s="5148"/>
      <c r="BE40" s="5148"/>
      <c r="BF40" s="5148"/>
      <c r="BG40" s="5148"/>
      <c r="BH40" s="3684">
        <v>630772</v>
      </c>
      <c r="BI40" s="3684"/>
      <c r="BJ40" s="3684"/>
      <c r="BK40" s="3684"/>
      <c r="BL40" s="3684"/>
      <c r="BM40" s="3684"/>
      <c r="BN40" s="3684"/>
      <c r="BO40" s="5127"/>
      <c r="BP40" s="5127"/>
      <c r="BQ40" s="5127"/>
      <c r="BR40" s="5127"/>
      <c r="BS40" s="5127"/>
      <c r="BT40" s="5127"/>
      <c r="BU40" s="5127"/>
      <c r="BV40" s="5164">
        <v>630772</v>
      </c>
      <c r="BW40" s="5127"/>
      <c r="BX40" s="5127"/>
      <c r="BY40" s="5127"/>
      <c r="BZ40" s="5127"/>
      <c r="CA40" s="5127"/>
      <c r="CB40" s="5127"/>
      <c r="CC40" s="3662"/>
      <c r="CD40" s="3662"/>
      <c r="CE40" s="5170"/>
      <c r="CF40" s="5170"/>
      <c r="CG40" s="5170"/>
      <c r="CH40" s="5170"/>
    </row>
    <row r="41" s="4972" customFormat="1" ht="61" spans="1:86">
      <c r="A41" s="3662">
        <v>5</v>
      </c>
      <c r="B41" s="3662" t="s">
        <v>173</v>
      </c>
      <c r="C41" s="3662">
        <v>43817</v>
      </c>
      <c r="D41" s="5053" t="s">
        <v>182</v>
      </c>
      <c r="E41" s="3662" t="s">
        <v>113</v>
      </c>
      <c r="F41" s="5053" t="s">
        <v>183</v>
      </c>
      <c r="G41" s="5053" t="s">
        <v>184</v>
      </c>
      <c r="H41" s="5053" t="s">
        <v>31</v>
      </c>
      <c r="I41" s="5069"/>
      <c r="J41" s="5053" t="s">
        <v>185</v>
      </c>
      <c r="K41" s="5053">
        <v>214465</v>
      </c>
      <c r="L41" s="5053" t="s">
        <v>186</v>
      </c>
      <c r="M41" s="3662">
        <f>SUM(N41:AA44)</f>
        <v>1076114</v>
      </c>
      <c r="N41" s="5082">
        <v>0</v>
      </c>
      <c r="O41" s="5082">
        <v>0</v>
      </c>
      <c r="P41" s="5082">
        <v>443114</v>
      </c>
      <c r="Q41" s="5082">
        <v>0</v>
      </c>
      <c r="R41" s="5082">
        <v>0</v>
      </c>
      <c r="S41" s="5082">
        <v>0</v>
      </c>
      <c r="T41" s="5093">
        <v>0</v>
      </c>
      <c r="U41" s="5082">
        <v>583000</v>
      </c>
      <c r="V41" s="5082">
        <v>50000</v>
      </c>
      <c r="W41" s="5082">
        <v>0</v>
      </c>
      <c r="X41" s="5082">
        <v>0</v>
      </c>
      <c r="Y41" s="5082"/>
      <c r="Z41" s="5082"/>
      <c r="AA41" s="5082">
        <v>0</v>
      </c>
      <c r="AB41" s="5100">
        <v>0</v>
      </c>
      <c r="AC41" s="3662">
        <v>1</v>
      </c>
      <c r="AD41" s="5055" t="s">
        <v>187</v>
      </c>
      <c r="AE41" s="5112">
        <v>0.4</v>
      </c>
      <c r="AF41" s="3662">
        <f>M41*AE41</f>
        <v>430445.6</v>
      </c>
      <c r="AG41" s="3662">
        <f t="shared" si="3"/>
        <v>450445.6</v>
      </c>
      <c r="AH41" s="3662" t="s">
        <v>122</v>
      </c>
      <c r="AI41" s="3662">
        <v>43817</v>
      </c>
      <c r="AJ41" s="3662">
        <v>430445.6</v>
      </c>
      <c r="AK41" s="3662">
        <v>43817</v>
      </c>
      <c r="AL41" s="3662">
        <v>430445.6</v>
      </c>
      <c r="AM41" s="3662">
        <v>43929</v>
      </c>
      <c r="AN41" s="3684">
        <f t="shared" si="4"/>
        <v>450445.6</v>
      </c>
      <c r="AO41" s="3684">
        <v>44020</v>
      </c>
      <c r="AP41" s="3814">
        <f t="shared" si="5"/>
        <v>0</v>
      </c>
      <c r="AQ41" s="5127"/>
      <c r="AR41" s="3662" t="s">
        <v>128</v>
      </c>
      <c r="AS41" s="5134"/>
      <c r="AT41" s="5127"/>
      <c r="AU41" s="5082">
        <f>SUM(AG41:AG44)</f>
        <v>1080154.8</v>
      </c>
      <c r="AV41" s="5082">
        <f>SUM(AL41:AL44)</f>
        <v>1080154.8</v>
      </c>
      <c r="AW41" s="5082">
        <f>SUM(AN41:AN44)</f>
        <v>1080154.8</v>
      </c>
      <c r="AX41" s="5082">
        <f>M41-AU41</f>
        <v>-4040.80000000005</v>
      </c>
      <c r="AY41" s="5082">
        <f>AU41-AV41</f>
        <v>0</v>
      </c>
      <c r="AZ41" s="5082">
        <f>AV41-AW41</f>
        <v>0</v>
      </c>
      <c r="BA41" s="5148"/>
      <c r="BB41" s="3684"/>
      <c r="BC41" s="3684">
        <v>169645.6</v>
      </c>
      <c r="BD41" s="5148"/>
      <c r="BE41" s="5148"/>
      <c r="BF41" s="5148"/>
      <c r="BG41" s="5148"/>
      <c r="BH41" s="3684">
        <v>230800</v>
      </c>
      <c r="BI41" s="3684">
        <v>50000</v>
      </c>
      <c r="BJ41" s="3684"/>
      <c r="BK41" s="3684"/>
      <c r="BL41" s="3684"/>
      <c r="BM41" s="3684"/>
      <c r="BN41" s="3684"/>
      <c r="BO41" s="5127"/>
      <c r="BP41" s="5127"/>
      <c r="BQ41" s="3684">
        <v>169645.6</v>
      </c>
      <c r="BR41" s="3662"/>
      <c r="BS41" s="3662"/>
      <c r="BT41" s="3662"/>
      <c r="BU41" s="3662"/>
      <c r="BV41" s="3684">
        <v>230800</v>
      </c>
      <c r="BW41" s="5148">
        <v>50000</v>
      </c>
      <c r="BX41" s="5127"/>
      <c r="BY41" s="5127"/>
      <c r="BZ41" s="5127"/>
      <c r="CA41" s="5127"/>
      <c r="CB41" s="5127"/>
      <c r="CC41" s="3662" t="s">
        <v>124</v>
      </c>
      <c r="CD41" s="3662" t="s">
        <v>154</v>
      </c>
      <c r="CE41" s="5170"/>
      <c r="CF41" s="5170"/>
      <c r="CG41" s="5170"/>
      <c r="CH41" s="5170"/>
    </row>
    <row r="42" s="4972" customFormat="1" ht="46" spans="1:86">
      <c r="A42" s="3662"/>
      <c r="B42" s="3662"/>
      <c r="C42" s="3662"/>
      <c r="D42" s="5053"/>
      <c r="E42" s="3662"/>
      <c r="F42" s="5053"/>
      <c r="G42" s="5053"/>
      <c r="H42" s="5053"/>
      <c r="I42" s="5065"/>
      <c r="J42" s="5053"/>
      <c r="K42" s="5053"/>
      <c r="L42" s="5053"/>
      <c r="M42" s="3662"/>
      <c r="N42" s="5082"/>
      <c r="O42" s="5082"/>
      <c r="P42" s="5082"/>
      <c r="Q42" s="5082"/>
      <c r="R42" s="5082"/>
      <c r="S42" s="5082"/>
      <c r="T42" s="5082"/>
      <c r="U42" s="5082"/>
      <c r="V42" s="5082"/>
      <c r="W42" s="5082"/>
      <c r="X42" s="5082"/>
      <c r="Y42" s="5082"/>
      <c r="Z42" s="5082"/>
      <c r="AA42" s="5082"/>
      <c r="AB42" s="5082"/>
      <c r="AC42" s="3662">
        <v>2</v>
      </c>
      <c r="AD42" s="5055" t="s">
        <v>188</v>
      </c>
      <c r="AE42" s="5112">
        <v>0.2</v>
      </c>
      <c r="AF42" s="3662">
        <f>M41*AE42</f>
        <v>215222.8</v>
      </c>
      <c r="AG42" s="3662">
        <f t="shared" si="3"/>
        <v>205222.8</v>
      </c>
      <c r="AH42" s="3662" t="s">
        <v>122</v>
      </c>
      <c r="AI42" s="3662">
        <v>43817</v>
      </c>
      <c r="AJ42" s="3662">
        <v>215222.8</v>
      </c>
      <c r="AK42" s="3662">
        <v>43817</v>
      </c>
      <c r="AL42" s="3662">
        <v>215222.8</v>
      </c>
      <c r="AM42" s="3662">
        <v>43929</v>
      </c>
      <c r="AN42" s="3684">
        <f t="shared" si="4"/>
        <v>205222.8</v>
      </c>
      <c r="AO42" s="3684">
        <v>44020</v>
      </c>
      <c r="AP42" s="3814">
        <f t="shared" si="5"/>
        <v>0</v>
      </c>
      <c r="AQ42" s="5127"/>
      <c r="AR42" s="3662"/>
      <c r="AS42" s="5134"/>
      <c r="AT42" s="5127"/>
      <c r="AU42" s="5082"/>
      <c r="AV42" s="5082"/>
      <c r="AW42" s="5082"/>
      <c r="AX42" s="5082"/>
      <c r="AY42" s="5082"/>
      <c r="AZ42" s="5082"/>
      <c r="BA42" s="5148"/>
      <c r="BB42" s="3684"/>
      <c r="BC42" s="3684">
        <v>88622.8</v>
      </c>
      <c r="BD42" s="5148"/>
      <c r="BE42" s="5148"/>
      <c r="BF42" s="5148"/>
      <c r="BG42" s="5148"/>
      <c r="BH42" s="3684">
        <f>U41*AE42</f>
        <v>116600</v>
      </c>
      <c r="BI42" s="3684"/>
      <c r="BJ42" s="3684"/>
      <c r="BK42" s="3684"/>
      <c r="BL42" s="3684"/>
      <c r="BM42" s="3684"/>
      <c r="BN42" s="3684"/>
      <c r="BO42" s="5127"/>
      <c r="BP42" s="5127"/>
      <c r="BQ42" s="3684">
        <v>88622.8</v>
      </c>
      <c r="BR42" s="3662"/>
      <c r="BS42" s="3662"/>
      <c r="BT42" s="3662"/>
      <c r="BU42" s="3662"/>
      <c r="BV42" s="3684">
        <v>116600</v>
      </c>
      <c r="BW42" s="5127"/>
      <c r="BX42" s="5127"/>
      <c r="BY42" s="5127"/>
      <c r="BZ42" s="5127"/>
      <c r="CA42" s="5127"/>
      <c r="CB42" s="5127"/>
      <c r="CC42" s="3662"/>
      <c r="CD42" s="3662"/>
      <c r="CE42" s="5170"/>
      <c r="CF42" s="5170"/>
      <c r="CG42" s="5170"/>
      <c r="CH42" s="5170"/>
    </row>
    <row r="43" s="4972" customFormat="1" ht="46" spans="1:86">
      <c r="A43" s="3662"/>
      <c r="B43" s="3662"/>
      <c r="C43" s="3662"/>
      <c r="D43" s="5053"/>
      <c r="E43" s="3662"/>
      <c r="F43" s="5053"/>
      <c r="G43" s="5053"/>
      <c r="H43" s="5053"/>
      <c r="I43" s="5065"/>
      <c r="J43" s="5053"/>
      <c r="K43" s="5053"/>
      <c r="L43" s="5053"/>
      <c r="M43" s="3662"/>
      <c r="N43" s="5082"/>
      <c r="O43" s="5082"/>
      <c r="P43" s="5082"/>
      <c r="Q43" s="5082"/>
      <c r="R43" s="5082"/>
      <c r="S43" s="5082"/>
      <c r="T43" s="5082"/>
      <c r="U43" s="5082"/>
      <c r="V43" s="5082"/>
      <c r="W43" s="5082"/>
      <c r="X43" s="5082"/>
      <c r="Y43" s="5082"/>
      <c r="Z43" s="5082"/>
      <c r="AA43" s="5082"/>
      <c r="AB43" s="5082"/>
      <c r="AC43" s="3662">
        <v>3</v>
      </c>
      <c r="AD43" s="5055" t="s">
        <v>188</v>
      </c>
      <c r="AE43" s="5112">
        <v>0.2</v>
      </c>
      <c r="AF43" s="3662">
        <f>M41*AE43</f>
        <v>215222.8</v>
      </c>
      <c r="AG43" s="3662">
        <f t="shared" si="3"/>
        <v>205222.8</v>
      </c>
      <c r="AH43" s="3662" t="s">
        <v>122</v>
      </c>
      <c r="AI43" s="3662">
        <v>43817</v>
      </c>
      <c r="AJ43" s="3662">
        <v>215222.8</v>
      </c>
      <c r="AK43" s="3662">
        <v>43817</v>
      </c>
      <c r="AL43" s="3662">
        <f>AF43</f>
        <v>215222.8</v>
      </c>
      <c r="AM43" s="3662">
        <v>43929</v>
      </c>
      <c r="AN43" s="3684">
        <f t="shared" si="4"/>
        <v>205222.8</v>
      </c>
      <c r="AO43" s="3684">
        <v>44020</v>
      </c>
      <c r="AP43" s="3814">
        <f t="shared" si="5"/>
        <v>0</v>
      </c>
      <c r="AQ43" s="5127"/>
      <c r="AR43" s="3662"/>
      <c r="AS43" s="5134"/>
      <c r="AT43" s="5127"/>
      <c r="AU43" s="5082"/>
      <c r="AV43" s="5082"/>
      <c r="AW43" s="5082"/>
      <c r="AX43" s="5082"/>
      <c r="AY43" s="5082"/>
      <c r="AZ43" s="5082"/>
      <c r="BA43" s="5148"/>
      <c r="BB43" s="3684"/>
      <c r="BC43" s="3684">
        <v>88622.8</v>
      </c>
      <c r="BD43" s="5148"/>
      <c r="BE43" s="5148"/>
      <c r="BF43" s="5148"/>
      <c r="BG43" s="5148"/>
      <c r="BH43" s="3684">
        <f>U41*AE43</f>
        <v>116600</v>
      </c>
      <c r="BI43" s="3684"/>
      <c r="BJ43" s="3684"/>
      <c r="BK43" s="3684"/>
      <c r="BL43" s="3684"/>
      <c r="BM43" s="3684"/>
      <c r="BN43" s="3684"/>
      <c r="BO43" s="5127"/>
      <c r="BP43" s="5127"/>
      <c r="BQ43" s="3684">
        <v>88622.8</v>
      </c>
      <c r="BR43" s="3662"/>
      <c r="BS43" s="3662"/>
      <c r="BT43" s="3662"/>
      <c r="BU43" s="3662"/>
      <c r="BV43" s="3684">
        <v>116600</v>
      </c>
      <c r="BW43" s="5127"/>
      <c r="BX43" s="5127"/>
      <c r="BY43" s="5127"/>
      <c r="BZ43" s="5127"/>
      <c r="CA43" s="5127"/>
      <c r="CB43" s="5127"/>
      <c r="CC43" s="3662"/>
      <c r="CD43" s="3662"/>
      <c r="CE43" s="5170"/>
      <c r="CF43" s="5170"/>
      <c r="CG43" s="5170"/>
      <c r="CH43" s="5170"/>
    </row>
    <row r="44" s="4972" customFormat="1" ht="46" spans="1:86">
      <c r="A44" s="3662"/>
      <c r="B44" s="3662"/>
      <c r="C44" s="3662"/>
      <c r="D44" s="5053"/>
      <c r="E44" s="3662"/>
      <c r="F44" s="5053"/>
      <c r="G44" s="5053"/>
      <c r="H44" s="5053"/>
      <c r="I44" s="5062"/>
      <c r="J44" s="5053"/>
      <c r="K44" s="5053"/>
      <c r="L44" s="5053"/>
      <c r="M44" s="3662"/>
      <c r="N44" s="5082"/>
      <c r="O44" s="5082"/>
      <c r="P44" s="5082"/>
      <c r="Q44" s="5082"/>
      <c r="R44" s="5082"/>
      <c r="S44" s="5082"/>
      <c r="T44" s="5082"/>
      <c r="U44" s="5082"/>
      <c r="V44" s="5082"/>
      <c r="W44" s="5082"/>
      <c r="X44" s="5082"/>
      <c r="Y44" s="5082"/>
      <c r="Z44" s="5082"/>
      <c r="AA44" s="5082"/>
      <c r="AB44" s="5082"/>
      <c r="AC44" s="3662">
        <v>4</v>
      </c>
      <c r="AD44" s="5055" t="s">
        <v>189</v>
      </c>
      <c r="AE44" s="5112">
        <v>0.2</v>
      </c>
      <c r="AF44" s="3662">
        <f>M41*AE44</f>
        <v>215222.8</v>
      </c>
      <c r="AG44" s="3684">
        <f t="shared" si="3"/>
        <v>219263.6</v>
      </c>
      <c r="AH44" s="3684" t="s">
        <v>122</v>
      </c>
      <c r="AI44" s="3684">
        <v>44118</v>
      </c>
      <c r="AJ44" s="3662">
        <v>219263.6</v>
      </c>
      <c r="AK44" s="5127">
        <v>44118</v>
      </c>
      <c r="AL44" s="3684">
        <v>219263.6</v>
      </c>
      <c r="AM44" s="3662">
        <v>44123</v>
      </c>
      <c r="AN44" s="3684">
        <f t="shared" si="4"/>
        <v>219263.6</v>
      </c>
      <c r="AO44" s="3684">
        <v>44217</v>
      </c>
      <c r="AP44" s="3814">
        <f t="shared" si="5"/>
        <v>0</v>
      </c>
      <c r="AQ44" s="5134"/>
      <c r="AR44" s="3662"/>
      <c r="AS44" s="5134"/>
      <c r="AT44" s="5127"/>
      <c r="AU44" s="5082"/>
      <c r="AV44" s="5082"/>
      <c r="AW44" s="5082"/>
      <c r="AX44" s="5082"/>
      <c r="AY44" s="5082"/>
      <c r="AZ44" s="5082"/>
      <c r="BA44" s="5148"/>
      <c r="BB44" s="3684"/>
      <c r="BC44" s="3684">
        <v>96222.8</v>
      </c>
      <c r="BD44" s="5148"/>
      <c r="BE44" s="5148"/>
      <c r="BF44" s="5148"/>
      <c r="BG44" s="5148"/>
      <c r="BH44" s="3684">
        <f>119000+4040.8</f>
        <v>123040.8</v>
      </c>
      <c r="BI44" s="3684"/>
      <c r="BJ44" s="3684"/>
      <c r="BK44" s="3684"/>
      <c r="BL44" s="3684"/>
      <c r="BM44" s="3684"/>
      <c r="BN44" s="3684"/>
      <c r="BO44" s="5148"/>
      <c r="BP44" s="5148"/>
      <c r="BQ44" s="5162">
        <v>96222.8</v>
      </c>
      <c r="BR44" s="3684"/>
      <c r="BS44" s="3684"/>
      <c r="BT44" s="3684"/>
      <c r="BU44" s="3684"/>
      <c r="BV44" s="3684">
        <f>119000+4040.8</f>
        <v>123040.8</v>
      </c>
      <c r="BW44" s="5148"/>
      <c r="BX44" s="5148"/>
      <c r="BY44" s="5148"/>
      <c r="BZ44" s="5148"/>
      <c r="CA44" s="5148"/>
      <c r="CB44" s="5148"/>
      <c r="CC44" s="3662"/>
      <c r="CD44" s="3662"/>
      <c r="CE44" s="5170"/>
      <c r="CF44" s="5170"/>
      <c r="CG44" s="5170"/>
      <c r="CH44" s="5170"/>
    </row>
    <row r="45" s="4973" customFormat="1" ht="31" spans="1:86">
      <c r="A45" s="3057">
        <v>6</v>
      </c>
      <c r="B45" s="3057" t="s">
        <v>173</v>
      </c>
      <c r="C45" s="3057">
        <v>43809</v>
      </c>
      <c r="D45" s="1125" t="s">
        <v>190</v>
      </c>
      <c r="E45" s="3812" t="s">
        <v>113</v>
      </c>
      <c r="F45" s="5056" t="s">
        <v>191</v>
      </c>
      <c r="G45" s="5056" t="s">
        <v>192</v>
      </c>
      <c r="H45" s="3057" t="s">
        <v>193</v>
      </c>
      <c r="I45" s="5070"/>
      <c r="J45" s="5056" t="s">
        <v>194</v>
      </c>
      <c r="K45" s="3057">
        <v>29423.2</v>
      </c>
      <c r="L45" s="5056" t="s">
        <v>195</v>
      </c>
      <c r="M45" s="3057">
        <f>SUM(N45:AA48)</f>
        <v>353078.4</v>
      </c>
      <c r="N45" s="5083">
        <v>0</v>
      </c>
      <c r="O45" s="5083">
        <v>0</v>
      </c>
      <c r="P45" s="5083">
        <v>0</v>
      </c>
      <c r="Q45" s="5083">
        <v>0</v>
      </c>
      <c r="R45" s="5083">
        <v>0</v>
      </c>
      <c r="S45" s="5083">
        <v>0</v>
      </c>
      <c r="T45" s="5094">
        <v>0</v>
      </c>
      <c r="U45" s="5083">
        <v>0</v>
      </c>
      <c r="V45" s="5083">
        <v>353078.4</v>
      </c>
      <c r="W45" s="5083">
        <v>0</v>
      </c>
      <c r="X45" s="5083">
        <v>0</v>
      </c>
      <c r="Y45" s="5083"/>
      <c r="Z45" s="5083"/>
      <c r="AA45" s="5083">
        <v>0</v>
      </c>
      <c r="AB45" s="5101"/>
      <c r="AC45" s="3057">
        <v>1</v>
      </c>
      <c r="AD45" s="5056" t="s">
        <v>196</v>
      </c>
      <c r="AE45" s="5116">
        <v>0.2</v>
      </c>
      <c r="AF45" s="3057">
        <f>M45*AE45</f>
        <v>70615.68</v>
      </c>
      <c r="AG45" s="3058">
        <f t="shared" si="3"/>
        <v>70615.68</v>
      </c>
      <c r="AH45" s="3057" t="s">
        <v>122</v>
      </c>
      <c r="AI45" s="3057">
        <v>43808</v>
      </c>
      <c r="AJ45" s="3057" t="s">
        <v>171</v>
      </c>
      <c r="AK45" s="3057" t="s">
        <v>171</v>
      </c>
      <c r="AL45" s="3057">
        <v>70615.68</v>
      </c>
      <c r="AM45" s="3057">
        <v>43839</v>
      </c>
      <c r="AN45" s="3057">
        <f t="shared" si="4"/>
        <v>70615.68</v>
      </c>
      <c r="AO45" s="3057">
        <v>44074</v>
      </c>
      <c r="AP45" s="584">
        <f t="shared" si="5"/>
        <v>0</v>
      </c>
      <c r="AQ45" s="3057"/>
      <c r="AR45" s="3058"/>
      <c r="AS45" s="5131"/>
      <c r="AT45" s="3057"/>
      <c r="AU45" s="5083">
        <f>SUM(AG45:AG48)</f>
        <v>353078.4</v>
      </c>
      <c r="AV45" s="5083">
        <f>SUM(AL45:AL48)</f>
        <v>353078.4</v>
      </c>
      <c r="AW45" s="5083">
        <f>SUM(AN45:AN48)</f>
        <v>353078.4</v>
      </c>
      <c r="AX45" s="5083">
        <f>M45-AU45</f>
        <v>0</v>
      </c>
      <c r="AY45" s="5083">
        <f>AU45-AV45</f>
        <v>0</v>
      </c>
      <c r="AZ45" s="5083">
        <f>AU45-AW45</f>
        <v>0</v>
      </c>
      <c r="BA45" s="3057"/>
      <c r="BB45" s="3057"/>
      <c r="BC45" s="3057"/>
      <c r="BD45" s="3057"/>
      <c r="BE45" s="3057"/>
      <c r="BF45" s="3057"/>
      <c r="BG45" s="3057"/>
      <c r="BH45" s="3057"/>
      <c r="BI45" s="3057">
        <v>70615.68</v>
      </c>
      <c r="BJ45" s="3057"/>
      <c r="BK45" s="3057"/>
      <c r="BL45" s="3057"/>
      <c r="BM45" s="3057"/>
      <c r="BN45" s="3057"/>
      <c r="BO45" s="3057"/>
      <c r="BP45" s="3057"/>
      <c r="BQ45" s="3057"/>
      <c r="BR45" s="3057"/>
      <c r="BS45" s="3057"/>
      <c r="BT45" s="3057"/>
      <c r="BU45" s="3057"/>
      <c r="BV45" s="3057"/>
      <c r="BW45" s="3057">
        <v>70615.68</v>
      </c>
      <c r="BX45" s="3057"/>
      <c r="BY45" s="3057"/>
      <c r="BZ45" s="3057"/>
      <c r="CA45" s="3057"/>
      <c r="CB45" s="3057"/>
      <c r="CC45" s="3058" t="s">
        <v>197</v>
      </c>
      <c r="CD45" s="3058" t="s">
        <v>154</v>
      </c>
      <c r="CE45" s="5171"/>
      <c r="CF45" s="5171"/>
      <c r="CG45" s="5171"/>
      <c r="CH45" s="5171"/>
    </row>
    <row r="46" s="4973" customFormat="1" ht="46" spans="1:86">
      <c r="A46" s="3057"/>
      <c r="B46" s="3057"/>
      <c r="C46" s="3057"/>
      <c r="D46" s="5056"/>
      <c r="E46" s="3812"/>
      <c r="F46" s="5056"/>
      <c r="G46" s="5056"/>
      <c r="H46" s="3057"/>
      <c r="I46" s="5071"/>
      <c r="J46" s="5056"/>
      <c r="K46" s="3057"/>
      <c r="L46" s="5056"/>
      <c r="M46" s="3057"/>
      <c r="N46" s="5083"/>
      <c r="O46" s="5083"/>
      <c r="P46" s="5083"/>
      <c r="Q46" s="5083"/>
      <c r="R46" s="5083"/>
      <c r="S46" s="5083"/>
      <c r="T46" s="5083"/>
      <c r="U46" s="5083"/>
      <c r="V46" s="5083"/>
      <c r="W46" s="5083"/>
      <c r="X46" s="5083"/>
      <c r="Y46" s="5083"/>
      <c r="Z46" s="5083"/>
      <c r="AA46" s="5083"/>
      <c r="AB46" s="5101"/>
      <c r="AC46" s="3057">
        <v>2</v>
      </c>
      <c r="AD46" s="1125" t="s">
        <v>198</v>
      </c>
      <c r="AE46" s="5116">
        <v>0.4</v>
      </c>
      <c r="AF46" s="3057">
        <f>AE46*M45</f>
        <v>141231.36</v>
      </c>
      <c r="AG46" s="3058">
        <f t="shared" si="3"/>
        <v>141231.36</v>
      </c>
      <c r="AH46" s="5056" t="s">
        <v>122</v>
      </c>
      <c r="AI46" s="3057">
        <v>43808</v>
      </c>
      <c r="AJ46" s="3057" t="s">
        <v>171</v>
      </c>
      <c r="AK46" s="3057" t="s">
        <v>171</v>
      </c>
      <c r="AL46" s="3057">
        <v>141231.36</v>
      </c>
      <c r="AM46" s="3057">
        <v>43839</v>
      </c>
      <c r="AN46" s="3057">
        <f t="shared" si="4"/>
        <v>141231.36</v>
      </c>
      <c r="AO46" s="3057">
        <v>44074</v>
      </c>
      <c r="AP46" s="584">
        <f t="shared" si="5"/>
        <v>0</v>
      </c>
      <c r="AQ46" s="3057"/>
      <c r="AR46" s="3058"/>
      <c r="AS46" s="5131"/>
      <c r="AT46" s="3057"/>
      <c r="AU46" s="5083"/>
      <c r="AV46" s="5083"/>
      <c r="AW46" s="5083"/>
      <c r="AX46" s="5083"/>
      <c r="AY46" s="5083"/>
      <c r="AZ46" s="5083"/>
      <c r="BA46" s="3057"/>
      <c r="BB46" s="3057"/>
      <c r="BC46" s="3057"/>
      <c r="BD46" s="3057"/>
      <c r="BE46" s="3057"/>
      <c r="BF46" s="3057"/>
      <c r="BG46" s="3057"/>
      <c r="BH46" s="3057"/>
      <c r="BI46" s="3057">
        <v>141231.36</v>
      </c>
      <c r="BJ46" s="3057"/>
      <c r="BK46" s="3057"/>
      <c r="BL46" s="3057"/>
      <c r="BM46" s="3057"/>
      <c r="BN46" s="3057"/>
      <c r="BO46" s="3057"/>
      <c r="BP46" s="3057"/>
      <c r="BQ46" s="3057"/>
      <c r="BR46" s="3057"/>
      <c r="BS46" s="3057"/>
      <c r="BT46" s="3057"/>
      <c r="BU46" s="3057"/>
      <c r="BV46" s="3057"/>
      <c r="BW46" s="3057">
        <v>141231.36</v>
      </c>
      <c r="BX46" s="3057"/>
      <c r="BY46" s="3057"/>
      <c r="BZ46" s="3057"/>
      <c r="CA46" s="3057"/>
      <c r="CB46" s="3057"/>
      <c r="CC46" s="3058"/>
      <c r="CD46" s="3058"/>
      <c r="CE46" s="5171"/>
      <c r="CF46" s="5171"/>
      <c r="CG46" s="5171"/>
      <c r="CH46" s="5171"/>
    </row>
    <row r="47" s="4973" customFormat="1" ht="46" spans="1:86">
      <c r="A47" s="3057"/>
      <c r="B47" s="3057"/>
      <c r="C47" s="3057"/>
      <c r="D47" s="5057"/>
      <c r="E47" s="3812"/>
      <c r="F47" s="5056"/>
      <c r="G47" s="5056"/>
      <c r="H47" s="3057"/>
      <c r="I47" s="5071"/>
      <c r="J47" s="5056"/>
      <c r="K47" s="3057"/>
      <c r="L47" s="5056"/>
      <c r="M47" s="3057"/>
      <c r="N47" s="5083"/>
      <c r="O47" s="5083"/>
      <c r="P47" s="5083"/>
      <c r="Q47" s="5083"/>
      <c r="R47" s="5083"/>
      <c r="S47" s="5083"/>
      <c r="T47" s="5083"/>
      <c r="U47" s="5083"/>
      <c r="V47" s="5083"/>
      <c r="W47" s="5083"/>
      <c r="X47" s="5083"/>
      <c r="Y47" s="5083"/>
      <c r="Z47" s="5083"/>
      <c r="AA47" s="5083"/>
      <c r="AB47" s="5101"/>
      <c r="AC47" s="3057">
        <v>3</v>
      </c>
      <c r="AD47" s="5056" t="s">
        <v>199</v>
      </c>
      <c r="AE47" s="5116">
        <v>0.3</v>
      </c>
      <c r="AF47" s="3057">
        <f>AE47*M45</f>
        <v>105923.52</v>
      </c>
      <c r="AG47" s="3057">
        <f t="shared" si="3"/>
        <v>105923.52</v>
      </c>
      <c r="AH47" s="1125" t="s">
        <v>122</v>
      </c>
      <c r="AI47" s="3057">
        <v>44075</v>
      </c>
      <c r="AJ47" s="3057">
        <f>SUM(BA47:BN47)</f>
        <v>105923.52</v>
      </c>
      <c r="AK47" s="3057">
        <v>44075</v>
      </c>
      <c r="AL47" s="3057">
        <v>105923.52</v>
      </c>
      <c r="AM47" s="3057">
        <v>44075</v>
      </c>
      <c r="AN47" s="3057">
        <f t="shared" si="4"/>
        <v>105923.52</v>
      </c>
      <c r="AO47" s="3057">
        <v>45169</v>
      </c>
      <c r="AP47" s="584">
        <f t="shared" si="5"/>
        <v>0</v>
      </c>
      <c r="AQ47" s="3057"/>
      <c r="AR47" s="5056"/>
      <c r="AS47" s="5056"/>
      <c r="AT47" s="3057"/>
      <c r="AU47" s="5083"/>
      <c r="AV47" s="5083"/>
      <c r="AW47" s="5083"/>
      <c r="AX47" s="5083"/>
      <c r="AY47" s="5083"/>
      <c r="AZ47" s="5083"/>
      <c r="BA47" s="3057"/>
      <c r="BB47" s="3057"/>
      <c r="BC47" s="3057"/>
      <c r="BD47" s="3057"/>
      <c r="BE47" s="3057"/>
      <c r="BF47" s="3057"/>
      <c r="BG47" s="3057"/>
      <c r="BH47" s="3057"/>
      <c r="BI47" s="3057">
        <v>105923.52</v>
      </c>
      <c r="BJ47" s="3057"/>
      <c r="BK47" s="3057"/>
      <c r="BL47" s="3057"/>
      <c r="BM47" s="3057"/>
      <c r="BN47" s="3057"/>
      <c r="BO47" s="4059"/>
      <c r="BP47" s="4059"/>
      <c r="BQ47" s="4059"/>
      <c r="BR47" s="4059"/>
      <c r="BS47" s="4059"/>
      <c r="BT47" s="4059"/>
      <c r="BU47" s="4059"/>
      <c r="BV47" s="4059"/>
      <c r="BW47" s="3057">
        <v>105923.52</v>
      </c>
      <c r="BX47" s="4059"/>
      <c r="BY47" s="4059"/>
      <c r="BZ47" s="4059"/>
      <c r="CA47" s="4059"/>
      <c r="CB47" s="4059"/>
      <c r="CC47" s="3058"/>
      <c r="CD47" s="3058"/>
      <c r="CE47" s="5171"/>
      <c r="CF47" s="5171"/>
      <c r="CG47" s="5171"/>
      <c r="CH47" s="5171"/>
    </row>
    <row r="48" s="4973" customFormat="1" ht="76" spans="1:86">
      <c r="A48" s="3057"/>
      <c r="B48" s="3057"/>
      <c r="C48" s="3057"/>
      <c r="D48" s="5056"/>
      <c r="E48" s="3812"/>
      <c r="F48" s="5056"/>
      <c r="G48" s="5056"/>
      <c r="H48" s="3057"/>
      <c r="I48" s="5072"/>
      <c r="J48" s="5056"/>
      <c r="K48" s="3057"/>
      <c r="L48" s="5056"/>
      <c r="M48" s="3057"/>
      <c r="N48" s="5083"/>
      <c r="O48" s="5083"/>
      <c r="P48" s="5083"/>
      <c r="Q48" s="5083"/>
      <c r="R48" s="5083"/>
      <c r="S48" s="5083"/>
      <c r="T48" s="5083"/>
      <c r="U48" s="5083"/>
      <c r="V48" s="5083"/>
      <c r="W48" s="5083"/>
      <c r="X48" s="5083"/>
      <c r="Y48" s="5083"/>
      <c r="Z48" s="5083"/>
      <c r="AA48" s="5083"/>
      <c r="AB48" s="5101"/>
      <c r="AC48" s="3057">
        <v>4</v>
      </c>
      <c r="AD48" s="5056" t="s">
        <v>200</v>
      </c>
      <c r="AE48" s="5116">
        <v>0.1</v>
      </c>
      <c r="AF48" s="3057">
        <f>AE48*M45</f>
        <v>35307.84</v>
      </c>
      <c r="AG48" s="3057">
        <f t="shared" si="3"/>
        <v>35307.84</v>
      </c>
      <c r="AH48" s="3057" t="s">
        <v>122</v>
      </c>
      <c r="AI48" s="3057">
        <v>44538</v>
      </c>
      <c r="AJ48" s="3057">
        <v>35307.84</v>
      </c>
      <c r="AK48" s="3057">
        <v>44538</v>
      </c>
      <c r="AL48" s="3057">
        <v>35307.84</v>
      </c>
      <c r="AM48" s="3057">
        <v>45435</v>
      </c>
      <c r="AN48" s="3057">
        <f t="shared" si="4"/>
        <v>35307.84</v>
      </c>
      <c r="AO48" s="3057">
        <v>45595</v>
      </c>
      <c r="AP48" s="584">
        <f t="shared" si="5"/>
        <v>0</v>
      </c>
      <c r="AQ48" s="3057"/>
      <c r="AR48" s="3057"/>
      <c r="AS48" s="5056"/>
      <c r="AT48" s="3057"/>
      <c r="AU48" s="5083"/>
      <c r="AV48" s="5083"/>
      <c r="AW48" s="5083"/>
      <c r="AX48" s="5083"/>
      <c r="AY48" s="5083"/>
      <c r="AZ48" s="5083"/>
      <c r="BA48" s="3057"/>
      <c r="BB48" s="3057"/>
      <c r="BC48" s="3057"/>
      <c r="BD48" s="3057"/>
      <c r="BE48" s="3057"/>
      <c r="BF48" s="3057"/>
      <c r="BG48" s="3057"/>
      <c r="BH48" s="3057"/>
      <c r="BI48" s="3057">
        <v>35307.84</v>
      </c>
      <c r="BJ48" s="3057"/>
      <c r="BK48" s="3057"/>
      <c r="BL48" s="3057"/>
      <c r="BM48" s="3057"/>
      <c r="BN48" s="3057"/>
      <c r="BO48" s="3057"/>
      <c r="BP48" s="3057"/>
      <c r="BQ48" s="3057"/>
      <c r="BR48" s="3057"/>
      <c r="BS48" s="3057"/>
      <c r="BT48" s="3057"/>
      <c r="BU48" s="3057"/>
      <c r="BV48" s="3057"/>
      <c r="BW48" s="3057">
        <v>35307.84</v>
      </c>
      <c r="BX48" s="3057"/>
      <c r="BY48" s="3057"/>
      <c r="BZ48" s="3057"/>
      <c r="CA48" s="3057"/>
      <c r="CB48" s="3057"/>
      <c r="CC48" s="3058"/>
      <c r="CD48" s="3058"/>
      <c r="CE48" s="5171">
        <f>SUBTOTAL(9,BO48:CB48)</f>
        <v>35307.84</v>
      </c>
      <c r="CF48" s="5171">
        <f>AN48-CE48</f>
        <v>0</v>
      </c>
      <c r="CG48" s="5171"/>
      <c r="CH48" s="5171"/>
    </row>
    <row r="49" s="4965" customFormat="1" ht="31" spans="1:86">
      <c r="A49" s="3524">
        <v>7</v>
      </c>
      <c r="B49" s="3812" t="s">
        <v>173</v>
      </c>
      <c r="C49" s="3524">
        <v>43809</v>
      </c>
      <c r="D49" s="1032" t="s">
        <v>201</v>
      </c>
      <c r="E49" s="3524" t="s">
        <v>113</v>
      </c>
      <c r="F49" s="3742" t="s">
        <v>202</v>
      </c>
      <c r="G49" s="3742" t="s">
        <v>203</v>
      </c>
      <c r="H49" s="3524" t="s">
        <v>31</v>
      </c>
      <c r="I49" s="5073" t="s">
        <v>204</v>
      </c>
      <c r="J49" s="5059" t="s">
        <v>194</v>
      </c>
      <c r="K49" s="3812">
        <v>29423.2</v>
      </c>
      <c r="L49" s="3742" t="s">
        <v>178</v>
      </c>
      <c r="M49" s="3812">
        <f>SUM(N49:AA51)</f>
        <v>147116</v>
      </c>
      <c r="N49" s="5084">
        <v>0</v>
      </c>
      <c r="O49" s="5084">
        <v>0</v>
      </c>
      <c r="P49" s="5084">
        <v>0</v>
      </c>
      <c r="Q49" s="5084">
        <v>0</v>
      </c>
      <c r="R49" s="5084">
        <v>0</v>
      </c>
      <c r="S49" s="5084">
        <v>0</v>
      </c>
      <c r="T49" s="5095">
        <v>0</v>
      </c>
      <c r="U49" s="5084">
        <v>147116</v>
      </c>
      <c r="V49" s="5084">
        <v>0</v>
      </c>
      <c r="W49" s="5084">
        <v>0</v>
      </c>
      <c r="X49" s="5084">
        <v>0</v>
      </c>
      <c r="Y49" s="5084"/>
      <c r="Z49" s="5084"/>
      <c r="AA49" s="5084">
        <v>0</v>
      </c>
      <c r="AB49" s="5084"/>
      <c r="AC49" s="3524">
        <v>1</v>
      </c>
      <c r="AD49" s="3742" t="s">
        <v>205</v>
      </c>
      <c r="AE49" s="5117">
        <v>0.2</v>
      </c>
      <c r="AF49" s="3524">
        <f>AE49*M49</f>
        <v>29423.2</v>
      </c>
      <c r="AG49" s="3524">
        <f t="shared" si="3"/>
        <v>29423.2</v>
      </c>
      <c r="AH49" s="5059" t="s">
        <v>206</v>
      </c>
      <c r="AI49" s="3812">
        <v>43839</v>
      </c>
      <c r="AJ49" s="3524" t="s">
        <v>171</v>
      </c>
      <c r="AK49" s="3524" t="s">
        <v>171</v>
      </c>
      <c r="AL49" s="3524">
        <v>29423.2</v>
      </c>
      <c r="AM49" s="3812">
        <v>43839</v>
      </c>
      <c r="AN49" s="3524">
        <f t="shared" si="4"/>
        <v>29423.2</v>
      </c>
      <c r="AO49" s="3812">
        <v>44074</v>
      </c>
      <c r="AP49" s="857">
        <f t="shared" si="5"/>
        <v>0</v>
      </c>
      <c r="AQ49" s="5122"/>
      <c r="AR49" s="3524"/>
      <c r="AS49" s="5137"/>
      <c r="AT49" s="5122"/>
      <c r="AU49" s="5084">
        <f>SUM(AG49:AG51)</f>
        <v>147116</v>
      </c>
      <c r="AV49" s="5084">
        <f>SUM(AL49:AL51)</f>
        <v>147116</v>
      </c>
      <c r="AW49" s="5084">
        <f>SUM(AN49:AN51)</f>
        <v>147116</v>
      </c>
      <c r="AX49" s="5084">
        <f>M49-AU49</f>
        <v>0</v>
      </c>
      <c r="AY49" s="5084">
        <f>AU49-AV49</f>
        <v>0</v>
      </c>
      <c r="AZ49" s="5084">
        <f>AV49-AW49</f>
        <v>0</v>
      </c>
      <c r="BA49" s="5146"/>
      <c r="BB49" s="3812"/>
      <c r="BC49" s="3812"/>
      <c r="BD49" s="5146"/>
      <c r="BE49" s="5146"/>
      <c r="BF49" s="5146"/>
      <c r="BG49" s="5146"/>
      <c r="BH49" s="3812">
        <v>29423.2</v>
      </c>
      <c r="BI49" s="3812"/>
      <c r="BJ49" s="3812"/>
      <c r="BK49" s="3812"/>
      <c r="BL49" s="3812"/>
      <c r="BM49" s="3812"/>
      <c r="BN49" s="3812"/>
      <c r="BO49" s="5122"/>
      <c r="BP49" s="5122"/>
      <c r="BQ49" s="5122"/>
      <c r="BR49" s="5122"/>
      <c r="BS49" s="5122"/>
      <c r="BT49" s="3524"/>
      <c r="BU49" s="5122"/>
      <c r="BV49" s="5146">
        <v>29423.2</v>
      </c>
      <c r="BW49" s="5122"/>
      <c r="BX49" s="5122"/>
      <c r="BY49" s="5122"/>
      <c r="BZ49" s="3524"/>
      <c r="CA49" s="3524"/>
      <c r="CB49" s="5122"/>
      <c r="CC49" s="3524" t="s">
        <v>197</v>
      </c>
      <c r="CD49" s="3524" t="s">
        <v>154</v>
      </c>
      <c r="CE49" s="5169"/>
      <c r="CF49" s="5169"/>
      <c r="CG49" s="5169"/>
      <c r="CH49" s="5169"/>
    </row>
    <row r="50" s="4965" customFormat="1" ht="61" spans="1:86">
      <c r="A50" s="3524"/>
      <c r="B50" s="3812"/>
      <c r="C50" s="5058"/>
      <c r="D50" s="5059"/>
      <c r="E50" s="3524"/>
      <c r="F50" s="3742"/>
      <c r="G50" s="3742"/>
      <c r="H50" s="3524"/>
      <c r="I50" s="5074"/>
      <c r="J50" s="5059"/>
      <c r="K50" s="3812"/>
      <c r="L50" s="3742"/>
      <c r="M50" s="3812"/>
      <c r="N50" s="5084"/>
      <c r="O50" s="5084"/>
      <c r="P50" s="5084"/>
      <c r="Q50" s="5084"/>
      <c r="R50" s="5084"/>
      <c r="S50" s="5084"/>
      <c r="T50" s="5084"/>
      <c r="U50" s="5084"/>
      <c r="V50" s="5084"/>
      <c r="W50" s="5084"/>
      <c r="X50" s="5084"/>
      <c r="Y50" s="5084"/>
      <c r="Z50" s="5084"/>
      <c r="AA50" s="5084"/>
      <c r="AB50" s="5084"/>
      <c r="AC50" s="3524">
        <v>2</v>
      </c>
      <c r="AD50" s="3742" t="s">
        <v>207</v>
      </c>
      <c r="AE50" s="5117">
        <v>0.6</v>
      </c>
      <c r="AF50" s="3524">
        <f>AE50*M49</f>
        <v>88269.6</v>
      </c>
      <c r="AG50" s="3812">
        <f t="shared" si="3"/>
        <v>88269.6</v>
      </c>
      <c r="AH50" s="3812" t="s">
        <v>122</v>
      </c>
      <c r="AI50" s="3812">
        <v>44089</v>
      </c>
      <c r="AJ50" s="3812">
        <f>SUM(BA50:BN50)</f>
        <v>88269.6</v>
      </c>
      <c r="AK50" s="3812">
        <v>44089</v>
      </c>
      <c r="AL50" s="3812">
        <v>88269.6</v>
      </c>
      <c r="AM50" s="3812">
        <v>44098</v>
      </c>
      <c r="AN50" s="3812">
        <f t="shared" si="4"/>
        <v>88269.6</v>
      </c>
      <c r="AO50" s="3812">
        <v>45169</v>
      </c>
      <c r="AP50" s="857">
        <f t="shared" si="5"/>
        <v>0</v>
      </c>
      <c r="AQ50" s="5122"/>
      <c r="AR50" s="3524"/>
      <c r="AS50" s="5137"/>
      <c r="AT50" s="5122"/>
      <c r="AU50" s="5084"/>
      <c r="AV50" s="5084"/>
      <c r="AW50" s="5084"/>
      <c r="AX50" s="5084"/>
      <c r="AY50" s="5084"/>
      <c r="AZ50" s="5084"/>
      <c r="BA50" s="5146"/>
      <c r="BB50" s="3812"/>
      <c r="BC50" s="3812"/>
      <c r="BD50" s="5146"/>
      <c r="BE50" s="5146"/>
      <c r="BF50" s="5146"/>
      <c r="BG50" s="5146"/>
      <c r="BH50" s="3812">
        <v>88269.6</v>
      </c>
      <c r="BI50" s="3812"/>
      <c r="BJ50" s="3812"/>
      <c r="BK50" s="3812"/>
      <c r="BL50" s="3812"/>
      <c r="BM50" s="3812"/>
      <c r="BN50" s="3812"/>
      <c r="BO50" s="5160"/>
      <c r="BP50" s="5160"/>
      <c r="BQ50" s="5160"/>
      <c r="BR50" s="5160"/>
      <c r="BS50" s="5160"/>
      <c r="BT50" s="5123"/>
      <c r="BU50" s="5160"/>
      <c r="BV50" s="5146">
        <v>88269.6</v>
      </c>
      <c r="BW50" s="5160"/>
      <c r="BX50" s="5160"/>
      <c r="BY50" s="5160"/>
      <c r="BZ50" s="5123"/>
      <c r="CA50" s="5123"/>
      <c r="CB50" s="5160"/>
      <c r="CC50" s="3524"/>
      <c r="CD50" s="3524"/>
      <c r="CE50" s="5169"/>
      <c r="CF50" s="5169"/>
      <c r="CG50" s="5169"/>
      <c r="CH50" s="5169"/>
    </row>
    <row r="51" s="4965" customFormat="1" ht="61" spans="1:86">
      <c r="A51" s="3524"/>
      <c r="B51" s="3812"/>
      <c r="C51" s="3524"/>
      <c r="D51" s="5059"/>
      <c r="E51" s="3524"/>
      <c r="F51" s="3742"/>
      <c r="G51" s="3742"/>
      <c r="H51" s="3524"/>
      <c r="I51" s="5075"/>
      <c r="J51" s="5059"/>
      <c r="K51" s="3812"/>
      <c r="L51" s="3742"/>
      <c r="M51" s="3812"/>
      <c r="N51" s="5084"/>
      <c r="O51" s="5084"/>
      <c r="P51" s="5084"/>
      <c r="Q51" s="5084"/>
      <c r="R51" s="5084"/>
      <c r="S51" s="5084"/>
      <c r="T51" s="5084"/>
      <c r="U51" s="5084"/>
      <c r="V51" s="5084"/>
      <c r="W51" s="5084"/>
      <c r="X51" s="5084"/>
      <c r="Y51" s="5084"/>
      <c r="Z51" s="5084"/>
      <c r="AA51" s="5084"/>
      <c r="AB51" s="5084"/>
      <c r="AC51" s="3524">
        <v>3</v>
      </c>
      <c r="AD51" s="3742" t="s">
        <v>208</v>
      </c>
      <c r="AE51" s="5117">
        <v>0.2</v>
      </c>
      <c r="AF51" s="3524">
        <f>AE51*M49</f>
        <v>29423.2</v>
      </c>
      <c r="AG51" s="3812">
        <f t="shared" si="3"/>
        <v>29423.2</v>
      </c>
      <c r="AH51" s="3812" t="s">
        <v>122</v>
      </c>
      <c r="AI51" s="3812">
        <v>44880</v>
      </c>
      <c r="AJ51" s="3524">
        <v>29423.2</v>
      </c>
      <c r="AK51" s="3524">
        <v>44880</v>
      </c>
      <c r="AL51" s="3812">
        <v>29423.2</v>
      </c>
      <c r="AM51" s="3812">
        <v>45904</v>
      </c>
      <c r="AN51" s="4813">
        <f t="shared" si="4"/>
        <v>29423.2</v>
      </c>
      <c r="AO51" s="4813">
        <v>46021</v>
      </c>
      <c r="AP51" s="857">
        <f t="shared" si="5"/>
        <v>0</v>
      </c>
      <c r="AQ51" s="5135" t="s">
        <v>209</v>
      </c>
      <c r="AR51" s="3524"/>
      <c r="AS51" s="5137"/>
      <c r="AT51" s="5122"/>
      <c r="AU51" s="5084"/>
      <c r="AV51" s="5084"/>
      <c r="AW51" s="5084"/>
      <c r="AX51" s="5084"/>
      <c r="AY51" s="5084"/>
      <c r="AZ51" s="5084"/>
      <c r="BA51" s="5146"/>
      <c r="BB51" s="3812"/>
      <c r="BC51" s="3812"/>
      <c r="BD51" s="5146"/>
      <c r="BE51" s="5146"/>
      <c r="BF51" s="5146"/>
      <c r="BG51" s="5146"/>
      <c r="BH51" s="3812">
        <v>29423.2</v>
      </c>
      <c r="BI51" s="3812"/>
      <c r="BJ51" s="3812"/>
      <c r="BK51" s="3812"/>
      <c r="BL51" s="3812"/>
      <c r="BM51" s="3812"/>
      <c r="BN51" s="3812"/>
      <c r="BO51" s="5122"/>
      <c r="BP51" s="5122"/>
      <c r="BQ51" s="5122"/>
      <c r="BR51" s="5122"/>
      <c r="BS51" s="5122"/>
      <c r="BT51" s="3524"/>
      <c r="BU51" s="5122"/>
      <c r="BV51" s="5146">
        <v>29423.2</v>
      </c>
      <c r="BW51" s="5122"/>
      <c r="BX51" s="5122"/>
      <c r="BY51" s="5122"/>
      <c r="BZ51" s="3524"/>
      <c r="CA51" s="3524"/>
      <c r="CB51" s="5122"/>
      <c r="CC51" s="3524"/>
      <c r="CD51" s="3524"/>
      <c r="CE51" s="5169"/>
      <c r="CF51" s="5169"/>
      <c r="CG51" s="5169"/>
      <c r="CH51" s="5169"/>
    </row>
    <row r="52" s="4972" customFormat="1" ht="39.15" customHeight="1" spans="1:86">
      <c r="A52" s="3662">
        <v>8</v>
      </c>
      <c r="B52" s="3684" t="s">
        <v>173</v>
      </c>
      <c r="C52" s="3662">
        <v>43929</v>
      </c>
      <c r="D52" s="5060" t="s">
        <v>210</v>
      </c>
      <c r="E52" s="5053" t="s">
        <v>211</v>
      </c>
      <c r="F52" s="5053" t="s">
        <v>212</v>
      </c>
      <c r="G52" s="5053" t="s">
        <v>213</v>
      </c>
      <c r="H52" s="3662" t="s">
        <v>214</v>
      </c>
      <c r="I52" s="3744"/>
      <c r="J52" s="5060" t="s">
        <v>215</v>
      </c>
      <c r="K52" s="3684">
        <v>87017.49</v>
      </c>
      <c r="L52" s="3662" t="s">
        <v>171</v>
      </c>
      <c r="M52" s="3684">
        <f>SUM(N52:AA55)</f>
        <v>220000</v>
      </c>
      <c r="N52" s="5085"/>
      <c r="O52" s="5085"/>
      <c r="P52" s="5085"/>
      <c r="Q52" s="5085"/>
      <c r="R52" s="5085"/>
      <c r="S52" s="5085"/>
      <c r="T52" s="5085"/>
      <c r="U52" s="5085"/>
      <c r="V52" s="5085"/>
      <c r="W52" s="5085"/>
      <c r="X52" s="5085">
        <v>0</v>
      </c>
      <c r="Y52" s="5085"/>
      <c r="Z52" s="5085"/>
      <c r="AA52" s="5085">
        <v>220000</v>
      </c>
      <c r="AB52" s="5085"/>
      <c r="AC52" s="3662">
        <v>1</v>
      </c>
      <c r="AD52" s="5053" t="s">
        <v>216</v>
      </c>
      <c r="AE52" s="5115">
        <v>0.15</v>
      </c>
      <c r="AF52" s="3662">
        <f>AE52*M52</f>
        <v>33000</v>
      </c>
      <c r="AG52" s="3662">
        <f t="shared" si="3"/>
        <v>33000</v>
      </c>
      <c r="AH52" s="3662" t="s">
        <v>206</v>
      </c>
      <c r="AI52" s="3662">
        <v>43931</v>
      </c>
      <c r="AJ52" s="3662" t="s">
        <v>171</v>
      </c>
      <c r="AK52" s="3662" t="s">
        <v>171</v>
      </c>
      <c r="AL52" s="3662">
        <v>33000</v>
      </c>
      <c r="AM52" s="3662">
        <v>43931</v>
      </c>
      <c r="AN52" s="3662">
        <f t="shared" si="4"/>
        <v>33000</v>
      </c>
      <c r="AO52" s="3662">
        <v>43934</v>
      </c>
      <c r="AP52" s="3814">
        <f t="shared" si="5"/>
        <v>0</v>
      </c>
      <c r="AQ52" s="5127"/>
      <c r="AR52" s="3814" t="s">
        <v>128</v>
      </c>
      <c r="AS52" s="5134"/>
      <c r="AT52" s="5127"/>
      <c r="AU52" s="5085">
        <f>SUM(AG52:AG55)</f>
        <v>220000</v>
      </c>
      <c r="AV52" s="5085">
        <f>SUM(AL52:AL55)</f>
        <v>220000</v>
      </c>
      <c r="AW52" s="5085">
        <f>SUM(AN52:AN55)</f>
        <v>220000</v>
      </c>
      <c r="AX52" s="5085">
        <f>AA52-AU52</f>
        <v>0</v>
      </c>
      <c r="AY52" s="5085">
        <f>AU52-AV52</f>
        <v>0</v>
      </c>
      <c r="AZ52" s="5085">
        <f>AV52-AW52</f>
        <v>0</v>
      </c>
      <c r="BA52" s="5148"/>
      <c r="BB52" s="3684"/>
      <c r="BC52" s="3684"/>
      <c r="BD52" s="5148"/>
      <c r="BE52" s="5148"/>
      <c r="BF52" s="5148"/>
      <c r="BG52" s="5148"/>
      <c r="BH52" s="3684"/>
      <c r="BI52" s="3684"/>
      <c r="BJ52" s="3684"/>
      <c r="BK52" s="3684"/>
      <c r="BL52" s="3684"/>
      <c r="BM52" s="3684"/>
      <c r="BN52" s="3684">
        <v>33000</v>
      </c>
      <c r="BO52" s="5127"/>
      <c r="BP52" s="5127"/>
      <c r="BQ52" s="5127"/>
      <c r="BR52" s="5127"/>
      <c r="BS52" s="5127"/>
      <c r="BT52" s="5127"/>
      <c r="BU52" s="5127"/>
      <c r="BV52" s="5127"/>
      <c r="BW52" s="5127"/>
      <c r="BX52" s="5127"/>
      <c r="BY52" s="5127"/>
      <c r="BZ52" s="5127"/>
      <c r="CA52" s="5127"/>
      <c r="CB52" s="5127">
        <v>33000</v>
      </c>
      <c r="CC52" s="3662" t="s">
        <v>197</v>
      </c>
      <c r="CD52" s="3662" t="s">
        <v>154</v>
      </c>
      <c r="CE52" s="5170"/>
      <c r="CF52" s="5170"/>
      <c r="CG52" s="5170"/>
      <c r="CH52" s="5170"/>
    </row>
    <row r="53" s="4972" customFormat="1" ht="46.65" customHeight="1" spans="1:86">
      <c r="A53" s="3662"/>
      <c r="B53" s="3684"/>
      <c r="C53" s="3662"/>
      <c r="D53" s="5060"/>
      <c r="E53" s="5053"/>
      <c r="F53" s="5053"/>
      <c r="G53" s="5053"/>
      <c r="H53" s="3662"/>
      <c r="I53" s="3666"/>
      <c r="J53" s="5060"/>
      <c r="K53" s="3684"/>
      <c r="L53" s="3662"/>
      <c r="M53" s="3684"/>
      <c r="N53" s="5085"/>
      <c r="O53" s="5085"/>
      <c r="P53" s="5085"/>
      <c r="Q53" s="5085"/>
      <c r="R53" s="5085"/>
      <c r="S53" s="5085"/>
      <c r="T53" s="5085"/>
      <c r="U53" s="5085"/>
      <c r="V53" s="5085"/>
      <c r="W53" s="5085"/>
      <c r="X53" s="5085"/>
      <c r="Y53" s="5085"/>
      <c r="Z53" s="5085"/>
      <c r="AA53" s="5085"/>
      <c r="AB53" s="5085"/>
      <c r="AC53" s="3662">
        <v>2</v>
      </c>
      <c r="AD53" s="5053" t="s">
        <v>217</v>
      </c>
      <c r="AE53" s="5115">
        <v>0.23</v>
      </c>
      <c r="AF53" s="3662">
        <f>AE53*M52</f>
        <v>50600</v>
      </c>
      <c r="AG53" s="3662">
        <f t="shared" si="3"/>
        <v>51000</v>
      </c>
      <c r="AH53" s="3684" t="s">
        <v>122</v>
      </c>
      <c r="AI53" s="3684">
        <v>44168</v>
      </c>
      <c r="AJ53" s="3662">
        <f>SUM(BA53:BN53)</f>
        <v>51000</v>
      </c>
      <c r="AK53" s="3684">
        <v>44168</v>
      </c>
      <c r="AL53" s="3662">
        <v>51000</v>
      </c>
      <c r="AM53" s="3684">
        <v>44169</v>
      </c>
      <c r="AN53" s="3662">
        <f t="shared" si="4"/>
        <v>51000</v>
      </c>
      <c r="AO53" s="3684">
        <v>44186</v>
      </c>
      <c r="AP53" s="3814">
        <f t="shared" si="5"/>
        <v>0</v>
      </c>
      <c r="AQ53" s="5127"/>
      <c r="AR53" s="3662"/>
      <c r="AS53" s="5134"/>
      <c r="AT53" s="5127"/>
      <c r="AU53" s="5085"/>
      <c r="AV53" s="5085"/>
      <c r="AW53" s="5085"/>
      <c r="AX53" s="5085"/>
      <c r="AY53" s="5085"/>
      <c r="AZ53" s="5085"/>
      <c r="BA53" s="5148"/>
      <c r="BB53" s="3684"/>
      <c r="BC53" s="3684"/>
      <c r="BD53" s="5148"/>
      <c r="BE53" s="5148"/>
      <c r="BF53" s="5148"/>
      <c r="BG53" s="5148"/>
      <c r="BH53" s="3684"/>
      <c r="BI53" s="3684"/>
      <c r="BJ53" s="3684"/>
      <c r="BK53" s="3684"/>
      <c r="BL53" s="3684"/>
      <c r="BM53" s="3684"/>
      <c r="BN53" s="3684">
        <v>51000</v>
      </c>
      <c r="BO53" s="5127"/>
      <c r="BP53" s="5127"/>
      <c r="BQ53" s="5127"/>
      <c r="BR53" s="5127"/>
      <c r="BS53" s="5127"/>
      <c r="BT53" s="5127"/>
      <c r="BU53" s="5127"/>
      <c r="BV53" s="5127"/>
      <c r="BW53" s="5127"/>
      <c r="BX53" s="5127"/>
      <c r="BY53" s="5127"/>
      <c r="BZ53" s="5127"/>
      <c r="CA53" s="5127"/>
      <c r="CB53" s="3708">
        <v>51000</v>
      </c>
      <c r="CC53" s="3662"/>
      <c r="CD53" s="3662"/>
      <c r="CE53" s="5170"/>
      <c r="CF53" s="5170"/>
      <c r="CG53" s="5170"/>
      <c r="CH53" s="5170"/>
    </row>
    <row r="54" s="4972" customFormat="1" ht="52.5" customHeight="1" spans="1:86">
      <c r="A54" s="3662"/>
      <c r="B54" s="3684"/>
      <c r="C54" s="3662"/>
      <c r="D54" s="5060"/>
      <c r="E54" s="5053"/>
      <c r="F54" s="5053"/>
      <c r="G54" s="5053"/>
      <c r="H54" s="3662"/>
      <c r="I54" s="3666"/>
      <c r="J54" s="5060"/>
      <c r="K54" s="3684"/>
      <c r="L54" s="3662"/>
      <c r="M54" s="3684"/>
      <c r="N54" s="5085"/>
      <c r="O54" s="5085"/>
      <c r="P54" s="5085"/>
      <c r="Q54" s="5085"/>
      <c r="R54" s="5085"/>
      <c r="S54" s="5085"/>
      <c r="T54" s="5085"/>
      <c r="U54" s="5085"/>
      <c r="V54" s="5085"/>
      <c r="W54" s="5085"/>
      <c r="X54" s="5085"/>
      <c r="Y54" s="5085"/>
      <c r="Z54" s="5085"/>
      <c r="AA54" s="5085"/>
      <c r="AB54" s="5085"/>
      <c r="AC54" s="3662">
        <v>3</v>
      </c>
      <c r="AD54" s="5053" t="s">
        <v>218</v>
      </c>
      <c r="AE54" s="5115">
        <v>0.23</v>
      </c>
      <c r="AF54" s="3662">
        <f>AE54*M52</f>
        <v>50600</v>
      </c>
      <c r="AG54" s="3662">
        <f t="shared" si="3"/>
        <v>51000</v>
      </c>
      <c r="AH54" s="3684" t="s">
        <v>122</v>
      </c>
      <c r="AI54" s="3684">
        <v>44168</v>
      </c>
      <c r="AJ54" s="3662">
        <f>SUM(BA54:BN54)</f>
        <v>51000</v>
      </c>
      <c r="AK54" s="3684">
        <v>44168</v>
      </c>
      <c r="AL54" s="3662">
        <v>51000</v>
      </c>
      <c r="AM54" s="3684">
        <v>44169</v>
      </c>
      <c r="AN54" s="3662">
        <f t="shared" si="4"/>
        <v>51000</v>
      </c>
      <c r="AO54" s="3684">
        <v>44186</v>
      </c>
      <c r="AP54" s="3814">
        <f t="shared" si="5"/>
        <v>0</v>
      </c>
      <c r="AQ54" s="5127"/>
      <c r="AR54" s="3662"/>
      <c r="AS54" s="5134"/>
      <c r="AT54" s="5127"/>
      <c r="AU54" s="5085"/>
      <c r="AV54" s="5085"/>
      <c r="AW54" s="5085"/>
      <c r="AX54" s="5085"/>
      <c r="AY54" s="5085"/>
      <c r="AZ54" s="5085"/>
      <c r="BA54" s="5148"/>
      <c r="BB54" s="3684"/>
      <c r="BC54" s="3684"/>
      <c r="BD54" s="5148"/>
      <c r="BE54" s="5148"/>
      <c r="BF54" s="5148"/>
      <c r="BG54" s="5148"/>
      <c r="BH54" s="3684"/>
      <c r="BI54" s="3684"/>
      <c r="BJ54" s="3684"/>
      <c r="BK54" s="3684"/>
      <c r="BL54" s="3684"/>
      <c r="BM54" s="3684"/>
      <c r="BN54" s="3684">
        <v>51000</v>
      </c>
      <c r="BO54" s="5127"/>
      <c r="BP54" s="5127"/>
      <c r="BQ54" s="5127"/>
      <c r="BR54" s="5127"/>
      <c r="BS54" s="5127"/>
      <c r="BT54" s="5127"/>
      <c r="BU54" s="5127"/>
      <c r="BV54" s="5127"/>
      <c r="BW54" s="5127"/>
      <c r="BX54" s="5127"/>
      <c r="BY54" s="5127"/>
      <c r="BZ54" s="5127"/>
      <c r="CA54" s="5127"/>
      <c r="CB54" s="3708">
        <v>51000</v>
      </c>
      <c r="CC54" s="3662"/>
      <c r="CD54" s="3662"/>
      <c r="CE54" s="5170"/>
      <c r="CF54" s="5170"/>
      <c r="CG54" s="5170"/>
      <c r="CH54" s="5170"/>
    </row>
    <row r="55" s="4972" customFormat="1" ht="61" customHeight="1" spans="1:86">
      <c r="A55" s="3662"/>
      <c r="B55" s="3684"/>
      <c r="C55" s="3662"/>
      <c r="D55" s="5060"/>
      <c r="E55" s="5053"/>
      <c r="F55" s="5053"/>
      <c r="G55" s="5053"/>
      <c r="H55" s="3662"/>
      <c r="I55" s="3667"/>
      <c r="J55" s="5060"/>
      <c r="K55" s="3684"/>
      <c r="L55" s="3662"/>
      <c r="M55" s="3684"/>
      <c r="N55" s="5085"/>
      <c r="O55" s="5085"/>
      <c r="P55" s="5085"/>
      <c r="Q55" s="5085"/>
      <c r="R55" s="5085"/>
      <c r="S55" s="5085"/>
      <c r="T55" s="5085"/>
      <c r="U55" s="5085"/>
      <c r="V55" s="5085"/>
      <c r="W55" s="5085"/>
      <c r="X55" s="5085"/>
      <c r="Y55" s="5085"/>
      <c r="Z55" s="5085"/>
      <c r="AA55" s="5085"/>
      <c r="AB55" s="5085"/>
      <c r="AC55" s="3662">
        <v>4</v>
      </c>
      <c r="AD55" s="5053" t="s">
        <v>219</v>
      </c>
      <c r="AE55" s="5115">
        <v>0.39</v>
      </c>
      <c r="AF55" s="3662">
        <f>AE55*M52</f>
        <v>85800</v>
      </c>
      <c r="AG55" s="3662">
        <f t="shared" si="3"/>
        <v>85000</v>
      </c>
      <c r="AH55" s="3684" t="s">
        <v>122</v>
      </c>
      <c r="AI55" s="3684">
        <v>44168</v>
      </c>
      <c r="AJ55" s="3662">
        <f>SUM(BA55:BN55)</f>
        <v>85000</v>
      </c>
      <c r="AK55" s="3684">
        <v>44168</v>
      </c>
      <c r="AL55" s="3662">
        <v>85000</v>
      </c>
      <c r="AM55" s="3662">
        <v>44169</v>
      </c>
      <c r="AN55" s="3684">
        <f t="shared" si="4"/>
        <v>85000</v>
      </c>
      <c r="AO55" s="3662">
        <v>44232</v>
      </c>
      <c r="AP55" s="3814">
        <f t="shared" si="5"/>
        <v>0</v>
      </c>
      <c r="AQ55" s="5127"/>
      <c r="AR55" s="3662"/>
      <c r="AS55" s="5134"/>
      <c r="AT55" s="5127"/>
      <c r="AU55" s="5085"/>
      <c r="AV55" s="5085"/>
      <c r="AW55" s="5085"/>
      <c r="AX55" s="5085"/>
      <c r="AY55" s="5085"/>
      <c r="AZ55" s="5085"/>
      <c r="BA55" s="5148"/>
      <c r="BB55" s="3684"/>
      <c r="BC55" s="3684"/>
      <c r="BD55" s="5148"/>
      <c r="BE55" s="5148"/>
      <c r="BF55" s="5148"/>
      <c r="BG55" s="5148"/>
      <c r="BH55" s="3684"/>
      <c r="BI55" s="3684"/>
      <c r="BJ55" s="3684"/>
      <c r="BK55" s="3684"/>
      <c r="BL55" s="3684"/>
      <c r="BM55" s="3684"/>
      <c r="BN55" s="3684">
        <v>85000</v>
      </c>
      <c r="BO55" s="5148"/>
      <c r="BP55" s="5148"/>
      <c r="BQ55" s="5148"/>
      <c r="BR55" s="5148"/>
      <c r="BS55" s="5148"/>
      <c r="BT55" s="5148"/>
      <c r="BU55" s="5148"/>
      <c r="BV55" s="5148"/>
      <c r="BW55" s="5148"/>
      <c r="BX55" s="5148"/>
      <c r="BY55" s="5148"/>
      <c r="BZ55" s="5148"/>
      <c r="CA55" s="5148"/>
      <c r="CB55" s="5148">
        <v>85000</v>
      </c>
      <c r="CC55" s="3662"/>
      <c r="CD55" s="3662"/>
      <c r="CE55" s="5170"/>
      <c r="CF55" s="5170"/>
      <c r="CG55" s="5170"/>
      <c r="CH55" s="5170"/>
    </row>
    <row r="56" s="4972" customFormat="1" ht="45" customHeight="1" spans="1:86">
      <c r="A56" s="3662">
        <v>9</v>
      </c>
      <c r="B56" s="3684" t="s">
        <v>173</v>
      </c>
      <c r="C56" s="3662">
        <v>43929</v>
      </c>
      <c r="D56" s="5060" t="s">
        <v>220</v>
      </c>
      <c r="E56" s="5053" t="s">
        <v>221</v>
      </c>
      <c r="F56" s="5053" t="s">
        <v>222</v>
      </c>
      <c r="G56" s="5053" t="s">
        <v>223</v>
      </c>
      <c r="H56" s="3662" t="s">
        <v>214</v>
      </c>
      <c r="I56" s="3744"/>
      <c r="J56" s="5060" t="s">
        <v>215</v>
      </c>
      <c r="K56" s="3684">
        <v>87017.49</v>
      </c>
      <c r="L56" s="3662" t="s">
        <v>171</v>
      </c>
      <c r="M56" s="3684">
        <f>SUM(N56:AA59)</f>
        <v>290000</v>
      </c>
      <c r="N56" s="5052"/>
      <c r="O56" s="5052"/>
      <c r="P56" s="5052"/>
      <c r="Q56" s="5052"/>
      <c r="R56" s="5052"/>
      <c r="S56" s="5052"/>
      <c r="T56" s="5052"/>
      <c r="U56" s="5052"/>
      <c r="V56" s="5052"/>
      <c r="W56" s="5052">
        <v>0</v>
      </c>
      <c r="X56" s="5052">
        <v>0</v>
      </c>
      <c r="Y56" s="5052"/>
      <c r="Z56" s="5052"/>
      <c r="AA56" s="5102">
        <v>290000</v>
      </c>
      <c r="AB56" s="5052"/>
      <c r="AC56" s="3662">
        <v>1</v>
      </c>
      <c r="AD56" s="5053" t="s">
        <v>224</v>
      </c>
      <c r="AE56" s="5115">
        <v>0.15</v>
      </c>
      <c r="AF56" s="3662">
        <f>AE56*AA56</f>
        <v>43500</v>
      </c>
      <c r="AG56" s="3662">
        <f t="shared" si="3"/>
        <v>43500</v>
      </c>
      <c r="AH56" s="3662" t="s">
        <v>206</v>
      </c>
      <c r="AI56" s="3662">
        <v>43931</v>
      </c>
      <c r="AJ56" s="3662" t="s">
        <v>171</v>
      </c>
      <c r="AK56" s="3662" t="s">
        <v>171</v>
      </c>
      <c r="AL56" s="3662">
        <v>43500</v>
      </c>
      <c r="AM56" s="3662">
        <v>43931</v>
      </c>
      <c r="AN56" s="3662">
        <f t="shared" si="4"/>
        <v>43500</v>
      </c>
      <c r="AO56" s="3662">
        <v>43934</v>
      </c>
      <c r="AP56" s="3814">
        <f t="shared" si="5"/>
        <v>0</v>
      </c>
      <c r="AQ56" s="5127"/>
      <c r="AR56" s="3814" t="s">
        <v>128</v>
      </c>
      <c r="AS56" s="5134"/>
      <c r="AT56" s="5127"/>
      <c r="AU56" s="5052">
        <f>SUM(AG56:AG59)</f>
        <v>290000</v>
      </c>
      <c r="AV56" s="5052">
        <f>SUM(AL56:AL59)</f>
        <v>290000</v>
      </c>
      <c r="AW56" s="5052">
        <f>SUM(AN56:AN59)</f>
        <v>290000</v>
      </c>
      <c r="AX56" s="5052">
        <f>AA56-AU56</f>
        <v>0</v>
      </c>
      <c r="AY56" s="5052">
        <f>AU56-AV56</f>
        <v>0</v>
      </c>
      <c r="AZ56" s="5052">
        <f>AV56-AW56</f>
        <v>0</v>
      </c>
      <c r="BA56" s="5148"/>
      <c r="BB56" s="3684"/>
      <c r="BC56" s="3684"/>
      <c r="BD56" s="5148"/>
      <c r="BE56" s="5148"/>
      <c r="BF56" s="5148"/>
      <c r="BG56" s="5148"/>
      <c r="BH56" s="3684"/>
      <c r="BI56" s="3684"/>
      <c r="BJ56" s="3684"/>
      <c r="BK56" s="3684"/>
      <c r="BL56" s="3684"/>
      <c r="BM56" s="3684"/>
      <c r="BN56" s="3684">
        <v>43500</v>
      </c>
      <c r="BO56" s="5127"/>
      <c r="BP56" s="5127"/>
      <c r="BQ56" s="5127"/>
      <c r="BR56" s="5127"/>
      <c r="BS56" s="5127"/>
      <c r="BT56" s="5127"/>
      <c r="BU56" s="5127"/>
      <c r="BV56" s="5127"/>
      <c r="BW56" s="5127"/>
      <c r="BX56" s="5127"/>
      <c r="BY56" s="5127"/>
      <c r="BZ56" s="5127"/>
      <c r="CA56" s="5127"/>
      <c r="CB56" s="5127">
        <v>43500</v>
      </c>
      <c r="CC56" s="3662" t="s">
        <v>197</v>
      </c>
      <c r="CD56" s="3662" t="s">
        <v>154</v>
      </c>
      <c r="CE56" s="5170"/>
      <c r="CF56" s="5170"/>
      <c r="CG56" s="5170"/>
      <c r="CH56" s="5170"/>
    </row>
    <row r="57" s="4972" customFormat="1" ht="49.15" customHeight="1" spans="1:86">
      <c r="A57" s="3662"/>
      <c r="B57" s="3684"/>
      <c r="C57" s="3662"/>
      <c r="D57" s="5060"/>
      <c r="E57" s="5053"/>
      <c r="F57" s="5053"/>
      <c r="G57" s="5053"/>
      <c r="H57" s="3662"/>
      <c r="I57" s="3666"/>
      <c r="J57" s="5060"/>
      <c r="K57" s="3684"/>
      <c r="L57" s="3662"/>
      <c r="M57" s="3684"/>
      <c r="N57" s="5052"/>
      <c r="O57" s="5052"/>
      <c r="P57" s="5052"/>
      <c r="Q57" s="5052"/>
      <c r="R57" s="5052"/>
      <c r="S57" s="5052"/>
      <c r="T57" s="5052"/>
      <c r="U57" s="5052"/>
      <c r="V57" s="5052"/>
      <c r="W57" s="5052"/>
      <c r="X57" s="5052"/>
      <c r="Y57" s="5052"/>
      <c r="Z57" s="5052"/>
      <c r="AA57" s="5102"/>
      <c r="AB57" s="5052"/>
      <c r="AC57" s="3662">
        <v>2</v>
      </c>
      <c r="AD57" s="5053" t="s">
        <v>225</v>
      </c>
      <c r="AE57" s="5115">
        <f>AF57/M56</f>
        <v>0.293103448275862</v>
      </c>
      <c r="AF57" s="3684">
        <v>85000</v>
      </c>
      <c r="AG57" s="3684">
        <f t="shared" si="3"/>
        <v>85000</v>
      </c>
      <c r="AH57" s="3662" t="s">
        <v>206</v>
      </c>
      <c r="AI57" s="3684">
        <v>44020</v>
      </c>
      <c r="AJ57" s="3662" t="s">
        <v>171</v>
      </c>
      <c r="AK57" s="3662" t="s">
        <v>171</v>
      </c>
      <c r="AL57" s="3684">
        <v>85000</v>
      </c>
      <c r="AM57" s="3684">
        <v>44020</v>
      </c>
      <c r="AN57" s="3684">
        <f t="shared" si="4"/>
        <v>85000</v>
      </c>
      <c r="AO57" s="3684">
        <v>44140</v>
      </c>
      <c r="AP57" s="3814">
        <f t="shared" si="5"/>
        <v>0</v>
      </c>
      <c r="AQ57" s="5127"/>
      <c r="AR57" s="3662"/>
      <c r="AS57" s="5134"/>
      <c r="AT57" s="5127"/>
      <c r="AU57" s="5052"/>
      <c r="AV57" s="5052"/>
      <c r="AW57" s="5052"/>
      <c r="AX57" s="5052"/>
      <c r="AY57" s="5052"/>
      <c r="AZ57" s="5052"/>
      <c r="BA57" s="5148"/>
      <c r="BB57" s="3684"/>
      <c r="BC57" s="3684"/>
      <c r="BD57" s="5148"/>
      <c r="BE57" s="5148"/>
      <c r="BF57" s="5148"/>
      <c r="BG57" s="5148"/>
      <c r="BH57" s="3684"/>
      <c r="BI57" s="3684"/>
      <c r="BJ57" s="3684"/>
      <c r="BK57" s="3684"/>
      <c r="BL57" s="3684"/>
      <c r="BM57" s="3684"/>
      <c r="BN57" s="3684">
        <v>85000</v>
      </c>
      <c r="BO57" s="5127"/>
      <c r="BP57" s="5127"/>
      <c r="BQ57" s="5127"/>
      <c r="BR57" s="5127"/>
      <c r="BS57" s="5127"/>
      <c r="BT57" s="5127"/>
      <c r="BU57" s="5127"/>
      <c r="BV57" s="5127"/>
      <c r="BW57" s="5127"/>
      <c r="BX57" s="5127"/>
      <c r="BY57" s="5127"/>
      <c r="BZ57" s="5127"/>
      <c r="CA57" s="5127"/>
      <c r="CB57" s="5148">
        <v>85000</v>
      </c>
      <c r="CC57" s="3662"/>
      <c r="CD57" s="3662"/>
      <c r="CE57" s="5170"/>
      <c r="CF57" s="5170"/>
      <c r="CG57" s="5170"/>
      <c r="CH57" s="5170"/>
    </row>
    <row r="58" s="4972" customFormat="1" ht="53.35" customHeight="1" spans="1:86">
      <c r="A58" s="3662"/>
      <c r="B58" s="3684"/>
      <c r="C58" s="3662"/>
      <c r="D58" s="5060"/>
      <c r="E58" s="5053"/>
      <c r="F58" s="5053"/>
      <c r="G58" s="5053"/>
      <c r="H58" s="3662"/>
      <c r="I58" s="3666"/>
      <c r="J58" s="5060"/>
      <c r="K58" s="3684"/>
      <c r="L58" s="3662"/>
      <c r="M58" s="3684"/>
      <c r="N58" s="5052"/>
      <c r="O58" s="5052"/>
      <c r="P58" s="5052"/>
      <c r="Q58" s="5052"/>
      <c r="R58" s="5052"/>
      <c r="S58" s="5052"/>
      <c r="T58" s="5052"/>
      <c r="U58" s="5052"/>
      <c r="V58" s="5052"/>
      <c r="W58" s="5052"/>
      <c r="X58" s="5052"/>
      <c r="Y58" s="5052"/>
      <c r="Z58" s="5052"/>
      <c r="AA58" s="5102"/>
      <c r="AB58" s="5052"/>
      <c r="AC58" s="3662">
        <v>3</v>
      </c>
      <c r="AD58" s="5053" t="s">
        <v>226</v>
      </c>
      <c r="AE58" s="5115">
        <v>0.28</v>
      </c>
      <c r="AF58" s="3684">
        <v>80750</v>
      </c>
      <c r="AG58" s="3684">
        <f t="shared" si="3"/>
        <v>80750</v>
      </c>
      <c r="AH58" s="3684" t="s">
        <v>122</v>
      </c>
      <c r="AI58" s="3684">
        <v>44168</v>
      </c>
      <c r="AJ58" s="3684">
        <f>SUM(BA58:BN58)</f>
        <v>80750</v>
      </c>
      <c r="AK58" s="3684">
        <v>44168</v>
      </c>
      <c r="AL58" s="3684">
        <v>80750</v>
      </c>
      <c r="AM58" s="3662">
        <v>44169</v>
      </c>
      <c r="AN58" s="3684">
        <f t="shared" si="4"/>
        <v>80750</v>
      </c>
      <c r="AO58" s="3684">
        <v>44186</v>
      </c>
      <c r="AP58" s="3814">
        <f t="shared" si="5"/>
        <v>0</v>
      </c>
      <c r="AQ58" s="5127"/>
      <c r="AR58" s="3662"/>
      <c r="AS58" s="5134"/>
      <c r="AT58" s="5127"/>
      <c r="AU58" s="5052"/>
      <c r="AV58" s="5052"/>
      <c r="AW58" s="5052"/>
      <c r="AX58" s="5052"/>
      <c r="AY58" s="5052"/>
      <c r="AZ58" s="5052"/>
      <c r="BA58" s="5148"/>
      <c r="BB58" s="3684"/>
      <c r="BC58" s="3684"/>
      <c r="BD58" s="5148"/>
      <c r="BE58" s="5148"/>
      <c r="BF58" s="5148"/>
      <c r="BG58" s="5148"/>
      <c r="BH58" s="3684"/>
      <c r="BI58" s="3684"/>
      <c r="BJ58" s="3684"/>
      <c r="BK58" s="3684"/>
      <c r="BL58" s="3684"/>
      <c r="BM58" s="3684"/>
      <c r="BN58" s="3684">
        <v>80750</v>
      </c>
      <c r="BO58" s="5127"/>
      <c r="BP58" s="5127"/>
      <c r="BQ58" s="5127"/>
      <c r="BR58" s="5127"/>
      <c r="BS58" s="5127"/>
      <c r="BT58" s="5127"/>
      <c r="BU58" s="5127"/>
      <c r="BV58" s="5127"/>
      <c r="BW58" s="5127"/>
      <c r="BX58" s="5127"/>
      <c r="BY58" s="5127"/>
      <c r="BZ58" s="5127"/>
      <c r="CA58" s="5127"/>
      <c r="CB58" s="5148">
        <v>80750</v>
      </c>
      <c r="CC58" s="3662"/>
      <c r="CD58" s="3662"/>
      <c r="CE58" s="5170"/>
      <c r="CF58" s="5170"/>
      <c r="CG58" s="5170"/>
      <c r="CH58" s="5170"/>
    </row>
    <row r="59" s="4972" customFormat="1" ht="44.15" customHeight="1" spans="1:86">
      <c r="A59" s="3662"/>
      <c r="B59" s="3684"/>
      <c r="C59" s="3662"/>
      <c r="D59" s="5060"/>
      <c r="E59" s="5053"/>
      <c r="F59" s="5053"/>
      <c r="G59" s="5053"/>
      <c r="H59" s="3662"/>
      <c r="I59" s="3667"/>
      <c r="J59" s="5060"/>
      <c r="K59" s="3684"/>
      <c r="L59" s="3662"/>
      <c r="M59" s="3684"/>
      <c r="N59" s="5052"/>
      <c r="O59" s="5052"/>
      <c r="P59" s="5052"/>
      <c r="Q59" s="5052"/>
      <c r="R59" s="5052"/>
      <c r="S59" s="5052"/>
      <c r="T59" s="5052"/>
      <c r="U59" s="5052"/>
      <c r="V59" s="5052"/>
      <c r="W59" s="5052"/>
      <c r="X59" s="5052"/>
      <c r="Y59" s="5052"/>
      <c r="Z59" s="5052"/>
      <c r="AA59" s="5102"/>
      <c r="AB59" s="5052"/>
      <c r="AC59" s="3662">
        <v>4</v>
      </c>
      <c r="AD59" s="5053" t="s">
        <v>227</v>
      </c>
      <c r="AE59" s="5115">
        <v>0.28</v>
      </c>
      <c r="AF59" s="3662">
        <v>80750</v>
      </c>
      <c r="AG59" s="3662">
        <f t="shared" si="3"/>
        <v>80750</v>
      </c>
      <c r="AH59" s="3684" t="s">
        <v>122</v>
      </c>
      <c r="AI59" s="3684">
        <v>44168</v>
      </c>
      <c r="AJ59" s="3662">
        <f>SUM(BA59:BN59)</f>
        <v>80750</v>
      </c>
      <c r="AK59" s="3684">
        <v>44168</v>
      </c>
      <c r="AL59" s="3662">
        <v>80750</v>
      </c>
      <c r="AM59" s="3662">
        <v>44169</v>
      </c>
      <c r="AN59" s="3662">
        <f t="shared" si="4"/>
        <v>80750</v>
      </c>
      <c r="AO59" s="3662">
        <v>44186</v>
      </c>
      <c r="AP59" s="3814">
        <f t="shared" si="5"/>
        <v>0</v>
      </c>
      <c r="AQ59" s="5127"/>
      <c r="AR59" s="3662"/>
      <c r="AS59" s="5134"/>
      <c r="AT59" s="5127"/>
      <c r="AU59" s="5052"/>
      <c r="AV59" s="5052"/>
      <c r="AW59" s="5052"/>
      <c r="AX59" s="5052"/>
      <c r="AY59" s="5052"/>
      <c r="AZ59" s="5052"/>
      <c r="BA59" s="5148"/>
      <c r="BB59" s="3684"/>
      <c r="BC59" s="3684"/>
      <c r="BD59" s="5148"/>
      <c r="BE59" s="5148"/>
      <c r="BF59" s="5148"/>
      <c r="BG59" s="5148"/>
      <c r="BH59" s="3684"/>
      <c r="BI59" s="3684"/>
      <c r="BJ59" s="3684"/>
      <c r="BK59" s="3684"/>
      <c r="BL59" s="3684"/>
      <c r="BM59" s="3684"/>
      <c r="BN59" s="3684">
        <v>80750</v>
      </c>
      <c r="BO59" s="5127"/>
      <c r="BP59" s="5127"/>
      <c r="BQ59" s="5127"/>
      <c r="BR59" s="5127"/>
      <c r="BS59" s="5127"/>
      <c r="BT59" s="5127"/>
      <c r="BU59" s="5127"/>
      <c r="BV59" s="5127"/>
      <c r="BW59" s="5127"/>
      <c r="BX59" s="5127"/>
      <c r="BY59" s="5127"/>
      <c r="BZ59" s="5127"/>
      <c r="CA59" s="5127"/>
      <c r="CB59" s="5127">
        <v>80750</v>
      </c>
      <c r="CC59" s="3662"/>
      <c r="CD59" s="3662"/>
      <c r="CE59" s="5170"/>
      <c r="CF59" s="5170"/>
      <c r="CG59" s="5170"/>
      <c r="CH59" s="5170"/>
    </row>
    <row r="60" s="4972" customFormat="1" ht="36.65" customHeight="1" spans="1:86">
      <c r="A60" s="3662">
        <v>10</v>
      </c>
      <c r="B60" s="3684" t="s">
        <v>173</v>
      </c>
      <c r="C60" s="3662">
        <v>43938</v>
      </c>
      <c r="D60" s="5053" t="s">
        <v>228</v>
      </c>
      <c r="E60" s="5053" t="s">
        <v>229</v>
      </c>
      <c r="F60" s="5060" t="s">
        <v>230</v>
      </c>
      <c r="G60" s="5053" t="s">
        <v>231</v>
      </c>
      <c r="H60" s="3662" t="s">
        <v>214</v>
      </c>
      <c r="I60" s="3744"/>
      <c r="J60" s="5060" t="s">
        <v>215</v>
      </c>
      <c r="K60" s="425">
        <v>1700</v>
      </c>
      <c r="L60" s="3662" t="s">
        <v>171</v>
      </c>
      <c r="M60" s="3684">
        <f>SUM(N60:AA65)</f>
        <v>290000</v>
      </c>
      <c r="N60" s="5086"/>
      <c r="O60" s="5086"/>
      <c r="P60" s="5086"/>
      <c r="Q60" s="5086"/>
      <c r="R60" s="5086"/>
      <c r="S60" s="5086"/>
      <c r="T60" s="5086"/>
      <c r="U60" s="5086"/>
      <c r="V60" s="5086"/>
      <c r="W60" s="5086">
        <v>0</v>
      </c>
      <c r="X60" s="5086">
        <v>0</v>
      </c>
      <c r="Y60" s="5086"/>
      <c r="Z60" s="5086"/>
      <c r="AA60" s="5086">
        <v>290000</v>
      </c>
      <c r="AB60" s="5086"/>
      <c r="AC60" s="3662">
        <v>1</v>
      </c>
      <c r="AD60" s="5053" t="s">
        <v>224</v>
      </c>
      <c r="AE60" s="5115">
        <v>0.15</v>
      </c>
      <c r="AF60" s="3662">
        <f>AE60*AA60</f>
        <v>43500</v>
      </c>
      <c r="AG60" s="3662">
        <f t="shared" si="3"/>
        <v>43500</v>
      </c>
      <c r="AH60" s="3662" t="s">
        <v>206</v>
      </c>
      <c r="AI60" s="3662">
        <v>43939</v>
      </c>
      <c r="AJ60" s="3662" t="s">
        <v>171</v>
      </c>
      <c r="AK60" s="3662" t="s">
        <v>171</v>
      </c>
      <c r="AL60" s="3662">
        <v>43500</v>
      </c>
      <c r="AM60" s="3662">
        <v>43939</v>
      </c>
      <c r="AN60" s="3662">
        <f t="shared" si="4"/>
        <v>43500</v>
      </c>
      <c r="AO60" s="3662">
        <v>43945</v>
      </c>
      <c r="AP60" s="3662">
        <f t="shared" si="5"/>
        <v>0</v>
      </c>
      <c r="AQ60" s="5127"/>
      <c r="AR60" s="3814" t="s">
        <v>128</v>
      </c>
      <c r="AS60" s="5134"/>
      <c r="AT60" s="5127"/>
      <c r="AU60" s="5086">
        <f>SUM(AG60:AG65)</f>
        <v>290000</v>
      </c>
      <c r="AV60" s="5086">
        <f>SUM(AL60:AL65)</f>
        <v>290000</v>
      </c>
      <c r="AW60" s="5086">
        <f>SUM(AN60:AN65)</f>
        <v>290000</v>
      </c>
      <c r="AX60" s="5086">
        <f>M60-AU60</f>
        <v>0</v>
      </c>
      <c r="AY60" s="5086">
        <f>AU60-AV60</f>
        <v>0</v>
      </c>
      <c r="AZ60" s="5086">
        <f>AV60-AW60</f>
        <v>0</v>
      </c>
      <c r="BA60" s="5148"/>
      <c r="BB60" s="3684"/>
      <c r="BC60" s="3684"/>
      <c r="BD60" s="5148"/>
      <c r="BE60" s="5148"/>
      <c r="BF60" s="5148"/>
      <c r="BG60" s="5148"/>
      <c r="BH60" s="3684"/>
      <c r="BI60" s="3684"/>
      <c r="BJ60" s="3684"/>
      <c r="BK60" s="3684"/>
      <c r="BL60" s="3684"/>
      <c r="BM60" s="3684"/>
      <c r="BN60" s="3684">
        <v>43500</v>
      </c>
      <c r="BO60" s="5127"/>
      <c r="BP60" s="5127"/>
      <c r="BQ60" s="5127"/>
      <c r="BR60" s="5127"/>
      <c r="BS60" s="5127"/>
      <c r="BT60" s="5127"/>
      <c r="BU60" s="5127"/>
      <c r="BV60" s="5127"/>
      <c r="BW60" s="5127"/>
      <c r="BX60" s="5127"/>
      <c r="BY60" s="5127"/>
      <c r="BZ60" s="5127"/>
      <c r="CA60" s="5127"/>
      <c r="CB60" s="5127">
        <v>43500</v>
      </c>
      <c r="CC60" s="3662" t="s">
        <v>197</v>
      </c>
      <c r="CD60" s="3662" t="s">
        <v>154</v>
      </c>
      <c r="CE60" s="5170"/>
      <c r="CF60" s="5170"/>
      <c r="CG60" s="5170"/>
      <c r="CH60" s="5170"/>
    </row>
    <row r="61" s="4972" customFormat="1" ht="61" customHeight="1" spans="1:86">
      <c r="A61" s="3662"/>
      <c r="B61" s="3684"/>
      <c r="C61" s="3662"/>
      <c r="D61" s="5053"/>
      <c r="E61" s="5053"/>
      <c r="F61" s="5060"/>
      <c r="G61" s="5053"/>
      <c r="H61" s="3662"/>
      <c r="I61" s="3666"/>
      <c r="J61" s="5060"/>
      <c r="K61" s="425"/>
      <c r="L61" s="3662"/>
      <c r="M61" s="3684"/>
      <c r="N61" s="5086"/>
      <c r="O61" s="5086"/>
      <c r="P61" s="5086"/>
      <c r="Q61" s="5086"/>
      <c r="R61" s="5086"/>
      <c r="S61" s="5086"/>
      <c r="T61" s="5086"/>
      <c r="U61" s="5086"/>
      <c r="V61" s="5086"/>
      <c r="W61" s="5086"/>
      <c r="X61" s="5086"/>
      <c r="Y61" s="5086"/>
      <c r="Z61" s="5086"/>
      <c r="AA61" s="5086"/>
      <c r="AB61" s="5086"/>
      <c r="AC61" s="3662">
        <v>2</v>
      </c>
      <c r="AD61" s="5053" t="s">
        <v>232</v>
      </c>
      <c r="AE61" s="5115">
        <f>AF61/AA60</f>
        <v>0.175862068965517</v>
      </c>
      <c r="AF61" s="3662">
        <v>51000</v>
      </c>
      <c r="AG61" s="3662">
        <f t="shared" si="3"/>
        <v>51000</v>
      </c>
      <c r="AH61" s="3662" t="s">
        <v>206</v>
      </c>
      <c r="AI61" s="3662">
        <v>43987</v>
      </c>
      <c r="AJ61" s="3662" t="s">
        <v>171</v>
      </c>
      <c r="AK61" s="3662" t="s">
        <v>171</v>
      </c>
      <c r="AL61" s="3662">
        <v>51000</v>
      </c>
      <c r="AM61" s="3662">
        <v>43987</v>
      </c>
      <c r="AN61" s="3684">
        <f t="shared" si="4"/>
        <v>51000</v>
      </c>
      <c r="AO61" s="3684">
        <v>44026</v>
      </c>
      <c r="AP61" s="3662">
        <f t="shared" si="5"/>
        <v>0</v>
      </c>
      <c r="AQ61" s="5127"/>
      <c r="AR61" s="3662"/>
      <c r="AS61" s="5134"/>
      <c r="AT61" s="5127"/>
      <c r="AU61" s="5086"/>
      <c r="AV61" s="5086"/>
      <c r="AW61" s="5086"/>
      <c r="AX61" s="5086"/>
      <c r="AY61" s="5086"/>
      <c r="AZ61" s="5086"/>
      <c r="BA61" s="5148"/>
      <c r="BB61" s="3684"/>
      <c r="BC61" s="3684"/>
      <c r="BD61" s="5148"/>
      <c r="BE61" s="5148"/>
      <c r="BF61" s="5148"/>
      <c r="BG61" s="5148"/>
      <c r="BH61" s="3684"/>
      <c r="BI61" s="3684"/>
      <c r="BJ61" s="3684"/>
      <c r="BK61" s="3684"/>
      <c r="BL61" s="3684"/>
      <c r="BM61" s="3684"/>
      <c r="BN61" s="3684">
        <v>51000</v>
      </c>
      <c r="BO61" s="5127"/>
      <c r="BP61" s="5127"/>
      <c r="BQ61" s="5127"/>
      <c r="BR61" s="5127"/>
      <c r="BS61" s="5127"/>
      <c r="BT61" s="5127"/>
      <c r="BU61" s="5127"/>
      <c r="BV61" s="5127"/>
      <c r="BW61" s="5127"/>
      <c r="BX61" s="5127"/>
      <c r="BY61" s="5127"/>
      <c r="BZ61" s="5127"/>
      <c r="CA61" s="5127"/>
      <c r="CB61" s="5148">
        <v>51000</v>
      </c>
      <c r="CC61" s="3662"/>
      <c r="CD61" s="3662"/>
      <c r="CE61" s="5170"/>
      <c r="CF61" s="5170"/>
      <c r="CG61" s="5170"/>
      <c r="CH61" s="5170"/>
    </row>
    <row r="62" s="4972" customFormat="1" ht="61" customHeight="1" spans="1:86">
      <c r="A62" s="3662"/>
      <c r="B62" s="3684"/>
      <c r="C62" s="3662"/>
      <c r="D62" s="5053"/>
      <c r="E62" s="5053"/>
      <c r="F62" s="5060"/>
      <c r="G62" s="5053"/>
      <c r="H62" s="3662"/>
      <c r="I62" s="3666"/>
      <c r="J62" s="5060"/>
      <c r="K62" s="425"/>
      <c r="L62" s="3662"/>
      <c r="M62" s="3684"/>
      <c r="N62" s="5086"/>
      <c r="O62" s="5086"/>
      <c r="P62" s="5086"/>
      <c r="Q62" s="5086"/>
      <c r="R62" s="5086"/>
      <c r="S62" s="5086"/>
      <c r="T62" s="5086"/>
      <c r="U62" s="5086"/>
      <c r="V62" s="5086"/>
      <c r="W62" s="5086"/>
      <c r="X62" s="5086"/>
      <c r="Y62" s="5086"/>
      <c r="Z62" s="5086"/>
      <c r="AA62" s="5086"/>
      <c r="AB62" s="5086"/>
      <c r="AC62" s="3662">
        <v>3</v>
      </c>
      <c r="AD62" s="5053" t="s">
        <v>233</v>
      </c>
      <c r="AE62" s="5115">
        <f>AF62/AA60</f>
        <v>0.205172413793103</v>
      </c>
      <c r="AF62" s="3662">
        <v>59500</v>
      </c>
      <c r="AG62" s="3684">
        <f t="shared" si="3"/>
        <v>59500</v>
      </c>
      <c r="AH62" s="3684" t="s">
        <v>122</v>
      </c>
      <c r="AI62" s="3684">
        <v>44168</v>
      </c>
      <c r="AJ62" s="3684">
        <f>SUM(BA62:BN62)</f>
        <v>59500</v>
      </c>
      <c r="AK62" s="3684">
        <v>44168</v>
      </c>
      <c r="AL62" s="3662">
        <v>59500</v>
      </c>
      <c r="AM62" s="3662">
        <v>44169</v>
      </c>
      <c r="AN62" s="3684">
        <f t="shared" si="4"/>
        <v>59500</v>
      </c>
      <c r="AO62" s="3684">
        <v>44195</v>
      </c>
      <c r="AP62" s="3662">
        <f t="shared" si="5"/>
        <v>0</v>
      </c>
      <c r="AQ62" s="5127"/>
      <c r="AR62" s="3662"/>
      <c r="AS62" s="5134"/>
      <c r="AT62" s="5127"/>
      <c r="AU62" s="5086"/>
      <c r="AV62" s="5086"/>
      <c r="AW62" s="5086"/>
      <c r="AX62" s="5086"/>
      <c r="AY62" s="5086"/>
      <c r="AZ62" s="5086"/>
      <c r="BA62" s="5148"/>
      <c r="BB62" s="3684"/>
      <c r="BC62" s="3684"/>
      <c r="BD62" s="5148"/>
      <c r="BE62" s="5148"/>
      <c r="BF62" s="5148"/>
      <c r="BG62" s="5148"/>
      <c r="BH62" s="3684"/>
      <c r="BI62" s="3684"/>
      <c r="BJ62" s="3684"/>
      <c r="BK62" s="3684"/>
      <c r="BL62" s="3684"/>
      <c r="BM62" s="3684"/>
      <c r="BN62" s="3684">
        <v>59500</v>
      </c>
      <c r="BO62" s="5127"/>
      <c r="BP62" s="5127"/>
      <c r="BQ62" s="5127"/>
      <c r="BR62" s="5127"/>
      <c r="BS62" s="5127"/>
      <c r="BT62" s="5127"/>
      <c r="BU62" s="5127"/>
      <c r="BV62" s="5127"/>
      <c r="BW62" s="5127"/>
      <c r="BX62" s="5127"/>
      <c r="BY62" s="5127"/>
      <c r="BZ62" s="5127"/>
      <c r="CA62" s="5127"/>
      <c r="CB62" s="5164">
        <v>59500</v>
      </c>
      <c r="CC62" s="3662"/>
      <c r="CD62" s="3662"/>
      <c r="CE62" s="5170"/>
      <c r="CF62" s="5170"/>
      <c r="CG62" s="5170"/>
      <c r="CH62" s="5170"/>
    </row>
    <row r="63" s="4972" customFormat="1" ht="43.35" customHeight="1" spans="1:86">
      <c r="A63" s="3662"/>
      <c r="B63" s="3684"/>
      <c r="C63" s="3662"/>
      <c r="D63" s="5053"/>
      <c r="E63" s="5053"/>
      <c r="F63" s="5060"/>
      <c r="G63" s="5053"/>
      <c r="H63" s="3662"/>
      <c r="I63" s="3666"/>
      <c r="J63" s="5060"/>
      <c r="K63" s="425"/>
      <c r="L63" s="3662"/>
      <c r="M63" s="3684"/>
      <c r="N63" s="5086"/>
      <c r="O63" s="5086"/>
      <c r="P63" s="5086"/>
      <c r="Q63" s="5086"/>
      <c r="R63" s="5086"/>
      <c r="S63" s="5086"/>
      <c r="T63" s="5086"/>
      <c r="U63" s="5086"/>
      <c r="V63" s="5086"/>
      <c r="W63" s="5086"/>
      <c r="X63" s="5086"/>
      <c r="Y63" s="5086"/>
      <c r="Z63" s="5086"/>
      <c r="AA63" s="5086"/>
      <c r="AB63" s="5086"/>
      <c r="AC63" s="3662">
        <v>4</v>
      </c>
      <c r="AD63" s="5053" t="s">
        <v>234</v>
      </c>
      <c r="AE63" s="5115">
        <f>AF63/AA60</f>
        <v>0.293103448275862</v>
      </c>
      <c r="AF63" s="3662">
        <v>85000</v>
      </c>
      <c r="AG63" s="3684">
        <f t="shared" si="3"/>
        <v>85000</v>
      </c>
      <c r="AH63" s="3684" t="s">
        <v>122</v>
      </c>
      <c r="AI63" s="3684">
        <v>44168</v>
      </c>
      <c r="AJ63" s="3684">
        <f>SUM(BA63:BN63)</f>
        <v>85000</v>
      </c>
      <c r="AK63" s="3684">
        <v>44168</v>
      </c>
      <c r="AL63" s="3662">
        <v>85000</v>
      </c>
      <c r="AM63" s="3662">
        <v>44169</v>
      </c>
      <c r="AN63" s="3684">
        <f t="shared" si="4"/>
        <v>85000</v>
      </c>
      <c r="AO63" s="3684">
        <v>44195</v>
      </c>
      <c r="AP63" s="3662">
        <f t="shared" si="5"/>
        <v>0</v>
      </c>
      <c r="AQ63" s="5127"/>
      <c r="AR63" s="3662"/>
      <c r="AS63" s="5134"/>
      <c r="AT63" s="5127"/>
      <c r="AU63" s="5086"/>
      <c r="AV63" s="5086"/>
      <c r="AW63" s="5086"/>
      <c r="AX63" s="5086"/>
      <c r="AY63" s="5086"/>
      <c r="AZ63" s="5086"/>
      <c r="BA63" s="5148"/>
      <c r="BB63" s="3684"/>
      <c r="BC63" s="3684"/>
      <c r="BD63" s="5148"/>
      <c r="BE63" s="5148"/>
      <c r="BF63" s="5148"/>
      <c r="BG63" s="5148"/>
      <c r="BH63" s="3684"/>
      <c r="BI63" s="3684"/>
      <c r="BJ63" s="3684"/>
      <c r="BK63" s="3684"/>
      <c r="BL63" s="3684"/>
      <c r="BM63" s="3684"/>
      <c r="BN63" s="3684">
        <v>85000</v>
      </c>
      <c r="BO63" s="5127"/>
      <c r="BP63" s="5127"/>
      <c r="BQ63" s="5127"/>
      <c r="BR63" s="5127"/>
      <c r="BS63" s="5127"/>
      <c r="BT63" s="5127"/>
      <c r="BU63" s="5127"/>
      <c r="BV63" s="5127"/>
      <c r="BW63" s="5127"/>
      <c r="BX63" s="5127"/>
      <c r="BY63" s="5127"/>
      <c r="BZ63" s="5127"/>
      <c r="CA63" s="5127"/>
      <c r="CB63" s="5164">
        <v>85000</v>
      </c>
      <c r="CC63" s="3662"/>
      <c r="CD63" s="3662"/>
      <c r="CE63" s="5170"/>
      <c r="CF63" s="5170"/>
      <c r="CG63" s="5170"/>
      <c r="CH63" s="5170"/>
    </row>
    <row r="64" s="4972" customFormat="1" ht="28.35" customHeight="1" spans="1:86">
      <c r="A64" s="3662"/>
      <c r="B64" s="3684"/>
      <c r="C64" s="3662"/>
      <c r="D64" s="5053"/>
      <c r="E64" s="5053"/>
      <c r="F64" s="5060"/>
      <c r="G64" s="5053"/>
      <c r="H64" s="3662"/>
      <c r="I64" s="3666"/>
      <c r="J64" s="5060"/>
      <c r="K64" s="425"/>
      <c r="L64" s="3662"/>
      <c r="M64" s="3684"/>
      <c r="N64" s="5086"/>
      <c r="O64" s="5086"/>
      <c r="P64" s="5086"/>
      <c r="Q64" s="5086"/>
      <c r="R64" s="5086"/>
      <c r="S64" s="5086"/>
      <c r="T64" s="5086"/>
      <c r="U64" s="5086"/>
      <c r="V64" s="5086"/>
      <c r="W64" s="5086"/>
      <c r="X64" s="5086"/>
      <c r="Y64" s="5086"/>
      <c r="Z64" s="5086"/>
      <c r="AA64" s="5086"/>
      <c r="AB64" s="5086"/>
      <c r="AC64" s="3662">
        <v>5</v>
      </c>
      <c r="AD64" s="5053" t="s">
        <v>235</v>
      </c>
      <c r="AE64" s="5115">
        <f>AF64/AA60</f>
        <v>0.175862068965517</v>
      </c>
      <c r="AF64" s="3662">
        <v>51000</v>
      </c>
      <c r="AG64" s="3662">
        <f t="shared" si="3"/>
        <v>34000</v>
      </c>
      <c r="AH64" s="3662" t="s">
        <v>206</v>
      </c>
      <c r="AI64" s="3662">
        <v>43987</v>
      </c>
      <c r="AJ64" s="3662" t="s">
        <v>171</v>
      </c>
      <c r="AK64" s="3662" t="s">
        <v>171</v>
      </c>
      <c r="AL64" s="3662">
        <v>34000</v>
      </c>
      <c r="AM64" s="3662">
        <v>43987</v>
      </c>
      <c r="AN64" s="3684">
        <f t="shared" si="4"/>
        <v>34000</v>
      </c>
      <c r="AO64" s="3684">
        <v>44026</v>
      </c>
      <c r="AP64" s="3662">
        <f t="shared" si="5"/>
        <v>0</v>
      </c>
      <c r="AQ64" s="5127"/>
      <c r="AR64" s="3662"/>
      <c r="AS64" s="5134"/>
      <c r="AT64" s="5127"/>
      <c r="AU64" s="5086"/>
      <c r="AV64" s="5086"/>
      <c r="AW64" s="5086"/>
      <c r="AX64" s="5086"/>
      <c r="AY64" s="5086"/>
      <c r="AZ64" s="5086"/>
      <c r="BA64" s="5148"/>
      <c r="BB64" s="3684"/>
      <c r="BC64" s="3684"/>
      <c r="BD64" s="5148"/>
      <c r="BE64" s="5148"/>
      <c r="BF64" s="5148"/>
      <c r="BG64" s="5148"/>
      <c r="BH64" s="3684"/>
      <c r="BI64" s="3684"/>
      <c r="BJ64" s="3684"/>
      <c r="BK64" s="3684"/>
      <c r="BL64" s="3684"/>
      <c r="BM64" s="3684"/>
      <c r="BN64" s="3684">
        <v>34000</v>
      </c>
      <c r="BO64" s="5127"/>
      <c r="BP64" s="5127"/>
      <c r="BQ64" s="5127"/>
      <c r="BR64" s="5127"/>
      <c r="BS64" s="5127"/>
      <c r="BT64" s="5127"/>
      <c r="BU64" s="5127"/>
      <c r="BV64" s="5127"/>
      <c r="BW64" s="5127"/>
      <c r="BX64" s="5127"/>
      <c r="BY64" s="5127"/>
      <c r="BZ64" s="5127"/>
      <c r="CA64" s="5127"/>
      <c r="CB64" s="5148">
        <v>34000</v>
      </c>
      <c r="CC64" s="3662"/>
      <c r="CD64" s="3662"/>
      <c r="CE64" s="5170"/>
      <c r="CF64" s="5170"/>
      <c r="CG64" s="5170"/>
      <c r="CH64" s="5170"/>
    </row>
    <row r="65" s="4972" customFormat="1" ht="20.85" customHeight="1" spans="1:86">
      <c r="A65" s="3662"/>
      <c r="B65" s="3684"/>
      <c r="C65" s="3662"/>
      <c r="D65" s="5053"/>
      <c r="E65" s="5053"/>
      <c r="F65" s="5060"/>
      <c r="G65" s="5053"/>
      <c r="H65" s="3662"/>
      <c r="I65" s="3667"/>
      <c r="J65" s="5060"/>
      <c r="K65" s="425"/>
      <c r="L65" s="3662"/>
      <c r="M65" s="3684"/>
      <c r="N65" s="5086"/>
      <c r="O65" s="5086"/>
      <c r="P65" s="5086"/>
      <c r="Q65" s="5086"/>
      <c r="R65" s="5086"/>
      <c r="S65" s="5086"/>
      <c r="T65" s="5086"/>
      <c r="U65" s="5086"/>
      <c r="V65" s="5086"/>
      <c r="W65" s="5086"/>
      <c r="X65" s="5086"/>
      <c r="Y65" s="5086"/>
      <c r="Z65" s="5086"/>
      <c r="AA65" s="5086"/>
      <c r="AB65" s="5086"/>
      <c r="AC65" s="3662"/>
      <c r="AD65" s="5053"/>
      <c r="AE65" s="5115"/>
      <c r="AF65" s="3662"/>
      <c r="AG65" s="3662">
        <f t="shared" si="3"/>
        <v>17000</v>
      </c>
      <c r="AH65" s="3662" t="s">
        <v>122</v>
      </c>
      <c r="AI65" s="3684">
        <v>44168</v>
      </c>
      <c r="AJ65" s="3662"/>
      <c r="AK65" s="5127"/>
      <c r="AL65" s="3662">
        <v>17000</v>
      </c>
      <c r="AM65" s="3662">
        <v>44169</v>
      </c>
      <c r="AN65" s="3684">
        <f t="shared" si="4"/>
        <v>17000</v>
      </c>
      <c r="AO65" s="3684">
        <v>44195</v>
      </c>
      <c r="AP65" s="3662">
        <f t="shared" si="5"/>
        <v>0</v>
      </c>
      <c r="AQ65" s="5127"/>
      <c r="AR65" s="3662"/>
      <c r="AS65" s="5134"/>
      <c r="AT65" s="5127"/>
      <c r="AU65" s="5086"/>
      <c r="AV65" s="5086"/>
      <c r="AW65" s="5086"/>
      <c r="AX65" s="5086"/>
      <c r="AY65" s="5086"/>
      <c r="AZ65" s="5086"/>
      <c r="BA65" s="5148"/>
      <c r="BB65" s="3684"/>
      <c r="BC65" s="3684"/>
      <c r="BD65" s="5148"/>
      <c r="BE65" s="5148"/>
      <c r="BF65" s="5148"/>
      <c r="BG65" s="5148"/>
      <c r="BH65" s="3684"/>
      <c r="BI65" s="3684"/>
      <c r="BJ65" s="3684"/>
      <c r="BK65" s="3684"/>
      <c r="BL65" s="3684"/>
      <c r="BM65" s="3684"/>
      <c r="BN65" s="3684">
        <v>17000</v>
      </c>
      <c r="BO65" s="5268"/>
      <c r="BP65" s="5268"/>
      <c r="BQ65" s="5268"/>
      <c r="BR65" s="5268"/>
      <c r="BS65" s="5268"/>
      <c r="BT65" s="5268"/>
      <c r="BU65" s="5268"/>
      <c r="BV65" s="5268"/>
      <c r="BW65" s="5268"/>
      <c r="BX65" s="5268"/>
      <c r="BY65" s="5268"/>
      <c r="BZ65" s="5268"/>
      <c r="CA65" s="5268"/>
      <c r="CB65" s="5291">
        <v>17000</v>
      </c>
      <c r="CC65" s="3662"/>
      <c r="CD65" s="3662"/>
      <c r="CE65" s="5170"/>
      <c r="CF65" s="5170"/>
      <c r="CG65" s="5170"/>
      <c r="CH65" s="5170"/>
    </row>
    <row r="66" s="4965" customFormat="1" ht="61" customHeight="1" spans="1:86">
      <c r="A66" s="3524">
        <v>11</v>
      </c>
      <c r="B66" s="3812" t="s">
        <v>173</v>
      </c>
      <c r="C66" s="3524">
        <v>43939</v>
      </c>
      <c r="D66" s="1032" t="s">
        <v>236</v>
      </c>
      <c r="E66" s="3742" t="s">
        <v>237</v>
      </c>
      <c r="F66" s="5059" t="s">
        <v>238</v>
      </c>
      <c r="G66" s="1032" t="s">
        <v>239</v>
      </c>
      <c r="H66" s="3524" t="s">
        <v>240</v>
      </c>
      <c r="I66" s="5073" t="s">
        <v>241</v>
      </c>
      <c r="J66" s="1032" t="s">
        <v>215</v>
      </c>
      <c r="K66" s="1095" t="s">
        <v>242</v>
      </c>
      <c r="L66" s="3742" t="s">
        <v>243</v>
      </c>
      <c r="M66" s="150">
        <f>SUM(N66:AA77)</f>
        <v>4378140</v>
      </c>
      <c r="N66" s="5215"/>
      <c r="O66" s="5215"/>
      <c r="P66" s="5215">
        <v>504069</v>
      </c>
      <c r="Q66" s="5215"/>
      <c r="R66" s="5215"/>
      <c r="S66" s="5215"/>
      <c r="T66" s="5215"/>
      <c r="U66" s="5215"/>
      <c r="V66" s="5215"/>
      <c r="W66" s="5215">
        <v>0</v>
      </c>
      <c r="X66" s="5215">
        <v>0</v>
      </c>
      <c r="Y66" s="5215">
        <v>0</v>
      </c>
      <c r="Z66" s="5215"/>
      <c r="AA66" s="5215">
        <v>3874071</v>
      </c>
      <c r="AB66" s="5230" t="s">
        <v>244</v>
      </c>
      <c r="AC66" s="3524">
        <v>1</v>
      </c>
      <c r="AD66" s="1095" t="s">
        <v>245</v>
      </c>
      <c r="AE66" s="5117">
        <v>0.1</v>
      </c>
      <c r="AF66" s="3524">
        <f>AE66*M66</f>
        <v>437814</v>
      </c>
      <c r="AG66" s="3524">
        <f t="shared" si="3"/>
        <v>437814</v>
      </c>
      <c r="AH66" s="3524" t="s">
        <v>206</v>
      </c>
      <c r="AI66" s="3524">
        <v>43940</v>
      </c>
      <c r="AJ66" s="3524" t="s">
        <v>171</v>
      </c>
      <c r="AK66" s="3524" t="s">
        <v>171</v>
      </c>
      <c r="AL66" s="3524">
        <v>437814</v>
      </c>
      <c r="AM66" s="3524">
        <v>43940</v>
      </c>
      <c r="AN66" s="3524">
        <f t="shared" si="4"/>
        <v>437814</v>
      </c>
      <c r="AO66" s="3524">
        <v>43948</v>
      </c>
      <c r="AP66" s="3524">
        <f t="shared" si="5"/>
        <v>0</v>
      </c>
      <c r="AQ66" s="5122"/>
      <c r="AR66" s="3524"/>
      <c r="AS66" s="1032" t="s">
        <v>246</v>
      </c>
      <c r="AT66" s="5122"/>
      <c r="AU66" s="3662">
        <f>SUM(AG66:AG77)</f>
        <v>4424820.164</v>
      </c>
      <c r="AV66" s="3662">
        <f>SUM(AL66:AL77)</f>
        <v>4424820.167</v>
      </c>
      <c r="AW66" s="3662">
        <f>SUM(AN66:AN76)</f>
        <v>4424820.163</v>
      </c>
      <c r="AX66" s="3662">
        <f>M66-AU66</f>
        <v>-46680.1640000008</v>
      </c>
      <c r="AY66" s="3662">
        <f>AU66-AV66</f>
        <v>-0.00299999956041574</v>
      </c>
      <c r="AZ66" s="3662">
        <f>AV66-AW66</f>
        <v>0.00400000065565109</v>
      </c>
      <c r="BA66" s="5146"/>
      <c r="BB66" s="3812"/>
      <c r="BC66" s="3812">
        <v>50406.9</v>
      </c>
      <c r="BD66" s="5146"/>
      <c r="BE66" s="5146"/>
      <c r="BF66" s="5146"/>
      <c r="BG66" s="5146"/>
      <c r="BH66" s="3812"/>
      <c r="BI66" s="3812"/>
      <c r="BJ66" s="3812"/>
      <c r="BK66" s="3812"/>
      <c r="BL66" s="3812"/>
      <c r="BM66" s="5263"/>
      <c r="BN66" s="5263">
        <v>387407.1</v>
      </c>
      <c r="BO66" s="5269"/>
      <c r="BP66" s="5270"/>
      <c r="BQ66" s="5286">
        <v>50406.9</v>
      </c>
      <c r="BR66" s="5270"/>
      <c r="BS66" s="5270"/>
      <c r="BT66" s="5270"/>
      <c r="BU66" s="5270"/>
      <c r="BV66" s="5270"/>
      <c r="BW66" s="5270"/>
      <c r="BX66" s="5270"/>
      <c r="BY66" s="5270"/>
      <c r="BZ66" s="5270"/>
      <c r="CA66" s="5292"/>
      <c r="CB66" s="5293">
        <v>387407.1</v>
      </c>
      <c r="CC66" s="5167" t="s">
        <v>247</v>
      </c>
      <c r="CD66" s="3524" t="s">
        <v>154</v>
      </c>
      <c r="CE66" s="5169"/>
      <c r="CF66" s="5169"/>
      <c r="CG66" s="5169"/>
      <c r="CH66" s="5169"/>
    </row>
    <row r="67" s="4965" customFormat="1" ht="25" customHeight="1" spans="1:86">
      <c r="A67" s="3524"/>
      <c r="B67" s="3812"/>
      <c r="C67" s="3524"/>
      <c r="D67" s="1032"/>
      <c r="E67" s="3742"/>
      <c r="F67" s="5059"/>
      <c r="G67" s="3742"/>
      <c r="H67" s="3524"/>
      <c r="I67" s="5074"/>
      <c r="J67" s="5059"/>
      <c r="K67" s="1095"/>
      <c r="L67" s="3742"/>
      <c r="M67" s="150"/>
      <c r="N67" s="5215"/>
      <c r="O67" s="5215"/>
      <c r="P67" s="5215"/>
      <c r="Q67" s="5215"/>
      <c r="R67" s="5215"/>
      <c r="S67" s="5215"/>
      <c r="T67" s="5215"/>
      <c r="U67" s="5215"/>
      <c r="V67" s="5215"/>
      <c r="W67" s="5215"/>
      <c r="X67" s="5215"/>
      <c r="Y67" s="5215"/>
      <c r="Z67" s="5215"/>
      <c r="AA67" s="5215"/>
      <c r="AB67" s="5230"/>
      <c r="AC67" s="3524" t="s">
        <v>248</v>
      </c>
      <c r="AD67" s="5105" t="s">
        <v>249</v>
      </c>
      <c r="AE67" s="5117">
        <v>0.5</v>
      </c>
      <c r="AF67" s="3524">
        <f>M66*AE67</f>
        <v>2189070</v>
      </c>
      <c r="AG67" s="3524">
        <f t="shared" si="3"/>
        <v>1195615.935</v>
      </c>
      <c r="AH67" s="3524" t="s">
        <v>206</v>
      </c>
      <c r="AI67" s="3812">
        <v>44041</v>
      </c>
      <c r="AJ67" s="3524" t="s">
        <v>171</v>
      </c>
      <c r="AK67" s="3524" t="s">
        <v>171</v>
      </c>
      <c r="AL67" s="3524">
        <v>1195615.935</v>
      </c>
      <c r="AM67" s="3812">
        <v>44041</v>
      </c>
      <c r="AN67" s="3812">
        <f t="shared" si="4"/>
        <v>195615.935</v>
      </c>
      <c r="AO67" s="3812">
        <v>44587</v>
      </c>
      <c r="AP67" s="3524">
        <f>AG67-AN68</f>
        <v>695615.935</v>
      </c>
      <c r="AQ67" s="857" t="s">
        <v>250</v>
      </c>
      <c r="AR67" s="3524"/>
      <c r="AS67" s="3742"/>
      <c r="AT67" s="5122"/>
      <c r="AU67" s="3662"/>
      <c r="AV67" s="3662"/>
      <c r="AW67" s="3662"/>
      <c r="AX67" s="3662"/>
      <c r="AY67" s="3662"/>
      <c r="AZ67" s="3662"/>
      <c r="BA67" s="5146"/>
      <c r="BB67" s="3812"/>
      <c r="BC67" s="3812">
        <f>93683.57*3*0.5</f>
        <v>140525.355</v>
      </c>
      <c r="BD67" s="5146"/>
      <c r="BE67" s="5146"/>
      <c r="BF67" s="5146"/>
      <c r="BG67" s="5146"/>
      <c r="BH67" s="3812"/>
      <c r="BI67" s="3812"/>
      <c r="BJ67" s="3812"/>
      <c r="BK67" s="3812"/>
      <c r="BL67" s="3812"/>
      <c r="BM67" s="5263"/>
      <c r="BN67" s="5263">
        <f>93683.57*18*0.5+42387.69*10*0.5</f>
        <v>1055090.58</v>
      </c>
      <c r="BO67" s="5271"/>
      <c r="BP67" s="5160"/>
      <c r="BQ67" s="3812">
        <f>140525.355-60000-50000</f>
        <v>30525.355</v>
      </c>
      <c r="BR67" s="5160"/>
      <c r="BS67" s="5160"/>
      <c r="BT67" s="5160"/>
      <c r="BU67" s="5160"/>
      <c r="BV67" s="5160"/>
      <c r="BW67" s="5160"/>
      <c r="BX67" s="5160"/>
      <c r="BY67" s="5160"/>
      <c r="BZ67" s="5160"/>
      <c r="CA67" s="5294"/>
      <c r="CB67" s="5282">
        <f>1055090.58-440000-450000</f>
        <v>165090.58</v>
      </c>
      <c r="CC67" s="5167"/>
      <c r="CD67" s="3524"/>
      <c r="CE67" s="5169"/>
      <c r="CF67" s="5169"/>
      <c r="CG67" s="5169"/>
      <c r="CH67" s="5169"/>
    </row>
    <row r="68" s="4965" customFormat="1" ht="29.15" customHeight="1" spans="1:86">
      <c r="A68" s="3524"/>
      <c r="B68" s="3812"/>
      <c r="C68" s="3524"/>
      <c r="D68" s="1032"/>
      <c r="E68" s="3742"/>
      <c r="F68" s="5059"/>
      <c r="G68" s="3742"/>
      <c r="H68" s="3524"/>
      <c r="I68" s="5074"/>
      <c r="J68" s="5059"/>
      <c r="K68" s="1095"/>
      <c r="L68" s="3742"/>
      <c r="M68" s="150"/>
      <c r="N68" s="5215"/>
      <c r="O68" s="5215"/>
      <c r="P68" s="5215"/>
      <c r="Q68" s="5215"/>
      <c r="R68" s="5215"/>
      <c r="S68" s="5215"/>
      <c r="T68" s="5215"/>
      <c r="U68" s="5215"/>
      <c r="V68" s="5215"/>
      <c r="W68" s="5215"/>
      <c r="X68" s="5215"/>
      <c r="Y68" s="5215"/>
      <c r="Z68" s="5215"/>
      <c r="AA68" s="5215"/>
      <c r="AB68" s="5230"/>
      <c r="AC68" s="3524"/>
      <c r="AD68" s="5105"/>
      <c r="AE68" s="5117"/>
      <c r="AF68" s="3524"/>
      <c r="AG68" s="3524"/>
      <c r="AH68" s="3524"/>
      <c r="AI68" s="3812"/>
      <c r="AJ68" s="3524"/>
      <c r="AK68" s="3524"/>
      <c r="AL68" s="3524"/>
      <c r="AM68" s="3812"/>
      <c r="AN68" s="3812">
        <v>500000</v>
      </c>
      <c r="AO68" s="3812">
        <v>44175</v>
      </c>
      <c r="AP68" s="3524"/>
      <c r="AQ68" s="5122"/>
      <c r="AR68" s="3524"/>
      <c r="AS68" s="3742"/>
      <c r="AT68" s="5122"/>
      <c r="AU68" s="3662"/>
      <c r="AV68" s="3662"/>
      <c r="AW68" s="3662"/>
      <c r="AX68" s="3662"/>
      <c r="AY68" s="3662"/>
      <c r="AZ68" s="3662"/>
      <c r="BA68" s="5146"/>
      <c r="BB68" s="3812"/>
      <c r="BC68" s="3812"/>
      <c r="BD68" s="5146"/>
      <c r="BE68" s="5146"/>
      <c r="BF68" s="5146"/>
      <c r="BG68" s="5146"/>
      <c r="BH68" s="3812"/>
      <c r="BI68" s="3812"/>
      <c r="BJ68" s="3812"/>
      <c r="BK68" s="3812"/>
      <c r="BL68" s="3812"/>
      <c r="BM68" s="5263"/>
      <c r="BN68" s="5263"/>
      <c r="BO68" s="5272"/>
      <c r="BP68" s="5122"/>
      <c r="BQ68" s="3812">
        <v>60000</v>
      </c>
      <c r="BR68" s="5122"/>
      <c r="BS68" s="5122"/>
      <c r="BT68" s="5122"/>
      <c r="BU68" s="5122"/>
      <c r="BV68" s="5122"/>
      <c r="BW68" s="5122"/>
      <c r="BX68" s="5122"/>
      <c r="BY68" s="5122"/>
      <c r="BZ68" s="5122"/>
      <c r="CA68" s="5295"/>
      <c r="CB68" s="5282">
        <v>440000</v>
      </c>
      <c r="CC68" s="5167"/>
      <c r="CD68" s="3524"/>
      <c r="CE68" s="5169"/>
      <c r="CF68" s="5169"/>
      <c r="CG68" s="5169"/>
      <c r="CH68" s="5169"/>
    </row>
    <row r="69" s="4965" customFormat="1" ht="29.15" customHeight="1" spans="1:86">
      <c r="A69" s="3524"/>
      <c r="B69" s="3812"/>
      <c r="C69" s="3524"/>
      <c r="D69" s="1032"/>
      <c r="E69" s="3742"/>
      <c r="F69" s="5059"/>
      <c r="G69" s="3742"/>
      <c r="H69" s="3524"/>
      <c r="I69" s="5074"/>
      <c r="J69" s="5059"/>
      <c r="K69" s="1095"/>
      <c r="L69" s="3742"/>
      <c r="M69" s="150"/>
      <c r="N69" s="5215"/>
      <c r="O69" s="5215"/>
      <c r="P69" s="5215"/>
      <c r="Q69" s="5215"/>
      <c r="R69" s="5215"/>
      <c r="S69" s="5215"/>
      <c r="T69" s="5215"/>
      <c r="U69" s="5215"/>
      <c r="V69" s="5215"/>
      <c r="W69" s="5215"/>
      <c r="X69" s="5215"/>
      <c r="Y69" s="5215"/>
      <c r="Z69" s="5215"/>
      <c r="AA69" s="5215"/>
      <c r="AB69" s="5230"/>
      <c r="AC69" s="3524"/>
      <c r="AD69" s="5105"/>
      <c r="AE69" s="5117"/>
      <c r="AF69" s="3524"/>
      <c r="AG69" s="3524"/>
      <c r="AH69" s="3524"/>
      <c r="AI69" s="3812"/>
      <c r="AJ69" s="3524"/>
      <c r="AK69" s="3524"/>
      <c r="AL69" s="3524"/>
      <c r="AM69" s="3812"/>
      <c r="AN69" s="3812">
        <f>SUM(BO69:CB69)</f>
        <v>500000</v>
      </c>
      <c r="AO69" s="3812">
        <v>44435</v>
      </c>
      <c r="AP69" s="3524"/>
      <c r="AQ69" s="5137"/>
      <c r="AR69" s="3524"/>
      <c r="AS69" s="3742"/>
      <c r="AT69" s="5122"/>
      <c r="AU69" s="3662"/>
      <c r="AV69" s="3662"/>
      <c r="AW69" s="3662"/>
      <c r="AX69" s="3662"/>
      <c r="AY69" s="3662"/>
      <c r="AZ69" s="3662"/>
      <c r="BA69" s="5146"/>
      <c r="BB69" s="3812"/>
      <c r="BC69" s="3812"/>
      <c r="BD69" s="5146"/>
      <c r="BE69" s="5146"/>
      <c r="BF69" s="5146"/>
      <c r="BG69" s="5146"/>
      <c r="BH69" s="3812"/>
      <c r="BI69" s="3812"/>
      <c r="BJ69" s="3812"/>
      <c r="BK69" s="3812"/>
      <c r="BL69" s="3812"/>
      <c r="BM69" s="5263"/>
      <c r="BN69" s="5263"/>
      <c r="BO69" s="5273"/>
      <c r="BP69" s="5146"/>
      <c r="BQ69" s="3812">
        <v>50000</v>
      </c>
      <c r="BR69" s="5146"/>
      <c r="BS69" s="5146"/>
      <c r="BT69" s="5146"/>
      <c r="BU69" s="5146"/>
      <c r="BV69" s="5146"/>
      <c r="BW69" s="5146"/>
      <c r="BX69" s="5146"/>
      <c r="BY69" s="5146"/>
      <c r="BZ69" s="5146"/>
      <c r="CA69" s="5296"/>
      <c r="CB69" s="5282">
        <v>450000</v>
      </c>
      <c r="CC69" s="5167"/>
      <c r="CD69" s="3524"/>
      <c r="CE69" s="5169"/>
      <c r="CF69" s="5169"/>
      <c r="CG69" s="5169"/>
      <c r="CH69" s="5169"/>
    </row>
    <row r="70" s="4965" customFormat="1" ht="32.5" customHeight="1" spans="1:86">
      <c r="A70" s="3524"/>
      <c r="B70" s="3812"/>
      <c r="C70" s="3524"/>
      <c r="D70" s="1032"/>
      <c r="E70" s="3742"/>
      <c r="F70" s="5059"/>
      <c r="G70" s="3742"/>
      <c r="H70" s="3524"/>
      <c r="I70" s="5074"/>
      <c r="J70" s="5059"/>
      <c r="K70" s="1095"/>
      <c r="L70" s="3742"/>
      <c r="M70" s="150"/>
      <c r="N70" s="5215"/>
      <c r="O70" s="5215"/>
      <c r="P70" s="5215"/>
      <c r="Q70" s="5215"/>
      <c r="R70" s="5215"/>
      <c r="S70" s="5215"/>
      <c r="T70" s="5215"/>
      <c r="U70" s="5215"/>
      <c r="V70" s="5215"/>
      <c r="W70" s="5215"/>
      <c r="X70" s="5215"/>
      <c r="Y70" s="5215"/>
      <c r="Z70" s="5215"/>
      <c r="AA70" s="5215"/>
      <c r="AB70" s="5230"/>
      <c r="AC70" s="3524" t="s">
        <v>251</v>
      </c>
      <c r="AD70" s="5105" t="s">
        <v>249</v>
      </c>
      <c r="AE70" s="5117">
        <v>0.5</v>
      </c>
      <c r="AF70" s="3524"/>
      <c r="AG70" s="3524">
        <f>SUM(BA71:BN71)</f>
        <v>1016794.142</v>
      </c>
      <c r="AH70" s="3812" t="s">
        <v>122</v>
      </c>
      <c r="AI70" s="3812">
        <v>44185</v>
      </c>
      <c r="AJ70" s="3524">
        <f>SUM(BA71:BN71)</f>
        <v>1016794.142</v>
      </c>
      <c r="AK70" s="3812">
        <v>44185</v>
      </c>
      <c r="AL70" s="3812">
        <v>1016794.14</v>
      </c>
      <c r="AM70" s="3812">
        <v>44478</v>
      </c>
      <c r="AN70" s="3812">
        <v>554384.06</v>
      </c>
      <c r="AO70" s="3812">
        <v>44587</v>
      </c>
      <c r="AP70" s="3524"/>
      <c r="AQ70" s="1032" t="s">
        <v>250</v>
      </c>
      <c r="AR70" s="3524"/>
      <c r="AS70" s="3742"/>
      <c r="AT70" s="5122"/>
      <c r="AU70" s="3662"/>
      <c r="AV70" s="3662"/>
      <c r="AW70" s="3662"/>
      <c r="AX70" s="3662"/>
      <c r="AY70" s="3662"/>
      <c r="AZ70" s="3662"/>
      <c r="BA70" s="5146"/>
      <c r="BB70" s="3812"/>
      <c r="BC70" s="3812"/>
      <c r="BD70" s="5146"/>
      <c r="BE70" s="5146"/>
      <c r="BF70" s="5146"/>
      <c r="BG70" s="5146"/>
      <c r="BH70" s="3812"/>
      <c r="BI70" s="3812"/>
      <c r="BJ70" s="3812"/>
      <c r="BK70" s="3812"/>
      <c r="BL70" s="3812"/>
      <c r="BM70" s="5263"/>
      <c r="BN70" s="5263"/>
      <c r="BO70" s="5273"/>
      <c r="BP70" s="5146"/>
      <c r="BQ70" s="3812">
        <f>170245.93-BQ73</f>
        <v>121604.236</v>
      </c>
      <c r="BR70" s="5146"/>
      <c r="BS70" s="5146"/>
      <c r="BT70" s="5146"/>
      <c r="BU70" s="5146"/>
      <c r="BV70" s="5146"/>
      <c r="BW70" s="5146"/>
      <c r="BX70" s="5146"/>
      <c r="BY70" s="5146"/>
      <c r="BZ70" s="5146"/>
      <c r="CA70" s="5296"/>
      <c r="CB70" s="5282">
        <v>432779.82</v>
      </c>
      <c r="CC70" s="5167"/>
      <c r="CD70" s="3524"/>
      <c r="CE70" s="5169"/>
      <c r="CF70" s="5169"/>
      <c r="CG70" s="5169"/>
      <c r="CH70" s="5169"/>
    </row>
    <row r="71" s="4965" customFormat="1" ht="32.5" customHeight="1" spans="1:86">
      <c r="A71" s="3524"/>
      <c r="B71" s="3812"/>
      <c r="C71" s="3524"/>
      <c r="D71" s="1032"/>
      <c r="E71" s="3742"/>
      <c r="F71" s="5059"/>
      <c r="G71" s="3742"/>
      <c r="H71" s="3524"/>
      <c r="I71" s="5074"/>
      <c r="J71" s="5059"/>
      <c r="K71" s="1095"/>
      <c r="L71" s="3742"/>
      <c r="M71" s="150"/>
      <c r="N71" s="5215"/>
      <c r="O71" s="5215"/>
      <c r="P71" s="5215"/>
      <c r="Q71" s="5215"/>
      <c r="R71" s="5215"/>
      <c r="S71" s="5215"/>
      <c r="T71" s="5215"/>
      <c r="U71" s="5215"/>
      <c r="V71" s="5215"/>
      <c r="W71" s="5215"/>
      <c r="X71" s="5215"/>
      <c r="Y71" s="5215"/>
      <c r="Z71" s="5215"/>
      <c r="AA71" s="5215"/>
      <c r="AB71" s="5230"/>
      <c r="AC71" s="3524"/>
      <c r="AD71" s="5105"/>
      <c r="AE71" s="5117"/>
      <c r="AF71" s="3524"/>
      <c r="AG71" s="3524"/>
      <c r="AH71" s="3812"/>
      <c r="AI71" s="3812"/>
      <c r="AJ71" s="3524"/>
      <c r="AK71" s="3812"/>
      <c r="AL71" s="3812"/>
      <c r="AM71" s="3812"/>
      <c r="AN71" s="3812">
        <f>SUM(BO71:CB71)</f>
        <v>462410.09</v>
      </c>
      <c r="AO71" s="3812">
        <v>44677</v>
      </c>
      <c r="AP71" s="3524"/>
      <c r="AQ71" s="5122"/>
      <c r="AR71" s="3524"/>
      <c r="AS71" s="3742"/>
      <c r="AT71" s="5122"/>
      <c r="AU71" s="3662"/>
      <c r="AV71" s="3662"/>
      <c r="AW71" s="3662"/>
      <c r="AX71" s="3662"/>
      <c r="AY71" s="3662"/>
      <c r="AZ71" s="3662"/>
      <c r="BA71" s="5146"/>
      <c r="BB71" s="3812"/>
      <c r="BC71" s="3812">
        <v>121604.236</v>
      </c>
      <c r="BD71" s="5146"/>
      <c r="BE71" s="5146"/>
      <c r="BF71" s="5146"/>
      <c r="BG71" s="5146"/>
      <c r="BH71" s="3812"/>
      <c r="BI71" s="3812"/>
      <c r="BJ71" s="3812"/>
      <c r="BK71" s="3812"/>
      <c r="BL71" s="3812"/>
      <c r="BM71" s="5263"/>
      <c r="BN71" s="5263">
        <v>895189.906</v>
      </c>
      <c r="BO71" s="5273"/>
      <c r="BP71" s="5146"/>
      <c r="BQ71" s="3812"/>
      <c r="BR71" s="5146"/>
      <c r="BS71" s="5146"/>
      <c r="BT71" s="5146"/>
      <c r="BU71" s="5146"/>
      <c r="BV71" s="5146"/>
      <c r="BW71" s="5146"/>
      <c r="BX71" s="5146"/>
      <c r="BY71" s="5146"/>
      <c r="BZ71" s="5146"/>
      <c r="CA71" s="5296"/>
      <c r="CB71" s="5282">
        <v>462410.09</v>
      </c>
      <c r="CC71" s="5167"/>
      <c r="CD71" s="3524"/>
      <c r="CE71" s="5169"/>
      <c r="CF71" s="5169"/>
      <c r="CG71" s="5169"/>
      <c r="CH71" s="5169"/>
    </row>
    <row r="72" s="4965" customFormat="1" ht="61" customHeight="1" spans="1:86">
      <c r="A72" s="3524"/>
      <c r="B72" s="3812"/>
      <c r="C72" s="3524"/>
      <c r="D72" s="1032"/>
      <c r="E72" s="3742"/>
      <c r="F72" s="5059"/>
      <c r="G72" s="3742"/>
      <c r="H72" s="3524"/>
      <c r="I72" s="5074"/>
      <c r="J72" s="5059"/>
      <c r="K72" s="1095"/>
      <c r="L72" s="3742"/>
      <c r="M72" s="150"/>
      <c r="N72" s="5215"/>
      <c r="O72" s="5215"/>
      <c r="P72" s="5215"/>
      <c r="Q72" s="5215"/>
      <c r="R72" s="5215"/>
      <c r="S72" s="5215"/>
      <c r="T72" s="5215"/>
      <c r="U72" s="5215"/>
      <c r="V72" s="5215"/>
      <c r="W72" s="5215"/>
      <c r="X72" s="5215"/>
      <c r="Y72" s="5215"/>
      <c r="Z72" s="5215"/>
      <c r="AA72" s="5215"/>
      <c r="AB72" s="5230"/>
      <c r="AC72" s="3524" t="s">
        <v>252</v>
      </c>
      <c r="AD72" s="1095" t="s">
        <v>253</v>
      </c>
      <c r="AE72" s="5117">
        <v>0.2</v>
      </c>
      <c r="AF72" s="3524">
        <f>AE72*M66</f>
        <v>875628</v>
      </c>
      <c r="AG72" s="3524">
        <f>SUM(BA72:BN72)</f>
        <v>478246.374</v>
      </c>
      <c r="AH72" s="3524" t="s">
        <v>206</v>
      </c>
      <c r="AI72" s="3812">
        <v>44041</v>
      </c>
      <c r="AJ72" s="3524">
        <v>478246.37</v>
      </c>
      <c r="AK72" s="3524">
        <v>44041</v>
      </c>
      <c r="AL72" s="3524">
        <f>SUM(BF72:BS72)</f>
        <v>478246.372</v>
      </c>
      <c r="AM72" s="3812">
        <v>44041</v>
      </c>
      <c r="AN72" s="3812">
        <f>SUM(BO72:CB72)</f>
        <v>478246.37</v>
      </c>
      <c r="AO72" s="3812">
        <v>44677</v>
      </c>
      <c r="AP72" s="3524">
        <f>AG72-AN72</f>
        <v>0.00400000007357448</v>
      </c>
      <c r="AQ72" s="5122"/>
      <c r="AR72" s="3524"/>
      <c r="AS72" s="3742"/>
      <c r="AT72" s="5122"/>
      <c r="AU72" s="3662"/>
      <c r="AV72" s="3662"/>
      <c r="AW72" s="3662"/>
      <c r="AX72" s="3662"/>
      <c r="AY72" s="3662"/>
      <c r="AZ72" s="3662"/>
      <c r="BA72" s="5146"/>
      <c r="BB72" s="3812"/>
      <c r="BC72" s="3812">
        <f>93683.57*3*0.2</f>
        <v>56210.142</v>
      </c>
      <c r="BD72" s="5146"/>
      <c r="BE72" s="5146"/>
      <c r="BF72" s="5146"/>
      <c r="BG72" s="5146"/>
      <c r="BH72" s="3812"/>
      <c r="BI72" s="3812"/>
      <c r="BJ72" s="3812"/>
      <c r="BK72" s="3812"/>
      <c r="BL72" s="3812"/>
      <c r="BM72" s="5263"/>
      <c r="BN72" s="5263">
        <f>93683.57*18*0.2+42387.69*10*0.2</f>
        <v>422036.232</v>
      </c>
      <c r="BO72" s="5273"/>
      <c r="BP72" s="5146"/>
      <c r="BQ72" s="3812">
        <v>56210.14</v>
      </c>
      <c r="BR72" s="5146"/>
      <c r="BS72" s="5146"/>
      <c r="BT72" s="5146"/>
      <c r="BU72" s="5146"/>
      <c r="BV72" s="5146"/>
      <c r="BW72" s="5146"/>
      <c r="BX72" s="5146"/>
      <c r="BY72" s="5146"/>
      <c r="BZ72" s="5146"/>
      <c r="CA72" s="5296"/>
      <c r="CB72" s="5282">
        <v>422036.23</v>
      </c>
      <c r="CC72" s="5167"/>
      <c r="CD72" s="3524"/>
      <c r="CE72" s="5169"/>
      <c r="CF72" s="5169"/>
      <c r="CG72" s="5169"/>
      <c r="CH72" s="5169"/>
    </row>
    <row r="73" s="4965" customFormat="1" ht="61" customHeight="1" spans="1:86">
      <c r="A73" s="3524"/>
      <c r="B73" s="3812"/>
      <c r="C73" s="3524"/>
      <c r="D73" s="1032"/>
      <c r="E73" s="3742"/>
      <c r="F73" s="5059"/>
      <c r="G73" s="3742"/>
      <c r="H73" s="3524"/>
      <c r="I73" s="5074"/>
      <c r="J73" s="5059"/>
      <c r="K73" s="1095"/>
      <c r="L73" s="3742"/>
      <c r="M73" s="150"/>
      <c r="N73" s="5215"/>
      <c r="O73" s="5215"/>
      <c r="P73" s="5215"/>
      <c r="Q73" s="5215"/>
      <c r="R73" s="5215"/>
      <c r="S73" s="5215"/>
      <c r="T73" s="5215"/>
      <c r="U73" s="5215"/>
      <c r="V73" s="5215"/>
      <c r="W73" s="5215"/>
      <c r="X73" s="5215"/>
      <c r="Y73" s="5215"/>
      <c r="Z73" s="5215"/>
      <c r="AA73" s="5215"/>
      <c r="AB73" s="5230"/>
      <c r="AC73" s="3524" t="s">
        <v>254</v>
      </c>
      <c r="AD73" s="1095"/>
      <c r="AE73" s="5117">
        <v>0.2</v>
      </c>
      <c r="AF73" s="3524"/>
      <c r="AG73" s="3524">
        <f>SUM(BA73:BN73)</f>
        <v>406717.658</v>
      </c>
      <c r="AH73" s="3812" t="s">
        <v>122</v>
      </c>
      <c r="AI73" s="3812">
        <v>44185</v>
      </c>
      <c r="AJ73" s="3524">
        <f>SUM(BA73:BN73)</f>
        <v>406717.658</v>
      </c>
      <c r="AK73" s="3812">
        <v>44185</v>
      </c>
      <c r="AL73" s="3812">
        <v>406717.66</v>
      </c>
      <c r="AM73" s="3812">
        <v>44478</v>
      </c>
      <c r="AN73" s="3812">
        <f>SUM(BO73:CB73)</f>
        <v>406717.658</v>
      </c>
      <c r="AO73" s="3812">
        <v>44677</v>
      </c>
      <c r="AP73" s="3524"/>
      <c r="AQ73" s="5122"/>
      <c r="AR73" s="3524"/>
      <c r="AS73" s="3742"/>
      <c r="AT73" s="5122"/>
      <c r="AU73" s="3662"/>
      <c r="AV73" s="3662"/>
      <c r="AW73" s="3662"/>
      <c r="AX73" s="3662"/>
      <c r="AY73" s="3662"/>
      <c r="AZ73" s="3662"/>
      <c r="BA73" s="5146"/>
      <c r="BB73" s="3812"/>
      <c r="BC73" s="3812">
        <f>81069.49*3*0.2</f>
        <v>48641.694</v>
      </c>
      <c r="BD73" s="5146"/>
      <c r="BE73" s="5146"/>
      <c r="BF73" s="5146"/>
      <c r="BG73" s="5146"/>
      <c r="BH73" s="3812"/>
      <c r="BI73" s="3812"/>
      <c r="BJ73" s="3812"/>
      <c r="BK73" s="3812"/>
      <c r="BL73" s="3812"/>
      <c r="BM73" s="5263"/>
      <c r="BN73" s="5263">
        <f>81069.49*18*0.2+33112.9*0.2*10</f>
        <v>358075.964</v>
      </c>
      <c r="BO73" s="5273"/>
      <c r="BP73" s="5146"/>
      <c r="BQ73" s="3812">
        <f>81069.49*3*0.2</f>
        <v>48641.694</v>
      </c>
      <c r="BR73" s="5146"/>
      <c r="BS73" s="5146"/>
      <c r="BT73" s="5146"/>
      <c r="BU73" s="5146"/>
      <c r="BV73" s="5146"/>
      <c r="BW73" s="5146"/>
      <c r="BX73" s="5146"/>
      <c r="BY73" s="5146"/>
      <c r="BZ73" s="5146"/>
      <c r="CA73" s="5296"/>
      <c r="CB73" s="5282">
        <f>81069.49*18*0.2+33112.9*0.2*10</f>
        <v>358075.964</v>
      </c>
      <c r="CC73" s="5167"/>
      <c r="CD73" s="3524"/>
      <c r="CE73" s="5169"/>
      <c r="CF73" s="5169"/>
      <c r="CG73" s="5169"/>
      <c r="CH73" s="5169"/>
    </row>
    <row r="74" s="4965" customFormat="1" ht="44.25" customHeight="1" spans="1:86">
      <c r="A74" s="3524"/>
      <c r="B74" s="3812"/>
      <c r="C74" s="3524"/>
      <c r="D74" s="1032"/>
      <c r="E74" s="3742"/>
      <c r="F74" s="5059"/>
      <c r="G74" s="3742"/>
      <c r="H74" s="3524"/>
      <c r="I74" s="5074"/>
      <c r="J74" s="5059"/>
      <c r="K74" s="1095"/>
      <c r="L74" s="3742"/>
      <c r="M74" s="150"/>
      <c r="N74" s="5215"/>
      <c r="O74" s="5215"/>
      <c r="P74" s="5215"/>
      <c r="Q74" s="5215"/>
      <c r="R74" s="5215"/>
      <c r="S74" s="5215"/>
      <c r="T74" s="5215"/>
      <c r="U74" s="5215"/>
      <c r="V74" s="5215"/>
      <c r="W74" s="5215"/>
      <c r="X74" s="5215"/>
      <c r="Y74" s="5215"/>
      <c r="Z74" s="5215"/>
      <c r="AA74" s="5215"/>
      <c r="AB74" s="5230"/>
      <c r="AC74" s="4087" t="s">
        <v>255</v>
      </c>
      <c r="AD74" s="1095" t="s">
        <v>256</v>
      </c>
      <c r="AE74" s="5117">
        <v>0.1</v>
      </c>
      <c r="AF74" s="3524">
        <f>AE74*M66</f>
        <v>437814</v>
      </c>
      <c r="AG74" s="3812">
        <f>SUM(BA74:BN75)</f>
        <v>447150.035</v>
      </c>
      <c r="AH74" s="857" t="s">
        <v>122</v>
      </c>
      <c r="AI74" s="3812">
        <v>44859</v>
      </c>
      <c r="AJ74" s="3812">
        <v>447150.04</v>
      </c>
      <c r="AK74" s="3812">
        <v>44859</v>
      </c>
      <c r="AL74" s="3524">
        <v>447150.04</v>
      </c>
      <c r="AM74" s="3812">
        <v>45142</v>
      </c>
      <c r="AN74" s="3812">
        <f>SUM(BO74:CB74)</f>
        <v>200000</v>
      </c>
      <c r="AO74" s="3812">
        <v>45236</v>
      </c>
      <c r="AP74" s="3524">
        <f>AG74-AN74-AN75</f>
        <v>0.00500000006286427</v>
      </c>
      <c r="AQ74" s="857" t="s">
        <v>257</v>
      </c>
      <c r="AR74" s="3524"/>
      <c r="AS74" s="3742"/>
      <c r="AT74" s="5122"/>
      <c r="AU74" s="3662"/>
      <c r="AV74" s="3662"/>
      <c r="AW74" s="3662"/>
      <c r="AX74" s="3662"/>
      <c r="AY74" s="3662"/>
      <c r="AZ74" s="3662"/>
      <c r="BA74" s="5146"/>
      <c r="BB74" s="3812"/>
      <c r="BC74" s="857">
        <f>93683.57*3*0.1+81069.49*3*0.1+2019.02</f>
        <v>54444.938</v>
      </c>
      <c r="BD74" s="5146"/>
      <c r="BE74" s="5146"/>
      <c r="BF74" s="5146"/>
      <c r="BG74" s="5146"/>
      <c r="BH74" s="3812"/>
      <c r="BI74" s="3812"/>
      <c r="BJ74" s="3812"/>
      <c r="BK74" s="3812"/>
      <c r="BL74" s="3812"/>
      <c r="BM74" s="5263"/>
      <c r="BN74" s="5263">
        <f>93683.57*18*0.1+42387.69*0.1+81069.49*18*0.1+33112.9*0.1*10+40797.92</f>
        <v>392705.097</v>
      </c>
      <c r="BO74" s="5272"/>
      <c r="BP74" s="5122"/>
      <c r="BQ74" s="857">
        <v>22700.28</v>
      </c>
      <c r="BR74" s="5122"/>
      <c r="BS74" s="5122"/>
      <c r="BT74" s="5122"/>
      <c r="BU74" s="5122"/>
      <c r="BV74" s="3524"/>
      <c r="BW74" s="3524"/>
      <c r="BX74" s="3524"/>
      <c r="BY74" s="3524"/>
      <c r="BZ74" s="3524"/>
      <c r="CA74" s="5275"/>
      <c r="CB74" s="5282">
        <f>34142.55+143157.17</f>
        <v>177299.72</v>
      </c>
      <c r="CC74" s="5167"/>
      <c r="CD74" s="3524"/>
      <c r="CE74" s="5169"/>
      <c r="CF74" s="5169"/>
      <c r="CG74" s="5169"/>
      <c r="CH74" s="5169"/>
    </row>
    <row r="75" s="4965" customFormat="1" ht="69.15" customHeight="1" spans="1:86">
      <c r="A75" s="3524"/>
      <c r="B75" s="3812"/>
      <c r="C75" s="3524"/>
      <c r="D75" s="1032"/>
      <c r="E75" s="3742"/>
      <c r="F75" s="5059"/>
      <c r="G75" s="3742"/>
      <c r="H75" s="3524"/>
      <c r="I75" s="5074"/>
      <c r="J75" s="5059"/>
      <c r="K75" s="1095"/>
      <c r="L75" s="3742"/>
      <c r="M75" s="150"/>
      <c r="N75" s="5215"/>
      <c r="O75" s="5215"/>
      <c r="P75" s="5215"/>
      <c r="Q75" s="5215"/>
      <c r="R75" s="5215"/>
      <c r="S75" s="5215"/>
      <c r="T75" s="5215"/>
      <c r="U75" s="5215"/>
      <c r="V75" s="5215"/>
      <c r="W75" s="5215"/>
      <c r="X75" s="5215"/>
      <c r="Y75" s="5215"/>
      <c r="Z75" s="5215"/>
      <c r="AA75" s="5215"/>
      <c r="AB75" s="5230"/>
      <c r="AC75" s="4903"/>
      <c r="AD75" s="5105"/>
      <c r="AE75" s="5117"/>
      <c r="AF75" s="3524"/>
      <c r="AG75" s="3812"/>
      <c r="AH75" s="857"/>
      <c r="AI75" s="3812"/>
      <c r="AJ75" s="3812"/>
      <c r="AK75" s="3812"/>
      <c r="AL75" s="3524"/>
      <c r="AM75" s="3812"/>
      <c r="AN75" s="3812">
        <f>SUM(BO75:CB75)</f>
        <v>247150.03</v>
      </c>
      <c r="AO75" s="3812">
        <v>45250</v>
      </c>
      <c r="AP75" s="3524"/>
      <c r="AQ75" s="857" t="s">
        <v>258</v>
      </c>
      <c r="AR75" s="3524"/>
      <c r="AS75" s="3742"/>
      <c r="AT75" s="5122"/>
      <c r="AU75" s="3662"/>
      <c r="AV75" s="3662"/>
      <c r="AW75" s="3662"/>
      <c r="AX75" s="3662"/>
      <c r="AY75" s="3662"/>
      <c r="AZ75" s="3662"/>
      <c r="BA75" s="5146"/>
      <c r="BB75" s="3812"/>
      <c r="BC75" s="857"/>
      <c r="BD75" s="5146"/>
      <c r="BE75" s="5146"/>
      <c r="BF75" s="5146"/>
      <c r="BG75" s="5146"/>
      <c r="BH75" s="3812"/>
      <c r="BI75" s="3812"/>
      <c r="BJ75" s="3812"/>
      <c r="BK75" s="3812"/>
      <c r="BL75" s="3812"/>
      <c r="BM75" s="5263"/>
      <c r="BN75" s="5263"/>
      <c r="BO75" s="5272"/>
      <c r="BP75" s="5122"/>
      <c r="BQ75" s="857">
        <f>28051.87+3692.79</f>
        <v>31744.66</v>
      </c>
      <c r="BR75" s="5122"/>
      <c r="BS75" s="5122"/>
      <c r="BT75" s="5122"/>
      <c r="BU75" s="5122"/>
      <c r="BV75" s="3524"/>
      <c r="BW75" s="3524"/>
      <c r="BX75" s="3524"/>
      <c r="BY75" s="3524"/>
      <c r="BZ75" s="3524"/>
      <c r="CA75" s="5275"/>
      <c r="CB75" s="5297">
        <f>219098.16-3692.79</f>
        <v>215405.37</v>
      </c>
      <c r="CC75" s="5167"/>
      <c r="CD75" s="3524"/>
      <c r="CE75" s="5306" t="s">
        <v>259</v>
      </c>
      <c r="CF75" s="5169"/>
      <c r="CG75" s="5169"/>
      <c r="CH75" s="5169"/>
    </row>
    <row r="76" s="4965" customFormat="1" ht="40" customHeight="1" spans="1:86">
      <c r="A76" s="3524"/>
      <c r="B76" s="3812"/>
      <c r="C76" s="3524"/>
      <c r="D76" s="1032"/>
      <c r="E76" s="3742"/>
      <c r="F76" s="5059"/>
      <c r="G76" s="3742"/>
      <c r="H76" s="3524"/>
      <c r="I76" s="5074"/>
      <c r="J76" s="5059"/>
      <c r="K76" s="1095"/>
      <c r="L76" s="3742"/>
      <c r="M76" s="150"/>
      <c r="N76" s="5215"/>
      <c r="O76" s="5215"/>
      <c r="P76" s="5215"/>
      <c r="Q76" s="5215"/>
      <c r="R76" s="5215"/>
      <c r="S76" s="5215"/>
      <c r="T76" s="5215"/>
      <c r="U76" s="5215"/>
      <c r="V76" s="5215"/>
      <c r="W76" s="5215"/>
      <c r="X76" s="5215"/>
      <c r="Y76" s="5215"/>
      <c r="Z76" s="5215"/>
      <c r="AA76" s="5215"/>
      <c r="AB76" s="5230"/>
      <c r="AC76" s="857" t="s">
        <v>260</v>
      </c>
      <c r="AD76" s="1095" t="s">
        <v>261</v>
      </c>
      <c r="AE76" s="5117">
        <v>0.05</v>
      </c>
      <c r="AF76" s="3524">
        <f>M66*10%</f>
        <v>437814</v>
      </c>
      <c r="AG76" s="3812">
        <v>239123.19</v>
      </c>
      <c r="AH76" s="857" t="s">
        <v>122</v>
      </c>
      <c r="AI76" s="3812">
        <v>44859</v>
      </c>
      <c r="AJ76" s="3812">
        <v>239123.19</v>
      </c>
      <c r="AK76" s="3812">
        <v>44859</v>
      </c>
      <c r="AL76" s="4087">
        <v>442482.02</v>
      </c>
      <c r="AM76" s="4087"/>
      <c r="AN76" s="4087">
        <f>SUM(BO76:CB77)</f>
        <v>442482.02</v>
      </c>
      <c r="AO76" s="5250"/>
      <c r="AP76" s="4087">
        <f>AG76+AG77-AN76</f>
        <v>0</v>
      </c>
      <c r="AQ76" s="5122"/>
      <c r="AR76" s="3524"/>
      <c r="AS76" s="3742"/>
      <c r="AT76" s="5122"/>
      <c r="AU76" s="3662"/>
      <c r="AV76" s="3662"/>
      <c r="AW76" s="3662"/>
      <c r="AX76" s="3662"/>
      <c r="AY76" s="3662"/>
      <c r="AZ76" s="3662"/>
      <c r="BA76" s="5146"/>
      <c r="BB76" s="3812"/>
      <c r="BC76" s="4813">
        <f>93683.57*3*0.1</f>
        <v>28105.071</v>
      </c>
      <c r="BD76" s="5146"/>
      <c r="BE76" s="5146"/>
      <c r="BF76" s="5146"/>
      <c r="BG76" s="5146"/>
      <c r="BH76" s="3812"/>
      <c r="BI76" s="3812"/>
      <c r="BJ76" s="3812"/>
      <c r="BK76" s="3812"/>
      <c r="BL76" s="3812"/>
      <c r="BM76" s="5263"/>
      <c r="BN76" s="5274">
        <f>93683.57*18*0.1+42387.69*10*0.1</f>
        <v>211018.116</v>
      </c>
      <c r="BO76" s="5272"/>
      <c r="BP76" s="5122"/>
      <c r="BQ76" s="4840">
        <v>31168.57</v>
      </c>
      <c r="BR76" s="5122"/>
      <c r="BS76" s="5122"/>
      <c r="BT76" s="5122"/>
      <c r="BU76" s="5122"/>
      <c r="BV76" s="3524"/>
      <c r="BW76" s="3524"/>
      <c r="BX76" s="3524"/>
      <c r="BY76" s="3524"/>
      <c r="BZ76" s="3524"/>
      <c r="CA76" s="5298"/>
      <c r="CB76" s="5283">
        <v>411313.45</v>
      </c>
      <c r="CC76" s="5167"/>
      <c r="CD76" s="3524"/>
      <c r="CE76" s="5169"/>
      <c r="CF76" s="5169"/>
      <c r="CG76" s="5169"/>
      <c r="CH76" s="5169"/>
    </row>
    <row r="77" s="4965" customFormat="1" ht="40" customHeight="1" spans="1:86">
      <c r="A77" s="3524"/>
      <c r="B77" s="3812"/>
      <c r="C77" s="3524"/>
      <c r="D77" s="1032"/>
      <c r="E77" s="3742"/>
      <c r="F77" s="5059"/>
      <c r="G77" s="3742"/>
      <c r="H77" s="3524"/>
      <c r="I77" s="5075"/>
      <c r="J77" s="5059"/>
      <c r="K77" s="1095"/>
      <c r="L77" s="3742"/>
      <c r="M77" s="150"/>
      <c r="N77" s="5215"/>
      <c r="O77" s="5215"/>
      <c r="P77" s="5215"/>
      <c r="Q77" s="5215"/>
      <c r="R77" s="5215"/>
      <c r="S77" s="5215"/>
      <c r="T77" s="5215"/>
      <c r="U77" s="5215"/>
      <c r="V77" s="5215"/>
      <c r="W77" s="5215"/>
      <c r="X77" s="5215"/>
      <c r="Y77" s="5215"/>
      <c r="Z77" s="5215"/>
      <c r="AA77" s="5215"/>
      <c r="AB77" s="5230"/>
      <c r="AC77" s="857" t="s">
        <v>262</v>
      </c>
      <c r="AD77" s="5105"/>
      <c r="AE77" s="5117">
        <v>0.05</v>
      </c>
      <c r="AF77" s="3524"/>
      <c r="AG77" s="3812">
        <f>SUM(BA77:BN77)</f>
        <v>203358.83</v>
      </c>
      <c r="AH77" s="857" t="s">
        <v>122</v>
      </c>
      <c r="AI77" s="857">
        <v>45268</v>
      </c>
      <c r="AJ77" s="3812">
        <v>203358.83</v>
      </c>
      <c r="AK77" s="857">
        <v>45268</v>
      </c>
      <c r="AL77" s="4903"/>
      <c r="AM77" s="4903"/>
      <c r="AN77" s="4903"/>
      <c r="AO77" s="5251"/>
      <c r="AP77" s="4903"/>
      <c r="AQ77" s="5252"/>
      <c r="AR77" s="1032" t="s">
        <v>263</v>
      </c>
      <c r="AS77" s="3742"/>
      <c r="AT77" s="5122"/>
      <c r="AU77" s="3662"/>
      <c r="AV77" s="3662"/>
      <c r="AW77" s="3662"/>
      <c r="AX77" s="3662"/>
      <c r="AY77" s="3662"/>
      <c r="AZ77" s="3662"/>
      <c r="BA77" s="5122"/>
      <c r="BB77" s="3524"/>
      <c r="BC77" s="3812">
        <v>3063.5</v>
      </c>
      <c r="BD77" s="5160"/>
      <c r="BE77" s="5122"/>
      <c r="BF77" s="5122"/>
      <c r="BG77" s="5122"/>
      <c r="BH77" s="3524"/>
      <c r="BI77" s="3524"/>
      <c r="BJ77" s="3524"/>
      <c r="BK77" s="3524"/>
      <c r="BL77" s="3524"/>
      <c r="BM77" s="5275"/>
      <c r="BN77" s="5263">
        <v>200295.33</v>
      </c>
      <c r="BO77" s="5276"/>
      <c r="BP77" s="5277"/>
      <c r="BQ77" s="5287"/>
      <c r="BR77" s="5277"/>
      <c r="BS77" s="5277"/>
      <c r="BT77" s="5277"/>
      <c r="BU77" s="5277"/>
      <c r="BV77" s="5277"/>
      <c r="BW77" s="5277"/>
      <c r="BX77" s="5277"/>
      <c r="BY77" s="5277"/>
      <c r="BZ77" s="5277"/>
      <c r="CA77" s="5299"/>
      <c r="CB77" s="5300"/>
      <c r="CC77" s="5167"/>
      <c r="CD77" s="3524"/>
      <c r="CE77" s="5169"/>
      <c r="CF77" s="5169"/>
      <c r="CG77" s="5169"/>
      <c r="CH77" s="5169"/>
    </row>
    <row r="78" s="4972" customFormat="1" ht="61" customHeight="1" spans="1:86">
      <c r="A78" s="5193">
        <v>12</v>
      </c>
      <c r="B78" s="3662" t="s">
        <v>159</v>
      </c>
      <c r="C78" s="3662">
        <v>43907</v>
      </c>
      <c r="D78" s="5053" t="s">
        <v>264</v>
      </c>
      <c r="E78" s="5053" t="s">
        <v>265</v>
      </c>
      <c r="F78" s="5053" t="s">
        <v>266</v>
      </c>
      <c r="G78" s="5053" t="s">
        <v>267</v>
      </c>
      <c r="H78" s="5060" t="s">
        <v>31</v>
      </c>
      <c r="I78" s="3909" t="s">
        <v>268</v>
      </c>
      <c r="J78" s="5055" t="s">
        <v>269</v>
      </c>
      <c r="K78" s="3662">
        <v>200000</v>
      </c>
      <c r="L78" s="5053" t="s">
        <v>178</v>
      </c>
      <c r="M78" s="3662">
        <f>SUM(N78:AA80)</f>
        <v>1000000</v>
      </c>
      <c r="N78" s="5193"/>
      <c r="O78" s="5193"/>
      <c r="P78" s="5193"/>
      <c r="Q78" s="5193"/>
      <c r="R78" s="5193"/>
      <c r="S78" s="5193"/>
      <c r="T78" s="5193"/>
      <c r="U78" s="5193">
        <v>1000000</v>
      </c>
      <c r="V78" s="5193"/>
      <c r="W78" s="5193">
        <v>0</v>
      </c>
      <c r="X78" s="5193">
        <v>0</v>
      </c>
      <c r="Y78" s="5193"/>
      <c r="Z78" s="5193"/>
      <c r="AA78" s="5193"/>
      <c r="AB78" s="5193"/>
      <c r="AC78" s="3662">
        <v>1</v>
      </c>
      <c r="AD78" s="5053" t="s">
        <v>270</v>
      </c>
      <c r="AE78" s="5115">
        <v>0.2</v>
      </c>
      <c r="AF78" s="3662">
        <f>AE78*U78</f>
        <v>200000</v>
      </c>
      <c r="AG78" s="3662">
        <f t="shared" ref="AG77:AG85" si="6">SUM(BA78:BN78)</f>
        <v>200000</v>
      </c>
      <c r="AH78" s="3662" t="s">
        <v>206</v>
      </c>
      <c r="AI78" s="3662">
        <v>43949</v>
      </c>
      <c r="AJ78" s="3662" t="s">
        <v>171</v>
      </c>
      <c r="AK78" s="3662" t="s">
        <v>171</v>
      </c>
      <c r="AL78" s="3662">
        <v>200000</v>
      </c>
      <c r="AM78" s="3662">
        <v>43949</v>
      </c>
      <c r="AN78" s="3662">
        <f t="shared" ref="AN77:AN86" si="7">SUM(BO78:CB78)</f>
        <v>200000</v>
      </c>
      <c r="AO78" s="3662">
        <v>43979</v>
      </c>
      <c r="AP78" s="5127">
        <f t="shared" ref="AP77:AP86" si="8">AG78-AN78</f>
        <v>0</v>
      </c>
      <c r="AQ78" s="5127"/>
      <c r="AR78" s="3814" t="s">
        <v>128</v>
      </c>
      <c r="AS78" s="5134"/>
      <c r="AT78" s="5127"/>
      <c r="AU78" s="5193">
        <f>SUM(AG78:AG80)</f>
        <v>983656.8</v>
      </c>
      <c r="AV78" s="5193">
        <f>SUM(AL78:AL80)</f>
        <v>983656.8</v>
      </c>
      <c r="AW78" s="5193">
        <f>SUM(AN78:AN80)</f>
        <v>983656.8</v>
      </c>
      <c r="AX78" s="5193">
        <f>U78-AU78</f>
        <v>16343.2</v>
      </c>
      <c r="AY78" s="5193">
        <f>AU78-AV78</f>
        <v>0</v>
      </c>
      <c r="AZ78" s="5193">
        <f>AV78-AW78</f>
        <v>0</v>
      </c>
      <c r="BA78" s="5148"/>
      <c r="BB78" s="3684"/>
      <c r="BC78" s="3684"/>
      <c r="BD78" s="5148"/>
      <c r="BE78" s="5148"/>
      <c r="BF78" s="5148"/>
      <c r="BG78" s="5148"/>
      <c r="BH78" s="3684">
        <v>200000</v>
      </c>
      <c r="BI78" s="3684"/>
      <c r="BJ78" s="3684"/>
      <c r="BK78" s="3684"/>
      <c r="BL78" s="3684"/>
      <c r="BM78" s="3684"/>
      <c r="BN78" s="5148"/>
      <c r="BO78" s="5278"/>
      <c r="BP78" s="5278"/>
      <c r="BQ78" s="5278"/>
      <c r="BR78" s="5278"/>
      <c r="BS78" s="5278"/>
      <c r="BT78" s="5278"/>
      <c r="BU78" s="5278"/>
      <c r="BV78" s="3667">
        <v>200000</v>
      </c>
      <c r="BW78" s="5278"/>
      <c r="BX78" s="5278"/>
      <c r="BY78" s="5278"/>
      <c r="BZ78" s="5278"/>
      <c r="CA78" s="5278"/>
      <c r="CB78" s="5278"/>
      <c r="CC78" s="3662" t="s">
        <v>166</v>
      </c>
      <c r="CD78" s="3662" t="s">
        <v>154</v>
      </c>
      <c r="CE78" s="5170"/>
      <c r="CF78" s="5170"/>
      <c r="CG78" s="5170"/>
      <c r="CH78" s="5170"/>
    </row>
    <row r="79" s="4972" customFormat="1" ht="61" customHeight="1" spans="1:86">
      <c r="A79" s="5193"/>
      <c r="B79" s="3662"/>
      <c r="C79" s="3662"/>
      <c r="D79" s="5053"/>
      <c r="E79" s="5053"/>
      <c r="F79" s="5053"/>
      <c r="G79" s="5053"/>
      <c r="H79" s="5060"/>
      <c r="I79" s="5207"/>
      <c r="J79" s="5060"/>
      <c r="K79" s="3662"/>
      <c r="L79" s="5053"/>
      <c r="M79" s="3662"/>
      <c r="N79" s="5193"/>
      <c r="O79" s="5193"/>
      <c r="P79" s="5193"/>
      <c r="Q79" s="5193"/>
      <c r="R79" s="5193"/>
      <c r="S79" s="5193"/>
      <c r="T79" s="5193"/>
      <c r="U79" s="5193"/>
      <c r="V79" s="5193"/>
      <c r="W79" s="5193"/>
      <c r="X79" s="5193"/>
      <c r="Y79" s="5193"/>
      <c r="Z79" s="5193"/>
      <c r="AA79" s="5193"/>
      <c r="AB79" s="5193"/>
      <c r="AC79" s="3662">
        <v>2</v>
      </c>
      <c r="AD79" s="5053" t="s">
        <v>271</v>
      </c>
      <c r="AE79" s="5115">
        <v>0.6</v>
      </c>
      <c r="AF79" s="3662">
        <f>AE79*U78</f>
        <v>600000</v>
      </c>
      <c r="AG79" s="3684">
        <f t="shared" si="6"/>
        <v>600000</v>
      </c>
      <c r="AH79" s="3684" t="s">
        <v>122</v>
      </c>
      <c r="AI79" s="3684">
        <v>44154</v>
      </c>
      <c r="AJ79" s="3684">
        <f>SUM(BD79:BQ79)</f>
        <v>600000</v>
      </c>
      <c r="AK79" s="3684">
        <v>44154</v>
      </c>
      <c r="AL79" s="3684">
        <f>SUM(BJ79:BW79)</f>
        <v>600000</v>
      </c>
      <c r="AM79" s="3662">
        <v>44155</v>
      </c>
      <c r="AN79" s="3684">
        <f t="shared" si="7"/>
        <v>600000</v>
      </c>
      <c r="AO79" s="3684">
        <v>44214</v>
      </c>
      <c r="AP79" s="5127">
        <f t="shared" si="8"/>
        <v>0</v>
      </c>
      <c r="AQ79" s="5127"/>
      <c r="AR79" s="3662"/>
      <c r="AS79" s="5134"/>
      <c r="AT79" s="5127"/>
      <c r="AU79" s="5193"/>
      <c r="AV79" s="5193"/>
      <c r="AW79" s="5193"/>
      <c r="AX79" s="5193"/>
      <c r="AY79" s="5193"/>
      <c r="AZ79" s="5193"/>
      <c r="BA79" s="5148"/>
      <c r="BB79" s="3684"/>
      <c r="BC79" s="3684"/>
      <c r="BD79" s="5148"/>
      <c r="BE79" s="5148"/>
      <c r="BF79" s="5148"/>
      <c r="BG79" s="5148"/>
      <c r="BH79" s="3684">
        <v>600000</v>
      </c>
      <c r="BI79" s="3684"/>
      <c r="BJ79" s="3684"/>
      <c r="BK79" s="3684"/>
      <c r="BL79" s="3684"/>
      <c r="BM79" s="3684"/>
      <c r="BN79" s="5148"/>
      <c r="BO79" s="5148"/>
      <c r="BP79" s="5148"/>
      <c r="BQ79" s="5148"/>
      <c r="BR79" s="5148"/>
      <c r="BS79" s="5148"/>
      <c r="BT79" s="5148"/>
      <c r="BU79" s="5148"/>
      <c r="BV79" s="5148">
        <v>600000</v>
      </c>
      <c r="BW79" s="5148"/>
      <c r="BX79" s="5148"/>
      <c r="BY79" s="5148"/>
      <c r="BZ79" s="5148"/>
      <c r="CA79" s="5148"/>
      <c r="CB79" s="5148"/>
      <c r="CC79" s="3662"/>
      <c r="CD79" s="3662"/>
      <c r="CE79" s="5170"/>
      <c r="CF79" s="5170"/>
      <c r="CG79" s="5170"/>
      <c r="CH79" s="5170"/>
    </row>
    <row r="80" s="4972" customFormat="1" ht="61" customHeight="1" spans="1:86">
      <c r="A80" s="5193"/>
      <c r="B80" s="3662"/>
      <c r="C80" s="3662"/>
      <c r="D80" s="5053"/>
      <c r="E80" s="5053"/>
      <c r="F80" s="5053"/>
      <c r="G80" s="5053"/>
      <c r="H80" s="5060"/>
      <c r="I80" s="5208"/>
      <c r="J80" s="5060"/>
      <c r="K80" s="3662"/>
      <c r="L80" s="5053"/>
      <c r="M80" s="3662"/>
      <c r="N80" s="5193"/>
      <c r="O80" s="5193"/>
      <c r="P80" s="5193"/>
      <c r="Q80" s="5193"/>
      <c r="R80" s="5193"/>
      <c r="S80" s="5193"/>
      <c r="T80" s="5193"/>
      <c r="U80" s="5193"/>
      <c r="V80" s="5193"/>
      <c r="W80" s="5193"/>
      <c r="X80" s="5193"/>
      <c r="Y80" s="5193"/>
      <c r="Z80" s="5193"/>
      <c r="AA80" s="5193"/>
      <c r="AB80" s="5193"/>
      <c r="AC80" s="3662">
        <v>3</v>
      </c>
      <c r="AD80" s="5053" t="s">
        <v>272</v>
      </c>
      <c r="AE80" s="5115">
        <v>0.2</v>
      </c>
      <c r="AF80" s="3662">
        <f>AE80*U78</f>
        <v>200000</v>
      </c>
      <c r="AG80" s="3684">
        <f t="shared" si="6"/>
        <v>183656.8</v>
      </c>
      <c r="AH80" s="3684" t="s">
        <v>122</v>
      </c>
      <c r="AI80" s="3684">
        <v>44154</v>
      </c>
      <c r="AJ80" s="3684">
        <v>183656.8</v>
      </c>
      <c r="AK80" s="3684">
        <v>44154</v>
      </c>
      <c r="AL80" s="3684">
        <f>SUM(BJ80:BW80)</f>
        <v>183656.8</v>
      </c>
      <c r="AM80" s="3662">
        <v>44155</v>
      </c>
      <c r="AN80" s="3684">
        <f t="shared" si="7"/>
        <v>183656.8</v>
      </c>
      <c r="AO80" s="3684">
        <v>44214</v>
      </c>
      <c r="AP80" s="5127">
        <f t="shared" si="8"/>
        <v>0</v>
      </c>
      <c r="AQ80" s="5127"/>
      <c r="AR80" s="3662"/>
      <c r="AS80" s="5134"/>
      <c r="AT80" s="5127"/>
      <c r="AU80" s="5193"/>
      <c r="AV80" s="5193"/>
      <c r="AW80" s="5193"/>
      <c r="AX80" s="5193"/>
      <c r="AY80" s="5193"/>
      <c r="AZ80" s="5193"/>
      <c r="BA80" s="5148"/>
      <c r="BB80" s="3684"/>
      <c r="BC80" s="3684"/>
      <c r="BD80" s="5148"/>
      <c r="BE80" s="5148"/>
      <c r="BF80" s="5148"/>
      <c r="BG80" s="5148"/>
      <c r="BH80" s="3684">
        <v>183656.8</v>
      </c>
      <c r="BI80" s="3684"/>
      <c r="BJ80" s="3684"/>
      <c r="BK80" s="3684"/>
      <c r="BL80" s="3684"/>
      <c r="BM80" s="3684"/>
      <c r="BN80" s="5148"/>
      <c r="BO80" s="5148"/>
      <c r="BP80" s="5148"/>
      <c r="BQ80" s="5148"/>
      <c r="BR80" s="5148"/>
      <c r="BS80" s="5148"/>
      <c r="BT80" s="5148"/>
      <c r="BU80" s="5148"/>
      <c r="BV80" s="5148">
        <v>183656.8</v>
      </c>
      <c r="BW80" s="5148"/>
      <c r="BX80" s="5148"/>
      <c r="BY80" s="5148"/>
      <c r="BZ80" s="5148"/>
      <c r="CA80" s="5148"/>
      <c r="CB80" s="5148"/>
      <c r="CC80" s="3662"/>
      <c r="CD80" s="3662"/>
      <c r="CE80" s="5170"/>
      <c r="CF80" s="5170"/>
      <c r="CG80" s="5170"/>
      <c r="CH80" s="5170"/>
    </row>
    <row r="81" s="4971" customFormat="1" ht="61" customHeight="1" spans="1:86">
      <c r="A81" s="5051">
        <v>13</v>
      </c>
      <c r="B81" s="5051" t="s">
        <v>159</v>
      </c>
      <c r="C81" s="5051">
        <v>43907</v>
      </c>
      <c r="D81" s="5194" t="s">
        <v>264</v>
      </c>
      <c r="E81" s="5194" t="s">
        <v>273</v>
      </c>
      <c r="F81" s="5202" t="s">
        <v>274</v>
      </c>
      <c r="G81" s="5194" t="s">
        <v>275</v>
      </c>
      <c r="H81" s="5051" t="s">
        <v>193</v>
      </c>
      <c r="I81" s="5209" t="s">
        <v>276</v>
      </c>
      <c r="J81" s="5202" t="s">
        <v>163</v>
      </c>
      <c r="K81" s="5202" t="s">
        <v>277</v>
      </c>
      <c r="L81" s="5194" t="s">
        <v>278</v>
      </c>
      <c r="M81" s="5051">
        <f>SUM(N81:AA84)</f>
        <v>970818</v>
      </c>
      <c r="N81" s="5051"/>
      <c r="O81" s="5051"/>
      <c r="P81" s="5051"/>
      <c r="Q81" s="5051"/>
      <c r="R81" s="5051"/>
      <c r="S81" s="5051"/>
      <c r="T81" s="5051"/>
      <c r="U81" s="5051"/>
      <c r="V81" s="5051">
        <v>970818</v>
      </c>
      <c r="W81" s="5051">
        <v>0</v>
      </c>
      <c r="X81" s="5051">
        <v>0</v>
      </c>
      <c r="Y81" s="5051"/>
      <c r="Z81" s="5051"/>
      <c r="AA81" s="5051">
        <v>0</v>
      </c>
      <c r="AB81" s="5051"/>
      <c r="AC81" s="5051">
        <v>1</v>
      </c>
      <c r="AD81" s="5194" t="s">
        <v>279</v>
      </c>
      <c r="AE81" s="5237">
        <v>0.2</v>
      </c>
      <c r="AF81" s="5051">
        <f>AE81*V81</f>
        <v>194163.6</v>
      </c>
      <c r="AG81" s="5051">
        <f t="shared" si="6"/>
        <v>194163.6</v>
      </c>
      <c r="AH81" s="5051" t="s">
        <v>206</v>
      </c>
      <c r="AI81" s="5051">
        <v>43949</v>
      </c>
      <c r="AJ81" s="5051" t="s">
        <v>171</v>
      </c>
      <c r="AK81" s="5051" t="s">
        <v>171</v>
      </c>
      <c r="AL81" s="5051">
        <v>194163.6</v>
      </c>
      <c r="AM81" s="5051">
        <v>43949</v>
      </c>
      <c r="AN81" s="5051">
        <f t="shared" si="7"/>
        <v>194163.6</v>
      </c>
      <c r="AO81" s="5051">
        <v>44019</v>
      </c>
      <c r="AP81" s="5051">
        <f t="shared" si="8"/>
        <v>0</v>
      </c>
      <c r="AQ81" s="5253"/>
      <c r="AR81" s="5254" t="s">
        <v>128</v>
      </c>
      <c r="AS81" s="5259"/>
      <c r="AT81" s="5253"/>
      <c r="AU81" s="5051">
        <f>SUM(AG81:AG84)</f>
        <v>970818</v>
      </c>
      <c r="AV81" s="5051">
        <f>SUM(AL81:AL84)</f>
        <v>970818</v>
      </c>
      <c r="AW81" s="5051">
        <f>SUM(AN81:AN84)</f>
        <v>970818</v>
      </c>
      <c r="AX81" s="5051">
        <f t="shared" ref="AX81:AX86" si="9">M81-AU81</f>
        <v>0</v>
      </c>
      <c r="AY81" s="5051">
        <f>AU81-AV81</f>
        <v>0</v>
      </c>
      <c r="AZ81" s="5051">
        <f>AV81-AW81</f>
        <v>0</v>
      </c>
      <c r="BA81" s="5264"/>
      <c r="BB81" s="5243"/>
      <c r="BC81" s="5243"/>
      <c r="BD81" s="5264"/>
      <c r="BE81" s="5264"/>
      <c r="BF81" s="5264"/>
      <c r="BG81" s="5264"/>
      <c r="BH81" s="5243"/>
      <c r="BI81" s="5243">
        <v>194163.6</v>
      </c>
      <c r="BJ81" s="5243"/>
      <c r="BK81" s="5243"/>
      <c r="BL81" s="5243"/>
      <c r="BM81" s="5243"/>
      <c r="BN81" s="5243"/>
      <c r="BO81" s="5253"/>
      <c r="BP81" s="5253"/>
      <c r="BQ81" s="5253"/>
      <c r="BR81" s="5253"/>
      <c r="BS81" s="5253"/>
      <c r="BT81" s="5253"/>
      <c r="BU81" s="5253"/>
      <c r="BV81" s="5253"/>
      <c r="BW81" s="5051">
        <v>194163.6</v>
      </c>
      <c r="BX81" s="5051"/>
      <c r="BY81" s="5051"/>
      <c r="BZ81" s="5051"/>
      <c r="CA81" s="5051"/>
      <c r="CB81" s="5253"/>
      <c r="CC81" s="5307" t="s">
        <v>166</v>
      </c>
      <c r="CD81" s="5307" t="s">
        <v>154</v>
      </c>
      <c r="CE81" s="5039"/>
      <c r="CF81" s="5039"/>
      <c r="CG81" s="5039"/>
      <c r="CH81" s="5039"/>
    </row>
    <row r="82" s="4971" customFormat="1" ht="61" customHeight="1" spans="1:86">
      <c r="A82" s="5051"/>
      <c r="B82" s="5051"/>
      <c r="C82" s="5051"/>
      <c r="D82" s="5194"/>
      <c r="E82" s="5194"/>
      <c r="F82" s="5194"/>
      <c r="G82" s="5194"/>
      <c r="H82" s="5051"/>
      <c r="I82" s="5210"/>
      <c r="J82" s="5202"/>
      <c r="K82" s="5194"/>
      <c r="L82" s="5194"/>
      <c r="M82" s="5051"/>
      <c r="N82" s="5051"/>
      <c r="O82" s="5051"/>
      <c r="P82" s="5051"/>
      <c r="Q82" s="5051"/>
      <c r="R82" s="5051"/>
      <c r="S82" s="5051"/>
      <c r="T82" s="5051"/>
      <c r="U82" s="5051"/>
      <c r="V82" s="5051"/>
      <c r="W82" s="5051"/>
      <c r="X82" s="5051"/>
      <c r="Y82" s="5051"/>
      <c r="Z82" s="5051"/>
      <c r="AA82" s="5051"/>
      <c r="AB82" s="5051"/>
      <c r="AC82" s="5051">
        <v>2</v>
      </c>
      <c r="AD82" s="5194" t="s">
        <v>280</v>
      </c>
      <c r="AE82" s="5237">
        <v>0.3</v>
      </c>
      <c r="AF82" s="5051">
        <f>AE82*V81</f>
        <v>291245.4</v>
      </c>
      <c r="AG82" s="5243">
        <f t="shared" si="6"/>
        <v>291245.4</v>
      </c>
      <c r="AH82" s="5243" t="s">
        <v>122</v>
      </c>
      <c r="AI82" s="5243">
        <v>44154</v>
      </c>
      <c r="AJ82" s="5243">
        <f>SUM(BD82:BQ82)</f>
        <v>291245.4</v>
      </c>
      <c r="AK82" s="5243">
        <v>44154</v>
      </c>
      <c r="AL82" s="5243">
        <f>SUM(BJ82:BW82)</f>
        <v>291245.4</v>
      </c>
      <c r="AM82" s="5051">
        <v>44155</v>
      </c>
      <c r="AN82" s="5243">
        <f t="shared" si="7"/>
        <v>291245.4</v>
      </c>
      <c r="AO82" s="5243">
        <v>44311</v>
      </c>
      <c r="AP82" s="5051">
        <f t="shared" si="8"/>
        <v>0</v>
      </c>
      <c r="AQ82" s="5253"/>
      <c r="AR82" s="5051"/>
      <c r="AS82" s="5259"/>
      <c r="AT82" s="5253"/>
      <c r="AU82" s="5051"/>
      <c r="AV82" s="5051"/>
      <c r="AW82" s="5051"/>
      <c r="AX82" s="5051"/>
      <c r="AY82" s="5051"/>
      <c r="AZ82" s="5051"/>
      <c r="BA82" s="5264"/>
      <c r="BB82" s="5243"/>
      <c r="BC82" s="5243"/>
      <c r="BD82" s="5264"/>
      <c r="BE82" s="5264"/>
      <c r="BF82" s="5264"/>
      <c r="BG82" s="5264"/>
      <c r="BH82" s="5243"/>
      <c r="BI82" s="5243">
        <v>291245.4</v>
      </c>
      <c r="BJ82" s="5243"/>
      <c r="BK82" s="5243"/>
      <c r="BL82" s="5243"/>
      <c r="BM82" s="5243"/>
      <c r="BN82" s="5243"/>
      <c r="BO82" s="5264"/>
      <c r="BP82" s="5264"/>
      <c r="BQ82" s="5264"/>
      <c r="BR82" s="5264"/>
      <c r="BS82" s="5264"/>
      <c r="BT82" s="5264"/>
      <c r="BU82" s="5264"/>
      <c r="BV82" s="5264"/>
      <c r="BW82" s="5264">
        <v>291245.4</v>
      </c>
      <c r="BX82" s="5264"/>
      <c r="BY82" s="5264"/>
      <c r="BZ82" s="5264"/>
      <c r="CA82" s="5264"/>
      <c r="CB82" s="5264"/>
      <c r="CC82" s="5307"/>
      <c r="CD82" s="5307"/>
      <c r="CE82" s="5039"/>
      <c r="CF82" s="5039"/>
      <c r="CG82" s="5039"/>
      <c r="CH82" s="5039"/>
    </row>
    <row r="83" s="4971" customFormat="1" ht="61" customHeight="1" spans="1:86">
      <c r="A83" s="5051"/>
      <c r="B83" s="5051"/>
      <c r="C83" s="5051"/>
      <c r="D83" s="5194"/>
      <c r="E83" s="5194"/>
      <c r="F83" s="5194"/>
      <c r="G83" s="5194"/>
      <c r="H83" s="5051"/>
      <c r="I83" s="5210"/>
      <c r="J83" s="5202"/>
      <c r="K83" s="5194"/>
      <c r="L83" s="5194"/>
      <c r="M83" s="5051"/>
      <c r="N83" s="5051"/>
      <c r="O83" s="5051"/>
      <c r="P83" s="5051"/>
      <c r="Q83" s="5051"/>
      <c r="R83" s="5051"/>
      <c r="S83" s="5051"/>
      <c r="T83" s="5051"/>
      <c r="U83" s="5051"/>
      <c r="V83" s="5051"/>
      <c r="W83" s="5051"/>
      <c r="X83" s="5051"/>
      <c r="Y83" s="5051"/>
      <c r="Z83" s="5051"/>
      <c r="AA83" s="5051"/>
      <c r="AB83" s="5051"/>
      <c r="AC83" s="5051">
        <v>3</v>
      </c>
      <c r="AD83" s="5194" t="s">
        <v>281</v>
      </c>
      <c r="AE83" s="5237">
        <v>0.4</v>
      </c>
      <c r="AF83" s="5051">
        <f>AE83*V81</f>
        <v>388327.2</v>
      </c>
      <c r="AG83" s="5243">
        <f t="shared" si="6"/>
        <v>388327.2</v>
      </c>
      <c r="AH83" s="5243" t="s">
        <v>122</v>
      </c>
      <c r="AI83" s="5243">
        <v>44154</v>
      </c>
      <c r="AJ83" s="5243">
        <f>SUM(BD83:BQ83)</f>
        <v>388327.2</v>
      </c>
      <c r="AK83" s="5243">
        <v>44154</v>
      </c>
      <c r="AL83" s="5243">
        <f>SUM(BJ83:BW83)</f>
        <v>388327.2</v>
      </c>
      <c r="AM83" s="5051">
        <v>44155</v>
      </c>
      <c r="AN83" s="5243">
        <f t="shared" si="7"/>
        <v>388327.2</v>
      </c>
      <c r="AO83" s="5243"/>
      <c r="AP83" s="5051">
        <f t="shared" si="8"/>
        <v>0</v>
      </c>
      <c r="AQ83" s="5253"/>
      <c r="AR83" s="5051"/>
      <c r="AS83" s="5259"/>
      <c r="AT83" s="5253"/>
      <c r="AU83" s="5051"/>
      <c r="AV83" s="5051"/>
      <c r="AW83" s="5051"/>
      <c r="AX83" s="5051"/>
      <c r="AY83" s="5051"/>
      <c r="AZ83" s="5051"/>
      <c r="BA83" s="5264"/>
      <c r="BB83" s="5243"/>
      <c r="BC83" s="5243"/>
      <c r="BD83" s="5264"/>
      <c r="BE83" s="5264"/>
      <c r="BF83" s="5264"/>
      <c r="BG83" s="5264"/>
      <c r="BH83" s="5243"/>
      <c r="BI83" s="5243">
        <v>388327.2</v>
      </c>
      <c r="BJ83" s="5243"/>
      <c r="BK83" s="5243"/>
      <c r="BL83" s="5243"/>
      <c r="BM83" s="5243"/>
      <c r="BN83" s="5243"/>
      <c r="BO83" s="5264"/>
      <c r="BP83" s="5264"/>
      <c r="BQ83" s="5264"/>
      <c r="BR83" s="5264"/>
      <c r="BS83" s="5264"/>
      <c r="BT83" s="5264"/>
      <c r="BU83" s="5264"/>
      <c r="BV83" s="5264"/>
      <c r="BW83" s="5243">
        <v>388327.2</v>
      </c>
      <c r="BX83" s="5264"/>
      <c r="BY83" s="5264"/>
      <c r="BZ83" s="5264"/>
      <c r="CA83" s="5264"/>
      <c r="CB83" s="5264"/>
      <c r="CC83" s="5307"/>
      <c r="CD83" s="5307"/>
      <c r="CE83" s="5039"/>
      <c r="CF83" s="5039"/>
      <c r="CG83" s="5039"/>
      <c r="CH83" s="5039"/>
    </row>
    <row r="84" s="4971" customFormat="1" ht="80.85" customHeight="1" spans="1:86">
      <c r="A84" s="5051"/>
      <c r="B84" s="5051"/>
      <c r="C84" s="5051"/>
      <c r="D84" s="5194"/>
      <c r="E84" s="5194"/>
      <c r="F84" s="5194"/>
      <c r="G84" s="5194"/>
      <c r="H84" s="5051"/>
      <c r="I84" s="5211"/>
      <c r="J84" s="5202"/>
      <c r="K84" s="5194"/>
      <c r="L84" s="5194"/>
      <c r="M84" s="5051"/>
      <c r="N84" s="5051"/>
      <c r="O84" s="5051"/>
      <c r="P84" s="5051"/>
      <c r="Q84" s="5051"/>
      <c r="R84" s="5051"/>
      <c r="S84" s="5051"/>
      <c r="T84" s="5051"/>
      <c r="U84" s="5051"/>
      <c r="V84" s="5051"/>
      <c r="W84" s="5051"/>
      <c r="X84" s="5051"/>
      <c r="Y84" s="5051"/>
      <c r="Z84" s="5051"/>
      <c r="AA84" s="5051"/>
      <c r="AB84" s="5051"/>
      <c r="AC84" s="5051">
        <v>4</v>
      </c>
      <c r="AD84" s="5194" t="s">
        <v>282</v>
      </c>
      <c r="AE84" s="5237">
        <v>0.1</v>
      </c>
      <c r="AF84" s="5051">
        <f>AE84*V81</f>
        <v>97081.8</v>
      </c>
      <c r="AG84" s="5243">
        <f t="shared" si="6"/>
        <v>97081.8</v>
      </c>
      <c r="AH84" s="5243" t="s">
        <v>122</v>
      </c>
      <c r="AI84" s="5243">
        <v>44154</v>
      </c>
      <c r="AJ84" s="5243">
        <f>SUM(BD84:BQ84)</f>
        <v>97081.8</v>
      </c>
      <c r="AK84" s="5243">
        <v>44154</v>
      </c>
      <c r="AL84" s="5243">
        <f>SUM(BJ84:BW84)</f>
        <v>97081.8</v>
      </c>
      <c r="AM84" s="5051">
        <v>44155</v>
      </c>
      <c r="AN84" s="5243">
        <f t="shared" si="7"/>
        <v>97081.8</v>
      </c>
      <c r="AO84" s="5243"/>
      <c r="AP84" s="5051">
        <f t="shared" si="8"/>
        <v>0</v>
      </c>
      <c r="AQ84" s="5253"/>
      <c r="AR84" s="5051"/>
      <c r="AS84" s="5259"/>
      <c r="AT84" s="5253"/>
      <c r="AU84" s="5051"/>
      <c r="AV84" s="5051"/>
      <c r="AW84" s="5051"/>
      <c r="AX84" s="5051"/>
      <c r="AY84" s="5051"/>
      <c r="AZ84" s="5051"/>
      <c r="BA84" s="5264"/>
      <c r="BB84" s="5243"/>
      <c r="BC84" s="5243"/>
      <c r="BD84" s="5264"/>
      <c r="BE84" s="5264"/>
      <c r="BF84" s="5264"/>
      <c r="BG84" s="5264"/>
      <c r="BH84" s="5243"/>
      <c r="BI84" s="5243">
        <v>97081.8</v>
      </c>
      <c r="BJ84" s="5243"/>
      <c r="BK84" s="5243"/>
      <c r="BL84" s="5243"/>
      <c r="BM84" s="5243"/>
      <c r="BN84" s="5243"/>
      <c r="BO84" s="5264"/>
      <c r="BP84" s="5264"/>
      <c r="BQ84" s="5264"/>
      <c r="BR84" s="5264"/>
      <c r="BS84" s="5264"/>
      <c r="BT84" s="5264"/>
      <c r="BU84" s="5264"/>
      <c r="BV84" s="5264"/>
      <c r="BW84" s="5243">
        <v>97081.8</v>
      </c>
      <c r="BX84" s="5264"/>
      <c r="BY84" s="5264"/>
      <c r="BZ84" s="5264"/>
      <c r="CA84" s="5264"/>
      <c r="CB84" s="5264"/>
      <c r="CC84" s="5307"/>
      <c r="CD84" s="5307"/>
      <c r="CE84" s="5039"/>
      <c r="CF84" s="5039"/>
      <c r="CG84" s="5039"/>
      <c r="CH84" s="5039"/>
    </row>
    <row r="85" s="4965" customFormat="1" ht="61" customHeight="1" spans="1:86">
      <c r="A85" s="3812">
        <v>14</v>
      </c>
      <c r="B85" s="3812" t="s">
        <v>173</v>
      </c>
      <c r="C85" s="5122">
        <v>43814</v>
      </c>
      <c r="D85" s="5137" t="s">
        <v>283</v>
      </c>
      <c r="E85" s="3524" t="s">
        <v>113</v>
      </c>
      <c r="F85" s="1095" t="s">
        <v>284</v>
      </c>
      <c r="G85" s="5137" t="s">
        <v>285</v>
      </c>
      <c r="H85" s="3524" t="s">
        <v>286</v>
      </c>
      <c r="I85" s="3812"/>
      <c r="J85" s="5137" t="s">
        <v>185</v>
      </c>
      <c r="K85" s="3524">
        <v>700000</v>
      </c>
      <c r="L85" s="5137" t="s">
        <v>287</v>
      </c>
      <c r="M85" s="3524">
        <f>SUM(N85:AA85)</f>
        <v>200000</v>
      </c>
      <c r="N85" s="5216">
        <v>70000</v>
      </c>
      <c r="O85" s="5216"/>
      <c r="P85" s="5216">
        <v>100000</v>
      </c>
      <c r="Q85" s="5216"/>
      <c r="R85" s="5216"/>
      <c r="S85" s="5216"/>
      <c r="T85" s="5216"/>
      <c r="U85" s="5216"/>
      <c r="V85" s="5216">
        <v>30000</v>
      </c>
      <c r="W85" s="5229">
        <v>0</v>
      </c>
      <c r="X85" s="5229">
        <v>0</v>
      </c>
      <c r="Y85" s="5229"/>
      <c r="Z85" s="5229"/>
      <c r="AA85" s="5216"/>
      <c r="AB85" s="5216"/>
      <c r="AC85" s="3524">
        <v>1</v>
      </c>
      <c r="AD85" s="1032" t="s">
        <v>288</v>
      </c>
      <c r="AE85" s="5117">
        <v>1</v>
      </c>
      <c r="AF85" s="3524">
        <f>AE85*M85</f>
        <v>200000</v>
      </c>
      <c r="AG85" s="3524">
        <f t="shared" si="6"/>
        <v>200000</v>
      </c>
      <c r="AH85" s="1032" t="s">
        <v>122</v>
      </c>
      <c r="AI85" s="3524">
        <v>43816</v>
      </c>
      <c r="AJ85" s="3524">
        <v>200000</v>
      </c>
      <c r="AK85" s="3524">
        <v>43816</v>
      </c>
      <c r="AL85" s="3524"/>
      <c r="AM85" s="3524"/>
      <c r="AN85" s="3524">
        <f t="shared" si="7"/>
        <v>0</v>
      </c>
      <c r="AO85" s="3524"/>
      <c r="AP85" s="3524">
        <f t="shared" si="8"/>
        <v>200000</v>
      </c>
      <c r="AQ85" s="5122"/>
      <c r="AR85" s="3524"/>
      <c r="AS85" s="5137"/>
      <c r="AT85" s="5122"/>
      <c r="AU85" s="5260">
        <f>SUM(AG85:AG85)</f>
        <v>200000</v>
      </c>
      <c r="AV85" s="5260">
        <f>SUM(AL85:AL85)</f>
        <v>0</v>
      </c>
      <c r="AW85" s="5260">
        <f>SUM(AN85)</f>
        <v>0</v>
      </c>
      <c r="AX85" s="5260">
        <f t="shared" si="9"/>
        <v>0</v>
      </c>
      <c r="AY85" s="5260">
        <f>AU85-AV85</f>
        <v>200000</v>
      </c>
      <c r="AZ85" s="5260">
        <f>AV85-AW85</f>
        <v>0</v>
      </c>
      <c r="BA85" s="3812">
        <v>70000</v>
      </c>
      <c r="BB85" s="3812"/>
      <c r="BC85" s="3812">
        <v>100000</v>
      </c>
      <c r="BD85" s="5146"/>
      <c r="BE85" s="5146"/>
      <c r="BF85" s="5146"/>
      <c r="BG85" s="5146"/>
      <c r="BH85" s="3812"/>
      <c r="BI85" s="3812">
        <v>30000</v>
      </c>
      <c r="BJ85" s="3812"/>
      <c r="BK85" s="3812"/>
      <c r="BL85" s="3812"/>
      <c r="BM85" s="3812"/>
      <c r="BN85" s="3812"/>
      <c r="BO85" s="5122"/>
      <c r="BP85" s="5122"/>
      <c r="BQ85" s="5122"/>
      <c r="BR85" s="5122"/>
      <c r="BS85" s="5122"/>
      <c r="BT85" s="5122"/>
      <c r="BU85" s="5122"/>
      <c r="BV85" s="5122"/>
      <c r="BW85" s="5122"/>
      <c r="BX85" s="5122"/>
      <c r="BY85" s="5122"/>
      <c r="BZ85" s="5122"/>
      <c r="CA85" s="5122"/>
      <c r="CB85" s="5122"/>
      <c r="CC85" s="3524" t="s">
        <v>166</v>
      </c>
      <c r="CD85" s="3524" t="s">
        <v>154</v>
      </c>
      <c r="CE85" s="5169"/>
      <c r="CF85" s="5169"/>
      <c r="CG85" s="5169"/>
      <c r="CH85" s="5169"/>
    </row>
    <row r="86" s="4971" customFormat="1" ht="61" customHeight="1" spans="1:86">
      <c r="A86" s="5195">
        <v>15</v>
      </c>
      <c r="B86" s="5196" t="s">
        <v>289</v>
      </c>
      <c r="C86" s="5195">
        <v>43815</v>
      </c>
      <c r="D86" s="5197" t="s">
        <v>290</v>
      </c>
      <c r="E86" s="5195" t="s">
        <v>113</v>
      </c>
      <c r="F86" s="5197" t="s">
        <v>291</v>
      </c>
      <c r="G86" s="5197" t="s">
        <v>292</v>
      </c>
      <c r="H86" s="5195" t="s">
        <v>286</v>
      </c>
      <c r="I86" s="5212"/>
      <c r="J86" s="5197" t="s">
        <v>293</v>
      </c>
      <c r="K86" s="5195" t="s">
        <v>171</v>
      </c>
      <c r="L86" s="5197" t="s">
        <v>294</v>
      </c>
      <c r="M86" s="5195">
        <f>SUM(N86:AA87)</f>
        <v>1000000</v>
      </c>
      <c r="N86" s="5195"/>
      <c r="O86" s="5195"/>
      <c r="P86" s="5195">
        <v>350000</v>
      </c>
      <c r="Q86" s="5195">
        <v>350000</v>
      </c>
      <c r="R86" s="5195">
        <v>300000</v>
      </c>
      <c r="S86" s="5195"/>
      <c r="T86" s="5195"/>
      <c r="U86" s="5195"/>
      <c r="V86" s="5195"/>
      <c r="W86" s="5195">
        <v>0</v>
      </c>
      <c r="X86" s="5195">
        <v>0</v>
      </c>
      <c r="Y86" s="5195"/>
      <c r="Z86" s="5195"/>
      <c r="AA86" s="5195"/>
      <c r="AB86" s="5195"/>
      <c r="AC86" s="5195">
        <v>1</v>
      </c>
      <c r="AD86" s="5238" t="s">
        <v>295</v>
      </c>
      <c r="AE86" s="5239">
        <v>0.3</v>
      </c>
      <c r="AF86" s="5195">
        <v>300000</v>
      </c>
      <c r="AG86" s="5244"/>
      <c r="AH86" s="5195"/>
      <c r="AI86" s="5244"/>
      <c r="AJ86" s="5195"/>
      <c r="AK86" s="5247"/>
      <c r="AL86" s="5195"/>
      <c r="AM86" s="5195"/>
      <c r="AN86" s="5244">
        <f t="shared" si="7"/>
        <v>0</v>
      </c>
      <c r="AO86" s="5244"/>
      <c r="AP86" s="5195">
        <f t="shared" si="8"/>
        <v>0</v>
      </c>
      <c r="AQ86" s="5255" t="s">
        <v>296</v>
      </c>
      <c r="AR86" s="5195"/>
      <c r="AS86" s="5255"/>
      <c r="AT86" s="5247"/>
      <c r="AU86" s="5195">
        <f>SUM(AG86)</f>
        <v>0</v>
      </c>
      <c r="AV86" s="5195">
        <f>SUM(AL86:AL87)</f>
        <v>0</v>
      </c>
      <c r="AW86" s="5195">
        <f>SUM(AN86:AN87)</f>
        <v>0</v>
      </c>
      <c r="AX86" s="5195">
        <f t="shared" si="9"/>
        <v>1000000</v>
      </c>
      <c r="AY86" s="5195">
        <f>AU86-AV86</f>
        <v>0</v>
      </c>
      <c r="AZ86" s="5195">
        <f>AV86-AW86</f>
        <v>0</v>
      </c>
      <c r="BA86" s="5247"/>
      <c r="BB86" s="5195"/>
      <c r="BC86" s="5244"/>
      <c r="BD86" s="5247"/>
      <c r="BE86" s="5247"/>
      <c r="BF86" s="5247"/>
      <c r="BG86" s="5247"/>
      <c r="BH86" s="5195"/>
      <c r="BI86" s="5195"/>
      <c r="BJ86" s="5195"/>
      <c r="BK86" s="5195"/>
      <c r="BL86" s="5195"/>
      <c r="BM86" s="5195"/>
      <c r="BN86" s="5195"/>
      <c r="BO86" s="5247"/>
      <c r="BP86" s="5247"/>
      <c r="BQ86" s="5288"/>
      <c r="BR86" s="5247"/>
      <c r="BS86" s="5247"/>
      <c r="BT86" s="5247"/>
      <c r="BU86" s="5247"/>
      <c r="BV86" s="5247"/>
      <c r="BW86" s="5247"/>
      <c r="BX86" s="5247"/>
      <c r="BY86" s="5247"/>
      <c r="BZ86" s="5247"/>
      <c r="CA86" s="5247"/>
      <c r="CB86" s="5247"/>
      <c r="CC86" s="5308" t="s">
        <v>166</v>
      </c>
      <c r="CD86" s="5308" t="s">
        <v>154</v>
      </c>
      <c r="CE86" s="5039"/>
      <c r="CF86" s="5039"/>
      <c r="CG86" s="5039"/>
      <c r="CH86" s="5039"/>
    </row>
    <row r="87" s="4971" customFormat="1" ht="61" customHeight="1" spans="1:86">
      <c r="A87" s="5195"/>
      <c r="B87" s="5196"/>
      <c r="C87" s="5195"/>
      <c r="D87" s="5197"/>
      <c r="E87" s="5195"/>
      <c r="F87" s="5197"/>
      <c r="G87" s="5197"/>
      <c r="H87" s="5195"/>
      <c r="I87" s="5213"/>
      <c r="J87" s="5197"/>
      <c r="K87" s="5195"/>
      <c r="L87" s="5197"/>
      <c r="M87" s="5195"/>
      <c r="N87" s="5195"/>
      <c r="O87" s="5195"/>
      <c r="P87" s="5195"/>
      <c r="Q87" s="5195"/>
      <c r="R87" s="5195"/>
      <c r="S87" s="5195"/>
      <c r="T87" s="5195"/>
      <c r="U87" s="5195"/>
      <c r="V87" s="5195"/>
      <c r="W87" s="5195"/>
      <c r="X87" s="5195"/>
      <c r="Y87" s="5195"/>
      <c r="Z87" s="5195"/>
      <c r="AA87" s="5195"/>
      <c r="AB87" s="5195"/>
      <c r="AC87" s="5195">
        <v>2</v>
      </c>
      <c r="AD87" s="5240"/>
      <c r="AE87" s="5239">
        <v>0.7</v>
      </c>
      <c r="AF87" s="5195">
        <v>700000</v>
      </c>
      <c r="AG87" s="5195"/>
      <c r="AH87" s="5195"/>
      <c r="AI87" s="5195"/>
      <c r="AJ87" s="5195"/>
      <c r="AK87" s="5247"/>
      <c r="AL87" s="5195"/>
      <c r="AM87" s="5195"/>
      <c r="AN87" s="5195"/>
      <c r="AO87" s="5195"/>
      <c r="AP87" s="5195"/>
      <c r="AQ87" s="5247"/>
      <c r="AR87" s="5195"/>
      <c r="AS87" s="5255"/>
      <c r="AT87" s="5247"/>
      <c r="AU87" s="5195"/>
      <c r="AV87" s="5195"/>
      <c r="AW87" s="5195"/>
      <c r="AX87" s="5195"/>
      <c r="AY87" s="5195"/>
      <c r="AZ87" s="5195"/>
      <c r="BA87" s="5247"/>
      <c r="BB87" s="5195"/>
      <c r="BC87" s="5195"/>
      <c r="BD87" s="5247"/>
      <c r="BE87" s="5247"/>
      <c r="BF87" s="5247"/>
      <c r="BG87" s="5247"/>
      <c r="BH87" s="5195"/>
      <c r="BI87" s="5195"/>
      <c r="BJ87" s="5195"/>
      <c r="BK87" s="5195"/>
      <c r="BL87" s="5195"/>
      <c r="BM87" s="5195"/>
      <c r="BN87" s="5195"/>
      <c r="BO87" s="5247"/>
      <c r="BP87" s="5247"/>
      <c r="BQ87" s="5247"/>
      <c r="BR87" s="5247"/>
      <c r="BS87" s="5247"/>
      <c r="BT87" s="5247"/>
      <c r="BU87" s="5247"/>
      <c r="BV87" s="5247"/>
      <c r="BW87" s="5247"/>
      <c r="BX87" s="5247"/>
      <c r="BY87" s="5247"/>
      <c r="BZ87" s="5247"/>
      <c r="CA87" s="5247"/>
      <c r="CB87" s="5247"/>
      <c r="CC87" s="5308"/>
      <c r="CD87" s="5308"/>
      <c r="CE87" s="5039"/>
      <c r="CF87" s="5039"/>
      <c r="CG87" s="5039"/>
      <c r="CH87" s="5039"/>
    </row>
    <row r="88" s="4972" customFormat="1" ht="71.25" customHeight="1" spans="1:86">
      <c r="A88" s="3662">
        <v>16</v>
      </c>
      <c r="B88" s="3684" t="s">
        <v>173</v>
      </c>
      <c r="C88" s="5127">
        <v>43931</v>
      </c>
      <c r="D88" s="5134" t="s">
        <v>297</v>
      </c>
      <c r="E88" s="3662" t="s">
        <v>113</v>
      </c>
      <c r="F88" s="5203" t="s">
        <v>298</v>
      </c>
      <c r="G88" s="5134" t="s">
        <v>299</v>
      </c>
      <c r="H88" s="3662" t="s">
        <v>240</v>
      </c>
      <c r="I88" s="3662"/>
      <c r="J88" s="5203" t="s">
        <v>300</v>
      </c>
      <c r="K88" s="3662" t="s">
        <v>171</v>
      </c>
      <c r="L88" s="3662" t="s">
        <v>171</v>
      </c>
      <c r="M88" s="3662">
        <f>SUM(N88:AA88)</f>
        <v>666894.3</v>
      </c>
      <c r="N88" s="5217"/>
      <c r="O88" s="5217"/>
      <c r="P88" s="5217"/>
      <c r="Q88" s="5217">
        <v>666894.3</v>
      </c>
      <c r="R88" s="5217"/>
      <c r="S88" s="5217"/>
      <c r="T88" s="5217"/>
      <c r="U88" s="5217"/>
      <c r="V88" s="5217"/>
      <c r="W88" s="5052">
        <v>0</v>
      </c>
      <c r="X88" s="5052">
        <v>0</v>
      </c>
      <c r="Y88" s="5052"/>
      <c r="Z88" s="5052"/>
      <c r="AA88" s="5217"/>
      <c r="AB88" s="5231" t="s">
        <v>301</v>
      </c>
      <c r="AC88" s="3662">
        <v>1</v>
      </c>
      <c r="AD88" s="5053" t="s">
        <v>302</v>
      </c>
      <c r="AE88" s="5115">
        <v>1</v>
      </c>
      <c r="AF88" s="3662">
        <f>AE88*M88</f>
        <v>666894.3</v>
      </c>
      <c r="AG88" s="3684">
        <f>SUM(BA88:BN88)</f>
        <v>666894.3</v>
      </c>
      <c r="AH88" s="3684" t="s">
        <v>122</v>
      </c>
      <c r="AI88" s="3684">
        <v>44126</v>
      </c>
      <c r="AJ88" s="3662">
        <v>666894.3</v>
      </c>
      <c r="AK88" s="5127">
        <v>44126</v>
      </c>
      <c r="AL88" s="3662">
        <v>666894.3</v>
      </c>
      <c r="AM88" s="3662">
        <v>44126</v>
      </c>
      <c r="AN88" s="3684">
        <f t="shared" ref="AN88:AN131" si="10">SUM(BO88:CB88)</f>
        <v>666894.3</v>
      </c>
      <c r="AO88" s="3684">
        <v>44165</v>
      </c>
      <c r="AP88" s="3662">
        <f t="shared" ref="AP88:AP91" si="11">AG88-AN88</f>
        <v>0</v>
      </c>
      <c r="AQ88" s="5127"/>
      <c r="AR88" s="3814" t="s">
        <v>128</v>
      </c>
      <c r="AS88" s="5134"/>
      <c r="AT88" s="5127"/>
      <c r="AU88" s="5261">
        <f>SUM(AG88)</f>
        <v>666894.3</v>
      </c>
      <c r="AV88" s="5261">
        <f>SUM(AL88)</f>
        <v>666894.3</v>
      </c>
      <c r="AW88" s="5261">
        <f>SUM(AN88)</f>
        <v>666894.3</v>
      </c>
      <c r="AX88" s="5261">
        <f>M88-AU88</f>
        <v>0</v>
      </c>
      <c r="AY88" s="5261">
        <f>AU88-AV88</f>
        <v>0</v>
      </c>
      <c r="AZ88" s="5261">
        <f>AV88-AW88</f>
        <v>0</v>
      </c>
      <c r="BA88" s="5148"/>
      <c r="BB88" s="3684"/>
      <c r="BC88" s="3684"/>
      <c r="BD88" s="5148">
        <v>666894.3</v>
      </c>
      <c r="BE88" s="5148"/>
      <c r="BF88" s="5148"/>
      <c r="BG88" s="5148"/>
      <c r="BH88" s="3684"/>
      <c r="BI88" s="3684"/>
      <c r="BJ88" s="3684"/>
      <c r="BK88" s="3684"/>
      <c r="BL88" s="3684"/>
      <c r="BM88" s="3684"/>
      <c r="BN88" s="3684"/>
      <c r="BO88" s="5127"/>
      <c r="BP88" s="5127"/>
      <c r="BQ88" s="5127"/>
      <c r="BR88" s="5164">
        <v>666894.3</v>
      </c>
      <c r="BS88" s="5127"/>
      <c r="BT88" s="5127"/>
      <c r="BU88" s="5127"/>
      <c r="BV88" s="5127"/>
      <c r="BW88" s="5127"/>
      <c r="BX88" s="5127"/>
      <c r="BY88" s="5127"/>
      <c r="BZ88" s="5127"/>
      <c r="CA88" s="5127"/>
      <c r="CB88" s="5127"/>
      <c r="CC88" s="3662" t="s">
        <v>166</v>
      </c>
      <c r="CD88" s="3662" t="s">
        <v>154</v>
      </c>
      <c r="CE88" s="5170"/>
      <c r="CF88" s="5170"/>
      <c r="CG88" s="5170"/>
      <c r="CH88" s="5170"/>
    </row>
    <row r="89" s="4965" customFormat="1" ht="61" customHeight="1" spans="1:86">
      <c r="A89" s="5198">
        <v>17</v>
      </c>
      <c r="B89" s="5147" t="s">
        <v>303</v>
      </c>
      <c r="C89" s="5122">
        <v>43849</v>
      </c>
      <c r="D89" s="5137" t="s">
        <v>304</v>
      </c>
      <c r="E89" s="3524" t="s">
        <v>113</v>
      </c>
      <c r="F89" s="5204" t="s">
        <v>305</v>
      </c>
      <c r="G89" s="5137" t="s">
        <v>306</v>
      </c>
      <c r="H89" s="3524" t="s">
        <v>240</v>
      </c>
      <c r="I89" s="3524"/>
      <c r="J89" s="5137" t="s">
        <v>307</v>
      </c>
      <c r="K89" s="3524">
        <v>98487</v>
      </c>
      <c r="L89" s="3524">
        <f>M89/K89</f>
        <v>4.80028836293115</v>
      </c>
      <c r="M89" s="3524">
        <f>SUBTOTAL(9,N89:AA89)</f>
        <v>472766</v>
      </c>
      <c r="N89" s="5218"/>
      <c r="O89" s="5218"/>
      <c r="P89" s="5218"/>
      <c r="Q89" s="5198">
        <v>472766</v>
      </c>
      <c r="R89" s="5218"/>
      <c r="S89" s="5218"/>
      <c r="T89" s="5218"/>
      <c r="U89" s="5218"/>
      <c r="V89" s="5218"/>
      <c r="W89" s="5198">
        <v>0</v>
      </c>
      <c r="X89" s="5198">
        <v>0</v>
      </c>
      <c r="Y89" s="5198"/>
      <c r="Z89" s="5198"/>
      <c r="AA89" s="5218"/>
      <c r="AB89" s="5218"/>
      <c r="AC89" s="3524">
        <v>1</v>
      </c>
      <c r="AD89" s="3742" t="s">
        <v>308</v>
      </c>
      <c r="AE89" s="5117">
        <v>1</v>
      </c>
      <c r="AF89" s="3524">
        <v>472766</v>
      </c>
      <c r="AG89" s="5123"/>
      <c r="AH89" s="3406"/>
      <c r="AI89" s="5123"/>
      <c r="AJ89" s="3524"/>
      <c r="AK89" s="5122"/>
      <c r="AL89" s="3524"/>
      <c r="AM89" s="3524"/>
      <c r="AN89" s="3524">
        <f t="shared" si="10"/>
        <v>0</v>
      </c>
      <c r="AO89" s="3524"/>
      <c r="AP89" s="3524">
        <f t="shared" si="11"/>
        <v>0</v>
      </c>
      <c r="AQ89" s="5122"/>
      <c r="AR89" s="3524"/>
      <c r="AS89" s="5137"/>
      <c r="AT89" s="5122"/>
      <c r="AU89" s="5262">
        <f>SUM(AG89)</f>
        <v>0</v>
      </c>
      <c r="AV89" s="5262">
        <f>SUM(AL89)</f>
        <v>0</v>
      </c>
      <c r="AW89" s="5262">
        <f>SUM(AN89)</f>
        <v>0</v>
      </c>
      <c r="AX89" s="5262">
        <f>M89-AU89</f>
        <v>472766</v>
      </c>
      <c r="AY89" s="5262">
        <f>AU89-AV89</f>
        <v>0</v>
      </c>
      <c r="AZ89" s="5262">
        <f>AV89-AW89</f>
        <v>0</v>
      </c>
      <c r="BA89" s="5122"/>
      <c r="BB89" s="3524"/>
      <c r="BC89" s="3524"/>
      <c r="BD89" s="3524">
        <v>472766</v>
      </c>
      <c r="BE89" s="5122"/>
      <c r="BF89" s="5122"/>
      <c r="BG89" s="5122"/>
      <c r="BH89" s="3524"/>
      <c r="BI89" s="3524"/>
      <c r="BJ89" s="3524"/>
      <c r="BK89" s="3524"/>
      <c r="BL89" s="3524"/>
      <c r="BM89" s="3524"/>
      <c r="BN89" s="3524"/>
      <c r="BO89" s="5122"/>
      <c r="BP89" s="5122"/>
      <c r="BQ89" s="5122"/>
      <c r="BR89" s="5122"/>
      <c r="BS89" s="5122"/>
      <c r="BT89" s="5122"/>
      <c r="BU89" s="5122"/>
      <c r="BV89" s="5122"/>
      <c r="BW89" s="5122"/>
      <c r="BX89" s="5122"/>
      <c r="BY89" s="5122"/>
      <c r="BZ89" s="5122"/>
      <c r="CA89" s="5122"/>
      <c r="CB89" s="5122"/>
      <c r="CC89" s="3524" t="s">
        <v>166</v>
      </c>
      <c r="CD89" s="3524" t="s">
        <v>154</v>
      </c>
      <c r="CE89" s="5169"/>
      <c r="CF89" s="5169"/>
      <c r="CG89" s="5169"/>
      <c r="CH89" s="5169"/>
    </row>
    <row r="90" s="4965" customFormat="1" ht="47.5" customHeight="1" spans="1:86">
      <c r="A90" s="3524">
        <v>18</v>
      </c>
      <c r="B90" s="3524" t="s">
        <v>173</v>
      </c>
      <c r="C90" s="3524">
        <v>43499</v>
      </c>
      <c r="D90" s="5199" t="s">
        <v>309</v>
      </c>
      <c r="E90" s="3524" t="s">
        <v>113</v>
      </c>
      <c r="F90" s="1095" t="s">
        <v>310</v>
      </c>
      <c r="G90" s="3742" t="s">
        <v>311</v>
      </c>
      <c r="H90" s="3742" t="s">
        <v>116</v>
      </c>
      <c r="I90" s="5214"/>
      <c r="J90" s="3742" t="s">
        <v>312</v>
      </c>
      <c r="K90" s="1032" t="s">
        <v>313</v>
      </c>
      <c r="L90" s="1032" t="s">
        <v>314</v>
      </c>
      <c r="M90" s="3524">
        <f>SUM(N90:AA96)</f>
        <v>5114261.25</v>
      </c>
      <c r="N90" s="5051"/>
      <c r="O90" s="5051"/>
      <c r="P90" s="5051">
        <v>5114261.25</v>
      </c>
      <c r="Q90" s="5051"/>
      <c r="R90" s="5051"/>
      <c r="S90" s="5051"/>
      <c r="T90" s="5051"/>
      <c r="U90" s="5051"/>
      <c r="V90" s="5051"/>
      <c r="W90" s="5051">
        <v>0</v>
      </c>
      <c r="X90" s="5051">
        <v>0</v>
      </c>
      <c r="Y90" s="5051"/>
      <c r="Z90" s="5051"/>
      <c r="AA90" s="5051"/>
      <c r="AB90" s="5194" t="s">
        <v>315</v>
      </c>
      <c r="AC90" s="3524">
        <v>1</v>
      </c>
      <c r="AD90" s="3524" t="s">
        <v>316</v>
      </c>
      <c r="AE90" s="5117">
        <v>0.2</v>
      </c>
      <c r="AF90" s="3524">
        <f>M90*AE90</f>
        <v>1022852.25</v>
      </c>
      <c r="AG90" s="3524">
        <f>SUM(BA90:BN90)</f>
        <v>1022852.25</v>
      </c>
      <c r="AH90" s="3524" t="s">
        <v>206</v>
      </c>
      <c r="AI90" s="3524">
        <v>43563</v>
      </c>
      <c r="AJ90" s="3524">
        <v>1022852.25</v>
      </c>
      <c r="AK90" s="3524" t="s">
        <v>171</v>
      </c>
      <c r="AL90" s="5122">
        <v>1022852.25</v>
      </c>
      <c r="AM90" s="3524">
        <v>43563</v>
      </c>
      <c r="AN90" s="3524">
        <f t="shared" si="10"/>
        <v>1022852.25</v>
      </c>
      <c r="AO90" s="3524">
        <v>43728</v>
      </c>
      <c r="AP90" s="3524">
        <f t="shared" si="11"/>
        <v>0</v>
      </c>
      <c r="AQ90" s="5122"/>
      <c r="AR90" s="3524"/>
      <c r="AS90" s="5137"/>
      <c r="AT90" s="5122"/>
      <c r="AU90" s="5051">
        <f>SUM(AJ90:AJ96)</f>
        <v>5114261.25</v>
      </c>
      <c r="AV90" s="5051">
        <f>SUM(AL90:AL96)</f>
        <v>5250820.75</v>
      </c>
      <c r="AW90" s="5051">
        <f>SUM(AN90:AN96)</f>
        <v>4602835.12</v>
      </c>
      <c r="AX90" s="5051">
        <f>M90-AU90</f>
        <v>0</v>
      </c>
      <c r="AY90" s="5051">
        <f>AU90-AV90</f>
        <v>-136559.5</v>
      </c>
      <c r="AZ90" s="5051">
        <f>AV90-AW90</f>
        <v>647985.63</v>
      </c>
      <c r="BA90" s="5146"/>
      <c r="BB90" s="3812"/>
      <c r="BC90" s="5146">
        <v>1022852.25</v>
      </c>
      <c r="BD90" s="5146"/>
      <c r="BE90" s="5146"/>
      <c r="BF90" s="5146"/>
      <c r="BG90" s="5146"/>
      <c r="BH90" s="3812"/>
      <c r="BI90" s="3812"/>
      <c r="BJ90" s="3812"/>
      <c r="BK90" s="3812"/>
      <c r="BL90" s="3812"/>
      <c r="BM90" s="3812"/>
      <c r="BN90" s="3812"/>
      <c r="BO90" s="5122"/>
      <c r="BP90" s="5122"/>
      <c r="BQ90" s="5122">
        <v>1022852.25</v>
      </c>
      <c r="BR90" s="5122"/>
      <c r="BS90" s="5122"/>
      <c r="BT90" s="5122"/>
      <c r="BU90" s="5122"/>
      <c r="BV90" s="5122"/>
      <c r="BW90" s="5122"/>
      <c r="BX90" s="5122"/>
      <c r="BY90" s="5122"/>
      <c r="BZ90" s="5122"/>
      <c r="CA90" s="5122"/>
      <c r="CB90" s="5122"/>
      <c r="CC90" s="3524" t="s">
        <v>247</v>
      </c>
      <c r="CD90" s="3524" t="s">
        <v>125</v>
      </c>
      <c r="CE90" s="5169"/>
      <c r="CF90" s="5169"/>
      <c r="CG90" s="5169"/>
      <c r="CH90" s="5169"/>
    </row>
    <row r="91" s="4965" customFormat="1" ht="47.5" customHeight="1" spans="1:86">
      <c r="A91" s="3524"/>
      <c r="B91" s="3524"/>
      <c r="C91" s="3524"/>
      <c r="D91" s="3742"/>
      <c r="E91" s="3524"/>
      <c r="F91" s="1095"/>
      <c r="G91" s="3742"/>
      <c r="H91" s="3742"/>
      <c r="I91" s="5074"/>
      <c r="J91" s="3742"/>
      <c r="K91" s="3742"/>
      <c r="L91" s="3742"/>
      <c r="M91" s="3524"/>
      <c r="N91" s="5051"/>
      <c r="O91" s="5051"/>
      <c r="P91" s="5051"/>
      <c r="Q91" s="5051"/>
      <c r="R91" s="5051"/>
      <c r="S91" s="5051"/>
      <c r="T91" s="5051"/>
      <c r="U91" s="5051"/>
      <c r="V91" s="5051"/>
      <c r="W91" s="5051"/>
      <c r="X91" s="5051"/>
      <c r="Y91" s="5051"/>
      <c r="Z91" s="5051"/>
      <c r="AA91" s="5051"/>
      <c r="AB91" s="5194"/>
      <c r="AC91" s="3524">
        <v>2</v>
      </c>
      <c r="AD91" s="3742" t="s">
        <v>317</v>
      </c>
      <c r="AE91" s="5117">
        <v>0.2</v>
      </c>
      <c r="AF91" s="3524">
        <f>AE91*M90</f>
        <v>1022852.25</v>
      </c>
      <c r="AG91" s="3524">
        <f>SUM(BA91:BN91)</f>
        <v>1022852.25</v>
      </c>
      <c r="AH91" s="3524" t="s">
        <v>206</v>
      </c>
      <c r="AI91" s="3524">
        <v>43670</v>
      </c>
      <c r="AJ91" s="3524">
        <v>1022852.25</v>
      </c>
      <c r="AK91" s="3524" t="s">
        <v>171</v>
      </c>
      <c r="AL91" s="5122">
        <v>1022852.25</v>
      </c>
      <c r="AM91" s="3524">
        <v>43670</v>
      </c>
      <c r="AN91" s="3524">
        <f t="shared" si="10"/>
        <v>1022852.25</v>
      </c>
      <c r="AO91" s="3524">
        <v>43798</v>
      </c>
      <c r="AP91" s="3524">
        <f t="shared" si="11"/>
        <v>0</v>
      </c>
      <c r="AQ91" s="5122" t="s">
        <v>318</v>
      </c>
      <c r="AR91" s="3524"/>
      <c r="AS91" s="5137"/>
      <c r="AT91" s="5122"/>
      <c r="AU91" s="5051"/>
      <c r="AV91" s="5051"/>
      <c r="AW91" s="5051"/>
      <c r="AX91" s="5051"/>
      <c r="AY91" s="5051"/>
      <c r="AZ91" s="5051"/>
      <c r="BA91" s="5146"/>
      <c r="BB91" s="3812"/>
      <c r="BC91" s="5146">
        <v>1022852.25</v>
      </c>
      <c r="BD91" s="5146"/>
      <c r="BE91" s="5146"/>
      <c r="BF91" s="5146"/>
      <c r="BG91" s="5146"/>
      <c r="BH91" s="3812"/>
      <c r="BI91" s="3812"/>
      <c r="BJ91" s="3812"/>
      <c r="BK91" s="3812"/>
      <c r="BL91" s="3812"/>
      <c r="BM91" s="3812"/>
      <c r="BN91" s="3812"/>
      <c r="BO91" s="5122"/>
      <c r="BP91" s="5122"/>
      <c r="BQ91" s="5122">
        <v>1022852.25</v>
      </c>
      <c r="BR91" s="5122"/>
      <c r="BS91" s="5122"/>
      <c r="BT91" s="5122"/>
      <c r="BU91" s="5122"/>
      <c r="BV91" s="5122"/>
      <c r="BW91" s="5122"/>
      <c r="BX91" s="5122"/>
      <c r="BY91" s="5122"/>
      <c r="BZ91" s="5122"/>
      <c r="CA91" s="5122"/>
      <c r="CB91" s="5122"/>
      <c r="CC91" s="3524"/>
      <c r="CD91" s="3524"/>
      <c r="CE91" s="5169"/>
      <c r="CF91" s="5169"/>
      <c r="CG91" s="5169"/>
      <c r="CH91" s="5169"/>
    </row>
    <row r="92" s="4965" customFormat="1" ht="61" customHeight="1" spans="1:86">
      <c r="A92" s="3524"/>
      <c r="B92" s="3524"/>
      <c r="C92" s="3524"/>
      <c r="D92" s="3742"/>
      <c r="E92" s="3524"/>
      <c r="F92" s="1095"/>
      <c r="G92" s="3742"/>
      <c r="H92" s="3742"/>
      <c r="I92" s="5074"/>
      <c r="J92" s="3742"/>
      <c r="K92" s="3742"/>
      <c r="L92" s="3742"/>
      <c r="M92" s="3524"/>
      <c r="N92" s="5051"/>
      <c r="O92" s="5051"/>
      <c r="P92" s="5051"/>
      <c r="Q92" s="5051"/>
      <c r="R92" s="5051"/>
      <c r="S92" s="5051"/>
      <c r="T92" s="5051"/>
      <c r="U92" s="5051"/>
      <c r="V92" s="5051"/>
      <c r="W92" s="5051"/>
      <c r="X92" s="5051"/>
      <c r="Y92" s="5051"/>
      <c r="Z92" s="5051"/>
      <c r="AA92" s="5051"/>
      <c r="AB92" s="5194"/>
      <c r="AC92" s="3524">
        <v>3</v>
      </c>
      <c r="AD92" s="3742" t="s">
        <v>319</v>
      </c>
      <c r="AE92" s="5117">
        <v>0.2</v>
      </c>
      <c r="AF92" s="3524">
        <f>AE92*M90</f>
        <v>1022852.25</v>
      </c>
      <c r="AG92" s="3524">
        <f>SUM(BA92:BN92)</f>
        <v>1022852.25</v>
      </c>
      <c r="AH92" s="3524" t="s">
        <v>122</v>
      </c>
      <c r="AI92" s="3524">
        <v>43709</v>
      </c>
      <c r="AJ92" s="3524">
        <v>1022852.25</v>
      </c>
      <c r="AK92" s="3524">
        <v>43709</v>
      </c>
      <c r="AL92" s="3524">
        <v>1022852.25</v>
      </c>
      <c r="AM92" s="3524">
        <v>43816</v>
      </c>
      <c r="AN92" s="3524">
        <f t="shared" si="10"/>
        <v>510000</v>
      </c>
      <c r="AO92" s="3524">
        <v>43978</v>
      </c>
      <c r="AP92" s="3524">
        <v>0</v>
      </c>
      <c r="AQ92" s="5122"/>
      <c r="AR92" s="3524"/>
      <c r="AS92" s="5137"/>
      <c r="AT92" s="5122"/>
      <c r="AU92" s="5051"/>
      <c r="AV92" s="5051"/>
      <c r="AW92" s="5051"/>
      <c r="AX92" s="5051"/>
      <c r="AY92" s="5051"/>
      <c r="AZ92" s="5051"/>
      <c r="BA92" s="5146"/>
      <c r="BB92" s="3812"/>
      <c r="BC92" s="3812">
        <v>1022852.25</v>
      </c>
      <c r="BD92" s="5146"/>
      <c r="BE92" s="5146"/>
      <c r="BF92" s="5146"/>
      <c r="BG92" s="5146"/>
      <c r="BH92" s="3812"/>
      <c r="BI92" s="3812"/>
      <c r="BJ92" s="3812"/>
      <c r="BK92" s="3812"/>
      <c r="BL92" s="3812"/>
      <c r="BM92" s="3812"/>
      <c r="BN92" s="3812"/>
      <c r="BO92" s="5122"/>
      <c r="BP92" s="5122"/>
      <c r="BQ92" s="5122">
        <v>510000</v>
      </c>
      <c r="BR92" s="5122"/>
      <c r="BS92" s="5122"/>
      <c r="BT92" s="5122"/>
      <c r="BU92" s="5122"/>
      <c r="BV92" s="5122"/>
      <c r="BW92" s="5122"/>
      <c r="BX92" s="5122"/>
      <c r="BY92" s="5122"/>
      <c r="BZ92" s="5122"/>
      <c r="CA92" s="5122"/>
      <c r="CB92" s="5122"/>
      <c r="CC92" s="3524"/>
      <c r="CD92" s="3524"/>
      <c r="CE92" s="5169"/>
      <c r="CF92" s="5169"/>
      <c r="CG92" s="5169"/>
      <c r="CH92" s="5169"/>
    </row>
    <row r="93" s="4965" customFormat="1" ht="61" customHeight="1" spans="1:86">
      <c r="A93" s="3524"/>
      <c r="B93" s="3524"/>
      <c r="C93" s="3524"/>
      <c r="D93" s="3742"/>
      <c r="E93" s="3524"/>
      <c r="F93" s="1095"/>
      <c r="G93" s="3742"/>
      <c r="H93" s="3742"/>
      <c r="I93" s="5074"/>
      <c r="J93" s="3742"/>
      <c r="K93" s="3742"/>
      <c r="L93" s="3742"/>
      <c r="M93" s="3524"/>
      <c r="N93" s="5051"/>
      <c r="O93" s="5051"/>
      <c r="P93" s="5051"/>
      <c r="Q93" s="5051"/>
      <c r="R93" s="5051"/>
      <c r="S93" s="5051"/>
      <c r="T93" s="5051"/>
      <c r="U93" s="5051"/>
      <c r="V93" s="5051"/>
      <c r="W93" s="5051"/>
      <c r="X93" s="5051"/>
      <c r="Y93" s="5051"/>
      <c r="Z93" s="5051"/>
      <c r="AA93" s="5051"/>
      <c r="AB93" s="5194"/>
      <c r="AC93" s="3524">
        <v>4</v>
      </c>
      <c r="AD93" s="3742"/>
      <c r="AE93" s="5117"/>
      <c r="AF93" s="3524"/>
      <c r="AG93" s="3524"/>
      <c r="AH93" s="3524"/>
      <c r="AI93" s="3524"/>
      <c r="AJ93" s="3524"/>
      <c r="AK93" s="3524"/>
      <c r="AL93" s="3524"/>
      <c r="AM93" s="3524"/>
      <c r="AN93" s="3524">
        <f t="shared" si="10"/>
        <v>512852.25</v>
      </c>
      <c r="AO93" s="3524">
        <v>44011</v>
      </c>
      <c r="AP93" s="5122">
        <f>SUM(BQ93:CD93)</f>
        <v>512852.25</v>
      </c>
      <c r="AQ93" s="5122"/>
      <c r="AR93" s="3524"/>
      <c r="AS93" s="5137"/>
      <c r="AT93" s="5122"/>
      <c r="AU93" s="5051"/>
      <c r="AV93" s="5051"/>
      <c r="AW93" s="5051"/>
      <c r="AX93" s="5051"/>
      <c r="AY93" s="5051"/>
      <c r="AZ93" s="5051"/>
      <c r="BA93" s="5146"/>
      <c r="BB93" s="3812"/>
      <c r="BC93" s="3812"/>
      <c r="BD93" s="5146"/>
      <c r="BE93" s="5146"/>
      <c r="BF93" s="5146"/>
      <c r="BG93" s="5146"/>
      <c r="BH93" s="3812"/>
      <c r="BI93" s="3812"/>
      <c r="BJ93" s="3812"/>
      <c r="BK93" s="3812"/>
      <c r="BL93" s="3812"/>
      <c r="BM93" s="3812"/>
      <c r="BN93" s="3812"/>
      <c r="BO93" s="5122"/>
      <c r="BP93" s="5122"/>
      <c r="BQ93" s="5122">
        <v>512852.25</v>
      </c>
      <c r="BR93" s="5122"/>
      <c r="BS93" s="5122"/>
      <c r="BT93" s="5122"/>
      <c r="BU93" s="5122"/>
      <c r="BV93" s="5122"/>
      <c r="BW93" s="5122"/>
      <c r="BX93" s="5122"/>
      <c r="BY93" s="5122"/>
      <c r="BZ93" s="5122"/>
      <c r="CA93" s="5122"/>
      <c r="CB93" s="5122"/>
      <c r="CC93" s="3524"/>
      <c r="CD93" s="3524"/>
      <c r="CE93" s="5169"/>
      <c r="CF93" s="5169"/>
      <c r="CG93" s="5169"/>
      <c r="CH93" s="5169"/>
    </row>
    <row r="94" s="4965" customFormat="1" ht="47.5" customHeight="1" spans="1:86">
      <c r="A94" s="3524"/>
      <c r="B94" s="3524"/>
      <c r="C94" s="3524"/>
      <c r="D94" s="3742"/>
      <c r="E94" s="3524"/>
      <c r="F94" s="1095"/>
      <c r="G94" s="3742"/>
      <c r="H94" s="3742"/>
      <c r="I94" s="5074"/>
      <c r="J94" s="3742"/>
      <c r="K94" s="3742"/>
      <c r="L94" s="3742"/>
      <c r="M94" s="3524"/>
      <c r="N94" s="5051"/>
      <c r="O94" s="5051"/>
      <c r="P94" s="5051"/>
      <c r="Q94" s="5051"/>
      <c r="R94" s="5051"/>
      <c r="S94" s="5051"/>
      <c r="T94" s="5051"/>
      <c r="U94" s="5051"/>
      <c r="V94" s="5051"/>
      <c r="W94" s="5051"/>
      <c r="X94" s="5051"/>
      <c r="Y94" s="5051"/>
      <c r="Z94" s="5051"/>
      <c r="AA94" s="5051"/>
      <c r="AB94" s="5194"/>
      <c r="AC94" s="3524">
        <v>5</v>
      </c>
      <c r="AD94" s="3742" t="s">
        <v>320</v>
      </c>
      <c r="AE94" s="5117">
        <v>0.2</v>
      </c>
      <c r="AF94" s="3524">
        <f>AE94*M90</f>
        <v>1022852.25</v>
      </c>
      <c r="AG94" s="3524">
        <f t="shared" ref="AG94:AG99" si="12">SUM(BA94:BN94)</f>
        <v>1022852.25</v>
      </c>
      <c r="AH94" s="3524" t="s">
        <v>122</v>
      </c>
      <c r="AI94" s="3524">
        <v>43769</v>
      </c>
      <c r="AJ94" s="3524">
        <v>1022852.25</v>
      </c>
      <c r="AK94" s="3524">
        <v>43769</v>
      </c>
      <c r="AL94" s="3524">
        <v>1022852.25</v>
      </c>
      <c r="AM94" s="3812">
        <v>44324</v>
      </c>
      <c r="AN94" s="3524">
        <f t="shared" si="10"/>
        <v>1022852.25</v>
      </c>
      <c r="AO94" s="3812">
        <v>44376</v>
      </c>
      <c r="AP94" s="3524">
        <f t="shared" ref="AP94:AP99" si="13">AG94-AN94</f>
        <v>0</v>
      </c>
      <c r="AQ94" s="5137" t="s">
        <v>321</v>
      </c>
      <c r="AR94" s="3524"/>
      <c r="AS94" s="5137"/>
      <c r="AT94" s="5122"/>
      <c r="AU94" s="5051"/>
      <c r="AV94" s="5051"/>
      <c r="AW94" s="5051"/>
      <c r="AX94" s="5051"/>
      <c r="AY94" s="5051"/>
      <c r="AZ94" s="5051"/>
      <c r="BA94" s="5146"/>
      <c r="BB94" s="3812"/>
      <c r="BC94" s="5146">
        <v>1022852.25</v>
      </c>
      <c r="BD94" s="5146"/>
      <c r="BE94" s="5146"/>
      <c r="BF94" s="5146"/>
      <c r="BG94" s="5146"/>
      <c r="BH94" s="3812"/>
      <c r="BI94" s="3812"/>
      <c r="BJ94" s="3812"/>
      <c r="BK94" s="3812"/>
      <c r="BL94" s="3812"/>
      <c r="BM94" s="3812"/>
      <c r="BN94" s="3812"/>
      <c r="BO94" s="5146"/>
      <c r="BP94" s="5146"/>
      <c r="BQ94" s="5146">
        <v>1022852.25</v>
      </c>
      <c r="BR94" s="5146"/>
      <c r="BS94" s="5146"/>
      <c r="BT94" s="5146"/>
      <c r="BU94" s="5146"/>
      <c r="BV94" s="5146"/>
      <c r="BW94" s="5146"/>
      <c r="BX94" s="5146"/>
      <c r="BY94" s="5146"/>
      <c r="BZ94" s="5146"/>
      <c r="CA94" s="5146"/>
      <c r="CB94" s="5146"/>
      <c r="CC94" s="3524"/>
      <c r="CD94" s="3524"/>
      <c r="CE94" s="5169"/>
      <c r="CF94" s="5169"/>
      <c r="CG94" s="5169"/>
      <c r="CH94" s="5169"/>
    </row>
    <row r="95" s="4965" customFormat="1" ht="44.15" customHeight="1" spans="1:86">
      <c r="A95" s="3524"/>
      <c r="B95" s="3524"/>
      <c r="C95" s="3524"/>
      <c r="D95" s="3742"/>
      <c r="E95" s="3524"/>
      <c r="F95" s="1095"/>
      <c r="G95" s="3742"/>
      <c r="H95" s="3742"/>
      <c r="I95" s="5074"/>
      <c r="J95" s="3742"/>
      <c r="K95" s="3742"/>
      <c r="L95" s="3742"/>
      <c r="M95" s="3524"/>
      <c r="N95" s="5051"/>
      <c r="O95" s="5051"/>
      <c r="P95" s="5051"/>
      <c r="Q95" s="5051"/>
      <c r="R95" s="5051"/>
      <c r="S95" s="5051"/>
      <c r="T95" s="5051"/>
      <c r="U95" s="5051"/>
      <c r="V95" s="5051"/>
      <c r="W95" s="5051"/>
      <c r="X95" s="5051"/>
      <c r="Y95" s="5051"/>
      <c r="Z95" s="5051"/>
      <c r="AA95" s="5051"/>
      <c r="AB95" s="5194"/>
      <c r="AC95" s="3524">
        <v>6</v>
      </c>
      <c r="AD95" s="3742" t="s">
        <v>322</v>
      </c>
      <c r="AE95" s="5117">
        <v>0.1</v>
      </c>
      <c r="AF95" s="3524">
        <f>AE95*M90</f>
        <v>511426.125</v>
      </c>
      <c r="AG95" s="3812">
        <f t="shared" si="12"/>
        <v>511426.12</v>
      </c>
      <c r="AH95" s="3812" t="s">
        <v>122</v>
      </c>
      <c r="AI95" s="3812">
        <v>44547</v>
      </c>
      <c r="AJ95" s="3812">
        <v>511426.12</v>
      </c>
      <c r="AK95" s="5146">
        <v>44547</v>
      </c>
      <c r="AL95" s="3524">
        <v>511426.12</v>
      </c>
      <c r="AM95" s="3524">
        <v>44614</v>
      </c>
      <c r="AN95" s="3812">
        <f t="shared" si="10"/>
        <v>511426.12</v>
      </c>
      <c r="AO95" s="3812">
        <v>44645</v>
      </c>
      <c r="AP95" s="3524">
        <f t="shared" si="13"/>
        <v>0</v>
      </c>
      <c r="AQ95" s="5122"/>
      <c r="AR95" s="3524"/>
      <c r="AS95" s="5137"/>
      <c r="AT95" s="5256"/>
      <c r="AU95" s="5051"/>
      <c r="AV95" s="5051"/>
      <c r="AW95" s="5051"/>
      <c r="AX95" s="5051"/>
      <c r="AY95" s="5051"/>
      <c r="AZ95" s="5051"/>
      <c r="BA95" s="5146"/>
      <c r="BB95" s="3812"/>
      <c r="BC95" s="3812">
        <v>511426.12</v>
      </c>
      <c r="BD95" s="5146"/>
      <c r="BE95" s="5146"/>
      <c r="BF95" s="5146"/>
      <c r="BG95" s="5146"/>
      <c r="BH95" s="3812"/>
      <c r="BI95" s="3812"/>
      <c r="BJ95" s="3812"/>
      <c r="BK95" s="3812"/>
      <c r="BL95" s="3812"/>
      <c r="BM95" s="3812"/>
      <c r="BN95" s="3812"/>
      <c r="BO95" s="5122"/>
      <c r="BP95" s="5122"/>
      <c r="BQ95" s="5122">
        <v>511426.12</v>
      </c>
      <c r="BR95" s="5122"/>
      <c r="BS95" s="5122"/>
      <c r="BT95" s="5122"/>
      <c r="BU95" s="5122"/>
      <c r="BV95" s="5122"/>
      <c r="BW95" s="5122"/>
      <c r="BX95" s="5122"/>
      <c r="BY95" s="5122"/>
      <c r="BZ95" s="5122"/>
      <c r="CA95" s="5122"/>
      <c r="CB95" s="5122"/>
      <c r="CC95" s="3524"/>
      <c r="CD95" s="3524"/>
      <c r="CE95" s="5169"/>
      <c r="CF95" s="5169"/>
      <c r="CG95" s="5169"/>
      <c r="CH95" s="5169"/>
    </row>
    <row r="96" s="4965" customFormat="1" ht="48.35" customHeight="1" spans="1:86">
      <c r="A96" s="3524"/>
      <c r="B96" s="3524"/>
      <c r="C96" s="3524"/>
      <c r="D96" s="3742"/>
      <c r="E96" s="3524"/>
      <c r="F96" s="1095"/>
      <c r="G96" s="3742"/>
      <c r="H96" s="3742"/>
      <c r="I96" s="5075"/>
      <c r="J96" s="3742"/>
      <c r="K96" s="3742"/>
      <c r="L96" s="3742"/>
      <c r="M96" s="3524"/>
      <c r="N96" s="5051"/>
      <c r="O96" s="5051"/>
      <c r="P96" s="5051"/>
      <c r="Q96" s="5051"/>
      <c r="R96" s="5051"/>
      <c r="S96" s="5051"/>
      <c r="T96" s="5051"/>
      <c r="U96" s="5051"/>
      <c r="V96" s="5051"/>
      <c r="W96" s="5051"/>
      <c r="X96" s="5051"/>
      <c r="Y96" s="5051"/>
      <c r="Z96" s="5051"/>
      <c r="AA96" s="5051"/>
      <c r="AB96" s="5194"/>
      <c r="AC96" s="3524">
        <v>7</v>
      </c>
      <c r="AD96" s="3742" t="s">
        <v>323</v>
      </c>
      <c r="AE96" s="5117">
        <v>0.1</v>
      </c>
      <c r="AF96" s="3524">
        <f>AE96*M90</f>
        <v>511426.125</v>
      </c>
      <c r="AG96" s="3812">
        <f t="shared" si="12"/>
        <v>511426.13</v>
      </c>
      <c r="AH96" s="857" t="s">
        <v>122</v>
      </c>
      <c r="AI96" s="3812">
        <v>44879</v>
      </c>
      <c r="AJ96" s="3812">
        <v>511426.13</v>
      </c>
      <c r="AK96" s="3812">
        <v>44879</v>
      </c>
      <c r="AL96" s="5123">
        <v>647985.63</v>
      </c>
      <c r="AM96" s="3524"/>
      <c r="AN96" s="3524">
        <f t="shared" si="10"/>
        <v>0</v>
      </c>
      <c r="AO96" s="3524"/>
      <c r="AP96" s="3524">
        <f t="shared" si="13"/>
        <v>511426.13</v>
      </c>
      <c r="AQ96" s="5256" t="s">
        <v>324</v>
      </c>
      <c r="AR96" s="3524"/>
      <c r="AS96" s="5137"/>
      <c r="AT96" s="5122"/>
      <c r="AU96" s="5051"/>
      <c r="AV96" s="5051"/>
      <c r="AW96" s="5051"/>
      <c r="AX96" s="5051"/>
      <c r="AY96" s="5051"/>
      <c r="AZ96" s="5051"/>
      <c r="BA96" s="5146"/>
      <c r="BB96" s="3812"/>
      <c r="BC96" s="3812">
        <v>511426.13</v>
      </c>
      <c r="BD96" s="5146"/>
      <c r="BE96" s="5146"/>
      <c r="BF96" s="5146"/>
      <c r="BG96" s="5146"/>
      <c r="BH96" s="3812"/>
      <c r="BI96" s="3812"/>
      <c r="BJ96" s="3812"/>
      <c r="BK96" s="3812"/>
      <c r="BL96" s="3812"/>
      <c r="BM96" s="3812"/>
      <c r="BN96" s="3812"/>
      <c r="BO96" s="5122"/>
      <c r="BP96" s="5122"/>
      <c r="BQ96" s="5122"/>
      <c r="BR96" s="5122"/>
      <c r="BS96" s="5122"/>
      <c r="BT96" s="5122"/>
      <c r="BU96" s="5122"/>
      <c r="BV96" s="5122"/>
      <c r="BW96" s="5122"/>
      <c r="BX96" s="5122"/>
      <c r="BY96" s="5122"/>
      <c r="BZ96" s="5122"/>
      <c r="CA96" s="5122"/>
      <c r="CB96" s="5122"/>
      <c r="CC96" s="3524"/>
      <c r="CD96" s="3524"/>
      <c r="CE96" s="5169"/>
      <c r="CF96" s="5169"/>
      <c r="CG96" s="5169"/>
      <c r="CH96" s="5169"/>
    </row>
    <row r="97" s="4965" customFormat="1" ht="61" customHeight="1" spans="1:86">
      <c r="A97" s="5084">
        <v>19</v>
      </c>
      <c r="B97" s="3524" t="s">
        <v>303</v>
      </c>
      <c r="C97" s="3524">
        <v>43521</v>
      </c>
      <c r="D97" s="1032" t="s">
        <v>325</v>
      </c>
      <c r="E97" s="3524" t="s">
        <v>113</v>
      </c>
      <c r="F97" s="3742" t="s">
        <v>326</v>
      </c>
      <c r="G97" s="3742" t="s">
        <v>327</v>
      </c>
      <c r="H97" s="3524" t="s">
        <v>240</v>
      </c>
      <c r="I97" s="4087"/>
      <c r="J97" s="3742" t="s">
        <v>307</v>
      </c>
      <c r="K97" s="3524">
        <v>100000</v>
      </c>
      <c r="L97" s="3742" t="s">
        <v>328</v>
      </c>
      <c r="M97" s="3524">
        <f>SUM(N97:AA103)</f>
        <v>1800000</v>
      </c>
      <c r="N97" s="5084"/>
      <c r="O97" s="5084"/>
      <c r="P97" s="5084"/>
      <c r="Q97" s="5084">
        <v>1800000</v>
      </c>
      <c r="R97" s="5084"/>
      <c r="S97" s="5084"/>
      <c r="T97" s="5084"/>
      <c r="U97" s="5084"/>
      <c r="V97" s="5084"/>
      <c r="W97" s="5084">
        <v>0</v>
      </c>
      <c r="X97" s="5084">
        <v>0</v>
      </c>
      <c r="Y97" s="5084"/>
      <c r="Z97" s="5084"/>
      <c r="AA97" s="5084"/>
      <c r="AB97" s="5084"/>
      <c r="AC97" s="3742">
        <v>1</v>
      </c>
      <c r="AD97" s="5104" t="s">
        <v>329</v>
      </c>
      <c r="AE97" s="5117">
        <v>0.1</v>
      </c>
      <c r="AF97" s="3524">
        <f>AE97*Q97</f>
        <v>180000</v>
      </c>
      <c r="AG97" s="3524">
        <f t="shared" si="12"/>
        <v>180000</v>
      </c>
      <c r="AH97" s="3524" t="s">
        <v>206</v>
      </c>
      <c r="AI97" s="3524">
        <v>43700</v>
      </c>
      <c r="AJ97" s="3524" t="s">
        <v>171</v>
      </c>
      <c r="AK97" s="3524" t="s">
        <v>171</v>
      </c>
      <c r="AL97" s="3524">
        <v>180000</v>
      </c>
      <c r="AM97" s="3524">
        <v>43700</v>
      </c>
      <c r="AN97" s="3524">
        <f t="shared" si="10"/>
        <v>180000</v>
      </c>
      <c r="AO97" s="3524">
        <v>43826</v>
      </c>
      <c r="AP97" s="3524">
        <f t="shared" si="13"/>
        <v>0</v>
      </c>
      <c r="AQ97" s="5122"/>
      <c r="AR97" s="3524"/>
      <c r="AS97" s="5137"/>
      <c r="AT97" s="5122"/>
      <c r="AU97" s="5084">
        <f>SUM(AG97:AG103)</f>
        <v>1692777.34</v>
      </c>
      <c r="AV97" s="5084">
        <f>SUM(AL97:AL102)</f>
        <v>1260000</v>
      </c>
      <c r="AW97" s="5084">
        <f>SUM(AN97:AN103)</f>
        <v>1260000</v>
      </c>
      <c r="AX97" s="5084">
        <f>M97-AU97</f>
        <v>107222.66</v>
      </c>
      <c r="AY97" s="5084">
        <f>AU97-AV97</f>
        <v>432777.34</v>
      </c>
      <c r="AZ97" s="5084">
        <f>AV97-AW97</f>
        <v>0</v>
      </c>
      <c r="BA97" s="5146"/>
      <c r="BB97" s="3812"/>
      <c r="BC97" s="3812"/>
      <c r="BD97" s="3812">
        <v>180000</v>
      </c>
      <c r="BE97" s="5146"/>
      <c r="BF97" s="5146"/>
      <c r="BG97" s="5146"/>
      <c r="BH97" s="3812"/>
      <c r="BI97" s="3812"/>
      <c r="BJ97" s="3812"/>
      <c r="BK97" s="3812"/>
      <c r="BL97" s="3812"/>
      <c r="BM97" s="3812"/>
      <c r="BN97" s="3812"/>
      <c r="BO97" s="5122"/>
      <c r="BP97" s="5122"/>
      <c r="BQ97" s="5122"/>
      <c r="BR97" s="5122">
        <v>180000</v>
      </c>
      <c r="BS97" s="5122"/>
      <c r="BT97" s="5122"/>
      <c r="BU97" s="5122"/>
      <c r="BV97" s="5122"/>
      <c r="BW97" s="5122"/>
      <c r="BX97" s="5122"/>
      <c r="BY97" s="5122"/>
      <c r="BZ97" s="5122"/>
      <c r="CA97" s="5122"/>
      <c r="CB97" s="5122"/>
      <c r="CC97" s="3524" t="s">
        <v>124</v>
      </c>
      <c r="CD97" s="3524" t="s">
        <v>154</v>
      </c>
      <c r="CE97" s="5169"/>
      <c r="CF97" s="5169"/>
      <c r="CG97" s="5169"/>
      <c r="CH97" s="5169"/>
    </row>
    <row r="98" s="4965" customFormat="1" ht="118.35" customHeight="1" spans="1:86">
      <c r="A98" s="5084"/>
      <c r="B98" s="3524"/>
      <c r="C98" s="3524"/>
      <c r="D98" s="3742"/>
      <c r="E98" s="3524"/>
      <c r="F98" s="3742"/>
      <c r="G98" s="3742"/>
      <c r="H98" s="3524"/>
      <c r="I98" s="4088"/>
      <c r="J98" s="3742"/>
      <c r="K98" s="3524"/>
      <c r="L98" s="3742"/>
      <c r="M98" s="3524"/>
      <c r="N98" s="5084"/>
      <c r="O98" s="5084"/>
      <c r="P98" s="5084"/>
      <c r="Q98" s="5084"/>
      <c r="R98" s="5084"/>
      <c r="S98" s="5084"/>
      <c r="T98" s="5084"/>
      <c r="U98" s="5084"/>
      <c r="V98" s="5084"/>
      <c r="W98" s="5084"/>
      <c r="X98" s="5084"/>
      <c r="Y98" s="5084"/>
      <c r="Z98" s="5084"/>
      <c r="AA98" s="5084"/>
      <c r="AB98" s="5084"/>
      <c r="AC98" s="3742">
        <v>2</v>
      </c>
      <c r="AD98" s="5129" t="s">
        <v>330</v>
      </c>
      <c r="AE98" s="5117">
        <v>0.2</v>
      </c>
      <c r="AF98" s="3524">
        <f>AE98*Q97</f>
        <v>360000</v>
      </c>
      <c r="AG98" s="3524">
        <f t="shared" si="12"/>
        <v>336420</v>
      </c>
      <c r="AH98" s="3524" t="s">
        <v>206</v>
      </c>
      <c r="AI98" s="3524">
        <v>43701</v>
      </c>
      <c r="AJ98" s="3524" t="s">
        <v>171</v>
      </c>
      <c r="AK98" s="3524" t="s">
        <v>171</v>
      </c>
      <c r="AL98" s="3524">
        <v>336420</v>
      </c>
      <c r="AM98" s="3524">
        <v>43700</v>
      </c>
      <c r="AN98" s="3524">
        <f t="shared" si="10"/>
        <v>336420</v>
      </c>
      <c r="AO98" s="3524">
        <v>43826</v>
      </c>
      <c r="AP98" s="3524">
        <f t="shared" si="13"/>
        <v>0</v>
      </c>
      <c r="AQ98" s="5122"/>
      <c r="AR98" s="3524"/>
      <c r="AS98" s="5137"/>
      <c r="AT98" s="5122"/>
      <c r="AU98" s="5084"/>
      <c r="AV98" s="5084"/>
      <c r="AW98" s="5084"/>
      <c r="AX98" s="5084"/>
      <c r="AY98" s="5084"/>
      <c r="AZ98" s="5084"/>
      <c r="BA98" s="5146"/>
      <c r="BB98" s="3812"/>
      <c r="BC98" s="3812"/>
      <c r="BD98" s="3812">
        <v>336420</v>
      </c>
      <c r="BE98" s="5146"/>
      <c r="BF98" s="5146"/>
      <c r="BG98" s="5146"/>
      <c r="BH98" s="3812"/>
      <c r="BI98" s="3812"/>
      <c r="BJ98" s="3812"/>
      <c r="BK98" s="3812"/>
      <c r="BL98" s="3812"/>
      <c r="BM98" s="3812"/>
      <c r="BN98" s="3812"/>
      <c r="BO98" s="5122"/>
      <c r="BP98" s="5122"/>
      <c r="BQ98" s="5122"/>
      <c r="BR98" s="3524">
        <v>336420</v>
      </c>
      <c r="BS98" s="5122"/>
      <c r="BT98" s="5122"/>
      <c r="BU98" s="5122"/>
      <c r="BV98" s="5122"/>
      <c r="BW98" s="5122"/>
      <c r="BX98" s="5122"/>
      <c r="BY98" s="5122"/>
      <c r="BZ98" s="5122"/>
      <c r="CA98" s="5122"/>
      <c r="CB98" s="5122"/>
      <c r="CC98" s="3524"/>
      <c r="CD98" s="3524"/>
      <c r="CE98" s="5169"/>
      <c r="CF98" s="5169"/>
      <c r="CG98" s="5169"/>
      <c r="CH98" s="5169"/>
    </row>
    <row r="99" s="4965" customFormat="1" ht="42.5" customHeight="1" spans="1:86">
      <c r="A99" s="5084"/>
      <c r="B99" s="3524"/>
      <c r="C99" s="3524"/>
      <c r="D99" s="3742"/>
      <c r="E99" s="3524"/>
      <c r="F99" s="3742"/>
      <c r="G99" s="3742"/>
      <c r="H99" s="3524"/>
      <c r="I99" s="4088"/>
      <c r="J99" s="3742"/>
      <c r="K99" s="3524"/>
      <c r="L99" s="3742"/>
      <c r="M99" s="3524"/>
      <c r="N99" s="5084"/>
      <c r="O99" s="5084"/>
      <c r="P99" s="5084"/>
      <c r="Q99" s="5084"/>
      <c r="R99" s="5084"/>
      <c r="S99" s="5084"/>
      <c r="T99" s="5084"/>
      <c r="U99" s="5084"/>
      <c r="V99" s="5084"/>
      <c r="W99" s="5084"/>
      <c r="X99" s="5084"/>
      <c r="Y99" s="5084"/>
      <c r="Z99" s="5084"/>
      <c r="AA99" s="5084"/>
      <c r="AB99" s="5084"/>
      <c r="AC99" s="3742">
        <v>3</v>
      </c>
      <c r="AD99" s="5105" t="s">
        <v>331</v>
      </c>
      <c r="AE99" s="5117">
        <v>0.4</v>
      </c>
      <c r="AF99" s="3524">
        <f>AE99*Q97</f>
        <v>720000</v>
      </c>
      <c r="AG99" s="3812">
        <f t="shared" si="12"/>
        <v>743580</v>
      </c>
      <c r="AH99" s="3524" t="s">
        <v>206</v>
      </c>
      <c r="AI99" s="3812">
        <v>44014</v>
      </c>
      <c r="AJ99" s="3524" t="s">
        <v>171</v>
      </c>
      <c r="AK99" s="3524" t="s">
        <v>171</v>
      </c>
      <c r="AL99" s="3524">
        <v>743580</v>
      </c>
      <c r="AM99" s="3524">
        <v>44014</v>
      </c>
      <c r="AN99" s="3812">
        <f t="shared" si="10"/>
        <v>100000</v>
      </c>
      <c r="AO99" s="3812">
        <v>44124</v>
      </c>
      <c r="AP99" s="3524">
        <f>AG99-AN99-AN100</f>
        <v>152239.5</v>
      </c>
      <c r="AQ99" s="5122"/>
      <c r="AR99" s="3524"/>
      <c r="AS99" s="5137"/>
      <c r="AT99" s="5122"/>
      <c r="AU99" s="5084"/>
      <c r="AV99" s="5084"/>
      <c r="AW99" s="5084"/>
      <c r="AX99" s="5084"/>
      <c r="AY99" s="5084"/>
      <c r="AZ99" s="5084"/>
      <c r="BA99" s="5146"/>
      <c r="BB99" s="3812"/>
      <c r="BC99" s="3812"/>
      <c r="BD99" s="3812">
        <v>743580</v>
      </c>
      <c r="BE99" s="5146"/>
      <c r="BF99" s="5146"/>
      <c r="BG99" s="5146"/>
      <c r="BH99" s="3812"/>
      <c r="BI99" s="3812"/>
      <c r="BJ99" s="3812"/>
      <c r="BK99" s="3812"/>
      <c r="BL99" s="3812"/>
      <c r="BM99" s="3812"/>
      <c r="BN99" s="3812"/>
      <c r="BO99" s="5122"/>
      <c r="BP99" s="5122"/>
      <c r="BQ99" s="5122"/>
      <c r="BR99" s="5146">
        <v>100000</v>
      </c>
      <c r="BS99" s="5122"/>
      <c r="BT99" s="5122"/>
      <c r="BU99" s="5122"/>
      <c r="BV99" s="5122"/>
      <c r="BW99" s="5122"/>
      <c r="BX99" s="5122"/>
      <c r="BY99" s="5122"/>
      <c r="BZ99" s="5122"/>
      <c r="CA99" s="5122"/>
      <c r="CB99" s="5122"/>
      <c r="CC99" s="3524"/>
      <c r="CD99" s="3524"/>
      <c r="CE99" s="5169"/>
      <c r="CF99" s="5169"/>
      <c r="CG99" s="5169"/>
      <c r="CH99" s="5169"/>
    </row>
    <row r="100" s="4965" customFormat="1" ht="32.5" customHeight="1" spans="1:86">
      <c r="A100" s="5084"/>
      <c r="B100" s="3524"/>
      <c r="C100" s="3524"/>
      <c r="D100" s="3742"/>
      <c r="E100" s="3524"/>
      <c r="F100" s="3742"/>
      <c r="G100" s="3742"/>
      <c r="H100" s="3524"/>
      <c r="I100" s="4088"/>
      <c r="J100" s="3742"/>
      <c r="K100" s="3524"/>
      <c r="L100" s="3742"/>
      <c r="M100" s="3524"/>
      <c r="N100" s="5084"/>
      <c r="O100" s="5084"/>
      <c r="P100" s="5084"/>
      <c r="Q100" s="5084"/>
      <c r="R100" s="5084"/>
      <c r="S100" s="5084"/>
      <c r="T100" s="5084"/>
      <c r="U100" s="5084"/>
      <c r="V100" s="5084"/>
      <c r="W100" s="5084"/>
      <c r="X100" s="5084"/>
      <c r="Y100" s="5084"/>
      <c r="Z100" s="5084"/>
      <c r="AA100" s="5084"/>
      <c r="AB100" s="5084"/>
      <c r="AC100" s="3742"/>
      <c r="AD100" s="5105"/>
      <c r="AE100" s="5117"/>
      <c r="AF100" s="3524"/>
      <c r="AG100" s="3812"/>
      <c r="AH100" s="3524"/>
      <c r="AI100" s="3812"/>
      <c r="AJ100" s="3524"/>
      <c r="AK100" s="3524"/>
      <c r="AL100" s="3524"/>
      <c r="AM100" s="3524"/>
      <c r="AN100" s="3812">
        <f t="shared" si="10"/>
        <v>491340.5</v>
      </c>
      <c r="AO100" s="3812">
        <v>44652</v>
      </c>
      <c r="AP100" s="3524"/>
      <c r="AQ100" s="5122"/>
      <c r="AR100" s="3524"/>
      <c r="AS100" s="5137"/>
      <c r="AT100" s="5122"/>
      <c r="AU100" s="5084"/>
      <c r="AV100" s="5084"/>
      <c r="AW100" s="5084"/>
      <c r="AX100" s="5084"/>
      <c r="AY100" s="5084"/>
      <c r="AZ100" s="5084"/>
      <c r="BA100" s="5146"/>
      <c r="BB100" s="3812"/>
      <c r="BC100" s="3812"/>
      <c r="BD100" s="3812"/>
      <c r="BE100" s="5146"/>
      <c r="BF100" s="5146"/>
      <c r="BG100" s="5146"/>
      <c r="BH100" s="3812"/>
      <c r="BI100" s="3812"/>
      <c r="BJ100" s="3812"/>
      <c r="BK100" s="3812"/>
      <c r="BL100" s="3812"/>
      <c r="BM100" s="3812"/>
      <c r="BN100" s="3812"/>
      <c r="BO100" s="5146"/>
      <c r="BP100" s="5146"/>
      <c r="BQ100" s="5146"/>
      <c r="BR100" s="5252">
        <v>491340.5</v>
      </c>
      <c r="BS100" s="5146"/>
      <c r="BT100" s="5146"/>
      <c r="BU100" s="5146"/>
      <c r="BV100" s="5146"/>
      <c r="BW100" s="5146"/>
      <c r="BX100" s="5146"/>
      <c r="BY100" s="5146"/>
      <c r="BZ100" s="5146"/>
      <c r="CA100" s="5146"/>
      <c r="CB100" s="5146"/>
      <c r="CC100" s="3524"/>
      <c r="CD100" s="3524"/>
      <c r="CE100" s="5169"/>
      <c r="CF100" s="5169"/>
      <c r="CG100" s="5169"/>
      <c r="CH100" s="5169"/>
    </row>
    <row r="101" s="4965" customFormat="1" ht="38.35" customHeight="1" spans="1:86">
      <c r="A101" s="5084"/>
      <c r="B101" s="3524"/>
      <c r="C101" s="3524"/>
      <c r="D101" s="3742"/>
      <c r="E101" s="3524"/>
      <c r="F101" s="3742"/>
      <c r="G101" s="3742"/>
      <c r="H101" s="3524"/>
      <c r="I101" s="4088"/>
      <c r="J101" s="3742"/>
      <c r="K101" s="3524"/>
      <c r="L101" s="3742"/>
      <c r="M101" s="3524"/>
      <c r="N101" s="5084"/>
      <c r="O101" s="5084"/>
      <c r="P101" s="5084"/>
      <c r="Q101" s="5084"/>
      <c r="R101" s="5084"/>
      <c r="S101" s="5084"/>
      <c r="T101" s="5084"/>
      <c r="U101" s="5084"/>
      <c r="V101" s="5084"/>
      <c r="W101" s="5084"/>
      <c r="X101" s="5084"/>
      <c r="Y101" s="5084"/>
      <c r="Z101" s="5084"/>
      <c r="AA101" s="5084"/>
      <c r="AB101" s="5084"/>
      <c r="AC101" s="3742"/>
      <c r="AD101" s="5105"/>
      <c r="AE101" s="5117"/>
      <c r="AF101" s="3524"/>
      <c r="AG101" s="3812"/>
      <c r="AH101" s="3524"/>
      <c r="AI101" s="3812"/>
      <c r="AJ101" s="3524"/>
      <c r="AK101" s="3524"/>
      <c r="AL101" s="3524"/>
      <c r="AM101" s="3524"/>
      <c r="AN101" s="3812">
        <f t="shared" si="10"/>
        <v>152239.5</v>
      </c>
      <c r="AO101" s="3812"/>
      <c r="AP101" s="3524"/>
      <c r="AQ101" s="5122"/>
      <c r="AR101" s="3524"/>
      <c r="AS101" s="5137"/>
      <c r="AT101" s="5122"/>
      <c r="AU101" s="5084"/>
      <c r="AV101" s="5084"/>
      <c r="AW101" s="5084"/>
      <c r="AX101" s="5084"/>
      <c r="AY101" s="5084"/>
      <c r="AZ101" s="5084"/>
      <c r="BA101" s="5146"/>
      <c r="BB101" s="3812"/>
      <c r="BC101" s="3812"/>
      <c r="BD101" s="3812"/>
      <c r="BE101" s="5146"/>
      <c r="BF101" s="5146"/>
      <c r="BG101" s="5146"/>
      <c r="BH101" s="3812"/>
      <c r="BI101" s="3812"/>
      <c r="BJ101" s="3812"/>
      <c r="BK101" s="3812"/>
      <c r="BL101" s="3812"/>
      <c r="BM101" s="3812"/>
      <c r="BN101" s="3812"/>
      <c r="BO101" s="5160"/>
      <c r="BP101" s="5160"/>
      <c r="BQ101" s="5160"/>
      <c r="BR101" s="5252">
        <v>152239.5</v>
      </c>
      <c r="BS101" s="5160"/>
      <c r="BT101" s="5160"/>
      <c r="BU101" s="5160"/>
      <c r="BV101" s="5160"/>
      <c r="BW101" s="5160"/>
      <c r="BX101" s="5160"/>
      <c r="BY101" s="5160"/>
      <c r="BZ101" s="5160"/>
      <c r="CA101" s="5160"/>
      <c r="CB101" s="5160"/>
      <c r="CC101" s="3524"/>
      <c r="CD101" s="3524"/>
      <c r="CE101" s="5169"/>
      <c r="CF101" s="5169"/>
      <c r="CG101" s="5169"/>
      <c r="CH101" s="5169"/>
    </row>
    <row r="102" s="4965" customFormat="1" ht="55" customHeight="1" spans="1:86">
      <c r="A102" s="5084"/>
      <c r="B102" s="3524"/>
      <c r="C102" s="3524"/>
      <c r="D102" s="3742"/>
      <c r="E102" s="3524"/>
      <c r="F102" s="3742"/>
      <c r="G102" s="3742"/>
      <c r="H102" s="3524"/>
      <c r="I102" s="4088"/>
      <c r="J102" s="3742"/>
      <c r="K102" s="3524"/>
      <c r="L102" s="3742"/>
      <c r="M102" s="3524"/>
      <c r="N102" s="5084"/>
      <c r="O102" s="5084"/>
      <c r="P102" s="5084"/>
      <c r="Q102" s="5084"/>
      <c r="R102" s="5084"/>
      <c r="S102" s="5084"/>
      <c r="T102" s="5084"/>
      <c r="U102" s="5084"/>
      <c r="V102" s="5084"/>
      <c r="W102" s="5084"/>
      <c r="X102" s="5084"/>
      <c r="Y102" s="5084"/>
      <c r="Z102" s="5084"/>
      <c r="AA102" s="5084"/>
      <c r="AB102" s="5084"/>
      <c r="AC102" s="3742">
        <v>4</v>
      </c>
      <c r="AD102" s="5129" t="s">
        <v>332</v>
      </c>
      <c r="AE102" s="5117">
        <v>0.1</v>
      </c>
      <c r="AF102" s="3524">
        <f>AE102*Q97</f>
        <v>180000</v>
      </c>
      <c r="AG102" s="4840">
        <f>SUM(BA102:BN103)</f>
        <v>432777.34</v>
      </c>
      <c r="AH102" s="3366" t="s">
        <v>122</v>
      </c>
      <c r="AI102" s="3366">
        <v>45287</v>
      </c>
      <c r="AJ102" s="4087">
        <f>AG102</f>
        <v>432777.34</v>
      </c>
      <c r="AK102" s="3366">
        <v>45286</v>
      </c>
      <c r="AL102" s="3524"/>
      <c r="AM102" s="3524"/>
      <c r="AN102" s="3524">
        <f t="shared" si="10"/>
        <v>0</v>
      </c>
      <c r="AO102" s="3524"/>
      <c r="AP102" s="3524">
        <f>AG102-AN102</f>
        <v>432777.34</v>
      </c>
      <c r="AQ102" s="5256" t="s">
        <v>333</v>
      </c>
      <c r="AR102" s="3524"/>
      <c r="AS102" s="5137"/>
      <c r="AT102" s="5122"/>
      <c r="AU102" s="5084"/>
      <c r="AV102" s="5084"/>
      <c r="AW102" s="5084"/>
      <c r="AX102" s="5084"/>
      <c r="AY102" s="5084"/>
      <c r="AZ102" s="5084"/>
      <c r="BA102" s="5122"/>
      <c r="BB102" s="3524"/>
      <c r="BC102" s="5123"/>
      <c r="BD102" s="4840">
        <f>512777.34-80000</f>
        <v>432777.34</v>
      </c>
      <c r="BE102" s="5122"/>
      <c r="BF102" s="5122"/>
      <c r="BG102" s="5122"/>
      <c r="BH102" s="3524"/>
      <c r="BI102" s="3524"/>
      <c r="BJ102" s="3524"/>
      <c r="BK102" s="3524"/>
      <c r="BL102" s="3524"/>
      <c r="BM102" s="3524"/>
      <c r="BN102" s="3524"/>
      <c r="BO102" s="5122"/>
      <c r="BP102" s="5122"/>
      <c r="BQ102" s="5122"/>
      <c r="BR102" s="5122"/>
      <c r="BS102" s="5122"/>
      <c r="BT102" s="5122"/>
      <c r="BU102" s="5122"/>
      <c r="BV102" s="5122"/>
      <c r="BW102" s="5122"/>
      <c r="BX102" s="5122"/>
      <c r="BY102" s="5122"/>
      <c r="BZ102" s="5122"/>
      <c r="CA102" s="5122"/>
      <c r="CB102" s="5122"/>
      <c r="CC102" s="3524"/>
      <c r="CD102" s="3524"/>
      <c r="CE102" s="5169"/>
      <c r="CF102" s="5169"/>
      <c r="CG102" s="5169"/>
      <c r="CH102" s="5169"/>
    </row>
    <row r="103" s="4965" customFormat="1" ht="51.65" customHeight="1" spans="1:86">
      <c r="A103" s="5084"/>
      <c r="B103" s="3524"/>
      <c r="C103" s="3524"/>
      <c r="D103" s="3742"/>
      <c r="E103" s="3524"/>
      <c r="F103" s="3742"/>
      <c r="G103" s="3742"/>
      <c r="H103" s="3524"/>
      <c r="I103" s="4903"/>
      <c r="J103" s="3742"/>
      <c r="K103" s="3524"/>
      <c r="L103" s="3742"/>
      <c r="M103" s="3524"/>
      <c r="N103" s="5084"/>
      <c r="O103" s="5084"/>
      <c r="P103" s="5084"/>
      <c r="Q103" s="5084"/>
      <c r="R103" s="5084"/>
      <c r="S103" s="5084"/>
      <c r="T103" s="5084"/>
      <c r="U103" s="5084"/>
      <c r="V103" s="5084"/>
      <c r="W103" s="5084"/>
      <c r="X103" s="5084"/>
      <c r="Y103" s="5084"/>
      <c r="Z103" s="5084"/>
      <c r="AA103" s="5084"/>
      <c r="AB103" s="5084"/>
      <c r="AC103" s="3742">
        <v>5</v>
      </c>
      <c r="AD103" s="5129" t="s">
        <v>334</v>
      </c>
      <c r="AE103" s="5117">
        <v>0.2</v>
      </c>
      <c r="AF103" s="3524">
        <f>AE103*Q97</f>
        <v>360000</v>
      </c>
      <c r="AG103" s="4842"/>
      <c r="AH103" s="3409"/>
      <c r="AI103" s="3409"/>
      <c r="AJ103" s="4903"/>
      <c r="AK103" s="3409"/>
      <c r="AL103" s="5169"/>
      <c r="AM103" s="3524"/>
      <c r="AN103" s="3524">
        <f t="shared" si="10"/>
        <v>0</v>
      </c>
      <c r="AO103" s="3524"/>
      <c r="AP103" s="3524">
        <f>AG103-AN103</f>
        <v>0</v>
      </c>
      <c r="AQ103" s="5122"/>
      <c r="AR103" s="3524"/>
      <c r="AS103" s="5137"/>
      <c r="AT103" s="5122"/>
      <c r="AU103" s="5084"/>
      <c r="AV103" s="5084"/>
      <c r="AW103" s="5084"/>
      <c r="AX103" s="5084"/>
      <c r="AY103" s="5084"/>
      <c r="AZ103" s="5084"/>
      <c r="BA103" s="5122"/>
      <c r="BB103" s="3524"/>
      <c r="BC103" s="5123"/>
      <c r="BD103" s="4842"/>
      <c r="BE103" s="5122"/>
      <c r="BF103" s="5122"/>
      <c r="BG103" s="5122"/>
      <c r="BH103" s="3524"/>
      <c r="BI103" s="3524"/>
      <c r="BJ103" s="3524"/>
      <c r="BK103" s="3524"/>
      <c r="BL103" s="3524"/>
      <c r="BM103" s="3524"/>
      <c r="BN103" s="3524"/>
      <c r="BO103" s="5122"/>
      <c r="BP103" s="5122"/>
      <c r="BQ103" s="5122"/>
      <c r="BR103" s="5122"/>
      <c r="BS103" s="5122"/>
      <c r="BT103" s="5122"/>
      <c r="BU103" s="5122"/>
      <c r="BV103" s="5122"/>
      <c r="BW103" s="5122"/>
      <c r="BX103" s="5122"/>
      <c r="BY103" s="5122"/>
      <c r="BZ103" s="5122"/>
      <c r="CA103" s="5122"/>
      <c r="CB103" s="5122"/>
      <c r="CC103" s="3524"/>
      <c r="CD103" s="3524"/>
      <c r="CE103" s="5169"/>
      <c r="CF103" s="5169"/>
      <c r="CG103" s="5169"/>
      <c r="CH103" s="5169"/>
    </row>
    <row r="104" s="4974" customFormat="1" ht="25" customHeight="1" spans="1:86">
      <c r="A104" s="2649"/>
      <c r="B104" s="857" t="s">
        <v>173</v>
      </c>
      <c r="C104" s="857">
        <v>45880</v>
      </c>
      <c r="D104" s="1032" t="s">
        <v>335</v>
      </c>
      <c r="E104" s="1032">
        <v>2866840.72</v>
      </c>
      <c r="F104" s="5073" t="s">
        <v>336</v>
      </c>
      <c r="G104" s="5073" t="s">
        <v>337</v>
      </c>
      <c r="H104" s="5073" t="s">
        <v>338</v>
      </c>
      <c r="I104" s="5073" t="s">
        <v>339</v>
      </c>
      <c r="J104" s="5073" t="s">
        <v>340</v>
      </c>
      <c r="K104" s="5214">
        <v>34189.34</v>
      </c>
      <c r="L104" s="5073">
        <f>M104/K104</f>
        <v>26.2225009315769</v>
      </c>
      <c r="M104" s="4840">
        <f>SUM(N104:AA108)</f>
        <v>896530</v>
      </c>
      <c r="N104" s="5219">
        <v>0</v>
      </c>
      <c r="O104" s="5219">
        <v>0</v>
      </c>
      <c r="P104" s="5219">
        <v>0</v>
      </c>
      <c r="Q104" s="5219">
        <v>0</v>
      </c>
      <c r="R104" s="5219">
        <v>0</v>
      </c>
      <c r="S104" s="5219">
        <v>0</v>
      </c>
      <c r="T104" s="5219">
        <v>0</v>
      </c>
      <c r="U104" s="5219">
        <v>0</v>
      </c>
      <c r="V104" s="5219">
        <v>0</v>
      </c>
      <c r="W104" s="5219">
        <v>0</v>
      </c>
      <c r="X104" s="5219">
        <v>0</v>
      </c>
      <c r="Y104" s="5219">
        <v>0</v>
      </c>
      <c r="Z104" s="5219"/>
      <c r="AA104" s="5219">
        <v>896530</v>
      </c>
      <c r="AB104" s="5219" t="s">
        <v>126</v>
      </c>
      <c r="AC104" s="1032" t="s">
        <v>341</v>
      </c>
      <c r="AD104" s="5241" t="s">
        <v>342</v>
      </c>
      <c r="AE104" s="1032">
        <v>0.2</v>
      </c>
      <c r="AF104" s="3812">
        <f>$AA$104*AE104</f>
        <v>179306</v>
      </c>
      <c r="AG104" s="3812">
        <f t="shared" ref="AG104:AG116" si="14">SUM(BA104:BN104)</f>
        <v>179306</v>
      </c>
      <c r="AH104" s="1032" t="s">
        <v>122</v>
      </c>
      <c r="AI104" s="3812">
        <v>45887</v>
      </c>
      <c r="AJ104" s="3812">
        <v>179306</v>
      </c>
      <c r="AK104" s="3812">
        <v>45887</v>
      </c>
      <c r="AL104" s="3812">
        <v>179306</v>
      </c>
      <c r="AM104" s="3812">
        <v>45894</v>
      </c>
      <c r="AN104" s="3812">
        <f t="shared" si="10"/>
        <v>179306</v>
      </c>
      <c r="AO104" s="3812">
        <v>45923</v>
      </c>
      <c r="AP104" s="3812"/>
      <c r="AQ104" s="1032"/>
      <c r="AR104" s="3812"/>
      <c r="AS104" s="5059"/>
      <c r="AT104" s="3812"/>
      <c r="AU104" s="3812">
        <f>SUM(AG104:AG130)</f>
        <v>2199456.794</v>
      </c>
      <c r="AV104" s="3812">
        <f>SUM(AL104:AL130)</f>
        <v>1951772.11</v>
      </c>
      <c r="AW104" s="3812">
        <f>SUM(AN104:AN130)</f>
        <v>1951779.114</v>
      </c>
      <c r="AX104" s="3812">
        <f>M104-AU104</f>
        <v>-1302926.794</v>
      </c>
      <c r="AY104" s="3812">
        <f>AU104-AV104</f>
        <v>247684.684</v>
      </c>
      <c r="AZ104" s="5263">
        <f>AV104-AW104</f>
        <v>-7.00399999995716</v>
      </c>
      <c r="BA104" s="5141"/>
      <c r="BB104" s="5142"/>
      <c r="BC104" s="5142"/>
      <c r="BD104" s="5142"/>
      <c r="BE104" s="5142"/>
      <c r="BF104" s="5142"/>
      <c r="BG104" s="5142"/>
      <c r="BH104" s="5142"/>
      <c r="BI104" s="5142"/>
      <c r="BJ104" s="5142"/>
      <c r="BK104" s="5142"/>
      <c r="BL104" s="5142"/>
      <c r="BM104" s="4842"/>
      <c r="BN104" s="4813">
        <v>179306</v>
      </c>
      <c r="BO104" s="5141"/>
      <c r="BP104" s="5142"/>
      <c r="BQ104" s="5142"/>
      <c r="BR104" s="5142"/>
      <c r="BS104" s="5142"/>
      <c r="BT104" s="5142"/>
      <c r="BU104" s="5142"/>
      <c r="BV104" s="5142"/>
      <c r="BW104" s="5289"/>
      <c r="BX104" s="5289"/>
      <c r="BY104" s="5289"/>
      <c r="BZ104" s="5289"/>
      <c r="CA104" s="5301"/>
      <c r="CB104" s="4815">
        <v>179306</v>
      </c>
      <c r="CC104" s="5309"/>
      <c r="CD104" s="3812"/>
      <c r="CE104" s="5154">
        <f>SUBTOTAL(9,BO104:CB104)</f>
        <v>179306</v>
      </c>
      <c r="CF104" s="5154">
        <f>AN104-CE104</f>
        <v>0</v>
      </c>
      <c r="CG104" s="5310"/>
      <c r="CH104" s="5310"/>
    </row>
    <row r="105" s="4974" customFormat="1" ht="25" customHeight="1" spans="1:86">
      <c r="A105" s="2649"/>
      <c r="B105" s="3812"/>
      <c r="C105" s="3812"/>
      <c r="D105" s="5059"/>
      <c r="E105" s="5059"/>
      <c r="F105" s="5205"/>
      <c r="G105" s="5205"/>
      <c r="H105" s="5205"/>
      <c r="I105" s="5205"/>
      <c r="J105" s="5205"/>
      <c r="K105" s="5074"/>
      <c r="L105" s="5205"/>
      <c r="M105" s="4841"/>
      <c r="N105" s="5220"/>
      <c r="O105" s="5220"/>
      <c r="P105" s="5220"/>
      <c r="Q105" s="5220"/>
      <c r="R105" s="5220"/>
      <c r="S105" s="5220"/>
      <c r="T105" s="5220"/>
      <c r="U105" s="5220"/>
      <c r="V105" s="5220"/>
      <c r="W105" s="5220"/>
      <c r="X105" s="5220"/>
      <c r="Y105" s="5220"/>
      <c r="Z105" s="5220"/>
      <c r="AA105" s="5220"/>
      <c r="AB105" s="5220"/>
      <c r="AC105" s="5073" t="s">
        <v>343</v>
      </c>
      <c r="AD105" s="5242" t="s">
        <v>344</v>
      </c>
      <c r="AE105" s="5073">
        <v>0.3</v>
      </c>
      <c r="AF105" s="3812">
        <f>$AA$104*AE105</f>
        <v>268959</v>
      </c>
      <c r="AG105" s="4840">
        <f t="shared" si="14"/>
        <v>268959</v>
      </c>
      <c r="AH105" s="1032" t="s">
        <v>122</v>
      </c>
      <c r="AI105" s="3812">
        <v>45887</v>
      </c>
      <c r="AJ105" s="4840">
        <v>268959</v>
      </c>
      <c r="AK105" s="3812">
        <v>45887</v>
      </c>
      <c r="AL105" s="4840">
        <v>268959</v>
      </c>
      <c r="AM105" s="3812">
        <v>45894</v>
      </c>
      <c r="AN105" s="3812">
        <f t="shared" si="10"/>
        <v>268959</v>
      </c>
      <c r="AO105" s="3812">
        <v>45923</v>
      </c>
      <c r="AP105" s="3812"/>
      <c r="AQ105" s="1032"/>
      <c r="AR105" s="3812"/>
      <c r="AS105" s="5059"/>
      <c r="AT105" s="3812"/>
      <c r="AU105" s="3812"/>
      <c r="AV105" s="3812"/>
      <c r="AW105" s="3812"/>
      <c r="AX105" s="3812"/>
      <c r="AY105" s="3812"/>
      <c r="AZ105" s="5263"/>
      <c r="BA105" s="5265"/>
      <c r="BB105" s="3812"/>
      <c r="BC105" s="3812"/>
      <c r="BD105" s="4840"/>
      <c r="BE105" s="3812"/>
      <c r="BF105" s="3812"/>
      <c r="BG105" s="3812"/>
      <c r="BH105" s="4840"/>
      <c r="BI105" s="3812"/>
      <c r="BJ105" s="3812"/>
      <c r="BK105" s="3812"/>
      <c r="BL105" s="3812"/>
      <c r="BM105" s="4840"/>
      <c r="BN105" s="5248">
        <v>268959</v>
      </c>
      <c r="BO105" s="5265"/>
      <c r="BP105" s="3812"/>
      <c r="BQ105" s="3812"/>
      <c r="BR105" s="3812"/>
      <c r="BS105" s="3812"/>
      <c r="BT105" s="3812"/>
      <c r="BU105" s="3812"/>
      <c r="BV105" s="3812"/>
      <c r="BW105" s="5123"/>
      <c r="BX105" s="5123"/>
      <c r="BY105" s="5123"/>
      <c r="BZ105" s="5123"/>
      <c r="CA105" s="5302"/>
      <c r="CB105" s="5250">
        <v>268959</v>
      </c>
      <c r="CC105" s="5309"/>
      <c r="CD105" s="3812"/>
      <c r="CE105" s="5154">
        <f>SUBTOTAL(9,BO105:CB105)</f>
        <v>268959</v>
      </c>
      <c r="CF105" s="5154">
        <f>AN105-CE105</f>
        <v>0</v>
      </c>
      <c r="CG105" s="5310"/>
      <c r="CH105" s="5310"/>
    </row>
    <row r="106" s="4974" customFormat="1" ht="25" customHeight="1" spans="1:86">
      <c r="A106" s="2649"/>
      <c r="B106" s="3812"/>
      <c r="C106" s="3812"/>
      <c r="D106" s="5059"/>
      <c r="E106" s="5059"/>
      <c r="F106" s="5205"/>
      <c r="G106" s="5205"/>
      <c r="H106" s="5205"/>
      <c r="I106" s="5205"/>
      <c r="J106" s="5205"/>
      <c r="K106" s="5074"/>
      <c r="L106" s="5205"/>
      <c r="M106" s="4841"/>
      <c r="N106" s="5220"/>
      <c r="O106" s="5220"/>
      <c r="P106" s="5220"/>
      <c r="Q106" s="5220"/>
      <c r="R106" s="5220"/>
      <c r="S106" s="5220"/>
      <c r="T106" s="5220"/>
      <c r="U106" s="5220"/>
      <c r="V106" s="5220"/>
      <c r="W106" s="5220"/>
      <c r="X106" s="5220"/>
      <c r="Y106" s="5220"/>
      <c r="Z106" s="5220"/>
      <c r="AA106" s="5220"/>
      <c r="AB106" s="5220"/>
      <c r="AC106" s="1032" t="s">
        <v>345</v>
      </c>
      <c r="AD106" s="5242" t="s">
        <v>346</v>
      </c>
      <c r="AE106" s="5073">
        <v>0.2</v>
      </c>
      <c r="AF106" s="3812">
        <f>$AA$104*AE106</f>
        <v>179306</v>
      </c>
      <c r="AG106" s="4840">
        <f t="shared" si="14"/>
        <v>179306</v>
      </c>
      <c r="AH106" s="1032" t="s">
        <v>122</v>
      </c>
      <c r="AI106" s="3812">
        <v>45887</v>
      </c>
      <c r="AJ106" s="4840">
        <v>179306</v>
      </c>
      <c r="AK106" s="3812">
        <v>45887</v>
      </c>
      <c r="AL106" s="4840">
        <v>179306</v>
      </c>
      <c r="AM106" s="3812">
        <v>45894</v>
      </c>
      <c r="AN106" s="3812">
        <f t="shared" si="10"/>
        <v>179306</v>
      </c>
      <c r="AO106" s="3812">
        <v>45923</v>
      </c>
      <c r="AP106" s="3812"/>
      <c r="AQ106" s="1032"/>
      <c r="AR106" s="3812"/>
      <c r="AS106" s="5059"/>
      <c r="AT106" s="3812"/>
      <c r="AU106" s="3812"/>
      <c r="AV106" s="3812"/>
      <c r="AW106" s="3812"/>
      <c r="AX106" s="3812"/>
      <c r="AY106" s="3812"/>
      <c r="AZ106" s="5263"/>
      <c r="BA106" s="5265"/>
      <c r="BB106" s="3812"/>
      <c r="BC106" s="3812"/>
      <c r="BD106" s="4840"/>
      <c r="BE106" s="3812"/>
      <c r="BF106" s="3812"/>
      <c r="BG106" s="3812"/>
      <c r="BH106" s="4840"/>
      <c r="BI106" s="3812"/>
      <c r="BJ106" s="3812"/>
      <c r="BK106" s="3812"/>
      <c r="BL106" s="3812"/>
      <c r="BM106" s="4840"/>
      <c r="BN106" s="5248">
        <v>179306</v>
      </c>
      <c r="BO106" s="5265"/>
      <c r="BP106" s="3812"/>
      <c r="BQ106" s="3812"/>
      <c r="BR106" s="3812"/>
      <c r="BS106" s="3812"/>
      <c r="BT106" s="3812"/>
      <c r="BU106" s="3812"/>
      <c r="BV106" s="3812"/>
      <c r="BW106" s="5123"/>
      <c r="BX106" s="5123"/>
      <c r="BY106" s="5123"/>
      <c r="BZ106" s="5123"/>
      <c r="CA106" s="5302"/>
      <c r="CB106" s="5250">
        <v>179306</v>
      </c>
      <c r="CC106" s="5309"/>
      <c r="CD106" s="3812"/>
      <c r="CE106" s="5154"/>
      <c r="CF106" s="5154"/>
      <c r="CG106" s="5310"/>
      <c r="CH106" s="5310"/>
    </row>
    <row r="107" s="4974" customFormat="1" ht="25" customHeight="1" spans="1:86">
      <c r="A107" s="4045"/>
      <c r="B107" s="3812"/>
      <c r="C107" s="3812"/>
      <c r="D107" s="5059"/>
      <c r="E107" s="5059"/>
      <c r="F107" s="5205"/>
      <c r="G107" s="5205"/>
      <c r="H107" s="5205"/>
      <c r="I107" s="5205"/>
      <c r="J107" s="5205"/>
      <c r="K107" s="5074"/>
      <c r="L107" s="5205"/>
      <c r="M107" s="4841"/>
      <c r="N107" s="5221"/>
      <c r="O107" s="5221"/>
      <c r="P107" s="5221"/>
      <c r="Q107" s="5221"/>
      <c r="R107" s="5221"/>
      <c r="S107" s="5221"/>
      <c r="T107" s="5221"/>
      <c r="U107" s="5221"/>
      <c r="V107" s="5221"/>
      <c r="W107" s="5221"/>
      <c r="X107" s="5221"/>
      <c r="Y107" s="5221"/>
      <c r="Z107" s="5221"/>
      <c r="AA107" s="5221"/>
      <c r="AB107" s="5221"/>
      <c r="AC107" s="5073" t="s">
        <v>347</v>
      </c>
      <c r="AD107" s="5241" t="s">
        <v>348</v>
      </c>
      <c r="AE107" s="1032">
        <v>0.2</v>
      </c>
      <c r="AF107" s="3812">
        <f>$AA$104*AE107</f>
        <v>179306</v>
      </c>
      <c r="AG107" s="4813">
        <f t="shared" si="14"/>
        <v>179306</v>
      </c>
      <c r="AH107" s="5245" t="s">
        <v>349</v>
      </c>
      <c r="AI107" s="4815">
        <v>46013</v>
      </c>
      <c r="AJ107" s="4815">
        <v>179306</v>
      </c>
      <c r="AK107" s="3812"/>
      <c r="AL107" s="3812"/>
      <c r="AM107" s="4815"/>
      <c r="AN107" s="3812">
        <f t="shared" si="10"/>
        <v>0</v>
      </c>
      <c r="AO107" s="4815"/>
      <c r="AP107" s="3812"/>
      <c r="AQ107" s="1032"/>
      <c r="AR107" s="3812"/>
      <c r="AS107" s="5059"/>
      <c r="AT107" s="3812"/>
      <c r="AU107" s="3812"/>
      <c r="AV107" s="3812"/>
      <c r="AW107" s="3812"/>
      <c r="AX107" s="3812"/>
      <c r="AY107" s="3812"/>
      <c r="AZ107" s="5263"/>
      <c r="BA107" s="5265"/>
      <c r="BB107" s="3812"/>
      <c r="BC107" s="3812"/>
      <c r="BD107" s="3812"/>
      <c r="BE107" s="3812"/>
      <c r="BF107" s="3812"/>
      <c r="BG107" s="3812"/>
      <c r="BH107" s="3812"/>
      <c r="BI107" s="3812"/>
      <c r="BJ107" s="3812"/>
      <c r="BK107" s="3812"/>
      <c r="BL107" s="3812"/>
      <c r="BM107" s="3812"/>
      <c r="BN107" s="4815">
        <v>179306</v>
      </c>
      <c r="BO107" s="5265"/>
      <c r="BP107" s="3812"/>
      <c r="BQ107" s="3812"/>
      <c r="BR107" s="3812"/>
      <c r="BS107" s="3812"/>
      <c r="BT107" s="3812"/>
      <c r="BU107" s="3812"/>
      <c r="BV107" s="3812"/>
      <c r="BW107" s="5123"/>
      <c r="BX107" s="5123"/>
      <c r="BY107" s="5123"/>
      <c r="BZ107" s="5123"/>
      <c r="CA107" s="5123"/>
      <c r="CB107" s="3812"/>
      <c r="CC107" s="5309"/>
      <c r="CD107" s="3812"/>
      <c r="CE107" s="5310"/>
      <c r="CF107" s="5310"/>
      <c r="CG107" s="5310"/>
      <c r="CH107" s="5310"/>
    </row>
    <row r="108" s="4974" customFormat="1" ht="25" customHeight="1" spans="1:86">
      <c r="A108" s="4045"/>
      <c r="B108" s="3812"/>
      <c r="C108" s="3812"/>
      <c r="D108" s="5059"/>
      <c r="E108" s="5059"/>
      <c r="F108" s="5206"/>
      <c r="G108" s="5206"/>
      <c r="H108" s="5206"/>
      <c r="I108" s="5205"/>
      <c r="J108" s="5206"/>
      <c r="K108" s="5075"/>
      <c r="L108" s="5206"/>
      <c r="M108" s="4842"/>
      <c r="N108" s="5222"/>
      <c r="O108" s="5222"/>
      <c r="P108" s="5222"/>
      <c r="Q108" s="5222"/>
      <c r="R108" s="5222"/>
      <c r="S108" s="5222"/>
      <c r="T108" s="5222"/>
      <c r="U108" s="5222"/>
      <c r="V108" s="5222"/>
      <c r="W108" s="5222"/>
      <c r="X108" s="5222"/>
      <c r="Y108" s="5222"/>
      <c r="Z108" s="5222"/>
      <c r="AA108" s="5222"/>
      <c r="AB108" s="5222"/>
      <c r="AC108" s="1032" t="s">
        <v>350</v>
      </c>
      <c r="AD108" s="5241" t="s">
        <v>351</v>
      </c>
      <c r="AE108" s="1032">
        <v>0.1</v>
      </c>
      <c r="AF108" s="3812">
        <f>$AA$104*AE108</f>
        <v>89653</v>
      </c>
      <c r="AG108" s="3812">
        <f t="shared" si="14"/>
        <v>0</v>
      </c>
      <c r="AH108" s="5199"/>
      <c r="AI108" s="4813"/>
      <c r="AJ108" s="4813"/>
      <c r="AK108" s="4813"/>
      <c r="AL108" s="4813"/>
      <c r="AM108" s="4815"/>
      <c r="AN108" s="3812">
        <f t="shared" si="10"/>
        <v>0</v>
      </c>
      <c r="AO108" s="4815"/>
      <c r="AP108" s="3812"/>
      <c r="AQ108" s="1032"/>
      <c r="AR108" s="3812"/>
      <c r="AS108" s="5059"/>
      <c r="AT108" s="3812"/>
      <c r="AU108" s="3812"/>
      <c r="AV108" s="3812"/>
      <c r="AW108" s="3812"/>
      <c r="AX108" s="3812"/>
      <c r="AY108" s="3812"/>
      <c r="AZ108" s="5263"/>
      <c r="BA108" s="5265"/>
      <c r="BB108" s="3812"/>
      <c r="BC108" s="3812"/>
      <c r="BD108" s="3812"/>
      <c r="BE108" s="3812"/>
      <c r="BF108" s="3812"/>
      <c r="BG108" s="3812"/>
      <c r="BH108" s="3812"/>
      <c r="BI108" s="3812"/>
      <c r="BJ108" s="3812"/>
      <c r="BK108" s="3812"/>
      <c r="BL108" s="3812"/>
      <c r="BM108" s="3812"/>
      <c r="BN108" s="4813"/>
      <c r="BO108" s="5265"/>
      <c r="BP108" s="3812"/>
      <c r="BQ108" s="3812"/>
      <c r="BR108" s="3812"/>
      <c r="BS108" s="3812"/>
      <c r="BT108" s="3812"/>
      <c r="BU108" s="3812"/>
      <c r="BV108" s="3812"/>
      <c r="BW108" s="3812"/>
      <c r="BX108" s="3812"/>
      <c r="BY108" s="3812"/>
      <c r="BZ108" s="3812"/>
      <c r="CA108" s="3812"/>
      <c r="CB108" s="4815"/>
      <c r="CC108" s="5309"/>
      <c r="CD108" s="3812"/>
      <c r="CE108" s="5310"/>
      <c r="CF108" s="5310"/>
      <c r="CG108" s="5310"/>
      <c r="CH108" s="5310"/>
    </row>
    <row r="109" s="4974" customFormat="1" ht="25" customHeight="1" spans="1:86">
      <c r="A109" s="3065"/>
      <c r="B109" s="3812"/>
      <c r="C109" s="3812"/>
      <c r="D109" s="5059"/>
      <c r="E109" s="5059"/>
      <c r="F109" s="5073" t="s">
        <v>352</v>
      </c>
      <c r="G109" s="5073" t="s">
        <v>337</v>
      </c>
      <c r="H109" s="5073" t="s">
        <v>353</v>
      </c>
      <c r="I109" s="5073" t="s">
        <v>339</v>
      </c>
      <c r="J109" s="5073" t="s">
        <v>340</v>
      </c>
      <c r="K109" s="4840"/>
      <c r="L109" s="5073"/>
      <c r="M109" s="3366">
        <f>SUM(N108:AA109)</f>
        <v>450000</v>
      </c>
      <c r="N109" s="5223"/>
      <c r="O109" s="5223"/>
      <c r="P109" s="5223"/>
      <c r="Q109" s="5223"/>
      <c r="R109" s="5223"/>
      <c r="S109" s="5223"/>
      <c r="T109" s="5223"/>
      <c r="U109" s="5223"/>
      <c r="V109" s="5223"/>
      <c r="W109" s="5223"/>
      <c r="X109" s="5223"/>
      <c r="Y109" s="5223"/>
      <c r="Z109" s="5223"/>
      <c r="AA109" s="5232">
        <v>450000</v>
      </c>
      <c r="AB109" s="2326" t="s">
        <v>126</v>
      </c>
      <c r="AC109" s="1032" t="s">
        <v>354</v>
      </c>
      <c r="AD109" s="5241" t="s">
        <v>355</v>
      </c>
      <c r="AE109" s="1032">
        <v>0.25</v>
      </c>
      <c r="AF109" s="3812">
        <f>$AA$109*AE109</f>
        <v>112500</v>
      </c>
      <c r="AG109" s="3812">
        <f t="shared" si="14"/>
        <v>112500</v>
      </c>
      <c r="AH109" s="1032" t="s">
        <v>122</v>
      </c>
      <c r="AI109" s="3812">
        <v>45887</v>
      </c>
      <c r="AJ109" s="3812">
        <v>112500</v>
      </c>
      <c r="AK109" s="3812">
        <v>45887</v>
      </c>
      <c r="AL109" s="3812">
        <v>112500</v>
      </c>
      <c r="AM109" s="3812">
        <v>45894</v>
      </c>
      <c r="AN109" s="3812">
        <f t="shared" si="10"/>
        <v>112500</v>
      </c>
      <c r="AO109" s="3812">
        <v>45923</v>
      </c>
      <c r="AP109" s="3812"/>
      <c r="AQ109" s="1032"/>
      <c r="AR109" s="3812"/>
      <c r="AS109" s="5059"/>
      <c r="AT109" s="3812"/>
      <c r="AU109" s="3812"/>
      <c r="AV109" s="3812"/>
      <c r="AW109" s="3812"/>
      <c r="AX109" s="3812"/>
      <c r="AY109" s="3812"/>
      <c r="AZ109" s="5263"/>
      <c r="BA109" s="5265"/>
      <c r="BB109" s="3812"/>
      <c r="BC109" s="3812"/>
      <c r="BD109" s="3812"/>
      <c r="BE109" s="3812"/>
      <c r="BF109" s="3812"/>
      <c r="BG109" s="3812"/>
      <c r="BH109" s="3812"/>
      <c r="BI109" s="3812"/>
      <c r="BJ109" s="5267"/>
      <c r="BK109" s="3812"/>
      <c r="BL109" s="3812"/>
      <c r="BM109" s="3812"/>
      <c r="BN109" s="4813">
        <v>112500</v>
      </c>
      <c r="BO109" s="5265"/>
      <c r="BP109" s="3812"/>
      <c r="BQ109" s="3812"/>
      <c r="BR109" s="3812"/>
      <c r="BS109" s="3812"/>
      <c r="BT109" s="3812"/>
      <c r="BU109" s="3812"/>
      <c r="BV109" s="3812"/>
      <c r="BW109" s="5123"/>
      <c r="BX109" s="5290"/>
      <c r="BY109" s="5123"/>
      <c r="BZ109" s="5123"/>
      <c r="CA109" s="5123"/>
      <c r="CB109" s="4815">
        <v>112500</v>
      </c>
      <c r="CC109" s="5309"/>
      <c r="CD109" s="3812"/>
      <c r="CE109" s="5154">
        <f>SUBTOTAL(9,BO109:CB109)</f>
        <v>112500</v>
      </c>
      <c r="CF109" s="5154">
        <f t="shared" ref="CF109:CF111" si="15">AN109-CE109</f>
        <v>0</v>
      </c>
      <c r="CG109" s="5310"/>
      <c r="CH109" s="5310"/>
    </row>
    <row r="110" s="4974" customFormat="1" ht="25" customHeight="1" spans="1:86">
      <c r="A110" s="3065"/>
      <c r="B110" s="3812"/>
      <c r="C110" s="3812"/>
      <c r="D110" s="5059"/>
      <c r="E110" s="5059"/>
      <c r="F110" s="5205"/>
      <c r="G110" s="5205"/>
      <c r="H110" s="5205"/>
      <c r="I110" s="5205"/>
      <c r="J110" s="5205"/>
      <c r="K110" s="4841"/>
      <c r="L110" s="5205"/>
      <c r="M110" s="4841"/>
      <c r="N110" s="5224"/>
      <c r="O110" s="5224"/>
      <c r="P110" s="5224"/>
      <c r="Q110" s="5224"/>
      <c r="R110" s="5224"/>
      <c r="S110" s="5224"/>
      <c r="T110" s="5224"/>
      <c r="U110" s="5224"/>
      <c r="V110" s="5224"/>
      <c r="W110" s="5224"/>
      <c r="X110" s="5224"/>
      <c r="Y110" s="5224"/>
      <c r="Z110" s="5224"/>
      <c r="AA110" s="5233"/>
      <c r="AB110" s="5233"/>
      <c r="AC110" s="1032" t="s">
        <v>356</v>
      </c>
      <c r="AD110" s="5241" t="s">
        <v>357</v>
      </c>
      <c r="AE110" s="1032">
        <v>0.25</v>
      </c>
      <c r="AF110" s="3812">
        <f>$AA$109*AE110</f>
        <v>112500</v>
      </c>
      <c r="AG110" s="3812">
        <f t="shared" si="14"/>
        <v>112500</v>
      </c>
      <c r="AH110" s="1032" t="s">
        <v>122</v>
      </c>
      <c r="AI110" s="3812">
        <v>45887</v>
      </c>
      <c r="AJ110" s="3812">
        <v>112500</v>
      </c>
      <c r="AK110" s="3812">
        <v>45887</v>
      </c>
      <c r="AL110" s="3812">
        <v>112500</v>
      </c>
      <c r="AM110" s="3812">
        <v>45894</v>
      </c>
      <c r="AN110" s="3812">
        <f t="shared" si="10"/>
        <v>112500</v>
      </c>
      <c r="AO110" s="3812">
        <v>45923</v>
      </c>
      <c r="AP110" s="3812"/>
      <c r="AQ110" s="1032"/>
      <c r="AR110" s="3812"/>
      <c r="AS110" s="5059"/>
      <c r="AT110" s="3812"/>
      <c r="AU110" s="3812"/>
      <c r="AV110" s="3812"/>
      <c r="AW110" s="3812"/>
      <c r="AX110" s="3812"/>
      <c r="AY110" s="3812"/>
      <c r="AZ110" s="5263"/>
      <c r="BA110" s="5265"/>
      <c r="BB110" s="3812"/>
      <c r="BC110" s="3812"/>
      <c r="BD110" s="3812"/>
      <c r="BE110" s="3812"/>
      <c r="BF110" s="3812"/>
      <c r="BG110" s="3812"/>
      <c r="BH110" s="3812"/>
      <c r="BI110" s="3812"/>
      <c r="BJ110" s="3812"/>
      <c r="BK110" s="3812"/>
      <c r="BL110" s="3812"/>
      <c r="BM110" s="3812"/>
      <c r="BN110" s="4813">
        <v>112500</v>
      </c>
      <c r="BO110" s="5265"/>
      <c r="BP110" s="3812"/>
      <c r="BQ110" s="3812"/>
      <c r="BR110" s="3812"/>
      <c r="BS110" s="3812"/>
      <c r="BT110" s="3812"/>
      <c r="BU110" s="3812"/>
      <c r="BV110" s="3812"/>
      <c r="BW110" s="5123"/>
      <c r="BX110" s="5123"/>
      <c r="BY110" s="5123"/>
      <c r="BZ110" s="5123"/>
      <c r="CA110" s="5123"/>
      <c r="CB110" s="4815">
        <v>112500</v>
      </c>
      <c r="CC110" s="5309"/>
      <c r="CD110" s="3812"/>
      <c r="CE110" s="5154">
        <f>SUBTOTAL(9,BO110:CB110)</f>
        <v>112500</v>
      </c>
      <c r="CF110" s="5154">
        <f t="shared" si="15"/>
        <v>0</v>
      </c>
      <c r="CG110" s="5310"/>
      <c r="CH110" s="5310"/>
    </row>
    <row r="111" s="4974" customFormat="1" ht="31" spans="1:86">
      <c r="A111" s="5200"/>
      <c r="B111" s="3812"/>
      <c r="C111" s="3812"/>
      <c r="D111" s="5059"/>
      <c r="E111" s="5059"/>
      <c r="F111" s="5205"/>
      <c r="G111" s="5205"/>
      <c r="H111" s="5205"/>
      <c r="I111" s="5205"/>
      <c r="J111" s="5205"/>
      <c r="K111" s="4841"/>
      <c r="L111" s="5205"/>
      <c r="M111" s="4841"/>
      <c r="N111" s="5225"/>
      <c r="O111" s="5225"/>
      <c r="P111" s="5225"/>
      <c r="Q111" s="5225"/>
      <c r="R111" s="5225"/>
      <c r="S111" s="5225"/>
      <c r="T111" s="5225"/>
      <c r="U111" s="5225"/>
      <c r="V111" s="5225"/>
      <c r="W111" s="5225"/>
      <c r="X111" s="5225"/>
      <c r="Y111" s="5225"/>
      <c r="Z111" s="5225"/>
      <c r="AA111" s="5234"/>
      <c r="AB111" s="5234"/>
      <c r="AC111" s="1032" t="s">
        <v>358</v>
      </c>
      <c r="AD111" s="5241" t="s">
        <v>359</v>
      </c>
      <c r="AE111" s="1032">
        <v>0.35</v>
      </c>
      <c r="AF111" s="3812">
        <f>$AA$109*AE111</f>
        <v>157500</v>
      </c>
      <c r="AG111" s="3812">
        <f t="shared" si="14"/>
        <v>0</v>
      </c>
      <c r="AH111" s="1032"/>
      <c r="AI111" s="3812"/>
      <c r="AJ111" s="3812"/>
      <c r="AK111" s="3812"/>
      <c r="AL111" s="3812"/>
      <c r="AM111" s="4815"/>
      <c r="AN111" s="3812">
        <f t="shared" si="10"/>
        <v>0</v>
      </c>
      <c r="AO111" s="4815"/>
      <c r="AP111" s="3812"/>
      <c r="AQ111" s="1032"/>
      <c r="AR111" s="3812"/>
      <c r="AS111" s="5059"/>
      <c r="AT111" s="3812"/>
      <c r="AU111" s="3812"/>
      <c r="AV111" s="3812"/>
      <c r="AW111" s="3812"/>
      <c r="AX111" s="3812"/>
      <c r="AY111" s="3812"/>
      <c r="AZ111" s="5263"/>
      <c r="BA111" s="5265"/>
      <c r="BB111" s="3812"/>
      <c r="BC111" s="3812"/>
      <c r="BD111" s="3812"/>
      <c r="BE111" s="3812"/>
      <c r="BF111" s="3812"/>
      <c r="BG111" s="3812"/>
      <c r="BH111" s="3812"/>
      <c r="BI111" s="3812"/>
      <c r="BJ111" s="3812"/>
      <c r="BK111" s="3812"/>
      <c r="BL111" s="3812"/>
      <c r="BM111" s="3812"/>
      <c r="BN111" s="3812"/>
      <c r="BO111" s="5265"/>
      <c r="BP111" s="3812"/>
      <c r="BQ111" s="3812"/>
      <c r="BR111" s="3812"/>
      <c r="BS111" s="3812"/>
      <c r="BT111" s="3812"/>
      <c r="BU111" s="3812"/>
      <c r="BV111" s="3812"/>
      <c r="BW111" s="5123"/>
      <c r="BX111" s="5123"/>
      <c r="BY111" s="5123"/>
      <c r="BZ111" s="5123"/>
      <c r="CA111" s="5123"/>
      <c r="CB111" s="3812"/>
      <c r="CC111" s="5309"/>
      <c r="CD111" s="3812"/>
      <c r="CE111" s="5154">
        <f>SUBTOTAL(9,BO111:CB111)</f>
        <v>0</v>
      </c>
      <c r="CF111" s="5154">
        <f t="shared" si="15"/>
        <v>0</v>
      </c>
      <c r="CG111" s="5310"/>
      <c r="CH111" s="5310"/>
    </row>
    <row r="112" s="4974" customFormat="1" ht="31" spans="1:86">
      <c r="A112" s="5200"/>
      <c r="B112" s="3812"/>
      <c r="C112" s="3812"/>
      <c r="D112" s="5059"/>
      <c r="E112" s="5059"/>
      <c r="F112" s="5206"/>
      <c r="G112" s="5206"/>
      <c r="H112" s="5206"/>
      <c r="I112" s="5205"/>
      <c r="J112" s="5206"/>
      <c r="K112" s="4842"/>
      <c r="L112" s="5206"/>
      <c r="M112" s="4842"/>
      <c r="N112" s="5226"/>
      <c r="O112" s="5226"/>
      <c r="P112" s="5226"/>
      <c r="Q112" s="5226"/>
      <c r="R112" s="5226"/>
      <c r="S112" s="5226"/>
      <c r="T112" s="5226"/>
      <c r="U112" s="5226"/>
      <c r="V112" s="5226"/>
      <c r="W112" s="5226"/>
      <c r="X112" s="5226"/>
      <c r="Y112" s="5226"/>
      <c r="Z112" s="5226"/>
      <c r="AA112" s="5235"/>
      <c r="AB112" s="5235"/>
      <c r="AC112" s="1032" t="s">
        <v>360</v>
      </c>
      <c r="AD112" s="5241" t="s">
        <v>361</v>
      </c>
      <c r="AE112" s="1032">
        <v>0.15</v>
      </c>
      <c r="AF112" s="3812">
        <f>$AA$109*AE112</f>
        <v>67500</v>
      </c>
      <c r="AG112" s="3812">
        <f t="shared" si="14"/>
        <v>0</v>
      </c>
      <c r="AH112" s="1032"/>
      <c r="AI112" s="3812"/>
      <c r="AJ112" s="3812"/>
      <c r="AK112" s="3812"/>
      <c r="AL112" s="3812"/>
      <c r="AM112" s="4815"/>
      <c r="AN112" s="3812">
        <f t="shared" si="10"/>
        <v>0</v>
      </c>
      <c r="AO112" s="4815"/>
      <c r="AP112" s="3812"/>
      <c r="AQ112" s="1032"/>
      <c r="AR112" s="3812"/>
      <c r="AS112" s="5059"/>
      <c r="AT112" s="3812"/>
      <c r="AU112" s="3812"/>
      <c r="AV112" s="3812"/>
      <c r="AW112" s="3812"/>
      <c r="AX112" s="3812"/>
      <c r="AY112" s="3812"/>
      <c r="AZ112" s="5263"/>
      <c r="BA112" s="5265"/>
      <c r="BB112" s="3812"/>
      <c r="BC112" s="3812"/>
      <c r="BD112" s="3812"/>
      <c r="BE112" s="3812"/>
      <c r="BF112" s="3812"/>
      <c r="BG112" s="3812"/>
      <c r="BH112" s="3812"/>
      <c r="BI112" s="3812"/>
      <c r="BJ112" s="3812"/>
      <c r="BK112" s="3812"/>
      <c r="BL112" s="3812"/>
      <c r="BM112" s="3812"/>
      <c r="BN112" s="3812"/>
      <c r="BO112" s="5265"/>
      <c r="BP112" s="3812"/>
      <c r="BQ112" s="3812"/>
      <c r="BR112" s="3812"/>
      <c r="BS112" s="3812"/>
      <c r="BT112" s="3812"/>
      <c r="BU112" s="3812"/>
      <c r="BV112" s="3812"/>
      <c r="BW112" s="5123"/>
      <c r="BX112" s="5123"/>
      <c r="BY112" s="5123"/>
      <c r="BZ112" s="5123"/>
      <c r="CA112" s="5123"/>
      <c r="CB112" s="3812"/>
      <c r="CC112" s="5309"/>
      <c r="CD112" s="3812"/>
      <c r="CE112" s="5310"/>
      <c r="CF112" s="5310"/>
      <c r="CG112" s="5310"/>
      <c r="CH112" s="5310"/>
    </row>
    <row r="113" s="4974" customFormat="1" ht="30" customHeight="1" spans="1:86">
      <c r="A113" s="4099"/>
      <c r="B113" s="3812"/>
      <c r="C113" s="3812"/>
      <c r="D113" s="5059"/>
      <c r="E113" s="5059"/>
      <c r="F113" s="5073" t="s">
        <v>352</v>
      </c>
      <c r="G113" s="5073" t="s">
        <v>337</v>
      </c>
      <c r="H113" s="5073" t="s">
        <v>362</v>
      </c>
      <c r="I113" s="1032" t="s">
        <v>339</v>
      </c>
      <c r="J113" s="5073" t="s">
        <v>340</v>
      </c>
      <c r="K113" s="5214"/>
      <c r="L113" s="5073"/>
      <c r="M113" s="4840">
        <f>SUM(N113:AA117)</f>
        <v>1064260</v>
      </c>
      <c r="N113" s="5227"/>
      <c r="O113" s="5227"/>
      <c r="P113" s="5227"/>
      <c r="Q113" s="5227"/>
      <c r="R113" s="5227"/>
      <c r="S113" s="5227"/>
      <c r="T113" s="5227"/>
      <c r="U113" s="5227"/>
      <c r="V113" s="5227"/>
      <c r="W113" s="5227"/>
      <c r="X113" s="5227"/>
      <c r="Y113" s="5227"/>
      <c r="Z113" s="5227"/>
      <c r="AA113" s="5227">
        <v>1064260</v>
      </c>
      <c r="AB113" s="5236" t="s">
        <v>126</v>
      </c>
      <c r="AC113" s="1032" t="s">
        <v>363</v>
      </c>
      <c r="AD113" s="5241" t="s">
        <v>364</v>
      </c>
      <c r="AE113" s="1032">
        <v>0.2</v>
      </c>
      <c r="AF113" s="3812">
        <f>$AA$113*AE113</f>
        <v>212852</v>
      </c>
      <c r="AG113" s="3812">
        <f t="shared" si="14"/>
        <v>212852</v>
      </c>
      <c r="AH113" s="1032" t="s">
        <v>122</v>
      </c>
      <c r="AI113" s="3812">
        <v>45887</v>
      </c>
      <c r="AJ113" s="3812">
        <v>212852</v>
      </c>
      <c r="AK113" s="3812">
        <v>45887</v>
      </c>
      <c r="AL113" s="3812">
        <v>212852</v>
      </c>
      <c r="AM113" s="3812">
        <v>45894</v>
      </c>
      <c r="AN113" s="3812">
        <f t="shared" si="10"/>
        <v>212852</v>
      </c>
      <c r="AO113" s="3812">
        <v>45923</v>
      </c>
      <c r="AP113" s="3812"/>
      <c r="AQ113" s="1032"/>
      <c r="AR113" s="3812"/>
      <c r="AS113" s="5059"/>
      <c r="AT113" s="3812"/>
      <c r="AU113" s="3812"/>
      <c r="AV113" s="3812"/>
      <c r="AW113" s="3812"/>
      <c r="AX113" s="3812"/>
      <c r="AY113" s="3812"/>
      <c r="AZ113" s="5263"/>
      <c r="BA113" s="5265"/>
      <c r="BB113" s="3812"/>
      <c r="BC113" s="3812"/>
      <c r="BD113" s="3812"/>
      <c r="BE113" s="3812"/>
      <c r="BF113" s="3812"/>
      <c r="BG113" s="3812"/>
      <c r="BH113" s="3812"/>
      <c r="BI113" s="3812"/>
      <c r="BJ113" s="3812"/>
      <c r="BK113" s="3812"/>
      <c r="BL113" s="3812"/>
      <c r="BM113" s="3812"/>
      <c r="BN113" s="4813">
        <v>212852</v>
      </c>
      <c r="BO113" s="5265"/>
      <c r="BP113" s="3812"/>
      <c r="BQ113" s="3812"/>
      <c r="BR113" s="3812"/>
      <c r="BS113" s="3812"/>
      <c r="BT113" s="3812"/>
      <c r="BU113" s="3812"/>
      <c r="BV113" s="3812"/>
      <c r="BW113" s="5123"/>
      <c r="BX113" s="5123"/>
      <c r="BY113" s="5123"/>
      <c r="BZ113" s="5123"/>
      <c r="CA113" s="5123"/>
      <c r="CB113" s="4815">
        <v>212852</v>
      </c>
      <c r="CC113" s="5309"/>
      <c r="CD113" s="3812"/>
      <c r="CE113" s="5154">
        <f>SUBTOTAL(9,BO113:CB113)</f>
        <v>212852</v>
      </c>
      <c r="CF113" s="5154">
        <f t="shared" ref="CF113:CF116" si="16">AN113-CE113</f>
        <v>0</v>
      </c>
      <c r="CG113" s="5310"/>
      <c r="CH113" s="5310"/>
    </row>
    <row r="114" s="4974" customFormat="1" ht="30" customHeight="1" spans="1:86">
      <c r="A114" s="4099"/>
      <c r="B114" s="3812"/>
      <c r="C114" s="3812"/>
      <c r="D114" s="5059"/>
      <c r="E114" s="5059"/>
      <c r="F114" s="5205"/>
      <c r="G114" s="5205"/>
      <c r="H114" s="5205"/>
      <c r="I114" s="1032"/>
      <c r="J114" s="5205"/>
      <c r="K114" s="5074"/>
      <c r="L114" s="5205"/>
      <c r="M114" s="4841"/>
      <c r="N114" s="5228"/>
      <c r="O114" s="5228"/>
      <c r="P114" s="5228"/>
      <c r="Q114" s="5228"/>
      <c r="R114" s="5228"/>
      <c r="S114" s="5228"/>
      <c r="T114" s="5228"/>
      <c r="U114" s="5228"/>
      <c r="V114" s="5228"/>
      <c r="W114" s="5228"/>
      <c r="X114" s="5228"/>
      <c r="Y114" s="5228"/>
      <c r="Z114" s="5228"/>
      <c r="AA114" s="5228"/>
      <c r="AB114" s="5228"/>
      <c r="AC114" s="1032" t="s">
        <v>365</v>
      </c>
      <c r="AD114" s="5241" t="s">
        <v>366</v>
      </c>
      <c r="AE114" s="1032">
        <v>0.2</v>
      </c>
      <c r="AF114" s="3812">
        <f>$AA$113*AE114</f>
        <v>212852</v>
      </c>
      <c r="AG114" s="3812">
        <f t="shared" si="14"/>
        <v>212852</v>
      </c>
      <c r="AH114" s="1032" t="s">
        <v>122</v>
      </c>
      <c r="AI114" s="3812">
        <v>45887</v>
      </c>
      <c r="AJ114" s="3812">
        <v>212852</v>
      </c>
      <c r="AK114" s="3812">
        <v>45887</v>
      </c>
      <c r="AL114" s="3812">
        <v>212852</v>
      </c>
      <c r="AM114" s="3812">
        <v>45894</v>
      </c>
      <c r="AN114" s="3812">
        <f t="shared" si="10"/>
        <v>212852</v>
      </c>
      <c r="AO114" s="3812">
        <v>45923</v>
      </c>
      <c r="AP114" s="3812"/>
      <c r="AQ114" s="1032"/>
      <c r="AR114" s="3812"/>
      <c r="AS114" s="5059"/>
      <c r="AT114" s="3812"/>
      <c r="AU114" s="3812"/>
      <c r="AV114" s="3812"/>
      <c r="AW114" s="3812"/>
      <c r="AX114" s="3812"/>
      <c r="AY114" s="3812"/>
      <c r="AZ114" s="5263"/>
      <c r="BA114" s="5265"/>
      <c r="BB114" s="3812"/>
      <c r="BC114" s="3812"/>
      <c r="BD114" s="3812"/>
      <c r="BE114" s="3812"/>
      <c r="BF114" s="3812"/>
      <c r="BG114" s="3812"/>
      <c r="BH114" s="3812"/>
      <c r="BI114" s="3812"/>
      <c r="BJ114" s="3812"/>
      <c r="BK114" s="3812"/>
      <c r="BL114" s="3812"/>
      <c r="BM114" s="3812"/>
      <c r="BN114" s="4813">
        <v>212852</v>
      </c>
      <c r="BO114" s="5265"/>
      <c r="BP114" s="3812"/>
      <c r="BQ114" s="3812"/>
      <c r="BR114" s="3812"/>
      <c r="BS114" s="3812"/>
      <c r="BT114" s="3812"/>
      <c r="BU114" s="3812"/>
      <c r="BV114" s="3812"/>
      <c r="BW114" s="5123"/>
      <c r="BX114" s="5123"/>
      <c r="BY114" s="5123"/>
      <c r="BZ114" s="5123"/>
      <c r="CA114" s="5123"/>
      <c r="CB114" s="4815">
        <v>212852</v>
      </c>
      <c r="CC114" s="5309"/>
      <c r="CD114" s="3812"/>
      <c r="CE114" s="5154">
        <f>SUBTOTAL(9,BO114:CB114)</f>
        <v>212852</v>
      </c>
      <c r="CF114" s="5154">
        <f t="shared" si="16"/>
        <v>0</v>
      </c>
      <c r="CG114" s="5310"/>
      <c r="CH114" s="5310"/>
    </row>
    <row r="115" s="4974" customFormat="1" ht="30" customHeight="1" spans="1:86">
      <c r="A115" s="2678"/>
      <c r="B115" s="3812"/>
      <c r="C115" s="3812"/>
      <c r="D115" s="5059"/>
      <c r="E115" s="5059"/>
      <c r="F115" s="5205"/>
      <c r="G115" s="5205"/>
      <c r="H115" s="5205"/>
      <c r="I115" s="1032"/>
      <c r="J115" s="5205"/>
      <c r="K115" s="5074"/>
      <c r="L115" s="5205"/>
      <c r="M115" s="4841"/>
      <c r="N115" s="4841"/>
      <c r="O115" s="4841"/>
      <c r="P115" s="4841"/>
      <c r="Q115" s="4841"/>
      <c r="R115" s="4841"/>
      <c r="S115" s="4841"/>
      <c r="T115" s="4841"/>
      <c r="U115" s="4841"/>
      <c r="V115" s="4841"/>
      <c r="W115" s="4841"/>
      <c r="X115" s="4841"/>
      <c r="Y115" s="4841"/>
      <c r="Z115" s="4841"/>
      <c r="AA115" s="4841"/>
      <c r="AB115" s="4841"/>
      <c r="AC115" s="1032" t="s">
        <v>367</v>
      </c>
      <c r="AD115" s="5241" t="s">
        <v>368</v>
      </c>
      <c r="AE115" s="1032">
        <v>0.2</v>
      </c>
      <c r="AF115" s="3812">
        <f>$AA$113*AE115</f>
        <v>212852</v>
      </c>
      <c r="AG115" s="3812">
        <f t="shared" si="14"/>
        <v>212852</v>
      </c>
      <c r="AH115" s="1032" t="s">
        <v>122</v>
      </c>
      <c r="AI115" s="3812">
        <v>45999</v>
      </c>
      <c r="AJ115" s="3812">
        <v>212852</v>
      </c>
      <c r="AK115" s="3812">
        <v>45999</v>
      </c>
      <c r="AL115" s="3812">
        <v>212852</v>
      </c>
      <c r="AM115" s="3812"/>
      <c r="AN115" s="4815">
        <f t="shared" si="10"/>
        <v>212852</v>
      </c>
      <c r="AO115" s="4815"/>
      <c r="AP115" s="3812"/>
      <c r="AQ115" s="1032"/>
      <c r="AR115" s="3812"/>
      <c r="AS115" s="5059"/>
      <c r="AT115" s="3812"/>
      <c r="AU115" s="3812"/>
      <c r="AV115" s="3812"/>
      <c r="AW115" s="3812"/>
      <c r="AX115" s="3812"/>
      <c r="AY115" s="3812"/>
      <c r="AZ115" s="5263"/>
      <c r="BA115" s="5265"/>
      <c r="BB115" s="3812"/>
      <c r="BC115" s="3812"/>
      <c r="BD115" s="3812"/>
      <c r="BE115" s="3812"/>
      <c r="BF115" s="3812"/>
      <c r="BG115" s="3812"/>
      <c r="BH115" s="3812"/>
      <c r="BI115" s="3812"/>
      <c r="BJ115" s="3812"/>
      <c r="BK115" s="3812"/>
      <c r="BL115" s="3812"/>
      <c r="BM115" s="5263"/>
      <c r="BN115" s="5279">
        <v>212852</v>
      </c>
      <c r="BO115" s="5265"/>
      <c r="BP115" s="3812"/>
      <c r="BQ115" s="3812"/>
      <c r="BR115" s="3812"/>
      <c r="BS115" s="3812"/>
      <c r="BT115" s="3812"/>
      <c r="BU115" s="3812"/>
      <c r="BV115" s="3812"/>
      <c r="BW115" s="5123"/>
      <c r="BX115" s="5123"/>
      <c r="BY115" s="5123"/>
      <c r="BZ115" s="5123"/>
      <c r="CA115" s="5284"/>
      <c r="CB115" s="5303">
        <v>212852</v>
      </c>
      <c r="CC115" s="5309"/>
      <c r="CD115" s="3812"/>
      <c r="CE115" s="5154">
        <f>SUBTOTAL(9,BO115:CB115)</f>
        <v>212852</v>
      </c>
      <c r="CF115" s="5154">
        <f t="shared" si="16"/>
        <v>0</v>
      </c>
      <c r="CG115" s="5310"/>
      <c r="CH115" s="5310"/>
    </row>
    <row r="116" s="4974" customFormat="1" ht="30" customHeight="1" spans="1:86">
      <c r="A116" s="2678"/>
      <c r="B116" s="3812"/>
      <c r="C116" s="3812"/>
      <c r="D116" s="5059"/>
      <c r="E116" s="5059"/>
      <c r="F116" s="5205"/>
      <c r="G116" s="5205"/>
      <c r="H116" s="5205"/>
      <c r="I116" s="1032"/>
      <c r="J116" s="5205"/>
      <c r="K116" s="5074"/>
      <c r="L116" s="5205"/>
      <c r="M116" s="4841"/>
      <c r="N116" s="4841"/>
      <c r="O116" s="4841"/>
      <c r="P116" s="4841"/>
      <c r="Q116" s="4841"/>
      <c r="R116" s="4841"/>
      <c r="S116" s="4841"/>
      <c r="T116" s="4841"/>
      <c r="U116" s="4841"/>
      <c r="V116" s="4841"/>
      <c r="W116" s="4841"/>
      <c r="X116" s="4841"/>
      <c r="Y116" s="4841"/>
      <c r="Z116" s="4841"/>
      <c r="AA116" s="4841"/>
      <c r="AB116" s="4841"/>
      <c r="AC116" s="1032" t="s">
        <v>369</v>
      </c>
      <c r="AD116" s="5242" t="s">
        <v>370</v>
      </c>
      <c r="AE116" s="5073">
        <v>0.2</v>
      </c>
      <c r="AF116" s="3812">
        <f>$AA$113*AE116</f>
        <v>212852</v>
      </c>
      <c r="AG116" s="4840">
        <f t="shared" si="14"/>
        <v>212852</v>
      </c>
      <c r="AH116" s="1032" t="s">
        <v>122</v>
      </c>
      <c r="AI116" s="3812">
        <v>45999</v>
      </c>
      <c r="AJ116" s="4840">
        <v>212852</v>
      </c>
      <c r="AK116" s="3812">
        <v>45999</v>
      </c>
      <c r="AL116" s="4840">
        <v>212852</v>
      </c>
      <c r="AM116" s="3812"/>
      <c r="AN116" s="4815">
        <f t="shared" si="10"/>
        <v>212852</v>
      </c>
      <c r="AO116" s="4815"/>
      <c r="AP116" s="3812"/>
      <c r="AQ116" s="1032"/>
      <c r="AR116" s="3812"/>
      <c r="AS116" s="5059"/>
      <c r="AT116" s="3812"/>
      <c r="AU116" s="3812"/>
      <c r="AV116" s="3812"/>
      <c r="AW116" s="3812"/>
      <c r="AX116" s="3812"/>
      <c r="AY116" s="3812"/>
      <c r="AZ116" s="5263"/>
      <c r="BA116" s="5265"/>
      <c r="BB116" s="3812"/>
      <c r="BC116" s="3812"/>
      <c r="BD116" s="3812"/>
      <c r="BE116" s="3812"/>
      <c r="BF116" s="3812"/>
      <c r="BG116" s="3812"/>
      <c r="BH116" s="3812"/>
      <c r="BI116" s="3812"/>
      <c r="BJ116" s="3812"/>
      <c r="BK116" s="3812"/>
      <c r="BL116" s="3812"/>
      <c r="BM116" s="5280"/>
      <c r="BN116" s="5281">
        <v>212852</v>
      </c>
      <c r="BO116" s="5265"/>
      <c r="BP116" s="3812"/>
      <c r="BQ116" s="3812"/>
      <c r="BR116" s="3812"/>
      <c r="BS116" s="3812"/>
      <c r="BT116" s="3812"/>
      <c r="BU116" s="3812"/>
      <c r="BV116" s="3812"/>
      <c r="BW116" s="5123"/>
      <c r="BX116" s="5123"/>
      <c r="BY116" s="5123"/>
      <c r="BZ116" s="5123"/>
      <c r="CA116" s="5304"/>
      <c r="CB116" s="5305">
        <v>212852</v>
      </c>
      <c r="CC116" s="5309"/>
      <c r="CD116" s="3812"/>
      <c r="CE116" s="5154">
        <f>SUBTOTAL(9,BO116:CB116)</f>
        <v>212852</v>
      </c>
      <c r="CF116" s="5154">
        <f t="shared" si="16"/>
        <v>0</v>
      </c>
      <c r="CG116" s="5310"/>
      <c r="CH116" s="5310"/>
    </row>
    <row r="117" s="4974" customFormat="1" ht="24" customHeight="1" spans="1:86">
      <c r="A117" s="2678"/>
      <c r="B117" s="3812"/>
      <c r="C117" s="3812"/>
      <c r="D117" s="5059"/>
      <c r="E117" s="5059"/>
      <c r="F117" s="5205"/>
      <c r="G117" s="5205"/>
      <c r="H117" s="5205"/>
      <c r="I117" s="1032"/>
      <c r="J117" s="5205"/>
      <c r="K117" s="5075"/>
      <c r="L117" s="5206"/>
      <c r="M117" s="4842"/>
      <c r="N117" s="4842"/>
      <c r="O117" s="4842"/>
      <c r="P117" s="4842"/>
      <c r="Q117" s="4842"/>
      <c r="R117" s="4842"/>
      <c r="S117" s="4842"/>
      <c r="T117" s="4842"/>
      <c r="U117" s="4842"/>
      <c r="V117" s="4842"/>
      <c r="W117" s="4842"/>
      <c r="X117" s="4842"/>
      <c r="Y117" s="4842"/>
      <c r="Z117" s="4842"/>
      <c r="AA117" s="4842"/>
      <c r="AB117" s="4842"/>
      <c r="AC117" s="1032" t="s">
        <v>371</v>
      </c>
      <c r="AD117" s="5241" t="s">
        <v>372</v>
      </c>
      <c r="AE117" s="1032">
        <v>0.2</v>
      </c>
      <c r="AF117" s="3812">
        <f>$AA$113*AE117</f>
        <v>212852</v>
      </c>
      <c r="AG117" s="3812">
        <v>0</v>
      </c>
      <c r="AH117" s="5199"/>
      <c r="AI117" s="5246"/>
      <c r="AJ117" s="4815">
        <v>40316.76</v>
      </c>
      <c r="AK117" s="4815"/>
      <c r="AL117" s="3812"/>
      <c r="AM117" s="3812"/>
      <c r="AN117" s="3812">
        <f t="shared" si="10"/>
        <v>0</v>
      </c>
      <c r="AO117" s="5257"/>
      <c r="AP117" s="3812"/>
      <c r="AQ117" s="1032"/>
      <c r="AR117" s="3812"/>
      <c r="AS117" s="5059"/>
      <c r="AT117" s="3812"/>
      <c r="AU117" s="3812"/>
      <c r="AV117" s="3812"/>
      <c r="AW117" s="3812"/>
      <c r="AX117" s="3812"/>
      <c r="AY117" s="3812"/>
      <c r="AZ117" s="5263"/>
      <c r="BA117" s="5265"/>
      <c r="BB117" s="3812"/>
      <c r="BC117" s="3812"/>
      <c r="BD117" s="3812"/>
      <c r="BE117" s="3812"/>
      <c r="BF117" s="3812"/>
      <c r="BG117" s="3812"/>
      <c r="BH117" s="3812"/>
      <c r="BI117" s="3812"/>
      <c r="BJ117" s="3812"/>
      <c r="BK117" s="3812"/>
      <c r="BL117" s="3812"/>
      <c r="BM117" s="5263"/>
      <c r="BN117" s="5279"/>
      <c r="BO117" s="5265"/>
      <c r="BP117" s="3812"/>
      <c r="BQ117" s="3812"/>
      <c r="BR117" s="3812"/>
      <c r="BS117" s="3812"/>
      <c r="BT117" s="3812"/>
      <c r="BU117" s="3812"/>
      <c r="BV117" s="3812"/>
      <c r="BW117" s="3812"/>
      <c r="BX117" s="3812"/>
      <c r="BY117" s="3812"/>
      <c r="BZ117" s="3812"/>
      <c r="CA117" s="5263"/>
      <c r="CB117" s="5282"/>
      <c r="CC117" s="5309"/>
      <c r="CD117" s="3812"/>
      <c r="CE117" s="5310"/>
      <c r="CF117" s="5310"/>
      <c r="CG117" s="5310"/>
      <c r="CH117" s="5310"/>
    </row>
    <row r="118" s="4974" customFormat="1" ht="31" spans="1:86">
      <c r="A118" s="5201"/>
      <c r="B118" s="3812"/>
      <c r="C118" s="3812"/>
      <c r="D118" s="5059"/>
      <c r="E118" s="5059"/>
      <c r="F118" s="5205"/>
      <c r="G118" s="5205"/>
      <c r="H118" s="5205"/>
      <c r="I118" s="1032"/>
      <c r="J118" s="5205"/>
      <c r="K118" s="5214"/>
      <c r="L118" s="5073"/>
      <c r="M118" s="4840">
        <f>SUM(N118:AA118)</f>
        <v>201583.8</v>
      </c>
      <c r="N118" s="4840"/>
      <c r="O118" s="4840"/>
      <c r="P118" s="4840"/>
      <c r="Q118" s="4840"/>
      <c r="R118" s="4840"/>
      <c r="S118" s="4840"/>
      <c r="T118" s="4840"/>
      <c r="U118" s="4840"/>
      <c r="V118" s="4840"/>
      <c r="W118" s="4840"/>
      <c r="X118" s="4840"/>
      <c r="Y118" s="4840"/>
      <c r="Z118" s="4840"/>
      <c r="AA118" s="4840">
        <v>201583.8</v>
      </c>
      <c r="AB118" s="3366" t="s">
        <v>126</v>
      </c>
      <c r="AC118" s="1032" t="s">
        <v>373</v>
      </c>
      <c r="AD118" s="5241" t="s">
        <v>374</v>
      </c>
      <c r="AE118" s="1032">
        <v>0.2</v>
      </c>
      <c r="AF118" s="3812">
        <f>$AA$118*AE118</f>
        <v>40316.76</v>
      </c>
      <c r="AG118" s="3812">
        <f t="shared" ref="AG118:AG130" si="17">SUM(BA118:BN118)</f>
        <v>40316.76</v>
      </c>
      <c r="AH118" s="1032" t="s">
        <v>122</v>
      </c>
      <c r="AI118" s="3812">
        <v>45999</v>
      </c>
      <c r="AJ118" s="3812">
        <v>40316.76</v>
      </c>
      <c r="AK118" s="3812">
        <v>45999</v>
      </c>
      <c r="AL118" s="3812">
        <v>40316.76</v>
      </c>
      <c r="AM118" s="3812"/>
      <c r="AN118" s="4815">
        <f t="shared" si="10"/>
        <v>40316.76</v>
      </c>
      <c r="AO118" s="4815"/>
      <c r="AP118" s="3812"/>
      <c r="AQ118" s="1032"/>
      <c r="AR118" s="3812"/>
      <c r="AS118" s="5059"/>
      <c r="AT118" s="3812"/>
      <c r="AU118" s="3812"/>
      <c r="AV118" s="3812"/>
      <c r="AW118" s="3812"/>
      <c r="AX118" s="3812"/>
      <c r="AY118" s="3812"/>
      <c r="AZ118" s="5263"/>
      <c r="BA118" s="5265"/>
      <c r="BB118" s="3812"/>
      <c r="BC118" s="3812"/>
      <c r="BD118" s="3812"/>
      <c r="BE118" s="3812"/>
      <c r="BF118" s="3812"/>
      <c r="BG118" s="3812"/>
      <c r="BH118" s="3812"/>
      <c r="BI118" s="3812"/>
      <c r="BJ118" s="3812"/>
      <c r="BK118" s="3812"/>
      <c r="BL118" s="3812"/>
      <c r="BM118" s="5263"/>
      <c r="BN118" s="5279">
        <v>40316.76</v>
      </c>
      <c r="BO118" s="5265"/>
      <c r="BP118" s="3812"/>
      <c r="BQ118" s="3812"/>
      <c r="BR118" s="3812"/>
      <c r="BS118" s="3812"/>
      <c r="BT118" s="3812"/>
      <c r="BU118" s="3812"/>
      <c r="BV118" s="3812"/>
      <c r="BW118" s="5123"/>
      <c r="BX118" s="5123"/>
      <c r="BY118" s="5123"/>
      <c r="BZ118" s="5123"/>
      <c r="CA118" s="5284"/>
      <c r="CB118" s="5303">
        <v>40316.76</v>
      </c>
      <c r="CC118" s="5309"/>
      <c r="CD118" s="3812"/>
      <c r="CE118" s="5154">
        <f>SUBTOTAL(9,BO118:CB118)</f>
        <v>40316.76</v>
      </c>
      <c r="CF118" s="5154">
        <f t="shared" ref="CF118:CF120" si="18">AN118-CE118</f>
        <v>0</v>
      </c>
      <c r="CG118" s="5310"/>
      <c r="CH118" s="5310"/>
    </row>
    <row r="119" s="4974" customFormat="1" ht="31" spans="1:86">
      <c r="A119" s="2678"/>
      <c r="B119" s="3812"/>
      <c r="C119" s="3812"/>
      <c r="D119" s="5059"/>
      <c r="E119" s="5059"/>
      <c r="F119" s="5205"/>
      <c r="G119" s="5205"/>
      <c r="H119" s="5205"/>
      <c r="I119" s="1032"/>
      <c r="J119" s="5205"/>
      <c r="K119" s="5074"/>
      <c r="L119" s="5205"/>
      <c r="M119" s="4841"/>
      <c r="N119" s="4841"/>
      <c r="O119" s="4841"/>
      <c r="P119" s="4841"/>
      <c r="Q119" s="4841"/>
      <c r="R119" s="4841"/>
      <c r="S119" s="4841"/>
      <c r="T119" s="4841"/>
      <c r="U119" s="4841"/>
      <c r="V119" s="4841"/>
      <c r="W119" s="4841"/>
      <c r="X119" s="4841"/>
      <c r="Y119" s="4841"/>
      <c r="Z119" s="4841"/>
      <c r="AA119" s="4841"/>
      <c r="AB119" s="4841"/>
      <c r="AC119" s="1032" t="s">
        <v>375</v>
      </c>
      <c r="AD119" s="5241" t="s">
        <v>376</v>
      </c>
      <c r="AE119" s="1032">
        <v>0.2</v>
      </c>
      <c r="AF119" s="3812">
        <f>$AA$118*AE119</f>
        <v>40316.76</v>
      </c>
      <c r="AG119" s="3812">
        <f t="shared" si="17"/>
        <v>40316.76</v>
      </c>
      <c r="AH119" s="1032" t="s">
        <v>122</v>
      </c>
      <c r="AI119" s="3812">
        <v>45999</v>
      </c>
      <c r="AJ119" s="3812">
        <v>40316.76</v>
      </c>
      <c r="AK119" s="3812">
        <v>45999</v>
      </c>
      <c r="AL119" s="3812">
        <v>40316.76</v>
      </c>
      <c r="AM119" s="3812"/>
      <c r="AN119" s="4815">
        <f t="shared" si="10"/>
        <v>40316.76</v>
      </c>
      <c r="AO119" s="4815"/>
      <c r="AP119" s="3812"/>
      <c r="AQ119" s="1032"/>
      <c r="AR119" s="3812"/>
      <c r="AS119" s="5059"/>
      <c r="AT119" s="3812"/>
      <c r="AU119" s="3812"/>
      <c r="AV119" s="3812"/>
      <c r="AW119" s="3812"/>
      <c r="AX119" s="3812"/>
      <c r="AY119" s="3812"/>
      <c r="AZ119" s="5263"/>
      <c r="BA119" s="5265"/>
      <c r="BB119" s="3812"/>
      <c r="BC119" s="3812"/>
      <c r="BD119" s="3812"/>
      <c r="BE119" s="3812"/>
      <c r="BF119" s="3812"/>
      <c r="BG119" s="3812"/>
      <c r="BH119" s="3812"/>
      <c r="BI119" s="3812"/>
      <c r="BJ119" s="3812"/>
      <c r="BK119" s="3812"/>
      <c r="BL119" s="3812"/>
      <c r="BM119" s="5263"/>
      <c r="BN119" s="5279">
        <v>40316.76</v>
      </c>
      <c r="BO119" s="5265"/>
      <c r="BP119" s="3812"/>
      <c r="BQ119" s="3812"/>
      <c r="BR119" s="3812"/>
      <c r="BS119" s="3812"/>
      <c r="BT119" s="3812"/>
      <c r="BU119" s="3812"/>
      <c r="BV119" s="3812"/>
      <c r="BW119" s="5123"/>
      <c r="BX119" s="5123"/>
      <c r="BY119" s="5123"/>
      <c r="BZ119" s="5123"/>
      <c r="CA119" s="5284"/>
      <c r="CB119" s="5303">
        <v>40316.76</v>
      </c>
      <c r="CC119" s="5309"/>
      <c r="CD119" s="3812"/>
      <c r="CE119" s="5154">
        <f>SUBTOTAL(9,BO119:CB119)</f>
        <v>40316.76</v>
      </c>
      <c r="CF119" s="5154">
        <f t="shared" si="18"/>
        <v>0</v>
      </c>
      <c r="CG119" s="5310"/>
      <c r="CH119" s="5310"/>
    </row>
    <row r="120" s="4974" customFormat="1" ht="23.25" customHeight="1" spans="1:86">
      <c r="A120" s="2678"/>
      <c r="B120" s="3812"/>
      <c r="C120" s="3812"/>
      <c r="D120" s="5059"/>
      <c r="E120" s="5059"/>
      <c r="F120" s="5205"/>
      <c r="G120" s="5205"/>
      <c r="H120" s="5205"/>
      <c r="I120" s="1032"/>
      <c r="J120" s="5205"/>
      <c r="K120" s="5074"/>
      <c r="L120" s="5205"/>
      <c r="M120" s="4841"/>
      <c r="N120" s="4841"/>
      <c r="O120" s="4841"/>
      <c r="P120" s="4841"/>
      <c r="Q120" s="4841"/>
      <c r="R120" s="4841"/>
      <c r="S120" s="4841"/>
      <c r="T120" s="4841"/>
      <c r="U120" s="4841"/>
      <c r="V120" s="4841"/>
      <c r="W120" s="4841"/>
      <c r="X120" s="4841"/>
      <c r="Y120" s="4841"/>
      <c r="Z120" s="4841"/>
      <c r="AA120" s="4841"/>
      <c r="AB120" s="4841"/>
      <c r="AC120" s="1032" t="s">
        <v>377</v>
      </c>
      <c r="AD120" s="5242" t="s">
        <v>378</v>
      </c>
      <c r="AE120" s="5073">
        <v>0.2</v>
      </c>
      <c r="AF120" s="3812">
        <f>$AA$118*AE120</f>
        <v>40316.76</v>
      </c>
      <c r="AG120" s="4840">
        <f t="shared" si="17"/>
        <v>40316.76</v>
      </c>
      <c r="AH120" s="1032" t="s">
        <v>122</v>
      </c>
      <c r="AI120" s="3812">
        <v>45999</v>
      </c>
      <c r="AJ120" s="3812">
        <v>40316.76</v>
      </c>
      <c r="AK120" s="3812">
        <v>45999</v>
      </c>
      <c r="AL120" s="3812">
        <v>40316.76</v>
      </c>
      <c r="AM120" s="3812"/>
      <c r="AN120" s="4815">
        <f t="shared" si="10"/>
        <v>40316.76</v>
      </c>
      <c r="AO120" s="4815"/>
      <c r="AP120" s="3812"/>
      <c r="AQ120" s="1032"/>
      <c r="AR120" s="3812"/>
      <c r="AS120" s="5059"/>
      <c r="AT120" s="3812"/>
      <c r="AU120" s="3812"/>
      <c r="AV120" s="3812"/>
      <c r="AW120" s="3812"/>
      <c r="AX120" s="3812"/>
      <c r="AY120" s="3812"/>
      <c r="AZ120" s="5263"/>
      <c r="BA120" s="5265"/>
      <c r="BB120" s="3812"/>
      <c r="BC120" s="3812"/>
      <c r="BD120" s="3812"/>
      <c r="BE120" s="3812"/>
      <c r="BF120" s="3812"/>
      <c r="BG120" s="3812"/>
      <c r="BH120" s="3812"/>
      <c r="BI120" s="3812"/>
      <c r="BJ120" s="3812"/>
      <c r="BK120" s="3812"/>
      <c r="BL120" s="3812"/>
      <c r="BM120" s="5280"/>
      <c r="BN120" s="5281">
        <v>40316.76</v>
      </c>
      <c r="BO120" s="5265"/>
      <c r="BP120" s="3812"/>
      <c r="BQ120" s="3812"/>
      <c r="BR120" s="3812"/>
      <c r="BS120" s="3812"/>
      <c r="BT120" s="3812"/>
      <c r="BU120" s="3812"/>
      <c r="BV120" s="3812"/>
      <c r="BW120" s="5123"/>
      <c r="BX120" s="5123"/>
      <c r="BY120" s="5123"/>
      <c r="BZ120" s="5123"/>
      <c r="CA120" s="5304"/>
      <c r="CB120" s="5305">
        <v>40316.76</v>
      </c>
      <c r="CC120" s="5309"/>
      <c r="CD120" s="3812"/>
      <c r="CE120" s="5154">
        <f>SUBTOTAL(9,BO120:CB120)</f>
        <v>40316.76</v>
      </c>
      <c r="CF120" s="5154">
        <f t="shared" si="18"/>
        <v>0</v>
      </c>
      <c r="CG120" s="5310"/>
      <c r="CH120" s="5310"/>
    </row>
    <row r="121" s="4974" customFormat="1" ht="31" spans="1:86">
      <c r="A121" s="2678"/>
      <c r="B121" s="3812"/>
      <c r="C121" s="3812"/>
      <c r="D121" s="5059"/>
      <c r="E121" s="5059"/>
      <c r="F121" s="5205"/>
      <c r="G121" s="5205"/>
      <c r="H121" s="5205"/>
      <c r="I121" s="1032"/>
      <c r="J121" s="5205"/>
      <c r="K121" s="5074"/>
      <c r="L121" s="5205"/>
      <c r="M121" s="4841"/>
      <c r="N121" s="4841"/>
      <c r="O121" s="4841"/>
      <c r="P121" s="4841"/>
      <c r="Q121" s="4841"/>
      <c r="R121" s="4841"/>
      <c r="S121" s="4841"/>
      <c r="T121" s="4841"/>
      <c r="U121" s="4841"/>
      <c r="V121" s="4841"/>
      <c r="W121" s="4841"/>
      <c r="X121" s="4841"/>
      <c r="Y121" s="4841"/>
      <c r="Z121" s="4841"/>
      <c r="AA121" s="4841"/>
      <c r="AB121" s="4841"/>
      <c r="AC121" s="1032" t="s">
        <v>379</v>
      </c>
      <c r="AD121" s="5241" t="s">
        <v>380</v>
      </c>
      <c r="AE121" s="1032">
        <v>0.2</v>
      </c>
      <c r="AF121" s="3812">
        <f>$AA$118*AE121</f>
        <v>40316.76</v>
      </c>
      <c r="AG121" s="3812">
        <f t="shared" si="17"/>
        <v>0</v>
      </c>
      <c r="AH121" s="5199"/>
      <c r="AI121" s="4813"/>
      <c r="AJ121" s="4840">
        <v>34189.34</v>
      </c>
      <c r="AK121" s="4813"/>
      <c r="AL121" s="5248"/>
      <c r="AM121" s="4813"/>
      <c r="AN121" s="3812">
        <f t="shared" si="10"/>
        <v>0</v>
      </c>
      <c r="AO121" s="4813"/>
      <c r="AP121" s="3812"/>
      <c r="AQ121" s="1032"/>
      <c r="AR121" s="3812"/>
      <c r="AS121" s="5059"/>
      <c r="AT121" s="3812"/>
      <c r="AU121" s="3812"/>
      <c r="AV121" s="3812"/>
      <c r="AW121" s="3812"/>
      <c r="AX121" s="3812"/>
      <c r="AY121" s="3812"/>
      <c r="AZ121" s="5263"/>
      <c r="BA121" s="5265"/>
      <c r="BB121" s="3812"/>
      <c r="BC121" s="3812"/>
      <c r="BD121" s="3812"/>
      <c r="BE121" s="3812"/>
      <c r="BF121" s="3812"/>
      <c r="BG121" s="3812"/>
      <c r="BH121" s="3812"/>
      <c r="BI121" s="3812"/>
      <c r="BJ121" s="3812"/>
      <c r="BK121" s="3812"/>
      <c r="BL121" s="3812"/>
      <c r="BM121" s="5263"/>
      <c r="BN121" s="5282"/>
      <c r="BO121" s="5265"/>
      <c r="BP121" s="3812"/>
      <c r="BQ121" s="3812"/>
      <c r="BR121" s="3812"/>
      <c r="BS121" s="3812"/>
      <c r="BT121" s="3812"/>
      <c r="BU121" s="3812"/>
      <c r="BV121" s="3812"/>
      <c r="BW121" s="3812"/>
      <c r="BX121" s="3812"/>
      <c r="BY121" s="3812"/>
      <c r="BZ121" s="3812"/>
      <c r="CA121" s="5280"/>
      <c r="CB121" s="5281"/>
      <c r="CC121" s="5309"/>
      <c r="CD121" s="3812"/>
      <c r="CE121" s="5310"/>
      <c r="CF121" s="5310"/>
      <c r="CG121" s="5310"/>
      <c r="CH121" s="5310"/>
    </row>
    <row r="122" s="4974" customFormat="1" ht="31" spans="1:86">
      <c r="A122" s="2678"/>
      <c r="B122" s="3812"/>
      <c r="C122" s="3812"/>
      <c r="D122" s="5059"/>
      <c r="E122" s="5059"/>
      <c r="F122" s="5206"/>
      <c r="G122" s="5206"/>
      <c r="H122" s="5206"/>
      <c r="I122" s="1032"/>
      <c r="J122" s="5206"/>
      <c r="K122" s="5075"/>
      <c r="L122" s="5206"/>
      <c r="M122" s="4842"/>
      <c r="N122" s="4842"/>
      <c r="O122" s="4842"/>
      <c r="P122" s="4842"/>
      <c r="Q122" s="4842"/>
      <c r="R122" s="4842"/>
      <c r="S122" s="4842"/>
      <c r="T122" s="4842"/>
      <c r="U122" s="4842"/>
      <c r="V122" s="4842"/>
      <c r="W122" s="4842"/>
      <c r="X122" s="4842"/>
      <c r="Y122" s="4842"/>
      <c r="Z122" s="4842"/>
      <c r="AA122" s="4842"/>
      <c r="AB122" s="4842"/>
      <c r="AC122" s="1032" t="s">
        <v>381</v>
      </c>
      <c r="AD122" s="5241" t="s">
        <v>382</v>
      </c>
      <c r="AE122" s="1032">
        <v>0.2</v>
      </c>
      <c r="AF122" s="3812">
        <f>$AA$118*AE122</f>
        <v>40316.76</v>
      </c>
      <c r="AG122" s="3812">
        <f t="shared" si="17"/>
        <v>0</v>
      </c>
      <c r="AH122" s="5199"/>
      <c r="AI122" s="4813"/>
      <c r="AJ122" s="4840">
        <v>16704.044</v>
      </c>
      <c r="AK122" s="4813"/>
      <c r="AL122" s="5248"/>
      <c r="AM122" s="4813"/>
      <c r="AN122" s="3812">
        <f t="shared" ref="AN122:AN128" si="19">SUM(BO122:CB122)</f>
        <v>0</v>
      </c>
      <c r="AO122" s="4813"/>
      <c r="AP122" s="3812"/>
      <c r="AQ122" s="1032"/>
      <c r="AR122" s="3812"/>
      <c r="AS122" s="5059"/>
      <c r="AT122" s="3812"/>
      <c r="AU122" s="3812"/>
      <c r="AV122" s="3812"/>
      <c r="AW122" s="3812"/>
      <c r="AX122" s="3812"/>
      <c r="AY122" s="3812"/>
      <c r="AZ122" s="5263"/>
      <c r="BA122" s="5266"/>
      <c r="BB122" s="4840"/>
      <c r="BC122" s="4840"/>
      <c r="BD122" s="4840"/>
      <c r="BE122" s="4840"/>
      <c r="BF122" s="4840"/>
      <c r="BG122" s="4840"/>
      <c r="BH122" s="4840"/>
      <c r="BI122" s="4840"/>
      <c r="BJ122" s="4840"/>
      <c r="BK122" s="4840"/>
      <c r="BL122" s="4840"/>
      <c r="BM122" s="5280"/>
      <c r="BN122" s="5283"/>
      <c r="BO122" s="5266"/>
      <c r="BP122" s="4840"/>
      <c r="BQ122" s="4840"/>
      <c r="BR122" s="4840"/>
      <c r="BS122" s="4840"/>
      <c r="BT122" s="4840"/>
      <c r="BU122" s="4840"/>
      <c r="BV122" s="4840"/>
      <c r="BW122" s="4840"/>
      <c r="BX122" s="4840"/>
      <c r="BY122" s="4840"/>
      <c r="BZ122" s="4840"/>
      <c r="CA122" s="5280"/>
      <c r="CB122" s="5281"/>
      <c r="CC122" s="5309"/>
      <c r="CD122" s="3812"/>
      <c r="CE122" s="5310"/>
      <c r="CF122" s="5310"/>
      <c r="CG122" s="5310"/>
      <c r="CH122" s="5310"/>
    </row>
    <row r="123" s="4974" customFormat="1" ht="25" customHeight="1" spans="1:86">
      <c r="A123" s="5201"/>
      <c r="B123" s="3812"/>
      <c r="C123" s="3812"/>
      <c r="D123" s="5059"/>
      <c r="E123" s="5059"/>
      <c r="F123" s="5073" t="s">
        <v>383</v>
      </c>
      <c r="G123" s="5073" t="s">
        <v>337</v>
      </c>
      <c r="H123" s="5073" t="s">
        <v>31</v>
      </c>
      <c r="I123" s="5205" t="s">
        <v>339</v>
      </c>
      <c r="J123" s="1032" t="s">
        <v>340</v>
      </c>
      <c r="K123" s="5059"/>
      <c r="L123" s="1032" t="s">
        <v>384</v>
      </c>
      <c r="M123" s="3812">
        <f>SUM(N123:AA123)</f>
        <v>170946.7</v>
      </c>
      <c r="N123" s="4840"/>
      <c r="O123" s="4840"/>
      <c r="P123" s="4840"/>
      <c r="Q123" s="4840"/>
      <c r="R123" s="4840"/>
      <c r="S123" s="4840"/>
      <c r="T123" s="4840"/>
      <c r="U123" s="4840">
        <v>170946.7</v>
      </c>
      <c r="V123" s="4840"/>
      <c r="W123" s="4840"/>
      <c r="X123" s="4840"/>
      <c r="Y123" s="4840"/>
      <c r="Z123" s="4840"/>
      <c r="AA123" s="4840"/>
      <c r="AB123" s="4840"/>
      <c r="AC123" s="1032" t="s">
        <v>385</v>
      </c>
      <c r="AD123" s="5241" t="s">
        <v>386</v>
      </c>
      <c r="AE123" s="1032">
        <v>0.2</v>
      </c>
      <c r="AF123" s="3812">
        <f>$U$123*AE123</f>
        <v>34189.34</v>
      </c>
      <c r="AG123" s="3812">
        <f t="shared" si="17"/>
        <v>34189.34</v>
      </c>
      <c r="AH123" s="1032" t="s">
        <v>122</v>
      </c>
      <c r="AI123" s="3812">
        <v>45995</v>
      </c>
      <c r="AJ123" s="4840">
        <v>34189.34</v>
      </c>
      <c r="AK123" s="3812">
        <v>45995</v>
      </c>
      <c r="AL123" s="4840">
        <v>34189.34</v>
      </c>
      <c r="AM123" s="3812"/>
      <c r="AN123" s="4815">
        <f t="shared" si="19"/>
        <v>34189.34</v>
      </c>
      <c r="AO123" s="5258">
        <v>46052</v>
      </c>
      <c r="AP123" s="3812"/>
      <c r="AQ123" s="1032"/>
      <c r="AR123" s="3812"/>
      <c r="AS123" s="5059"/>
      <c r="AT123" s="3812"/>
      <c r="AU123" s="3812"/>
      <c r="AV123" s="3812"/>
      <c r="AW123" s="3812"/>
      <c r="AX123" s="3812"/>
      <c r="AY123" s="3812"/>
      <c r="AZ123" s="5263"/>
      <c r="BA123" s="5265"/>
      <c r="BB123" s="3812"/>
      <c r="BC123" s="3812"/>
      <c r="BD123" s="3812"/>
      <c r="BE123" s="3812"/>
      <c r="BF123" s="3812"/>
      <c r="BG123" s="3812"/>
      <c r="BH123" s="3812">
        <v>34189.34</v>
      </c>
      <c r="BI123" s="4813"/>
      <c r="BJ123" s="3812"/>
      <c r="BK123" s="3812"/>
      <c r="BL123" s="3812"/>
      <c r="BM123" s="5263"/>
      <c r="BN123" s="5282"/>
      <c r="BO123" s="5265"/>
      <c r="BP123" s="3812"/>
      <c r="BQ123" s="3812"/>
      <c r="BR123" s="3812"/>
      <c r="BS123" s="3812"/>
      <c r="BT123" s="3812"/>
      <c r="BU123" s="3812"/>
      <c r="BV123" s="3812">
        <v>34189.34</v>
      </c>
      <c r="BW123" s="4813"/>
      <c r="BX123" s="5123"/>
      <c r="BY123" s="5123"/>
      <c r="BZ123" s="5123"/>
      <c r="CA123" s="5284"/>
      <c r="CB123" s="5279"/>
      <c r="CC123" s="5309"/>
      <c r="CD123" s="3812"/>
      <c r="CE123" s="5154">
        <f>SUBTOTAL(9,BO123:CB123)</f>
        <v>34189.34</v>
      </c>
      <c r="CF123" s="5154">
        <f>AN123-CE123</f>
        <v>0</v>
      </c>
      <c r="CG123" s="5310"/>
      <c r="CH123" s="5310"/>
    </row>
    <row r="124" s="4974" customFormat="1" ht="61" spans="1:86">
      <c r="A124" s="2678"/>
      <c r="B124" s="3812"/>
      <c r="C124" s="3812"/>
      <c r="D124" s="5059"/>
      <c r="E124" s="5059"/>
      <c r="F124" s="5205"/>
      <c r="G124" s="5205"/>
      <c r="H124" s="5205"/>
      <c r="I124" s="5205"/>
      <c r="J124" s="1032"/>
      <c r="K124" s="5059"/>
      <c r="L124" s="1032"/>
      <c r="M124" s="3812"/>
      <c r="N124" s="4841"/>
      <c r="O124" s="4841"/>
      <c r="P124" s="4841"/>
      <c r="Q124" s="4841"/>
      <c r="R124" s="4841"/>
      <c r="S124" s="4841"/>
      <c r="T124" s="4841"/>
      <c r="U124" s="4841"/>
      <c r="V124" s="4841"/>
      <c r="W124" s="4841"/>
      <c r="X124" s="4841"/>
      <c r="Y124" s="4841"/>
      <c r="Z124" s="4841"/>
      <c r="AA124" s="4841"/>
      <c r="AB124" s="4841"/>
      <c r="AC124" s="1032" t="s">
        <v>387</v>
      </c>
      <c r="AD124" s="5073" t="s">
        <v>388</v>
      </c>
      <c r="AE124" s="5073">
        <v>0.2</v>
      </c>
      <c r="AF124" s="3812">
        <f>$U$123*AE124</f>
        <v>34189.34</v>
      </c>
      <c r="AG124" s="4840">
        <f t="shared" si="17"/>
        <v>34189.34</v>
      </c>
      <c r="AH124" s="1032" t="s">
        <v>122</v>
      </c>
      <c r="AI124" s="3812">
        <v>45995</v>
      </c>
      <c r="AJ124" s="4840">
        <v>34189.34</v>
      </c>
      <c r="AK124" s="3812">
        <v>45995</v>
      </c>
      <c r="AL124" s="4840">
        <v>34189.34</v>
      </c>
      <c r="AM124" s="3812"/>
      <c r="AN124" s="4815">
        <f t="shared" si="19"/>
        <v>34189.34</v>
      </c>
      <c r="AO124" s="5258">
        <v>46052</v>
      </c>
      <c r="AP124" s="3812"/>
      <c r="AQ124" s="1032"/>
      <c r="AR124" s="3812"/>
      <c r="AS124" s="5059"/>
      <c r="AT124" s="3812"/>
      <c r="AU124" s="3812"/>
      <c r="AV124" s="3812"/>
      <c r="AW124" s="3812"/>
      <c r="AX124" s="3812"/>
      <c r="AY124" s="3812"/>
      <c r="AZ124" s="5263"/>
      <c r="BA124" s="5265"/>
      <c r="BB124" s="3812"/>
      <c r="BC124" s="3812"/>
      <c r="BD124" s="3812"/>
      <c r="BE124" s="3812"/>
      <c r="BF124" s="3812"/>
      <c r="BG124" s="3812"/>
      <c r="BH124" s="3812">
        <v>34189.34</v>
      </c>
      <c r="BI124" s="4813"/>
      <c r="BJ124" s="3812"/>
      <c r="BK124" s="3812"/>
      <c r="BL124" s="3812"/>
      <c r="BM124" s="5263"/>
      <c r="BN124" s="5282"/>
      <c r="BO124" s="5265"/>
      <c r="BP124" s="3812"/>
      <c r="BQ124" s="3812"/>
      <c r="BR124" s="3812"/>
      <c r="BS124" s="3812"/>
      <c r="BT124" s="3812"/>
      <c r="BU124" s="3812"/>
      <c r="BV124" s="3812">
        <v>34189.34</v>
      </c>
      <c r="BW124" s="4813"/>
      <c r="BX124" s="3812"/>
      <c r="BY124" s="3812"/>
      <c r="BZ124" s="3812"/>
      <c r="CA124" s="5263"/>
      <c r="CB124" s="5279"/>
      <c r="CC124" s="5309"/>
      <c r="CD124" s="3812"/>
      <c r="CE124" s="5154">
        <f>SUBTOTAL(9,BO124:CB124)</f>
        <v>34189.34</v>
      </c>
      <c r="CF124" s="5154">
        <f>AN124-CE124</f>
        <v>0</v>
      </c>
      <c r="CG124" s="5310"/>
      <c r="CH124" s="5310"/>
    </row>
    <row r="125" s="4974" customFormat="1" ht="46" spans="1:86">
      <c r="A125" s="2678"/>
      <c r="B125" s="3812"/>
      <c r="C125" s="3812"/>
      <c r="D125" s="5059"/>
      <c r="E125" s="5059"/>
      <c r="F125" s="5205"/>
      <c r="G125" s="5205"/>
      <c r="H125" s="5205"/>
      <c r="I125" s="5205"/>
      <c r="J125" s="1032"/>
      <c r="K125" s="5059"/>
      <c r="L125" s="1032"/>
      <c r="M125" s="3812"/>
      <c r="N125" s="4841"/>
      <c r="O125" s="4841"/>
      <c r="P125" s="4841"/>
      <c r="Q125" s="4841"/>
      <c r="R125" s="4841"/>
      <c r="S125" s="4841"/>
      <c r="T125" s="4841"/>
      <c r="U125" s="4841"/>
      <c r="V125" s="4841"/>
      <c r="W125" s="4841"/>
      <c r="X125" s="4841"/>
      <c r="Y125" s="4841"/>
      <c r="Z125" s="4841"/>
      <c r="AA125" s="4841"/>
      <c r="AB125" s="4841"/>
      <c r="AC125" s="1032" t="s">
        <v>389</v>
      </c>
      <c r="AD125" s="5241" t="s">
        <v>390</v>
      </c>
      <c r="AE125" s="1032">
        <v>0.4</v>
      </c>
      <c r="AF125" s="3812">
        <f>$U$123*AE125</f>
        <v>68378.68</v>
      </c>
      <c r="AG125" s="4813">
        <f t="shared" si="17"/>
        <v>68378.68</v>
      </c>
      <c r="AH125" s="5245" t="s">
        <v>349</v>
      </c>
      <c r="AI125" s="4815">
        <v>46013</v>
      </c>
      <c r="AJ125" s="4815">
        <v>68378.68</v>
      </c>
      <c r="AK125" s="4813"/>
      <c r="AL125" s="3812"/>
      <c r="AM125" s="3812"/>
      <c r="AN125" s="3812">
        <f t="shared" si="19"/>
        <v>0</v>
      </c>
      <c r="AO125" s="3812"/>
      <c r="AP125" s="3812"/>
      <c r="AQ125" s="1032"/>
      <c r="AR125" s="3812"/>
      <c r="AS125" s="5059"/>
      <c r="AT125" s="3812"/>
      <c r="AU125" s="3812"/>
      <c r="AV125" s="3812"/>
      <c r="AW125" s="3812"/>
      <c r="AX125" s="3812"/>
      <c r="AY125" s="3812"/>
      <c r="AZ125" s="5263"/>
      <c r="BA125" s="5265"/>
      <c r="BB125" s="3812"/>
      <c r="BC125" s="3812"/>
      <c r="BD125" s="3812"/>
      <c r="BE125" s="3812"/>
      <c r="BF125" s="3812"/>
      <c r="BG125" s="3812"/>
      <c r="BH125" s="3812">
        <v>68378.68</v>
      </c>
      <c r="BI125" s="5123"/>
      <c r="BJ125" s="5123"/>
      <c r="BK125" s="5123"/>
      <c r="BL125" s="5123"/>
      <c r="BM125" s="5284"/>
      <c r="BN125" s="5285"/>
      <c r="BO125" s="5265"/>
      <c r="BP125" s="3812"/>
      <c r="BQ125" s="3812"/>
      <c r="BR125" s="3812"/>
      <c r="BS125" s="3812"/>
      <c r="BT125" s="3812"/>
      <c r="BU125" s="3812"/>
      <c r="BV125" s="3812"/>
      <c r="BW125" s="3812"/>
      <c r="BX125" s="3812"/>
      <c r="BY125" s="3812"/>
      <c r="BZ125" s="3812"/>
      <c r="CA125" s="5263"/>
      <c r="CB125" s="5279"/>
      <c r="CC125" s="5309"/>
      <c r="CD125" s="3812"/>
      <c r="CE125" s="5310"/>
      <c r="CF125" s="5310"/>
      <c r="CG125" s="5310"/>
      <c r="CH125" s="5310"/>
    </row>
    <row r="126" s="4974" customFormat="1" ht="46" spans="1:86">
      <c r="A126" s="2678"/>
      <c r="B126" s="3812"/>
      <c r="C126" s="3812"/>
      <c r="D126" s="5059"/>
      <c r="E126" s="5059"/>
      <c r="F126" s="5205"/>
      <c r="G126" s="5205"/>
      <c r="H126" s="5206"/>
      <c r="I126" s="5205"/>
      <c r="J126" s="1032"/>
      <c r="K126" s="5059"/>
      <c r="L126" s="1032"/>
      <c r="M126" s="3812"/>
      <c r="N126" s="4842"/>
      <c r="O126" s="4842"/>
      <c r="P126" s="4842"/>
      <c r="Q126" s="4842"/>
      <c r="R126" s="4842"/>
      <c r="S126" s="4842"/>
      <c r="T126" s="4842"/>
      <c r="U126" s="4842"/>
      <c r="V126" s="4842"/>
      <c r="W126" s="4842"/>
      <c r="X126" s="4842"/>
      <c r="Y126" s="4842"/>
      <c r="Z126" s="4842"/>
      <c r="AA126" s="4842"/>
      <c r="AB126" s="4842"/>
      <c r="AC126" s="1032" t="s">
        <v>391</v>
      </c>
      <c r="AD126" s="5241" t="s">
        <v>392</v>
      </c>
      <c r="AE126" s="1032">
        <v>0.2</v>
      </c>
      <c r="AF126" s="3812">
        <f>$U$123*AE126</f>
        <v>34189.34</v>
      </c>
      <c r="AG126" s="3812">
        <f t="shared" si="17"/>
        <v>0</v>
      </c>
      <c r="AH126" s="5245"/>
      <c r="AI126" s="4815"/>
      <c r="AJ126" s="4813"/>
      <c r="AK126" s="4813"/>
      <c r="AL126" s="3812"/>
      <c r="AM126" s="3812"/>
      <c r="AN126" s="3812">
        <f t="shared" si="19"/>
        <v>0</v>
      </c>
      <c r="AO126" s="3812"/>
      <c r="AP126" s="3812"/>
      <c r="AQ126" s="1032"/>
      <c r="AR126" s="3812"/>
      <c r="AS126" s="5059"/>
      <c r="AT126" s="3812"/>
      <c r="AU126" s="3812"/>
      <c r="AV126" s="3812"/>
      <c r="AW126" s="3812"/>
      <c r="AX126" s="3812"/>
      <c r="AY126" s="3812"/>
      <c r="AZ126" s="5263"/>
      <c r="BA126" s="5265"/>
      <c r="BB126" s="3812"/>
      <c r="BC126" s="3812"/>
      <c r="BD126" s="3812"/>
      <c r="BE126" s="3812"/>
      <c r="BF126" s="3812"/>
      <c r="BG126" s="3812"/>
      <c r="BH126" s="3812"/>
      <c r="BI126" s="5123"/>
      <c r="BJ126" s="5123"/>
      <c r="BK126" s="5123"/>
      <c r="BL126" s="5123"/>
      <c r="BM126" s="5284"/>
      <c r="BN126" s="5285"/>
      <c r="BO126" s="5265"/>
      <c r="BP126" s="3812"/>
      <c r="BQ126" s="3812"/>
      <c r="BR126" s="3812"/>
      <c r="BS126" s="3812"/>
      <c r="BT126" s="3812"/>
      <c r="BU126" s="3812"/>
      <c r="BV126" s="3812"/>
      <c r="BW126" s="3812"/>
      <c r="BX126" s="3812"/>
      <c r="BY126" s="3812"/>
      <c r="BZ126" s="3812"/>
      <c r="CA126" s="5263"/>
      <c r="CB126" s="5279"/>
      <c r="CC126" s="5309"/>
      <c r="CD126" s="3812"/>
      <c r="CE126" s="5310"/>
      <c r="CF126" s="5310"/>
      <c r="CG126" s="5310"/>
      <c r="CH126" s="5310"/>
    </row>
    <row r="127" s="4974" customFormat="1" ht="25" customHeight="1" spans="1:86">
      <c r="A127" s="2678"/>
      <c r="B127" s="3812"/>
      <c r="C127" s="3812"/>
      <c r="D127" s="5059"/>
      <c r="E127" s="5059"/>
      <c r="F127" s="5205"/>
      <c r="G127" s="5205"/>
      <c r="H127" s="5073" t="s">
        <v>193</v>
      </c>
      <c r="I127" s="5205"/>
      <c r="J127" s="1032"/>
      <c r="K127" s="5059"/>
      <c r="L127" s="1032" t="s">
        <v>393</v>
      </c>
      <c r="M127" s="3812">
        <f>SUM(N127:AA127)</f>
        <v>83520.22</v>
      </c>
      <c r="N127" s="4840"/>
      <c r="O127" s="4840"/>
      <c r="P127" s="4840"/>
      <c r="Q127" s="4840"/>
      <c r="R127" s="4840"/>
      <c r="S127" s="4840"/>
      <c r="T127" s="4840"/>
      <c r="U127" s="4840"/>
      <c r="V127" s="4840">
        <v>83520.22</v>
      </c>
      <c r="W127" s="4840"/>
      <c r="X127" s="4840"/>
      <c r="Y127" s="4840"/>
      <c r="Z127" s="4840"/>
      <c r="AA127" s="4840"/>
      <c r="AB127" s="4840"/>
      <c r="AC127" s="1032" t="s">
        <v>394</v>
      </c>
      <c r="AD127" s="5241" t="s">
        <v>395</v>
      </c>
      <c r="AE127" s="1032">
        <v>0.2</v>
      </c>
      <c r="AF127" s="3812">
        <f>$V$127*AE127</f>
        <v>16704.044</v>
      </c>
      <c r="AG127" s="3812">
        <f t="shared" si="17"/>
        <v>16704.044</v>
      </c>
      <c r="AH127" s="1032" t="s">
        <v>122</v>
      </c>
      <c r="AI127" s="3812">
        <v>45995</v>
      </c>
      <c r="AJ127" s="3812">
        <v>16704.04</v>
      </c>
      <c r="AK127" s="3812">
        <v>45995</v>
      </c>
      <c r="AL127" s="3812">
        <v>16704.04</v>
      </c>
      <c r="AM127" s="3812"/>
      <c r="AN127" s="4815">
        <f t="shared" si="19"/>
        <v>16704.044</v>
      </c>
      <c r="AO127" s="5258">
        <v>46052</v>
      </c>
      <c r="AP127" s="3812"/>
      <c r="AQ127" s="1032"/>
      <c r="AR127" s="3812"/>
      <c r="AS127" s="5059"/>
      <c r="AT127" s="3812"/>
      <c r="AU127" s="3812"/>
      <c r="AV127" s="3812"/>
      <c r="AW127" s="3812"/>
      <c r="AX127" s="3812"/>
      <c r="AY127" s="3812"/>
      <c r="AZ127" s="5263"/>
      <c r="BA127" s="5265"/>
      <c r="BB127" s="3812"/>
      <c r="BC127" s="3812"/>
      <c r="BD127" s="3812"/>
      <c r="BE127" s="3812"/>
      <c r="BF127" s="3812"/>
      <c r="BG127" s="3812"/>
      <c r="BH127" s="3812"/>
      <c r="BI127" s="4813">
        <v>16704.044</v>
      </c>
      <c r="BJ127" s="3812"/>
      <c r="BK127" s="3812"/>
      <c r="BL127" s="3812"/>
      <c r="BM127" s="5263"/>
      <c r="BN127" s="5282"/>
      <c r="BO127" s="5265"/>
      <c r="BP127" s="3812"/>
      <c r="BQ127" s="3812"/>
      <c r="BR127" s="3812"/>
      <c r="BS127" s="3812"/>
      <c r="BT127" s="3812"/>
      <c r="BU127" s="3812"/>
      <c r="BV127" s="3812"/>
      <c r="BW127" s="4813">
        <v>16704.044</v>
      </c>
      <c r="BX127" s="5123"/>
      <c r="BY127" s="5123"/>
      <c r="BZ127" s="5123"/>
      <c r="CA127" s="5284"/>
      <c r="CB127" s="5279"/>
      <c r="CC127" s="5309"/>
      <c r="CD127" s="3812"/>
      <c r="CE127" s="5154">
        <f>SUBTOTAL(9,BO127:CB127)</f>
        <v>16704.044</v>
      </c>
      <c r="CF127" s="5154">
        <f>AN127-CE127</f>
        <v>0</v>
      </c>
      <c r="CG127" s="5310"/>
      <c r="CH127" s="5310"/>
    </row>
    <row r="128" s="4974" customFormat="1" ht="24.75" customHeight="1" spans="1:86">
      <c r="A128" s="2678"/>
      <c r="B128" s="3812"/>
      <c r="C128" s="3812"/>
      <c r="D128" s="5059"/>
      <c r="E128" s="5059"/>
      <c r="F128" s="5205"/>
      <c r="G128" s="5205"/>
      <c r="H128" s="5205"/>
      <c r="I128" s="5205"/>
      <c r="J128" s="1032"/>
      <c r="K128" s="5059"/>
      <c r="L128" s="1032"/>
      <c r="M128" s="3812"/>
      <c r="N128" s="4841"/>
      <c r="O128" s="4841"/>
      <c r="P128" s="4841"/>
      <c r="Q128" s="4841"/>
      <c r="R128" s="4841"/>
      <c r="S128" s="4841"/>
      <c r="T128" s="4841"/>
      <c r="U128" s="4841"/>
      <c r="V128" s="4841"/>
      <c r="W128" s="4841"/>
      <c r="X128" s="4841"/>
      <c r="Y128" s="4841"/>
      <c r="Z128" s="4841"/>
      <c r="AA128" s="4841"/>
      <c r="AB128" s="4841"/>
      <c r="AC128" s="5073" t="s">
        <v>396</v>
      </c>
      <c r="AD128" s="5242" t="s">
        <v>397</v>
      </c>
      <c r="AE128" s="5073">
        <v>0.5</v>
      </c>
      <c r="AF128" s="3812">
        <f>$V$127*AE128</f>
        <v>41760.11</v>
      </c>
      <c r="AG128" s="4840">
        <f t="shared" si="17"/>
        <v>41760.11</v>
      </c>
      <c r="AH128" s="1032" t="s">
        <v>122</v>
      </c>
      <c r="AI128" s="3812">
        <v>45995</v>
      </c>
      <c r="AJ128" s="3812">
        <v>41760.11</v>
      </c>
      <c r="AK128" s="3812">
        <v>45995</v>
      </c>
      <c r="AL128" s="3812">
        <v>41760.11</v>
      </c>
      <c r="AM128" s="3812"/>
      <c r="AN128" s="5249">
        <f t="shared" si="19"/>
        <v>41760.11</v>
      </c>
      <c r="AO128" s="5258">
        <v>46052</v>
      </c>
      <c r="AP128" s="3812"/>
      <c r="AQ128" s="1032"/>
      <c r="AR128" s="3812"/>
      <c r="AS128" s="5059"/>
      <c r="AT128" s="3812"/>
      <c r="AU128" s="3812"/>
      <c r="AV128" s="3812"/>
      <c r="AW128" s="3812"/>
      <c r="AX128" s="3812"/>
      <c r="AY128" s="3812"/>
      <c r="AZ128" s="5263"/>
      <c r="BA128" s="5265"/>
      <c r="BB128" s="3812"/>
      <c r="BC128" s="3812"/>
      <c r="BD128" s="3812"/>
      <c r="BE128" s="3812"/>
      <c r="BF128" s="3812"/>
      <c r="BG128" s="3812"/>
      <c r="BH128" s="3812"/>
      <c r="BI128" s="4813">
        <v>41760.11</v>
      </c>
      <c r="BJ128" s="3812"/>
      <c r="BK128" s="3812"/>
      <c r="BL128" s="3812"/>
      <c r="BM128" s="5263"/>
      <c r="BN128" s="5282"/>
      <c r="BO128" s="5265"/>
      <c r="BP128" s="3812"/>
      <c r="BQ128" s="3812"/>
      <c r="BR128" s="3812"/>
      <c r="BS128" s="3812"/>
      <c r="BT128" s="3812"/>
      <c r="BU128" s="3812"/>
      <c r="BV128" s="3812"/>
      <c r="BW128" s="4813">
        <v>41760.11</v>
      </c>
      <c r="BX128" s="3812"/>
      <c r="BY128" s="3812"/>
      <c r="BZ128" s="3812"/>
      <c r="CA128" s="5263"/>
      <c r="CB128" s="5279"/>
      <c r="CC128" s="5309"/>
      <c r="CD128" s="3812"/>
      <c r="CE128" s="5154">
        <f>SUBTOTAL(9,BO128:CB128)</f>
        <v>41760.11</v>
      </c>
      <c r="CF128" s="5154">
        <f>AN128-CE128</f>
        <v>0</v>
      </c>
      <c r="CG128" s="5310"/>
      <c r="CH128" s="5310"/>
    </row>
    <row r="129" s="4974" customFormat="1" ht="61" spans="1:86">
      <c r="A129" s="2678"/>
      <c r="B129" s="3812"/>
      <c r="C129" s="3812"/>
      <c r="D129" s="5059"/>
      <c r="E129" s="5059"/>
      <c r="F129" s="5205"/>
      <c r="G129" s="5205"/>
      <c r="H129" s="5205"/>
      <c r="I129" s="5205"/>
      <c r="J129" s="1032"/>
      <c r="K129" s="5059"/>
      <c r="L129" s="1032"/>
      <c r="M129" s="3812"/>
      <c r="N129" s="4841"/>
      <c r="O129" s="4841"/>
      <c r="P129" s="4841"/>
      <c r="Q129" s="4841"/>
      <c r="R129" s="4841"/>
      <c r="S129" s="4841"/>
      <c r="T129" s="4841"/>
      <c r="U129" s="4841"/>
      <c r="V129" s="4841"/>
      <c r="W129" s="4841"/>
      <c r="X129" s="4841"/>
      <c r="Y129" s="4841"/>
      <c r="Z129" s="4841"/>
      <c r="AA129" s="4841"/>
      <c r="AB129" s="4841"/>
      <c r="AC129" s="1032" t="s">
        <v>398</v>
      </c>
      <c r="AD129" s="5242" t="s">
        <v>399</v>
      </c>
      <c r="AE129" s="5073">
        <v>0.25</v>
      </c>
      <c r="AF129" s="3812">
        <f>$V$127*AE129</f>
        <v>20880.055</v>
      </c>
      <c r="AG129" s="4840">
        <f t="shared" si="17"/>
        <v>0</v>
      </c>
      <c r="AH129" s="1032"/>
      <c r="AI129" s="3812"/>
      <c r="AJ129" s="4840"/>
      <c r="AK129" s="3812"/>
      <c r="AL129" s="4840"/>
      <c r="AM129" s="3812"/>
      <c r="AN129" s="5349">
        <v>7</v>
      </c>
      <c r="AO129" s="3812"/>
      <c r="AP129" s="3812"/>
      <c r="AQ129" s="1032"/>
      <c r="AR129" s="3812"/>
      <c r="AS129" s="5059"/>
      <c r="AT129" s="3812"/>
      <c r="AU129" s="3812"/>
      <c r="AV129" s="3812"/>
      <c r="AW129" s="3812"/>
      <c r="AX129" s="3812"/>
      <c r="AY129" s="3812"/>
      <c r="AZ129" s="5263"/>
      <c r="BA129" s="5265"/>
      <c r="BB129" s="3812"/>
      <c r="BC129" s="3812"/>
      <c r="BD129" s="3812"/>
      <c r="BE129" s="3812"/>
      <c r="BF129" s="3812"/>
      <c r="BG129" s="3812"/>
      <c r="BH129" s="3812"/>
      <c r="BI129" s="4813"/>
      <c r="BJ129" s="3812"/>
      <c r="BK129" s="3812"/>
      <c r="BL129" s="3812"/>
      <c r="BM129" s="5263"/>
      <c r="BN129" s="5282"/>
      <c r="BO129" s="5265"/>
      <c r="BP129" s="3812"/>
      <c r="BQ129" s="3812"/>
      <c r="BR129" s="3812"/>
      <c r="BS129" s="3812"/>
      <c r="BT129" s="3812"/>
      <c r="BU129" s="3812"/>
      <c r="BV129" s="3812"/>
      <c r="BW129" s="4813"/>
      <c r="BX129" s="3812"/>
      <c r="BY129" s="3812"/>
      <c r="BZ129" s="3812"/>
      <c r="CA129" s="5263"/>
      <c r="CB129" s="5279"/>
      <c r="CC129" s="5309"/>
      <c r="CD129" s="3812"/>
      <c r="CE129" s="5154"/>
      <c r="CF129" s="5154"/>
      <c r="CG129" s="5310"/>
      <c r="CH129" s="5310"/>
    </row>
    <row r="130" s="4974" customFormat="1" ht="31" spans="1:86">
      <c r="A130" s="2678"/>
      <c r="B130" s="3812"/>
      <c r="C130" s="3812"/>
      <c r="D130" s="5059"/>
      <c r="E130" s="5059"/>
      <c r="F130" s="5206"/>
      <c r="G130" s="5206"/>
      <c r="H130" s="5206"/>
      <c r="I130" s="5205"/>
      <c r="J130" s="1032"/>
      <c r="K130" s="5059"/>
      <c r="L130" s="1032"/>
      <c r="M130" s="3812"/>
      <c r="N130" s="4842"/>
      <c r="O130" s="4842"/>
      <c r="P130" s="4842"/>
      <c r="Q130" s="4842"/>
      <c r="R130" s="4842"/>
      <c r="S130" s="4842"/>
      <c r="T130" s="4842"/>
      <c r="U130" s="4842"/>
      <c r="V130" s="4842"/>
      <c r="W130" s="4842"/>
      <c r="X130" s="4842"/>
      <c r="Y130" s="4842"/>
      <c r="Z130" s="4842"/>
      <c r="AA130" s="4842"/>
      <c r="AB130" s="4842"/>
      <c r="AC130" s="1032" t="s">
        <v>400</v>
      </c>
      <c r="AD130" s="5241" t="s">
        <v>401</v>
      </c>
      <c r="AE130" s="1032">
        <v>0.05</v>
      </c>
      <c r="AF130" s="3812">
        <f>$V$127*AE130</f>
        <v>4176.011</v>
      </c>
      <c r="AG130" s="3812">
        <f t="shared" si="17"/>
        <v>0</v>
      </c>
      <c r="AH130" s="5245"/>
      <c r="AI130" s="4815"/>
      <c r="AJ130" s="4813"/>
      <c r="AK130" s="4813"/>
      <c r="AL130" s="3812"/>
      <c r="AM130" s="3812"/>
      <c r="AN130" s="5349">
        <f t="shared" ref="AN130:AN138" si="20">SUM(BO130:CB130)</f>
        <v>0</v>
      </c>
      <c r="AO130" s="3812"/>
      <c r="AP130" s="3812"/>
      <c r="AQ130" s="1032"/>
      <c r="AR130" s="3812"/>
      <c r="AS130" s="5059"/>
      <c r="AT130" s="3812"/>
      <c r="AU130" s="3812"/>
      <c r="AV130" s="3812"/>
      <c r="AW130" s="3812"/>
      <c r="AX130" s="3812"/>
      <c r="AY130" s="3812"/>
      <c r="AZ130" s="5263"/>
      <c r="BA130" s="5265"/>
      <c r="BB130" s="3812"/>
      <c r="BC130" s="3812"/>
      <c r="BD130" s="3812"/>
      <c r="BE130" s="3812"/>
      <c r="BF130" s="3812"/>
      <c r="BG130" s="3812"/>
      <c r="BH130" s="3812"/>
      <c r="BI130" s="5123"/>
      <c r="BJ130" s="5123"/>
      <c r="BK130" s="5123"/>
      <c r="BL130" s="5123"/>
      <c r="BM130" s="5284"/>
      <c r="BN130" s="5285"/>
      <c r="BO130" s="5265"/>
      <c r="BP130" s="3812"/>
      <c r="BQ130" s="3812"/>
      <c r="BR130" s="3812"/>
      <c r="BS130" s="3812"/>
      <c r="BT130" s="3812"/>
      <c r="BU130" s="3812"/>
      <c r="BV130" s="3812"/>
      <c r="BW130" s="3812"/>
      <c r="BX130" s="3812"/>
      <c r="BY130" s="3812"/>
      <c r="BZ130" s="3812"/>
      <c r="CA130" s="5263"/>
      <c r="CB130" s="5279"/>
      <c r="CC130" s="5309"/>
      <c r="CD130" s="3812"/>
      <c r="CE130" s="5310"/>
      <c r="CF130" s="5310"/>
      <c r="CG130" s="5310"/>
      <c r="CH130" s="5310"/>
    </row>
    <row r="131" s="4965" customFormat="1" ht="87.5" customHeight="1" spans="1:86">
      <c r="A131" s="3524">
        <v>20</v>
      </c>
      <c r="B131" s="3524" t="s">
        <v>173</v>
      </c>
      <c r="C131" s="3524">
        <v>43782</v>
      </c>
      <c r="D131" s="1032" t="s">
        <v>402</v>
      </c>
      <c r="E131" s="3524" t="s">
        <v>113</v>
      </c>
      <c r="F131" s="3742" t="s">
        <v>403</v>
      </c>
      <c r="G131" s="3742" t="s">
        <v>404</v>
      </c>
      <c r="H131" s="3524" t="s">
        <v>31</v>
      </c>
      <c r="I131" s="5073" t="s">
        <v>405</v>
      </c>
      <c r="J131" s="3742" t="s">
        <v>177</v>
      </c>
      <c r="K131" s="1032" t="s">
        <v>406</v>
      </c>
      <c r="L131" s="1032" t="s">
        <v>407</v>
      </c>
      <c r="M131" s="3524">
        <f>SUM(N131:AA134)</f>
        <v>952900</v>
      </c>
      <c r="N131" s="5085"/>
      <c r="O131" s="5085"/>
      <c r="P131" s="5085"/>
      <c r="Q131" s="5085"/>
      <c r="R131" s="5085"/>
      <c r="S131" s="5085"/>
      <c r="T131" s="5085"/>
      <c r="U131" s="5085">
        <v>952900</v>
      </c>
      <c r="V131" s="5085"/>
      <c r="W131" s="5085">
        <v>0</v>
      </c>
      <c r="X131" s="5085">
        <v>0</v>
      </c>
      <c r="Y131" s="5085"/>
      <c r="Z131" s="5085"/>
      <c r="AA131" s="5085"/>
      <c r="AB131" s="5085"/>
      <c r="AC131" s="3742">
        <v>1</v>
      </c>
      <c r="AD131" s="3742" t="s">
        <v>408</v>
      </c>
      <c r="AE131" s="5117">
        <v>1</v>
      </c>
      <c r="AF131" s="3524">
        <v>279500</v>
      </c>
      <c r="AG131" s="3812">
        <v>279500</v>
      </c>
      <c r="AH131" s="857" t="s">
        <v>409</v>
      </c>
      <c r="AI131" s="3812">
        <v>45275</v>
      </c>
      <c r="AJ131" s="3812">
        <v>279500</v>
      </c>
      <c r="AK131" s="3812">
        <v>45275</v>
      </c>
      <c r="AL131" s="4813">
        <v>279500</v>
      </c>
      <c r="AM131" s="4813">
        <v>45831</v>
      </c>
      <c r="AN131" s="4813">
        <f t="shared" si="20"/>
        <v>279500</v>
      </c>
      <c r="AO131" s="4813">
        <v>46021</v>
      </c>
      <c r="AP131" s="3524">
        <f>AG131-AN131</f>
        <v>0</v>
      </c>
      <c r="AQ131" s="5242" t="s">
        <v>209</v>
      </c>
      <c r="AR131" s="3742" t="s">
        <v>410</v>
      </c>
      <c r="AS131" s="5358"/>
      <c r="AT131" s="5122"/>
      <c r="AU131" s="5085">
        <f>SUM(AG131:AG134)</f>
        <v>902900</v>
      </c>
      <c r="AV131" s="5085">
        <f>SUM(AL131:AL134)</f>
        <v>902900</v>
      </c>
      <c r="AW131" s="5085">
        <f>SUM(AN131:AN134)</f>
        <v>902900</v>
      </c>
      <c r="AX131" s="5085">
        <f>M131-AU131</f>
        <v>50000</v>
      </c>
      <c r="AY131" s="5085">
        <f>AU131-AV131</f>
        <v>0</v>
      </c>
      <c r="AZ131" s="5085">
        <f>AV131-AW131</f>
        <v>0</v>
      </c>
      <c r="BA131" s="5122"/>
      <c r="BB131" s="3524"/>
      <c r="BC131" s="3524"/>
      <c r="BD131" s="5122"/>
      <c r="BE131" s="5122"/>
      <c r="BF131" s="5122"/>
      <c r="BG131" s="5122"/>
      <c r="BH131" s="3812">
        <v>279500</v>
      </c>
      <c r="BI131" s="3524"/>
      <c r="BJ131" s="3524"/>
      <c r="BK131" s="3524"/>
      <c r="BL131" s="3524"/>
      <c r="BM131" s="3524"/>
      <c r="BN131" s="3524"/>
      <c r="BO131" s="5122"/>
      <c r="BP131" s="5122"/>
      <c r="BQ131" s="5122"/>
      <c r="BR131" s="5122"/>
      <c r="BS131" s="5122"/>
      <c r="BT131" s="5122"/>
      <c r="BU131" s="5122"/>
      <c r="BV131" s="3812">
        <v>279500</v>
      </c>
      <c r="BW131" s="5122"/>
      <c r="BX131" s="5122"/>
      <c r="BY131" s="5122"/>
      <c r="BZ131" s="5122"/>
      <c r="CA131" s="5122"/>
      <c r="CB131" s="5122"/>
      <c r="CC131" s="3524" t="s">
        <v>166</v>
      </c>
      <c r="CD131" s="3524" t="s">
        <v>154</v>
      </c>
      <c r="CE131" s="5169"/>
      <c r="CF131" s="5169"/>
      <c r="CG131" s="5169"/>
      <c r="CH131" s="5169"/>
    </row>
    <row r="132" s="4965" customFormat="1" ht="93.35" customHeight="1" spans="1:86">
      <c r="A132" s="3524"/>
      <c r="B132" s="3524"/>
      <c r="C132" s="3524"/>
      <c r="D132" s="5059"/>
      <c r="E132" s="3524"/>
      <c r="F132" s="3742"/>
      <c r="G132" s="3742"/>
      <c r="H132" s="3524"/>
      <c r="I132" s="5074"/>
      <c r="J132" s="3742"/>
      <c r="K132" s="3742"/>
      <c r="L132" s="3742"/>
      <c r="M132" s="3524"/>
      <c r="N132" s="5085"/>
      <c r="O132" s="5085"/>
      <c r="P132" s="5085"/>
      <c r="Q132" s="5085"/>
      <c r="R132" s="5085"/>
      <c r="S132" s="5085"/>
      <c r="T132" s="5085"/>
      <c r="U132" s="5085"/>
      <c r="V132" s="5085"/>
      <c r="W132" s="5085"/>
      <c r="X132" s="5085"/>
      <c r="Y132" s="5085"/>
      <c r="Z132" s="5085"/>
      <c r="AA132" s="5085"/>
      <c r="AB132" s="5085"/>
      <c r="AC132" s="3742">
        <v>2</v>
      </c>
      <c r="AD132" s="3742" t="s">
        <v>411</v>
      </c>
      <c r="AE132" s="5117">
        <v>0.3</v>
      </c>
      <c r="AF132" s="3524">
        <v>202020</v>
      </c>
      <c r="AG132" s="3812">
        <f t="shared" ref="AG132:AG138" si="21">SUM(BA132:BN132)</f>
        <v>202020</v>
      </c>
      <c r="AH132" s="857" t="s">
        <v>409</v>
      </c>
      <c r="AI132" s="3812">
        <v>44688</v>
      </c>
      <c r="AJ132" s="3524">
        <v>202020</v>
      </c>
      <c r="AK132" s="3524">
        <v>44688</v>
      </c>
      <c r="AL132" s="3812">
        <v>202020</v>
      </c>
      <c r="AM132" s="3812">
        <v>45629</v>
      </c>
      <c r="AN132" s="4813">
        <f t="shared" si="20"/>
        <v>202020</v>
      </c>
      <c r="AO132" s="4813">
        <v>46021</v>
      </c>
      <c r="AP132" s="3524">
        <f>AG132-AN132</f>
        <v>0</v>
      </c>
      <c r="AQ132" s="5242" t="s">
        <v>209</v>
      </c>
      <c r="AR132" s="3524"/>
      <c r="AS132" s="5359"/>
      <c r="AT132" s="5122"/>
      <c r="AU132" s="5085"/>
      <c r="AV132" s="5085"/>
      <c r="AW132" s="5085"/>
      <c r="AX132" s="5085"/>
      <c r="AY132" s="5085"/>
      <c r="AZ132" s="5085"/>
      <c r="BA132" s="5146"/>
      <c r="BB132" s="3812"/>
      <c r="BC132" s="3812"/>
      <c r="BD132" s="5146"/>
      <c r="BE132" s="5146"/>
      <c r="BF132" s="5146"/>
      <c r="BG132" s="5146"/>
      <c r="BH132" s="3812">
        <v>202020</v>
      </c>
      <c r="BI132" s="3812"/>
      <c r="BJ132" s="3812"/>
      <c r="BK132" s="3812"/>
      <c r="BL132" s="3812"/>
      <c r="BM132" s="3812"/>
      <c r="BN132" s="3812"/>
      <c r="BO132" s="5122"/>
      <c r="BP132" s="5122"/>
      <c r="BQ132" s="5122"/>
      <c r="BR132" s="5122"/>
      <c r="BS132" s="5122"/>
      <c r="BT132" s="5122"/>
      <c r="BU132" s="5122"/>
      <c r="BV132" s="3812">
        <v>202020</v>
      </c>
      <c r="BW132" s="5160"/>
      <c r="BX132" s="5122"/>
      <c r="BY132" s="5122"/>
      <c r="BZ132" s="5122"/>
      <c r="CA132" s="5122"/>
      <c r="CB132" s="5122"/>
      <c r="CC132" s="3524"/>
      <c r="CD132" s="3524"/>
      <c r="CE132" s="5169">
        <f>SUBTOTAL(9,BO132:CB132)</f>
        <v>202020</v>
      </c>
      <c r="CF132" s="5169">
        <f>AN132-CE132</f>
        <v>0</v>
      </c>
      <c r="CG132" s="5169"/>
      <c r="CH132" s="5169"/>
    </row>
    <row r="133" s="4965" customFormat="1" ht="30" customHeight="1" spans="1:86">
      <c r="A133" s="3524"/>
      <c r="B133" s="3524"/>
      <c r="C133" s="3524"/>
      <c r="D133" s="5059"/>
      <c r="E133" s="3524"/>
      <c r="F133" s="3742"/>
      <c r="G133" s="3742"/>
      <c r="H133" s="3524"/>
      <c r="I133" s="5074"/>
      <c r="J133" s="3742"/>
      <c r="K133" s="3742"/>
      <c r="L133" s="3742"/>
      <c r="M133" s="3524"/>
      <c r="N133" s="5085"/>
      <c r="O133" s="5085"/>
      <c r="P133" s="5085"/>
      <c r="Q133" s="5085"/>
      <c r="R133" s="5085"/>
      <c r="S133" s="5085"/>
      <c r="T133" s="5085"/>
      <c r="U133" s="5085"/>
      <c r="V133" s="5085"/>
      <c r="W133" s="5085"/>
      <c r="X133" s="5085"/>
      <c r="Y133" s="5085"/>
      <c r="Z133" s="5085"/>
      <c r="AA133" s="5085"/>
      <c r="AB133" s="5085"/>
      <c r="AC133" s="3742">
        <v>3</v>
      </c>
      <c r="AD133" s="3742" t="s">
        <v>412</v>
      </c>
      <c r="AE133" s="5117">
        <v>0.7</v>
      </c>
      <c r="AF133" s="3524">
        <v>471380</v>
      </c>
      <c r="AG133" s="4840">
        <f t="shared" si="21"/>
        <v>396480</v>
      </c>
      <c r="AH133" s="3366" t="s">
        <v>409</v>
      </c>
      <c r="AI133" s="4840">
        <v>44882</v>
      </c>
      <c r="AJ133" s="4840">
        <v>396480</v>
      </c>
      <c r="AK133" s="4840">
        <v>44882</v>
      </c>
      <c r="AL133" s="4813">
        <v>396480</v>
      </c>
      <c r="AM133" s="4813">
        <v>45831</v>
      </c>
      <c r="AN133" s="4813">
        <f t="shared" si="20"/>
        <v>396480</v>
      </c>
      <c r="AO133" s="4813">
        <v>46021</v>
      </c>
      <c r="AP133" s="3524"/>
      <c r="AQ133" s="5242" t="s">
        <v>209</v>
      </c>
      <c r="AR133" s="3524"/>
      <c r="AS133" s="5359"/>
      <c r="AT133" s="5122"/>
      <c r="AU133" s="5085"/>
      <c r="AV133" s="5085"/>
      <c r="AW133" s="5085"/>
      <c r="AX133" s="5085"/>
      <c r="AY133" s="5085"/>
      <c r="AZ133" s="5085"/>
      <c r="BA133" s="5146"/>
      <c r="BB133" s="3812"/>
      <c r="BC133" s="3812"/>
      <c r="BD133" s="5146"/>
      <c r="BE133" s="5146"/>
      <c r="BF133" s="5146"/>
      <c r="BG133" s="5146"/>
      <c r="BH133" s="3812">
        <v>396480</v>
      </c>
      <c r="BI133" s="3812"/>
      <c r="BJ133" s="3812"/>
      <c r="BK133" s="3812"/>
      <c r="BL133" s="3812"/>
      <c r="BM133" s="3812"/>
      <c r="BN133" s="3812"/>
      <c r="BO133" s="5122"/>
      <c r="BP133" s="5122"/>
      <c r="BQ133" s="5122"/>
      <c r="BR133" s="5122"/>
      <c r="BS133" s="5122"/>
      <c r="BT133" s="5122"/>
      <c r="BU133" s="5122"/>
      <c r="BV133" s="3812">
        <v>396480</v>
      </c>
      <c r="BW133" s="5160"/>
      <c r="BX133" s="5122"/>
      <c r="BY133" s="5122"/>
      <c r="BZ133" s="5122"/>
      <c r="CA133" s="5122"/>
      <c r="CB133" s="5122"/>
      <c r="CC133" s="3524"/>
      <c r="CD133" s="3524"/>
      <c r="CE133" s="5169"/>
      <c r="CF133" s="5169"/>
      <c r="CG133" s="5169"/>
      <c r="CH133" s="5169"/>
    </row>
    <row r="134" s="4965" customFormat="1" ht="30" customHeight="1" spans="1:86">
      <c r="A134" s="3524"/>
      <c r="B134" s="3524"/>
      <c r="C134" s="3524"/>
      <c r="D134" s="5059"/>
      <c r="E134" s="3524"/>
      <c r="F134" s="3742"/>
      <c r="G134" s="3742"/>
      <c r="H134" s="3524"/>
      <c r="I134" s="5075"/>
      <c r="J134" s="3742"/>
      <c r="K134" s="3742"/>
      <c r="L134" s="3742"/>
      <c r="M134" s="3524"/>
      <c r="N134" s="5085"/>
      <c r="O134" s="5085"/>
      <c r="P134" s="5085"/>
      <c r="Q134" s="5085"/>
      <c r="R134" s="5085"/>
      <c r="S134" s="5085"/>
      <c r="T134" s="5085"/>
      <c r="U134" s="5085"/>
      <c r="V134" s="5085"/>
      <c r="W134" s="5085"/>
      <c r="X134" s="5085"/>
      <c r="Y134" s="5085"/>
      <c r="Z134" s="5085"/>
      <c r="AA134" s="5085"/>
      <c r="AB134" s="5085"/>
      <c r="AC134" s="3742"/>
      <c r="AD134" s="3742"/>
      <c r="AE134" s="5117"/>
      <c r="AF134" s="3524"/>
      <c r="AG134" s="5123">
        <f t="shared" si="21"/>
        <v>24900</v>
      </c>
      <c r="AH134" s="3406" t="s">
        <v>349</v>
      </c>
      <c r="AI134" s="5123"/>
      <c r="AJ134" s="5123">
        <v>24900</v>
      </c>
      <c r="AK134" s="4815"/>
      <c r="AL134" s="5123">
        <v>24900</v>
      </c>
      <c r="AM134" s="3524"/>
      <c r="AN134" s="4815">
        <f t="shared" si="20"/>
        <v>24900</v>
      </c>
      <c r="AO134" s="5123"/>
      <c r="AP134" s="3524"/>
      <c r="AQ134" s="5252" t="s">
        <v>413</v>
      </c>
      <c r="AR134" s="3524"/>
      <c r="AS134" s="5359"/>
      <c r="AT134" s="5122"/>
      <c r="AU134" s="5085"/>
      <c r="AV134" s="5085"/>
      <c r="AW134" s="5085"/>
      <c r="AX134" s="5085"/>
      <c r="AY134" s="5085"/>
      <c r="AZ134" s="5085"/>
      <c r="BA134" s="5122"/>
      <c r="BB134" s="3524"/>
      <c r="BC134" s="3524"/>
      <c r="BD134" s="5122"/>
      <c r="BE134" s="5122"/>
      <c r="BF134" s="5122"/>
      <c r="BG134" s="5122"/>
      <c r="BH134" s="5123">
        <v>24900</v>
      </c>
      <c r="BI134" s="3524"/>
      <c r="BJ134" s="3524"/>
      <c r="BK134" s="3524"/>
      <c r="BL134" s="3524"/>
      <c r="BM134" s="3524"/>
      <c r="BN134" s="3524"/>
      <c r="BO134" s="5122"/>
      <c r="BP134" s="5122"/>
      <c r="BQ134" s="5122"/>
      <c r="BR134" s="5122"/>
      <c r="BS134" s="5122"/>
      <c r="BT134" s="5122"/>
      <c r="BU134" s="5122"/>
      <c r="BV134" s="5123">
        <v>24900</v>
      </c>
      <c r="BW134" s="5160"/>
      <c r="BX134" s="5122"/>
      <c r="BY134" s="5122"/>
      <c r="BZ134" s="5122"/>
      <c r="CA134" s="5122"/>
      <c r="CB134" s="5122"/>
      <c r="CC134" s="3524"/>
      <c r="CD134" s="3524"/>
      <c r="CE134" s="5169"/>
      <c r="CF134" s="5169"/>
      <c r="CG134" s="5169"/>
      <c r="CH134" s="5169"/>
    </row>
    <row r="135" s="4965" customFormat="1" ht="50" customHeight="1" spans="1:86">
      <c r="A135" s="3524">
        <v>20</v>
      </c>
      <c r="B135" s="3524" t="s">
        <v>173</v>
      </c>
      <c r="C135" s="3524">
        <v>45819</v>
      </c>
      <c r="D135" s="1032" t="s">
        <v>402</v>
      </c>
      <c r="E135" s="3524" t="s">
        <v>113</v>
      </c>
      <c r="F135" s="1032" t="s">
        <v>414</v>
      </c>
      <c r="G135" s="1032" t="s">
        <v>415</v>
      </c>
      <c r="H135" s="3524" t="s">
        <v>31</v>
      </c>
      <c r="I135" s="5073" t="s">
        <v>416</v>
      </c>
      <c r="J135" s="3742" t="s">
        <v>177</v>
      </c>
      <c r="K135" s="1032" t="s">
        <v>417</v>
      </c>
      <c r="L135" s="1032" t="s">
        <v>418</v>
      </c>
      <c r="M135" s="3524">
        <f>SUM(N135:AA137)</f>
        <v>166605.24</v>
      </c>
      <c r="N135" s="5085"/>
      <c r="O135" s="5085"/>
      <c r="P135" s="5085"/>
      <c r="Q135" s="5085"/>
      <c r="R135" s="5085"/>
      <c r="S135" s="5085"/>
      <c r="T135" s="5085"/>
      <c r="U135" s="5085">
        <v>166605.24</v>
      </c>
      <c r="V135" s="5085"/>
      <c r="W135" s="5085">
        <v>0</v>
      </c>
      <c r="X135" s="5085">
        <v>0</v>
      </c>
      <c r="Y135" s="5085"/>
      <c r="Z135" s="5085"/>
      <c r="AA135" s="5085"/>
      <c r="AB135" s="5085"/>
      <c r="AC135" s="3740">
        <v>1</v>
      </c>
      <c r="AD135" s="5073" t="s">
        <v>419</v>
      </c>
      <c r="AE135" s="5117">
        <v>0.8</v>
      </c>
      <c r="AF135" s="4087">
        <f>M135*AE135</f>
        <v>133284.192</v>
      </c>
      <c r="AG135" s="4840">
        <f t="shared" si="21"/>
        <v>22470</v>
      </c>
      <c r="AH135" s="3366" t="s">
        <v>409</v>
      </c>
      <c r="AI135" s="4840">
        <v>44882</v>
      </c>
      <c r="AJ135" s="4840">
        <v>22470</v>
      </c>
      <c r="AK135" s="4840">
        <v>44882</v>
      </c>
      <c r="AL135" s="3812">
        <v>22470</v>
      </c>
      <c r="AM135" s="3812">
        <v>45831</v>
      </c>
      <c r="AN135" s="4813">
        <f t="shared" si="20"/>
        <v>22470</v>
      </c>
      <c r="AO135" s="4813">
        <v>46021</v>
      </c>
      <c r="AP135" s="3524"/>
      <c r="AQ135" s="5351" t="s">
        <v>209</v>
      </c>
      <c r="AR135" s="3742"/>
      <c r="AS135" s="5358"/>
      <c r="AT135" s="5122"/>
      <c r="AU135" s="5085">
        <f>SUM(AG135:AG137)</f>
        <v>166605.238</v>
      </c>
      <c r="AV135" s="5085">
        <f>SUM(AL135:AL137)</f>
        <v>166605.24</v>
      </c>
      <c r="AW135" s="5085">
        <f>SUM(AN135:AN137)</f>
        <v>166605.238</v>
      </c>
      <c r="AX135" s="5085">
        <f>M135-AU135</f>
        <v>0.00199999997857958</v>
      </c>
      <c r="AY135" s="5085">
        <f>AU135-AV135</f>
        <v>-0.00199999997857958</v>
      </c>
      <c r="AZ135" s="5085">
        <f>AV135-AW135</f>
        <v>0.00199999997857958</v>
      </c>
      <c r="BA135" s="5122"/>
      <c r="BB135" s="3524"/>
      <c r="BC135" s="3524"/>
      <c r="BD135" s="5122"/>
      <c r="BE135" s="5122"/>
      <c r="BF135" s="5122"/>
      <c r="BG135" s="5122"/>
      <c r="BH135" s="3812">
        <v>22470</v>
      </c>
      <c r="BI135" s="3524"/>
      <c r="BJ135" s="3524"/>
      <c r="BK135" s="3524"/>
      <c r="BL135" s="3524"/>
      <c r="BM135" s="3524"/>
      <c r="BN135" s="3524"/>
      <c r="BO135" s="5122"/>
      <c r="BP135" s="5122"/>
      <c r="BQ135" s="5122"/>
      <c r="BR135" s="5122"/>
      <c r="BS135" s="5122"/>
      <c r="BT135" s="5122"/>
      <c r="BU135" s="5122"/>
      <c r="BV135" s="3812">
        <v>22470</v>
      </c>
      <c r="BW135" s="5122"/>
      <c r="BX135" s="5122"/>
      <c r="BY135" s="5122"/>
      <c r="BZ135" s="5122"/>
      <c r="CA135" s="5122"/>
      <c r="CB135" s="5122"/>
      <c r="CC135" s="3524" t="s">
        <v>166</v>
      </c>
      <c r="CD135" s="3524" t="s">
        <v>154</v>
      </c>
      <c r="CE135" s="5169"/>
      <c r="CF135" s="5169"/>
      <c r="CG135" s="5169"/>
      <c r="CH135" s="5169"/>
    </row>
    <row r="136" s="4965" customFormat="1" ht="50" customHeight="1" spans="1:86">
      <c r="A136" s="3524"/>
      <c r="B136" s="3524"/>
      <c r="C136" s="3524"/>
      <c r="D136" s="5059"/>
      <c r="E136" s="3524"/>
      <c r="F136" s="3742"/>
      <c r="G136" s="3742"/>
      <c r="H136" s="3524"/>
      <c r="I136" s="5074"/>
      <c r="J136" s="3742"/>
      <c r="K136" s="3742"/>
      <c r="L136" s="3742"/>
      <c r="M136" s="3524"/>
      <c r="N136" s="5085"/>
      <c r="O136" s="5085"/>
      <c r="P136" s="5085"/>
      <c r="Q136" s="5085"/>
      <c r="R136" s="5085"/>
      <c r="S136" s="5085"/>
      <c r="T136" s="5085"/>
      <c r="U136" s="5085"/>
      <c r="V136" s="5085"/>
      <c r="W136" s="5085"/>
      <c r="X136" s="5085"/>
      <c r="Y136" s="5085"/>
      <c r="Z136" s="5085"/>
      <c r="AA136" s="5085"/>
      <c r="AB136" s="5085"/>
      <c r="AC136" s="3741"/>
      <c r="AD136" s="5206"/>
      <c r="AE136" s="5117"/>
      <c r="AF136" s="4903"/>
      <c r="AG136" s="4840">
        <f t="shared" si="21"/>
        <v>110814.19</v>
      </c>
      <c r="AH136" s="3409" t="s">
        <v>409</v>
      </c>
      <c r="AI136" s="4840">
        <v>45848</v>
      </c>
      <c r="AJ136" s="4842">
        <v>110814.19</v>
      </c>
      <c r="AK136" s="4840">
        <v>45848</v>
      </c>
      <c r="AL136" s="3524">
        <v>110814.19</v>
      </c>
      <c r="AM136" s="3524">
        <v>45848</v>
      </c>
      <c r="AN136" s="4813">
        <f t="shared" si="20"/>
        <v>110814.19</v>
      </c>
      <c r="AO136" s="4813">
        <v>46021</v>
      </c>
      <c r="AP136" s="3524"/>
      <c r="AQ136" s="5352"/>
      <c r="AR136" s="3524"/>
      <c r="AS136" s="5359"/>
      <c r="AT136" s="5122"/>
      <c r="AU136" s="5085"/>
      <c r="AV136" s="5085"/>
      <c r="AW136" s="5085"/>
      <c r="AX136" s="5085"/>
      <c r="AY136" s="5085"/>
      <c r="AZ136" s="5085"/>
      <c r="BA136" s="5122"/>
      <c r="BB136" s="3524"/>
      <c r="BC136" s="3524"/>
      <c r="BD136" s="5122"/>
      <c r="BE136" s="5122"/>
      <c r="BF136" s="5122"/>
      <c r="BG136" s="5122"/>
      <c r="BH136" s="3524">
        <v>110814.19</v>
      </c>
      <c r="BI136" s="3524"/>
      <c r="BJ136" s="3524"/>
      <c r="BK136" s="3524"/>
      <c r="BL136" s="3524"/>
      <c r="BM136" s="3524"/>
      <c r="BN136" s="3524"/>
      <c r="BO136" s="5122"/>
      <c r="BP136" s="5122"/>
      <c r="BQ136" s="5122"/>
      <c r="BR136" s="5122"/>
      <c r="BS136" s="5122"/>
      <c r="BT136" s="5122"/>
      <c r="BU136" s="5122"/>
      <c r="BV136" s="3812">
        <v>110814.19</v>
      </c>
      <c r="BW136" s="5160"/>
      <c r="BX136" s="5122"/>
      <c r="BY136" s="5122"/>
      <c r="BZ136" s="5122"/>
      <c r="CA136" s="5122"/>
      <c r="CB136" s="5122"/>
      <c r="CC136" s="3524"/>
      <c r="CD136" s="3524"/>
      <c r="CE136" s="5169"/>
      <c r="CF136" s="5169"/>
      <c r="CG136" s="5169"/>
      <c r="CH136" s="5169"/>
    </row>
    <row r="137" s="4965" customFormat="1" ht="50" customHeight="1" spans="1:86">
      <c r="A137" s="3524"/>
      <c r="B137" s="3524"/>
      <c r="C137" s="3524"/>
      <c r="D137" s="5059"/>
      <c r="E137" s="3524"/>
      <c r="F137" s="3742"/>
      <c r="G137" s="3742"/>
      <c r="H137" s="3524"/>
      <c r="I137" s="5075"/>
      <c r="J137" s="3742"/>
      <c r="K137" s="3742"/>
      <c r="L137" s="3742"/>
      <c r="M137" s="3524"/>
      <c r="N137" s="5085"/>
      <c r="O137" s="5085"/>
      <c r="P137" s="5085"/>
      <c r="Q137" s="5085"/>
      <c r="R137" s="5085"/>
      <c r="S137" s="5085"/>
      <c r="T137" s="5085"/>
      <c r="U137" s="5085"/>
      <c r="V137" s="5085"/>
      <c r="W137" s="5085"/>
      <c r="X137" s="5085"/>
      <c r="Y137" s="5085"/>
      <c r="Z137" s="5085"/>
      <c r="AA137" s="5085"/>
      <c r="AB137" s="5085"/>
      <c r="AC137" s="3742">
        <v>2</v>
      </c>
      <c r="AD137" s="1032" t="s">
        <v>420</v>
      </c>
      <c r="AE137" s="5117">
        <v>0.2</v>
      </c>
      <c r="AF137" s="3524">
        <f>M135*AE137</f>
        <v>33321.048</v>
      </c>
      <c r="AG137" s="4815">
        <f t="shared" si="21"/>
        <v>33321.048</v>
      </c>
      <c r="AH137" s="5345" t="s">
        <v>349</v>
      </c>
      <c r="AI137" s="5258"/>
      <c r="AJ137" s="5123">
        <v>33321.05</v>
      </c>
      <c r="AK137" s="4815"/>
      <c r="AL137" s="5123">
        <v>33321.05</v>
      </c>
      <c r="AM137" s="3524"/>
      <c r="AN137" s="5123">
        <f t="shared" si="20"/>
        <v>33321.048</v>
      </c>
      <c r="AO137" s="4815"/>
      <c r="AP137" s="3524"/>
      <c r="AQ137" s="5122"/>
      <c r="AR137" s="3524"/>
      <c r="AS137" s="5359"/>
      <c r="AT137" s="5122"/>
      <c r="AU137" s="5085"/>
      <c r="AV137" s="5085"/>
      <c r="AW137" s="5085"/>
      <c r="AX137" s="5085"/>
      <c r="AY137" s="5085"/>
      <c r="AZ137" s="5085"/>
      <c r="BA137" s="5122"/>
      <c r="BB137" s="3524"/>
      <c r="BC137" s="3524"/>
      <c r="BD137" s="5122"/>
      <c r="BE137" s="5122"/>
      <c r="BF137" s="5122"/>
      <c r="BG137" s="5122"/>
      <c r="BH137" s="5123">
        <v>33321.048</v>
      </c>
      <c r="BI137" s="3524"/>
      <c r="BJ137" s="3524"/>
      <c r="BK137" s="3524"/>
      <c r="BL137" s="3524"/>
      <c r="BM137" s="3524"/>
      <c r="BN137" s="3524"/>
      <c r="BO137" s="5122"/>
      <c r="BP137" s="5122"/>
      <c r="BQ137" s="5122"/>
      <c r="BR137" s="5122"/>
      <c r="BS137" s="5122"/>
      <c r="BT137" s="5122"/>
      <c r="BU137" s="5122"/>
      <c r="BV137" s="5123">
        <v>33321.048</v>
      </c>
      <c r="BW137" s="5160"/>
      <c r="BX137" s="5122"/>
      <c r="BY137" s="5122"/>
      <c r="BZ137" s="5122"/>
      <c r="CA137" s="5122"/>
      <c r="CB137" s="5122"/>
      <c r="CC137" s="3524"/>
      <c r="CD137" s="3524"/>
      <c r="CE137" s="5169"/>
      <c r="CF137" s="5169"/>
      <c r="CG137" s="5169"/>
      <c r="CH137" s="5169"/>
    </row>
    <row r="138" s="4965" customFormat="1" ht="73.35" customHeight="1" spans="1:86">
      <c r="A138" s="5051">
        <v>21</v>
      </c>
      <c r="B138" s="3524" t="s">
        <v>303</v>
      </c>
      <c r="C138" s="3524">
        <v>43736</v>
      </c>
      <c r="D138" s="3742" t="s">
        <v>421</v>
      </c>
      <c r="E138" s="3524" t="s">
        <v>113</v>
      </c>
      <c r="F138" s="3742" t="s">
        <v>422</v>
      </c>
      <c r="G138" s="3742" t="s">
        <v>423</v>
      </c>
      <c r="H138" s="3524" t="s">
        <v>240</v>
      </c>
      <c r="I138" s="4087"/>
      <c r="J138" s="3742" t="s">
        <v>307</v>
      </c>
      <c r="K138" s="3524">
        <v>175000</v>
      </c>
      <c r="L138" s="1032">
        <f>M138/K138</f>
        <v>18</v>
      </c>
      <c r="M138" s="3524">
        <f>SUM(N138:AA143)</f>
        <v>3150000</v>
      </c>
      <c r="N138" s="5051"/>
      <c r="O138" s="5051"/>
      <c r="P138" s="5051">
        <v>3150000</v>
      </c>
      <c r="Q138" s="5051"/>
      <c r="R138" s="5051"/>
      <c r="S138" s="5051"/>
      <c r="T138" s="5051"/>
      <c r="U138" s="5051"/>
      <c r="V138" s="5051"/>
      <c r="W138" s="5051">
        <v>0</v>
      </c>
      <c r="X138" s="5051">
        <v>0</v>
      </c>
      <c r="Y138" s="5051"/>
      <c r="Z138" s="5051"/>
      <c r="AA138" s="5051"/>
      <c r="AB138" s="5051"/>
      <c r="AC138" s="3742">
        <v>1</v>
      </c>
      <c r="AD138" s="3742" t="s">
        <v>424</v>
      </c>
      <c r="AE138" s="5117">
        <v>0.2</v>
      </c>
      <c r="AF138" s="3524">
        <v>630000</v>
      </c>
      <c r="AG138" s="3812">
        <f t="shared" si="21"/>
        <v>630000</v>
      </c>
      <c r="AH138" s="3812" t="s">
        <v>122</v>
      </c>
      <c r="AI138" s="3812">
        <v>44187</v>
      </c>
      <c r="AJ138" s="3524">
        <v>630000</v>
      </c>
      <c r="AK138" s="3524">
        <v>44187</v>
      </c>
      <c r="AL138" s="3812">
        <v>630000</v>
      </c>
      <c r="AM138" s="3524">
        <v>44265</v>
      </c>
      <c r="AN138" s="3812">
        <f t="shared" si="20"/>
        <v>200000</v>
      </c>
      <c r="AO138" s="3812">
        <v>44281</v>
      </c>
      <c r="AP138" s="3524">
        <f>AG138-AN138-AN139</f>
        <v>130000</v>
      </c>
      <c r="AQ138" s="5137"/>
      <c r="AR138" s="3524"/>
      <c r="AS138" s="5137"/>
      <c r="AT138" s="5122"/>
      <c r="AU138" s="3524">
        <f>SUM(AG138:AG143)</f>
        <v>3024000</v>
      </c>
      <c r="AV138" s="3524">
        <f>SUM(AL138:AL143)</f>
        <v>2079000</v>
      </c>
      <c r="AW138" s="3524">
        <f>SUM(AN138:AN143)</f>
        <v>1949000</v>
      </c>
      <c r="AX138" s="3524">
        <f>M138-AU138</f>
        <v>126000</v>
      </c>
      <c r="AY138" s="3524">
        <f>AU138-AV138</f>
        <v>945000</v>
      </c>
      <c r="AZ138" s="3524">
        <f>AV138-AW138</f>
        <v>130000</v>
      </c>
      <c r="BA138" s="5146"/>
      <c r="BB138" s="3812"/>
      <c r="BC138" s="3812">
        <v>630000</v>
      </c>
      <c r="BD138" s="5146"/>
      <c r="BE138" s="5146"/>
      <c r="BF138" s="5146"/>
      <c r="BG138" s="5146"/>
      <c r="BH138" s="3812"/>
      <c r="BI138" s="3812"/>
      <c r="BJ138" s="3812"/>
      <c r="BK138" s="3812"/>
      <c r="BL138" s="3812"/>
      <c r="BM138" s="3812"/>
      <c r="BN138" s="3812"/>
      <c r="BO138" s="5146"/>
      <c r="BP138" s="5146"/>
      <c r="BQ138" s="5146">
        <v>200000</v>
      </c>
      <c r="BR138" s="5146"/>
      <c r="BS138" s="5146"/>
      <c r="BT138" s="5146"/>
      <c r="BU138" s="5146"/>
      <c r="BV138" s="5146"/>
      <c r="BW138" s="5146"/>
      <c r="BX138" s="5146"/>
      <c r="BY138" s="5146"/>
      <c r="BZ138" s="5146"/>
      <c r="CA138" s="5146"/>
      <c r="CB138" s="5146"/>
      <c r="CC138" s="3524" t="s">
        <v>124</v>
      </c>
      <c r="CD138" s="3524" t="s">
        <v>154</v>
      </c>
      <c r="CE138" s="5169"/>
      <c r="CF138" s="5169"/>
      <c r="CG138" s="5169"/>
      <c r="CH138" s="5169"/>
    </row>
    <row r="139" s="4965" customFormat="1" ht="60.85" customHeight="1" spans="1:86">
      <c r="A139" s="5051"/>
      <c r="B139" s="3524"/>
      <c r="C139" s="3524"/>
      <c r="D139" s="3742"/>
      <c r="E139" s="3524"/>
      <c r="F139" s="3742"/>
      <c r="G139" s="3742"/>
      <c r="H139" s="3524"/>
      <c r="I139" s="4088"/>
      <c r="J139" s="3742"/>
      <c r="K139" s="3524"/>
      <c r="L139" s="3742"/>
      <c r="M139" s="3524"/>
      <c r="N139" s="5051"/>
      <c r="O139" s="5051"/>
      <c r="P139" s="5051"/>
      <c r="Q139" s="5051"/>
      <c r="R139" s="5051"/>
      <c r="S139" s="5051"/>
      <c r="T139" s="5051"/>
      <c r="U139" s="5051"/>
      <c r="V139" s="5051"/>
      <c r="W139" s="5051"/>
      <c r="X139" s="5051"/>
      <c r="Y139" s="5051"/>
      <c r="Z139" s="5051"/>
      <c r="AA139" s="5051"/>
      <c r="AB139" s="5051"/>
      <c r="AC139" s="3742"/>
      <c r="AD139" s="3742"/>
      <c r="AE139" s="5117"/>
      <c r="AF139" s="3524"/>
      <c r="AG139" s="3812"/>
      <c r="AH139" s="3812"/>
      <c r="AI139" s="3812"/>
      <c r="AJ139" s="3524"/>
      <c r="AK139" s="3524"/>
      <c r="AL139" s="3812"/>
      <c r="AM139" s="3524"/>
      <c r="AN139" s="3812">
        <v>300000</v>
      </c>
      <c r="AO139" s="3812">
        <v>44407</v>
      </c>
      <c r="AP139" s="3524"/>
      <c r="AQ139" s="5122"/>
      <c r="AR139" s="3524"/>
      <c r="AS139" s="5137"/>
      <c r="AT139" s="5122"/>
      <c r="AU139" s="3524"/>
      <c r="AV139" s="3524"/>
      <c r="AW139" s="3524"/>
      <c r="AX139" s="3524"/>
      <c r="AY139" s="3524"/>
      <c r="AZ139" s="3524"/>
      <c r="BA139" s="5146"/>
      <c r="BB139" s="3812"/>
      <c r="BC139" s="3812"/>
      <c r="BD139" s="5146"/>
      <c r="BE139" s="5146"/>
      <c r="BF139" s="5146"/>
      <c r="BG139" s="5146"/>
      <c r="BH139" s="3812"/>
      <c r="BI139" s="3812"/>
      <c r="BJ139" s="3812"/>
      <c r="BK139" s="3812"/>
      <c r="BL139" s="3812"/>
      <c r="BM139" s="3812"/>
      <c r="BN139" s="3812"/>
      <c r="BO139" s="5146"/>
      <c r="BP139" s="5146"/>
      <c r="BQ139" s="5146">
        <v>300000</v>
      </c>
      <c r="BR139" s="5146"/>
      <c r="BS139" s="5146"/>
      <c r="BT139" s="5146"/>
      <c r="BU139" s="5146"/>
      <c r="BV139" s="5146"/>
      <c r="BW139" s="5146"/>
      <c r="BX139" s="5146"/>
      <c r="BY139" s="5146"/>
      <c r="BZ139" s="5146"/>
      <c r="CA139" s="5146"/>
      <c r="CB139" s="5146"/>
      <c r="CC139" s="3524"/>
      <c r="CD139" s="3524"/>
      <c r="CE139" s="5169"/>
      <c r="CF139" s="5169"/>
      <c r="CG139" s="5169"/>
      <c r="CH139" s="5169"/>
    </row>
    <row r="140" s="4965" customFormat="1" ht="67.5" customHeight="1" spans="1:86">
      <c r="A140" s="5051"/>
      <c r="B140" s="3524"/>
      <c r="C140" s="3524"/>
      <c r="D140" s="3742"/>
      <c r="E140" s="3524"/>
      <c r="F140" s="3742"/>
      <c r="G140" s="3742"/>
      <c r="H140" s="3524"/>
      <c r="I140" s="4088"/>
      <c r="J140" s="3742"/>
      <c r="K140" s="3524"/>
      <c r="L140" s="3742"/>
      <c r="M140" s="3524"/>
      <c r="N140" s="5051"/>
      <c r="O140" s="5051"/>
      <c r="P140" s="5051"/>
      <c r="Q140" s="5051"/>
      <c r="R140" s="5051"/>
      <c r="S140" s="5051"/>
      <c r="T140" s="5051"/>
      <c r="U140" s="5051"/>
      <c r="V140" s="5051"/>
      <c r="W140" s="5051"/>
      <c r="X140" s="5051"/>
      <c r="Y140" s="5051"/>
      <c r="Z140" s="5051"/>
      <c r="AA140" s="5051"/>
      <c r="AB140" s="5051"/>
      <c r="AC140" s="3742">
        <v>2</v>
      </c>
      <c r="AD140" s="3742" t="s">
        <v>425</v>
      </c>
      <c r="AE140" s="5117">
        <v>0.5</v>
      </c>
      <c r="AF140" s="3524">
        <v>1575000</v>
      </c>
      <c r="AG140" s="3524">
        <f>SUM(BA140:BN140)</f>
        <v>1449000</v>
      </c>
      <c r="AH140" s="3812" t="s">
        <v>122</v>
      </c>
      <c r="AI140" s="3524">
        <v>44265</v>
      </c>
      <c r="AJ140" s="3524">
        <v>1449000</v>
      </c>
      <c r="AK140" s="3524">
        <v>43900</v>
      </c>
      <c r="AL140" s="3524">
        <v>1449000</v>
      </c>
      <c r="AM140" s="3524">
        <v>44265</v>
      </c>
      <c r="AN140" s="3812">
        <f>SUM(BO140:CB140)</f>
        <v>1000000</v>
      </c>
      <c r="AO140" s="3812">
        <v>44347</v>
      </c>
      <c r="AP140" s="3524">
        <f>AG140-AN140</f>
        <v>449000</v>
      </c>
      <c r="AQ140" s="5137" t="s">
        <v>426</v>
      </c>
      <c r="AR140" s="3524"/>
      <c r="AS140" s="5137"/>
      <c r="AT140" s="5122"/>
      <c r="AU140" s="3524"/>
      <c r="AV140" s="3524"/>
      <c r="AW140" s="3524"/>
      <c r="AX140" s="3524"/>
      <c r="AY140" s="3524"/>
      <c r="AZ140" s="3524"/>
      <c r="BA140" s="5146"/>
      <c r="BB140" s="3812"/>
      <c r="BC140" s="3812">
        <v>1449000</v>
      </c>
      <c r="BD140" s="5146"/>
      <c r="BE140" s="5146"/>
      <c r="BF140" s="5146"/>
      <c r="BG140" s="5146"/>
      <c r="BH140" s="3812"/>
      <c r="BI140" s="3812"/>
      <c r="BJ140" s="3812"/>
      <c r="BK140" s="3812"/>
      <c r="BL140" s="3812"/>
      <c r="BM140" s="3812"/>
      <c r="BN140" s="3812"/>
      <c r="BO140" s="5146"/>
      <c r="BP140" s="5146"/>
      <c r="BQ140" s="5146">
        <v>1000000</v>
      </c>
      <c r="BR140" s="5146"/>
      <c r="BS140" s="5146"/>
      <c r="BT140" s="5146"/>
      <c r="BU140" s="5146"/>
      <c r="BV140" s="5146"/>
      <c r="BW140" s="5146"/>
      <c r="BX140" s="5146"/>
      <c r="BY140" s="5146"/>
      <c r="BZ140" s="5146"/>
      <c r="CA140" s="5146"/>
      <c r="CB140" s="5146"/>
      <c r="CC140" s="3524"/>
      <c r="CD140" s="3524"/>
      <c r="CE140" s="5169"/>
      <c r="CF140" s="5169"/>
      <c r="CG140" s="5169"/>
      <c r="CH140" s="5169"/>
    </row>
    <row r="141" s="4965" customFormat="1" ht="77.5" customHeight="1" spans="1:86">
      <c r="A141" s="5051"/>
      <c r="B141" s="3524"/>
      <c r="C141" s="3524"/>
      <c r="D141" s="3742"/>
      <c r="E141" s="3524"/>
      <c r="F141" s="3742"/>
      <c r="G141" s="3742"/>
      <c r="H141" s="3524"/>
      <c r="I141" s="4088"/>
      <c r="J141" s="3742"/>
      <c r="K141" s="3524"/>
      <c r="L141" s="3742"/>
      <c r="M141" s="3524"/>
      <c r="N141" s="5051"/>
      <c r="O141" s="5051"/>
      <c r="P141" s="5051"/>
      <c r="Q141" s="5051"/>
      <c r="R141" s="5051"/>
      <c r="S141" s="5051"/>
      <c r="T141" s="5051"/>
      <c r="U141" s="5051"/>
      <c r="V141" s="5051"/>
      <c r="W141" s="5051"/>
      <c r="X141" s="5051"/>
      <c r="Y141" s="5051"/>
      <c r="Z141" s="5051"/>
      <c r="AA141" s="5051"/>
      <c r="AB141" s="5051"/>
      <c r="AC141" s="3742"/>
      <c r="AD141" s="3742"/>
      <c r="AE141" s="5117"/>
      <c r="AF141" s="3524"/>
      <c r="AG141" s="3524"/>
      <c r="AH141" s="3812"/>
      <c r="AI141" s="3524"/>
      <c r="AJ141" s="3524"/>
      <c r="AK141" s="3524"/>
      <c r="AL141" s="3524"/>
      <c r="AM141" s="3524"/>
      <c r="AN141" s="5123">
        <f>SUM(BO141:CB141)</f>
        <v>449000</v>
      </c>
      <c r="AO141" s="5123"/>
      <c r="AP141" s="3524"/>
      <c r="AQ141" s="5137"/>
      <c r="AR141" s="3524"/>
      <c r="AS141" s="5137"/>
      <c r="AT141" s="5122"/>
      <c r="AU141" s="3524"/>
      <c r="AV141" s="3524"/>
      <c r="AW141" s="3524"/>
      <c r="AX141" s="3524"/>
      <c r="AY141" s="3524"/>
      <c r="AZ141" s="3524"/>
      <c r="BA141" s="5146"/>
      <c r="BB141" s="3812"/>
      <c r="BC141" s="3812"/>
      <c r="BD141" s="5146"/>
      <c r="BE141" s="5146"/>
      <c r="BF141" s="5146"/>
      <c r="BG141" s="5146"/>
      <c r="BH141" s="3812"/>
      <c r="BI141" s="3812"/>
      <c r="BJ141" s="3812"/>
      <c r="BK141" s="3812"/>
      <c r="BL141" s="3812"/>
      <c r="BM141" s="3812"/>
      <c r="BN141" s="3812"/>
      <c r="BO141" s="5160"/>
      <c r="BP141" s="5160"/>
      <c r="BQ141" s="5160">
        <v>449000</v>
      </c>
      <c r="BR141" s="5160"/>
      <c r="BS141" s="5160"/>
      <c r="BT141" s="5160"/>
      <c r="BU141" s="5160"/>
      <c r="BV141" s="5160"/>
      <c r="BW141" s="5160"/>
      <c r="BX141" s="5160"/>
      <c r="BY141" s="5160"/>
      <c r="BZ141" s="5160"/>
      <c r="CA141" s="5160"/>
      <c r="CB141" s="5160"/>
      <c r="CC141" s="3524"/>
      <c r="CD141" s="3524"/>
      <c r="CE141" s="5169"/>
      <c r="CF141" s="5169"/>
      <c r="CG141" s="5169"/>
      <c r="CH141" s="5169"/>
    </row>
    <row r="142" s="4965" customFormat="1" ht="80" customHeight="1" spans="1:86">
      <c r="A142" s="5051"/>
      <c r="B142" s="3524"/>
      <c r="C142" s="3524"/>
      <c r="D142" s="3742"/>
      <c r="E142" s="3524"/>
      <c r="F142" s="3742"/>
      <c r="G142" s="3742"/>
      <c r="H142" s="3524"/>
      <c r="I142" s="4088"/>
      <c r="J142" s="3742"/>
      <c r="K142" s="3524"/>
      <c r="L142" s="3742"/>
      <c r="M142" s="3524"/>
      <c r="N142" s="5051"/>
      <c r="O142" s="5051"/>
      <c r="P142" s="5051"/>
      <c r="Q142" s="5051"/>
      <c r="R142" s="5051"/>
      <c r="S142" s="5051"/>
      <c r="T142" s="5051"/>
      <c r="U142" s="5051"/>
      <c r="V142" s="5051"/>
      <c r="W142" s="5051"/>
      <c r="X142" s="5051"/>
      <c r="Y142" s="5051"/>
      <c r="Z142" s="5051"/>
      <c r="AA142" s="5051"/>
      <c r="AB142" s="5051"/>
      <c r="AC142" s="3742">
        <v>3</v>
      </c>
      <c r="AD142" s="3742" t="s">
        <v>427</v>
      </c>
      <c r="AE142" s="5117">
        <v>0.15</v>
      </c>
      <c r="AF142" s="3524">
        <v>472500</v>
      </c>
      <c r="AG142" s="3812">
        <f t="shared" ref="AG142:AG183" si="22">SUM(BA142:BN142)</f>
        <v>472500</v>
      </c>
      <c r="AH142" s="857" t="s">
        <v>122</v>
      </c>
      <c r="AI142" s="3812">
        <v>44901</v>
      </c>
      <c r="AJ142" s="3524">
        <v>472500</v>
      </c>
      <c r="AK142" s="3812">
        <v>44901</v>
      </c>
      <c r="AL142" s="3524"/>
      <c r="AM142" s="3524"/>
      <c r="AN142" s="3524">
        <f t="shared" ref="AN142:AN186" si="23">SUM(BO142:CB142)</f>
        <v>0</v>
      </c>
      <c r="AO142" s="3524"/>
      <c r="AP142" s="3524">
        <f t="shared" ref="AP142:AP159" si="24">AG142-AN142</f>
        <v>472500</v>
      </c>
      <c r="AQ142" s="5256" t="s">
        <v>428</v>
      </c>
      <c r="AR142" s="3524"/>
      <c r="AS142" s="5137"/>
      <c r="AT142" s="5122"/>
      <c r="AU142" s="3524"/>
      <c r="AV142" s="3524"/>
      <c r="AW142" s="3524"/>
      <c r="AX142" s="3524"/>
      <c r="AY142" s="3524"/>
      <c r="AZ142" s="3524"/>
      <c r="BA142" s="5146"/>
      <c r="BB142" s="3812"/>
      <c r="BC142" s="3812">
        <v>472500</v>
      </c>
      <c r="BD142" s="5146"/>
      <c r="BE142" s="5146"/>
      <c r="BF142" s="5146"/>
      <c r="BG142" s="5146"/>
      <c r="BH142" s="3812"/>
      <c r="BI142" s="3812"/>
      <c r="BJ142" s="3812"/>
      <c r="BK142" s="3812"/>
      <c r="BL142" s="3812"/>
      <c r="BM142" s="3812"/>
      <c r="BN142" s="3812"/>
      <c r="BO142" s="5122"/>
      <c r="BP142" s="5122"/>
      <c r="BQ142" s="5122"/>
      <c r="BR142" s="5122"/>
      <c r="BS142" s="5122"/>
      <c r="BT142" s="5122"/>
      <c r="BU142" s="5122"/>
      <c r="BV142" s="5122"/>
      <c r="BW142" s="5122"/>
      <c r="BX142" s="5122"/>
      <c r="BY142" s="5122"/>
      <c r="BZ142" s="5122"/>
      <c r="CA142" s="5122"/>
      <c r="CB142" s="5122"/>
      <c r="CC142" s="3524"/>
      <c r="CD142" s="3524"/>
      <c r="CE142" s="5169"/>
      <c r="CF142" s="5169"/>
      <c r="CG142" s="5169"/>
      <c r="CH142" s="5169"/>
    </row>
    <row r="143" s="4965" customFormat="1" ht="76.65" customHeight="1" spans="1:86">
      <c r="A143" s="5051"/>
      <c r="B143" s="3524"/>
      <c r="C143" s="3524"/>
      <c r="D143" s="3742"/>
      <c r="E143" s="3524"/>
      <c r="F143" s="3742"/>
      <c r="G143" s="3742"/>
      <c r="H143" s="3524"/>
      <c r="I143" s="4903"/>
      <c r="J143" s="3742"/>
      <c r="K143" s="3524"/>
      <c r="L143" s="3742"/>
      <c r="M143" s="3524"/>
      <c r="N143" s="5051"/>
      <c r="O143" s="5051"/>
      <c r="P143" s="5051"/>
      <c r="Q143" s="5051"/>
      <c r="R143" s="5051"/>
      <c r="S143" s="5051"/>
      <c r="T143" s="5051"/>
      <c r="U143" s="5051"/>
      <c r="V143" s="5051"/>
      <c r="W143" s="5051"/>
      <c r="X143" s="5051"/>
      <c r="Y143" s="5051"/>
      <c r="Z143" s="5051"/>
      <c r="AA143" s="5051"/>
      <c r="AB143" s="5051"/>
      <c r="AC143" s="3742">
        <v>4</v>
      </c>
      <c r="AD143" s="3742" t="s">
        <v>334</v>
      </c>
      <c r="AE143" s="5117">
        <v>0.15</v>
      </c>
      <c r="AF143" s="3524">
        <v>472500</v>
      </c>
      <c r="AG143" s="3812">
        <f t="shared" si="22"/>
        <v>472500</v>
      </c>
      <c r="AH143" s="857" t="s">
        <v>122</v>
      </c>
      <c r="AI143" s="3812">
        <v>45287</v>
      </c>
      <c r="AJ143" s="3524">
        <v>472500</v>
      </c>
      <c r="AK143" s="3524">
        <v>45286</v>
      </c>
      <c r="AL143" s="3524"/>
      <c r="AM143" s="3524"/>
      <c r="AN143" s="3524">
        <f t="shared" si="23"/>
        <v>0</v>
      </c>
      <c r="AO143" s="3524"/>
      <c r="AP143" s="3524">
        <f t="shared" si="24"/>
        <v>472500</v>
      </c>
      <c r="AQ143" s="5122"/>
      <c r="AR143" s="3524"/>
      <c r="AS143" s="5137"/>
      <c r="AT143" s="5122"/>
      <c r="AU143" s="3524"/>
      <c r="AV143" s="3524"/>
      <c r="AW143" s="3524"/>
      <c r="AX143" s="3524"/>
      <c r="AY143" s="3524"/>
      <c r="AZ143" s="3524"/>
      <c r="BA143" s="5122"/>
      <c r="BB143" s="3524"/>
      <c r="BC143" s="3812">
        <v>472500</v>
      </c>
      <c r="BD143" s="5122"/>
      <c r="BE143" s="5122"/>
      <c r="BF143" s="5122"/>
      <c r="BG143" s="5122"/>
      <c r="BH143" s="3524"/>
      <c r="BI143" s="3524"/>
      <c r="BJ143" s="3524"/>
      <c r="BK143" s="3524"/>
      <c r="BL143" s="3524"/>
      <c r="BM143" s="3524"/>
      <c r="BN143" s="3524"/>
      <c r="BO143" s="5122"/>
      <c r="BP143" s="5122"/>
      <c r="BQ143" s="5122"/>
      <c r="BR143" s="5122"/>
      <c r="BS143" s="5122"/>
      <c r="BT143" s="5122"/>
      <c r="BU143" s="5122"/>
      <c r="BV143" s="5122"/>
      <c r="BW143" s="5122"/>
      <c r="BX143" s="5122"/>
      <c r="BY143" s="5122"/>
      <c r="BZ143" s="5122"/>
      <c r="CA143" s="5122"/>
      <c r="CB143" s="5122"/>
      <c r="CC143" s="3524"/>
      <c r="CD143" s="3524"/>
      <c r="CE143" s="5169"/>
      <c r="CF143" s="5169"/>
      <c r="CG143" s="5169"/>
      <c r="CH143" s="5169"/>
    </row>
    <row r="144" s="4973" customFormat="1" ht="30.75" customHeight="1" spans="1:86">
      <c r="A144" s="3058">
        <v>22</v>
      </c>
      <c r="B144" s="3058" t="s">
        <v>173</v>
      </c>
      <c r="C144" s="3058">
        <v>43811</v>
      </c>
      <c r="D144" s="1125" t="s">
        <v>429</v>
      </c>
      <c r="E144" s="3524" t="s">
        <v>113</v>
      </c>
      <c r="F144" s="5054" t="s">
        <v>430</v>
      </c>
      <c r="G144" s="5054" t="s">
        <v>431</v>
      </c>
      <c r="H144" s="584" t="s">
        <v>432</v>
      </c>
      <c r="I144" s="3405"/>
      <c r="J144" s="5054" t="s">
        <v>433</v>
      </c>
      <c r="K144" s="3058">
        <v>148387</v>
      </c>
      <c r="L144" s="1125" t="s">
        <v>434</v>
      </c>
      <c r="M144" s="3058">
        <v>296774</v>
      </c>
      <c r="N144" s="5326"/>
      <c r="O144" s="5326"/>
      <c r="P144" s="5326"/>
      <c r="Q144" s="5326"/>
      <c r="R144" s="5326"/>
      <c r="S144" s="5326">
        <v>296774</v>
      </c>
      <c r="T144" s="5326"/>
      <c r="U144" s="5326"/>
      <c r="V144" s="5326"/>
      <c r="W144" s="5326"/>
      <c r="X144" s="5326">
        <v>0</v>
      </c>
      <c r="Y144" s="5326"/>
      <c r="Z144" s="5326"/>
      <c r="AA144" s="5326"/>
      <c r="AB144" s="5335" t="s">
        <v>435</v>
      </c>
      <c r="AC144" s="5054" t="s">
        <v>436</v>
      </c>
      <c r="AD144" s="5338" t="s">
        <v>437</v>
      </c>
      <c r="AE144" s="5339">
        <v>0.35</v>
      </c>
      <c r="AF144" s="3058">
        <v>85533.7</v>
      </c>
      <c r="AG144" s="3057">
        <f t="shared" si="22"/>
        <v>85533.7</v>
      </c>
      <c r="AH144" s="3057" t="s">
        <v>122</v>
      </c>
      <c r="AI144" s="3057">
        <v>44126</v>
      </c>
      <c r="AJ144" s="3057">
        <f>SUM(BA144:BN144)</f>
        <v>85533.7</v>
      </c>
      <c r="AK144" s="3057">
        <v>44126</v>
      </c>
      <c r="AL144" s="5320">
        <v>296774</v>
      </c>
      <c r="AM144" s="4183">
        <v>45153</v>
      </c>
      <c r="AN144" s="5125">
        <f t="shared" si="23"/>
        <v>85533.7</v>
      </c>
      <c r="AO144" s="4183">
        <v>45625</v>
      </c>
      <c r="AP144" s="3058">
        <f t="shared" si="24"/>
        <v>0</v>
      </c>
      <c r="AQ144" s="5138"/>
      <c r="AR144" s="3058" t="s">
        <v>128</v>
      </c>
      <c r="AS144" s="5131"/>
      <c r="AT144" s="5138"/>
      <c r="AU144" s="5326">
        <f>SUM(AG144:AG149)</f>
        <v>296774</v>
      </c>
      <c r="AV144" s="5326">
        <f>SUM(AL144:AL149)</f>
        <v>296774</v>
      </c>
      <c r="AW144" s="5326">
        <f>SUM(AN144:AN149)</f>
        <v>296774</v>
      </c>
      <c r="AX144" s="5326">
        <f>M144-AU144</f>
        <v>0</v>
      </c>
      <c r="AY144" s="5326">
        <f>AU144-AV144</f>
        <v>0</v>
      </c>
      <c r="AZ144" s="5326">
        <f>AV144-AW144</f>
        <v>0</v>
      </c>
      <c r="BA144" s="5150"/>
      <c r="BB144" s="3057"/>
      <c r="BC144" s="3057"/>
      <c r="BD144" s="5150"/>
      <c r="BE144" s="5150"/>
      <c r="BF144" s="5150">
        <v>85533.7</v>
      </c>
      <c r="BG144" s="5150"/>
      <c r="BH144" s="3057"/>
      <c r="BI144" s="3057"/>
      <c r="BJ144" s="3057"/>
      <c r="BK144" s="3057"/>
      <c r="BL144" s="3057"/>
      <c r="BM144" s="3057"/>
      <c r="BN144" s="3057"/>
      <c r="BO144" s="5138"/>
      <c r="BP144" s="5138"/>
      <c r="BQ144" s="5138"/>
      <c r="BR144" s="5138"/>
      <c r="BS144" s="5138"/>
      <c r="BT144" s="5159">
        <v>85533.7</v>
      </c>
      <c r="BU144" s="5159"/>
      <c r="BV144" s="5138"/>
      <c r="BW144" s="5138"/>
      <c r="BX144" s="5138"/>
      <c r="BY144" s="5138"/>
      <c r="BZ144" s="5138"/>
      <c r="CA144" s="5138"/>
      <c r="CB144" s="5138"/>
      <c r="CC144" s="3058" t="s">
        <v>166</v>
      </c>
      <c r="CD144" s="3058" t="s">
        <v>154</v>
      </c>
      <c r="CE144" s="5171"/>
      <c r="CF144" s="5171"/>
      <c r="CG144" s="5171"/>
      <c r="CH144" s="5171"/>
    </row>
    <row r="145" s="4973" customFormat="1" ht="30.75" customHeight="1" spans="1:86">
      <c r="A145" s="3058"/>
      <c r="B145" s="3058"/>
      <c r="C145" s="3058"/>
      <c r="D145" s="5054"/>
      <c r="E145" s="3524"/>
      <c r="F145" s="5054"/>
      <c r="G145" s="5054"/>
      <c r="H145" s="3058"/>
      <c r="I145" s="590"/>
      <c r="J145" s="5054"/>
      <c r="K145" s="3058"/>
      <c r="L145" s="5054"/>
      <c r="M145" s="3058"/>
      <c r="N145" s="5326"/>
      <c r="O145" s="5326"/>
      <c r="P145" s="5326"/>
      <c r="Q145" s="5326"/>
      <c r="R145" s="5326"/>
      <c r="S145" s="5326"/>
      <c r="T145" s="5326"/>
      <c r="U145" s="5326"/>
      <c r="V145" s="5326"/>
      <c r="W145" s="5326"/>
      <c r="X145" s="5326"/>
      <c r="Y145" s="5326"/>
      <c r="Z145" s="5326"/>
      <c r="AA145" s="5326"/>
      <c r="AB145" s="5335"/>
      <c r="AC145" s="5054" t="s">
        <v>438</v>
      </c>
      <c r="AD145" s="5054" t="s">
        <v>439</v>
      </c>
      <c r="AE145" s="5339">
        <v>0.4</v>
      </c>
      <c r="AF145" s="3058">
        <v>97752.8</v>
      </c>
      <c r="AG145" s="3057">
        <f t="shared" si="22"/>
        <v>97752.8</v>
      </c>
      <c r="AH145" s="3057" t="s">
        <v>122</v>
      </c>
      <c r="AI145" s="3057">
        <v>44126</v>
      </c>
      <c r="AJ145" s="3057">
        <v>97752.8</v>
      </c>
      <c r="AK145" s="3057">
        <v>44126</v>
      </c>
      <c r="AL145" s="5321"/>
      <c r="AM145" s="4184"/>
      <c r="AN145" s="5125">
        <f t="shared" si="23"/>
        <v>97752.8</v>
      </c>
      <c r="AO145" s="4184"/>
      <c r="AP145" s="3058">
        <f t="shared" si="24"/>
        <v>0</v>
      </c>
      <c r="AQ145" s="5138"/>
      <c r="AR145" s="3058" t="s">
        <v>128</v>
      </c>
      <c r="AS145" s="5131"/>
      <c r="AT145" s="5138"/>
      <c r="AU145" s="5326"/>
      <c r="AV145" s="5326"/>
      <c r="AW145" s="5326"/>
      <c r="AX145" s="5326"/>
      <c r="AY145" s="5326"/>
      <c r="AZ145" s="5326"/>
      <c r="BA145" s="5150"/>
      <c r="BB145" s="3057"/>
      <c r="BC145" s="3057"/>
      <c r="BD145" s="5150"/>
      <c r="BE145" s="5150"/>
      <c r="BF145" s="5150">
        <v>97752.8</v>
      </c>
      <c r="BG145" s="5150"/>
      <c r="BH145" s="3057"/>
      <c r="BI145" s="3057"/>
      <c r="BJ145" s="3057"/>
      <c r="BK145" s="3057"/>
      <c r="BL145" s="3057"/>
      <c r="BM145" s="3057"/>
      <c r="BN145" s="3057"/>
      <c r="BO145" s="5138"/>
      <c r="BP145" s="5138"/>
      <c r="BQ145" s="5138"/>
      <c r="BR145" s="5138"/>
      <c r="BS145" s="5138"/>
      <c r="BT145" s="5159">
        <v>97752.8</v>
      </c>
      <c r="BU145" s="5159"/>
      <c r="BV145" s="5138"/>
      <c r="BW145" s="5138"/>
      <c r="BX145" s="5138"/>
      <c r="BY145" s="5138"/>
      <c r="BZ145" s="5138"/>
      <c r="CA145" s="5138"/>
      <c r="CB145" s="5138"/>
      <c r="CC145" s="3058"/>
      <c r="CD145" s="3058"/>
      <c r="CE145" s="5171"/>
      <c r="CF145" s="5171"/>
      <c r="CG145" s="5171"/>
      <c r="CH145" s="5171"/>
    </row>
    <row r="146" s="4973" customFormat="1" ht="61" spans="1:86">
      <c r="A146" s="3058"/>
      <c r="B146" s="3058"/>
      <c r="C146" s="3058"/>
      <c r="D146" s="5054"/>
      <c r="E146" s="3524"/>
      <c r="F146" s="5054"/>
      <c r="G146" s="5054"/>
      <c r="H146" s="3058"/>
      <c r="I146" s="590"/>
      <c r="J146" s="5054"/>
      <c r="K146" s="3058"/>
      <c r="L146" s="5054"/>
      <c r="M146" s="3058"/>
      <c r="N146" s="5326"/>
      <c r="O146" s="5326"/>
      <c r="P146" s="5326"/>
      <c r="Q146" s="5326"/>
      <c r="R146" s="5326"/>
      <c r="S146" s="5326"/>
      <c r="T146" s="5326"/>
      <c r="U146" s="5326"/>
      <c r="V146" s="5326"/>
      <c r="W146" s="5326"/>
      <c r="X146" s="5326"/>
      <c r="Y146" s="5326"/>
      <c r="Z146" s="5326"/>
      <c r="AA146" s="5326"/>
      <c r="AB146" s="5335"/>
      <c r="AC146" s="5054" t="s">
        <v>440</v>
      </c>
      <c r="AD146" s="5054" t="s">
        <v>441</v>
      </c>
      <c r="AE146" s="5339">
        <v>0.25</v>
      </c>
      <c r="AF146" s="3058">
        <v>61095.5</v>
      </c>
      <c r="AG146" s="3057">
        <f t="shared" si="22"/>
        <v>61095.5</v>
      </c>
      <c r="AH146" s="584" t="s">
        <v>122</v>
      </c>
      <c r="AI146" s="3057">
        <v>44859</v>
      </c>
      <c r="AJ146" s="3057">
        <v>61095.5</v>
      </c>
      <c r="AK146" s="3057">
        <v>44859</v>
      </c>
      <c r="AL146" s="5321"/>
      <c r="AM146" s="4184"/>
      <c r="AN146" s="5125">
        <f t="shared" si="23"/>
        <v>61095.5</v>
      </c>
      <c r="AO146" s="4184"/>
      <c r="AP146" s="3058">
        <f t="shared" si="24"/>
        <v>0</v>
      </c>
      <c r="AQ146" s="5138"/>
      <c r="AR146" s="3058"/>
      <c r="AS146" s="5131"/>
      <c r="AT146" s="5138"/>
      <c r="AU146" s="5326"/>
      <c r="AV146" s="5326"/>
      <c r="AW146" s="5326"/>
      <c r="AX146" s="5326"/>
      <c r="AY146" s="5326"/>
      <c r="AZ146" s="5326"/>
      <c r="BA146" s="5150"/>
      <c r="BB146" s="3057"/>
      <c r="BC146" s="3057"/>
      <c r="BD146" s="5150"/>
      <c r="BE146" s="5150"/>
      <c r="BF146" s="5364">
        <v>61095.5</v>
      </c>
      <c r="BG146" s="3057"/>
      <c r="BH146" s="3057"/>
      <c r="BI146" s="3057"/>
      <c r="BJ146" s="3057"/>
      <c r="BK146" s="3057"/>
      <c r="BL146" s="3057"/>
      <c r="BM146" s="3057"/>
      <c r="BN146" s="3057"/>
      <c r="BO146" s="5138"/>
      <c r="BP146" s="5138"/>
      <c r="BQ146" s="5138"/>
      <c r="BR146" s="5138"/>
      <c r="BS146" s="5138"/>
      <c r="BT146" s="5159">
        <v>61095.5</v>
      </c>
      <c r="BU146" s="5138"/>
      <c r="BV146" s="5138"/>
      <c r="BW146" s="5138"/>
      <c r="BX146" s="5138"/>
      <c r="BY146" s="5138"/>
      <c r="BZ146" s="5138"/>
      <c r="CA146" s="5138"/>
      <c r="CB146" s="5138"/>
      <c r="CC146" s="3058"/>
      <c r="CD146" s="3058"/>
      <c r="CE146" s="5171"/>
      <c r="CF146" s="5171"/>
      <c r="CG146" s="5171"/>
      <c r="CH146" s="5171"/>
    </row>
    <row r="147" s="4973" customFormat="1" ht="30.75" customHeight="1" spans="1:86">
      <c r="A147" s="3058"/>
      <c r="B147" s="3058"/>
      <c r="C147" s="3058"/>
      <c r="D147" s="5054"/>
      <c r="E147" s="3524"/>
      <c r="F147" s="5054"/>
      <c r="G147" s="5054"/>
      <c r="H147" s="3058"/>
      <c r="I147" s="590"/>
      <c r="J147" s="5054"/>
      <c r="K147" s="3058"/>
      <c r="L147" s="5054"/>
      <c r="M147" s="3058"/>
      <c r="N147" s="5326"/>
      <c r="O147" s="5326"/>
      <c r="P147" s="5326"/>
      <c r="Q147" s="5326"/>
      <c r="R147" s="5326"/>
      <c r="S147" s="5326"/>
      <c r="T147" s="5326"/>
      <c r="U147" s="5326"/>
      <c r="V147" s="5326"/>
      <c r="W147" s="5326"/>
      <c r="X147" s="5326"/>
      <c r="Y147" s="5326"/>
      <c r="Z147" s="5326"/>
      <c r="AA147" s="5326"/>
      <c r="AB147" s="5335"/>
      <c r="AC147" s="5054" t="s">
        <v>442</v>
      </c>
      <c r="AD147" s="5054" t="s">
        <v>443</v>
      </c>
      <c r="AE147" s="5339">
        <v>0.35</v>
      </c>
      <c r="AF147" s="3058">
        <v>18337.2</v>
      </c>
      <c r="AG147" s="3057">
        <f t="shared" si="22"/>
        <v>18337.2</v>
      </c>
      <c r="AH147" s="3057" t="s">
        <v>122</v>
      </c>
      <c r="AI147" s="3057">
        <v>44126</v>
      </c>
      <c r="AJ147" s="3057">
        <f>SUM(BA147:BN147)</f>
        <v>18337.2</v>
      </c>
      <c r="AK147" s="3057">
        <v>44126</v>
      </c>
      <c r="AL147" s="5321"/>
      <c r="AM147" s="4184"/>
      <c r="AN147" s="5125">
        <f t="shared" si="23"/>
        <v>18337.2</v>
      </c>
      <c r="AO147" s="4184"/>
      <c r="AP147" s="3058">
        <f t="shared" si="24"/>
        <v>0</v>
      </c>
      <c r="AQ147" s="5138"/>
      <c r="AR147" s="3058" t="s">
        <v>128</v>
      </c>
      <c r="AS147" s="5131"/>
      <c r="AT147" s="5138"/>
      <c r="AU147" s="5326"/>
      <c r="AV147" s="5326"/>
      <c r="AW147" s="5326"/>
      <c r="AX147" s="5326"/>
      <c r="AY147" s="5326"/>
      <c r="AZ147" s="5326"/>
      <c r="BA147" s="5150"/>
      <c r="BB147" s="3057"/>
      <c r="BC147" s="3057"/>
      <c r="BD147" s="5150"/>
      <c r="BE147" s="5150"/>
      <c r="BF147" s="5150">
        <v>18337.2</v>
      </c>
      <c r="BG147" s="3057"/>
      <c r="BH147" s="3057"/>
      <c r="BI147" s="3057"/>
      <c r="BJ147" s="3057"/>
      <c r="BK147" s="3057"/>
      <c r="BL147" s="3057"/>
      <c r="BM147" s="3057"/>
      <c r="BN147" s="3057"/>
      <c r="BO147" s="5138"/>
      <c r="BP147" s="5138"/>
      <c r="BQ147" s="5138"/>
      <c r="BR147" s="5138"/>
      <c r="BS147" s="5138"/>
      <c r="BT147" s="5159">
        <v>18337.2</v>
      </c>
      <c r="BU147" s="5159"/>
      <c r="BV147" s="5138"/>
      <c r="BW147" s="5138"/>
      <c r="BX147" s="5138"/>
      <c r="BY147" s="5138"/>
      <c r="BZ147" s="5138"/>
      <c r="CA147" s="5138"/>
      <c r="CB147" s="5138"/>
      <c r="CC147" s="3058"/>
      <c r="CD147" s="3058"/>
      <c r="CE147" s="5171"/>
      <c r="CF147" s="5171"/>
      <c r="CG147" s="5171"/>
      <c r="CH147" s="5171"/>
    </row>
    <row r="148" s="4973" customFormat="1" ht="30.75" customHeight="1" spans="1:86">
      <c r="A148" s="3058"/>
      <c r="B148" s="3058"/>
      <c r="C148" s="3058"/>
      <c r="D148" s="5054"/>
      <c r="E148" s="3524"/>
      <c r="F148" s="5054"/>
      <c r="G148" s="5054"/>
      <c r="H148" s="3058"/>
      <c r="I148" s="590"/>
      <c r="J148" s="5054"/>
      <c r="K148" s="3058"/>
      <c r="L148" s="5054"/>
      <c r="M148" s="3058"/>
      <c r="N148" s="5326"/>
      <c r="O148" s="5326"/>
      <c r="P148" s="5326"/>
      <c r="Q148" s="5326"/>
      <c r="R148" s="5326"/>
      <c r="S148" s="5326"/>
      <c r="T148" s="5326"/>
      <c r="U148" s="5326"/>
      <c r="V148" s="5326"/>
      <c r="W148" s="5326"/>
      <c r="X148" s="5326"/>
      <c r="Y148" s="5326"/>
      <c r="Z148" s="5326"/>
      <c r="AA148" s="5326"/>
      <c r="AB148" s="5335"/>
      <c r="AC148" s="5054" t="s">
        <v>444</v>
      </c>
      <c r="AD148" s="5054" t="s">
        <v>439</v>
      </c>
      <c r="AE148" s="5339">
        <v>0.4</v>
      </c>
      <c r="AF148" s="3058">
        <v>20956.8</v>
      </c>
      <c r="AG148" s="3057">
        <f t="shared" si="22"/>
        <v>20956.8</v>
      </c>
      <c r="AH148" s="3057" t="s">
        <v>122</v>
      </c>
      <c r="AI148" s="3057">
        <v>44126</v>
      </c>
      <c r="AJ148" s="3057">
        <f>SUM(BD148:BQ148)</f>
        <v>20956.8</v>
      </c>
      <c r="AK148" s="3057">
        <v>44126</v>
      </c>
      <c r="AL148" s="5321"/>
      <c r="AM148" s="4184"/>
      <c r="AN148" s="5125">
        <f t="shared" si="23"/>
        <v>20956.8</v>
      </c>
      <c r="AO148" s="4184"/>
      <c r="AP148" s="3058">
        <f t="shared" si="24"/>
        <v>0</v>
      </c>
      <c r="AQ148" s="5138"/>
      <c r="AR148" s="3058" t="s">
        <v>128</v>
      </c>
      <c r="AS148" s="5131"/>
      <c r="AT148" s="5138"/>
      <c r="AU148" s="5326"/>
      <c r="AV148" s="5326"/>
      <c r="AW148" s="5326"/>
      <c r="AX148" s="5326"/>
      <c r="AY148" s="5326"/>
      <c r="AZ148" s="5326"/>
      <c r="BA148" s="5150"/>
      <c r="BB148" s="3057"/>
      <c r="BC148" s="3057"/>
      <c r="BD148" s="5150"/>
      <c r="BE148" s="5150"/>
      <c r="BF148" s="5150">
        <v>20956.8</v>
      </c>
      <c r="BG148" s="5150"/>
      <c r="BH148" s="3057"/>
      <c r="BI148" s="3057"/>
      <c r="BJ148" s="3057"/>
      <c r="BK148" s="3057"/>
      <c r="BL148" s="3057"/>
      <c r="BM148" s="3057"/>
      <c r="BN148" s="3057"/>
      <c r="BO148" s="5138"/>
      <c r="BP148" s="5138"/>
      <c r="BQ148" s="5138"/>
      <c r="BR148" s="5138"/>
      <c r="BS148" s="5138"/>
      <c r="BT148" s="5159">
        <v>20956.8</v>
      </c>
      <c r="BU148" s="5159"/>
      <c r="BV148" s="5138"/>
      <c r="BW148" s="5138"/>
      <c r="BX148" s="5138"/>
      <c r="BY148" s="5138"/>
      <c r="BZ148" s="5138"/>
      <c r="CA148" s="5138"/>
      <c r="CB148" s="5138"/>
      <c r="CC148" s="3058"/>
      <c r="CD148" s="3058"/>
      <c r="CE148" s="5171"/>
      <c r="CF148" s="5171"/>
      <c r="CG148" s="5171"/>
      <c r="CH148" s="5171"/>
    </row>
    <row r="149" s="4973" customFormat="1" ht="61" spans="1:86">
      <c r="A149" s="3058"/>
      <c r="B149" s="3058"/>
      <c r="C149" s="3058"/>
      <c r="D149" s="5054"/>
      <c r="E149" s="3524"/>
      <c r="F149" s="5054"/>
      <c r="G149" s="5054"/>
      <c r="H149" s="3058"/>
      <c r="I149" s="592"/>
      <c r="J149" s="5054"/>
      <c r="K149" s="3058"/>
      <c r="L149" s="5054"/>
      <c r="M149" s="3058"/>
      <c r="N149" s="5326"/>
      <c r="O149" s="5326"/>
      <c r="P149" s="5326"/>
      <c r="Q149" s="5326"/>
      <c r="R149" s="5326"/>
      <c r="S149" s="5326"/>
      <c r="T149" s="5326"/>
      <c r="U149" s="5326"/>
      <c r="V149" s="5326"/>
      <c r="W149" s="5326"/>
      <c r="X149" s="5326"/>
      <c r="Y149" s="5326"/>
      <c r="Z149" s="5326"/>
      <c r="AA149" s="5326"/>
      <c r="AB149" s="5335"/>
      <c r="AC149" s="5054" t="s">
        <v>445</v>
      </c>
      <c r="AD149" s="5054" t="s">
        <v>441</v>
      </c>
      <c r="AE149" s="5339">
        <v>0.25</v>
      </c>
      <c r="AF149" s="3058">
        <v>13098</v>
      </c>
      <c r="AG149" s="3057">
        <f t="shared" si="22"/>
        <v>13098</v>
      </c>
      <c r="AH149" s="584" t="s">
        <v>122</v>
      </c>
      <c r="AI149" s="3057">
        <v>44859</v>
      </c>
      <c r="AJ149" s="3057">
        <v>13098</v>
      </c>
      <c r="AK149" s="3057">
        <v>44859</v>
      </c>
      <c r="AL149" s="5322"/>
      <c r="AM149" s="4185"/>
      <c r="AN149" s="5125">
        <f t="shared" si="23"/>
        <v>13098</v>
      </c>
      <c r="AO149" s="4185"/>
      <c r="AP149" s="3058">
        <f t="shared" si="24"/>
        <v>0</v>
      </c>
      <c r="AQ149" s="5138"/>
      <c r="AR149" s="3058"/>
      <c r="AS149" s="5131"/>
      <c r="AT149" s="5138"/>
      <c r="AU149" s="5326"/>
      <c r="AV149" s="5326"/>
      <c r="AW149" s="5326"/>
      <c r="AX149" s="5326"/>
      <c r="AY149" s="5326"/>
      <c r="AZ149" s="5326"/>
      <c r="BA149" s="5150"/>
      <c r="BB149" s="3057"/>
      <c r="BC149" s="3057"/>
      <c r="BD149" s="5150"/>
      <c r="BE149" s="5150"/>
      <c r="BF149" s="5150">
        <v>13098</v>
      </c>
      <c r="BG149" s="5150"/>
      <c r="BH149" s="3057"/>
      <c r="BI149" s="3057"/>
      <c r="BJ149" s="3057"/>
      <c r="BK149" s="3057"/>
      <c r="BL149" s="3057"/>
      <c r="BM149" s="3057"/>
      <c r="BN149" s="3057"/>
      <c r="BO149" s="5138"/>
      <c r="BP149" s="5138"/>
      <c r="BQ149" s="5138"/>
      <c r="BR149" s="5138"/>
      <c r="BS149" s="5138"/>
      <c r="BT149" s="5159">
        <v>13098</v>
      </c>
      <c r="BU149" s="5138"/>
      <c r="BV149" s="5138"/>
      <c r="BW149" s="5138"/>
      <c r="BX149" s="5138"/>
      <c r="BY149" s="5138"/>
      <c r="BZ149" s="5138"/>
      <c r="CA149" s="5138"/>
      <c r="CB149" s="5138"/>
      <c r="CC149" s="3058"/>
      <c r="CD149" s="3058"/>
      <c r="CE149" s="5171"/>
      <c r="CF149" s="5171"/>
      <c r="CG149" s="5171"/>
      <c r="CH149" s="5171"/>
    </row>
    <row r="150" s="4965" customFormat="1" ht="40.85" customHeight="1" spans="1:86">
      <c r="A150" s="5130">
        <v>23</v>
      </c>
      <c r="B150" s="5130" t="s">
        <v>173</v>
      </c>
      <c r="C150" s="5130">
        <v>43180</v>
      </c>
      <c r="D150" s="5311" t="s">
        <v>201</v>
      </c>
      <c r="E150" s="5130" t="s">
        <v>113</v>
      </c>
      <c r="F150" s="1032" t="s">
        <v>446</v>
      </c>
      <c r="G150" s="5311" t="s">
        <v>447</v>
      </c>
      <c r="H150" s="5130" t="s">
        <v>240</v>
      </c>
      <c r="I150" s="5214"/>
      <c r="J150" s="5311" t="s">
        <v>194</v>
      </c>
      <c r="K150" s="5130">
        <v>25000</v>
      </c>
      <c r="L150" s="5311" t="s">
        <v>448</v>
      </c>
      <c r="M150" s="5130">
        <f>SUM(N150:AA153)</f>
        <v>1000000</v>
      </c>
      <c r="N150" s="5327"/>
      <c r="O150" s="5327"/>
      <c r="P150" s="5327">
        <v>1000000</v>
      </c>
      <c r="Q150" s="5327"/>
      <c r="R150" s="5327"/>
      <c r="S150" s="5327"/>
      <c r="T150" s="5327"/>
      <c r="U150" s="5327"/>
      <c r="V150" s="5327"/>
      <c r="W150" s="5327">
        <v>0</v>
      </c>
      <c r="X150" s="5327">
        <v>0</v>
      </c>
      <c r="Y150" s="5327"/>
      <c r="Z150" s="5327"/>
      <c r="AA150" s="5327"/>
      <c r="AB150" s="5327"/>
      <c r="AC150" s="5311">
        <v>1</v>
      </c>
      <c r="AD150" s="5311" t="s">
        <v>449</v>
      </c>
      <c r="AE150" s="5340">
        <v>0.2</v>
      </c>
      <c r="AF150" s="5130">
        <f>AE150*P150</f>
        <v>200000</v>
      </c>
      <c r="AG150" s="5130">
        <f t="shared" si="22"/>
        <v>200000</v>
      </c>
      <c r="AH150" s="5130" t="s">
        <v>206</v>
      </c>
      <c r="AI150" s="5130">
        <v>43434</v>
      </c>
      <c r="AJ150" s="5130" t="s">
        <v>171</v>
      </c>
      <c r="AK150" s="5130" t="s">
        <v>171</v>
      </c>
      <c r="AL150" s="5130">
        <v>200000</v>
      </c>
      <c r="AM150" s="5130">
        <v>43434</v>
      </c>
      <c r="AN150" s="5130">
        <f t="shared" si="23"/>
        <v>200000</v>
      </c>
      <c r="AO150" s="5130">
        <v>43501</v>
      </c>
      <c r="AP150" s="5130">
        <f t="shared" si="24"/>
        <v>0</v>
      </c>
      <c r="AQ150" s="5353"/>
      <c r="AR150" s="5130"/>
      <c r="AS150" s="5354"/>
      <c r="AT150" s="5353"/>
      <c r="AU150" s="5327">
        <f>SUM(AG150:AG153)</f>
        <v>1176928</v>
      </c>
      <c r="AV150" s="5327">
        <f>SUM(AL150:AL153)</f>
        <v>900000</v>
      </c>
      <c r="AW150" s="5327">
        <f>SUM(AN150:AN153)</f>
        <v>1176928</v>
      </c>
      <c r="AX150" s="5327">
        <f>M150-AU150</f>
        <v>-176928</v>
      </c>
      <c r="AY150" s="5327">
        <f>AU150-AV150</f>
        <v>276928</v>
      </c>
      <c r="AZ150" s="5327">
        <f>AV150-AW150</f>
        <v>-276928</v>
      </c>
      <c r="BA150" s="5146"/>
      <c r="BB150" s="3812"/>
      <c r="BC150" s="3812">
        <v>200000</v>
      </c>
      <c r="BD150" s="5146"/>
      <c r="BE150" s="5146"/>
      <c r="BF150" s="5146"/>
      <c r="BG150" s="5146"/>
      <c r="BH150" s="3812"/>
      <c r="BI150" s="3812"/>
      <c r="BJ150" s="3812"/>
      <c r="BK150" s="3812"/>
      <c r="BL150" s="3812"/>
      <c r="BM150" s="3812"/>
      <c r="BN150" s="3812"/>
      <c r="BO150" s="5353"/>
      <c r="BP150" s="5353"/>
      <c r="BQ150" s="5353">
        <v>200000</v>
      </c>
      <c r="BR150" s="5353"/>
      <c r="BS150" s="5353"/>
      <c r="BT150" s="5130"/>
      <c r="BU150" s="5353"/>
      <c r="BV150" s="5353"/>
      <c r="BW150" s="5353"/>
      <c r="BX150" s="5353"/>
      <c r="BY150" s="5353"/>
      <c r="BZ150" s="5130"/>
      <c r="CA150" s="5130"/>
      <c r="CB150" s="5353"/>
      <c r="CC150" s="3524" t="s">
        <v>124</v>
      </c>
      <c r="CD150" s="3524" t="s">
        <v>154</v>
      </c>
      <c r="CE150" s="5169"/>
      <c r="CF150" s="5169"/>
      <c r="CG150" s="5169"/>
      <c r="CH150" s="5169"/>
    </row>
    <row r="151" s="4965" customFormat="1" ht="61" customHeight="1" spans="1:86">
      <c r="A151" s="5130"/>
      <c r="B151" s="5130"/>
      <c r="C151" s="5130"/>
      <c r="D151" s="5311"/>
      <c r="E151" s="5130"/>
      <c r="F151" s="5311"/>
      <c r="G151" s="5311"/>
      <c r="H151" s="5130"/>
      <c r="I151" s="5074"/>
      <c r="J151" s="5311"/>
      <c r="K151" s="5130"/>
      <c r="L151" s="5311"/>
      <c r="M151" s="5130"/>
      <c r="N151" s="5327"/>
      <c r="O151" s="5327"/>
      <c r="P151" s="5327"/>
      <c r="Q151" s="5327"/>
      <c r="R151" s="5327"/>
      <c r="S151" s="5327"/>
      <c r="T151" s="5327"/>
      <c r="U151" s="5327"/>
      <c r="V151" s="5327"/>
      <c r="W151" s="5327"/>
      <c r="X151" s="5327"/>
      <c r="Y151" s="5327"/>
      <c r="Z151" s="5327"/>
      <c r="AA151" s="5327"/>
      <c r="AB151" s="5327"/>
      <c r="AC151" s="5311">
        <v>2</v>
      </c>
      <c r="AD151" s="5311" t="s">
        <v>450</v>
      </c>
      <c r="AE151" s="5340">
        <v>0.35</v>
      </c>
      <c r="AF151" s="5130">
        <f>AE151*P150</f>
        <v>350000</v>
      </c>
      <c r="AG151" s="5130">
        <f t="shared" si="22"/>
        <v>350000</v>
      </c>
      <c r="AH151" s="5130" t="s">
        <v>122</v>
      </c>
      <c r="AI151" s="5130">
        <v>43718</v>
      </c>
      <c r="AJ151" s="5130">
        <v>350000</v>
      </c>
      <c r="AK151" s="5130">
        <v>43718</v>
      </c>
      <c r="AL151" s="5130">
        <v>350000</v>
      </c>
      <c r="AM151" s="5130">
        <v>43833</v>
      </c>
      <c r="AN151" s="5130">
        <f t="shared" si="23"/>
        <v>350000</v>
      </c>
      <c r="AO151" s="3812">
        <v>44089</v>
      </c>
      <c r="AP151" s="5130">
        <f t="shared" si="24"/>
        <v>0</v>
      </c>
      <c r="AQ151" s="5353"/>
      <c r="AR151" s="5130"/>
      <c r="AS151" s="5354"/>
      <c r="AT151" s="5353"/>
      <c r="AU151" s="5327"/>
      <c r="AV151" s="5327"/>
      <c r="AW151" s="5327"/>
      <c r="AX151" s="5327"/>
      <c r="AY151" s="5327"/>
      <c r="AZ151" s="5327"/>
      <c r="BA151" s="5146"/>
      <c r="BB151" s="3812"/>
      <c r="BC151" s="3812">
        <v>350000</v>
      </c>
      <c r="BD151" s="5146"/>
      <c r="BE151" s="5146"/>
      <c r="BF151" s="5146"/>
      <c r="BG151" s="5146"/>
      <c r="BH151" s="3812"/>
      <c r="BI151" s="3812"/>
      <c r="BJ151" s="3812"/>
      <c r="BK151" s="3812"/>
      <c r="BL151" s="3812"/>
      <c r="BM151" s="3812"/>
      <c r="BN151" s="3812"/>
      <c r="BO151" s="5353"/>
      <c r="BP151" s="5353"/>
      <c r="BQ151" s="5130">
        <v>350000</v>
      </c>
      <c r="BR151" s="5353"/>
      <c r="BS151" s="5353"/>
      <c r="BT151" s="5130"/>
      <c r="BU151" s="5353"/>
      <c r="BV151" s="5353"/>
      <c r="BW151" s="5353"/>
      <c r="BX151" s="5353"/>
      <c r="BY151" s="5353"/>
      <c r="BZ151" s="5130"/>
      <c r="CA151" s="5130"/>
      <c r="CB151" s="5353"/>
      <c r="CC151" s="3524"/>
      <c r="CD151" s="3524"/>
      <c r="CE151" s="5169"/>
      <c r="CF151" s="5169"/>
      <c r="CG151" s="5169"/>
      <c r="CH151" s="5169"/>
    </row>
    <row r="152" s="4965" customFormat="1" ht="61" customHeight="1" spans="1:86">
      <c r="A152" s="5130"/>
      <c r="B152" s="5130"/>
      <c r="C152" s="5130"/>
      <c r="D152" s="5311"/>
      <c r="E152" s="5130"/>
      <c r="F152" s="5311"/>
      <c r="G152" s="5311"/>
      <c r="H152" s="5130"/>
      <c r="I152" s="5074"/>
      <c r="J152" s="5311"/>
      <c r="K152" s="5130"/>
      <c r="L152" s="5311"/>
      <c r="M152" s="5130"/>
      <c r="N152" s="5327"/>
      <c r="O152" s="5327"/>
      <c r="P152" s="5327"/>
      <c r="Q152" s="5327"/>
      <c r="R152" s="5327"/>
      <c r="S152" s="5327"/>
      <c r="T152" s="5327"/>
      <c r="U152" s="5327"/>
      <c r="V152" s="5327"/>
      <c r="W152" s="5327"/>
      <c r="X152" s="5327"/>
      <c r="Y152" s="5327"/>
      <c r="Z152" s="5327"/>
      <c r="AA152" s="5327"/>
      <c r="AB152" s="5327"/>
      <c r="AC152" s="5311">
        <v>3</v>
      </c>
      <c r="AD152" s="5311" t="s">
        <v>451</v>
      </c>
      <c r="AE152" s="5340">
        <v>0.35</v>
      </c>
      <c r="AF152" s="5130">
        <f>AE152*P150</f>
        <v>350000</v>
      </c>
      <c r="AG152" s="5130">
        <f t="shared" si="22"/>
        <v>350000</v>
      </c>
      <c r="AH152" s="5130" t="s">
        <v>122</v>
      </c>
      <c r="AI152" s="5130">
        <v>43749</v>
      </c>
      <c r="AJ152" s="5130">
        <v>350000</v>
      </c>
      <c r="AK152" s="5130">
        <v>43749</v>
      </c>
      <c r="AL152" s="5130">
        <v>350000</v>
      </c>
      <c r="AM152" s="5130">
        <v>44098</v>
      </c>
      <c r="AN152" s="3812">
        <f t="shared" si="23"/>
        <v>350000</v>
      </c>
      <c r="AO152" s="3812">
        <v>44561</v>
      </c>
      <c r="AP152" s="5130">
        <f t="shared" si="24"/>
        <v>0</v>
      </c>
      <c r="AQ152" s="5354"/>
      <c r="AR152" s="5130"/>
      <c r="AS152" s="5354"/>
      <c r="AT152" s="5353"/>
      <c r="AU152" s="5327"/>
      <c r="AV152" s="5327"/>
      <c r="AW152" s="5327"/>
      <c r="AX152" s="5327"/>
      <c r="AY152" s="5327"/>
      <c r="AZ152" s="5327"/>
      <c r="BA152" s="5146"/>
      <c r="BB152" s="3812"/>
      <c r="BC152" s="3812">
        <v>350000</v>
      </c>
      <c r="BD152" s="5146"/>
      <c r="BE152" s="5146"/>
      <c r="BF152" s="5146"/>
      <c r="BG152" s="5146"/>
      <c r="BH152" s="3812"/>
      <c r="BI152" s="3812"/>
      <c r="BJ152" s="3812"/>
      <c r="BK152" s="3812"/>
      <c r="BL152" s="3812"/>
      <c r="BM152" s="3812"/>
      <c r="BN152" s="3812"/>
      <c r="BO152" s="5160"/>
      <c r="BP152" s="5160"/>
      <c r="BQ152" s="5146">
        <v>350000</v>
      </c>
      <c r="BR152" s="5160"/>
      <c r="BS152" s="5160"/>
      <c r="BT152" s="5123"/>
      <c r="BU152" s="5160"/>
      <c r="BV152" s="5160"/>
      <c r="BW152" s="5160"/>
      <c r="BX152" s="5160"/>
      <c r="BY152" s="5160"/>
      <c r="BZ152" s="5123"/>
      <c r="CA152" s="5123"/>
      <c r="CB152" s="5160"/>
      <c r="CC152" s="3524"/>
      <c r="CD152" s="3524"/>
      <c r="CE152" s="5169"/>
      <c r="CF152" s="5169"/>
      <c r="CG152" s="5169"/>
      <c r="CH152" s="5169"/>
    </row>
    <row r="153" s="4965" customFormat="1" ht="61" customHeight="1" spans="1:86">
      <c r="A153" s="5130"/>
      <c r="B153" s="5130"/>
      <c r="C153" s="5130"/>
      <c r="D153" s="5311"/>
      <c r="E153" s="5130"/>
      <c r="F153" s="5311"/>
      <c r="G153" s="5311"/>
      <c r="H153" s="5130"/>
      <c r="I153" s="5075"/>
      <c r="J153" s="5311"/>
      <c r="K153" s="5130"/>
      <c r="L153" s="5311"/>
      <c r="M153" s="5130"/>
      <c r="N153" s="5327"/>
      <c r="O153" s="5327"/>
      <c r="P153" s="5327"/>
      <c r="Q153" s="5327"/>
      <c r="R153" s="5327"/>
      <c r="S153" s="5327"/>
      <c r="T153" s="5327"/>
      <c r="U153" s="5327"/>
      <c r="V153" s="5327"/>
      <c r="W153" s="5327"/>
      <c r="X153" s="5327"/>
      <c r="Y153" s="5327"/>
      <c r="Z153" s="5327"/>
      <c r="AA153" s="5327"/>
      <c r="AB153" s="5327"/>
      <c r="AC153" s="5311">
        <v>4</v>
      </c>
      <c r="AD153" s="5311" t="s">
        <v>452</v>
      </c>
      <c r="AE153" s="5340">
        <v>0.1</v>
      </c>
      <c r="AF153" s="5130">
        <f>AE153*P150</f>
        <v>100000</v>
      </c>
      <c r="AG153" s="3812">
        <f t="shared" si="22"/>
        <v>276928</v>
      </c>
      <c r="AH153" s="5130" t="s">
        <v>122</v>
      </c>
      <c r="AI153" s="3812">
        <v>44879</v>
      </c>
      <c r="AJ153" s="3812">
        <v>276928</v>
      </c>
      <c r="AK153" s="3812">
        <v>44879</v>
      </c>
      <c r="AL153" s="5130"/>
      <c r="AM153" s="5130"/>
      <c r="AN153" s="5130">
        <f t="shared" si="23"/>
        <v>276928</v>
      </c>
      <c r="AO153" s="5123"/>
      <c r="AP153" s="5130">
        <f t="shared" si="24"/>
        <v>0</v>
      </c>
      <c r="AQ153" s="5353"/>
      <c r="AR153" s="5130"/>
      <c r="AS153" s="5354"/>
      <c r="AT153" s="5353"/>
      <c r="AU153" s="5327"/>
      <c r="AV153" s="5327"/>
      <c r="AW153" s="5327"/>
      <c r="AX153" s="5327"/>
      <c r="AY153" s="5327"/>
      <c r="AZ153" s="5327"/>
      <c r="BA153" s="5146"/>
      <c r="BB153" s="3812"/>
      <c r="BC153" s="3812">
        <v>276928</v>
      </c>
      <c r="BD153" s="5146"/>
      <c r="BE153" s="5146"/>
      <c r="BF153" s="5146"/>
      <c r="BG153" s="5146"/>
      <c r="BH153" s="3812"/>
      <c r="BI153" s="3812"/>
      <c r="BJ153" s="3812"/>
      <c r="BK153" s="3812"/>
      <c r="BL153" s="3812"/>
      <c r="BM153" s="3812"/>
      <c r="BN153" s="3812"/>
      <c r="BO153" s="5353"/>
      <c r="BP153" s="5353"/>
      <c r="BQ153" s="5123">
        <v>276928</v>
      </c>
      <c r="BR153" s="5353"/>
      <c r="BS153" s="5353"/>
      <c r="BT153" s="5130"/>
      <c r="BU153" s="5353"/>
      <c r="BV153" s="5353"/>
      <c r="BW153" s="5353"/>
      <c r="BX153" s="5353"/>
      <c r="BY153" s="5353"/>
      <c r="BZ153" s="5130"/>
      <c r="CA153" s="5130"/>
      <c r="CB153" s="5353"/>
      <c r="CC153" s="3524"/>
      <c r="CD153" s="3524"/>
      <c r="CE153" s="5169"/>
      <c r="CF153" s="5169"/>
      <c r="CG153" s="5169"/>
      <c r="CH153" s="5169"/>
    </row>
    <row r="154" s="4965" customFormat="1" ht="52.5" customHeight="1" spans="1:86">
      <c r="A154" s="5130">
        <v>24</v>
      </c>
      <c r="B154" s="5130" t="s">
        <v>173</v>
      </c>
      <c r="C154" s="5130">
        <v>43230</v>
      </c>
      <c r="D154" s="1032" t="s">
        <v>453</v>
      </c>
      <c r="E154" s="5130" t="s">
        <v>113</v>
      </c>
      <c r="F154" s="3742" t="s">
        <v>454</v>
      </c>
      <c r="G154" s="3742" t="s">
        <v>455</v>
      </c>
      <c r="H154" s="5311" t="s">
        <v>116</v>
      </c>
      <c r="I154" s="5214"/>
      <c r="J154" s="3742" t="s">
        <v>300</v>
      </c>
      <c r="K154" s="3524">
        <v>259842</v>
      </c>
      <c r="L154" s="3742" t="s">
        <v>456</v>
      </c>
      <c r="M154" s="3524">
        <f>SUM(N154:AA159)</f>
        <v>12212574</v>
      </c>
      <c r="N154" s="5051"/>
      <c r="O154" s="5051"/>
      <c r="P154" s="5051"/>
      <c r="Q154" s="5051">
        <v>12212574</v>
      </c>
      <c r="R154" s="5051"/>
      <c r="S154" s="5051"/>
      <c r="T154" s="5051"/>
      <c r="U154" s="5051"/>
      <c r="V154" s="5051"/>
      <c r="W154" s="5051">
        <v>0</v>
      </c>
      <c r="X154" s="5051">
        <v>0</v>
      </c>
      <c r="Y154" s="5051"/>
      <c r="Z154" s="5051"/>
      <c r="AA154" s="5051"/>
      <c r="AB154" s="5194" t="s">
        <v>457</v>
      </c>
      <c r="AC154" s="3742">
        <v>1</v>
      </c>
      <c r="AD154" s="3524" t="s">
        <v>316</v>
      </c>
      <c r="AE154" s="5117">
        <v>0.2</v>
      </c>
      <c r="AF154" s="3524">
        <v>2338578</v>
      </c>
      <c r="AG154" s="3524">
        <f t="shared" si="22"/>
        <v>2338578</v>
      </c>
      <c r="AH154" s="3524" t="s">
        <v>206</v>
      </c>
      <c r="AI154" s="3524">
        <v>43283</v>
      </c>
      <c r="AJ154" s="3524" t="s">
        <v>171</v>
      </c>
      <c r="AK154" s="3524" t="s">
        <v>171</v>
      </c>
      <c r="AL154" s="3524">
        <v>2338578</v>
      </c>
      <c r="AM154" s="3524">
        <v>43283</v>
      </c>
      <c r="AN154" s="3524">
        <f t="shared" si="23"/>
        <v>2338578</v>
      </c>
      <c r="AO154" s="3524">
        <v>43375</v>
      </c>
      <c r="AP154" s="3524">
        <f t="shared" si="24"/>
        <v>0</v>
      </c>
      <c r="AQ154" s="5122"/>
      <c r="AR154" s="3524"/>
      <c r="AS154" s="5137"/>
      <c r="AT154" s="5122"/>
      <c r="AU154" s="5360">
        <f>SUM(AG154:AG159)</f>
        <v>12212118.8075</v>
      </c>
      <c r="AV154" s="5360">
        <f>SUM(AL154:AL159)</f>
        <v>9159089.1075</v>
      </c>
      <c r="AW154" s="5360">
        <f>SUM(AN154:AN159)</f>
        <v>11601512.8675</v>
      </c>
      <c r="AX154" s="5360">
        <f>M154-AU154</f>
        <v>455.19250000082</v>
      </c>
      <c r="AY154" s="5360">
        <f>AU154-AV154</f>
        <v>3053029.7</v>
      </c>
      <c r="AZ154" s="5360">
        <f>AV154-AW154</f>
        <v>-2442423.76</v>
      </c>
      <c r="BA154" s="5146"/>
      <c r="BB154" s="3812"/>
      <c r="BC154" s="3812"/>
      <c r="BD154" s="3812">
        <v>2338578</v>
      </c>
      <c r="BE154" s="5146"/>
      <c r="BF154" s="5146"/>
      <c r="BG154" s="5146"/>
      <c r="BH154" s="3812"/>
      <c r="BI154" s="3812"/>
      <c r="BJ154" s="3812"/>
      <c r="BK154" s="3812"/>
      <c r="BL154" s="3812"/>
      <c r="BM154" s="3812"/>
      <c r="BN154" s="3812"/>
      <c r="BO154" s="5122"/>
      <c r="BP154" s="5122"/>
      <c r="BQ154" s="5122"/>
      <c r="BR154" s="3524">
        <v>2338578</v>
      </c>
      <c r="BS154" s="5122"/>
      <c r="BT154" s="5122"/>
      <c r="BU154" s="5122"/>
      <c r="BV154" s="5122"/>
      <c r="BW154" s="5122"/>
      <c r="BX154" s="5122"/>
      <c r="BY154" s="5122"/>
      <c r="BZ154" s="5122"/>
      <c r="CA154" s="5122"/>
      <c r="CB154" s="5122"/>
      <c r="CC154" s="3524" t="s">
        <v>124</v>
      </c>
      <c r="CD154" s="3524" t="s">
        <v>154</v>
      </c>
      <c r="CE154" s="5169"/>
      <c r="CF154" s="5169"/>
      <c r="CG154" s="5169"/>
      <c r="CH154" s="5169"/>
    </row>
    <row r="155" s="4965" customFormat="1" ht="50" customHeight="1" spans="1:86">
      <c r="A155" s="5130"/>
      <c r="B155" s="5130"/>
      <c r="C155" s="5130"/>
      <c r="D155" s="3742"/>
      <c r="E155" s="5130"/>
      <c r="F155" s="3742"/>
      <c r="G155" s="3742"/>
      <c r="H155" s="5311"/>
      <c r="I155" s="5074"/>
      <c r="J155" s="3742"/>
      <c r="K155" s="3524"/>
      <c r="L155" s="3742"/>
      <c r="M155" s="3524"/>
      <c r="N155" s="5051"/>
      <c r="O155" s="5051"/>
      <c r="P155" s="5051"/>
      <c r="Q155" s="5051"/>
      <c r="R155" s="5051"/>
      <c r="S155" s="5051"/>
      <c r="T155" s="5051"/>
      <c r="U155" s="5051"/>
      <c r="V155" s="5051"/>
      <c r="W155" s="5051"/>
      <c r="X155" s="5051"/>
      <c r="Y155" s="5051"/>
      <c r="Z155" s="5051"/>
      <c r="AA155" s="5051"/>
      <c r="AB155" s="5194"/>
      <c r="AC155" s="3742">
        <v>2</v>
      </c>
      <c r="AD155" s="3742" t="s">
        <v>458</v>
      </c>
      <c r="AE155" s="5117">
        <v>0.1</v>
      </c>
      <c r="AF155" s="3524">
        <v>1169289</v>
      </c>
      <c r="AG155" s="3524">
        <f t="shared" si="22"/>
        <v>1169289</v>
      </c>
      <c r="AH155" s="3524" t="s">
        <v>206</v>
      </c>
      <c r="AI155" s="3524">
        <v>43283</v>
      </c>
      <c r="AJ155" s="3524" t="s">
        <v>171</v>
      </c>
      <c r="AK155" s="3524" t="s">
        <v>171</v>
      </c>
      <c r="AL155" s="3524">
        <v>1169289</v>
      </c>
      <c r="AM155" s="3524">
        <v>43283</v>
      </c>
      <c r="AN155" s="3524">
        <f t="shared" si="23"/>
        <v>1169289</v>
      </c>
      <c r="AO155" s="3524">
        <v>43375</v>
      </c>
      <c r="AP155" s="3524">
        <f t="shared" si="24"/>
        <v>0</v>
      </c>
      <c r="AQ155" s="5122"/>
      <c r="AR155" s="3524"/>
      <c r="AS155" s="5137"/>
      <c r="AT155" s="5122"/>
      <c r="AU155" s="5360"/>
      <c r="AV155" s="5360"/>
      <c r="AW155" s="5360"/>
      <c r="AX155" s="5360"/>
      <c r="AY155" s="5360"/>
      <c r="AZ155" s="5360"/>
      <c r="BA155" s="5146"/>
      <c r="BB155" s="3812"/>
      <c r="BC155" s="3812"/>
      <c r="BD155" s="3812">
        <v>1169289</v>
      </c>
      <c r="BE155" s="5146"/>
      <c r="BF155" s="5146"/>
      <c r="BG155" s="5146"/>
      <c r="BH155" s="3812"/>
      <c r="BI155" s="3812"/>
      <c r="BJ155" s="3812"/>
      <c r="BK155" s="3812"/>
      <c r="BL155" s="3812"/>
      <c r="BM155" s="3812"/>
      <c r="BN155" s="3812"/>
      <c r="BO155" s="5122"/>
      <c r="BP155" s="5122"/>
      <c r="BQ155" s="5122"/>
      <c r="BR155" s="3524">
        <v>1169289</v>
      </c>
      <c r="BS155" s="5122"/>
      <c r="BT155" s="5122"/>
      <c r="BU155" s="5122"/>
      <c r="BV155" s="5122"/>
      <c r="BW155" s="5122"/>
      <c r="BX155" s="5122"/>
      <c r="BY155" s="5122"/>
      <c r="BZ155" s="5122"/>
      <c r="CA155" s="5122"/>
      <c r="CB155" s="5122"/>
      <c r="CC155" s="3524"/>
      <c r="CD155" s="3524"/>
      <c r="CE155" s="5169"/>
      <c r="CF155" s="5169"/>
      <c r="CG155" s="5169"/>
      <c r="CH155" s="5169"/>
    </row>
    <row r="156" s="4965" customFormat="1" ht="78" customHeight="1" spans="1:86">
      <c r="A156" s="5130"/>
      <c r="B156" s="5130"/>
      <c r="C156" s="5130"/>
      <c r="D156" s="3742"/>
      <c r="E156" s="5130"/>
      <c r="F156" s="3742"/>
      <c r="G156" s="3742"/>
      <c r="H156" s="5311"/>
      <c r="I156" s="5074"/>
      <c r="J156" s="3742"/>
      <c r="K156" s="3524"/>
      <c r="L156" s="3742"/>
      <c r="M156" s="3524"/>
      <c r="N156" s="5051"/>
      <c r="O156" s="5051"/>
      <c r="P156" s="5051"/>
      <c r="Q156" s="5051"/>
      <c r="R156" s="5051"/>
      <c r="S156" s="5051"/>
      <c r="T156" s="5051"/>
      <c r="U156" s="5051"/>
      <c r="V156" s="5051"/>
      <c r="W156" s="5051"/>
      <c r="X156" s="5051"/>
      <c r="Y156" s="5051"/>
      <c r="Z156" s="5051"/>
      <c r="AA156" s="5051"/>
      <c r="AB156" s="5194"/>
      <c r="AC156" s="3742">
        <v>3</v>
      </c>
      <c r="AD156" s="3742" t="s">
        <v>459</v>
      </c>
      <c r="AE156" s="5117">
        <v>0.1</v>
      </c>
      <c r="AF156" s="3524">
        <v>1169289</v>
      </c>
      <c r="AG156" s="3524">
        <f t="shared" si="22"/>
        <v>1376980.524</v>
      </c>
      <c r="AH156" s="3524" t="s">
        <v>409</v>
      </c>
      <c r="AI156" s="3524">
        <v>43454</v>
      </c>
      <c r="AJ156" s="3524" t="s">
        <v>171</v>
      </c>
      <c r="AK156" s="3524" t="s">
        <v>171</v>
      </c>
      <c r="AL156" s="3524">
        <v>1376980.524</v>
      </c>
      <c r="AM156" s="3524">
        <v>43485</v>
      </c>
      <c r="AN156" s="3524">
        <f t="shared" si="23"/>
        <v>1376980.524</v>
      </c>
      <c r="AO156" s="3524">
        <v>43538</v>
      </c>
      <c r="AP156" s="3524">
        <f t="shared" si="24"/>
        <v>0</v>
      </c>
      <c r="AQ156" s="5137" t="s">
        <v>460</v>
      </c>
      <c r="AR156" s="3524"/>
      <c r="AS156" s="5137"/>
      <c r="AT156" s="5122"/>
      <c r="AU156" s="5360"/>
      <c r="AV156" s="5360"/>
      <c r="AW156" s="5360"/>
      <c r="AX156" s="5360"/>
      <c r="AY156" s="5360"/>
      <c r="AZ156" s="5360"/>
      <c r="BA156" s="5146"/>
      <c r="BB156" s="3812"/>
      <c r="BC156" s="3812"/>
      <c r="BD156" s="3812">
        <v>1376980.524</v>
      </c>
      <c r="BE156" s="5146"/>
      <c r="BF156" s="5146"/>
      <c r="BG156" s="5146"/>
      <c r="BH156" s="3812"/>
      <c r="BI156" s="3812"/>
      <c r="BJ156" s="3812"/>
      <c r="BK156" s="3812"/>
      <c r="BL156" s="3812"/>
      <c r="BM156" s="3812"/>
      <c r="BN156" s="3812"/>
      <c r="BO156" s="5122"/>
      <c r="BP156" s="5122"/>
      <c r="BQ156" s="5122"/>
      <c r="BR156" s="3524">
        <v>1376980.524</v>
      </c>
      <c r="BS156" s="5122"/>
      <c r="BT156" s="5122"/>
      <c r="BU156" s="5122"/>
      <c r="BV156" s="5122"/>
      <c r="BW156" s="5122"/>
      <c r="BX156" s="5122"/>
      <c r="BY156" s="5122"/>
      <c r="BZ156" s="5122"/>
      <c r="CA156" s="5122"/>
      <c r="CB156" s="5122"/>
      <c r="CC156" s="3524"/>
      <c r="CD156" s="3524"/>
      <c r="CE156" s="5169"/>
      <c r="CF156" s="5169"/>
      <c r="CG156" s="5169"/>
      <c r="CH156" s="5169"/>
    </row>
    <row r="157" s="4965" customFormat="1" ht="54.15" customHeight="1" spans="1:86">
      <c r="A157" s="5130"/>
      <c r="B157" s="5130"/>
      <c r="C157" s="5130"/>
      <c r="D157" s="3742"/>
      <c r="E157" s="5130"/>
      <c r="F157" s="3742"/>
      <c r="G157" s="3742"/>
      <c r="H157" s="5311"/>
      <c r="I157" s="5074"/>
      <c r="J157" s="3742"/>
      <c r="K157" s="3524"/>
      <c r="L157" s="3742"/>
      <c r="M157" s="3524"/>
      <c r="N157" s="5051"/>
      <c r="O157" s="5051"/>
      <c r="P157" s="5051"/>
      <c r="Q157" s="5051"/>
      <c r="R157" s="5051"/>
      <c r="S157" s="5051"/>
      <c r="T157" s="5051"/>
      <c r="U157" s="5051"/>
      <c r="V157" s="5051"/>
      <c r="W157" s="5051"/>
      <c r="X157" s="5051"/>
      <c r="Y157" s="5051"/>
      <c r="Z157" s="5051"/>
      <c r="AA157" s="5051"/>
      <c r="AB157" s="5194"/>
      <c r="AC157" s="3742">
        <v>4</v>
      </c>
      <c r="AD157" s="1032" t="s">
        <v>461</v>
      </c>
      <c r="AE157" s="5117">
        <v>0.35</v>
      </c>
      <c r="AF157" s="3524">
        <v>4092511</v>
      </c>
      <c r="AG157" s="3524">
        <f t="shared" si="22"/>
        <v>4274241.5835</v>
      </c>
      <c r="AH157" s="3524" t="s">
        <v>206</v>
      </c>
      <c r="AI157" s="3524">
        <v>43485</v>
      </c>
      <c r="AJ157" s="3524" t="s">
        <v>171</v>
      </c>
      <c r="AK157" s="3524" t="s">
        <v>171</v>
      </c>
      <c r="AL157" s="3524">
        <v>4274241.5835</v>
      </c>
      <c r="AM157" s="3524">
        <v>43485</v>
      </c>
      <c r="AN157" s="3524">
        <f t="shared" si="23"/>
        <v>4274241.5835</v>
      </c>
      <c r="AO157" s="3524">
        <v>43538</v>
      </c>
      <c r="AP157" s="3524">
        <f t="shared" si="24"/>
        <v>0</v>
      </c>
      <c r="AQ157" s="5252" t="s">
        <v>462</v>
      </c>
      <c r="AR157" s="3524"/>
      <c r="AS157" s="5137"/>
      <c r="AT157" s="5122"/>
      <c r="AU157" s="5360"/>
      <c r="AV157" s="5360"/>
      <c r="AW157" s="5360"/>
      <c r="AX157" s="5360"/>
      <c r="AY157" s="5360"/>
      <c r="AZ157" s="5360"/>
      <c r="BA157" s="5146"/>
      <c r="BB157" s="3812"/>
      <c r="BC157" s="3812"/>
      <c r="BD157" s="3812">
        <v>4274241.5835</v>
      </c>
      <c r="BE157" s="5146"/>
      <c r="BF157" s="5146"/>
      <c r="BG157" s="5146"/>
      <c r="BH157" s="3812"/>
      <c r="BI157" s="3812"/>
      <c r="BJ157" s="3812"/>
      <c r="BK157" s="3812"/>
      <c r="BL157" s="3812"/>
      <c r="BM157" s="3812"/>
      <c r="BN157" s="3812"/>
      <c r="BO157" s="5122"/>
      <c r="BP157" s="5122"/>
      <c r="BQ157" s="5122"/>
      <c r="BR157" s="3524">
        <v>4274241.5835</v>
      </c>
      <c r="BS157" s="5122"/>
      <c r="BT157" s="5122"/>
      <c r="BU157" s="5122"/>
      <c r="BV157" s="5122"/>
      <c r="BW157" s="5122"/>
      <c r="BX157" s="5122"/>
      <c r="BY157" s="5122"/>
      <c r="BZ157" s="5122"/>
      <c r="CA157" s="5122"/>
      <c r="CB157" s="5122"/>
      <c r="CC157" s="3524"/>
      <c r="CD157" s="3524"/>
      <c r="CE157" s="5169"/>
      <c r="CF157" s="5169"/>
      <c r="CG157" s="5169"/>
      <c r="CH157" s="5169"/>
    </row>
    <row r="158" s="4965" customFormat="1" ht="48.35" customHeight="1" spans="1:86">
      <c r="A158" s="5130"/>
      <c r="B158" s="5130"/>
      <c r="C158" s="5130"/>
      <c r="D158" s="3742"/>
      <c r="E158" s="5130"/>
      <c r="F158" s="3742"/>
      <c r="G158" s="3742"/>
      <c r="H158" s="5311"/>
      <c r="I158" s="5074"/>
      <c r="J158" s="3742"/>
      <c r="K158" s="3524"/>
      <c r="L158" s="3742"/>
      <c r="M158" s="3524"/>
      <c r="N158" s="5051"/>
      <c r="O158" s="5051"/>
      <c r="P158" s="5051"/>
      <c r="Q158" s="5051"/>
      <c r="R158" s="5051"/>
      <c r="S158" s="5051"/>
      <c r="T158" s="5051"/>
      <c r="U158" s="5051"/>
      <c r="V158" s="5051"/>
      <c r="W158" s="5051"/>
      <c r="X158" s="5051"/>
      <c r="Y158" s="5051"/>
      <c r="Z158" s="5051"/>
      <c r="AA158" s="5051"/>
      <c r="AB158" s="5194"/>
      <c r="AC158" s="3742">
        <v>5</v>
      </c>
      <c r="AD158" s="3742" t="s">
        <v>463</v>
      </c>
      <c r="AE158" s="5117">
        <v>0.2</v>
      </c>
      <c r="AF158" s="3524">
        <v>2338578</v>
      </c>
      <c r="AG158" s="3812">
        <f t="shared" si="22"/>
        <v>2442423.76</v>
      </c>
      <c r="AH158" s="3812" t="s">
        <v>122</v>
      </c>
      <c r="AI158" s="3812">
        <v>44552</v>
      </c>
      <c r="AJ158" s="3812">
        <v>2442423.78</v>
      </c>
      <c r="AK158" s="3812">
        <v>44552</v>
      </c>
      <c r="AL158" s="3524"/>
      <c r="AM158" s="3524"/>
      <c r="AN158" s="5123">
        <f t="shared" si="23"/>
        <v>2442423.76</v>
      </c>
      <c r="AO158" s="4815"/>
      <c r="AP158" s="3524">
        <f t="shared" si="24"/>
        <v>0</v>
      </c>
      <c r="AQ158" s="5252" t="s">
        <v>464</v>
      </c>
      <c r="AR158" s="3524"/>
      <c r="AS158" s="5137"/>
      <c r="AT158" s="5256" t="s">
        <v>465</v>
      </c>
      <c r="AU158" s="5360"/>
      <c r="AV158" s="5360"/>
      <c r="AW158" s="5360"/>
      <c r="AX158" s="5360"/>
      <c r="AY158" s="5360"/>
      <c r="AZ158" s="5360"/>
      <c r="BA158" s="5146"/>
      <c r="BB158" s="3812"/>
      <c r="BC158" s="3812"/>
      <c r="BD158" s="5146">
        <v>2442423.76</v>
      </c>
      <c r="BE158" s="5146"/>
      <c r="BF158" s="5146"/>
      <c r="BG158" s="5146"/>
      <c r="BH158" s="3812"/>
      <c r="BI158" s="3812"/>
      <c r="BJ158" s="3812"/>
      <c r="BK158" s="3812"/>
      <c r="BL158" s="3812"/>
      <c r="BM158" s="3812"/>
      <c r="BN158" s="3812"/>
      <c r="BO158" s="5122"/>
      <c r="BP158" s="5122"/>
      <c r="BQ158" s="5122"/>
      <c r="BR158" s="5160">
        <v>2442423.76</v>
      </c>
      <c r="BS158" s="5122"/>
      <c r="BT158" s="5122"/>
      <c r="BU158" s="5122"/>
      <c r="BV158" s="5122"/>
      <c r="BW158" s="5122"/>
      <c r="BX158" s="5122"/>
      <c r="BY158" s="5122"/>
      <c r="BZ158" s="5122"/>
      <c r="CA158" s="5122"/>
      <c r="CB158" s="5122"/>
      <c r="CC158" s="3524"/>
      <c r="CD158" s="3524"/>
      <c r="CE158" s="5169"/>
      <c r="CF158" s="5169"/>
      <c r="CG158" s="5169"/>
      <c r="CH158" s="5169"/>
    </row>
    <row r="159" s="4965" customFormat="1" ht="41.65" customHeight="1" spans="1:86">
      <c r="A159" s="5130"/>
      <c r="B159" s="5130"/>
      <c r="C159" s="5130"/>
      <c r="D159" s="3742"/>
      <c r="E159" s="5130"/>
      <c r="F159" s="3742"/>
      <c r="G159" s="3742"/>
      <c r="H159" s="5311"/>
      <c r="I159" s="5075"/>
      <c r="J159" s="3742"/>
      <c r="K159" s="3524"/>
      <c r="L159" s="3742"/>
      <c r="M159" s="3524"/>
      <c r="N159" s="5051"/>
      <c r="O159" s="5051"/>
      <c r="P159" s="5051"/>
      <c r="Q159" s="5051"/>
      <c r="R159" s="5051"/>
      <c r="S159" s="5051"/>
      <c r="T159" s="5051"/>
      <c r="U159" s="5051"/>
      <c r="V159" s="5051"/>
      <c r="W159" s="5051"/>
      <c r="X159" s="5051"/>
      <c r="Y159" s="5051"/>
      <c r="Z159" s="5051"/>
      <c r="AA159" s="5051"/>
      <c r="AB159" s="5194"/>
      <c r="AC159" s="3742">
        <v>6</v>
      </c>
      <c r="AD159" s="3524" t="s">
        <v>466</v>
      </c>
      <c r="AE159" s="5117">
        <v>0.05</v>
      </c>
      <c r="AF159" s="3524">
        <v>584645</v>
      </c>
      <c r="AG159" s="5123">
        <f t="shared" si="22"/>
        <v>610605.94</v>
      </c>
      <c r="AH159" s="3406"/>
      <c r="AI159" s="5123"/>
      <c r="AJ159" s="3524"/>
      <c r="AK159" s="5122"/>
      <c r="AL159" s="3524"/>
      <c r="AM159" s="3524"/>
      <c r="AN159" s="3524">
        <f t="shared" si="23"/>
        <v>0</v>
      </c>
      <c r="AO159" s="3524"/>
      <c r="AP159" s="3524">
        <f t="shared" si="24"/>
        <v>610605.94</v>
      </c>
      <c r="AQ159" s="5256" t="s">
        <v>467</v>
      </c>
      <c r="AR159" s="3524"/>
      <c r="AS159" s="5137"/>
      <c r="AT159" s="5122"/>
      <c r="AU159" s="5360"/>
      <c r="AV159" s="5360"/>
      <c r="AW159" s="5360"/>
      <c r="AX159" s="5360"/>
      <c r="AY159" s="5360"/>
      <c r="AZ159" s="5360"/>
      <c r="BA159" s="5122"/>
      <c r="BB159" s="3524"/>
      <c r="BC159" s="5123"/>
      <c r="BD159" s="5160">
        <v>610605.94</v>
      </c>
      <c r="BE159" s="5122"/>
      <c r="BF159" s="5122"/>
      <c r="BG159" s="5122"/>
      <c r="BH159" s="3524"/>
      <c r="BI159" s="3524"/>
      <c r="BJ159" s="3524"/>
      <c r="BK159" s="3524"/>
      <c r="BL159" s="3524"/>
      <c r="BM159" s="3524"/>
      <c r="BN159" s="3524"/>
      <c r="BO159" s="5122"/>
      <c r="BP159" s="5122"/>
      <c r="BQ159" s="5122"/>
      <c r="BR159" s="5122"/>
      <c r="BS159" s="5122"/>
      <c r="BT159" s="5122"/>
      <c r="BU159" s="5122"/>
      <c r="BV159" s="5122"/>
      <c r="BW159" s="5122"/>
      <c r="BX159" s="5122"/>
      <c r="BY159" s="5122"/>
      <c r="BZ159" s="5122"/>
      <c r="CA159" s="5122"/>
      <c r="CB159" s="5122"/>
      <c r="CC159" s="3524"/>
      <c r="CD159" s="3524"/>
      <c r="CE159" s="5169"/>
      <c r="CF159" s="5169"/>
      <c r="CG159" s="5169"/>
      <c r="CH159" s="5169"/>
    </row>
    <row r="160" s="4972" customFormat="1" ht="32.5" customHeight="1" spans="1:86">
      <c r="A160" s="5130">
        <v>25</v>
      </c>
      <c r="B160" s="3662" t="s">
        <v>173</v>
      </c>
      <c r="C160" s="3662">
        <v>43665</v>
      </c>
      <c r="D160" s="5055" t="s">
        <v>468</v>
      </c>
      <c r="E160" s="5312" t="s">
        <v>113</v>
      </c>
      <c r="F160" s="5053" t="s">
        <v>469</v>
      </c>
      <c r="G160" s="5053" t="s">
        <v>470</v>
      </c>
      <c r="H160" s="5318" t="s">
        <v>116</v>
      </c>
      <c r="I160" s="5318"/>
      <c r="J160" s="5053" t="s">
        <v>300</v>
      </c>
      <c r="K160" s="3662"/>
      <c r="L160" s="5053" t="s">
        <v>456</v>
      </c>
      <c r="M160" s="3662">
        <f>SUM(N160:AA164)</f>
        <v>2700000</v>
      </c>
      <c r="N160" s="5328"/>
      <c r="O160" s="5328"/>
      <c r="P160" s="5328"/>
      <c r="Q160" s="5328">
        <v>2700000</v>
      </c>
      <c r="R160" s="5328"/>
      <c r="S160" s="5328"/>
      <c r="T160" s="5328"/>
      <c r="U160" s="5328"/>
      <c r="V160" s="5328"/>
      <c r="W160" s="5328">
        <v>0</v>
      </c>
      <c r="X160" s="5328">
        <v>0</v>
      </c>
      <c r="Y160" s="5328"/>
      <c r="Z160" s="5328"/>
      <c r="AA160" s="5328"/>
      <c r="AB160" s="5336" t="s">
        <v>471</v>
      </c>
      <c r="AC160" s="5053">
        <v>1</v>
      </c>
      <c r="AD160" s="5053" t="s">
        <v>472</v>
      </c>
      <c r="AE160" s="5115"/>
      <c r="AF160" s="3662">
        <v>1900000</v>
      </c>
      <c r="AG160" s="3662">
        <f t="shared" si="22"/>
        <v>700000</v>
      </c>
      <c r="AH160" s="5060" t="s">
        <v>473</v>
      </c>
      <c r="AI160" s="3684">
        <v>44126</v>
      </c>
      <c r="AJ160" s="3662">
        <v>700000</v>
      </c>
      <c r="AK160" s="3662">
        <v>44126</v>
      </c>
      <c r="AL160" s="3662">
        <v>700000</v>
      </c>
      <c r="AM160" s="3662">
        <v>44126</v>
      </c>
      <c r="AN160" s="3684">
        <f t="shared" si="23"/>
        <v>700000</v>
      </c>
      <c r="AO160" s="3684">
        <v>44165</v>
      </c>
      <c r="AP160" s="3662"/>
      <c r="AQ160" s="5127"/>
      <c r="AR160" s="3662"/>
      <c r="AS160" s="5134"/>
      <c r="AT160" s="5127"/>
      <c r="AU160" s="5312">
        <f>SUM(AG160:AG164)</f>
        <v>2700000</v>
      </c>
      <c r="AV160" s="5312">
        <f>SUM(AL160:AL164)</f>
        <v>2700000</v>
      </c>
      <c r="AW160" s="5312">
        <f>SUM(AN160:AN164)</f>
        <v>2700000</v>
      </c>
      <c r="AX160" s="5312">
        <f>M160-AU160</f>
        <v>0</v>
      </c>
      <c r="AY160" s="5312">
        <f>AU160-AV160</f>
        <v>0</v>
      </c>
      <c r="AZ160" s="5312">
        <f>AV160-AW160</f>
        <v>0</v>
      </c>
      <c r="BA160" s="5148"/>
      <c r="BB160" s="3684"/>
      <c r="BC160" s="3684"/>
      <c r="BD160" s="5148">
        <v>700000</v>
      </c>
      <c r="BE160" s="5148"/>
      <c r="BF160" s="5148"/>
      <c r="BG160" s="5148"/>
      <c r="BH160" s="3684"/>
      <c r="BI160" s="3684"/>
      <c r="BJ160" s="3684"/>
      <c r="BK160" s="3684"/>
      <c r="BL160" s="3684"/>
      <c r="BM160" s="3684"/>
      <c r="BN160" s="3684"/>
      <c r="BO160" s="5127"/>
      <c r="BP160" s="5127"/>
      <c r="BQ160" s="5127"/>
      <c r="BR160" s="5148">
        <v>700000</v>
      </c>
      <c r="BS160" s="5127"/>
      <c r="BT160" s="5127"/>
      <c r="BU160" s="5127"/>
      <c r="BV160" s="5127"/>
      <c r="BW160" s="5127"/>
      <c r="BX160" s="5127"/>
      <c r="BY160" s="5127"/>
      <c r="BZ160" s="5127"/>
      <c r="CA160" s="5127"/>
      <c r="CB160" s="5127"/>
      <c r="CC160" s="3662" t="s">
        <v>166</v>
      </c>
      <c r="CD160" s="3662" t="s">
        <v>154</v>
      </c>
      <c r="CE160" s="5170"/>
      <c r="CF160" s="5170"/>
      <c r="CG160" s="5170"/>
      <c r="CH160" s="5170"/>
    </row>
    <row r="161" s="4972" customFormat="1" ht="30" customHeight="1" spans="1:86">
      <c r="A161" s="5130"/>
      <c r="B161" s="3662"/>
      <c r="C161" s="3662"/>
      <c r="D161" s="5053"/>
      <c r="E161" s="5312"/>
      <c r="F161" s="5053"/>
      <c r="G161" s="5053"/>
      <c r="H161" s="5318"/>
      <c r="I161" s="5318"/>
      <c r="J161" s="5053"/>
      <c r="K161" s="3662"/>
      <c r="L161" s="5053"/>
      <c r="M161" s="3662"/>
      <c r="N161" s="5328"/>
      <c r="O161" s="5328"/>
      <c r="P161" s="5328"/>
      <c r="Q161" s="5328"/>
      <c r="R161" s="5328"/>
      <c r="S161" s="5328"/>
      <c r="T161" s="5328"/>
      <c r="U161" s="5328"/>
      <c r="V161" s="5328"/>
      <c r="W161" s="5328"/>
      <c r="X161" s="5328"/>
      <c r="Y161" s="5328"/>
      <c r="Z161" s="5328"/>
      <c r="AA161" s="5328"/>
      <c r="AB161" s="5336"/>
      <c r="AC161" s="5053"/>
      <c r="AD161" s="5053"/>
      <c r="AE161" s="5115"/>
      <c r="AF161" s="3662"/>
      <c r="AG161" s="3662">
        <f t="shared" si="22"/>
        <v>600000</v>
      </c>
      <c r="AH161" s="5060"/>
      <c r="AI161" s="3684"/>
      <c r="AJ161" s="3662">
        <v>600000</v>
      </c>
      <c r="AK161" s="3662"/>
      <c r="AL161" s="3662">
        <v>600000</v>
      </c>
      <c r="AM161" s="3662">
        <v>44326</v>
      </c>
      <c r="AN161" s="3684">
        <f t="shared" si="23"/>
        <v>600000</v>
      </c>
      <c r="AO161" s="3684">
        <v>44343</v>
      </c>
      <c r="AP161" s="3662"/>
      <c r="AQ161" s="5127"/>
      <c r="AR161" s="3662"/>
      <c r="AS161" s="5134"/>
      <c r="AT161" s="5127"/>
      <c r="AU161" s="5312"/>
      <c r="AV161" s="5312"/>
      <c r="AW161" s="5312"/>
      <c r="AX161" s="5312"/>
      <c r="AY161" s="5312"/>
      <c r="AZ161" s="5312"/>
      <c r="BA161" s="5148"/>
      <c r="BB161" s="3684"/>
      <c r="BC161" s="3684"/>
      <c r="BD161" s="5148">
        <v>600000</v>
      </c>
      <c r="BE161" s="5148"/>
      <c r="BF161" s="5148"/>
      <c r="BG161" s="5148"/>
      <c r="BH161" s="3684"/>
      <c r="BI161" s="3684"/>
      <c r="BJ161" s="3684"/>
      <c r="BK161" s="3684"/>
      <c r="BL161" s="3684"/>
      <c r="BM161" s="3684"/>
      <c r="BN161" s="3684"/>
      <c r="BO161" s="5148"/>
      <c r="BP161" s="5148"/>
      <c r="BQ161" s="5148"/>
      <c r="BR161" s="5148">
        <v>600000</v>
      </c>
      <c r="BS161" s="5148"/>
      <c r="BT161" s="5148"/>
      <c r="BU161" s="5148"/>
      <c r="BV161" s="5148"/>
      <c r="BW161" s="5148"/>
      <c r="BX161" s="5148"/>
      <c r="BY161" s="5148"/>
      <c r="BZ161" s="5148"/>
      <c r="CA161" s="5148"/>
      <c r="CB161" s="5148"/>
      <c r="CC161" s="3662"/>
      <c r="CD161" s="3662"/>
      <c r="CE161" s="5170"/>
      <c r="CF161" s="5170"/>
      <c r="CG161" s="5170"/>
      <c r="CH161" s="5170"/>
    </row>
    <row r="162" s="4972" customFormat="1" ht="37.5" customHeight="1" spans="1:86">
      <c r="A162" s="5130"/>
      <c r="B162" s="3662"/>
      <c r="C162" s="3662"/>
      <c r="D162" s="5053"/>
      <c r="E162" s="5312"/>
      <c r="F162" s="5053"/>
      <c r="G162" s="5053"/>
      <c r="H162" s="5318"/>
      <c r="I162" s="5318"/>
      <c r="J162" s="5053"/>
      <c r="K162" s="3662"/>
      <c r="L162" s="5053"/>
      <c r="M162" s="3662"/>
      <c r="N162" s="5328"/>
      <c r="O162" s="5328"/>
      <c r="P162" s="5328"/>
      <c r="Q162" s="5328"/>
      <c r="R162" s="5328"/>
      <c r="S162" s="5328"/>
      <c r="T162" s="5328"/>
      <c r="U162" s="5328"/>
      <c r="V162" s="5328"/>
      <c r="W162" s="5328"/>
      <c r="X162" s="5328"/>
      <c r="Y162" s="5328"/>
      <c r="Z162" s="5328"/>
      <c r="AA162" s="5328"/>
      <c r="AB162" s="5336"/>
      <c r="AC162" s="5053"/>
      <c r="AD162" s="5053"/>
      <c r="AE162" s="5115"/>
      <c r="AF162" s="3662"/>
      <c r="AG162" s="3662">
        <f t="shared" si="22"/>
        <v>600000</v>
      </c>
      <c r="AH162" s="5060"/>
      <c r="AI162" s="3684"/>
      <c r="AJ162" s="3662">
        <v>600000</v>
      </c>
      <c r="AK162" s="3662"/>
      <c r="AL162" s="3662">
        <v>600000</v>
      </c>
      <c r="AM162" s="3662">
        <v>44478</v>
      </c>
      <c r="AN162" s="3684">
        <f t="shared" si="23"/>
        <v>600000</v>
      </c>
      <c r="AO162" s="5055">
        <v>44516</v>
      </c>
      <c r="AP162" s="3662"/>
      <c r="AQ162" s="5127"/>
      <c r="AR162" s="3662"/>
      <c r="AS162" s="5134"/>
      <c r="AT162" s="5127"/>
      <c r="AU162" s="5312"/>
      <c r="AV162" s="5312"/>
      <c r="AW162" s="5312"/>
      <c r="AX162" s="5312"/>
      <c r="AY162" s="5312"/>
      <c r="AZ162" s="5312"/>
      <c r="BA162" s="5148"/>
      <c r="BB162" s="3684"/>
      <c r="BC162" s="3684"/>
      <c r="BD162" s="5148">
        <v>600000</v>
      </c>
      <c r="BE162" s="5148"/>
      <c r="BF162" s="5148"/>
      <c r="BG162" s="5148"/>
      <c r="BH162" s="3684"/>
      <c r="BI162" s="3684"/>
      <c r="BJ162" s="3684"/>
      <c r="BK162" s="3684"/>
      <c r="BL162" s="3684"/>
      <c r="BM162" s="3684"/>
      <c r="BN162" s="3684"/>
      <c r="BO162" s="5127"/>
      <c r="BP162" s="5127"/>
      <c r="BQ162" s="5127"/>
      <c r="BR162" s="5148">
        <v>600000</v>
      </c>
      <c r="BS162" s="5127"/>
      <c r="BT162" s="5127"/>
      <c r="BU162" s="5127"/>
      <c r="BV162" s="5127"/>
      <c r="BW162" s="5127"/>
      <c r="BX162" s="5127"/>
      <c r="BY162" s="5127"/>
      <c r="BZ162" s="5127"/>
      <c r="CA162" s="5127"/>
      <c r="CB162" s="5127"/>
      <c r="CC162" s="3662"/>
      <c r="CD162" s="3662"/>
      <c r="CE162" s="5170"/>
      <c r="CF162" s="5170"/>
      <c r="CG162" s="5170"/>
      <c r="CH162" s="5170"/>
    </row>
    <row r="163" s="4972" customFormat="1" ht="61" customHeight="1" spans="1:86">
      <c r="A163" s="5130"/>
      <c r="B163" s="3662"/>
      <c r="C163" s="3662"/>
      <c r="D163" s="5053"/>
      <c r="E163" s="5312"/>
      <c r="F163" s="5053"/>
      <c r="G163" s="5053"/>
      <c r="H163" s="5318"/>
      <c r="I163" s="5318"/>
      <c r="J163" s="5053"/>
      <c r="K163" s="3662"/>
      <c r="L163" s="5053"/>
      <c r="M163" s="3662"/>
      <c r="N163" s="5328"/>
      <c r="O163" s="5328"/>
      <c r="P163" s="5328"/>
      <c r="Q163" s="5328"/>
      <c r="R163" s="5328"/>
      <c r="S163" s="5328"/>
      <c r="T163" s="5328"/>
      <c r="U163" s="5328"/>
      <c r="V163" s="5328"/>
      <c r="W163" s="5328"/>
      <c r="X163" s="5328"/>
      <c r="Y163" s="5328"/>
      <c r="Z163" s="5328"/>
      <c r="AA163" s="5328"/>
      <c r="AB163" s="5336"/>
      <c r="AC163" s="5053">
        <v>2</v>
      </c>
      <c r="AD163" s="5053" t="s">
        <v>474</v>
      </c>
      <c r="AE163" s="5115"/>
      <c r="AF163" s="3662">
        <v>400000</v>
      </c>
      <c r="AG163" s="3662">
        <f t="shared" si="22"/>
        <v>400000</v>
      </c>
      <c r="AH163" s="5060" t="s">
        <v>473</v>
      </c>
      <c r="AI163" s="3684">
        <v>44185</v>
      </c>
      <c r="AJ163" s="3684">
        <f>SUM(BD163:BQ163)</f>
        <v>400000</v>
      </c>
      <c r="AK163" s="3684">
        <v>44185</v>
      </c>
      <c r="AL163" s="3662">
        <v>400000</v>
      </c>
      <c r="AM163" s="3662">
        <v>44478</v>
      </c>
      <c r="AN163" s="3684">
        <f t="shared" si="23"/>
        <v>400000</v>
      </c>
      <c r="AO163" s="3684">
        <v>44516</v>
      </c>
      <c r="AP163" s="3662"/>
      <c r="AQ163" s="5127"/>
      <c r="AR163" s="3662"/>
      <c r="AS163" s="5134"/>
      <c r="AT163" s="5127"/>
      <c r="AU163" s="5312"/>
      <c r="AV163" s="5312"/>
      <c r="AW163" s="5312"/>
      <c r="AX163" s="5312"/>
      <c r="AY163" s="5312"/>
      <c r="AZ163" s="5312"/>
      <c r="BA163" s="5148"/>
      <c r="BB163" s="3684"/>
      <c r="BC163" s="3684"/>
      <c r="BD163" s="5148">
        <v>400000</v>
      </c>
      <c r="BE163" s="5148"/>
      <c r="BF163" s="5148"/>
      <c r="BG163" s="5148"/>
      <c r="BH163" s="3684"/>
      <c r="BI163" s="3684"/>
      <c r="BJ163" s="3684"/>
      <c r="BK163" s="3684"/>
      <c r="BL163" s="3684"/>
      <c r="BM163" s="3684"/>
      <c r="BN163" s="3684"/>
      <c r="BO163" s="5164"/>
      <c r="BP163" s="5164"/>
      <c r="BQ163" s="5164"/>
      <c r="BR163" s="5148">
        <v>400000</v>
      </c>
      <c r="BS163" s="5164"/>
      <c r="BT163" s="5164"/>
      <c r="BU163" s="5164"/>
      <c r="BV163" s="5164"/>
      <c r="BW163" s="5164"/>
      <c r="BX163" s="5164"/>
      <c r="BY163" s="5164"/>
      <c r="BZ163" s="5164"/>
      <c r="CA163" s="5164"/>
      <c r="CB163" s="5164"/>
      <c r="CC163" s="3662"/>
      <c r="CD163" s="3662"/>
      <c r="CE163" s="5170"/>
      <c r="CF163" s="5170"/>
      <c r="CG163" s="5170"/>
      <c r="CH163" s="5170"/>
    </row>
    <row r="164" s="4972" customFormat="1" ht="83.35" customHeight="1" spans="1:86">
      <c r="A164" s="5130"/>
      <c r="B164" s="3662"/>
      <c r="C164" s="3662"/>
      <c r="D164" s="5053"/>
      <c r="E164" s="5312"/>
      <c r="F164" s="5053"/>
      <c r="G164" s="5053"/>
      <c r="H164" s="5318"/>
      <c r="I164" s="5318"/>
      <c r="J164" s="5053"/>
      <c r="K164" s="3662"/>
      <c r="L164" s="5053"/>
      <c r="M164" s="3662"/>
      <c r="N164" s="5328"/>
      <c r="O164" s="5328"/>
      <c r="P164" s="5328"/>
      <c r="Q164" s="5328"/>
      <c r="R164" s="5328"/>
      <c r="S164" s="5328"/>
      <c r="T164" s="5328"/>
      <c r="U164" s="5328"/>
      <c r="V164" s="5328"/>
      <c r="W164" s="5328"/>
      <c r="X164" s="5328"/>
      <c r="Y164" s="5328"/>
      <c r="Z164" s="5328"/>
      <c r="AA164" s="5328"/>
      <c r="AB164" s="5336"/>
      <c r="AC164" s="5053">
        <v>3</v>
      </c>
      <c r="AD164" s="5341" t="s">
        <v>475</v>
      </c>
      <c r="AE164" s="5115"/>
      <c r="AF164" s="3662">
        <v>400000</v>
      </c>
      <c r="AG164" s="3662">
        <f t="shared" si="22"/>
        <v>400000</v>
      </c>
      <c r="AH164" s="5060" t="s">
        <v>473</v>
      </c>
      <c r="AI164" s="3684">
        <v>44185</v>
      </c>
      <c r="AJ164" s="3684">
        <f>SUM(BD164:BQ164)</f>
        <v>400000</v>
      </c>
      <c r="AK164" s="3684">
        <v>44185</v>
      </c>
      <c r="AL164" s="3662">
        <v>400000</v>
      </c>
      <c r="AM164" s="3662">
        <v>44478</v>
      </c>
      <c r="AN164" s="3684">
        <f t="shared" si="23"/>
        <v>400000</v>
      </c>
      <c r="AO164" s="3684">
        <v>44516</v>
      </c>
      <c r="AP164" s="3662"/>
      <c r="AQ164" s="5127"/>
      <c r="AR164" s="3662"/>
      <c r="AS164" s="5134"/>
      <c r="AT164" s="5127"/>
      <c r="AU164" s="5312"/>
      <c r="AV164" s="5312"/>
      <c r="AW164" s="5312"/>
      <c r="AX164" s="5312"/>
      <c r="AY164" s="5312"/>
      <c r="AZ164" s="5312"/>
      <c r="BA164" s="5148"/>
      <c r="BB164" s="3684"/>
      <c r="BC164" s="3684"/>
      <c r="BD164" s="5148">
        <v>400000</v>
      </c>
      <c r="BE164" s="5148"/>
      <c r="BF164" s="5148"/>
      <c r="BG164" s="5148"/>
      <c r="BH164" s="3684"/>
      <c r="BI164" s="3684"/>
      <c r="BJ164" s="3684"/>
      <c r="BK164" s="3684"/>
      <c r="BL164" s="3684"/>
      <c r="BM164" s="3684"/>
      <c r="BN164" s="3684"/>
      <c r="BO164" s="5127"/>
      <c r="BP164" s="5127"/>
      <c r="BQ164" s="5127"/>
      <c r="BR164" s="5148">
        <v>400000</v>
      </c>
      <c r="BS164" s="5127"/>
      <c r="BT164" s="5127"/>
      <c r="BU164" s="5127"/>
      <c r="BV164" s="5127"/>
      <c r="BW164" s="5127"/>
      <c r="BX164" s="5127"/>
      <c r="BY164" s="5127"/>
      <c r="BZ164" s="5127"/>
      <c r="CA164" s="5127"/>
      <c r="CB164" s="5127"/>
      <c r="CC164" s="3662"/>
      <c r="CD164" s="3662"/>
      <c r="CE164" s="5170"/>
      <c r="CF164" s="5170"/>
      <c r="CG164" s="5170"/>
      <c r="CH164" s="5170"/>
    </row>
    <row r="165" s="4972" customFormat="1" ht="61" customHeight="1" spans="1:86">
      <c r="A165" s="5312">
        <v>26</v>
      </c>
      <c r="B165" s="5312" t="s">
        <v>173</v>
      </c>
      <c r="C165" s="5127">
        <v>43165</v>
      </c>
      <c r="D165" s="5134" t="s">
        <v>476</v>
      </c>
      <c r="E165" s="5312" t="s">
        <v>113</v>
      </c>
      <c r="F165" s="5134" t="s">
        <v>477</v>
      </c>
      <c r="G165" s="5134" t="s">
        <v>478</v>
      </c>
      <c r="H165" s="5053" t="s">
        <v>286</v>
      </c>
      <c r="I165" s="5053"/>
      <c r="J165" s="5134" t="s">
        <v>479</v>
      </c>
      <c r="K165" s="5127" t="s">
        <v>480</v>
      </c>
      <c r="L165" s="5127" t="s">
        <v>481</v>
      </c>
      <c r="M165" s="3662">
        <v>350000</v>
      </c>
      <c r="N165" s="5329"/>
      <c r="O165" s="5329"/>
      <c r="P165" s="5329">
        <v>100000</v>
      </c>
      <c r="Q165" s="5329">
        <v>250000</v>
      </c>
      <c r="R165" s="5329"/>
      <c r="S165" s="5329"/>
      <c r="T165" s="5329"/>
      <c r="U165" s="5329"/>
      <c r="V165" s="5329"/>
      <c r="W165" s="5334">
        <v>0</v>
      </c>
      <c r="X165" s="5334">
        <v>0</v>
      </c>
      <c r="Y165" s="5334"/>
      <c r="Z165" s="5334"/>
      <c r="AA165" s="5329"/>
      <c r="AB165" s="5329"/>
      <c r="AC165" s="3662">
        <v>1</v>
      </c>
      <c r="AD165" s="5053" t="s">
        <v>482</v>
      </c>
      <c r="AE165" s="5115">
        <v>1</v>
      </c>
      <c r="AF165" s="3662">
        <v>350000</v>
      </c>
      <c r="AG165" s="3662">
        <f t="shared" si="22"/>
        <v>350000</v>
      </c>
      <c r="AH165" s="3662" t="s">
        <v>206</v>
      </c>
      <c r="AI165" s="3662">
        <v>43434</v>
      </c>
      <c r="AJ165" s="3662" t="s">
        <v>171</v>
      </c>
      <c r="AK165" s="3662" t="s">
        <v>171</v>
      </c>
      <c r="AL165" s="3662">
        <v>350000</v>
      </c>
      <c r="AM165" s="3662">
        <v>43495</v>
      </c>
      <c r="AN165" s="3662">
        <f t="shared" si="23"/>
        <v>350000</v>
      </c>
      <c r="AO165" s="3662">
        <v>43291</v>
      </c>
      <c r="AP165" s="3662">
        <f t="shared" ref="AP165:AP170" si="25">AG165-AN165</f>
        <v>0</v>
      </c>
      <c r="AQ165" s="5134" t="s">
        <v>483</v>
      </c>
      <c r="AR165" s="3662"/>
      <c r="AS165" s="5134"/>
      <c r="AT165" s="5127"/>
      <c r="AU165" s="5127">
        <f>SUM(AG165)</f>
        <v>350000</v>
      </c>
      <c r="AV165" s="5127">
        <f>SUM(AL165)</f>
        <v>350000</v>
      </c>
      <c r="AW165" s="5127">
        <f>SUM(AN165)</f>
        <v>350000</v>
      </c>
      <c r="AX165" s="5127">
        <f>M165-AU165</f>
        <v>0</v>
      </c>
      <c r="AY165" s="5127">
        <f>AU165-AV165</f>
        <v>0</v>
      </c>
      <c r="AZ165" s="5127">
        <f>AV165-AW165</f>
        <v>0</v>
      </c>
      <c r="BA165" s="5148"/>
      <c r="BB165" s="3684"/>
      <c r="BC165" s="3684">
        <v>100000</v>
      </c>
      <c r="BD165" s="5148">
        <v>250000</v>
      </c>
      <c r="BE165" s="5148"/>
      <c r="BF165" s="5148"/>
      <c r="BG165" s="5148"/>
      <c r="BH165" s="3684"/>
      <c r="BI165" s="3684"/>
      <c r="BJ165" s="3684"/>
      <c r="BK165" s="3684"/>
      <c r="BL165" s="3684"/>
      <c r="BM165" s="3684"/>
      <c r="BN165" s="3684"/>
      <c r="BO165" s="5127"/>
      <c r="BP165" s="5127"/>
      <c r="BQ165" s="3662">
        <v>100000</v>
      </c>
      <c r="BR165" s="5127">
        <v>250000</v>
      </c>
      <c r="BS165" s="5127"/>
      <c r="BT165" s="5127"/>
      <c r="BU165" s="5127"/>
      <c r="BV165" s="5127"/>
      <c r="BW165" s="5127"/>
      <c r="BX165" s="5127"/>
      <c r="BY165" s="5127"/>
      <c r="BZ165" s="5127"/>
      <c r="CA165" s="5127"/>
      <c r="CB165" s="5127"/>
      <c r="CC165" s="3662" t="s">
        <v>166</v>
      </c>
      <c r="CD165" s="3662" t="s">
        <v>154</v>
      </c>
      <c r="CE165" s="5170"/>
      <c r="CF165" s="5170"/>
      <c r="CG165" s="5170"/>
      <c r="CH165" s="5170"/>
    </row>
    <row r="166" s="4965" customFormat="1" ht="137" spans="1:86">
      <c r="A166" s="5130">
        <v>27</v>
      </c>
      <c r="B166" s="5130" t="s">
        <v>173</v>
      </c>
      <c r="C166" s="3524">
        <v>43180</v>
      </c>
      <c r="D166" s="3524" t="s">
        <v>484</v>
      </c>
      <c r="E166" s="5130" t="s">
        <v>113</v>
      </c>
      <c r="F166" s="5137" t="s">
        <v>477</v>
      </c>
      <c r="G166" s="5137" t="s">
        <v>485</v>
      </c>
      <c r="H166" s="3524" t="s">
        <v>286</v>
      </c>
      <c r="I166" s="1032" t="s">
        <v>486</v>
      </c>
      <c r="J166" s="5137" t="s">
        <v>194</v>
      </c>
      <c r="K166" s="3524" t="s">
        <v>487</v>
      </c>
      <c r="L166" s="5122" t="s">
        <v>481</v>
      </c>
      <c r="M166" s="3524">
        <f>SUM(N166:AA166)</f>
        <v>400000</v>
      </c>
      <c r="N166" s="5330"/>
      <c r="O166" s="5330"/>
      <c r="P166" s="5330">
        <v>200000</v>
      </c>
      <c r="Q166" s="5330">
        <v>200000</v>
      </c>
      <c r="R166" s="5330"/>
      <c r="S166" s="5330"/>
      <c r="T166" s="5330"/>
      <c r="U166" s="5330"/>
      <c r="V166" s="5330"/>
      <c r="W166" s="5085">
        <v>0</v>
      </c>
      <c r="X166" s="5085">
        <v>0</v>
      </c>
      <c r="Y166" s="5085"/>
      <c r="Z166" s="5085"/>
      <c r="AA166" s="5330"/>
      <c r="AB166" s="5330"/>
      <c r="AC166" s="3524">
        <v>1</v>
      </c>
      <c r="AD166" s="5129" t="s">
        <v>488</v>
      </c>
      <c r="AE166" s="5117"/>
      <c r="AF166" s="3524"/>
      <c r="AG166" s="3524">
        <f t="shared" si="22"/>
        <v>0</v>
      </c>
      <c r="AH166" s="5346"/>
      <c r="AI166" s="3524"/>
      <c r="AJ166" s="3524"/>
      <c r="AK166" s="5122"/>
      <c r="AL166" s="3524"/>
      <c r="AM166" s="3524"/>
      <c r="AN166" s="3524">
        <f t="shared" si="23"/>
        <v>0</v>
      </c>
      <c r="AO166" s="3524"/>
      <c r="AP166" s="3524">
        <f t="shared" si="25"/>
        <v>0</v>
      </c>
      <c r="AQ166" s="5256" t="s">
        <v>489</v>
      </c>
      <c r="AR166" s="3524"/>
      <c r="AS166" s="5137"/>
      <c r="AT166" s="5122"/>
      <c r="AU166" s="5330">
        <f>SUM(AG166)</f>
        <v>0</v>
      </c>
      <c r="AV166" s="5330">
        <f>SUM(AL166)</f>
        <v>0</v>
      </c>
      <c r="AW166" s="5330">
        <f>SUM(AN166)</f>
        <v>0</v>
      </c>
      <c r="AX166" s="5330">
        <f>M166-AU166</f>
        <v>400000</v>
      </c>
      <c r="AY166" s="5330">
        <f>AU166-AV166</f>
        <v>0</v>
      </c>
      <c r="AZ166" s="5330">
        <f>AV166-AW166</f>
        <v>0</v>
      </c>
      <c r="BA166" s="5122"/>
      <c r="BB166" s="3524"/>
      <c r="BC166" s="3524"/>
      <c r="BD166" s="5122"/>
      <c r="BE166" s="5122"/>
      <c r="BF166" s="5122"/>
      <c r="BG166" s="5122"/>
      <c r="BH166" s="3524"/>
      <c r="BI166" s="3524"/>
      <c r="BJ166" s="3524"/>
      <c r="BK166" s="3524"/>
      <c r="BL166" s="3524"/>
      <c r="BM166" s="3524"/>
      <c r="BN166" s="3524"/>
      <c r="BO166" s="5122"/>
      <c r="BP166" s="5122"/>
      <c r="BQ166" s="5122"/>
      <c r="BR166" s="5122"/>
      <c r="BS166" s="5122"/>
      <c r="BT166" s="5122"/>
      <c r="BU166" s="5122"/>
      <c r="BV166" s="5122"/>
      <c r="BW166" s="5122"/>
      <c r="BX166" s="5122"/>
      <c r="BY166" s="5122"/>
      <c r="BZ166" s="5122"/>
      <c r="CA166" s="5122"/>
      <c r="CB166" s="5122"/>
      <c r="CC166" s="3524" t="s">
        <v>166</v>
      </c>
      <c r="CD166" s="3524" t="s">
        <v>154</v>
      </c>
      <c r="CE166" s="5169"/>
      <c r="CF166" s="5169"/>
      <c r="CG166" s="5169"/>
      <c r="CH166" s="5169"/>
    </row>
    <row r="167" s="4972" customFormat="1" ht="61" customHeight="1" spans="1:86">
      <c r="A167" s="5312">
        <v>29</v>
      </c>
      <c r="B167" s="3662" t="s">
        <v>173</v>
      </c>
      <c r="C167" s="5127">
        <v>43458</v>
      </c>
      <c r="D167" s="5134" t="s">
        <v>490</v>
      </c>
      <c r="E167" s="5312" t="s">
        <v>113</v>
      </c>
      <c r="F167" s="5134" t="s">
        <v>491</v>
      </c>
      <c r="G167" s="5134" t="s">
        <v>492</v>
      </c>
      <c r="H167" s="3662" t="s">
        <v>286</v>
      </c>
      <c r="I167" s="3662"/>
      <c r="J167" s="5319" t="s">
        <v>177</v>
      </c>
      <c r="K167" s="3662" t="s">
        <v>493</v>
      </c>
      <c r="L167" s="3662" t="s">
        <v>481</v>
      </c>
      <c r="M167" s="3662">
        <f>SUM(N167:AA167)</f>
        <v>300000</v>
      </c>
      <c r="N167" s="5331"/>
      <c r="O167" s="5331"/>
      <c r="P167" s="5331">
        <v>300000</v>
      </c>
      <c r="Q167" s="5331"/>
      <c r="R167" s="5331"/>
      <c r="S167" s="5331"/>
      <c r="T167" s="5331"/>
      <c r="U167" s="5331"/>
      <c r="V167" s="5331"/>
      <c r="W167" s="2680">
        <v>0</v>
      </c>
      <c r="X167" s="2680">
        <v>0</v>
      </c>
      <c r="Y167" s="2680"/>
      <c r="Z167" s="2680"/>
      <c r="AA167" s="5331"/>
      <c r="AB167" s="5331"/>
      <c r="AC167" s="3662">
        <v>1</v>
      </c>
      <c r="AD167" s="5053" t="s">
        <v>494</v>
      </c>
      <c r="AE167" s="5342">
        <v>1</v>
      </c>
      <c r="AF167" s="3662">
        <v>300000</v>
      </c>
      <c r="AG167" s="3662">
        <f t="shared" si="22"/>
        <v>300000</v>
      </c>
      <c r="AH167" s="3662" t="s">
        <v>206</v>
      </c>
      <c r="AI167" s="3662">
        <v>43600</v>
      </c>
      <c r="AJ167" s="3662" t="s">
        <v>171</v>
      </c>
      <c r="AK167" s="3662" t="s">
        <v>171</v>
      </c>
      <c r="AL167" s="3662">
        <v>300000</v>
      </c>
      <c r="AM167" s="3662">
        <v>43600</v>
      </c>
      <c r="AN167" s="3662">
        <f t="shared" si="23"/>
        <v>300000</v>
      </c>
      <c r="AO167" s="3662">
        <v>43657</v>
      </c>
      <c r="AP167" s="3662">
        <f t="shared" si="25"/>
        <v>0</v>
      </c>
      <c r="AQ167" s="5127"/>
      <c r="AR167" s="3662"/>
      <c r="AS167" s="5134"/>
      <c r="AT167" s="5127"/>
      <c r="AU167" s="5127">
        <f>SUM(AG167)</f>
        <v>300000</v>
      </c>
      <c r="AV167" s="5127">
        <f>SUM(AL167)</f>
        <v>300000</v>
      </c>
      <c r="AW167" s="5127">
        <f>SUM(AN167)</f>
        <v>300000</v>
      </c>
      <c r="AX167" s="5127">
        <f>M167-AU167</f>
        <v>0</v>
      </c>
      <c r="AY167" s="5127">
        <f>AU167-AV167</f>
        <v>0</v>
      </c>
      <c r="AZ167" s="5127">
        <f>AV167-AW167</f>
        <v>0</v>
      </c>
      <c r="BA167" s="5148"/>
      <c r="BB167" s="3684"/>
      <c r="BC167" s="3684">
        <v>300000</v>
      </c>
      <c r="BD167" s="5148"/>
      <c r="BE167" s="5148"/>
      <c r="BF167" s="5148"/>
      <c r="BG167" s="5148"/>
      <c r="BH167" s="3684"/>
      <c r="BI167" s="3684"/>
      <c r="BJ167" s="3684"/>
      <c r="BK167" s="3684"/>
      <c r="BL167" s="3684"/>
      <c r="BM167" s="3684"/>
      <c r="BN167" s="3684"/>
      <c r="BO167" s="5127"/>
      <c r="BP167" s="5127"/>
      <c r="BQ167" s="5127">
        <v>300000</v>
      </c>
      <c r="BR167" s="5127"/>
      <c r="BS167" s="5127"/>
      <c r="BT167" s="5127"/>
      <c r="BU167" s="5127"/>
      <c r="BV167" s="5127"/>
      <c r="BW167" s="5127"/>
      <c r="BX167" s="5127"/>
      <c r="BY167" s="5127"/>
      <c r="BZ167" s="5127"/>
      <c r="CA167" s="5127"/>
      <c r="CB167" s="5127"/>
      <c r="CC167" s="3662" t="s">
        <v>166</v>
      </c>
      <c r="CD167" s="3662" t="s">
        <v>154</v>
      </c>
      <c r="CE167" s="5170"/>
      <c r="CF167" s="5170"/>
      <c r="CG167" s="5170"/>
      <c r="CH167" s="5170"/>
    </row>
    <row r="168" s="4972" customFormat="1" ht="61" customHeight="1" spans="1:86">
      <c r="A168" s="5313">
        <v>30</v>
      </c>
      <c r="B168" s="3662" t="s">
        <v>159</v>
      </c>
      <c r="C168" s="3662">
        <v>43111</v>
      </c>
      <c r="D168" s="5053" t="s">
        <v>495</v>
      </c>
      <c r="E168" s="5312" t="s">
        <v>113</v>
      </c>
      <c r="F168" s="5053" t="s">
        <v>496</v>
      </c>
      <c r="G168" s="5053" t="s">
        <v>497</v>
      </c>
      <c r="H168" s="3662" t="s">
        <v>31</v>
      </c>
      <c r="I168" s="3744"/>
      <c r="J168" s="5053" t="s">
        <v>498</v>
      </c>
      <c r="K168" s="3662">
        <v>226728.25</v>
      </c>
      <c r="L168" s="5053" t="s">
        <v>499</v>
      </c>
      <c r="M168" s="3662">
        <f>SUM(N168:AA170)</f>
        <v>1133641</v>
      </c>
      <c r="N168" s="5332"/>
      <c r="O168" s="5332"/>
      <c r="P168" s="5332"/>
      <c r="Q168" s="5332"/>
      <c r="R168" s="5332"/>
      <c r="S168" s="5332"/>
      <c r="T168" s="5332"/>
      <c r="U168" s="5332">
        <v>1133641</v>
      </c>
      <c r="V168" s="5332"/>
      <c r="W168" s="5332">
        <v>0</v>
      </c>
      <c r="X168" s="5332">
        <v>0</v>
      </c>
      <c r="Y168" s="5332"/>
      <c r="Z168" s="5332"/>
      <c r="AA168" s="5332"/>
      <c r="AB168" s="5332"/>
      <c r="AC168" s="3662">
        <v>1</v>
      </c>
      <c r="AD168" s="5053" t="s">
        <v>500</v>
      </c>
      <c r="AE168" s="5115">
        <v>0.2</v>
      </c>
      <c r="AF168" s="3662">
        <f>AE168*M168</f>
        <v>226728.2</v>
      </c>
      <c r="AG168" s="3662">
        <f t="shared" si="22"/>
        <v>226231</v>
      </c>
      <c r="AH168" s="3662" t="s">
        <v>206</v>
      </c>
      <c r="AI168" s="3662">
        <v>43595</v>
      </c>
      <c r="AJ168" s="3662" t="s">
        <v>171</v>
      </c>
      <c r="AK168" s="3662" t="s">
        <v>171</v>
      </c>
      <c r="AL168" s="3662">
        <v>226231</v>
      </c>
      <c r="AM168" s="3662">
        <v>43595</v>
      </c>
      <c r="AN168" s="3662">
        <f t="shared" si="23"/>
        <v>226231</v>
      </c>
      <c r="AO168" s="3662">
        <v>43728</v>
      </c>
      <c r="AP168" s="3662">
        <f t="shared" si="25"/>
        <v>0</v>
      </c>
      <c r="AQ168" s="5134" t="s">
        <v>501</v>
      </c>
      <c r="AR168" s="3814" t="s">
        <v>128</v>
      </c>
      <c r="AS168" s="5134"/>
      <c r="AT168" s="5127"/>
      <c r="AU168" s="3662">
        <f>SUM(AG168:AG171)</f>
        <v>1131153</v>
      </c>
      <c r="AV168" s="3662">
        <f>SUM(AL168:AL171)</f>
        <v>1131153</v>
      </c>
      <c r="AW168" s="3662">
        <f>SUM(AN168:AN171)</f>
        <v>1131153</v>
      </c>
      <c r="AX168" s="3662">
        <f>M168-AU168</f>
        <v>2488</v>
      </c>
      <c r="AY168" s="3662">
        <f>AU168-AV168</f>
        <v>0</v>
      </c>
      <c r="AZ168" s="3662">
        <f>AV168-AW168</f>
        <v>0</v>
      </c>
      <c r="BA168" s="5148"/>
      <c r="BB168" s="3684"/>
      <c r="BC168" s="3684"/>
      <c r="BD168" s="5148"/>
      <c r="BE168" s="5148"/>
      <c r="BF168" s="5148"/>
      <c r="BG168" s="5148"/>
      <c r="BH168" s="3684">
        <v>226231</v>
      </c>
      <c r="BI168" s="3684"/>
      <c r="BJ168" s="3684"/>
      <c r="BK168" s="3684"/>
      <c r="BL168" s="3684"/>
      <c r="BM168" s="3684"/>
      <c r="BN168" s="3684"/>
      <c r="BO168" s="5127"/>
      <c r="BP168" s="5127"/>
      <c r="BQ168" s="5127"/>
      <c r="BR168" s="5127"/>
      <c r="BS168" s="5127"/>
      <c r="BT168" s="5127"/>
      <c r="BU168" s="5127"/>
      <c r="BV168" s="3662">
        <v>226231</v>
      </c>
      <c r="BW168" s="5127"/>
      <c r="BX168" s="5127"/>
      <c r="BY168" s="5127"/>
      <c r="BZ168" s="5127"/>
      <c r="CA168" s="5127"/>
      <c r="CB168" s="5127"/>
      <c r="CC168" s="5312" t="s">
        <v>166</v>
      </c>
      <c r="CD168" s="5312" t="s">
        <v>154</v>
      </c>
      <c r="CE168" s="5170"/>
      <c r="CF168" s="5170"/>
      <c r="CG168" s="5170"/>
      <c r="CH168" s="5170"/>
    </row>
    <row r="169" s="4972" customFormat="1" ht="61" customHeight="1" spans="1:86">
      <c r="A169" s="5313"/>
      <c r="B169" s="3662"/>
      <c r="C169" s="3662"/>
      <c r="D169" s="5053"/>
      <c r="E169" s="5312"/>
      <c r="F169" s="5053"/>
      <c r="G169" s="5053"/>
      <c r="H169" s="3662"/>
      <c r="I169" s="3666"/>
      <c r="J169" s="5053"/>
      <c r="K169" s="3662"/>
      <c r="L169" s="5053"/>
      <c r="M169" s="3662"/>
      <c r="N169" s="5332"/>
      <c r="O169" s="5332"/>
      <c r="P169" s="5332"/>
      <c r="Q169" s="5332"/>
      <c r="R169" s="5332"/>
      <c r="S169" s="5332"/>
      <c r="T169" s="5332"/>
      <c r="U169" s="5332"/>
      <c r="V169" s="5332"/>
      <c r="W169" s="5332"/>
      <c r="X169" s="5332"/>
      <c r="Y169" s="5332"/>
      <c r="Z169" s="5332"/>
      <c r="AA169" s="5332"/>
      <c r="AB169" s="5332"/>
      <c r="AC169" s="3662">
        <v>2</v>
      </c>
      <c r="AD169" s="5053" t="s">
        <v>502</v>
      </c>
      <c r="AE169" s="5115">
        <v>0.6</v>
      </c>
      <c r="AF169" s="3662">
        <f>AE169*M168</f>
        <v>680184.6</v>
      </c>
      <c r="AG169" s="3662">
        <f t="shared" si="22"/>
        <v>678693</v>
      </c>
      <c r="AH169" s="3662" t="s">
        <v>206</v>
      </c>
      <c r="AI169" s="3662">
        <v>43595</v>
      </c>
      <c r="AJ169" s="3662" t="s">
        <v>171</v>
      </c>
      <c r="AK169" s="3662" t="s">
        <v>171</v>
      </c>
      <c r="AL169" s="3662">
        <v>678693</v>
      </c>
      <c r="AM169" s="3662">
        <v>43595</v>
      </c>
      <c r="AN169" s="3662">
        <f t="shared" si="23"/>
        <v>678693</v>
      </c>
      <c r="AO169" s="3662">
        <v>43728</v>
      </c>
      <c r="AP169" s="3662">
        <f t="shared" si="25"/>
        <v>0</v>
      </c>
      <c r="AQ169" s="5127"/>
      <c r="AR169" s="3662"/>
      <c r="AS169" s="5134"/>
      <c r="AT169" s="5127"/>
      <c r="AU169" s="3662"/>
      <c r="AV169" s="3662"/>
      <c r="AW169" s="3662"/>
      <c r="AX169" s="3662"/>
      <c r="AY169" s="3662"/>
      <c r="AZ169" s="3662"/>
      <c r="BA169" s="5148"/>
      <c r="BB169" s="3684"/>
      <c r="BC169" s="3684"/>
      <c r="BD169" s="5148"/>
      <c r="BE169" s="5148"/>
      <c r="BF169" s="5148"/>
      <c r="BG169" s="5148"/>
      <c r="BH169" s="3684">
        <v>678693</v>
      </c>
      <c r="BI169" s="3684"/>
      <c r="BJ169" s="3684"/>
      <c r="BK169" s="3684"/>
      <c r="BL169" s="3684"/>
      <c r="BM169" s="3684"/>
      <c r="BN169" s="3684"/>
      <c r="BO169" s="5127"/>
      <c r="BP169" s="5127"/>
      <c r="BQ169" s="5127"/>
      <c r="BR169" s="5127"/>
      <c r="BS169" s="5127"/>
      <c r="BT169" s="5127"/>
      <c r="BU169" s="5127"/>
      <c r="BV169" s="3662">
        <v>678693</v>
      </c>
      <c r="BW169" s="5127"/>
      <c r="BX169" s="5127"/>
      <c r="BY169" s="5127"/>
      <c r="BZ169" s="5127"/>
      <c r="CA169" s="5127"/>
      <c r="CB169" s="5127"/>
      <c r="CC169" s="5312"/>
      <c r="CD169" s="5365"/>
      <c r="CE169" s="5170"/>
      <c r="CF169" s="5170"/>
      <c r="CG169" s="5170"/>
      <c r="CH169" s="5170"/>
    </row>
    <row r="170" s="4972" customFormat="1" ht="61" customHeight="1" spans="1:86">
      <c r="A170" s="5313"/>
      <c r="B170" s="3662"/>
      <c r="C170" s="3662"/>
      <c r="D170" s="5053"/>
      <c r="E170" s="5312"/>
      <c r="F170" s="5053"/>
      <c r="G170" s="5053"/>
      <c r="H170" s="3662"/>
      <c r="I170" s="3666"/>
      <c r="J170" s="5053"/>
      <c r="K170" s="3662"/>
      <c r="L170" s="5053"/>
      <c r="M170" s="3662"/>
      <c r="N170" s="5332"/>
      <c r="O170" s="5332"/>
      <c r="P170" s="5332"/>
      <c r="Q170" s="5332"/>
      <c r="R170" s="5332"/>
      <c r="S170" s="5332"/>
      <c r="T170" s="5332"/>
      <c r="U170" s="5332"/>
      <c r="V170" s="5332"/>
      <c r="W170" s="5332"/>
      <c r="X170" s="5332"/>
      <c r="Y170" s="5332"/>
      <c r="Z170" s="5332"/>
      <c r="AA170" s="5332"/>
      <c r="AB170" s="5332"/>
      <c r="AC170" s="3662">
        <v>3</v>
      </c>
      <c r="AD170" s="5053" t="s">
        <v>503</v>
      </c>
      <c r="AE170" s="5115">
        <v>0.2</v>
      </c>
      <c r="AF170" s="3662">
        <f>AE170*M168</f>
        <v>226728.2</v>
      </c>
      <c r="AG170" s="3662">
        <f t="shared" si="22"/>
        <v>226728.2</v>
      </c>
      <c r="AH170" s="5060" t="s">
        <v>409</v>
      </c>
      <c r="AI170" s="3662">
        <v>44175</v>
      </c>
      <c r="AJ170" s="3662">
        <v>226728.2</v>
      </c>
      <c r="AK170" s="5127">
        <v>44175</v>
      </c>
      <c r="AL170" s="3662">
        <v>226229</v>
      </c>
      <c r="AM170" s="3662">
        <v>44277</v>
      </c>
      <c r="AN170" s="3684">
        <f t="shared" si="23"/>
        <v>226229</v>
      </c>
      <c r="AO170" s="3684">
        <v>44314</v>
      </c>
      <c r="AP170" s="3662">
        <f t="shared" si="25"/>
        <v>499.200000000012</v>
      </c>
      <c r="AQ170" s="5134" t="s">
        <v>504</v>
      </c>
      <c r="AR170" s="3662"/>
      <c r="AS170" s="5134"/>
      <c r="AT170" s="5127"/>
      <c r="AU170" s="3662"/>
      <c r="AV170" s="3662"/>
      <c r="AW170" s="3662"/>
      <c r="AX170" s="3662"/>
      <c r="AY170" s="3662"/>
      <c r="AZ170" s="3662"/>
      <c r="BA170" s="5148"/>
      <c r="BB170" s="3684"/>
      <c r="BC170" s="3684"/>
      <c r="BD170" s="5148"/>
      <c r="BE170" s="5148"/>
      <c r="BF170" s="5148"/>
      <c r="BG170" s="5148"/>
      <c r="BH170" s="3684">
        <v>226728.2</v>
      </c>
      <c r="BI170" s="3684"/>
      <c r="BJ170" s="3684"/>
      <c r="BK170" s="3684"/>
      <c r="BL170" s="3684"/>
      <c r="BM170" s="3684"/>
      <c r="BN170" s="3684"/>
      <c r="BO170" s="5148"/>
      <c r="BP170" s="5148"/>
      <c r="BQ170" s="5148"/>
      <c r="BR170" s="5148"/>
      <c r="BS170" s="5148"/>
      <c r="BT170" s="5148"/>
      <c r="BU170" s="5148"/>
      <c r="BV170" s="5148">
        <v>226229</v>
      </c>
      <c r="BW170" s="5148"/>
      <c r="BX170" s="5148"/>
      <c r="BY170" s="5148"/>
      <c r="BZ170" s="5148"/>
      <c r="CA170" s="5148"/>
      <c r="CB170" s="5148"/>
      <c r="CC170" s="5312"/>
      <c r="CD170" s="5365"/>
      <c r="CE170" s="5170"/>
      <c r="CF170" s="5170"/>
      <c r="CG170" s="5170"/>
      <c r="CH170" s="5170"/>
    </row>
    <row r="171" s="4972" customFormat="1" ht="27" customHeight="1" spans="1:86">
      <c r="A171" s="5313"/>
      <c r="B171" s="3662"/>
      <c r="C171" s="3662"/>
      <c r="D171" s="5053"/>
      <c r="E171" s="5312"/>
      <c r="F171" s="5053"/>
      <c r="G171" s="5053"/>
      <c r="H171" s="3662"/>
      <c r="I171" s="3667"/>
      <c r="J171" s="5053"/>
      <c r="K171" s="3662"/>
      <c r="L171" s="5053"/>
      <c r="M171" s="3662"/>
      <c r="N171" s="5332"/>
      <c r="O171" s="5332"/>
      <c r="P171" s="5332"/>
      <c r="Q171" s="5332"/>
      <c r="R171" s="5332"/>
      <c r="S171" s="5332"/>
      <c r="T171" s="5332"/>
      <c r="U171" s="5332"/>
      <c r="V171" s="5332"/>
      <c r="W171" s="5332"/>
      <c r="X171" s="5332"/>
      <c r="Y171" s="5332"/>
      <c r="Z171" s="5332"/>
      <c r="AA171" s="5332"/>
      <c r="AB171" s="5332"/>
      <c r="AC171" s="3662"/>
      <c r="AD171" s="5055" t="s">
        <v>171</v>
      </c>
      <c r="AE171" s="5343" t="s">
        <v>171</v>
      </c>
      <c r="AF171" s="3814" t="s">
        <v>171</v>
      </c>
      <c r="AG171" s="3662">
        <f t="shared" si="22"/>
        <v>-499.2</v>
      </c>
      <c r="AH171" s="5060" t="s">
        <v>409</v>
      </c>
      <c r="AI171" s="3662">
        <v>44275</v>
      </c>
      <c r="AJ171" s="3662">
        <f>AG171</f>
        <v>-499.2</v>
      </c>
      <c r="AK171" s="5127">
        <v>44275</v>
      </c>
      <c r="AL171" s="3662"/>
      <c r="AM171" s="3662"/>
      <c r="AN171" s="3684"/>
      <c r="AO171" s="3684"/>
      <c r="AP171" s="3662"/>
      <c r="AQ171" s="5134"/>
      <c r="AR171" s="3662"/>
      <c r="AS171" s="5134"/>
      <c r="AT171" s="5127"/>
      <c r="AU171" s="3662"/>
      <c r="AV171" s="3662"/>
      <c r="AW171" s="3662"/>
      <c r="AX171" s="3662"/>
      <c r="AY171" s="3662"/>
      <c r="AZ171" s="3662"/>
      <c r="BA171" s="5148"/>
      <c r="BB171" s="3684"/>
      <c r="BC171" s="3684"/>
      <c r="BD171" s="5148"/>
      <c r="BE171" s="5148"/>
      <c r="BF171" s="5148"/>
      <c r="BG171" s="5148"/>
      <c r="BH171" s="3684">
        <v>-499.2</v>
      </c>
      <c r="BI171" s="3684"/>
      <c r="BJ171" s="3684"/>
      <c r="BK171" s="3684"/>
      <c r="BL171" s="3684"/>
      <c r="BM171" s="3684"/>
      <c r="BN171" s="3684"/>
      <c r="BO171" s="5148"/>
      <c r="BP171" s="5148"/>
      <c r="BQ171" s="5148"/>
      <c r="BR171" s="5148"/>
      <c r="BS171" s="5148"/>
      <c r="BT171" s="5148"/>
      <c r="BU171" s="5148"/>
      <c r="BV171" s="5148"/>
      <c r="BW171" s="5148"/>
      <c r="BX171" s="5148"/>
      <c r="BY171" s="5148"/>
      <c r="BZ171" s="5148"/>
      <c r="CA171" s="5148"/>
      <c r="CB171" s="5148"/>
      <c r="CC171" s="5312"/>
      <c r="CD171" s="5365"/>
      <c r="CE171" s="5170"/>
      <c r="CF171" s="5170"/>
      <c r="CG171" s="5170"/>
      <c r="CH171" s="5170"/>
    </row>
    <row r="172" s="4973" customFormat="1" ht="27" customHeight="1" spans="1:86">
      <c r="A172" s="5314">
        <v>31</v>
      </c>
      <c r="B172" s="3058" t="s">
        <v>173</v>
      </c>
      <c r="C172" s="3058">
        <v>43444</v>
      </c>
      <c r="D172" s="1125" t="s">
        <v>505</v>
      </c>
      <c r="E172" s="5130" t="s">
        <v>113</v>
      </c>
      <c r="F172" s="5054" t="s">
        <v>506</v>
      </c>
      <c r="G172" s="5054" t="s">
        <v>507</v>
      </c>
      <c r="H172" s="3058" t="s">
        <v>31</v>
      </c>
      <c r="I172" s="5320"/>
      <c r="J172" s="5054" t="s">
        <v>508</v>
      </c>
      <c r="K172" s="584">
        <v>100000</v>
      </c>
      <c r="L172" s="5054" t="s">
        <v>499</v>
      </c>
      <c r="M172" s="3058">
        <f>SUM(N172:AA174)</f>
        <v>500000</v>
      </c>
      <c r="N172" s="5086"/>
      <c r="O172" s="5086"/>
      <c r="P172" s="5086"/>
      <c r="Q172" s="5086"/>
      <c r="R172" s="5086"/>
      <c r="S172" s="5086"/>
      <c r="T172" s="5086"/>
      <c r="U172" s="5086">
        <v>500000</v>
      </c>
      <c r="V172" s="5086"/>
      <c r="W172" s="5086">
        <v>0</v>
      </c>
      <c r="X172" s="5086">
        <v>0</v>
      </c>
      <c r="Y172" s="5086"/>
      <c r="Z172" s="5086"/>
      <c r="AA172" s="5086"/>
      <c r="AB172" s="5086"/>
      <c r="AC172" s="3058">
        <v>1</v>
      </c>
      <c r="AD172" s="5054" t="s">
        <v>509</v>
      </c>
      <c r="AE172" s="5339">
        <v>0.4</v>
      </c>
      <c r="AF172" s="3058">
        <f>AE172*M172</f>
        <v>200000</v>
      </c>
      <c r="AG172" s="3058">
        <f t="shared" si="22"/>
        <v>200000</v>
      </c>
      <c r="AH172" s="3058" t="s">
        <v>206</v>
      </c>
      <c r="AI172" s="3058">
        <v>43485</v>
      </c>
      <c r="AJ172" s="3058" t="s">
        <v>171</v>
      </c>
      <c r="AK172" s="3058" t="s">
        <v>171</v>
      </c>
      <c r="AL172" s="3058">
        <v>200000</v>
      </c>
      <c r="AM172" s="3058">
        <v>43485</v>
      </c>
      <c r="AN172" s="3058">
        <f t="shared" ref="AN172:AN193" si="26">SUM(BO172:CB172)</f>
        <v>200000</v>
      </c>
      <c r="AO172" s="3058">
        <v>43656</v>
      </c>
      <c r="AP172" s="3058">
        <f t="shared" ref="AP172:AP181" si="27">AG172-AN172</f>
        <v>0</v>
      </c>
      <c r="AQ172" s="5138"/>
      <c r="AR172" s="3058"/>
      <c r="AS172" s="5131"/>
      <c r="AT172" s="5138"/>
      <c r="AU172" s="5086">
        <f>SUM(AG172:AG174)</f>
        <v>492438.15</v>
      </c>
      <c r="AV172" s="5086">
        <f>SUM(AL172:AL174)</f>
        <v>492438.15</v>
      </c>
      <c r="AW172" s="5086">
        <f>SUM(AN172:AN174)</f>
        <v>492438.15</v>
      </c>
      <c r="AX172" s="5086">
        <f>M172-AU172</f>
        <v>7561.84999999998</v>
      </c>
      <c r="AY172" s="5086">
        <f>AU172-AV172</f>
        <v>0</v>
      </c>
      <c r="AZ172" s="5086">
        <f>AV172-AW172</f>
        <v>0</v>
      </c>
      <c r="BA172" s="5150"/>
      <c r="BB172" s="3057"/>
      <c r="BC172" s="3057"/>
      <c r="BD172" s="5150"/>
      <c r="BE172" s="5150"/>
      <c r="BF172" s="5150"/>
      <c r="BG172" s="5150"/>
      <c r="BH172" s="3057">
        <v>200000</v>
      </c>
      <c r="BI172" s="3057"/>
      <c r="BJ172" s="3057"/>
      <c r="BK172" s="3057"/>
      <c r="BL172" s="3057"/>
      <c r="BM172" s="3057"/>
      <c r="BN172" s="3057"/>
      <c r="BO172" s="5138"/>
      <c r="BP172" s="5138"/>
      <c r="BQ172" s="5138"/>
      <c r="BR172" s="5138"/>
      <c r="BS172" s="5138"/>
      <c r="BT172" s="5138"/>
      <c r="BU172" s="5138"/>
      <c r="BV172" s="3058">
        <v>200000</v>
      </c>
      <c r="BW172" s="5138"/>
      <c r="BX172" s="5138"/>
      <c r="BY172" s="5138"/>
      <c r="BZ172" s="5138"/>
      <c r="CA172" s="5138"/>
      <c r="CB172" s="5138"/>
      <c r="CC172" s="3058" t="s">
        <v>124</v>
      </c>
      <c r="CD172" s="3058" t="s">
        <v>154</v>
      </c>
      <c r="CE172" s="5171"/>
      <c r="CF172" s="5171"/>
      <c r="CG172" s="5171"/>
      <c r="CH172" s="5171"/>
    </row>
    <row r="173" s="4973" customFormat="1" ht="61" customHeight="1" spans="1:86">
      <c r="A173" s="5314"/>
      <c r="B173" s="3058"/>
      <c r="C173" s="3058"/>
      <c r="D173" s="5054"/>
      <c r="E173" s="5130"/>
      <c r="F173" s="5054"/>
      <c r="G173" s="5054"/>
      <c r="H173" s="3058"/>
      <c r="I173" s="5321"/>
      <c r="J173" s="5054"/>
      <c r="K173" s="584"/>
      <c r="L173" s="5054"/>
      <c r="M173" s="3058"/>
      <c r="N173" s="5086"/>
      <c r="O173" s="5086"/>
      <c r="P173" s="5086"/>
      <c r="Q173" s="5086"/>
      <c r="R173" s="5086"/>
      <c r="S173" s="5086"/>
      <c r="T173" s="5086"/>
      <c r="U173" s="5086"/>
      <c r="V173" s="5086"/>
      <c r="W173" s="5086"/>
      <c r="X173" s="5086"/>
      <c r="Y173" s="5086"/>
      <c r="Z173" s="5086"/>
      <c r="AA173" s="5086"/>
      <c r="AB173" s="5086"/>
      <c r="AC173" s="3058">
        <v>2</v>
      </c>
      <c r="AD173" s="5054" t="s">
        <v>510</v>
      </c>
      <c r="AE173" s="5339">
        <v>0.4</v>
      </c>
      <c r="AF173" s="3058">
        <f>AE173*M172</f>
        <v>200000</v>
      </c>
      <c r="AG173" s="3058">
        <f t="shared" si="22"/>
        <v>200000</v>
      </c>
      <c r="AH173" s="3058" t="s">
        <v>206</v>
      </c>
      <c r="AI173" s="3058">
        <v>43485</v>
      </c>
      <c r="AJ173" s="3058" t="s">
        <v>171</v>
      </c>
      <c r="AK173" s="3058" t="s">
        <v>171</v>
      </c>
      <c r="AL173" s="3058">
        <v>200000</v>
      </c>
      <c r="AM173" s="3058">
        <v>43485</v>
      </c>
      <c r="AN173" s="3058">
        <f t="shared" si="26"/>
        <v>200000</v>
      </c>
      <c r="AO173" s="3058">
        <v>43656</v>
      </c>
      <c r="AP173" s="3058">
        <f t="shared" si="27"/>
        <v>0</v>
      </c>
      <c r="AQ173" s="5138"/>
      <c r="AR173" s="3058"/>
      <c r="AS173" s="5131"/>
      <c r="AT173" s="5138"/>
      <c r="AU173" s="5086"/>
      <c r="AV173" s="5086"/>
      <c r="AW173" s="5086"/>
      <c r="AX173" s="5086"/>
      <c r="AY173" s="5086"/>
      <c r="AZ173" s="5086"/>
      <c r="BA173" s="5150"/>
      <c r="BB173" s="3057"/>
      <c r="BC173" s="3057"/>
      <c r="BD173" s="5150"/>
      <c r="BE173" s="5150"/>
      <c r="BF173" s="5150"/>
      <c r="BG173" s="5150"/>
      <c r="BH173" s="3057">
        <v>200000</v>
      </c>
      <c r="BI173" s="3057"/>
      <c r="BJ173" s="3057"/>
      <c r="BK173" s="3057"/>
      <c r="BL173" s="3057"/>
      <c r="BM173" s="3057"/>
      <c r="BN173" s="3057"/>
      <c r="BO173" s="5138"/>
      <c r="BP173" s="5138"/>
      <c r="BQ173" s="5138"/>
      <c r="BR173" s="5138"/>
      <c r="BS173" s="5138"/>
      <c r="BT173" s="5138"/>
      <c r="BU173" s="5138"/>
      <c r="BV173" s="3058">
        <v>200000</v>
      </c>
      <c r="BW173" s="5138"/>
      <c r="BX173" s="5138"/>
      <c r="BY173" s="5138"/>
      <c r="BZ173" s="5138"/>
      <c r="CA173" s="5138"/>
      <c r="CB173" s="5138"/>
      <c r="CC173" s="3058"/>
      <c r="CD173" s="3058"/>
      <c r="CE173" s="5171"/>
      <c r="CF173" s="5171"/>
      <c r="CG173" s="5171"/>
      <c r="CH173" s="5171"/>
    </row>
    <row r="174" s="4973" customFormat="1" ht="50.85" customHeight="1" spans="1:86">
      <c r="A174" s="5314"/>
      <c r="B174" s="3058"/>
      <c r="C174" s="3058"/>
      <c r="D174" s="5054"/>
      <c r="E174" s="5130"/>
      <c r="F174" s="5054"/>
      <c r="G174" s="5054"/>
      <c r="H174" s="3058"/>
      <c r="I174" s="5322"/>
      <c r="J174" s="5054"/>
      <c r="K174" s="584"/>
      <c r="L174" s="5054"/>
      <c r="M174" s="3058"/>
      <c r="N174" s="5086"/>
      <c r="O174" s="5086"/>
      <c r="P174" s="5086"/>
      <c r="Q174" s="5086"/>
      <c r="R174" s="5086"/>
      <c r="S174" s="5086"/>
      <c r="T174" s="5086"/>
      <c r="U174" s="5086"/>
      <c r="V174" s="5086"/>
      <c r="W174" s="5086"/>
      <c r="X174" s="5086"/>
      <c r="Y174" s="5086"/>
      <c r="Z174" s="5086"/>
      <c r="AA174" s="5086"/>
      <c r="AB174" s="5086"/>
      <c r="AC174" s="3058">
        <v>3</v>
      </c>
      <c r="AD174" s="5054" t="s">
        <v>511</v>
      </c>
      <c r="AE174" s="5339">
        <v>0.2</v>
      </c>
      <c r="AF174" s="3058">
        <f>AE174*M172</f>
        <v>100000</v>
      </c>
      <c r="AG174" s="3057">
        <f t="shared" si="22"/>
        <v>92438.15</v>
      </c>
      <c r="AH174" s="1125" t="s">
        <v>122</v>
      </c>
      <c r="AI174" s="3057">
        <v>45247</v>
      </c>
      <c r="AJ174" s="3058">
        <v>92438.15</v>
      </c>
      <c r="AK174" s="3058">
        <v>45247</v>
      </c>
      <c r="AL174" s="3058">
        <v>92438.15</v>
      </c>
      <c r="AM174" s="3058">
        <v>45421</v>
      </c>
      <c r="AN174" s="3058">
        <f t="shared" si="26"/>
        <v>92438.15</v>
      </c>
      <c r="AO174" s="3058">
        <v>45558</v>
      </c>
      <c r="AP174" s="3058">
        <f t="shared" si="27"/>
        <v>0</v>
      </c>
      <c r="AQ174" s="5355"/>
      <c r="AR174" s="3058" t="s">
        <v>512</v>
      </c>
      <c r="AS174" s="5131"/>
      <c r="AT174" s="5138"/>
      <c r="AU174" s="5086"/>
      <c r="AV174" s="5086"/>
      <c r="AW174" s="5086"/>
      <c r="AX174" s="5086"/>
      <c r="AY174" s="5086"/>
      <c r="AZ174" s="5086"/>
      <c r="BA174" s="5138"/>
      <c r="BB174" s="3058"/>
      <c r="BC174" s="3058"/>
      <c r="BD174" s="5138"/>
      <c r="BE174" s="5138"/>
      <c r="BF174" s="5138"/>
      <c r="BG174" s="5138"/>
      <c r="BH174" s="3057">
        <v>92438.15</v>
      </c>
      <c r="BI174" s="3058"/>
      <c r="BJ174" s="3058"/>
      <c r="BK174" s="3058"/>
      <c r="BL174" s="3058"/>
      <c r="BM174" s="3058"/>
      <c r="BN174" s="3058"/>
      <c r="BO174" s="5138"/>
      <c r="BP174" s="5138"/>
      <c r="BQ174" s="5138"/>
      <c r="BR174" s="5138"/>
      <c r="BS174" s="5138"/>
      <c r="BT174" s="5138"/>
      <c r="BU174" s="5138"/>
      <c r="BV174" s="3058">
        <v>92438.15</v>
      </c>
      <c r="BW174" s="5138"/>
      <c r="BX174" s="5138"/>
      <c r="BY174" s="5138"/>
      <c r="BZ174" s="5138"/>
      <c r="CA174" s="5138"/>
      <c r="CB174" s="5138"/>
      <c r="CC174" s="3058"/>
      <c r="CD174" s="3058"/>
      <c r="CE174" s="5171"/>
      <c r="CF174" s="5171"/>
      <c r="CG174" s="5171"/>
      <c r="CH174" s="5171"/>
    </row>
    <row r="175" s="4972" customFormat="1" ht="61" customHeight="1" spans="1:86">
      <c r="A175" s="5130">
        <v>32</v>
      </c>
      <c r="B175" s="3662" t="s">
        <v>173</v>
      </c>
      <c r="C175" s="3662">
        <v>43393</v>
      </c>
      <c r="D175" s="5055" t="s">
        <v>513</v>
      </c>
      <c r="E175" s="5312" t="s">
        <v>113</v>
      </c>
      <c r="F175" s="5053" t="s">
        <v>514</v>
      </c>
      <c r="G175" s="5053" t="s">
        <v>515</v>
      </c>
      <c r="H175" s="3662" t="s">
        <v>432</v>
      </c>
      <c r="I175" s="3744"/>
      <c r="J175" s="5055" t="s">
        <v>433</v>
      </c>
      <c r="K175" s="3662">
        <v>133156</v>
      </c>
      <c r="L175" s="5053" t="s">
        <v>516</v>
      </c>
      <c r="M175" s="3662">
        <f>SUM(N175:AA177)</f>
        <v>266312</v>
      </c>
      <c r="N175" s="5052"/>
      <c r="O175" s="5052"/>
      <c r="P175" s="5052"/>
      <c r="Q175" s="5052"/>
      <c r="R175" s="5052"/>
      <c r="S175" s="5052">
        <v>266312</v>
      </c>
      <c r="T175" s="5052"/>
      <c r="U175" s="5052"/>
      <c r="V175" s="5052"/>
      <c r="W175" s="5052">
        <v>0</v>
      </c>
      <c r="X175" s="5052">
        <v>0</v>
      </c>
      <c r="Y175" s="5052"/>
      <c r="Z175" s="5052"/>
      <c r="AA175" s="5052"/>
      <c r="AB175" s="5337" t="s">
        <v>517</v>
      </c>
      <c r="AC175" s="3662">
        <v>1</v>
      </c>
      <c r="AD175" s="5053" t="s">
        <v>518</v>
      </c>
      <c r="AE175" s="5115">
        <v>0.35</v>
      </c>
      <c r="AF175" s="3662">
        <f>AE175*M175</f>
        <v>93209.2</v>
      </c>
      <c r="AG175" s="3662">
        <f t="shared" si="22"/>
        <v>93209.2</v>
      </c>
      <c r="AH175" s="3662" t="s">
        <v>409</v>
      </c>
      <c r="AI175" s="3662">
        <v>43756</v>
      </c>
      <c r="AJ175" s="3662">
        <v>93209.2</v>
      </c>
      <c r="AK175" s="3662">
        <v>43756</v>
      </c>
      <c r="AL175" s="3662">
        <v>93209.2</v>
      </c>
      <c r="AM175" s="3662">
        <v>43969</v>
      </c>
      <c r="AN175" s="3684">
        <f t="shared" si="26"/>
        <v>93209.2</v>
      </c>
      <c r="AO175" s="3684">
        <v>44042</v>
      </c>
      <c r="AP175" s="3662">
        <f t="shared" si="27"/>
        <v>0</v>
      </c>
      <c r="AQ175" s="5127"/>
      <c r="AR175" s="3662"/>
      <c r="AS175" s="5134"/>
      <c r="AT175" s="5127"/>
      <c r="AU175" s="3662">
        <f>SUM(AG175:AG177)</f>
        <v>266312</v>
      </c>
      <c r="AV175" s="3662">
        <f>SUM(AL175:AL177)</f>
        <v>266312</v>
      </c>
      <c r="AW175" s="3662">
        <f>SUM(AN175:AN177)</f>
        <v>266312</v>
      </c>
      <c r="AX175" s="3662">
        <f>M175-AU175</f>
        <v>0</v>
      </c>
      <c r="AY175" s="3662">
        <f>AU175-AV175</f>
        <v>0</v>
      </c>
      <c r="AZ175" s="3662">
        <f>AV175-AW175</f>
        <v>0</v>
      </c>
      <c r="BA175" s="5148"/>
      <c r="BB175" s="3684"/>
      <c r="BC175" s="3684"/>
      <c r="BD175" s="5148"/>
      <c r="BE175" s="5148"/>
      <c r="BF175" s="5148">
        <v>93209.2</v>
      </c>
      <c r="BG175" s="5148"/>
      <c r="BH175" s="3684"/>
      <c r="BI175" s="3684"/>
      <c r="BJ175" s="3684"/>
      <c r="BK175" s="3684"/>
      <c r="BL175" s="3684"/>
      <c r="BM175" s="3684"/>
      <c r="BN175" s="3684"/>
      <c r="BO175" s="5127"/>
      <c r="BP175" s="5127"/>
      <c r="BQ175" s="5127"/>
      <c r="BR175" s="5127"/>
      <c r="BS175" s="5127"/>
      <c r="BT175" s="5127">
        <v>93209.2</v>
      </c>
      <c r="BU175" s="5127"/>
      <c r="BV175" s="5127"/>
      <c r="BW175" s="5127"/>
      <c r="BX175" s="5127"/>
      <c r="BY175" s="5127"/>
      <c r="BZ175" s="5127"/>
      <c r="CA175" s="5127"/>
      <c r="CB175" s="5127"/>
      <c r="CC175" s="3662" t="s">
        <v>166</v>
      </c>
      <c r="CD175" s="3662" t="s">
        <v>125</v>
      </c>
      <c r="CE175" s="5170"/>
      <c r="CF175" s="5170"/>
      <c r="CG175" s="5170"/>
      <c r="CH175" s="5170"/>
    </row>
    <row r="176" s="4972" customFormat="1" ht="61" customHeight="1" spans="1:86">
      <c r="A176" s="5130"/>
      <c r="B176" s="3662"/>
      <c r="C176" s="3662"/>
      <c r="D176" s="5053"/>
      <c r="E176" s="5312"/>
      <c r="F176" s="5053"/>
      <c r="G176" s="5053"/>
      <c r="H176" s="3662"/>
      <c r="I176" s="3666"/>
      <c r="J176" s="5053"/>
      <c r="K176" s="3662"/>
      <c r="L176" s="5053"/>
      <c r="M176" s="3662"/>
      <c r="N176" s="5052"/>
      <c r="O176" s="5052"/>
      <c r="P176" s="5052"/>
      <c r="Q176" s="5052"/>
      <c r="R176" s="5052"/>
      <c r="S176" s="5052"/>
      <c r="T176" s="5052"/>
      <c r="U176" s="5052"/>
      <c r="V176" s="5052"/>
      <c r="W176" s="5052"/>
      <c r="X176" s="5052"/>
      <c r="Y176" s="5052"/>
      <c r="Z176" s="5052"/>
      <c r="AA176" s="5052"/>
      <c r="AB176" s="5337"/>
      <c r="AC176" s="3662">
        <v>2</v>
      </c>
      <c r="AD176" s="5053" t="s">
        <v>439</v>
      </c>
      <c r="AE176" s="5115">
        <v>0.4</v>
      </c>
      <c r="AF176" s="3662">
        <f>AE176*M175</f>
        <v>106524.8</v>
      </c>
      <c r="AG176" s="3662">
        <f t="shared" si="22"/>
        <v>106524.8</v>
      </c>
      <c r="AH176" s="3662" t="s">
        <v>409</v>
      </c>
      <c r="AI176" s="3662">
        <v>43756</v>
      </c>
      <c r="AJ176" s="3662">
        <v>106524.8</v>
      </c>
      <c r="AK176" s="3662">
        <v>43756</v>
      </c>
      <c r="AL176" s="3662">
        <v>106524.8</v>
      </c>
      <c r="AM176" s="3662">
        <v>43969</v>
      </c>
      <c r="AN176" s="3684">
        <f t="shared" si="26"/>
        <v>106524.8</v>
      </c>
      <c r="AO176" s="3684">
        <v>44042</v>
      </c>
      <c r="AP176" s="3662">
        <f t="shared" si="27"/>
        <v>0</v>
      </c>
      <c r="AQ176" s="5127"/>
      <c r="AR176" s="3662"/>
      <c r="AS176" s="5134"/>
      <c r="AT176" s="5127"/>
      <c r="AU176" s="3662"/>
      <c r="AV176" s="3662"/>
      <c r="AW176" s="3662"/>
      <c r="AX176" s="3662"/>
      <c r="AY176" s="3662"/>
      <c r="AZ176" s="3662"/>
      <c r="BA176" s="5148"/>
      <c r="BB176" s="3684"/>
      <c r="BC176" s="3684"/>
      <c r="BD176" s="5148"/>
      <c r="BE176" s="5148"/>
      <c r="BF176" s="5148">
        <v>106524.8</v>
      </c>
      <c r="BG176" s="5148"/>
      <c r="BH176" s="3684"/>
      <c r="BI176" s="3684"/>
      <c r="BJ176" s="3684"/>
      <c r="BK176" s="3684"/>
      <c r="BL176" s="3684"/>
      <c r="BM176" s="3684"/>
      <c r="BN176" s="3684"/>
      <c r="BO176" s="5127"/>
      <c r="BP176" s="5127"/>
      <c r="BQ176" s="5127"/>
      <c r="BR176" s="5127"/>
      <c r="BS176" s="5127"/>
      <c r="BT176" s="5127">
        <v>106524.8</v>
      </c>
      <c r="BU176" s="5127"/>
      <c r="BV176" s="5127"/>
      <c r="BW176" s="5127"/>
      <c r="BX176" s="5127"/>
      <c r="BY176" s="5127"/>
      <c r="BZ176" s="5127"/>
      <c r="CA176" s="5127"/>
      <c r="CB176" s="5127"/>
      <c r="CC176" s="3662"/>
      <c r="CD176" s="3662"/>
      <c r="CE176" s="5170"/>
      <c r="CF176" s="5170"/>
      <c r="CG176" s="5170"/>
      <c r="CH176" s="5170"/>
    </row>
    <row r="177" s="4972" customFormat="1" ht="61" customHeight="1" spans="1:86">
      <c r="A177" s="5130"/>
      <c r="B177" s="3662"/>
      <c r="C177" s="3662"/>
      <c r="D177" s="5053"/>
      <c r="E177" s="5312"/>
      <c r="F177" s="5053"/>
      <c r="G177" s="5053"/>
      <c r="H177" s="3662"/>
      <c r="I177" s="3667"/>
      <c r="J177" s="5053"/>
      <c r="K177" s="3662"/>
      <c r="L177" s="5053"/>
      <c r="M177" s="3662"/>
      <c r="N177" s="5052"/>
      <c r="O177" s="5052"/>
      <c r="P177" s="5052"/>
      <c r="Q177" s="5052"/>
      <c r="R177" s="5052"/>
      <c r="S177" s="5052"/>
      <c r="T177" s="5052"/>
      <c r="U177" s="5052"/>
      <c r="V177" s="5052"/>
      <c r="W177" s="5052"/>
      <c r="X177" s="5052"/>
      <c r="Y177" s="5052"/>
      <c r="Z177" s="5052"/>
      <c r="AA177" s="5052"/>
      <c r="AB177" s="5337"/>
      <c r="AC177" s="3662">
        <v>3</v>
      </c>
      <c r="AD177" s="5053" t="s">
        <v>441</v>
      </c>
      <c r="AE177" s="5115">
        <v>0.25</v>
      </c>
      <c r="AF177" s="3662">
        <f>AE177*M175</f>
        <v>66578</v>
      </c>
      <c r="AG177" s="3684">
        <f t="shared" si="22"/>
        <v>66578</v>
      </c>
      <c r="AH177" s="3814" t="s">
        <v>409</v>
      </c>
      <c r="AI177" s="3684">
        <v>44900</v>
      </c>
      <c r="AJ177" s="3684">
        <v>66578</v>
      </c>
      <c r="AK177" s="3684">
        <v>44900</v>
      </c>
      <c r="AL177" s="3684">
        <v>66578</v>
      </c>
      <c r="AM177" s="3684">
        <v>45153</v>
      </c>
      <c r="AN177" s="3662">
        <f t="shared" si="26"/>
        <v>66578</v>
      </c>
      <c r="AO177" s="3684">
        <v>45173</v>
      </c>
      <c r="AP177" s="3662">
        <f t="shared" si="27"/>
        <v>0</v>
      </c>
      <c r="AQ177" s="5127"/>
      <c r="AR177" s="3662"/>
      <c r="AS177" s="5134"/>
      <c r="AT177" s="5127"/>
      <c r="AU177" s="3662"/>
      <c r="AV177" s="3662"/>
      <c r="AW177" s="3662"/>
      <c r="AX177" s="3662"/>
      <c r="AY177" s="3662"/>
      <c r="AZ177" s="3662"/>
      <c r="BA177" s="5148"/>
      <c r="BB177" s="3684"/>
      <c r="BC177" s="3684"/>
      <c r="BD177" s="5148"/>
      <c r="BE177" s="5148"/>
      <c r="BF177" s="5148">
        <v>66578</v>
      </c>
      <c r="BG177" s="5148"/>
      <c r="BH177" s="3684"/>
      <c r="BI177" s="3684"/>
      <c r="BJ177" s="3684"/>
      <c r="BK177" s="3684"/>
      <c r="BL177" s="3684"/>
      <c r="BM177" s="3684"/>
      <c r="BN177" s="3684"/>
      <c r="BO177" s="5127"/>
      <c r="BP177" s="5127"/>
      <c r="BQ177" s="5127"/>
      <c r="BR177" s="5127"/>
      <c r="BS177" s="5127"/>
      <c r="BT177" s="5127">
        <v>66578</v>
      </c>
      <c r="BU177" s="5127"/>
      <c r="BV177" s="5127"/>
      <c r="BW177" s="5127"/>
      <c r="BX177" s="5127"/>
      <c r="BY177" s="5127"/>
      <c r="BZ177" s="5127"/>
      <c r="CA177" s="5127"/>
      <c r="CB177" s="5127"/>
      <c r="CC177" s="3662"/>
      <c r="CD177" s="3662"/>
      <c r="CE177" s="5170"/>
      <c r="CF177" s="5170"/>
      <c r="CG177" s="5170"/>
      <c r="CH177" s="5170"/>
    </row>
    <row r="178" s="4975" customFormat="1" ht="61" customHeight="1" spans="1:86">
      <c r="A178" s="5315">
        <v>33</v>
      </c>
      <c r="B178" s="2824" t="s">
        <v>173</v>
      </c>
      <c r="C178" s="2824">
        <v>43327</v>
      </c>
      <c r="D178" s="5316" t="s">
        <v>513</v>
      </c>
      <c r="E178" s="5130" t="s">
        <v>113</v>
      </c>
      <c r="F178" s="5317" t="s">
        <v>519</v>
      </c>
      <c r="G178" s="5317" t="s">
        <v>520</v>
      </c>
      <c r="H178" s="5317" t="s">
        <v>116</v>
      </c>
      <c r="I178" s="5323"/>
      <c r="J178" s="5317" t="s">
        <v>433</v>
      </c>
      <c r="K178" s="5316" t="s">
        <v>521</v>
      </c>
      <c r="L178" s="5317" t="s">
        <v>522</v>
      </c>
      <c r="M178" s="2824">
        <f>SUM(N178:AA181)</f>
        <v>3024853</v>
      </c>
      <c r="N178" s="5051"/>
      <c r="O178" s="5051"/>
      <c r="P178" s="5051"/>
      <c r="Q178" s="5051"/>
      <c r="R178" s="5051"/>
      <c r="S178" s="5051">
        <v>3024853</v>
      </c>
      <c r="T178" s="5051"/>
      <c r="U178" s="5051"/>
      <c r="V178" s="5051"/>
      <c r="W178" s="5051">
        <v>0</v>
      </c>
      <c r="X178" s="5051">
        <v>0</v>
      </c>
      <c r="Y178" s="5051"/>
      <c r="Z178" s="5051"/>
      <c r="AA178" s="5051"/>
      <c r="AB178" s="5194">
        <v>1702961</v>
      </c>
      <c r="AC178" s="2824">
        <v>1</v>
      </c>
      <c r="AD178" s="5317" t="s">
        <v>523</v>
      </c>
      <c r="AE178" s="5344">
        <v>0.3</v>
      </c>
      <c r="AF178" s="2824">
        <f>AE178*M178</f>
        <v>907455.9</v>
      </c>
      <c r="AG178" s="2824">
        <f t="shared" si="22"/>
        <v>907456</v>
      </c>
      <c r="AH178" s="2824" t="s">
        <v>206</v>
      </c>
      <c r="AI178" s="2824">
        <v>43435</v>
      </c>
      <c r="AJ178" s="2824" t="s">
        <v>171</v>
      </c>
      <c r="AK178" s="2824" t="s">
        <v>171</v>
      </c>
      <c r="AL178" s="2824">
        <v>907456</v>
      </c>
      <c r="AM178" s="2824">
        <v>43435</v>
      </c>
      <c r="AN178" s="2824">
        <f t="shared" si="26"/>
        <v>907456</v>
      </c>
      <c r="AO178" s="2824">
        <v>43617</v>
      </c>
      <c r="AP178" s="2824">
        <f t="shared" si="27"/>
        <v>0</v>
      </c>
      <c r="AQ178" s="5356"/>
      <c r="AR178" s="2824"/>
      <c r="AS178" s="5361"/>
      <c r="AT178" s="5356"/>
      <c r="AU178" s="5051">
        <f>SUM(AG178:AG181)</f>
        <v>3052920</v>
      </c>
      <c r="AV178" s="5051">
        <f>SUM(AL178:AL181)</f>
        <v>3052920</v>
      </c>
      <c r="AW178" s="5051">
        <f>SUM(AN178:AN181)</f>
        <v>3052920</v>
      </c>
      <c r="AX178" s="5051">
        <f>M178-AU178</f>
        <v>-28067</v>
      </c>
      <c r="AY178" s="5051">
        <f>AU178-AV178</f>
        <v>0</v>
      </c>
      <c r="AZ178" s="5051">
        <f>AV178-AW178</f>
        <v>0</v>
      </c>
      <c r="BA178" s="5363"/>
      <c r="BB178" s="5347"/>
      <c r="BC178" s="5347"/>
      <c r="BD178" s="5363"/>
      <c r="BE178" s="5363"/>
      <c r="BF178" s="5347">
        <v>907456</v>
      </c>
      <c r="BG178" s="5347"/>
      <c r="BH178" s="5347"/>
      <c r="BI178" s="5347"/>
      <c r="BJ178" s="5347"/>
      <c r="BK178" s="5347"/>
      <c r="BL178" s="5347"/>
      <c r="BM178" s="5347"/>
      <c r="BN178" s="5347"/>
      <c r="BO178" s="5356"/>
      <c r="BP178" s="5356"/>
      <c r="BQ178" s="5356"/>
      <c r="BR178" s="5356"/>
      <c r="BS178" s="5356"/>
      <c r="BT178" s="2824">
        <v>907456</v>
      </c>
      <c r="BU178" s="2824"/>
      <c r="BV178" s="5356"/>
      <c r="BW178" s="5356"/>
      <c r="BX178" s="5356"/>
      <c r="BY178" s="5356"/>
      <c r="BZ178" s="5356"/>
      <c r="CA178" s="5356"/>
      <c r="CB178" s="5356"/>
      <c r="CC178" s="2824" t="s">
        <v>124</v>
      </c>
      <c r="CD178" s="2824" t="s">
        <v>125</v>
      </c>
      <c r="CE178" s="5366"/>
      <c r="CF178" s="5366"/>
      <c r="CG178" s="5366"/>
      <c r="CH178" s="5366"/>
    </row>
    <row r="179" s="4975" customFormat="1" ht="61" customHeight="1" spans="1:86">
      <c r="A179" s="5315"/>
      <c r="B179" s="2824"/>
      <c r="C179" s="2824"/>
      <c r="D179" s="5317"/>
      <c r="E179" s="5130"/>
      <c r="F179" s="5317"/>
      <c r="G179" s="5317"/>
      <c r="H179" s="5317"/>
      <c r="I179" s="5324"/>
      <c r="J179" s="5317"/>
      <c r="K179" s="2824"/>
      <c r="L179" s="5317"/>
      <c r="M179" s="2824"/>
      <c r="N179" s="5051"/>
      <c r="O179" s="5051"/>
      <c r="P179" s="5051"/>
      <c r="Q179" s="5051"/>
      <c r="R179" s="5051"/>
      <c r="S179" s="5051"/>
      <c r="T179" s="5051"/>
      <c r="U179" s="5051"/>
      <c r="V179" s="5051"/>
      <c r="W179" s="5051"/>
      <c r="X179" s="5051"/>
      <c r="Y179" s="5051"/>
      <c r="Z179" s="5051"/>
      <c r="AA179" s="5051"/>
      <c r="AB179" s="5194"/>
      <c r="AC179" s="2824">
        <v>2</v>
      </c>
      <c r="AD179" s="5317" t="s">
        <v>331</v>
      </c>
      <c r="AE179" s="5344">
        <v>0.4</v>
      </c>
      <c r="AF179" s="2824">
        <f>M178*AE179</f>
        <v>1209941.2</v>
      </c>
      <c r="AG179" s="2824">
        <f t="shared" si="22"/>
        <v>1209941</v>
      </c>
      <c r="AH179" s="2824" t="s">
        <v>206</v>
      </c>
      <c r="AI179" s="2824">
        <v>43556</v>
      </c>
      <c r="AJ179" s="2824" t="s">
        <v>171</v>
      </c>
      <c r="AK179" s="2824" t="s">
        <v>171</v>
      </c>
      <c r="AL179" s="2824">
        <v>1209941</v>
      </c>
      <c r="AM179" s="2824">
        <v>43556</v>
      </c>
      <c r="AN179" s="2824">
        <f t="shared" si="26"/>
        <v>1209941</v>
      </c>
      <c r="AO179" s="2824">
        <v>43770</v>
      </c>
      <c r="AP179" s="2824">
        <f t="shared" si="27"/>
        <v>0</v>
      </c>
      <c r="AQ179" s="5356"/>
      <c r="AR179" s="2824"/>
      <c r="AS179" s="5361"/>
      <c r="AT179" s="5356"/>
      <c r="AU179" s="5051"/>
      <c r="AV179" s="5051"/>
      <c r="AW179" s="5051"/>
      <c r="AX179" s="5051"/>
      <c r="AY179" s="5051"/>
      <c r="AZ179" s="5051"/>
      <c r="BA179" s="5363"/>
      <c r="BB179" s="5347"/>
      <c r="BC179" s="5347"/>
      <c r="BD179" s="5363"/>
      <c r="BE179" s="5363"/>
      <c r="BF179" s="5347">
        <v>1209941</v>
      </c>
      <c r="BG179" s="5347"/>
      <c r="BH179" s="5347"/>
      <c r="BI179" s="5347"/>
      <c r="BJ179" s="5347"/>
      <c r="BK179" s="5347"/>
      <c r="BL179" s="5347"/>
      <c r="BM179" s="5347"/>
      <c r="BN179" s="5347"/>
      <c r="BO179" s="5356"/>
      <c r="BP179" s="5356"/>
      <c r="BQ179" s="5356"/>
      <c r="BR179" s="5356"/>
      <c r="BS179" s="5356"/>
      <c r="BT179" s="2824">
        <v>1209941</v>
      </c>
      <c r="BU179" s="2824"/>
      <c r="BV179" s="5356"/>
      <c r="BW179" s="5356"/>
      <c r="BX179" s="5356"/>
      <c r="BY179" s="5356"/>
      <c r="BZ179" s="5356"/>
      <c r="CA179" s="5356"/>
      <c r="CB179" s="5356"/>
      <c r="CC179" s="2824"/>
      <c r="CD179" s="2824"/>
      <c r="CE179" s="5366"/>
      <c r="CF179" s="5366"/>
      <c r="CG179" s="5366"/>
      <c r="CH179" s="5366"/>
    </row>
    <row r="180" s="4975" customFormat="1" ht="61" customHeight="1" spans="1:86">
      <c r="A180" s="5315"/>
      <c r="B180" s="2824"/>
      <c r="C180" s="2824"/>
      <c r="D180" s="5317"/>
      <c r="E180" s="5130"/>
      <c r="F180" s="5317"/>
      <c r="G180" s="5317"/>
      <c r="H180" s="5317"/>
      <c r="I180" s="5324"/>
      <c r="J180" s="5317"/>
      <c r="K180" s="2824"/>
      <c r="L180" s="5317"/>
      <c r="M180" s="2824"/>
      <c r="N180" s="5051"/>
      <c r="O180" s="5051"/>
      <c r="P180" s="5051"/>
      <c r="Q180" s="5051"/>
      <c r="R180" s="5051"/>
      <c r="S180" s="5051"/>
      <c r="T180" s="5051"/>
      <c r="U180" s="5051"/>
      <c r="V180" s="5051"/>
      <c r="W180" s="5051"/>
      <c r="X180" s="5051"/>
      <c r="Y180" s="5051"/>
      <c r="Z180" s="5051"/>
      <c r="AA180" s="5051"/>
      <c r="AB180" s="5194"/>
      <c r="AC180" s="2824">
        <v>3</v>
      </c>
      <c r="AD180" s="5317" t="s">
        <v>524</v>
      </c>
      <c r="AE180" s="5344">
        <v>0.1</v>
      </c>
      <c r="AF180" s="2824">
        <f>AE180*M178</f>
        <v>302485.3</v>
      </c>
      <c r="AG180" s="5347">
        <f t="shared" si="22"/>
        <v>324939</v>
      </c>
      <c r="AH180" s="5347" t="s">
        <v>122</v>
      </c>
      <c r="AI180" s="5347">
        <v>44126</v>
      </c>
      <c r="AJ180" s="5347">
        <v>324939</v>
      </c>
      <c r="AK180" s="5347">
        <v>44126</v>
      </c>
      <c r="AL180" s="2824">
        <v>324939</v>
      </c>
      <c r="AM180" s="2824">
        <v>44221</v>
      </c>
      <c r="AN180" s="5347">
        <f t="shared" si="26"/>
        <v>324939</v>
      </c>
      <c r="AO180" s="5347">
        <v>44314</v>
      </c>
      <c r="AP180" s="2824">
        <f t="shared" si="27"/>
        <v>0</v>
      </c>
      <c r="AQ180" s="5356"/>
      <c r="AR180" s="5317"/>
      <c r="AS180" s="5361"/>
      <c r="AT180" s="5356"/>
      <c r="AU180" s="5051"/>
      <c r="AV180" s="5051"/>
      <c r="AW180" s="5051"/>
      <c r="AX180" s="5051"/>
      <c r="AY180" s="5051"/>
      <c r="AZ180" s="5051"/>
      <c r="BA180" s="5363"/>
      <c r="BB180" s="5347"/>
      <c r="BC180" s="5347"/>
      <c r="BD180" s="5363"/>
      <c r="BE180" s="5363"/>
      <c r="BF180" s="5363">
        <v>324939</v>
      </c>
      <c r="BG180" s="5363"/>
      <c r="BH180" s="5347"/>
      <c r="BI180" s="5347"/>
      <c r="BJ180" s="5347"/>
      <c r="BK180" s="5347"/>
      <c r="BL180" s="5347"/>
      <c r="BM180" s="5347"/>
      <c r="BN180" s="5347"/>
      <c r="BO180" s="5363"/>
      <c r="BP180" s="5363"/>
      <c r="BQ180" s="5363"/>
      <c r="BR180" s="5363"/>
      <c r="BS180" s="5363"/>
      <c r="BT180" s="5363">
        <v>324939</v>
      </c>
      <c r="BU180" s="5363"/>
      <c r="BV180" s="5363"/>
      <c r="BW180" s="5363"/>
      <c r="BX180" s="5363"/>
      <c r="BY180" s="5363"/>
      <c r="BZ180" s="5363"/>
      <c r="CA180" s="5363"/>
      <c r="CB180" s="5363"/>
      <c r="CC180" s="2824"/>
      <c r="CD180" s="2824"/>
      <c r="CE180" s="5366"/>
      <c r="CF180" s="5366"/>
      <c r="CG180" s="5366"/>
      <c r="CH180" s="5366"/>
    </row>
    <row r="181" s="4975" customFormat="1" ht="61" customHeight="1" spans="1:86">
      <c r="A181" s="5315"/>
      <c r="B181" s="2824"/>
      <c r="C181" s="2824"/>
      <c r="D181" s="5317"/>
      <c r="E181" s="5130"/>
      <c r="F181" s="5317"/>
      <c r="G181" s="5317"/>
      <c r="H181" s="5317"/>
      <c r="I181" s="5325"/>
      <c r="J181" s="5317"/>
      <c r="K181" s="2824"/>
      <c r="L181" s="5317"/>
      <c r="M181" s="2824"/>
      <c r="N181" s="5051"/>
      <c r="O181" s="5051"/>
      <c r="P181" s="5051"/>
      <c r="Q181" s="5051"/>
      <c r="R181" s="5051"/>
      <c r="S181" s="5051"/>
      <c r="T181" s="5051"/>
      <c r="U181" s="5051"/>
      <c r="V181" s="5051"/>
      <c r="W181" s="5051"/>
      <c r="X181" s="5051"/>
      <c r="Y181" s="5051"/>
      <c r="Z181" s="5051"/>
      <c r="AA181" s="5051"/>
      <c r="AB181" s="5194"/>
      <c r="AC181" s="2824">
        <v>4</v>
      </c>
      <c r="AD181" s="5317" t="s">
        <v>334</v>
      </c>
      <c r="AE181" s="5344">
        <v>0.2</v>
      </c>
      <c r="AF181" s="2824">
        <f>AE181*M178</f>
        <v>604970.6</v>
      </c>
      <c r="AG181" s="5347">
        <f t="shared" si="22"/>
        <v>610584</v>
      </c>
      <c r="AH181" s="5348" t="s">
        <v>122</v>
      </c>
      <c r="AI181" s="5347">
        <v>44547</v>
      </c>
      <c r="AJ181" s="2824">
        <v>610584</v>
      </c>
      <c r="AK181" s="5347">
        <v>44547</v>
      </c>
      <c r="AL181" s="2824">
        <v>610584</v>
      </c>
      <c r="AM181" s="5347">
        <v>45279</v>
      </c>
      <c r="AN181" s="5347">
        <f t="shared" si="26"/>
        <v>610584</v>
      </c>
      <c r="AO181" s="5347">
        <v>45282</v>
      </c>
      <c r="AP181" s="2824">
        <f t="shared" si="27"/>
        <v>0</v>
      </c>
      <c r="AQ181" s="5357" t="s">
        <v>525</v>
      </c>
      <c r="AR181" s="2824"/>
      <c r="AS181" s="5361"/>
      <c r="AT181" s="5356"/>
      <c r="AU181" s="5051"/>
      <c r="AV181" s="5051"/>
      <c r="AW181" s="5051"/>
      <c r="AX181" s="5051"/>
      <c r="AY181" s="5051"/>
      <c r="AZ181" s="5051"/>
      <c r="BA181" s="5363"/>
      <c r="BB181" s="5347"/>
      <c r="BC181" s="5347"/>
      <c r="BD181" s="5363"/>
      <c r="BE181" s="5363"/>
      <c r="BF181" s="5363">
        <v>610584</v>
      </c>
      <c r="BG181" s="5363"/>
      <c r="BH181" s="5347"/>
      <c r="BI181" s="5347"/>
      <c r="BJ181" s="5347"/>
      <c r="BK181" s="5347"/>
      <c r="BL181" s="5347"/>
      <c r="BM181" s="5347"/>
      <c r="BN181" s="5347"/>
      <c r="BO181" s="5356"/>
      <c r="BP181" s="5356"/>
      <c r="BQ181" s="5356"/>
      <c r="BR181" s="5356"/>
      <c r="BS181" s="5356"/>
      <c r="BT181" s="5363">
        <v>610584</v>
      </c>
      <c r="BU181" s="5356"/>
      <c r="BV181" s="5356"/>
      <c r="BW181" s="5356"/>
      <c r="BX181" s="5356"/>
      <c r="BY181" s="5356"/>
      <c r="BZ181" s="5356"/>
      <c r="CA181" s="5356"/>
      <c r="CB181" s="5356"/>
      <c r="CC181" s="2824"/>
      <c r="CD181" s="2824"/>
      <c r="CE181" s="5366"/>
      <c r="CF181" s="5366"/>
      <c r="CG181" s="5366"/>
      <c r="CH181" s="5366"/>
    </row>
    <row r="182" s="4965" customFormat="1" ht="61" customHeight="1" spans="1:86">
      <c r="A182" s="5130">
        <v>34</v>
      </c>
      <c r="B182" s="3524" t="s">
        <v>173</v>
      </c>
      <c r="C182" s="3524">
        <v>43327</v>
      </c>
      <c r="D182" s="1032" t="s">
        <v>526</v>
      </c>
      <c r="E182" s="5130" t="s">
        <v>113</v>
      </c>
      <c r="F182" s="3742" t="s">
        <v>527</v>
      </c>
      <c r="G182" s="3742" t="s">
        <v>528</v>
      </c>
      <c r="H182" s="3742" t="s">
        <v>116</v>
      </c>
      <c r="I182" s="5073" t="s">
        <v>529</v>
      </c>
      <c r="J182" s="3742" t="s">
        <v>433</v>
      </c>
      <c r="K182" s="1032" t="s">
        <v>530</v>
      </c>
      <c r="L182" s="3742" t="s">
        <v>531</v>
      </c>
      <c r="M182" s="150">
        <f>SUM(N182:AA188)</f>
        <v>3959614</v>
      </c>
      <c r="N182" s="5195"/>
      <c r="O182" s="5195"/>
      <c r="P182" s="5195"/>
      <c r="Q182" s="5195"/>
      <c r="R182" s="5195"/>
      <c r="S182" s="5333">
        <v>3959614</v>
      </c>
      <c r="T182" s="5333"/>
      <c r="U182" s="5195"/>
      <c r="V182" s="5195"/>
      <c r="W182" s="5195">
        <v>0</v>
      </c>
      <c r="X182" s="5195">
        <v>0</v>
      </c>
      <c r="Y182" s="5195"/>
      <c r="Z182" s="5195"/>
      <c r="AA182" s="5195"/>
      <c r="AB182" s="5238" t="s">
        <v>532</v>
      </c>
      <c r="AC182" s="3524">
        <v>1</v>
      </c>
      <c r="AD182" s="3742" t="s">
        <v>523</v>
      </c>
      <c r="AE182" s="5117">
        <v>0.3</v>
      </c>
      <c r="AF182" s="3524">
        <f>AE182*M182</f>
        <v>1187884.2</v>
      </c>
      <c r="AG182" s="3524">
        <f t="shared" si="22"/>
        <v>1187884</v>
      </c>
      <c r="AH182" s="3524" t="s">
        <v>122</v>
      </c>
      <c r="AI182" s="3524">
        <v>43707</v>
      </c>
      <c r="AJ182" s="3524">
        <v>1187884</v>
      </c>
      <c r="AK182" s="3524">
        <v>43707</v>
      </c>
      <c r="AL182" s="3524">
        <v>1187884</v>
      </c>
      <c r="AM182" s="3524">
        <v>43758</v>
      </c>
      <c r="AN182" s="3524">
        <f t="shared" si="26"/>
        <v>842306</v>
      </c>
      <c r="AO182" s="3524">
        <v>43950</v>
      </c>
      <c r="AP182" s="3524"/>
      <c r="AQ182" s="5122"/>
      <c r="AR182" s="3524"/>
      <c r="AS182" s="5137"/>
      <c r="AT182" s="5122"/>
      <c r="AU182" s="5195">
        <f>SUM(AG182:AG188)</f>
        <v>4456982</v>
      </c>
      <c r="AV182" s="5195">
        <f>SUM(AL182:AL188)</f>
        <v>4456982</v>
      </c>
      <c r="AW182" s="5195">
        <f>SUM(AN182:AN188)</f>
        <v>3908949.58</v>
      </c>
      <c r="AX182" s="5195">
        <f>M182-AU182</f>
        <v>-497368</v>
      </c>
      <c r="AY182" s="5195">
        <f>AU182-AV182</f>
        <v>0</v>
      </c>
      <c r="AZ182" s="5195">
        <f>AV182-AW182</f>
        <v>548032.42</v>
      </c>
      <c r="BA182" s="5146"/>
      <c r="BB182" s="3812"/>
      <c r="BC182" s="3812"/>
      <c r="BD182" s="5146"/>
      <c r="BE182" s="5146"/>
      <c r="BF182" s="3812">
        <v>1187884</v>
      </c>
      <c r="BG182" s="3812"/>
      <c r="BH182" s="3812"/>
      <c r="BI182" s="3812"/>
      <c r="BJ182" s="3812"/>
      <c r="BK182" s="3812"/>
      <c r="BL182" s="3812"/>
      <c r="BM182" s="3812"/>
      <c r="BN182" s="3812"/>
      <c r="BO182" s="5122"/>
      <c r="BP182" s="5122"/>
      <c r="BQ182" s="5122"/>
      <c r="BR182" s="5122"/>
      <c r="BS182" s="5122"/>
      <c r="BT182" s="5122">
        <v>842306</v>
      </c>
      <c r="BU182" s="5122"/>
      <c r="BV182" s="5122"/>
      <c r="BW182" s="5122"/>
      <c r="BX182" s="5122"/>
      <c r="BY182" s="5122"/>
      <c r="BZ182" s="5122"/>
      <c r="CA182" s="5122"/>
      <c r="CB182" s="5122"/>
      <c r="CC182" s="3524" t="s">
        <v>124</v>
      </c>
      <c r="CD182" s="3524" t="s">
        <v>125</v>
      </c>
      <c r="CE182" s="5169"/>
      <c r="CF182" s="5169"/>
      <c r="CG182" s="5169"/>
      <c r="CH182" s="5169"/>
    </row>
    <row r="183" s="4965" customFormat="1" ht="61" customHeight="1" spans="1:86">
      <c r="A183" s="5130"/>
      <c r="B183" s="3524"/>
      <c r="C183" s="3524"/>
      <c r="D183" s="3742"/>
      <c r="E183" s="5130"/>
      <c r="F183" s="3742"/>
      <c r="G183" s="3742"/>
      <c r="H183" s="3742"/>
      <c r="I183" s="5074"/>
      <c r="J183" s="3742"/>
      <c r="K183" s="3524"/>
      <c r="L183" s="3742"/>
      <c r="M183" s="150"/>
      <c r="N183" s="5195"/>
      <c r="O183" s="5195"/>
      <c r="P183" s="5195"/>
      <c r="Q183" s="5195"/>
      <c r="R183" s="5195"/>
      <c r="S183" s="5333"/>
      <c r="T183" s="5333"/>
      <c r="U183" s="5195"/>
      <c r="V183" s="5195"/>
      <c r="W183" s="5195"/>
      <c r="X183" s="5195"/>
      <c r="Y183" s="5195"/>
      <c r="Z183" s="5195"/>
      <c r="AA183" s="5195"/>
      <c r="AB183" s="5197"/>
      <c r="AC183" s="3524"/>
      <c r="AD183" s="3742"/>
      <c r="AE183" s="5117"/>
      <c r="AF183" s="3524"/>
      <c r="AG183" s="3524"/>
      <c r="AH183" s="3524"/>
      <c r="AI183" s="3524"/>
      <c r="AJ183" s="3524"/>
      <c r="AK183" s="3524"/>
      <c r="AL183" s="3524"/>
      <c r="AM183" s="3524"/>
      <c r="AN183" s="3524">
        <f t="shared" si="26"/>
        <v>345578</v>
      </c>
      <c r="AO183" s="3524">
        <v>44000</v>
      </c>
      <c r="AP183" s="3524"/>
      <c r="AQ183" s="5122"/>
      <c r="AR183" s="3524"/>
      <c r="AS183" s="5137"/>
      <c r="AT183" s="5122"/>
      <c r="AU183" s="5195"/>
      <c r="AV183" s="5195"/>
      <c r="AW183" s="5195"/>
      <c r="AX183" s="5195"/>
      <c r="AY183" s="5195"/>
      <c r="AZ183" s="5195"/>
      <c r="BA183" s="5146"/>
      <c r="BB183" s="3812"/>
      <c r="BC183" s="3812"/>
      <c r="BD183" s="5146"/>
      <c r="BE183" s="5146"/>
      <c r="BF183" s="3812"/>
      <c r="BG183" s="3812"/>
      <c r="BH183" s="3812"/>
      <c r="BI183" s="3812"/>
      <c r="BJ183" s="3812"/>
      <c r="BK183" s="3812"/>
      <c r="BL183" s="3812"/>
      <c r="BM183" s="3812"/>
      <c r="BN183" s="3812"/>
      <c r="BO183" s="5122"/>
      <c r="BP183" s="5122"/>
      <c r="BQ183" s="5122"/>
      <c r="BR183" s="5122"/>
      <c r="BS183" s="5122"/>
      <c r="BT183" s="5122">
        <v>345578</v>
      </c>
      <c r="BU183" s="5122"/>
      <c r="BV183" s="5122"/>
      <c r="BW183" s="5122"/>
      <c r="BX183" s="5122"/>
      <c r="BY183" s="5122"/>
      <c r="BZ183" s="5122"/>
      <c r="CA183" s="5122"/>
      <c r="CB183" s="5122"/>
      <c r="CC183" s="3524"/>
      <c r="CD183" s="3524"/>
      <c r="CE183" s="5169"/>
      <c r="CF183" s="5169"/>
      <c r="CG183" s="5169"/>
      <c r="CH183" s="5169"/>
    </row>
    <row r="184" s="4965" customFormat="1" ht="61" customHeight="1" spans="1:86">
      <c r="A184" s="5130"/>
      <c r="B184" s="3524"/>
      <c r="C184" s="3524"/>
      <c r="D184" s="3742"/>
      <c r="E184" s="5130"/>
      <c r="F184" s="3742"/>
      <c r="G184" s="3742"/>
      <c r="H184" s="3742"/>
      <c r="I184" s="5074"/>
      <c r="J184" s="3742"/>
      <c r="K184" s="3524"/>
      <c r="L184" s="3742"/>
      <c r="M184" s="150"/>
      <c r="N184" s="5195"/>
      <c r="O184" s="5195"/>
      <c r="P184" s="5195"/>
      <c r="Q184" s="5195"/>
      <c r="R184" s="5195"/>
      <c r="S184" s="5333"/>
      <c r="T184" s="5333"/>
      <c r="U184" s="5195"/>
      <c r="V184" s="5195"/>
      <c r="W184" s="5195"/>
      <c r="X184" s="5195"/>
      <c r="Y184" s="5195"/>
      <c r="Z184" s="5195"/>
      <c r="AA184" s="5195"/>
      <c r="AB184" s="5197"/>
      <c r="AC184" s="3524">
        <v>2</v>
      </c>
      <c r="AD184" s="3742" t="s">
        <v>331</v>
      </c>
      <c r="AE184" s="5117">
        <v>0.4</v>
      </c>
      <c r="AF184" s="3524">
        <f>AE184*M182</f>
        <v>1583845.6</v>
      </c>
      <c r="AG184" s="3812">
        <f>SUM(BA184:BN184)</f>
        <v>1932003</v>
      </c>
      <c r="AH184" s="3812" t="s">
        <v>122</v>
      </c>
      <c r="AI184" s="3812">
        <v>44126</v>
      </c>
      <c r="AJ184" s="3812">
        <v>1932003</v>
      </c>
      <c r="AK184" s="3812">
        <v>44126</v>
      </c>
      <c r="AL184" s="3524">
        <v>1932003</v>
      </c>
      <c r="AM184" s="3524">
        <v>44225</v>
      </c>
      <c r="AN184" s="3812">
        <f t="shared" si="26"/>
        <v>650000</v>
      </c>
      <c r="AO184" s="3812">
        <v>44377</v>
      </c>
      <c r="AP184" s="3524"/>
      <c r="AQ184" s="5137" t="s">
        <v>533</v>
      </c>
      <c r="AR184" s="3524"/>
      <c r="AS184" s="5137"/>
      <c r="AT184" s="5122"/>
      <c r="AU184" s="5195"/>
      <c r="AV184" s="5195"/>
      <c r="AW184" s="5195"/>
      <c r="AX184" s="5195"/>
      <c r="AY184" s="5195"/>
      <c r="AZ184" s="5195"/>
      <c r="BA184" s="5146"/>
      <c r="BB184" s="3812"/>
      <c r="BC184" s="3812"/>
      <c r="BD184" s="5146"/>
      <c r="BE184" s="5146"/>
      <c r="BF184" s="3812">
        <v>1932003</v>
      </c>
      <c r="BG184" s="5146"/>
      <c r="BH184" s="3812"/>
      <c r="BI184" s="3812"/>
      <c r="BJ184" s="3812"/>
      <c r="BK184" s="3812"/>
      <c r="BL184" s="3812"/>
      <c r="BM184" s="3812"/>
      <c r="BN184" s="3812"/>
      <c r="BO184" s="5146"/>
      <c r="BP184" s="5146"/>
      <c r="BQ184" s="5146"/>
      <c r="BR184" s="5146"/>
      <c r="BS184" s="5146"/>
      <c r="BT184" s="5146">
        <v>650000</v>
      </c>
      <c r="BU184" s="5146"/>
      <c r="BV184" s="5146"/>
      <c r="BW184" s="5146"/>
      <c r="BX184" s="5146"/>
      <c r="BY184" s="5146"/>
      <c r="BZ184" s="5146"/>
      <c r="CA184" s="5146"/>
      <c r="CB184" s="5146"/>
      <c r="CC184" s="3524"/>
      <c r="CD184" s="3524"/>
      <c r="CE184" s="5169"/>
      <c r="CF184" s="5169"/>
      <c r="CG184" s="5169"/>
      <c r="CH184" s="5169"/>
    </row>
    <row r="185" s="4965" customFormat="1" ht="61" customHeight="1" spans="1:86">
      <c r="A185" s="5130"/>
      <c r="B185" s="3524"/>
      <c r="C185" s="3524"/>
      <c r="D185" s="3742"/>
      <c r="E185" s="5130"/>
      <c r="F185" s="3742"/>
      <c r="G185" s="3742"/>
      <c r="H185" s="3742"/>
      <c r="I185" s="5074"/>
      <c r="J185" s="3742"/>
      <c r="K185" s="3524"/>
      <c r="L185" s="3742"/>
      <c r="M185" s="150"/>
      <c r="N185" s="5195"/>
      <c r="O185" s="5195"/>
      <c r="P185" s="5195"/>
      <c r="Q185" s="5195"/>
      <c r="R185" s="5195"/>
      <c r="S185" s="5333"/>
      <c r="T185" s="5333"/>
      <c r="U185" s="5195"/>
      <c r="V185" s="5195"/>
      <c r="W185" s="5195"/>
      <c r="X185" s="5195"/>
      <c r="Y185" s="5195"/>
      <c r="Z185" s="5195"/>
      <c r="AA185" s="5195"/>
      <c r="AB185" s="5197"/>
      <c r="AC185" s="3524"/>
      <c r="AD185" s="3742"/>
      <c r="AE185" s="5117"/>
      <c r="AF185" s="3524"/>
      <c r="AG185" s="3812"/>
      <c r="AH185" s="3812"/>
      <c r="AI185" s="3812"/>
      <c r="AJ185" s="3812"/>
      <c r="AK185" s="3812"/>
      <c r="AL185" s="3524"/>
      <c r="AM185" s="3524"/>
      <c r="AN185" s="3812">
        <f t="shared" si="26"/>
        <v>1282003</v>
      </c>
      <c r="AO185" s="3812">
        <v>44439</v>
      </c>
      <c r="AP185" s="3524"/>
      <c r="AQ185" s="5137" t="s">
        <v>534</v>
      </c>
      <c r="AR185" s="3524"/>
      <c r="AS185" s="5137"/>
      <c r="AT185" s="5122"/>
      <c r="AU185" s="5195"/>
      <c r="AV185" s="5195"/>
      <c r="AW185" s="5195"/>
      <c r="AX185" s="5195"/>
      <c r="AY185" s="5195"/>
      <c r="AZ185" s="5195"/>
      <c r="BA185" s="5146"/>
      <c r="BB185" s="3812"/>
      <c r="BC185" s="3812"/>
      <c r="BD185" s="5146"/>
      <c r="BE185" s="5146"/>
      <c r="BF185" s="3812"/>
      <c r="BG185" s="5146"/>
      <c r="BH185" s="3812"/>
      <c r="BI185" s="3812"/>
      <c r="BJ185" s="3812"/>
      <c r="BK185" s="3812"/>
      <c r="BL185" s="3812"/>
      <c r="BM185" s="3812"/>
      <c r="BN185" s="3812"/>
      <c r="BO185" s="5146"/>
      <c r="BP185" s="5146"/>
      <c r="BQ185" s="5146"/>
      <c r="BR185" s="5146"/>
      <c r="BS185" s="5146"/>
      <c r="BT185" s="5146">
        <v>1282003</v>
      </c>
      <c r="BU185" s="5146"/>
      <c r="BV185" s="5146"/>
      <c r="BW185" s="5146"/>
      <c r="BX185" s="5146"/>
      <c r="BY185" s="5146"/>
      <c r="BZ185" s="5146"/>
      <c r="CA185" s="5146"/>
      <c r="CB185" s="5146"/>
      <c r="CC185" s="3524"/>
      <c r="CD185" s="3524"/>
      <c r="CE185" s="5169"/>
      <c r="CF185" s="5169"/>
      <c r="CG185" s="5169"/>
      <c r="CH185" s="5169"/>
    </row>
    <row r="186" s="4965" customFormat="1" ht="61" customHeight="1" spans="1:86">
      <c r="A186" s="5130"/>
      <c r="B186" s="3524"/>
      <c r="C186" s="3524"/>
      <c r="D186" s="3742"/>
      <c r="E186" s="5130"/>
      <c r="F186" s="3742"/>
      <c r="G186" s="3742"/>
      <c r="H186" s="3742"/>
      <c r="I186" s="5074"/>
      <c r="J186" s="3742"/>
      <c r="K186" s="3524"/>
      <c r="L186" s="3742"/>
      <c r="M186" s="150"/>
      <c r="N186" s="5195"/>
      <c r="O186" s="5195"/>
      <c r="P186" s="5195"/>
      <c r="Q186" s="5195"/>
      <c r="R186" s="5195"/>
      <c r="S186" s="5333"/>
      <c r="T186" s="5333"/>
      <c r="U186" s="5195"/>
      <c r="V186" s="5195"/>
      <c r="W186" s="5195"/>
      <c r="X186" s="5195"/>
      <c r="Y186" s="5195"/>
      <c r="Z186" s="5195"/>
      <c r="AA186" s="5195"/>
      <c r="AB186" s="5197"/>
      <c r="AC186" s="3524">
        <v>3</v>
      </c>
      <c r="AD186" s="3742" t="s">
        <v>524</v>
      </c>
      <c r="AE186" s="5117">
        <v>0.1</v>
      </c>
      <c r="AF186" s="3524">
        <f>AE186*M182</f>
        <v>395961.4</v>
      </c>
      <c r="AG186" s="3812">
        <f>SUM(BA186:BN186)</f>
        <v>445698.23</v>
      </c>
      <c r="AH186" s="857" t="s">
        <v>122</v>
      </c>
      <c r="AI186" s="3524">
        <v>44547</v>
      </c>
      <c r="AJ186" s="3524">
        <v>445698.23</v>
      </c>
      <c r="AK186" s="3524">
        <v>44547</v>
      </c>
      <c r="AL186" s="4087">
        <v>789062.58</v>
      </c>
      <c r="AM186" s="4840">
        <v>45978</v>
      </c>
      <c r="AN186" s="4840">
        <f t="shared" si="26"/>
        <v>789062.58</v>
      </c>
      <c r="AO186" s="4840">
        <v>46021</v>
      </c>
      <c r="AP186" s="3524"/>
      <c r="AQ186" s="5256" t="s">
        <v>209</v>
      </c>
      <c r="AR186" s="3524"/>
      <c r="AS186" s="5137"/>
      <c r="AT186" s="5122"/>
      <c r="AU186" s="5195"/>
      <c r="AV186" s="5195"/>
      <c r="AW186" s="5195"/>
      <c r="AX186" s="5195"/>
      <c r="AY186" s="5195"/>
      <c r="AZ186" s="5195"/>
      <c r="BA186" s="5146"/>
      <c r="BB186" s="3812"/>
      <c r="BC186" s="3812"/>
      <c r="BD186" s="5146"/>
      <c r="BE186" s="5146"/>
      <c r="BF186" s="5146">
        <v>445698.23</v>
      </c>
      <c r="BG186" s="5146"/>
      <c r="BH186" s="3812"/>
      <c r="BI186" s="3812"/>
      <c r="BJ186" s="3812"/>
      <c r="BK186" s="3812"/>
      <c r="BL186" s="3812"/>
      <c r="BM186" s="3812"/>
      <c r="BN186" s="3812"/>
      <c r="BO186" s="5122"/>
      <c r="BP186" s="5122"/>
      <c r="BQ186" s="5122"/>
      <c r="BR186" s="5122"/>
      <c r="BS186" s="5122"/>
      <c r="BT186" s="4087">
        <v>789062.58</v>
      </c>
      <c r="BU186" s="5122"/>
      <c r="BV186" s="5122"/>
      <c r="BW186" s="5122"/>
      <c r="BX186" s="5122"/>
      <c r="BY186" s="5122"/>
      <c r="BZ186" s="5122"/>
      <c r="CA186" s="5122"/>
      <c r="CB186" s="5122"/>
      <c r="CC186" s="3524"/>
      <c r="CD186" s="3524"/>
      <c r="CE186" s="5169"/>
      <c r="CF186" s="5169"/>
      <c r="CG186" s="5169"/>
      <c r="CH186" s="5169"/>
    </row>
    <row r="187" s="4965" customFormat="1" ht="61" customHeight="1" spans="1:86">
      <c r="A187" s="5130"/>
      <c r="B187" s="3524"/>
      <c r="C187" s="3524"/>
      <c r="D187" s="3742"/>
      <c r="E187" s="5130"/>
      <c r="F187" s="3742"/>
      <c r="G187" s="3742"/>
      <c r="H187" s="3742"/>
      <c r="I187" s="5075"/>
      <c r="J187" s="3742"/>
      <c r="K187" s="3524"/>
      <c r="L187" s="3742"/>
      <c r="M187" s="150"/>
      <c r="N187" s="5195"/>
      <c r="O187" s="5195"/>
      <c r="P187" s="5195"/>
      <c r="Q187" s="5195"/>
      <c r="R187" s="5195"/>
      <c r="S187" s="5333"/>
      <c r="T187" s="5333"/>
      <c r="U187" s="5195"/>
      <c r="V187" s="5195"/>
      <c r="W187" s="5195"/>
      <c r="X187" s="5195"/>
      <c r="Y187" s="5195"/>
      <c r="Z187" s="5195"/>
      <c r="AA187" s="5195"/>
      <c r="AB187" s="5197"/>
      <c r="AC187" s="3524">
        <v>4</v>
      </c>
      <c r="AD187" s="3742" t="s">
        <v>334</v>
      </c>
      <c r="AE187" s="5117">
        <v>0.2</v>
      </c>
      <c r="AF187" s="3524">
        <f>M182*AE187</f>
        <v>791922.8</v>
      </c>
      <c r="AG187" s="3812">
        <f>SUM(BA187:BN187)</f>
        <v>891817.77</v>
      </c>
      <c r="AH187" s="857" t="s">
        <v>122</v>
      </c>
      <c r="AI187" s="3812">
        <v>44876</v>
      </c>
      <c r="AJ187" s="3812">
        <f>SUM(BD187:BQ187)</f>
        <v>891817.77</v>
      </c>
      <c r="AK187" s="3812">
        <v>44876</v>
      </c>
      <c r="AL187" s="4903">
        <v>548032.42</v>
      </c>
      <c r="AM187" s="5350"/>
      <c r="AN187" s="5301"/>
      <c r="AO187" s="5251"/>
      <c r="AP187" s="3524">
        <f>AG187-AN187</f>
        <v>891817.77</v>
      </c>
      <c r="AQ187" s="5256" t="s">
        <v>535</v>
      </c>
      <c r="AR187" s="3524"/>
      <c r="AS187" s="5137"/>
      <c r="AT187" s="5122"/>
      <c r="AU187" s="5195"/>
      <c r="AV187" s="5195"/>
      <c r="AW187" s="5195"/>
      <c r="AX187" s="5195"/>
      <c r="AY187" s="5195"/>
      <c r="AZ187" s="5195"/>
      <c r="BA187" s="5146"/>
      <c r="BB187" s="3812"/>
      <c r="BC187" s="3812"/>
      <c r="BD187" s="5146"/>
      <c r="BE187" s="5146"/>
      <c r="BF187" s="3812">
        <v>891817.77</v>
      </c>
      <c r="BG187" s="5146"/>
      <c r="BH187" s="3812"/>
      <c r="BI187" s="3812"/>
      <c r="BJ187" s="3812"/>
      <c r="BK187" s="3812"/>
      <c r="BL187" s="3812"/>
      <c r="BM187" s="3812"/>
      <c r="BN187" s="3812"/>
      <c r="BO187" s="5122"/>
      <c r="BP187" s="5122"/>
      <c r="BQ187" s="5122"/>
      <c r="BR187" s="5122"/>
      <c r="BS187" s="5122"/>
      <c r="BT187" s="4903">
        <v>548032.42</v>
      </c>
      <c r="BU187" s="5122"/>
      <c r="BV187" s="5122"/>
      <c r="BW187" s="5122"/>
      <c r="BX187" s="5122"/>
      <c r="BY187" s="5122"/>
      <c r="BZ187" s="5122"/>
      <c r="CA187" s="5122"/>
      <c r="CB187" s="5122"/>
      <c r="CC187" s="3524"/>
      <c r="CD187" s="3524"/>
      <c r="CE187" s="5169"/>
      <c r="CF187" s="5169"/>
      <c r="CG187" s="5169"/>
      <c r="CH187" s="5169"/>
    </row>
    <row r="188" s="4965" customFormat="1" ht="61" customHeight="1" spans="1:86">
      <c r="A188" s="5130"/>
      <c r="B188" s="3524"/>
      <c r="C188" s="3524"/>
      <c r="D188" s="3742"/>
      <c r="E188" s="5130"/>
      <c r="F188" s="3742"/>
      <c r="G188" s="3742"/>
      <c r="H188" s="3742"/>
      <c r="I188" s="5075"/>
      <c r="J188" s="3742"/>
      <c r="K188" s="3524"/>
      <c r="L188" s="3742"/>
      <c r="M188" s="150"/>
      <c r="N188" s="5195"/>
      <c r="O188" s="5195"/>
      <c r="P188" s="5195"/>
      <c r="Q188" s="5195"/>
      <c r="R188" s="5195"/>
      <c r="S188" s="5333"/>
      <c r="T188" s="5333"/>
      <c r="U188" s="5195"/>
      <c r="V188" s="5195"/>
      <c r="W188" s="5195"/>
      <c r="X188" s="5195"/>
      <c r="Y188" s="5195"/>
      <c r="Z188" s="5195"/>
      <c r="AA188" s="5195"/>
      <c r="AB188" s="5197"/>
      <c r="AC188" s="3524">
        <v>5</v>
      </c>
      <c r="AD188" s="1032" t="s">
        <v>536</v>
      </c>
      <c r="AE188" s="5117">
        <v>0</v>
      </c>
      <c r="AF188" s="3524">
        <v>-421</v>
      </c>
      <c r="AG188" s="3812">
        <v>-421</v>
      </c>
      <c r="AH188" s="857" t="s">
        <v>122</v>
      </c>
      <c r="AI188" s="3812">
        <v>45904</v>
      </c>
      <c r="AJ188" s="3812">
        <v>-421</v>
      </c>
      <c r="AK188" s="3812">
        <v>45904</v>
      </c>
      <c r="AL188" s="4903"/>
      <c r="AM188" s="5350"/>
      <c r="AN188" s="5301"/>
      <c r="AO188" s="5251"/>
      <c r="AP188" s="3524">
        <f t="shared" ref="AP188:AP193" si="28">AG188-AN188</f>
        <v>-421</v>
      </c>
      <c r="AQ188" s="5122"/>
      <c r="AR188" s="3524"/>
      <c r="AS188" s="5137"/>
      <c r="AT188" s="5122"/>
      <c r="AU188" s="5195"/>
      <c r="AV188" s="5195"/>
      <c r="AW188" s="5195"/>
      <c r="AX188" s="5195"/>
      <c r="AY188" s="5195"/>
      <c r="AZ188" s="5195"/>
      <c r="BA188" s="5146"/>
      <c r="BB188" s="3812"/>
      <c r="BC188" s="3812"/>
      <c r="BD188" s="5146"/>
      <c r="BE188" s="5146"/>
      <c r="BF188" s="3812">
        <v>-421</v>
      </c>
      <c r="BG188" s="5146"/>
      <c r="BH188" s="3812"/>
      <c r="BI188" s="3812"/>
      <c r="BJ188" s="3812"/>
      <c r="BK188" s="3812"/>
      <c r="BL188" s="3812"/>
      <c r="BM188" s="3812"/>
      <c r="BN188" s="3812"/>
      <c r="BO188" s="5122"/>
      <c r="BP188" s="5122"/>
      <c r="BQ188" s="5122"/>
      <c r="BR188" s="5122"/>
      <c r="BS188" s="5122"/>
      <c r="BT188" s="5301"/>
      <c r="BU188" s="5122"/>
      <c r="BV188" s="5122"/>
      <c r="BW188" s="5122"/>
      <c r="BX188" s="5122"/>
      <c r="BY188" s="5122"/>
      <c r="BZ188" s="5122"/>
      <c r="CA188" s="5122"/>
      <c r="CB188" s="5122"/>
      <c r="CC188" s="3524"/>
      <c r="CD188" s="3524"/>
      <c r="CE188" s="5169"/>
      <c r="CF188" s="5169"/>
      <c r="CG188" s="5169"/>
      <c r="CH188" s="5169"/>
    </row>
    <row r="189" s="4973" customFormat="1" ht="61" customHeight="1" spans="1:86">
      <c r="A189" s="5314">
        <v>35</v>
      </c>
      <c r="B189" s="3058" t="s">
        <v>173</v>
      </c>
      <c r="C189" s="3058">
        <v>43256</v>
      </c>
      <c r="D189" s="1125" t="s">
        <v>537</v>
      </c>
      <c r="E189" s="5130" t="s">
        <v>113</v>
      </c>
      <c r="F189" s="5054" t="s">
        <v>538</v>
      </c>
      <c r="G189" s="5054" t="s">
        <v>539</v>
      </c>
      <c r="H189" s="3058" t="s">
        <v>193</v>
      </c>
      <c r="I189" s="5073" t="s">
        <v>540</v>
      </c>
      <c r="J189" s="5054" t="s">
        <v>508</v>
      </c>
      <c r="K189" s="3058">
        <v>52066</v>
      </c>
      <c r="L189" s="5054" t="s">
        <v>541</v>
      </c>
      <c r="M189" s="3058">
        <f>SUM(N189:AA190)</f>
        <v>298500</v>
      </c>
      <c r="N189" s="5084"/>
      <c r="O189" s="5084"/>
      <c r="P189" s="5084"/>
      <c r="Q189" s="5084"/>
      <c r="R189" s="5084"/>
      <c r="S189" s="5084"/>
      <c r="T189" s="5084"/>
      <c r="U189" s="5084"/>
      <c r="V189" s="5084">
        <v>298500</v>
      </c>
      <c r="W189" s="5084">
        <v>0</v>
      </c>
      <c r="X189" s="5084">
        <v>0</v>
      </c>
      <c r="Y189" s="5084"/>
      <c r="Z189" s="5084"/>
      <c r="AA189" s="5084"/>
      <c r="AB189" s="5084"/>
      <c r="AC189" s="3058">
        <v>1</v>
      </c>
      <c r="AD189" s="5054" t="s">
        <v>542</v>
      </c>
      <c r="AE189" s="5339">
        <v>0.6</v>
      </c>
      <c r="AF189" s="3058">
        <f>AE189*M189</f>
        <v>179100</v>
      </c>
      <c r="AG189" s="3058">
        <v>179100</v>
      </c>
      <c r="AH189" s="3058" t="s">
        <v>206</v>
      </c>
      <c r="AI189" s="3058">
        <v>43525</v>
      </c>
      <c r="AJ189" s="3058" t="s">
        <v>171</v>
      </c>
      <c r="AK189" s="3058" t="s">
        <v>171</v>
      </c>
      <c r="AL189" s="3058">
        <v>179100</v>
      </c>
      <c r="AM189" s="3058">
        <v>43525</v>
      </c>
      <c r="AN189" s="3058">
        <f t="shared" ref="AN189:AN196" si="29">SUM(BO189:CB189)</f>
        <v>179100</v>
      </c>
      <c r="AO189" s="3058">
        <v>43605</v>
      </c>
      <c r="AP189" s="3058">
        <f t="shared" si="28"/>
        <v>0</v>
      </c>
      <c r="AQ189" s="5138"/>
      <c r="AR189" s="3058"/>
      <c r="AS189" s="5131"/>
      <c r="AT189" s="5138"/>
      <c r="AU189" s="5084">
        <f>SUM(AG189:AG190)</f>
        <v>298500</v>
      </c>
      <c r="AV189" s="5084">
        <f>SUM(AL189:AL190)</f>
        <v>298500</v>
      </c>
      <c r="AW189" s="5084">
        <f>SUM(AN189:AN190)</f>
        <v>298500</v>
      </c>
      <c r="AX189" s="5084">
        <f>V189-AU189</f>
        <v>0</v>
      </c>
      <c r="AY189" s="5084">
        <f>AU189-AV189</f>
        <v>0</v>
      </c>
      <c r="AZ189" s="5084">
        <f>AV189-AW189</f>
        <v>0</v>
      </c>
      <c r="BA189" s="5150"/>
      <c r="BB189" s="3057"/>
      <c r="BC189" s="3057"/>
      <c r="BD189" s="5150"/>
      <c r="BE189" s="5150"/>
      <c r="BF189" s="5150"/>
      <c r="BG189" s="5150"/>
      <c r="BH189" s="3057"/>
      <c r="BI189" s="3057">
        <v>179100</v>
      </c>
      <c r="BJ189" s="3057"/>
      <c r="BK189" s="3057"/>
      <c r="BL189" s="3057"/>
      <c r="BM189" s="3057"/>
      <c r="BN189" s="3057"/>
      <c r="BO189" s="5138"/>
      <c r="BP189" s="5138"/>
      <c r="BQ189" s="5138"/>
      <c r="BR189" s="5138"/>
      <c r="BS189" s="5138"/>
      <c r="BT189" s="5138"/>
      <c r="BU189" s="5138"/>
      <c r="BV189" s="3058"/>
      <c r="BW189" s="5138">
        <v>179100</v>
      </c>
      <c r="BX189" s="5138"/>
      <c r="BY189" s="5138"/>
      <c r="BZ189" s="5138"/>
      <c r="CA189" s="5138"/>
      <c r="CB189" s="5138"/>
      <c r="CC189" s="3058" t="s">
        <v>197</v>
      </c>
      <c r="CD189" s="3058" t="s">
        <v>154</v>
      </c>
      <c r="CE189" s="5171"/>
      <c r="CF189" s="5171"/>
      <c r="CG189" s="5171"/>
      <c r="CH189" s="5171"/>
    </row>
    <row r="190" s="4973" customFormat="1" ht="61" customHeight="1" spans="1:86">
      <c r="A190" s="5314"/>
      <c r="B190" s="3058"/>
      <c r="C190" s="3058"/>
      <c r="D190" s="5054"/>
      <c r="E190" s="5130"/>
      <c r="F190" s="5054"/>
      <c r="G190" s="5054"/>
      <c r="H190" s="3058"/>
      <c r="I190" s="3741"/>
      <c r="J190" s="5054"/>
      <c r="K190" s="3058"/>
      <c r="L190" s="5054"/>
      <c r="M190" s="3058"/>
      <c r="N190" s="5084"/>
      <c r="O190" s="5084"/>
      <c r="P190" s="5084"/>
      <c r="Q190" s="5084"/>
      <c r="R190" s="5084"/>
      <c r="S190" s="5084"/>
      <c r="T190" s="5084"/>
      <c r="U190" s="5084"/>
      <c r="V190" s="5084"/>
      <c r="W190" s="5084"/>
      <c r="X190" s="5084"/>
      <c r="Y190" s="5084"/>
      <c r="Z190" s="5084"/>
      <c r="AA190" s="5084"/>
      <c r="AB190" s="5084"/>
      <c r="AC190" s="3058">
        <v>2</v>
      </c>
      <c r="AD190" s="5054" t="s">
        <v>543</v>
      </c>
      <c r="AE190" s="5339">
        <v>0.4</v>
      </c>
      <c r="AF190" s="3058">
        <f>AE190*M189</f>
        <v>119400</v>
      </c>
      <c r="AG190" s="3058">
        <f t="shared" ref="AG190:AG197" si="30">SUM(BA190:BN190)</f>
        <v>119400</v>
      </c>
      <c r="AH190" s="1125" t="s">
        <v>122</v>
      </c>
      <c r="AI190" s="3058">
        <v>43718</v>
      </c>
      <c r="AJ190" s="3058" t="s">
        <v>171</v>
      </c>
      <c r="AK190" s="3058" t="s">
        <v>171</v>
      </c>
      <c r="AL190" s="3058">
        <v>119400</v>
      </c>
      <c r="AM190" s="3058">
        <v>45628</v>
      </c>
      <c r="AN190" s="5125">
        <f t="shared" si="29"/>
        <v>119400</v>
      </c>
      <c r="AO190" s="5125">
        <v>45652</v>
      </c>
      <c r="AP190" s="3058">
        <f t="shared" si="28"/>
        <v>0</v>
      </c>
      <c r="AQ190" s="5355" t="s">
        <v>544</v>
      </c>
      <c r="AR190" s="3058"/>
      <c r="AS190" s="5131"/>
      <c r="AT190" s="5138"/>
      <c r="AU190" s="5362"/>
      <c r="AV190" s="5362"/>
      <c r="AW190" s="5362"/>
      <c r="AX190" s="5362"/>
      <c r="AY190" s="5362"/>
      <c r="AZ190" s="5362"/>
      <c r="BA190" s="5150"/>
      <c r="BB190" s="3057"/>
      <c r="BC190" s="3057"/>
      <c r="BD190" s="5150"/>
      <c r="BE190" s="5150"/>
      <c r="BF190" s="5150"/>
      <c r="BG190" s="5150"/>
      <c r="BH190" s="3057"/>
      <c r="BI190" s="3057">
        <v>119400</v>
      </c>
      <c r="BJ190" s="3057"/>
      <c r="BK190" s="3057"/>
      <c r="BL190" s="3057"/>
      <c r="BM190" s="3057"/>
      <c r="BN190" s="3057"/>
      <c r="BO190" s="5159"/>
      <c r="BP190" s="5159"/>
      <c r="BQ190" s="5159"/>
      <c r="BR190" s="5159"/>
      <c r="BS190" s="5159"/>
      <c r="BT190" s="5159"/>
      <c r="BU190" s="5159"/>
      <c r="BV190" s="5159"/>
      <c r="BW190" s="3057">
        <v>119400</v>
      </c>
      <c r="BX190" s="4059"/>
      <c r="BY190" s="4059"/>
      <c r="BZ190" s="4059"/>
      <c r="CA190" s="4059"/>
      <c r="CB190" s="5159"/>
      <c r="CC190" s="3058"/>
      <c r="CD190" s="3058"/>
      <c r="CE190" s="5171"/>
      <c r="CF190" s="5171"/>
      <c r="CG190" s="5171"/>
      <c r="CH190" s="5171"/>
    </row>
    <row r="191" s="4972" customFormat="1" ht="42.5" customHeight="1" spans="1:86">
      <c r="A191" s="5130">
        <v>36</v>
      </c>
      <c r="B191" s="3662" t="s">
        <v>173</v>
      </c>
      <c r="C191" s="3662">
        <v>43424</v>
      </c>
      <c r="D191" s="5055" t="s">
        <v>545</v>
      </c>
      <c r="E191" s="5312" t="s">
        <v>113</v>
      </c>
      <c r="F191" s="5053" t="s">
        <v>546</v>
      </c>
      <c r="G191" s="5053" t="s">
        <v>547</v>
      </c>
      <c r="H191" s="3662" t="s">
        <v>193</v>
      </c>
      <c r="I191" s="3744"/>
      <c r="J191" s="5053" t="s">
        <v>433</v>
      </c>
      <c r="K191" s="3662">
        <v>133156</v>
      </c>
      <c r="L191" s="5053" t="s">
        <v>548</v>
      </c>
      <c r="M191" s="3662">
        <f>SUM(N191:AA193)</f>
        <v>532624</v>
      </c>
      <c r="N191" s="5229"/>
      <c r="O191" s="5229"/>
      <c r="P191" s="5229"/>
      <c r="Q191" s="5229"/>
      <c r="R191" s="5229"/>
      <c r="S191" s="5229"/>
      <c r="T191" s="5229"/>
      <c r="U191" s="5229"/>
      <c r="V191" s="5229">
        <v>532624</v>
      </c>
      <c r="W191" s="5229">
        <v>0</v>
      </c>
      <c r="X191" s="5229">
        <v>0</v>
      </c>
      <c r="Y191" s="5229"/>
      <c r="Z191" s="5229"/>
      <c r="AA191" s="5229"/>
      <c r="AB191" s="5229"/>
      <c r="AC191" s="3662">
        <v>1</v>
      </c>
      <c r="AD191" s="3662" t="s">
        <v>549</v>
      </c>
      <c r="AE191" s="5115">
        <v>0.4</v>
      </c>
      <c r="AF191" s="3662">
        <f>AE191*M191</f>
        <v>213049.6</v>
      </c>
      <c r="AG191" s="3662">
        <f t="shared" si="30"/>
        <v>213049.6</v>
      </c>
      <c r="AH191" s="3662" t="s">
        <v>122</v>
      </c>
      <c r="AI191" s="3662">
        <v>43819</v>
      </c>
      <c r="AJ191" s="3662">
        <v>213049.6</v>
      </c>
      <c r="AK191" s="3662">
        <v>43819</v>
      </c>
      <c r="AL191" s="3662">
        <v>213049.6</v>
      </c>
      <c r="AM191" s="3662">
        <v>44228</v>
      </c>
      <c r="AN191" s="3684">
        <f t="shared" si="29"/>
        <v>213049.6</v>
      </c>
      <c r="AO191" s="3814">
        <v>44495</v>
      </c>
      <c r="AP191" s="3662">
        <f t="shared" si="28"/>
        <v>0</v>
      </c>
      <c r="AQ191" s="5127"/>
      <c r="AR191" s="3662"/>
      <c r="AS191" s="5134"/>
      <c r="AT191" s="5127"/>
      <c r="AU191" s="3662">
        <f>SUM(AG191:AG194)</f>
        <v>532624</v>
      </c>
      <c r="AV191" s="3662">
        <f>SUM(AL191:AL194)</f>
        <v>532624</v>
      </c>
      <c r="AW191" s="3662">
        <f>SUM(AN191:AN194)</f>
        <v>532624</v>
      </c>
      <c r="AX191" s="3662">
        <f>M191-AU191</f>
        <v>0</v>
      </c>
      <c r="AY191" s="3662">
        <f>AU191-AV191</f>
        <v>0</v>
      </c>
      <c r="AZ191" s="3662">
        <f>AV191-AW191</f>
        <v>0</v>
      </c>
      <c r="BA191" s="5148"/>
      <c r="BB191" s="3684"/>
      <c r="BC191" s="3684"/>
      <c r="BD191" s="5148"/>
      <c r="BE191" s="5148"/>
      <c r="BF191" s="5148"/>
      <c r="BG191" s="5148"/>
      <c r="BH191" s="3684"/>
      <c r="BI191" s="3684">
        <v>213049.6</v>
      </c>
      <c r="BJ191" s="3684"/>
      <c r="BK191" s="3684"/>
      <c r="BL191" s="3684"/>
      <c r="BM191" s="3684"/>
      <c r="BN191" s="3684"/>
      <c r="BO191" s="5148"/>
      <c r="BP191" s="5148"/>
      <c r="BQ191" s="5148"/>
      <c r="BR191" s="5148"/>
      <c r="BS191" s="5148"/>
      <c r="BT191" s="5148"/>
      <c r="BU191" s="5148"/>
      <c r="BV191" s="5148"/>
      <c r="BW191" s="3684">
        <v>213049.6</v>
      </c>
      <c r="BX191" s="3684"/>
      <c r="BY191" s="3684"/>
      <c r="BZ191" s="3684"/>
      <c r="CA191" s="3684"/>
      <c r="CB191" s="5148"/>
      <c r="CC191" s="5312" t="s">
        <v>124</v>
      </c>
      <c r="CD191" s="5312" t="s">
        <v>125</v>
      </c>
      <c r="CE191" s="5170"/>
      <c r="CF191" s="5170"/>
      <c r="CG191" s="5170"/>
      <c r="CH191" s="5170"/>
    </row>
    <row r="192" s="4972" customFormat="1" ht="34.15" customHeight="1" spans="1:86">
      <c r="A192" s="5130"/>
      <c r="B192" s="3662"/>
      <c r="C192" s="3662"/>
      <c r="D192" s="5053"/>
      <c r="E192" s="5312"/>
      <c r="F192" s="5053"/>
      <c r="G192" s="5053"/>
      <c r="H192" s="3662"/>
      <c r="I192" s="3666"/>
      <c r="J192" s="5053"/>
      <c r="K192" s="3662"/>
      <c r="L192" s="5053"/>
      <c r="M192" s="3662"/>
      <c r="N192" s="5229"/>
      <c r="O192" s="5229"/>
      <c r="P192" s="5229"/>
      <c r="Q192" s="5229"/>
      <c r="R192" s="5229"/>
      <c r="S192" s="5229"/>
      <c r="T192" s="5229"/>
      <c r="U192" s="5229"/>
      <c r="V192" s="5229"/>
      <c r="W192" s="5229"/>
      <c r="X192" s="5229"/>
      <c r="Y192" s="5229"/>
      <c r="Z192" s="5229"/>
      <c r="AA192" s="5229"/>
      <c r="AB192" s="5229"/>
      <c r="AC192" s="3662">
        <v>2</v>
      </c>
      <c r="AD192" s="3662" t="s">
        <v>550</v>
      </c>
      <c r="AE192" s="5115">
        <v>0.4</v>
      </c>
      <c r="AF192" s="3662">
        <f>AE192*M191</f>
        <v>213049.6</v>
      </c>
      <c r="AG192" s="3662">
        <f t="shared" si="30"/>
        <v>213049.6</v>
      </c>
      <c r="AH192" s="3662" t="s">
        <v>122</v>
      </c>
      <c r="AI192" s="3662">
        <v>43819</v>
      </c>
      <c r="AJ192" s="3662">
        <v>213049.6</v>
      </c>
      <c r="AK192" s="3662">
        <v>43819</v>
      </c>
      <c r="AL192" s="3662">
        <v>213049.6</v>
      </c>
      <c r="AM192" s="3662">
        <v>44228</v>
      </c>
      <c r="AN192" s="3684">
        <f t="shared" si="29"/>
        <v>213049.6</v>
      </c>
      <c r="AO192" s="3684">
        <v>44495</v>
      </c>
      <c r="AP192" s="3662">
        <f t="shared" si="28"/>
        <v>0</v>
      </c>
      <c r="AQ192" s="5127"/>
      <c r="AR192" s="3662"/>
      <c r="AS192" s="5134"/>
      <c r="AT192" s="5127"/>
      <c r="AU192" s="3662"/>
      <c r="AV192" s="3662"/>
      <c r="AW192" s="3662"/>
      <c r="AX192" s="3662"/>
      <c r="AY192" s="3662"/>
      <c r="AZ192" s="3662"/>
      <c r="BA192" s="5148"/>
      <c r="BB192" s="3684"/>
      <c r="BC192" s="3684"/>
      <c r="BD192" s="5148"/>
      <c r="BE192" s="5148"/>
      <c r="BF192" s="5148"/>
      <c r="BG192" s="5148"/>
      <c r="BH192" s="3684"/>
      <c r="BI192" s="3684">
        <v>213049.6</v>
      </c>
      <c r="BJ192" s="3684"/>
      <c r="BK192" s="3684"/>
      <c r="BL192" s="3684"/>
      <c r="BM192" s="3684"/>
      <c r="BN192" s="3684"/>
      <c r="BO192" s="5148"/>
      <c r="BP192" s="5148"/>
      <c r="BQ192" s="5148"/>
      <c r="BR192" s="5148"/>
      <c r="BS192" s="5148"/>
      <c r="BT192" s="5148"/>
      <c r="BU192" s="5148"/>
      <c r="BV192" s="5148"/>
      <c r="BW192" s="3684">
        <v>213049.6</v>
      </c>
      <c r="BX192" s="3684"/>
      <c r="BY192" s="3684"/>
      <c r="BZ192" s="3684"/>
      <c r="CA192" s="3684"/>
      <c r="CB192" s="5148"/>
      <c r="CC192" s="5312"/>
      <c r="CD192" s="5312"/>
      <c r="CE192" s="5170"/>
      <c r="CF192" s="5170"/>
      <c r="CG192" s="5170"/>
      <c r="CH192" s="5170"/>
    </row>
    <row r="193" s="4972" customFormat="1" ht="61" customHeight="1" spans="1:86">
      <c r="A193" s="5130"/>
      <c r="B193" s="3662"/>
      <c r="C193" s="3662"/>
      <c r="D193" s="5053"/>
      <c r="E193" s="5312"/>
      <c r="F193" s="5053"/>
      <c r="G193" s="5053"/>
      <c r="H193" s="3662"/>
      <c r="I193" s="3666"/>
      <c r="J193" s="5053"/>
      <c r="K193" s="3662"/>
      <c r="L193" s="5053"/>
      <c r="M193" s="3662"/>
      <c r="N193" s="5229"/>
      <c r="O193" s="5229"/>
      <c r="P193" s="5229"/>
      <c r="Q193" s="5229"/>
      <c r="R193" s="5229"/>
      <c r="S193" s="5229"/>
      <c r="T193" s="5229"/>
      <c r="U193" s="5229"/>
      <c r="V193" s="5229"/>
      <c r="W193" s="5229"/>
      <c r="X193" s="5229"/>
      <c r="Y193" s="5229"/>
      <c r="Z193" s="5229"/>
      <c r="AA193" s="5229"/>
      <c r="AB193" s="5229"/>
      <c r="AC193" s="3662">
        <v>3</v>
      </c>
      <c r="AD193" s="5053" t="s">
        <v>551</v>
      </c>
      <c r="AE193" s="5115">
        <v>0.2</v>
      </c>
      <c r="AF193" s="3662">
        <f>AE193*M191</f>
        <v>106524.8</v>
      </c>
      <c r="AG193" s="3662">
        <f t="shared" si="30"/>
        <v>53262.4</v>
      </c>
      <c r="AH193" s="3662" t="s">
        <v>122</v>
      </c>
      <c r="AI193" s="3662">
        <v>43819</v>
      </c>
      <c r="AJ193" s="3662">
        <v>53262.4</v>
      </c>
      <c r="AK193" s="3662">
        <v>43819</v>
      </c>
      <c r="AL193" s="3744">
        <v>106524.8</v>
      </c>
      <c r="AM193" s="4200">
        <v>45153</v>
      </c>
      <c r="AN193" s="3684">
        <f t="shared" si="29"/>
        <v>53262.4</v>
      </c>
      <c r="AO193" s="3684">
        <v>45173</v>
      </c>
      <c r="AP193" s="3662">
        <f t="shared" si="28"/>
        <v>0</v>
      </c>
      <c r="AQ193" s="5127"/>
      <c r="AR193" s="3662"/>
      <c r="AS193" s="5134"/>
      <c r="AT193" s="5127"/>
      <c r="AU193" s="3662"/>
      <c r="AV193" s="3662"/>
      <c r="AW193" s="3662"/>
      <c r="AX193" s="3662"/>
      <c r="AY193" s="3662"/>
      <c r="AZ193" s="3662"/>
      <c r="BA193" s="5148"/>
      <c r="BB193" s="3684"/>
      <c r="BC193" s="3684"/>
      <c r="BD193" s="5148"/>
      <c r="BE193" s="5148"/>
      <c r="BF193" s="5148"/>
      <c r="BG193" s="5148"/>
      <c r="BH193" s="3684">
        <v>28938.5</v>
      </c>
      <c r="BI193" s="3684">
        <f>53262.4-28938.5</f>
        <v>24323.9</v>
      </c>
      <c r="BJ193" s="3684"/>
      <c r="BK193" s="3684"/>
      <c r="BL193" s="3684"/>
      <c r="BM193" s="3684"/>
      <c r="BN193" s="3684"/>
      <c r="BO193" s="5127"/>
      <c r="BP193" s="5127"/>
      <c r="BQ193" s="5127"/>
      <c r="BR193" s="5127"/>
      <c r="BS193" s="5127"/>
      <c r="BT193" s="5127"/>
      <c r="BU193" s="5127"/>
      <c r="BV193" s="3684">
        <v>28938.5</v>
      </c>
      <c r="BW193" s="3684">
        <f>53262.4-28938.5</f>
        <v>24323.9</v>
      </c>
      <c r="BX193" s="3684"/>
      <c r="BY193" s="3662"/>
      <c r="BZ193" s="3662"/>
      <c r="CA193" s="3662"/>
      <c r="CB193" s="5127"/>
      <c r="CC193" s="5312"/>
      <c r="CD193" s="5312"/>
      <c r="CE193" s="5170"/>
      <c r="CF193" s="5170"/>
      <c r="CG193" s="5170"/>
      <c r="CH193" s="5170"/>
    </row>
    <row r="194" s="4972" customFormat="1" ht="33.35" customHeight="1" spans="1:86">
      <c r="A194" s="5130"/>
      <c r="B194" s="3662"/>
      <c r="C194" s="3662"/>
      <c r="D194" s="5053"/>
      <c r="E194" s="5312"/>
      <c r="F194" s="5053"/>
      <c r="G194" s="5053"/>
      <c r="H194" s="3662"/>
      <c r="I194" s="3667"/>
      <c r="J194" s="5053"/>
      <c r="K194" s="3662"/>
      <c r="L194" s="5053"/>
      <c r="M194" s="3662"/>
      <c r="N194" s="5229"/>
      <c r="O194" s="5229"/>
      <c r="P194" s="5229"/>
      <c r="Q194" s="5229"/>
      <c r="R194" s="5229"/>
      <c r="S194" s="5229"/>
      <c r="T194" s="5229"/>
      <c r="U194" s="5229"/>
      <c r="V194" s="5229"/>
      <c r="W194" s="5229"/>
      <c r="X194" s="5229"/>
      <c r="Y194" s="5229"/>
      <c r="Z194" s="5229"/>
      <c r="AA194" s="5229"/>
      <c r="AB194" s="5229"/>
      <c r="AC194" s="3662"/>
      <c r="AD194" s="5053" t="s">
        <v>552</v>
      </c>
      <c r="AE194" s="5115"/>
      <c r="AF194" s="3662"/>
      <c r="AG194" s="3684">
        <f t="shared" si="30"/>
        <v>53262.4</v>
      </c>
      <c r="AH194" s="3662" t="s">
        <v>122</v>
      </c>
      <c r="AI194" s="3684">
        <v>44536</v>
      </c>
      <c r="AJ194" s="3662">
        <v>53262.4</v>
      </c>
      <c r="AK194" s="3662">
        <v>44536</v>
      </c>
      <c r="AL194" s="3667"/>
      <c r="AM194" s="4202"/>
      <c r="AN194" s="3684">
        <f t="shared" si="29"/>
        <v>53262.4</v>
      </c>
      <c r="AO194" s="3684">
        <v>45173</v>
      </c>
      <c r="AP194" s="3662"/>
      <c r="AQ194" s="5127"/>
      <c r="AR194" s="3662"/>
      <c r="AS194" s="5134"/>
      <c r="AT194" s="3814" t="s">
        <v>553</v>
      </c>
      <c r="AU194" s="3662"/>
      <c r="AV194" s="3662"/>
      <c r="AW194" s="3662"/>
      <c r="AX194" s="3662"/>
      <c r="AY194" s="3662"/>
      <c r="AZ194" s="3662"/>
      <c r="BA194" s="5148"/>
      <c r="BB194" s="3684"/>
      <c r="BC194" s="3684"/>
      <c r="BD194" s="5148"/>
      <c r="BE194" s="5148"/>
      <c r="BF194" s="5148"/>
      <c r="BG194" s="5148"/>
      <c r="BH194" s="3684"/>
      <c r="BI194" s="3684">
        <f>53262.4-BH194</f>
        <v>53262.4</v>
      </c>
      <c r="BJ194" s="3684"/>
      <c r="BK194" s="3684"/>
      <c r="BL194" s="3684"/>
      <c r="BM194" s="3684"/>
      <c r="BN194" s="3684"/>
      <c r="BO194" s="5127"/>
      <c r="BP194" s="5127"/>
      <c r="BQ194" s="5127"/>
      <c r="BR194" s="5127"/>
      <c r="BS194" s="5127"/>
      <c r="BT194" s="5127"/>
      <c r="BU194" s="5127"/>
      <c r="BV194" s="3684"/>
      <c r="BW194" s="3684">
        <f>53262.4-BV194</f>
        <v>53262.4</v>
      </c>
      <c r="BX194" s="3684">
        <f>53262.4-BW194</f>
        <v>0</v>
      </c>
      <c r="BY194" s="3662"/>
      <c r="BZ194" s="3662"/>
      <c r="CA194" s="3662"/>
      <c r="CB194" s="5127"/>
      <c r="CC194" s="5312"/>
      <c r="CD194" s="5312"/>
      <c r="CE194" s="5170"/>
      <c r="CF194" s="5170"/>
      <c r="CG194" s="5170"/>
      <c r="CH194" s="5170"/>
    </row>
    <row r="195" s="4973" customFormat="1" ht="43.35" customHeight="1" spans="1:86">
      <c r="A195" s="5314">
        <v>37</v>
      </c>
      <c r="B195" s="3058" t="s">
        <v>173</v>
      </c>
      <c r="C195" s="3058">
        <v>43424</v>
      </c>
      <c r="D195" s="1125" t="s">
        <v>554</v>
      </c>
      <c r="E195" s="5130" t="s">
        <v>113</v>
      </c>
      <c r="F195" s="5054" t="s">
        <v>555</v>
      </c>
      <c r="G195" s="5054" t="s">
        <v>556</v>
      </c>
      <c r="H195" s="3058" t="s">
        <v>193</v>
      </c>
      <c r="I195" s="4087"/>
      <c r="J195" s="5054" t="s">
        <v>433</v>
      </c>
      <c r="K195" s="1125" t="s">
        <v>557</v>
      </c>
      <c r="L195" s="5054" t="s">
        <v>548</v>
      </c>
      <c r="M195" s="3058">
        <f>SUM(N195:AA199)</f>
        <v>487884</v>
      </c>
      <c r="N195" s="5086"/>
      <c r="O195" s="5086"/>
      <c r="P195" s="5086"/>
      <c r="Q195" s="5086"/>
      <c r="R195" s="5086"/>
      <c r="S195" s="5086"/>
      <c r="T195" s="5086"/>
      <c r="U195" s="5086"/>
      <c r="V195" s="5086">
        <v>487884</v>
      </c>
      <c r="W195" s="5086">
        <v>0</v>
      </c>
      <c r="X195" s="5086">
        <v>0</v>
      </c>
      <c r="Y195" s="5086"/>
      <c r="Z195" s="5086"/>
      <c r="AA195" s="5086"/>
      <c r="AB195" s="5086"/>
      <c r="AC195" s="3058">
        <v>1</v>
      </c>
      <c r="AD195" s="3058" t="s">
        <v>549</v>
      </c>
      <c r="AE195" s="5339">
        <v>0.4</v>
      </c>
      <c r="AF195" s="3058">
        <f>AE195*M195</f>
        <v>195153.6</v>
      </c>
      <c r="AG195" s="3058">
        <f t="shared" si="30"/>
        <v>195153.6</v>
      </c>
      <c r="AH195" s="3058" t="s">
        <v>122</v>
      </c>
      <c r="AI195" s="3058">
        <v>43819</v>
      </c>
      <c r="AJ195" s="3058">
        <v>195153.6</v>
      </c>
      <c r="AK195" s="3058">
        <v>43819</v>
      </c>
      <c r="AL195" s="5396">
        <v>488764</v>
      </c>
      <c r="AM195" s="4183">
        <v>45153</v>
      </c>
      <c r="AN195" s="5125">
        <f t="shared" si="29"/>
        <v>195153.6</v>
      </c>
      <c r="AO195" s="4183">
        <v>45625</v>
      </c>
      <c r="AP195" s="3058">
        <f>AG195-AN195</f>
        <v>0</v>
      </c>
      <c r="AQ195" s="2099" t="s">
        <v>558</v>
      </c>
      <c r="AR195" s="3058" t="s">
        <v>128</v>
      </c>
      <c r="AS195" s="5131"/>
      <c r="AT195" s="5138"/>
      <c r="AU195" s="5086">
        <f>SUM(AG195:AG199)</f>
        <v>488764</v>
      </c>
      <c r="AV195" s="5086">
        <f>SUM(AL195:AL199)</f>
        <v>488764</v>
      </c>
      <c r="AW195" s="5086">
        <f>SUM(AN195:AN199)</f>
        <v>488764</v>
      </c>
      <c r="AX195" s="5086">
        <f>M195-AU195</f>
        <v>-880</v>
      </c>
      <c r="AY195" s="5086">
        <f>AU195-AV195</f>
        <v>0</v>
      </c>
      <c r="AZ195" s="5086">
        <f>AV195-AW195</f>
        <v>0</v>
      </c>
      <c r="BA195" s="5150"/>
      <c r="BB195" s="3057"/>
      <c r="BC195" s="3057"/>
      <c r="BD195" s="5150"/>
      <c r="BE195" s="5150"/>
      <c r="BF195" s="5150"/>
      <c r="BG195" s="5150"/>
      <c r="BH195" s="3057"/>
      <c r="BI195" s="3057">
        <v>195153.6</v>
      </c>
      <c r="BJ195" s="5150"/>
      <c r="BK195" s="5150"/>
      <c r="BL195" s="5150"/>
      <c r="BM195" s="5150"/>
      <c r="BN195" s="3057"/>
      <c r="BO195" s="5138"/>
      <c r="BP195" s="5138"/>
      <c r="BQ195" s="5138"/>
      <c r="BR195" s="5138"/>
      <c r="BS195" s="5138"/>
      <c r="BT195" s="5159"/>
      <c r="BU195" s="5159"/>
      <c r="BV195" s="4059"/>
      <c r="BW195" s="3057">
        <v>195153.6</v>
      </c>
      <c r="BX195" s="5138"/>
      <c r="BY195" s="5138"/>
      <c r="BZ195" s="5138"/>
      <c r="CA195" s="5138"/>
      <c r="CB195" s="5138"/>
      <c r="CC195" s="3058" t="s">
        <v>124</v>
      </c>
      <c r="CD195" s="3058" t="s">
        <v>125</v>
      </c>
      <c r="CE195" s="5171"/>
      <c r="CF195" s="5171"/>
      <c r="CG195" s="5171"/>
      <c r="CH195" s="5171"/>
    </row>
    <row r="196" s="4973" customFormat="1" ht="36.65" customHeight="1" spans="1:86">
      <c r="A196" s="5314"/>
      <c r="B196" s="3058"/>
      <c r="C196" s="3058"/>
      <c r="D196" s="5054"/>
      <c r="E196" s="5130"/>
      <c r="F196" s="5054"/>
      <c r="G196" s="5054"/>
      <c r="H196" s="3058"/>
      <c r="I196" s="4088"/>
      <c r="J196" s="5054"/>
      <c r="K196" s="3058"/>
      <c r="L196" s="5054"/>
      <c r="M196" s="3058"/>
      <c r="N196" s="5086"/>
      <c r="O196" s="5086"/>
      <c r="P196" s="5086"/>
      <c r="Q196" s="5086"/>
      <c r="R196" s="5086"/>
      <c r="S196" s="5086"/>
      <c r="T196" s="5086"/>
      <c r="U196" s="5086"/>
      <c r="V196" s="5086"/>
      <c r="W196" s="5086"/>
      <c r="X196" s="5086"/>
      <c r="Y196" s="5086"/>
      <c r="Z196" s="5086"/>
      <c r="AA196" s="5086"/>
      <c r="AB196" s="5086"/>
      <c r="AC196" s="3058">
        <v>2</v>
      </c>
      <c r="AD196" s="3058" t="s">
        <v>550</v>
      </c>
      <c r="AE196" s="5339">
        <v>0.4</v>
      </c>
      <c r="AF196" s="3058">
        <f>AE196*M195</f>
        <v>195153.6</v>
      </c>
      <c r="AG196" s="3058">
        <f t="shared" si="30"/>
        <v>97576.8</v>
      </c>
      <c r="AH196" s="3058" t="s">
        <v>122</v>
      </c>
      <c r="AI196" s="3058">
        <v>43819</v>
      </c>
      <c r="AJ196" s="3058">
        <v>97576.8</v>
      </c>
      <c r="AK196" s="3058">
        <v>43819</v>
      </c>
      <c r="AL196" s="5397"/>
      <c r="AM196" s="4184"/>
      <c r="AN196" s="5125">
        <f t="shared" si="29"/>
        <v>97576.8</v>
      </c>
      <c r="AO196" s="4184"/>
      <c r="AP196" s="3058">
        <f>AG196-AN196</f>
        <v>0</v>
      </c>
      <c r="AQ196" s="5067"/>
      <c r="AR196" s="3058"/>
      <c r="AS196" s="5131"/>
      <c r="AT196" s="5138"/>
      <c r="AU196" s="5086"/>
      <c r="AV196" s="5086"/>
      <c r="AW196" s="5086"/>
      <c r="AX196" s="5086"/>
      <c r="AY196" s="5086"/>
      <c r="AZ196" s="5086"/>
      <c r="BA196" s="5150"/>
      <c r="BB196" s="3057"/>
      <c r="BC196" s="3057"/>
      <c r="BD196" s="5150"/>
      <c r="BE196" s="5150"/>
      <c r="BF196" s="5150"/>
      <c r="BG196" s="5150"/>
      <c r="BH196" s="3057">
        <v>26440</v>
      </c>
      <c r="BI196" s="3057">
        <f>97576.8-BH196</f>
        <v>71136.8</v>
      </c>
      <c r="BJ196" s="5150"/>
      <c r="BK196" s="5150"/>
      <c r="BL196" s="5150"/>
      <c r="BM196" s="5150"/>
      <c r="BN196" s="3057"/>
      <c r="BO196" s="5138"/>
      <c r="BP196" s="5138"/>
      <c r="BQ196" s="5138"/>
      <c r="BR196" s="5138"/>
      <c r="BS196" s="5138"/>
      <c r="BT196" s="5150"/>
      <c r="BU196" s="5150"/>
      <c r="BV196" s="3057">
        <v>26440</v>
      </c>
      <c r="BW196" s="3057">
        <f>97576.8-BV196</f>
        <v>71136.8</v>
      </c>
      <c r="BX196" s="5138"/>
      <c r="BY196" s="5138"/>
      <c r="BZ196" s="5138"/>
      <c r="CA196" s="5138"/>
      <c r="CB196" s="5138"/>
      <c r="CC196" s="3058"/>
      <c r="CD196" s="3058"/>
      <c r="CE196" s="5171"/>
      <c r="CF196" s="5171"/>
      <c r="CG196" s="5171"/>
      <c r="CH196" s="5171"/>
    </row>
    <row r="197" s="4973" customFormat="1" ht="34.15" customHeight="1" spans="1:86">
      <c r="A197" s="5314"/>
      <c r="B197" s="3058"/>
      <c r="C197" s="3058"/>
      <c r="D197" s="5054"/>
      <c r="E197" s="5130"/>
      <c r="F197" s="5054"/>
      <c r="G197" s="5054"/>
      <c r="H197" s="3058"/>
      <c r="I197" s="4088"/>
      <c r="J197" s="5054"/>
      <c r="K197" s="3058"/>
      <c r="L197" s="5054"/>
      <c r="M197" s="3058"/>
      <c r="N197" s="5086"/>
      <c r="O197" s="5086"/>
      <c r="P197" s="5086"/>
      <c r="Q197" s="5086"/>
      <c r="R197" s="5086"/>
      <c r="S197" s="5086"/>
      <c r="T197" s="5086"/>
      <c r="U197" s="5086"/>
      <c r="V197" s="5086"/>
      <c r="W197" s="5086"/>
      <c r="X197" s="5086"/>
      <c r="Y197" s="5086"/>
      <c r="Z197" s="5086"/>
      <c r="AA197" s="5086"/>
      <c r="AB197" s="5086"/>
      <c r="AC197" s="3058"/>
      <c r="AD197" s="3058" t="s">
        <v>552</v>
      </c>
      <c r="AE197" s="5339"/>
      <c r="AF197" s="3058"/>
      <c r="AG197" s="5320">
        <f>SUM(BA197:BN198)</f>
        <v>195153.6</v>
      </c>
      <c r="AH197" s="5320" t="s">
        <v>122</v>
      </c>
      <c r="AI197" s="5320">
        <v>44536</v>
      </c>
      <c r="AJ197" s="5320">
        <v>195153.6</v>
      </c>
      <c r="AK197" s="5320">
        <v>44536</v>
      </c>
      <c r="AL197" s="5397"/>
      <c r="AM197" s="4184"/>
      <c r="AN197" s="5398">
        <f>SUM(BO197:CB198)</f>
        <v>195153.6</v>
      </c>
      <c r="AO197" s="4184"/>
      <c r="AP197" s="3058">
        <f>AG199-AN199</f>
        <v>0</v>
      </c>
      <c r="AQ197" s="5067"/>
      <c r="AR197" s="3058"/>
      <c r="AS197" s="5131"/>
      <c r="AT197" s="584" t="s">
        <v>553</v>
      </c>
      <c r="AU197" s="5086"/>
      <c r="AV197" s="5086"/>
      <c r="AW197" s="5086"/>
      <c r="AX197" s="5086"/>
      <c r="AY197" s="5086"/>
      <c r="AZ197" s="5086"/>
      <c r="BA197" s="5150"/>
      <c r="BB197" s="3057"/>
      <c r="BC197" s="3057"/>
      <c r="BD197" s="5150"/>
      <c r="BE197" s="5150"/>
      <c r="BF197" s="4183">
        <v>50000</v>
      </c>
      <c r="BG197" s="5150"/>
      <c r="BH197" s="3057"/>
      <c r="BI197" s="4183">
        <f>195153.6-BF197</f>
        <v>145153.6</v>
      </c>
      <c r="BJ197" s="5150"/>
      <c r="BK197" s="5150"/>
      <c r="BL197" s="5150"/>
      <c r="BM197" s="5150"/>
      <c r="BN197" s="3057"/>
      <c r="BO197" s="5138"/>
      <c r="BP197" s="5138"/>
      <c r="BQ197" s="5138"/>
      <c r="BR197" s="5138"/>
      <c r="BS197" s="5138"/>
      <c r="BT197" s="4183">
        <v>50000</v>
      </c>
      <c r="BU197" s="5150"/>
      <c r="BV197" s="3057"/>
      <c r="BW197" s="4183">
        <f>195153.6-BT197</f>
        <v>145153.6</v>
      </c>
      <c r="BX197" s="3058"/>
      <c r="BY197" s="5138"/>
      <c r="BZ197" s="5138"/>
      <c r="CA197" s="5138"/>
      <c r="CB197" s="5138"/>
      <c r="CC197" s="3058"/>
      <c r="CD197" s="3058"/>
      <c r="CE197" s="5171"/>
      <c r="CF197" s="5171"/>
      <c r="CG197" s="5171"/>
      <c r="CH197" s="5171"/>
    </row>
    <row r="198" s="4973" customFormat="1" ht="34.15" customHeight="1" spans="1:86">
      <c r="A198" s="5314"/>
      <c r="B198" s="3058"/>
      <c r="C198" s="3058"/>
      <c r="D198" s="5054"/>
      <c r="E198" s="5130"/>
      <c r="F198" s="5054"/>
      <c r="G198" s="5054"/>
      <c r="H198" s="3058"/>
      <c r="I198" s="4088"/>
      <c r="J198" s="5054"/>
      <c r="K198" s="3058"/>
      <c r="L198" s="5054"/>
      <c r="M198" s="3058"/>
      <c r="N198" s="5086"/>
      <c r="O198" s="5086"/>
      <c r="P198" s="5086"/>
      <c r="Q198" s="5086"/>
      <c r="R198" s="5086"/>
      <c r="S198" s="5086"/>
      <c r="T198" s="5086"/>
      <c r="U198" s="5086"/>
      <c r="V198" s="5086"/>
      <c r="W198" s="5086"/>
      <c r="X198" s="5086"/>
      <c r="Y198" s="5086"/>
      <c r="Z198" s="5086"/>
      <c r="AA198" s="5086"/>
      <c r="AB198" s="5086"/>
      <c r="AC198" s="5320">
        <v>3</v>
      </c>
      <c r="AD198" s="5066" t="s">
        <v>551</v>
      </c>
      <c r="AE198" s="5339">
        <v>0.2</v>
      </c>
      <c r="AF198" s="5320">
        <f>AE198*M195</f>
        <v>97576.8</v>
      </c>
      <c r="AG198" s="5321"/>
      <c r="AH198" s="5322"/>
      <c r="AI198" s="5322"/>
      <c r="AJ198" s="5322"/>
      <c r="AK198" s="5322"/>
      <c r="AL198" s="5397"/>
      <c r="AM198" s="4184"/>
      <c r="AN198" s="5399"/>
      <c r="AO198" s="4184"/>
      <c r="AP198" s="3058"/>
      <c r="AQ198" s="5067"/>
      <c r="AR198" s="3058"/>
      <c r="AS198" s="5131"/>
      <c r="AT198" s="584"/>
      <c r="AU198" s="5086"/>
      <c r="AV198" s="5086"/>
      <c r="AW198" s="5086"/>
      <c r="AX198" s="5086"/>
      <c r="AY198" s="5086"/>
      <c r="AZ198" s="5086"/>
      <c r="BA198" s="5150"/>
      <c r="BB198" s="3057"/>
      <c r="BC198" s="3057"/>
      <c r="BD198" s="5150"/>
      <c r="BE198" s="5150"/>
      <c r="BF198" s="4185"/>
      <c r="BG198" s="5150"/>
      <c r="BH198" s="3057"/>
      <c r="BI198" s="4185"/>
      <c r="BJ198" s="5150"/>
      <c r="BK198" s="5150"/>
      <c r="BL198" s="5150"/>
      <c r="BM198" s="5150"/>
      <c r="BN198" s="3057"/>
      <c r="BO198" s="5138"/>
      <c r="BP198" s="5138"/>
      <c r="BQ198" s="5138"/>
      <c r="BR198" s="5138"/>
      <c r="BS198" s="5138"/>
      <c r="BT198" s="4185"/>
      <c r="BU198" s="5150"/>
      <c r="BV198" s="3057"/>
      <c r="BW198" s="4185"/>
      <c r="BX198" s="3058"/>
      <c r="BY198" s="5138"/>
      <c r="BZ198" s="5138"/>
      <c r="CA198" s="5138"/>
      <c r="CB198" s="5138"/>
      <c r="CC198" s="3058"/>
      <c r="CD198" s="3058"/>
      <c r="CE198" s="5171"/>
      <c r="CF198" s="5171"/>
      <c r="CG198" s="5171"/>
      <c r="CH198" s="5171"/>
    </row>
    <row r="199" s="4973" customFormat="1" ht="50" customHeight="1" spans="1:86">
      <c r="A199" s="5314"/>
      <c r="B199" s="3058"/>
      <c r="C199" s="3058"/>
      <c r="D199" s="5054"/>
      <c r="E199" s="5130"/>
      <c r="F199" s="5054"/>
      <c r="G199" s="5054"/>
      <c r="H199" s="3058"/>
      <c r="I199" s="4903"/>
      <c r="J199" s="5054"/>
      <c r="K199" s="3058"/>
      <c r="L199" s="5054"/>
      <c r="M199" s="3058"/>
      <c r="N199" s="5086"/>
      <c r="O199" s="5086"/>
      <c r="P199" s="5086"/>
      <c r="Q199" s="5086"/>
      <c r="R199" s="5086"/>
      <c r="S199" s="5086"/>
      <c r="T199" s="5086"/>
      <c r="U199" s="5086"/>
      <c r="V199" s="5086"/>
      <c r="W199" s="5086"/>
      <c r="X199" s="5086"/>
      <c r="Y199" s="5086"/>
      <c r="Z199" s="5086"/>
      <c r="AA199" s="5086"/>
      <c r="AB199" s="5086"/>
      <c r="AC199" s="5322"/>
      <c r="AD199" s="5068"/>
      <c r="AE199" s="5339"/>
      <c r="AF199" s="5322"/>
      <c r="AG199" s="3058">
        <f>SUM(BA199:BN199)</f>
        <v>880</v>
      </c>
      <c r="AH199" s="584" t="s">
        <v>122</v>
      </c>
      <c r="AI199" s="3058">
        <v>45153</v>
      </c>
      <c r="AJ199" s="3058">
        <v>880</v>
      </c>
      <c r="AK199" s="3058">
        <v>45153</v>
      </c>
      <c r="AL199" s="5400"/>
      <c r="AM199" s="4185"/>
      <c r="AN199" s="5125">
        <f>SUM(BO199:CB199)</f>
        <v>880</v>
      </c>
      <c r="AO199" s="4185"/>
      <c r="AP199" s="3058"/>
      <c r="AQ199" s="5068"/>
      <c r="AR199" s="3058"/>
      <c r="AS199" s="5131"/>
      <c r="AT199" s="584" t="s">
        <v>553</v>
      </c>
      <c r="AU199" s="5402"/>
      <c r="AV199" s="5402"/>
      <c r="AW199" s="5402"/>
      <c r="AX199" s="5402"/>
      <c r="AY199" s="5402"/>
      <c r="AZ199" s="5402"/>
      <c r="BA199" s="5150"/>
      <c r="BB199" s="3057"/>
      <c r="BC199" s="3057"/>
      <c r="BD199" s="5150"/>
      <c r="BE199" s="5150"/>
      <c r="BF199" s="3057"/>
      <c r="BG199" s="5150"/>
      <c r="BH199" s="3057"/>
      <c r="BI199" s="3057">
        <v>880</v>
      </c>
      <c r="BJ199" s="3057"/>
      <c r="BK199" s="3057"/>
      <c r="BL199" s="3057"/>
      <c r="BM199" s="3057"/>
      <c r="BN199" s="3057"/>
      <c r="BO199" s="5138"/>
      <c r="BP199" s="5138"/>
      <c r="BQ199" s="5138"/>
      <c r="BR199" s="5138"/>
      <c r="BS199" s="5138"/>
      <c r="BT199" s="3057"/>
      <c r="BU199" s="5150"/>
      <c r="BV199" s="3057"/>
      <c r="BW199" s="3057">
        <v>880</v>
      </c>
      <c r="BX199" s="3058"/>
      <c r="BY199" s="5138"/>
      <c r="BZ199" s="5138"/>
      <c r="CA199" s="5138"/>
      <c r="CB199" s="5138"/>
      <c r="CC199" s="3058"/>
      <c r="CD199" s="3058"/>
      <c r="CE199" s="5171"/>
      <c r="CF199" s="5171"/>
      <c r="CG199" s="5171"/>
      <c r="CH199" s="5171"/>
    </row>
    <row r="200" s="4972" customFormat="1" ht="61" customHeight="1" spans="1:86">
      <c r="A200" s="5312">
        <v>38</v>
      </c>
      <c r="B200" s="3662" t="s">
        <v>173</v>
      </c>
      <c r="C200" s="5367">
        <v>43137</v>
      </c>
      <c r="D200" s="5134" t="s">
        <v>559</v>
      </c>
      <c r="E200" s="5312" t="s">
        <v>113</v>
      </c>
      <c r="F200" s="5134" t="s">
        <v>560</v>
      </c>
      <c r="G200" s="5134" t="s">
        <v>561</v>
      </c>
      <c r="H200" s="3662" t="s">
        <v>562</v>
      </c>
      <c r="I200" s="3662"/>
      <c r="J200" s="5134" t="s">
        <v>563</v>
      </c>
      <c r="K200" s="5127" t="s">
        <v>564</v>
      </c>
      <c r="L200" s="5127" t="s">
        <v>565</v>
      </c>
      <c r="M200" s="3662">
        <f>SUM(N200:AA200)</f>
        <v>100000</v>
      </c>
      <c r="N200" s="5375">
        <v>100000</v>
      </c>
      <c r="O200" s="5375"/>
      <c r="P200" s="5375"/>
      <c r="Q200" s="5375"/>
      <c r="R200" s="5375"/>
      <c r="S200" s="5375"/>
      <c r="T200" s="5375"/>
      <c r="U200" s="5375"/>
      <c r="V200" s="5375"/>
      <c r="W200" s="5084">
        <v>0</v>
      </c>
      <c r="X200" s="5084">
        <v>0</v>
      </c>
      <c r="Y200" s="5084"/>
      <c r="Z200" s="5084"/>
      <c r="AA200" s="5375"/>
      <c r="AB200" s="5375"/>
      <c r="AC200" s="3662">
        <v>1</v>
      </c>
      <c r="AD200" s="5053" t="s">
        <v>566</v>
      </c>
      <c r="AE200" s="5115">
        <v>1</v>
      </c>
      <c r="AF200" s="3662">
        <v>100000</v>
      </c>
      <c r="AG200" s="3662">
        <f t="shared" ref="AG199:AG218" si="31">SUM(BA200:BN200)</f>
        <v>100000</v>
      </c>
      <c r="AH200" s="3662" t="s">
        <v>206</v>
      </c>
      <c r="AI200" s="3662">
        <v>43230</v>
      </c>
      <c r="AJ200" s="3662" t="s">
        <v>171</v>
      </c>
      <c r="AK200" s="3662" t="s">
        <v>171</v>
      </c>
      <c r="AL200" s="3662">
        <v>100000</v>
      </c>
      <c r="AM200" s="3662">
        <v>43230</v>
      </c>
      <c r="AN200" s="3662">
        <f t="shared" ref="AN199:AN219" si="32">SUM(BO200:CB200)</f>
        <v>100000</v>
      </c>
      <c r="AO200" s="3662">
        <v>43291</v>
      </c>
      <c r="AP200" s="3662">
        <f t="shared" ref="AP199:AP223" si="33">AG200-AN200</f>
        <v>0</v>
      </c>
      <c r="AQ200" s="5127"/>
      <c r="AR200" s="3662"/>
      <c r="AS200" s="5134"/>
      <c r="AT200" s="5127"/>
      <c r="AU200" s="5084">
        <f t="shared" ref="AU200:AU202" si="34">SUM(AG200)</f>
        <v>100000</v>
      </c>
      <c r="AV200" s="5084">
        <f t="shared" ref="AV200:AV202" si="35">SUM(AL200)</f>
        <v>100000</v>
      </c>
      <c r="AW200" s="5084">
        <f t="shared" ref="AW200:AW202" si="36">SUM(AN200)</f>
        <v>100000</v>
      </c>
      <c r="AX200" s="5084">
        <f>M200-AU200</f>
        <v>0</v>
      </c>
      <c r="AY200" s="5084">
        <f t="shared" ref="AY200:AY203" si="37">AU200-AV200</f>
        <v>0</v>
      </c>
      <c r="AZ200" s="5084">
        <f t="shared" ref="AZ200:AZ203" si="38">AV200-AW200</f>
        <v>0</v>
      </c>
      <c r="BA200" s="5148">
        <v>100000</v>
      </c>
      <c r="BB200" s="3684"/>
      <c r="BC200" s="3684"/>
      <c r="BD200" s="5148"/>
      <c r="BE200" s="5148"/>
      <c r="BF200" s="5148"/>
      <c r="BG200" s="5148"/>
      <c r="BH200" s="3684"/>
      <c r="BI200" s="3684"/>
      <c r="BJ200" s="3684"/>
      <c r="BK200" s="3684"/>
      <c r="BL200" s="3684"/>
      <c r="BM200" s="3684"/>
      <c r="BN200" s="3684"/>
      <c r="BO200" s="5127">
        <v>100000</v>
      </c>
      <c r="BP200" s="5127"/>
      <c r="BQ200" s="5127"/>
      <c r="BR200" s="5127"/>
      <c r="BS200" s="5127"/>
      <c r="BT200" s="5127"/>
      <c r="BU200" s="5127"/>
      <c r="BV200" s="5127"/>
      <c r="BW200" s="5127"/>
      <c r="BX200" s="5127"/>
      <c r="BY200" s="5127"/>
      <c r="BZ200" s="5127"/>
      <c r="CA200" s="5127"/>
      <c r="CB200" s="5127"/>
      <c r="CC200" s="3662" t="s">
        <v>166</v>
      </c>
      <c r="CD200" s="3662" t="s">
        <v>154</v>
      </c>
      <c r="CE200" s="5170"/>
      <c r="CF200" s="5170"/>
      <c r="CG200" s="5170"/>
      <c r="CH200" s="5170"/>
    </row>
    <row r="201" s="4972" customFormat="1" ht="61" customHeight="1" spans="1:86">
      <c r="A201" s="5130">
        <v>39</v>
      </c>
      <c r="B201" s="3662" t="s">
        <v>146</v>
      </c>
      <c r="C201" s="5367">
        <v>43272</v>
      </c>
      <c r="D201" s="5134" t="s">
        <v>567</v>
      </c>
      <c r="E201" s="5312" t="s">
        <v>113</v>
      </c>
      <c r="F201" s="5134" t="s">
        <v>568</v>
      </c>
      <c r="G201" s="5134" t="s">
        <v>569</v>
      </c>
      <c r="H201" s="3662" t="s">
        <v>562</v>
      </c>
      <c r="I201" s="5055" t="s">
        <v>570</v>
      </c>
      <c r="J201" s="5134" t="s">
        <v>571</v>
      </c>
      <c r="K201" s="5127"/>
      <c r="L201" s="5127"/>
      <c r="M201" s="3662">
        <f>SUM(N201:AA201)</f>
        <v>1500000</v>
      </c>
      <c r="N201" s="5122">
        <v>1000000</v>
      </c>
      <c r="O201" s="5122"/>
      <c r="P201" s="5122"/>
      <c r="Q201" s="5122">
        <v>500000</v>
      </c>
      <c r="R201" s="5122"/>
      <c r="S201" s="5122"/>
      <c r="T201" s="5122"/>
      <c r="U201" s="5122"/>
      <c r="V201" s="5122"/>
      <c r="W201" s="3524">
        <v>0</v>
      </c>
      <c r="X201" s="3524">
        <v>0</v>
      </c>
      <c r="Y201" s="3524"/>
      <c r="Z201" s="3524"/>
      <c r="AA201" s="5122"/>
      <c r="AB201" s="5137" t="s">
        <v>572</v>
      </c>
      <c r="AC201" s="3662">
        <v>1</v>
      </c>
      <c r="AD201" s="5053" t="s">
        <v>573</v>
      </c>
      <c r="AE201" s="5115">
        <v>0.2</v>
      </c>
      <c r="AF201" s="3662">
        <f t="shared" ref="AF201:AF203" si="39">AE201*M201</f>
        <v>300000</v>
      </c>
      <c r="AG201" s="3662">
        <f t="shared" si="31"/>
        <v>300000</v>
      </c>
      <c r="AH201" s="3662" t="s">
        <v>206</v>
      </c>
      <c r="AI201" s="3662">
        <v>43383</v>
      </c>
      <c r="AJ201" s="3662" t="s">
        <v>171</v>
      </c>
      <c r="AK201" s="3662" t="s">
        <v>171</v>
      </c>
      <c r="AL201" s="3662">
        <v>300000</v>
      </c>
      <c r="AM201" s="3662">
        <v>43291</v>
      </c>
      <c r="AN201" s="3662">
        <f t="shared" si="32"/>
        <v>300000</v>
      </c>
      <c r="AO201" s="3662">
        <v>43305</v>
      </c>
      <c r="AP201" s="3662">
        <f t="shared" si="33"/>
        <v>0</v>
      </c>
      <c r="AQ201" s="5134" t="s">
        <v>574</v>
      </c>
      <c r="AR201" s="3662"/>
      <c r="AS201" s="5134"/>
      <c r="AT201" s="5127"/>
      <c r="AU201" s="3662">
        <f t="shared" si="34"/>
        <v>300000</v>
      </c>
      <c r="AV201" s="3662">
        <f t="shared" si="35"/>
        <v>300000</v>
      </c>
      <c r="AW201" s="3662">
        <f t="shared" si="36"/>
        <v>300000</v>
      </c>
      <c r="AX201" s="3662">
        <f>M201-AU201</f>
        <v>1200000</v>
      </c>
      <c r="AY201" s="3662">
        <f>M201-AU201</f>
        <v>1200000</v>
      </c>
      <c r="AZ201" s="3662">
        <f t="shared" si="38"/>
        <v>0</v>
      </c>
      <c r="BA201" s="5148">
        <v>300000</v>
      </c>
      <c r="BB201" s="3684"/>
      <c r="BC201" s="3684"/>
      <c r="BD201" s="5148"/>
      <c r="BE201" s="5148"/>
      <c r="BF201" s="5148"/>
      <c r="BG201" s="5148"/>
      <c r="BH201" s="3684"/>
      <c r="BI201" s="3684"/>
      <c r="BJ201" s="3684"/>
      <c r="BK201" s="3684"/>
      <c r="BL201" s="3684"/>
      <c r="BM201" s="3684"/>
      <c r="BN201" s="3684"/>
      <c r="BO201" s="5127">
        <v>300000</v>
      </c>
      <c r="BP201" s="5127"/>
      <c r="BQ201" s="5127"/>
      <c r="BR201" s="5127"/>
      <c r="BS201" s="5127"/>
      <c r="BT201" s="5127"/>
      <c r="BU201" s="5127"/>
      <c r="BV201" s="5127"/>
      <c r="BW201" s="5127"/>
      <c r="BX201" s="5127"/>
      <c r="BY201" s="5127"/>
      <c r="BZ201" s="5127"/>
      <c r="CA201" s="5127"/>
      <c r="CB201" s="5127"/>
      <c r="CC201" s="3662" t="s">
        <v>166</v>
      </c>
      <c r="CD201" s="3662" t="s">
        <v>154</v>
      </c>
      <c r="CE201" s="5170"/>
      <c r="CF201" s="5170"/>
      <c r="CG201" s="5170"/>
      <c r="CH201" s="5170"/>
    </row>
    <row r="202" s="4972" customFormat="1" ht="61" customHeight="1" spans="1:86">
      <c r="A202" s="5312">
        <v>40</v>
      </c>
      <c r="B202" s="3662" t="s">
        <v>173</v>
      </c>
      <c r="C202" s="5367">
        <v>43343</v>
      </c>
      <c r="D202" s="5134" t="s">
        <v>575</v>
      </c>
      <c r="E202" s="5312" t="s">
        <v>113</v>
      </c>
      <c r="F202" s="5134" t="s">
        <v>576</v>
      </c>
      <c r="G202" s="5134" t="s">
        <v>577</v>
      </c>
      <c r="H202" s="3662" t="s">
        <v>562</v>
      </c>
      <c r="I202" s="5053"/>
      <c r="J202" s="5134" t="s">
        <v>194</v>
      </c>
      <c r="K202" s="5127" t="s">
        <v>564</v>
      </c>
      <c r="L202" s="5134" t="s">
        <v>578</v>
      </c>
      <c r="M202" s="3662">
        <f>SUM(N202:AA202)</f>
        <v>150000</v>
      </c>
      <c r="N202" s="5122">
        <v>150000</v>
      </c>
      <c r="O202" s="5122"/>
      <c r="P202" s="5122"/>
      <c r="Q202" s="5122"/>
      <c r="R202" s="5122"/>
      <c r="S202" s="5122"/>
      <c r="T202" s="5122"/>
      <c r="U202" s="5122"/>
      <c r="V202" s="5122"/>
      <c r="W202" s="3524">
        <v>0</v>
      </c>
      <c r="X202" s="3524">
        <v>0</v>
      </c>
      <c r="Y202" s="3524"/>
      <c r="Z202" s="3524"/>
      <c r="AA202" s="5122"/>
      <c r="AB202" s="5122"/>
      <c r="AC202" s="3662">
        <v>1</v>
      </c>
      <c r="AD202" s="5053" t="s">
        <v>579</v>
      </c>
      <c r="AE202" s="5115">
        <v>1</v>
      </c>
      <c r="AF202" s="3662">
        <f t="shared" si="39"/>
        <v>150000</v>
      </c>
      <c r="AG202" s="3662">
        <f t="shared" si="31"/>
        <v>150000</v>
      </c>
      <c r="AH202" s="3662" t="s">
        <v>206</v>
      </c>
      <c r="AI202" s="3662">
        <v>43354</v>
      </c>
      <c r="AJ202" s="3662" t="s">
        <v>171</v>
      </c>
      <c r="AK202" s="3662" t="s">
        <v>171</v>
      </c>
      <c r="AL202" s="3662">
        <v>150000</v>
      </c>
      <c r="AM202" s="3662">
        <v>43354</v>
      </c>
      <c r="AN202" s="3662">
        <f t="shared" si="32"/>
        <v>150000</v>
      </c>
      <c r="AO202" s="3662">
        <v>43415</v>
      </c>
      <c r="AP202" s="3662">
        <f t="shared" si="33"/>
        <v>0</v>
      </c>
      <c r="AQ202" s="5127" t="s">
        <v>580</v>
      </c>
      <c r="AR202" s="3662"/>
      <c r="AS202" s="5134"/>
      <c r="AT202" s="5127"/>
      <c r="AU202" s="3524">
        <f t="shared" si="34"/>
        <v>150000</v>
      </c>
      <c r="AV202" s="3524">
        <f t="shared" si="35"/>
        <v>150000</v>
      </c>
      <c r="AW202" s="3524">
        <f t="shared" si="36"/>
        <v>150000</v>
      </c>
      <c r="AX202" s="3524">
        <f>M202-AU202</f>
        <v>0</v>
      </c>
      <c r="AY202" s="3524">
        <f t="shared" si="37"/>
        <v>0</v>
      </c>
      <c r="AZ202" s="3524">
        <f t="shared" si="38"/>
        <v>0</v>
      </c>
      <c r="BA202" s="5148">
        <v>150000</v>
      </c>
      <c r="BB202" s="3684"/>
      <c r="BC202" s="3684"/>
      <c r="BD202" s="5148"/>
      <c r="BE202" s="5148"/>
      <c r="BF202" s="5148"/>
      <c r="BG202" s="5148"/>
      <c r="BH202" s="3684"/>
      <c r="BI202" s="3684"/>
      <c r="BJ202" s="3684"/>
      <c r="BK202" s="3684"/>
      <c r="BL202" s="3684"/>
      <c r="BM202" s="3684"/>
      <c r="BN202" s="3684"/>
      <c r="BO202" s="5127">
        <v>150000</v>
      </c>
      <c r="BP202" s="5127"/>
      <c r="BQ202" s="5127"/>
      <c r="BR202" s="5127"/>
      <c r="BS202" s="5127"/>
      <c r="BT202" s="5127"/>
      <c r="BU202" s="5127"/>
      <c r="BV202" s="5127"/>
      <c r="BW202" s="5127"/>
      <c r="BX202" s="5127"/>
      <c r="BY202" s="5127"/>
      <c r="BZ202" s="5127"/>
      <c r="CA202" s="5127"/>
      <c r="CB202" s="5127"/>
      <c r="CC202" s="3662" t="s">
        <v>166</v>
      </c>
      <c r="CD202" s="3662" t="s">
        <v>154</v>
      </c>
      <c r="CE202" s="5170"/>
      <c r="CF202" s="5170"/>
      <c r="CG202" s="5170"/>
      <c r="CH202" s="5170"/>
    </row>
    <row r="203" s="4971" customFormat="1" ht="61" customHeight="1" spans="1:86">
      <c r="A203" s="5360">
        <v>41</v>
      </c>
      <c r="B203" s="5051" t="s">
        <v>159</v>
      </c>
      <c r="C203" s="5051">
        <v>42919</v>
      </c>
      <c r="D203" s="5194" t="s">
        <v>581</v>
      </c>
      <c r="E203" s="5360" t="s">
        <v>113</v>
      </c>
      <c r="F203" s="5194" t="s">
        <v>582</v>
      </c>
      <c r="G203" s="5194" t="s">
        <v>583</v>
      </c>
      <c r="H203" s="5051" t="s">
        <v>240</v>
      </c>
      <c r="I203" s="5051"/>
      <c r="J203" s="5194" t="s">
        <v>584</v>
      </c>
      <c r="K203" s="5051">
        <v>174782</v>
      </c>
      <c r="L203" s="5194" t="s">
        <v>585</v>
      </c>
      <c r="M203" s="5051">
        <f>SUM(N203:AA206)</f>
        <v>2420373.6</v>
      </c>
      <c r="N203" s="5051"/>
      <c r="O203" s="5051"/>
      <c r="P203" s="5051"/>
      <c r="Q203" s="5051">
        <v>2420373.6</v>
      </c>
      <c r="R203" s="5051"/>
      <c r="S203" s="5051"/>
      <c r="T203" s="5051"/>
      <c r="U203" s="5051"/>
      <c r="V203" s="5051"/>
      <c r="W203" s="5051">
        <v>0</v>
      </c>
      <c r="X203" s="5051">
        <v>0</v>
      </c>
      <c r="Y203" s="5051"/>
      <c r="Z203" s="5051"/>
      <c r="AA203" s="5051"/>
      <c r="AB203" s="5051"/>
      <c r="AC203" s="5051">
        <v>1</v>
      </c>
      <c r="AD203" s="5194" t="s">
        <v>586</v>
      </c>
      <c r="AE203" s="5237">
        <v>0.1</v>
      </c>
      <c r="AF203" s="5051">
        <f t="shared" si="39"/>
        <v>242037.36</v>
      </c>
      <c r="AG203" s="5051">
        <f t="shared" si="31"/>
        <v>258677.36</v>
      </c>
      <c r="AH203" s="5051" t="s">
        <v>206</v>
      </c>
      <c r="AI203" s="5051">
        <v>42865</v>
      </c>
      <c r="AJ203" s="5051" t="s">
        <v>171</v>
      </c>
      <c r="AK203" s="5051" t="s">
        <v>171</v>
      </c>
      <c r="AL203" s="5051">
        <v>258677.36</v>
      </c>
      <c r="AM203" s="5051">
        <v>42865</v>
      </c>
      <c r="AN203" s="5051">
        <f t="shared" si="32"/>
        <v>258677.36</v>
      </c>
      <c r="AO203" s="5051">
        <v>43040</v>
      </c>
      <c r="AP203" s="5051">
        <f t="shared" si="33"/>
        <v>0</v>
      </c>
      <c r="AQ203" s="5253"/>
      <c r="AR203" s="5254" t="s">
        <v>128</v>
      </c>
      <c r="AS203" s="5259"/>
      <c r="AT203" s="5253"/>
      <c r="AU203" s="5051">
        <f>SUM(AG203:AG206)</f>
        <v>2420373.6</v>
      </c>
      <c r="AV203" s="5051">
        <f>SUM(AL203:AL206)</f>
        <v>2420373.6</v>
      </c>
      <c r="AW203" s="5051">
        <f>SUM(AN203:AN206)</f>
        <v>2420373.6</v>
      </c>
      <c r="AX203" s="5051">
        <f>M203-AU203</f>
        <v>0</v>
      </c>
      <c r="AY203" s="5051">
        <f t="shared" si="37"/>
        <v>0</v>
      </c>
      <c r="AZ203" s="5051">
        <f t="shared" si="38"/>
        <v>0</v>
      </c>
      <c r="BA203" s="5264"/>
      <c r="BB203" s="5243"/>
      <c r="BC203" s="5243"/>
      <c r="BD203" s="5243">
        <v>258677.36</v>
      </c>
      <c r="BE203" s="5264"/>
      <c r="BF203" s="5264"/>
      <c r="BG203" s="5264"/>
      <c r="BH203" s="5243"/>
      <c r="BI203" s="5243"/>
      <c r="BJ203" s="5243"/>
      <c r="BK203" s="5243"/>
      <c r="BL203" s="5243"/>
      <c r="BM203" s="5243"/>
      <c r="BN203" s="5243"/>
      <c r="BO203" s="5253"/>
      <c r="BP203" s="5253"/>
      <c r="BQ203" s="5253"/>
      <c r="BR203" s="5051">
        <v>258677.36</v>
      </c>
      <c r="BS203" s="5253"/>
      <c r="BT203" s="5253"/>
      <c r="BU203" s="5253"/>
      <c r="BV203" s="5253"/>
      <c r="BW203" s="5253"/>
      <c r="BX203" s="5253"/>
      <c r="BY203" s="5253"/>
      <c r="BZ203" s="5253"/>
      <c r="CA203" s="5253"/>
      <c r="CB203" s="5253"/>
      <c r="CC203" s="5307" t="s">
        <v>124</v>
      </c>
      <c r="CD203" s="5307" t="s">
        <v>154</v>
      </c>
      <c r="CE203" s="5039"/>
      <c r="CF203" s="5039"/>
      <c r="CG203" s="5039"/>
      <c r="CH203" s="5039"/>
    </row>
    <row r="204" s="4971" customFormat="1" ht="61" customHeight="1" spans="1:86">
      <c r="A204" s="5360"/>
      <c r="B204" s="5051"/>
      <c r="C204" s="5051"/>
      <c r="D204" s="5194"/>
      <c r="E204" s="5360"/>
      <c r="F204" s="5194"/>
      <c r="G204" s="5194"/>
      <c r="H204" s="5051"/>
      <c r="I204" s="5051"/>
      <c r="J204" s="5194"/>
      <c r="K204" s="5051"/>
      <c r="L204" s="5194"/>
      <c r="M204" s="5051"/>
      <c r="N204" s="5051"/>
      <c r="O204" s="5051"/>
      <c r="P204" s="5051"/>
      <c r="Q204" s="5051"/>
      <c r="R204" s="5051"/>
      <c r="S204" s="5051"/>
      <c r="T204" s="5051"/>
      <c r="U204" s="5051"/>
      <c r="V204" s="5051"/>
      <c r="W204" s="5051"/>
      <c r="X204" s="5051"/>
      <c r="Y204" s="5051"/>
      <c r="Z204" s="5051"/>
      <c r="AA204" s="5051"/>
      <c r="AB204" s="5051"/>
      <c r="AC204" s="5051">
        <v>2</v>
      </c>
      <c r="AD204" s="5194" t="s">
        <v>587</v>
      </c>
      <c r="AE204" s="5237">
        <v>0.35</v>
      </c>
      <c r="AF204" s="5051">
        <v>738970.76</v>
      </c>
      <c r="AG204" s="5051">
        <f t="shared" si="31"/>
        <v>738970.76</v>
      </c>
      <c r="AH204" s="5051" t="s">
        <v>206</v>
      </c>
      <c r="AI204" s="5051">
        <v>42865</v>
      </c>
      <c r="AJ204" s="5051" t="s">
        <v>171</v>
      </c>
      <c r="AK204" s="5051" t="s">
        <v>171</v>
      </c>
      <c r="AL204" s="5051">
        <v>738970.76</v>
      </c>
      <c r="AM204" s="5051">
        <v>42865</v>
      </c>
      <c r="AN204" s="5051">
        <f t="shared" si="32"/>
        <v>738970.76</v>
      </c>
      <c r="AO204" s="5051">
        <v>43040</v>
      </c>
      <c r="AP204" s="5051">
        <f t="shared" si="33"/>
        <v>0</v>
      </c>
      <c r="AQ204" s="5253"/>
      <c r="AR204" s="5051"/>
      <c r="AS204" s="5259"/>
      <c r="AT204" s="5253"/>
      <c r="AU204" s="5051"/>
      <c r="AV204" s="5051"/>
      <c r="AW204" s="5051"/>
      <c r="AX204" s="5051"/>
      <c r="AY204" s="5051"/>
      <c r="AZ204" s="5051"/>
      <c r="BA204" s="5264"/>
      <c r="BB204" s="5243"/>
      <c r="BC204" s="5243"/>
      <c r="BD204" s="5243">
        <v>738970.76</v>
      </c>
      <c r="BE204" s="5264"/>
      <c r="BF204" s="5264"/>
      <c r="BG204" s="5264"/>
      <c r="BH204" s="5243"/>
      <c r="BI204" s="5243"/>
      <c r="BJ204" s="5243"/>
      <c r="BK204" s="5243"/>
      <c r="BL204" s="5243"/>
      <c r="BM204" s="5243"/>
      <c r="BN204" s="5243"/>
      <c r="BO204" s="5253"/>
      <c r="BP204" s="5253"/>
      <c r="BQ204" s="5253"/>
      <c r="BR204" s="5051">
        <v>738970.76</v>
      </c>
      <c r="BS204" s="5253"/>
      <c r="BT204" s="5253"/>
      <c r="BU204" s="5253"/>
      <c r="BV204" s="5253"/>
      <c r="BW204" s="5253"/>
      <c r="BX204" s="5253"/>
      <c r="BY204" s="5253"/>
      <c r="BZ204" s="5253"/>
      <c r="CA204" s="5253"/>
      <c r="CB204" s="5253"/>
      <c r="CC204" s="5307"/>
      <c r="CD204" s="5307"/>
      <c r="CE204" s="5039"/>
      <c r="CF204" s="5039"/>
      <c r="CG204" s="5039"/>
      <c r="CH204" s="5039"/>
    </row>
    <row r="205" s="4971" customFormat="1" ht="45" customHeight="1" spans="1:86">
      <c r="A205" s="5360"/>
      <c r="B205" s="5051"/>
      <c r="C205" s="5051"/>
      <c r="D205" s="5194"/>
      <c r="E205" s="5360"/>
      <c r="F205" s="5194"/>
      <c r="G205" s="5194"/>
      <c r="H205" s="5051"/>
      <c r="I205" s="5051"/>
      <c r="J205" s="5194"/>
      <c r="K205" s="5051"/>
      <c r="L205" s="5194"/>
      <c r="M205" s="5051"/>
      <c r="N205" s="5051"/>
      <c r="O205" s="5051"/>
      <c r="P205" s="5051"/>
      <c r="Q205" s="5051"/>
      <c r="R205" s="5051"/>
      <c r="S205" s="5051"/>
      <c r="T205" s="5051"/>
      <c r="U205" s="5051"/>
      <c r="V205" s="5051"/>
      <c r="W205" s="5051"/>
      <c r="X205" s="5051"/>
      <c r="Y205" s="5051"/>
      <c r="Z205" s="5051"/>
      <c r="AA205" s="5051"/>
      <c r="AB205" s="5051"/>
      <c r="AC205" s="5051">
        <v>3</v>
      </c>
      <c r="AD205" s="5194" t="s">
        <v>588</v>
      </c>
      <c r="AE205" s="5237">
        <v>0.35</v>
      </c>
      <c r="AF205" s="5051">
        <f>AE205*M203</f>
        <v>847130.76</v>
      </c>
      <c r="AG205" s="5051">
        <f t="shared" si="31"/>
        <v>905370.76</v>
      </c>
      <c r="AH205" s="5051" t="s">
        <v>206</v>
      </c>
      <c r="AI205" s="5051">
        <v>42865</v>
      </c>
      <c r="AJ205" s="5051" t="s">
        <v>171</v>
      </c>
      <c r="AK205" s="5051" t="s">
        <v>171</v>
      </c>
      <c r="AL205" s="5051">
        <v>905370.76</v>
      </c>
      <c r="AM205" s="5051">
        <v>42865</v>
      </c>
      <c r="AN205" s="5051">
        <f t="shared" si="32"/>
        <v>905370.76</v>
      </c>
      <c r="AO205" s="5051">
        <v>43040</v>
      </c>
      <c r="AP205" s="5051">
        <f t="shared" si="33"/>
        <v>0</v>
      </c>
      <c r="AQ205" s="5253"/>
      <c r="AR205" s="5051"/>
      <c r="AS205" s="5259"/>
      <c r="AT205" s="5253"/>
      <c r="AU205" s="5051"/>
      <c r="AV205" s="5051"/>
      <c r="AW205" s="5051"/>
      <c r="AX205" s="5051"/>
      <c r="AY205" s="5051"/>
      <c r="AZ205" s="5051"/>
      <c r="BA205" s="5264"/>
      <c r="BB205" s="5243"/>
      <c r="BC205" s="5243"/>
      <c r="BD205" s="5243">
        <v>905370.76</v>
      </c>
      <c r="BE205" s="5264"/>
      <c r="BF205" s="5264"/>
      <c r="BG205" s="5264"/>
      <c r="BH205" s="5243"/>
      <c r="BI205" s="5243"/>
      <c r="BJ205" s="5243"/>
      <c r="BK205" s="5243"/>
      <c r="BL205" s="5243"/>
      <c r="BM205" s="5243"/>
      <c r="BN205" s="5243"/>
      <c r="BO205" s="5253"/>
      <c r="BP205" s="5253"/>
      <c r="BQ205" s="5253"/>
      <c r="BR205" s="5051">
        <v>905370.76</v>
      </c>
      <c r="BS205" s="5253"/>
      <c r="BT205" s="5253"/>
      <c r="BU205" s="5253"/>
      <c r="BV205" s="5253"/>
      <c r="BW205" s="5253"/>
      <c r="BX205" s="5253"/>
      <c r="BY205" s="5253"/>
      <c r="BZ205" s="5253"/>
      <c r="CA205" s="5253"/>
      <c r="CB205" s="5253"/>
      <c r="CC205" s="5307"/>
      <c r="CD205" s="5307"/>
      <c r="CE205" s="5039"/>
      <c r="CF205" s="5039"/>
      <c r="CG205" s="5039"/>
      <c r="CH205" s="5039"/>
    </row>
    <row r="206" s="4971" customFormat="1" ht="61" customHeight="1" spans="1:86">
      <c r="A206" s="5360"/>
      <c r="B206" s="5051"/>
      <c r="C206" s="5051"/>
      <c r="D206" s="5194"/>
      <c r="E206" s="5360"/>
      <c r="F206" s="5194"/>
      <c r="G206" s="5194"/>
      <c r="H206" s="5051"/>
      <c r="I206" s="5051"/>
      <c r="J206" s="5194"/>
      <c r="K206" s="5051"/>
      <c r="L206" s="5194"/>
      <c r="M206" s="5051"/>
      <c r="N206" s="5051"/>
      <c r="O206" s="5051"/>
      <c r="P206" s="5051"/>
      <c r="Q206" s="5051"/>
      <c r="R206" s="5051"/>
      <c r="S206" s="5051"/>
      <c r="T206" s="5051"/>
      <c r="U206" s="5051"/>
      <c r="V206" s="5051"/>
      <c r="W206" s="5051"/>
      <c r="X206" s="5051"/>
      <c r="Y206" s="5051"/>
      <c r="Z206" s="5051"/>
      <c r="AA206" s="5051"/>
      <c r="AB206" s="5051"/>
      <c r="AC206" s="5051">
        <v>4</v>
      </c>
      <c r="AD206" s="5194" t="s">
        <v>589</v>
      </c>
      <c r="AE206" s="5237">
        <v>0.2</v>
      </c>
      <c r="AF206" s="5051">
        <f>AE206*M203</f>
        <v>484074.72</v>
      </c>
      <c r="AG206" s="5051">
        <f t="shared" si="31"/>
        <v>517354.72</v>
      </c>
      <c r="AH206" s="5393" t="s">
        <v>409</v>
      </c>
      <c r="AI206" s="5243">
        <v>44288</v>
      </c>
      <c r="AJ206" s="5243">
        <v>517354.72</v>
      </c>
      <c r="AK206" s="5264">
        <v>44288</v>
      </c>
      <c r="AL206" s="5243">
        <v>517354.72</v>
      </c>
      <c r="AM206" s="5243">
        <v>44411</v>
      </c>
      <c r="AN206" s="5243">
        <f t="shared" si="32"/>
        <v>517354.72</v>
      </c>
      <c r="AO206" s="5243">
        <v>44431</v>
      </c>
      <c r="AP206" s="5051">
        <f t="shared" si="33"/>
        <v>0</v>
      </c>
      <c r="AQ206" s="5253"/>
      <c r="AR206" s="5051"/>
      <c r="AS206" s="5259"/>
      <c r="AT206" s="5253"/>
      <c r="AU206" s="5051"/>
      <c r="AV206" s="5051"/>
      <c r="AW206" s="5051"/>
      <c r="AX206" s="5051"/>
      <c r="AY206" s="5051"/>
      <c r="AZ206" s="5051"/>
      <c r="BA206" s="5264"/>
      <c r="BB206" s="5243"/>
      <c r="BC206" s="5243"/>
      <c r="BD206" s="5264">
        <v>517354.72</v>
      </c>
      <c r="BE206" s="5264"/>
      <c r="BF206" s="5264"/>
      <c r="BG206" s="5264"/>
      <c r="BH206" s="5243"/>
      <c r="BI206" s="5243"/>
      <c r="BJ206" s="5243"/>
      <c r="BK206" s="5243"/>
      <c r="BL206" s="5243"/>
      <c r="BM206" s="5243"/>
      <c r="BN206" s="5243"/>
      <c r="BO206" s="5411"/>
      <c r="BP206" s="5411"/>
      <c r="BQ206" s="5411"/>
      <c r="BR206" s="5264">
        <v>517354.72</v>
      </c>
      <c r="BS206" s="5411"/>
      <c r="BT206" s="5411"/>
      <c r="BU206" s="5411"/>
      <c r="BV206" s="5411"/>
      <c r="BW206" s="5411"/>
      <c r="BX206" s="5411"/>
      <c r="BY206" s="5411"/>
      <c r="BZ206" s="5411"/>
      <c r="CA206" s="5411"/>
      <c r="CB206" s="5411"/>
      <c r="CC206" s="5307"/>
      <c r="CD206" s="5307"/>
      <c r="CE206" s="5039"/>
      <c r="CF206" s="5039"/>
      <c r="CG206" s="5039"/>
      <c r="CH206" s="5039"/>
    </row>
    <row r="207" s="4972" customFormat="1" ht="61" customHeight="1" spans="1:86">
      <c r="A207" s="5312">
        <v>42</v>
      </c>
      <c r="B207" s="3662" t="s">
        <v>173</v>
      </c>
      <c r="C207" s="5127">
        <v>42901</v>
      </c>
      <c r="D207" s="5134" t="s">
        <v>590</v>
      </c>
      <c r="E207" s="5312" t="s">
        <v>113</v>
      </c>
      <c r="F207" s="5134" t="s">
        <v>591</v>
      </c>
      <c r="G207" s="5134" t="s">
        <v>592</v>
      </c>
      <c r="H207" s="3662" t="s">
        <v>286</v>
      </c>
      <c r="I207" s="3662"/>
      <c r="J207" s="5134" t="s">
        <v>479</v>
      </c>
      <c r="K207" s="5127" t="s">
        <v>564</v>
      </c>
      <c r="L207" s="5127" t="s">
        <v>481</v>
      </c>
      <c r="M207" s="3662">
        <f>SUM(N207:AA207)</f>
        <v>100000</v>
      </c>
      <c r="N207" s="5122"/>
      <c r="O207" s="5122"/>
      <c r="P207" s="5122"/>
      <c r="Q207" s="5122">
        <v>100000</v>
      </c>
      <c r="R207" s="5122"/>
      <c r="S207" s="5122"/>
      <c r="T207" s="5122"/>
      <c r="U207" s="5122"/>
      <c r="V207" s="5122"/>
      <c r="W207" s="3524">
        <v>0</v>
      </c>
      <c r="X207" s="3524">
        <v>0</v>
      </c>
      <c r="Y207" s="3524"/>
      <c r="Z207" s="3524"/>
      <c r="AA207" s="5122"/>
      <c r="AB207" s="5122"/>
      <c r="AC207" s="3662">
        <v>1</v>
      </c>
      <c r="AD207" s="5053" t="s">
        <v>593</v>
      </c>
      <c r="AE207" s="5115">
        <v>1</v>
      </c>
      <c r="AF207" s="3662">
        <v>100000</v>
      </c>
      <c r="AG207" s="3662">
        <f t="shared" si="31"/>
        <v>100000</v>
      </c>
      <c r="AH207" s="3662" t="s">
        <v>206</v>
      </c>
      <c r="AI207" s="3662">
        <v>42925</v>
      </c>
      <c r="AJ207" s="3662" t="s">
        <v>171</v>
      </c>
      <c r="AK207" s="3662" t="s">
        <v>171</v>
      </c>
      <c r="AL207" s="3662">
        <v>100000</v>
      </c>
      <c r="AM207" s="3662">
        <v>42925</v>
      </c>
      <c r="AN207" s="3662">
        <f t="shared" si="32"/>
        <v>100000</v>
      </c>
      <c r="AO207" s="3662">
        <v>42925</v>
      </c>
      <c r="AP207" s="3662">
        <f t="shared" si="33"/>
        <v>0</v>
      </c>
      <c r="AQ207" s="5127" t="s">
        <v>580</v>
      </c>
      <c r="AR207" s="3662"/>
      <c r="AS207" s="5134"/>
      <c r="AT207" s="5127"/>
      <c r="AU207" s="5262">
        <f t="shared" ref="AU207:AU212" si="40">SUM(AG207)</f>
        <v>100000</v>
      </c>
      <c r="AV207" s="5262">
        <f t="shared" ref="AV207:AV212" si="41">SUM(AL207)</f>
        <v>100000</v>
      </c>
      <c r="AW207" s="5262">
        <f t="shared" ref="AW207:AW212" si="42">SUM(AN207)</f>
        <v>100000</v>
      </c>
      <c r="AX207" s="5262">
        <f t="shared" ref="AX207:AX209" si="43">M207-AU207</f>
        <v>0</v>
      </c>
      <c r="AY207" s="5262">
        <f t="shared" ref="AY207:AY209" si="44">AU207-AV207</f>
        <v>0</v>
      </c>
      <c r="AZ207" s="5262">
        <f t="shared" ref="AZ207:AZ209" si="45">AV207-AW207</f>
        <v>0</v>
      </c>
      <c r="BA207" s="5148"/>
      <c r="BB207" s="3684"/>
      <c r="BC207" s="3684"/>
      <c r="BD207" s="5148">
        <v>100000</v>
      </c>
      <c r="BE207" s="5148"/>
      <c r="BF207" s="5148"/>
      <c r="BG207" s="5148"/>
      <c r="BH207" s="3684"/>
      <c r="BI207" s="3684"/>
      <c r="BJ207" s="3684"/>
      <c r="BK207" s="3684"/>
      <c r="BL207" s="3684"/>
      <c r="BM207" s="3684"/>
      <c r="BN207" s="3684"/>
      <c r="BO207" s="5127"/>
      <c r="BP207" s="5127"/>
      <c r="BQ207" s="5127"/>
      <c r="BR207" s="5127">
        <v>100000</v>
      </c>
      <c r="BS207" s="5127"/>
      <c r="BT207" s="5127"/>
      <c r="BU207" s="5127"/>
      <c r="BV207" s="5127"/>
      <c r="BW207" s="5127"/>
      <c r="BX207" s="5127"/>
      <c r="BY207" s="5127"/>
      <c r="BZ207" s="5127"/>
      <c r="CA207" s="5127"/>
      <c r="CB207" s="5127"/>
      <c r="CC207" s="3662" t="s">
        <v>166</v>
      </c>
      <c r="CD207" s="3662" t="s">
        <v>154</v>
      </c>
      <c r="CE207" s="5170"/>
      <c r="CF207" s="5170"/>
      <c r="CG207" s="5170"/>
      <c r="CH207" s="5170"/>
    </row>
    <row r="208" s="4972" customFormat="1" ht="213" spans="1:86">
      <c r="A208" s="5130">
        <v>43</v>
      </c>
      <c r="B208" s="3662" t="s">
        <v>146</v>
      </c>
      <c r="C208" s="5127">
        <v>42965</v>
      </c>
      <c r="D208" s="5319" t="s">
        <v>594</v>
      </c>
      <c r="E208" s="5312" t="s">
        <v>113</v>
      </c>
      <c r="F208" s="5134" t="s">
        <v>595</v>
      </c>
      <c r="G208" s="5134" t="s">
        <v>596</v>
      </c>
      <c r="H208" s="3662" t="s">
        <v>286</v>
      </c>
      <c r="I208" s="5055" t="s">
        <v>597</v>
      </c>
      <c r="J208" s="5134" t="s">
        <v>571</v>
      </c>
      <c r="K208" s="3662" t="s">
        <v>493</v>
      </c>
      <c r="L208" s="5127"/>
      <c r="M208" s="3662">
        <f>SUM(N208:AA208)</f>
        <v>300000</v>
      </c>
      <c r="N208" s="5122"/>
      <c r="O208" s="5122"/>
      <c r="P208" s="5122">
        <v>300000</v>
      </c>
      <c r="Q208" s="5122"/>
      <c r="R208" s="5122"/>
      <c r="S208" s="5122"/>
      <c r="T208" s="5122"/>
      <c r="U208" s="5122"/>
      <c r="V208" s="5122"/>
      <c r="W208" s="3524">
        <v>0</v>
      </c>
      <c r="X208" s="3524">
        <v>0</v>
      </c>
      <c r="Y208" s="3524"/>
      <c r="Z208" s="3524"/>
      <c r="AA208" s="5122"/>
      <c r="AB208" s="5122"/>
      <c r="AC208" s="3662">
        <v>1</v>
      </c>
      <c r="AD208" s="5388" t="s">
        <v>598</v>
      </c>
      <c r="AE208" s="5115"/>
      <c r="AF208" s="3662"/>
      <c r="AG208" s="3662">
        <f t="shared" si="31"/>
        <v>0</v>
      </c>
      <c r="AH208" s="3662"/>
      <c r="AI208" s="3662"/>
      <c r="AJ208" s="3662"/>
      <c r="AK208" s="5127"/>
      <c r="AL208" s="3662"/>
      <c r="AM208" s="3662"/>
      <c r="AN208" s="3662">
        <f t="shared" si="32"/>
        <v>0</v>
      </c>
      <c r="AO208" s="3662"/>
      <c r="AP208" s="3662">
        <f t="shared" si="33"/>
        <v>0</v>
      </c>
      <c r="AQ208" s="5319" t="s">
        <v>599</v>
      </c>
      <c r="AR208" s="3662"/>
      <c r="AS208" s="5134"/>
      <c r="AT208" s="5127"/>
      <c r="AU208" s="5367">
        <f t="shared" si="40"/>
        <v>0</v>
      </c>
      <c r="AV208" s="5367">
        <f t="shared" si="41"/>
        <v>0</v>
      </c>
      <c r="AW208" s="5367">
        <f t="shared" si="42"/>
        <v>0</v>
      </c>
      <c r="AX208" s="5367">
        <f t="shared" si="43"/>
        <v>300000</v>
      </c>
      <c r="AY208" s="5367">
        <f t="shared" si="44"/>
        <v>0</v>
      </c>
      <c r="AZ208" s="5367">
        <f t="shared" si="45"/>
        <v>0</v>
      </c>
      <c r="BA208" s="5127"/>
      <c r="BB208" s="3662"/>
      <c r="BC208" s="3662"/>
      <c r="BD208" s="5127"/>
      <c r="BE208" s="5127"/>
      <c r="BF208" s="5127"/>
      <c r="BG208" s="5127"/>
      <c r="BH208" s="3662"/>
      <c r="BI208" s="3662"/>
      <c r="BJ208" s="3662"/>
      <c r="BK208" s="3662"/>
      <c r="BL208" s="3662"/>
      <c r="BM208" s="3662"/>
      <c r="BN208" s="3662"/>
      <c r="BO208" s="5127"/>
      <c r="BP208" s="5127"/>
      <c r="BQ208" s="5127"/>
      <c r="BR208" s="5127"/>
      <c r="BS208" s="5127"/>
      <c r="BT208" s="5127"/>
      <c r="BU208" s="5127"/>
      <c r="BV208" s="5127"/>
      <c r="BW208" s="5127"/>
      <c r="BX208" s="5127"/>
      <c r="BY208" s="5127"/>
      <c r="BZ208" s="5127"/>
      <c r="CA208" s="5127"/>
      <c r="CB208" s="5127"/>
      <c r="CC208" s="3662" t="s">
        <v>166</v>
      </c>
      <c r="CD208" s="3662" t="s">
        <v>154</v>
      </c>
      <c r="CE208" s="5170"/>
      <c r="CF208" s="5170"/>
      <c r="CG208" s="5170"/>
      <c r="CH208" s="5170"/>
    </row>
    <row r="209" s="4965" customFormat="1" ht="61" customHeight="1" spans="1:86">
      <c r="A209" s="5327">
        <v>44</v>
      </c>
      <c r="B209" s="3524" t="s">
        <v>146</v>
      </c>
      <c r="C209" s="3524">
        <v>43095</v>
      </c>
      <c r="D209" s="3742" t="s">
        <v>600</v>
      </c>
      <c r="E209" s="5130" t="s">
        <v>113</v>
      </c>
      <c r="F209" s="3742" t="s">
        <v>601</v>
      </c>
      <c r="G209" s="3742" t="s">
        <v>602</v>
      </c>
      <c r="H209" s="3524" t="s">
        <v>286</v>
      </c>
      <c r="I209" s="5073" t="s">
        <v>603</v>
      </c>
      <c r="J209" s="3742" t="s">
        <v>571</v>
      </c>
      <c r="K209" s="3524"/>
      <c r="L209" s="3524"/>
      <c r="M209" s="3524">
        <f>SUM(N209:AA210)</f>
        <v>150000</v>
      </c>
      <c r="N209" s="5086"/>
      <c r="O209" s="5086"/>
      <c r="P209" s="5086">
        <v>150000</v>
      </c>
      <c r="Q209" s="5086"/>
      <c r="R209" s="5086"/>
      <c r="S209" s="5086"/>
      <c r="T209" s="5086"/>
      <c r="U209" s="5086"/>
      <c r="V209" s="5086"/>
      <c r="W209" s="5086">
        <v>0</v>
      </c>
      <c r="X209" s="5086">
        <v>0</v>
      </c>
      <c r="Y209" s="5086"/>
      <c r="Z209" s="5086"/>
      <c r="AA209" s="5086"/>
      <c r="AB209" s="5086"/>
      <c r="AC209" s="3524">
        <v>1</v>
      </c>
      <c r="AD209" s="3742" t="s">
        <v>604</v>
      </c>
      <c r="AE209" s="5389">
        <v>0.3</v>
      </c>
      <c r="AF209" s="3524">
        <f>AE209*M209</f>
        <v>45000</v>
      </c>
      <c r="AG209" s="3524">
        <f t="shared" si="31"/>
        <v>45000</v>
      </c>
      <c r="AH209" s="3524" t="s">
        <v>206</v>
      </c>
      <c r="AI209" s="3524">
        <v>43657</v>
      </c>
      <c r="AJ209" s="3524" t="s">
        <v>171</v>
      </c>
      <c r="AK209" s="3524" t="s">
        <v>171</v>
      </c>
      <c r="AL209" s="3524">
        <v>45000</v>
      </c>
      <c r="AM209" s="3524">
        <v>43657</v>
      </c>
      <c r="AN209" s="3524">
        <f t="shared" si="32"/>
        <v>45000</v>
      </c>
      <c r="AO209" s="3524">
        <v>43657</v>
      </c>
      <c r="AP209" s="3524">
        <f t="shared" si="33"/>
        <v>0</v>
      </c>
      <c r="AQ209" s="5122"/>
      <c r="AR209" s="3524"/>
      <c r="AS209" s="5137"/>
      <c r="AT209" s="5122"/>
      <c r="AU209" s="3524">
        <f>SUM(AG209:AG210)</f>
        <v>45000</v>
      </c>
      <c r="AV209" s="3524">
        <f>SUM(AL209:AL210)</f>
        <v>45000</v>
      </c>
      <c r="AW209" s="3524">
        <f>SUM(AN209:AN210)</f>
        <v>45000</v>
      </c>
      <c r="AX209" s="3524">
        <f t="shared" si="43"/>
        <v>105000</v>
      </c>
      <c r="AY209" s="3524">
        <f t="shared" si="44"/>
        <v>0</v>
      </c>
      <c r="AZ209" s="3524">
        <f t="shared" si="45"/>
        <v>0</v>
      </c>
      <c r="BA209" s="5146"/>
      <c r="BB209" s="3812"/>
      <c r="BC209" s="3812">
        <v>45000</v>
      </c>
      <c r="BD209" s="5146"/>
      <c r="BE209" s="5146"/>
      <c r="BF209" s="5146"/>
      <c r="BG209" s="5146"/>
      <c r="BH209" s="3812"/>
      <c r="BI209" s="3812"/>
      <c r="BJ209" s="3812"/>
      <c r="BK209" s="3812"/>
      <c r="BL209" s="3812"/>
      <c r="BM209" s="3812"/>
      <c r="BN209" s="3812"/>
      <c r="BO209" s="5122"/>
      <c r="BP209" s="5122"/>
      <c r="BQ209" s="5122">
        <v>45000</v>
      </c>
      <c r="BR209" s="5122"/>
      <c r="BS209" s="5122"/>
      <c r="BT209" s="5122"/>
      <c r="BU209" s="5122"/>
      <c r="BV209" s="5122"/>
      <c r="BW209" s="5122"/>
      <c r="BX209" s="5122"/>
      <c r="BY209" s="5122"/>
      <c r="BZ209" s="5122"/>
      <c r="CA209" s="5122"/>
      <c r="CB209" s="5122"/>
      <c r="CC209" s="3524" t="s">
        <v>166</v>
      </c>
      <c r="CD209" s="3524" t="s">
        <v>154</v>
      </c>
      <c r="CE209" s="5169"/>
      <c r="CF209" s="5169"/>
      <c r="CG209" s="5169"/>
      <c r="CH209" s="5169"/>
    </row>
    <row r="210" s="4965" customFormat="1" ht="61" customHeight="1" spans="1:86">
      <c r="A210" s="5327"/>
      <c r="B210" s="3524"/>
      <c r="C210" s="3524"/>
      <c r="D210" s="3742"/>
      <c r="E210" s="5130"/>
      <c r="F210" s="3742"/>
      <c r="G210" s="3742"/>
      <c r="H210" s="3524"/>
      <c r="I210" s="3741"/>
      <c r="J210" s="3742"/>
      <c r="K210" s="3524"/>
      <c r="L210" s="3524"/>
      <c r="M210" s="3524"/>
      <c r="N210" s="5086"/>
      <c r="O210" s="5086"/>
      <c r="P210" s="5086"/>
      <c r="Q210" s="5086"/>
      <c r="R210" s="5086"/>
      <c r="S210" s="5086"/>
      <c r="T210" s="5086"/>
      <c r="U210" s="5086"/>
      <c r="V210" s="5086"/>
      <c r="W210" s="5086"/>
      <c r="X210" s="5086"/>
      <c r="Y210" s="5086"/>
      <c r="Z210" s="5086"/>
      <c r="AA210" s="5086"/>
      <c r="AB210" s="5086"/>
      <c r="AC210" s="3524">
        <v>2</v>
      </c>
      <c r="AD210" s="3742" t="s">
        <v>605</v>
      </c>
      <c r="AE210" s="5117">
        <v>0.7</v>
      </c>
      <c r="AF210" s="3524">
        <f>AE210*M209</f>
        <v>105000</v>
      </c>
      <c r="AG210" s="3524">
        <f t="shared" si="31"/>
        <v>0</v>
      </c>
      <c r="AH210" s="3524"/>
      <c r="AI210" s="3524"/>
      <c r="AJ210" s="3524"/>
      <c r="AK210" s="5122"/>
      <c r="AL210" s="3524"/>
      <c r="AM210" s="3524"/>
      <c r="AN210" s="3524">
        <f t="shared" si="32"/>
        <v>0</v>
      </c>
      <c r="AO210" s="3524"/>
      <c r="AP210" s="3524">
        <f t="shared" si="33"/>
        <v>0</v>
      </c>
      <c r="AQ210" s="5122"/>
      <c r="AR210" s="3524"/>
      <c r="AS210" s="5137"/>
      <c r="AT210" s="5122"/>
      <c r="AU210" s="3524"/>
      <c r="AV210" s="3524"/>
      <c r="AW210" s="3524"/>
      <c r="AX210" s="3524"/>
      <c r="AY210" s="3524"/>
      <c r="AZ210" s="3524"/>
      <c r="BA210" s="5122"/>
      <c r="BB210" s="3524"/>
      <c r="BC210" s="3524"/>
      <c r="BD210" s="5122"/>
      <c r="BE210" s="5122"/>
      <c r="BF210" s="5122"/>
      <c r="BG210" s="5122"/>
      <c r="BH210" s="3524"/>
      <c r="BI210" s="3524"/>
      <c r="BJ210" s="3524"/>
      <c r="BK210" s="3524"/>
      <c r="BL210" s="3524"/>
      <c r="BM210" s="3524"/>
      <c r="BN210" s="3524"/>
      <c r="BO210" s="5122"/>
      <c r="BP210" s="5122"/>
      <c r="BQ210" s="5122"/>
      <c r="BR210" s="5122"/>
      <c r="BS210" s="5122"/>
      <c r="BT210" s="5122"/>
      <c r="BU210" s="5122"/>
      <c r="BV210" s="5122"/>
      <c r="BW210" s="5122"/>
      <c r="BX210" s="5122"/>
      <c r="BY210" s="5122"/>
      <c r="BZ210" s="5122"/>
      <c r="CA210" s="5122"/>
      <c r="CB210" s="5122"/>
      <c r="CC210" s="3524"/>
      <c r="CD210" s="3524"/>
      <c r="CE210" s="5169"/>
      <c r="CF210" s="5169"/>
      <c r="CG210" s="5169"/>
      <c r="CH210" s="5169"/>
    </row>
    <row r="211" s="4972" customFormat="1" ht="105" customHeight="1" spans="1:86">
      <c r="A211" s="5368">
        <v>45</v>
      </c>
      <c r="B211" s="3662" t="s">
        <v>173</v>
      </c>
      <c r="C211" s="5127">
        <v>43077</v>
      </c>
      <c r="D211" s="5134" t="s">
        <v>606</v>
      </c>
      <c r="E211" s="3662" t="s">
        <v>113</v>
      </c>
      <c r="F211" s="5134" t="s">
        <v>607</v>
      </c>
      <c r="G211" s="5134" t="s">
        <v>608</v>
      </c>
      <c r="H211" s="3662" t="s">
        <v>286</v>
      </c>
      <c r="I211" s="5055" t="s">
        <v>609</v>
      </c>
      <c r="J211" s="5319" t="s">
        <v>194</v>
      </c>
      <c r="K211" s="3814" t="s">
        <v>487</v>
      </c>
      <c r="L211" s="5127" t="s">
        <v>481</v>
      </c>
      <c r="M211" s="3662">
        <f>SUM(N211:AA211)</f>
        <v>400000</v>
      </c>
      <c r="N211" s="5330"/>
      <c r="O211" s="5330"/>
      <c r="P211" s="5330">
        <v>400000</v>
      </c>
      <c r="Q211" s="5330"/>
      <c r="R211" s="5330"/>
      <c r="S211" s="5330"/>
      <c r="T211" s="5330"/>
      <c r="U211" s="5330"/>
      <c r="V211" s="5330"/>
      <c r="W211" s="5085">
        <v>0</v>
      </c>
      <c r="X211" s="5085">
        <v>0</v>
      </c>
      <c r="Y211" s="5085"/>
      <c r="Z211" s="5085"/>
      <c r="AA211" s="5330"/>
      <c r="AB211" s="5330"/>
      <c r="AC211" s="3662">
        <v>1</v>
      </c>
      <c r="AD211" s="5053" t="s">
        <v>610</v>
      </c>
      <c r="AE211" s="5115">
        <v>1</v>
      </c>
      <c r="AF211" s="3662">
        <v>400000</v>
      </c>
      <c r="AG211" s="3662">
        <f t="shared" si="31"/>
        <v>400000</v>
      </c>
      <c r="AH211" s="3662" t="s">
        <v>206</v>
      </c>
      <c r="AI211" s="3662">
        <v>43108</v>
      </c>
      <c r="AJ211" s="3662" t="s">
        <v>171</v>
      </c>
      <c r="AK211" s="3662" t="s">
        <v>171</v>
      </c>
      <c r="AL211" s="3662">
        <v>400000</v>
      </c>
      <c r="AM211" s="3662">
        <v>43108</v>
      </c>
      <c r="AN211" s="3662">
        <f t="shared" si="32"/>
        <v>400000</v>
      </c>
      <c r="AO211" s="3662">
        <v>43291</v>
      </c>
      <c r="AP211" s="3662">
        <f t="shared" si="33"/>
        <v>0</v>
      </c>
      <c r="AQ211" s="5319" t="s">
        <v>611</v>
      </c>
      <c r="AR211" s="3662"/>
      <c r="AS211" s="5134"/>
      <c r="AT211" s="5127"/>
      <c r="AU211" s="5403">
        <f t="shared" si="40"/>
        <v>400000</v>
      </c>
      <c r="AV211" s="5403">
        <f t="shared" si="41"/>
        <v>400000</v>
      </c>
      <c r="AW211" s="5403">
        <f t="shared" si="42"/>
        <v>400000</v>
      </c>
      <c r="AX211" s="5403">
        <f t="shared" ref="AX211:AX213" si="46">M211-AU211</f>
        <v>0</v>
      </c>
      <c r="AY211" s="5403">
        <f t="shared" ref="AY211:AY213" si="47">AU211-AV211</f>
        <v>0</v>
      </c>
      <c r="AZ211" s="5403">
        <f t="shared" ref="AZ211:AZ213" si="48">AV211-AW211</f>
        <v>0</v>
      </c>
      <c r="BA211" s="5148"/>
      <c r="BB211" s="3684"/>
      <c r="BC211" s="3684">
        <v>400000</v>
      </c>
      <c r="BD211" s="5148"/>
      <c r="BE211" s="5148"/>
      <c r="BF211" s="5148"/>
      <c r="BG211" s="5148"/>
      <c r="BH211" s="3684"/>
      <c r="BI211" s="3684"/>
      <c r="BJ211" s="3684"/>
      <c r="BK211" s="3684"/>
      <c r="BL211" s="3684"/>
      <c r="BM211" s="3684"/>
      <c r="BN211" s="3684"/>
      <c r="BO211" s="5127"/>
      <c r="BP211" s="5127"/>
      <c r="BQ211" s="5127">
        <v>400000</v>
      </c>
      <c r="BR211" s="5127"/>
      <c r="BS211" s="5127"/>
      <c r="BT211" s="5127"/>
      <c r="BU211" s="5127"/>
      <c r="BV211" s="5127"/>
      <c r="BW211" s="5127"/>
      <c r="BX211" s="5127"/>
      <c r="BY211" s="5127"/>
      <c r="BZ211" s="5127"/>
      <c r="CA211" s="5127"/>
      <c r="CB211" s="5127"/>
      <c r="CC211" s="3662" t="s">
        <v>166</v>
      </c>
      <c r="CD211" s="3662" t="s">
        <v>154</v>
      </c>
      <c r="CE211" s="5170"/>
      <c r="CF211" s="5170"/>
      <c r="CG211" s="5170"/>
      <c r="CH211" s="5170"/>
    </row>
    <row r="212" s="4972" customFormat="1" ht="61" customHeight="1" spans="1:86">
      <c r="A212" s="5368">
        <v>46</v>
      </c>
      <c r="B212" s="3662" t="s">
        <v>173</v>
      </c>
      <c r="C212" s="5127">
        <v>43054</v>
      </c>
      <c r="D212" s="5134" t="s">
        <v>612</v>
      </c>
      <c r="E212" s="3662" t="s">
        <v>113</v>
      </c>
      <c r="F212" s="5134" t="s">
        <v>613</v>
      </c>
      <c r="G212" s="5134" t="s">
        <v>614</v>
      </c>
      <c r="H212" s="3662" t="s">
        <v>286</v>
      </c>
      <c r="I212" s="3662"/>
      <c r="J212" s="5134" t="s">
        <v>615</v>
      </c>
      <c r="K212" s="3662" t="s">
        <v>616</v>
      </c>
      <c r="L212" s="5127" t="s">
        <v>481</v>
      </c>
      <c r="M212" s="3662">
        <f>SUM(N212:AA212)</f>
        <v>200000</v>
      </c>
      <c r="N212" s="5376"/>
      <c r="O212" s="5376"/>
      <c r="P212" s="5376">
        <v>50000</v>
      </c>
      <c r="Q212" s="5376">
        <v>150000</v>
      </c>
      <c r="R212" s="5376"/>
      <c r="S212" s="5376"/>
      <c r="T212" s="5376"/>
      <c r="U212" s="5376"/>
      <c r="V212" s="5376"/>
      <c r="W212" s="5387">
        <v>0</v>
      </c>
      <c r="X212" s="5387">
        <v>0</v>
      </c>
      <c r="Y212" s="5387"/>
      <c r="Z212" s="5387"/>
      <c r="AA212" s="5376"/>
      <c r="AB212" s="5376"/>
      <c r="AC212" s="3662">
        <v>1</v>
      </c>
      <c r="AD212" s="5053" t="s">
        <v>617</v>
      </c>
      <c r="AE212" s="5342">
        <v>1</v>
      </c>
      <c r="AF212" s="3662">
        <v>200000</v>
      </c>
      <c r="AG212" s="3662">
        <f t="shared" si="31"/>
        <v>200000</v>
      </c>
      <c r="AH212" s="3662" t="s">
        <v>206</v>
      </c>
      <c r="AI212" s="3662">
        <v>43230</v>
      </c>
      <c r="AJ212" s="3662" t="s">
        <v>171</v>
      </c>
      <c r="AK212" s="3662" t="s">
        <v>171</v>
      </c>
      <c r="AL212" s="3662">
        <v>200000</v>
      </c>
      <c r="AM212" s="3662">
        <v>43230</v>
      </c>
      <c r="AN212" s="3662">
        <f t="shared" si="32"/>
        <v>200000</v>
      </c>
      <c r="AO212" s="3662">
        <v>43230</v>
      </c>
      <c r="AP212" s="3662">
        <f t="shared" si="33"/>
        <v>0</v>
      </c>
      <c r="AQ212" s="5127"/>
      <c r="AR212" s="3662"/>
      <c r="AS212" s="5134"/>
      <c r="AT212" s="5127"/>
      <c r="AU212" s="5404">
        <f t="shared" si="40"/>
        <v>200000</v>
      </c>
      <c r="AV212" s="5404">
        <f t="shared" si="41"/>
        <v>200000</v>
      </c>
      <c r="AW212" s="5404">
        <f t="shared" si="42"/>
        <v>200000</v>
      </c>
      <c r="AX212" s="5404">
        <f t="shared" si="46"/>
        <v>0</v>
      </c>
      <c r="AY212" s="5404">
        <f t="shared" si="47"/>
        <v>0</v>
      </c>
      <c r="AZ212" s="5404">
        <f t="shared" si="48"/>
        <v>0</v>
      </c>
      <c r="BA212" s="5148"/>
      <c r="BB212" s="3684"/>
      <c r="BC212" s="3684">
        <v>50000</v>
      </c>
      <c r="BD212" s="5148">
        <v>150000</v>
      </c>
      <c r="BE212" s="5148"/>
      <c r="BF212" s="5148"/>
      <c r="BG212" s="5148"/>
      <c r="BH212" s="3684"/>
      <c r="BI212" s="3684"/>
      <c r="BJ212" s="3684"/>
      <c r="BK212" s="3684"/>
      <c r="BL212" s="3684"/>
      <c r="BM212" s="3684"/>
      <c r="BN212" s="3684"/>
      <c r="BO212" s="5127"/>
      <c r="BP212" s="5127"/>
      <c r="BQ212" s="3662">
        <v>50000</v>
      </c>
      <c r="BR212" s="5127">
        <v>150000</v>
      </c>
      <c r="BS212" s="5127"/>
      <c r="BT212" s="5127"/>
      <c r="BU212" s="5127"/>
      <c r="BV212" s="5127"/>
      <c r="BW212" s="5127"/>
      <c r="BX212" s="5127"/>
      <c r="BY212" s="5127"/>
      <c r="BZ212" s="5127"/>
      <c r="CA212" s="5127"/>
      <c r="CB212" s="5127"/>
      <c r="CC212" s="3662" t="s">
        <v>166</v>
      </c>
      <c r="CD212" s="3662" t="s">
        <v>154</v>
      </c>
      <c r="CE212" s="5170"/>
      <c r="CF212" s="5170"/>
      <c r="CG212" s="5170"/>
      <c r="CH212" s="5170"/>
    </row>
    <row r="213" s="4972" customFormat="1" ht="61" customHeight="1" spans="1:86">
      <c r="A213" s="5369">
        <v>47</v>
      </c>
      <c r="B213" s="3662" t="s">
        <v>146</v>
      </c>
      <c r="C213" s="3662">
        <v>42963</v>
      </c>
      <c r="D213" s="5053" t="s">
        <v>618</v>
      </c>
      <c r="E213" s="3662" t="s">
        <v>113</v>
      </c>
      <c r="F213" s="5053" t="s">
        <v>619</v>
      </c>
      <c r="G213" s="5053" t="s">
        <v>620</v>
      </c>
      <c r="H213" s="3662" t="s">
        <v>562</v>
      </c>
      <c r="I213" s="3744"/>
      <c r="J213" s="5053" t="s">
        <v>571</v>
      </c>
      <c r="K213" s="3662" t="s">
        <v>621</v>
      </c>
      <c r="L213" s="3662" t="s">
        <v>622</v>
      </c>
      <c r="M213" s="3662">
        <f>SUBTOTAL(9,N213:AB216)</f>
        <v>1440000</v>
      </c>
      <c r="N213" s="5328">
        <v>960000</v>
      </c>
      <c r="O213" s="5328"/>
      <c r="P213" s="5328"/>
      <c r="Q213" s="5328"/>
      <c r="R213" s="5328"/>
      <c r="S213" s="5328"/>
      <c r="T213" s="5328"/>
      <c r="U213" s="5328"/>
      <c r="V213" s="5328"/>
      <c r="W213" s="5328"/>
      <c r="X213" s="5328">
        <v>0</v>
      </c>
      <c r="Y213" s="5328"/>
      <c r="Z213" s="5328"/>
      <c r="AA213" s="5328"/>
      <c r="AB213" s="5328"/>
      <c r="AC213" s="3662">
        <v>1</v>
      </c>
      <c r="AD213" s="5053" t="s">
        <v>623</v>
      </c>
      <c r="AE213" s="5342">
        <v>0.5</v>
      </c>
      <c r="AF213" s="3662">
        <v>480000</v>
      </c>
      <c r="AG213" s="3662">
        <f t="shared" si="31"/>
        <v>480000</v>
      </c>
      <c r="AH213" s="3662" t="s">
        <v>206</v>
      </c>
      <c r="AI213" s="3662">
        <v>43240</v>
      </c>
      <c r="AJ213" s="3662" t="s">
        <v>171</v>
      </c>
      <c r="AK213" s="3662" t="s">
        <v>171</v>
      </c>
      <c r="AL213" s="3662">
        <v>480000</v>
      </c>
      <c r="AM213" s="3662">
        <v>43240</v>
      </c>
      <c r="AN213" s="3662">
        <f t="shared" si="32"/>
        <v>480000</v>
      </c>
      <c r="AO213" s="3662">
        <v>43327</v>
      </c>
      <c r="AP213" s="3662">
        <f t="shared" si="33"/>
        <v>0</v>
      </c>
      <c r="AQ213" s="5053"/>
      <c r="AR213" s="3662"/>
      <c r="AS213" s="5134"/>
      <c r="AT213" s="5127"/>
      <c r="AU213" s="3662">
        <f>SUM(AG213:AG216)</f>
        <v>1440000</v>
      </c>
      <c r="AV213" s="3662">
        <f>SUM(AL213:AL216)</f>
        <v>1440000</v>
      </c>
      <c r="AW213" s="3662">
        <f>SUM(AN213:AN216)</f>
        <v>1440000</v>
      </c>
      <c r="AX213" s="3662">
        <f t="shared" si="46"/>
        <v>0</v>
      </c>
      <c r="AY213" s="3662">
        <f t="shared" si="47"/>
        <v>0</v>
      </c>
      <c r="AZ213" s="3662">
        <f t="shared" si="48"/>
        <v>0</v>
      </c>
      <c r="BA213" s="5148">
        <v>480000</v>
      </c>
      <c r="BB213" s="3684"/>
      <c r="BC213" s="3684"/>
      <c r="BD213" s="5148"/>
      <c r="BE213" s="5148"/>
      <c r="BF213" s="5148"/>
      <c r="BG213" s="5148"/>
      <c r="BH213" s="3684"/>
      <c r="BI213" s="3684"/>
      <c r="BJ213" s="3684"/>
      <c r="BK213" s="3684"/>
      <c r="BL213" s="3684"/>
      <c r="BM213" s="3684"/>
      <c r="BN213" s="3684"/>
      <c r="BO213" s="5127">
        <v>480000</v>
      </c>
      <c r="BP213" s="5127"/>
      <c r="BQ213" s="3662"/>
      <c r="BR213" s="5127"/>
      <c r="BS213" s="5127"/>
      <c r="BT213" s="5127"/>
      <c r="BU213" s="5127"/>
      <c r="BV213" s="5127"/>
      <c r="BW213" s="5127"/>
      <c r="BX213" s="5127"/>
      <c r="BY213" s="5127"/>
      <c r="BZ213" s="5127"/>
      <c r="CA213" s="5127"/>
      <c r="CB213" s="5127"/>
      <c r="CC213" s="3662" t="s">
        <v>166</v>
      </c>
      <c r="CD213" s="3662" t="s">
        <v>154</v>
      </c>
      <c r="CE213" s="5170"/>
      <c r="CF213" s="5170"/>
      <c r="CG213" s="5170"/>
      <c r="CH213" s="5170"/>
    </row>
    <row r="214" s="4972" customFormat="1" ht="61" customHeight="1" spans="1:86">
      <c r="A214" s="5369"/>
      <c r="B214" s="3662"/>
      <c r="C214" s="3662"/>
      <c r="D214" s="5053"/>
      <c r="E214" s="3662"/>
      <c r="F214" s="5053"/>
      <c r="G214" s="5053"/>
      <c r="H214" s="3662"/>
      <c r="I214" s="3666"/>
      <c r="J214" s="5053"/>
      <c r="K214" s="3662"/>
      <c r="L214" s="3662"/>
      <c r="M214" s="3662"/>
      <c r="N214" s="5328"/>
      <c r="O214" s="5328"/>
      <c r="P214" s="5328"/>
      <c r="Q214" s="5328"/>
      <c r="R214" s="5328"/>
      <c r="S214" s="5328"/>
      <c r="T214" s="5328"/>
      <c r="U214" s="5328"/>
      <c r="V214" s="5328"/>
      <c r="W214" s="5328"/>
      <c r="X214" s="5328"/>
      <c r="Y214" s="5328"/>
      <c r="Z214" s="5328"/>
      <c r="AA214" s="5328"/>
      <c r="AB214" s="5328"/>
      <c r="AC214" s="3662"/>
      <c r="AD214" s="5053"/>
      <c r="AE214" s="5115">
        <v>0.5</v>
      </c>
      <c r="AF214" s="3662">
        <v>480000</v>
      </c>
      <c r="AG214" s="3662">
        <f t="shared" si="31"/>
        <v>480000</v>
      </c>
      <c r="AH214" s="3662" t="s">
        <v>409</v>
      </c>
      <c r="AI214" s="3662">
        <v>43156</v>
      </c>
      <c r="AJ214" s="3662">
        <v>480000</v>
      </c>
      <c r="AK214" s="5127">
        <v>43240</v>
      </c>
      <c r="AL214" s="3662">
        <v>480000</v>
      </c>
      <c r="AM214" s="3662">
        <v>43544</v>
      </c>
      <c r="AN214" s="3662">
        <f t="shared" si="32"/>
        <v>480000</v>
      </c>
      <c r="AO214" s="3662">
        <v>43641</v>
      </c>
      <c r="AP214" s="3662">
        <f t="shared" si="33"/>
        <v>0</v>
      </c>
      <c r="AQ214" s="5053"/>
      <c r="AR214" s="3662"/>
      <c r="AS214" s="5134"/>
      <c r="AT214" s="5127"/>
      <c r="AU214" s="3662"/>
      <c r="AV214" s="3662"/>
      <c r="AW214" s="3662"/>
      <c r="AX214" s="3662"/>
      <c r="AY214" s="3662"/>
      <c r="AZ214" s="3662"/>
      <c r="BA214" s="5148">
        <v>480000</v>
      </c>
      <c r="BB214" s="3684"/>
      <c r="BC214" s="3684"/>
      <c r="BD214" s="5148"/>
      <c r="BE214" s="5148"/>
      <c r="BF214" s="5148"/>
      <c r="BG214" s="5148"/>
      <c r="BH214" s="3684"/>
      <c r="BI214" s="3684"/>
      <c r="BJ214" s="3684"/>
      <c r="BK214" s="3684"/>
      <c r="BL214" s="3684"/>
      <c r="BM214" s="3684"/>
      <c r="BN214" s="3684"/>
      <c r="BO214" s="5127">
        <v>480000</v>
      </c>
      <c r="BP214" s="5127"/>
      <c r="BQ214" s="5127"/>
      <c r="BR214" s="5127"/>
      <c r="BS214" s="5127"/>
      <c r="BT214" s="5127"/>
      <c r="BU214" s="5127"/>
      <c r="BV214" s="5127"/>
      <c r="BW214" s="5127"/>
      <c r="BX214" s="5127"/>
      <c r="BY214" s="5127"/>
      <c r="BZ214" s="5127"/>
      <c r="CA214" s="5127"/>
      <c r="CB214" s="5127"/>
      <c r="CC214" s="3662"/>
      <c r="CD214" s="3662"/>
      <c r="CE214" s="5170"/>
      <c r="CF214" s="5170"/>
      <c r="CG214" s="5170"/>
      <c r="CH214" s="5170"/>
    </row>
    <row r="215" s="4972" customFormat="1" ht="61" customHeight="1" spans="1:86">
      <c r="A215" s="5369"/>
      <c r="B215" s="3662"/>
      <c r="C215" s="3662"/>
      <c r="D215" s="5053"/>
      <c r="E215" s="3662"/>
      <c r="F215" s="5053"/>
      <c r="G215" s="5053"/>
      <c r="H215" s="3662"/>
      <c r="I215" s="3666"/>
      <c r="J215" s="5053"/>
      <c r="K215" s="3662"/>
      <c r="L215" s="3662"/>
      <c r="M215" s="3662"/>
      <c r="N215" s="5328">
        <v>480000</v>
      </c>
      <c r="O215" s="5328"/>
      <c r="P215" s="5328"/>
      <c r="Q215" s="5328"/>
      <c r="R215" s="5328"/>
      <c r="S215" s="5328"/>
      <c r="T215" s="5328"/>
      <c r="U215" s="5328"/>
      <c r="V215" s="5328"/>
      <c r="W215" s="5328"/>
      <c r="X215" s="5328"/>
      <c r="Y215" s="5328"/>
      <c r="Z215" s="5328"/>
      <c r="AA215" s="5328"/>
      <c r="AB215" s="5328"/>
      <c r="AC215" s="3662">
        <v>2</v>
      </c>
      <c r="AD215" s="5053" t="s">
        <v>624</v>
      </c>
      <c r="AE215" s="5115"/>
      <c r="AF215" s="3662">
        <v>480000</v>
      </c>
      <c r="AG215" s="3662">
        <f t="shared" si="31"/>
        <v>480000</v>
      </c>
      <c r="AH215" s="3662" t="s">
        <v>206</v>
      </c>
      <c r="AI215" s="3662">
        <v>44150</v>
      </c>
      <c r="AJ215" s="3662" t="s">
        <v>171</v>
      </c>
      <c r="AK215" s="3662" t="s">
        <v>171</v>
      </c>
      <c r="AL215" s="3662">
        <v>480000</v>
      </c>
      <c r="AM215" s="3662">
        <v>44150</v>
      </c>
      <c r="AN215" s="3662">
        <f t="shared" si="32"/>
        <v>316405</v>
      </c>
      <c r="AO215" s="3662">
        <v>44165</v>
      </c>
      <c r="AP215" s="3662"/>
      <c r="AQ215" s="5053" t="s">
        <v>625</v>
      </c>
      <c r="AR215" s="3662"/>
      <c r="AS215" s="5134"/>
      <c r="AT215" s="5127"/>
      <c r="AU215" s="3662"/>
      <c r="AV215" s="3662"/>
      <c r="AW215" s="3662"/>
      <c r="AX215" s="3662"/>
      <c r="AY215" s="3662"/>
      <c r="AZ215" s="3662"/>
      <c r="BA215" s="3684">
        <v>480000</v>
      </c>
      <c r="BB215" s="3684"/>
      <c r="BC215" s="3684"/>
      <c r="BD215" s="5148"/>
      <c r="BE215" s="5148"/>
      <c r="BF215" s="5148"/>
      <c r="BG215" s="5148"/>
      <c r="BH215" s="3684"/>
      <c r="BI215" s="3684"/>
      <c r="BJ215" s="3684"/>
      <c r="BK215" s="3684"/>
      <c r="BL215" s="3684"/>
      <c r="BM215" s="3684"/>
      <c r="BN215" s="3684"/>
      <c r="BO215" s="5127">
        <v>316405</v>
      </c>
      <c r="BP215" s="5127"/>
      <c r="BQ215" s="5127"/>
      <c r="BR215" s="5127"/>
      <c r="BS215" s="5127"/>
      <c r="BT215" s="5127"/>
      <c r="BU215" s="5127"/>
      <c r="BV215" s="5127"/>
      <c r="BW215" s="5127"/>
      <c r="BX215" s="5127"/>
      <c r="BY215" s="5127"/>
      <c r="BZ215" s="5127"/>
      <c r="CA215" s="5127"/>
      <c r="CB215" s="5127"/>
      <c r="CC215" s="3662"/>
      <c r="CD215" s="3662"/>
      <c r="CE215" s="5170"/>
      <c r="CF215" s="5170"/>
      <c r="CG215" s="5170"/>
      <c r="CH215" s="5170"/>
    </row>
    <row r="216" s="4972" customFormat="1" ht="21.65" customHeight="1" spans="1:86">
      <c r="A216" s="5369"/>
      <c r="B216" s="3662"/>
      <c r="C216" s="3662"/>
      <c r="D216" s="5053"/>
      <c r="E216" s="3662"/>
      <c r="F216" s="5053"/>
      <c r="G216" s="5053"/>
      <c r="H216" s="3662"/>
      <c r="I216" s="3667"/>
      <c r="J216" s="5053"/>
      <c r="K216" s="3662"/>
      <c r="L216" s="3662"/>
      <c r="M216" s="3662"/>
      <c r="N216" s="5328"/>
      <c r="O216" s="5328"/>
      <c r="P216" s="5328"/>
      <c r="Q216" s="5328"/>
      <c r="R216" s="5328"/>
      <c r="S216" s="5328"/>
      <c r="T216" s="5328"/>
      <c r="U216" s="5328"/>
      <c r="V216" s="5328"/>
      <c r="W216" s="5328"/>
      <c r="X216" s="5328"/>
      <c r="Y216" s="5328"/>
      <c r="Z216" s="5328"/>
      <c r="AA216" s="5328"/>
      <c r="AB216" s="5328"/>
      <c r="AC216" s="3662"/>
      <c r="AD216" s="5053"/>
      <c r="AE216" s="5115"/>
      <c r="AF216" s="3662"/>
      <c r="AG216" s="3662"/>
      <c r="AH216" s="3662"/>
      <c r="AI216" s="3662"/>
      <c r="AJ216" s="3662"/>
      <c r="AK216" s="3662"/>
      <c r="AL216" s="3662"/>
      <c r="AM216" s="3662"/>
      <c r="AN216" s="3662">
        <f t="shared" si="32"/>
        <v>163595</v>
      </c>
      <c r="AO216" s="3662">
        <v>44270</v>
      </c>
      <c r="AP216" s="3662"/>
      <c r="AQ216" s="5053"/>
      <c r="AR216" s="3662"/>
      <c r="AS216" s="5134"/>
      <c r="AT216" s="5127"/>
      <c r="AU216" s="3662"/>
      <c r="AV216" s="3662"/>
      <c r="AW216" s="3662"/>
      <c r="AX216" s="3662"/>
      <c r="AY216" s="3662"/>
      <c r="AZ216" s="3662"/>
      <c r="BA216" s="3684"/>
      <c r="BB216" s="3684"/>
      <c r="BC216" s="3684"/>
      <c r="BD216" s="5148"/>
      <c r="BE216" s="5148"/>
      <c r="BF216" s="5148"/>
      <c r="BG216" s="5148"/>
      <c r="BH216" s="3684"/>
      <c r="BI216" s="3684"/>
      <c r="BJ216" s="3684"/>
      <c r="BK216" s="3684"/>
      <c r="BL216" s="3684"/>
      <c r="BM216" s="3684"/>
      <c r="BN216" s="3684"/>
      <c r="BO216" s="5148">
        <v>163595</v>
      </c>
      <c r="BP216" s="5148"/>
      <c r="BQ216" s="5148"/>
      <c r="BR216" s="5148"/>
      <c r="BS216" s="5148"/>
      <c r="BT216" s="5148"/>
      <c r="BU216" s="5148"/>
      <c r="BV216" s="5148"/>
      <c r="BW216" s="5148"/>
      <c r="BX216" s="5148"/>
      <c r="BY216" s="5148"/>
      <c r="BZ216" s="5148"/>
      <c r="CA216" s="5148"/>
      <c r="CB216" s="5148"/>
      <c r="CC216" s="3662"/>
      <c r="CD216" s="3662"/>
      <c r="CE216" s="5170"/>
      <c r="CF216" s="5170"/>
      <c r="CG216" s="5170"/>
      <c r="CH216" s="5170"/>
    </row>
    <row r="217" s="4972" customFormat="1" ht="61" customHeight="1" spans="1:86">
      <c r="A217" s="5368">
        <v>48</v>
      </c>
      <c r="B217" s="3662" t="s">
        <v>173</v>
      </c>
      <c r="C217" s="5127">
        <v>42860</v>
      </c>
      <c r="D217" s="5134" t="s">
        <v>626</v>
      </c>
      <c r="E217" s="3662" t="s">
        <v>113</v>
      </c>
      <c r="F217" s="5134" t="s">
        <v>560</v>
      </c>
      <c r="G217" s="5134" t="s">
        <v>627</v>
      </c>
      <c r="H217" s="3662" t="s">
        <v>562</v>
      </c>
      <c r="I217" s="3662"/>
      <c r="J217" s="5134" t="s">
        <v>615</v>
      </c>
      <c r="K217" s="3662" t="s">
        <v>564</v>
      </c>
      <c r="L217" s="5127"/>
      <c r="M217" s="3662">
        <f>SUM(N217:AA217)</f>
        <v>150000</v>
      </c>
      <c r="N217" s="5377">
        <v>150000</v>
      </c>
      <c r="O217" s="5377"/>
      <c r="P217" s="5377"/>
      <c r="Q217" s="5377"/>
      <c r="R217" s="5377"/>
      <c r="S217" s="5377"/>
      <c r="T217" s="5377"/>
      <c r="U217" s="5377"/>
      <c r="V217" s="5377"/>
      <c r="W217" s="5193">
        <v>0</v>
      </c>
      <c r="X217" s="5193">
        <v>0</v>
      </c>
      <c r="Y217" s="5193"/>
      <c r="Z217" s="5193"/>
      <c r="AA217" s="5377"/>
      <c r="AB217" s="5377"/>
      <c r="AC217" s="3662">
        <v>1</v>
      </c>
      <c r="AD217" s="5053" t="s">
        <v>628</v>
      </c>
      <c r="AE217" s="5115">
        <v>1</v>
      </c>
      <c r="AF217" s="3662">
        <v>150000</v>
      </c>
      <c r="AG217" s="3662">
        <f>SUM(BA217:BN217)</f>
        <v>150000</v>
      </c>
      <c r="AH217" s="3662" t="s">
        <v>206</v>
      </c>
      <c r="AI217" s="3662">
        <v>43291</v>
      </c>
      <c r="AJ217" s="3662" t="s">
        <v>171</v>
      </c>
      <c r="AK217" s="3662" t="s">
        <v>171</v>
      </c>
      <c r="AL217" s="3662">
        <v>150000</v>
      </c>
      <c r="AM217" s="3662">
        <v>43291</v>
      </c>
      <c r="AN217" s="3662">
        <f t="shared" si="32"/>
        <v>150000</v>
      </c>
      <c r="AO217" s="3662">
        <v>43291</v>
      </c>
      <c r="AP217" s="3662">
        <f t="shared" ref="AP217:AP224" si="49">AG217-AN217</f>
        <v>0</v>
      </c>
      <c r="AQ217" s="5127"/>
      <c r="AR217" s="3662"/>
      <c r="AS217" s="5134"/>
      <c r="AT217" s="5127"/>
      <c r="AU217" s="5405">
        <f>SUM(AG217)</f>
        <v>150000</v>
      </c>
      <c r="AV217" s="5405">
        <f>SUM(AL217)</f>
        <v>150000</v>
      </c>
      <c r="AW217" s="5405">
        <f>SUM(AN217)</f>
        <v>150000</v>
      </c>
      <c r="AX217" s="5405">
        <f t="shared" ref="AX217:AX222" si="50">M217-AU217</f>
        <v>0</v>
      </c>
      <c r="AY217" s="5405">
        <f t="shared" ref="AY217:AY222" si="51">AU217-AV217</f>
        <v>0</v>
      </c>
      <c r="AZ217" s="5405">
        <f t="shared" ref="AZ217:AZ222" si="52">AV217-AW217</f>
        <v>0</v>
      </c>
      <c r="BA217" s="5148">
        <v>150000</v>
      </c>
      <c r="BB217" s="3684"/>
      <c r="BC217" s="3684"/>
      <c r="BD217" s="5148"/>
      <c r="BE217" s="5148"/>
      <c r="BF217" s="5148"/>
      <c r="BG217" s="5148"/>
      <c r="BH217" s="3684"/>
      <c r="BI217" s="3684"/>
      <c r="BJ217" s="3684"/>
      <c r="BK217" s="3684"/>
      <c r="BL217" s="3684"/>
      <c r="BM217" s="3684"/>
      <c r="BN217" s="3684"/>
      <c r="BO217" s="5127">
        <v>150000</v>
      </c>
      <c r="BP217" s="5127"/>
      <c r="BQ217" s="5127"/>
      <c r="BR217" s="5127"/>
      <c r="BS217" s="5127"/>
      <c r="BT217" s="5127"/>
      <c r="BU217" s="5127"/>
      <c r="BV217" s="5127"/>
      <c r="BW217" s="5127"/>
      <c r="BX217" s="5127"/>
      <c r="BY217" s="5127"/>
      <c r="BZ217" s="5127"/>
      <c r="CA217" s="5127"/>
      <c r="CB217" s="5127"/>
      <c r="CC217" s="3662" t="s">
        <v>166</v>
      </c>
      <c r="CD217" s="3662" t="s">
        <v>154</v>
      </c>
      <c r="CE217" s="5170"/>
      <c r="CF217" s="5170"/>
      <c r="CG217" s="5170"/>
      <c r="CH217" s="5170"/>
    </row>
    <row r="218" s="4971" customFormat="1" ht="50" customHeight="1" spans="1:86">
      <c r="A218" s="5360">
        <v>49</v>
      </c>
      <c r="B218" s="5051" t="s">
        <v>159</v>
      </c>
      <c r="C218" s="5051">
        <v>42712</v>
      </c>
      <c r="D218" s="5194" t="s">
        <v>629</v>
      </c>
      <c r="E218" s="5051" t="s">
        <v>113</v>
      </c>
      <c r="F218" s="5194" t="s">
        <v>630</v>
      </c>
      <c r="G218" s="5194" t="s">
        <v>631</v>
      </c>
      <c r="H218" s="5051" t="s">
        <v>240</v>
      </c>
      <c r="I218" s="5051"/>
      <c r="J218" s="5194" t="s">
        <v>498</v>
      </c>
      <c r="K218" s="5051">
        <v>229665</v>
      </c>
      <c r="L218" s="5194" t="s">
        <v>632</v>
      </c>
      <c r="M218" s="5051">
        <f>SUM(N218:AA221)</f>
        <v>3399042</v>
      </c>
      <c r="N218" s="5051"/>
      <c r="O218" s="5051"/>
      <c r="P218" s="5051">
        <v>3399042</v>
      </c>
      <c r="Q218" s="5051"/>
      <c r="R218" s="5051"/>
      <c r="S218" s="5051"/>
      <c r="T218" s="5051"/>
      <c r="U218" s="5051"/>
      <c r="V218" s="5051"/>
      <c r="W218" s="5051">
        <v>0</v>
      </c>
      <c r="X218" s="5051">
        <v>0</v>
      </c>
      <c r="Y218" s="5051"/>
      <c r="Z218" s="5051"/>
      <c r="AA218" s="5051"/>
      <c r="AB218" s="5051"/>
      <c r="AC218" s="5051">
        <v>1</v>
      </c>
      <c r="AD218" s="5194" t="s">
        <v>633</v>
      </c>
      <c r="AE218" s="5237">
        <v>0.1</v>
      </c>
      <c r="AF218" s="5051">
        <f>AE218*M218</f>
        <v>339904.2</v>
      </c>
      <c r="AG218" s="5051">
        <f>SUM(BA218:BN218)</f>
        <v>339904</v>
      </c>
      <c r="AH218" s="5051" t="s">
        <v>206</v>
      </c>
      <c r="AI218" s="5051">
        <v>42775</v>
      </c>
      <c r="AJ218" s="5051" t="s">
        <v>171</v>
      </c>
      <c r="AK218" s="5051" t="s">
        <v>171</v>
      </c>
      <c r="AL218" s="5051">
        <v>339904</v>
      </c>
      <c r="AM218" s="5051">
        <v>42775</v>
      </c>
      <c r="AN218" s="5051">
        <f t="shared" si="32"/>
        <v>339904</v>
      </c>
      <c r="AO218" s="5051">
        <v>42802</v>
      </c>
      <c r="AP218" s="5051">
        <f t="shared" si="49"/>
        <v>0</v>
      </c>
      <c r="AQ218" s="5253"/>
      <c r="AR218" s="5254" t="s">
        <v>128</v>
      </c>
      <c r="AS218" s="5259"/>
      <c r="AT218" s="5253"/>
      <c r="AU218" s="5051">
        <f>SUM(AG218:AG221)</f>
        <v>3348211.4</v>
      </c>
      <c r="AV218" s="5051">
        <f>SUM(AL218:AL221)</f>
        <v>3348211.4</v>
      </c>
      <c r="AW218" s="5051">
        <f>SUM(AN218:AN221)</f>
        <v>3348211.4</v>
      </c>
      <c r="AX218" s="5051">
        <f t="shared" si="50"/>
        <v>50830.6000000001</v>
      </c>
      <c r="AY218" s="5051">
        <f t="shared" si="51"/>
        <v>0</v>
      </c>
      <c r="AZ218" s="5051">
        <f t="shared" si="52"/>
        <v>0</v>
      </c>
      <c r="BA218" s="5264"/>
      <c r="BB218" s="5243"/>
      <c r="BC218" s="5243">
        <v>339904</v>
      </c>
      <c r="BD218" s="5264"/>
      <c r="BE218" s="5264"/>
      <c r="BF218" s="5264"/>
      <c r="BG218" s="5264"/>
      <c r="BH218" s="5243"/>
      <c r="BI218" s="5243"/>
      <c r="BJ218" s="5243"/>
      <c r="BK218" s="5243"/>
      <c r="BL218" s="5243"/>
      <c r="BM218" s="5243"/>
      <c r="BN218" s="5243"/>
      <c r="BO218" s="5253"/>
      <c r="BP218" s="5253"/>
      <c r="BQ218" s="5051">
        <v>339904</v>
      </c>
      <c r="BR218" s="5253"/>
      <c r="BS218" s="5253"/>
      <c r="BT218" s="5253"/>
      <c r="BU218" s="5253"/>
      <c r="BV218" s="5253"/>
      <c r="BW218" s="5253"/>
      <c r="BX218" s="5253"/>
      <c r="BY218" s="5253"/>
      <c r="BZ218" s="5253"/>
      <c r="CA218" s="5253"/>
      <c r="CB218" s="5253"/>
      <c r="CC218" s="5307" t="s">
        <v>124</v>
      </c>
      <c r="CD218" s="5307" t="s">
        <v>154</v>
      </c>
      <c r="CE218" s="5039"/>
      <c r="CF218" s="5039"/>
      <c r="CG218" s="5039"/>
      <c r="CH218" s="5039"/>
    </row>
    <row r="219" s="4971" customFormat="1" ht="61" customHeight="1" spans="1:86">
      <c r="A219" s="5360"/>
      <c r="B219" s="5051"/>
      <c r="C219" s="5051"/>
      <c r="D219" s="5194"/>
      <c r="E219" s="5051"/>
      <c r="F219" s="5194"/>
      <c r="G219" s="5194"/>
      <c r="H219" s="5051"/>
      <c r="I219" s="5051"/>
      <c r="J219" s="5194"/>
      <c r="K219" s="5051"/>
      <c r="L219" s="5194"/>
      <c r="M219" s="5051"/>
      <c r="N219" s="5051"/>
      <c r="O219" s="5051"/>
      <c r="P219" s="5051"/>
      <c r="Q219" s="5051"/>
      <c r="R219" s="5051"/>
      <c r="S219" s="5051"/>
      <c r="T219" s="5051"/>
      <c r="U219" s="5051"/>
      <c r="V219" s="5051"/>
      <c r="W219" s="5051"/>
      <c r="X219" s="5051"/>
      <c r="Y219" s="5051"/>
      <c r="Z219" s="5051"/>
      <c r="AA219" s="5051"/>
      <c r="AB219" s="5051"/>
      <c r="AC219" s="5051">
        <v>2</v>
      </c>
      <c r="AD219" s="5194" t="s">
        <v>587</v>
      </c>
      <c r="AE219" s="5237">
        <v>0.35</v>
      </c>
      <c r="AF219" s="5051">
        <f>AE219*M218</f>
        <v>1189664.7</v>
      </c>
      <c r="AG219" s="5051">
        <f>SUM(BA219:BN219)</f>
        <v>2338665</v>
      </c>
      <c r="AH219" s="5051" t="s">
        <v>206</v>
      </c>
      <c r="AI219" s="5051">
        <v>43141</v>
      </c>
      <c r="AJ219" s="5051" t="s">
        <v>171</v>
      </c>
      <c r="AK219" s="5051" t="s">
        <v>171</v>
      </c>
      <c r="AL219" s="5051">
        <v>2338665</v>
      </c>
      <c r="AM219" s="5051">
        <v>43141</v>
      </c>
      <c r="AN219" s="5051">
        <f t="shared" si="32"/>
        <v>2338665</v>
      </c>
      <c r="AO219" s="5051">
        <v>43169</v>
      </c>
      <c r="AP219" s="5051">
        <f t="shared" si="49"/>
        <v>0</v>
      </c>
      <c r="AQ219" s="5194" t="s">
        <v>634</v>
      </c>
      <c r="AR219" s="5051"/>
      <c r="AS219" s="5259"/>
      <c r="AT219" s="5253"/>
      <c r="AU219" s="5051"/>
      <c r="AV219" s="5051"/>
      <c r="AW219" s="5051"/>
      <c r="AX219" s="5051"/>
      <c r="AY219" s="5051"/>
      <c r="AZ219" s="5051"/>
      <c r="BA219" s="5264"/>
      <c r="BB219" s="5243"/>
      <c r="BC219" s="5243">
        <v>2338665</v>
      </c>
      <c r="BD219" s="5264"/>
      <c r="BE219" s="5264"/>
      <c r="BF219" s="5264"/>
      <c r="BG219" s="5264"/>
      <c r="BH219" s="5243"/>
      <c r="BI219" s="5243"/>
      <c r="BJ219" s="5243"/>
      <c r="BK219" s="5243"/>
      <c r="BL219" s="5243"/>
      <c r="BM219" s="5243"/>
      <c r="BN219" s="5243"/>
      <c r="BO219" s="5253"/>
      <c r="BP219" s="5253"/>
      <c r="BQ219" s="5051">
        <v>2338665</v>
      </c>
      <c r="BR219" s="5253"/>
      <c r="BS219" s="5253"/>
      <c r="BT219" s="5253"/>
      <c r="BU219" s="5253"/>
      <c r="BV219" s="5253"/>
      <c r="BW219" s="5253"/>
      <c r="BX219" s="5253"/>
      <c r="BY219" s="5253"/>
      <c r="BZ219" s="5253"/>
      <c r="CA219" s="5253"/>
      <c r="CB219" s="5253"/>
      <c r="CC219" s="5307"/>
      <c r="CD219" s="5307"/>
      <c r="CE219" s="5039"/>
      <c r="CF219" s="5039"/>
      <c r="CG219" s="5039"/>
      <c r="CH219" s="5039"/>
    </row>
    <row r="220" s="4971" customFormat="1" ht="61" customHeight="1" spans="1:86">
      <c r="A220" s="5360"/>
      <c r="B220" s="5051"/>
      <c r="C220" s="5051"/>
      <c r="D220" s="5194"/>
      <c r="E220" s="5051"/>
      <c r="F220" s="5194"/>
      <c r="G220" s="5194"/>
      <c r="H220" s="5051"/>
      <c r="I220" s="5051"/>
      <c r="J220" s="5194"/>
      <c r="K220" s="5051"/>
      <c r="L220" s="5194"/>
      <c r="M220" s="5051"/>
      <c r="N220" s="5051"/>
      <c r="O220" s="5051"/>
      <c r="P220" s="5051"/>
      <c r="Q220" s="5051"/>
      <c r="R220" s="5051"/>
      <c r="S220" s="5051"/>
      <c r="T220" s="5051"/>
      <c r="U220" s="5051"/>
      <c r="V220" s="5051"/>
      <c r="W220" s="5051"/>
      <c r="X220" s="5051"/>
      <c r="Y220" s="5051"/>
      <c r="Z220" s="5051"/>
      <c r="AA220" s="5051"/>
      <c r="AB220" s="5051"/>
      <c r="AC220" s="5051">
        <v>3</v>
      </c>
      <c r="AD220" s="5194" t="s">
        <v>635</v>
      </c>
      <c r="AE220" s="5237">
        <v>0.35</v>
      </c>
      <c r="AF220" s="5051">
        <f>AE220*M218</f>
        <v>1189664.7</v>
      </c>
      <c r="AG220" s="5051"/>
      <c r="AH220" s="5051" t="s">
        <v>206</v>
      </c>
      <c r="AI220" s="5051">
        <v>43141</v>
      </c>
      <c r="AJ220" s="5051" t="s">
        <v>171</v>
      </c>
      <c r="AK220" s="5051" t="s">
        <v>171</v>
      </c>
      <c r="AL220" s="5051"/>
      <c r="AM220" s="5051"/>
      <c r="AN220" s="5051"/>
      <c r="AO220" s="5051"/>
      <c r="AP220" s="5051">
        <f t="shared" si="49"/>
        <v>0</v>
      </c>
      <c r="AQ220" s="5194"/>
      <c r="AR220" s="5051"/>
      <c r="AS220" s="5259"/>
      <c r="AT220" s="5253"/>
      <c r="AU220" s="5051"/>
      <c r="AV220" s="5051"/>
      <c r="AW220" s="5051"/>
      <c r="AX220" s="5051"/>
      <c r="AY220" s="5051"/>
      <c r="AZ220" s="5051"/>
      <c r="BA220" s="5264"/>
      <c r="BB220" s="5243"/>
      <c r="BC220" s="5243"/>
      <c r="BD220" s="5264"/>
      <c r="BE220" s="5264"/>
      <c r="BF220" s="5264"/>
      <c r="BG220" s="5264"/>
      <c r="BH220" s="5243"/>
      <c r="BI220" s="5243"/>
      <c r="BJ220" s="5243"/>
      <c r="BK220" s="5243"/>
      <c r="BL220" s="5243"/>
      <c r="BM220" s="5243"/>
      <c r="BN220" s="5243"/>
      <c r="BO220" s="5253"/>
      <c r="BP220" s="5253"/>
      <c r="BQ220" s="5051"/>
      <c r="BR220" s="5253"/>
      <c r="BS220" s="5253"/>
      <c r="BT220" s="5253"/>
      <c r="BU220" s="5253"/>
      <c r="BV220" s="5253"/>
      <c r="BW220" s="5253"/>
      <c r="BX220" s="5253"/>
      <c r="BY220" s="5253"/>
      <c r="BZ220" s="5253"/>
      <c r="CA220" s="5253"/>
      <c r="CB220" s="5253"/>
      <c r="CC220" s="5307"/>
      <c r="CD220" s="5307"/>
      <c r="CE220" s="5039"/>
      <c r="CF220" s="5039"/>
      <c r="CG220" s="5039"/>
      <c r="CH220" s="5039"/>
    </row>
    <row r="221" s="4971" customFormat="1" ht="61" customHeight="1" spans="1:86">
      <c r="A221" s="5360"/>
      <c r="B221" s="5051"/>
      <c r="C221" s="5051"/>
      <c r="D221" s="5194"/>
      <c r="E221" s="5051"/>
      <c r="F221" s="5194"/>
      <c r="G221" s="5194"/>
      <c r="H221" s="5051"/>
      <c r="I221" s="5051"/>
      <c r="J221" s="5194"/>
      <c r="K221" s="5051"/>
      <c r="L221" s="5194"/>
      <c r="M221" s="5051"/>
      <c r="N221" s="5051"/>
      <c r="O221" s="5051"/>
      <c r="P221" s="5051"/>
      <c r="Q221" s="5051"/>
      <c r="R221" s="5051"/>
      <c r="S221" s="5051"/>
      <c r="T221" s="5051"/>
      <c r="U221" s="5051"/>
      <c r="V221" s="5051"/>
      <c r="W221" s="5051"/>
      <c r="X221" s="5051"/>
      <c r="Y221" s="5051"/>
      <c r="Z221" s="5051"/>
      <c r="AA221" s="5051"/>
      <c r="AB221" s="5051"/>
      <c r="AC221" s="5051">
        <v>4</v>
      </c>
      <c r="AD221" s="5194" t="s">
        <v>636</v>
      </c>
      <c r="AE221" s="5237">
        <v>0.2</v>
      </c>
      <c r="AF221" s="5051">
        <f>AE221*M218</f>
        <v>679808.4</v>
      </c>
      <c r="AG221" s="5051">
        <f>SUM(BA221:BN221)</f>
        <v>669642.4</v>
      </c>
      <c r="AH221" s="5393" t="s">
        <v>409</v>
      </c>
      <c r="AI221" s="5051">
        <v>44175</v>
      </c>
      <c r="AJ221" s="5051">
        <v>669642.4</v>
      </c>
      <c r="AK221" s="5253">
        <v>44175</v>
      </c>
      <c r="AL221" s="5051">
        <v>669642.4</v>
      </c>
      <c r="AM221" s="5051">
        <v>44277</v>
      </c>
      <c r="AN221" s="5051">
        <f t="shared" ref="AN221:AN238" si="53">SUM(BO221:CB221)</f>
        <v>669642.4</v>
      </c>
      <c r="AO221" s="5243">
        <v>44313</v>
      </c>
      <c r="AP221" s="5051">
        <f t="shared" si="49"/>
        <v>0</v>
      </c>
      <c r="AQ221" s="5259" t="s">
        <v>637</v>
      </c>
      <c r="AR221" s="5051"/>
      <c r="AS221" s="5259"/>
      <c r="AT221" s="5253"/>
      <c r="AU221" s="5051"/>
      <c r="AV221" s="5051"/>
      <c r="AW221" s="5051"/>
      <c r="AX221" s="5051"/>
      <c r="AY221" s="5051"/>
      <c r="AZ221" s="5051"/>
      <c r="BA221" s="5264"/>
      <c r="BB221" s="5243"/>
      <c r="BC221" s="5243">
        <v>669642.4</v>
      </c>
      <c r="BD221" s="5264"/>
      <c r="BE221" s="5264"/>
      <c r="BF221" s="5264"/>
      <c r="BG221" s="5264"/>
      <c r="BH221" s="5243"/>
      <c r="BI221" s="5243"/>
      <c r="BJ221" s="5243"/>
      <c r="BK221" s="5243"/>
      <c r="BL221" s="5243"/>
      <c r="BM221" s="5243"/>
      <c r="BN221" s="5243"/>
      <c r="BO221" s="5264"/>
      <c r="BP221" s="5264"/>
      <c r="BQ221" s="5264">
        <v>669642.4</v>
      </c>
      <c r="BR221" s="5264"/>
      <c r="BS221" s="5264"/>
      <c r="BT221" s="5264"/>
      <c r="BU221" s="5264"/>
      <c r="BV221" s="5264"/>
      <c r="BW221" s="5264"/>
      <c r="BX221" s="5264"/>
      <c r="BY221" s="5264"/>
      <c r="BZ221" s="5264"/>
      <c r="CA221" s="5264"/>
      <c r="CB221" s="5264"/>
      <c r="CC221" s="5307"/>
      <c r="CD221" s="5307"/>
      <c r="CE221" s="5039"/>
      <c r="CF221" s="5039"/>
      <c r="CG221" s="5039"/>
      <c r="CH221" s="5039"/>
    </row>
    <row r="222" s="4972" customFormat="1" ht="61" customHeight="1" spans="1:86">
      <c r="A222" s="5085">
        <v>50</v>
      </c>
      <c r="B222" s="3662" t="s">
        <v>159</v>
      </c>
      <c r="C222" s="3662">
        <v>42667</v>
      </c>
      <c r="D222" s="5053" t="s">
        <v>638</v>
      </c>
      <c r="E222" s="3662" t="s">
        <v>113</v>
      </c>
      <c r="F222" s="5053" t="s">
        <v>639</v>
      </c>
      <c r="G222" s="5053" t="s">
        <v>640</v>
      </c>
      <c r="H222" s="3662" t="s">
        <v>31</v>
      </c>
      <c r="I222" s="3662"/>
      <c r="J222" s="5053" t="s">
        <v>641</v>
      </c>
      <c r="K222" s="3662">
        <v>97083</v>
      </c>
      <c r="L222" s="5053" t="s">
        <v>642</v>
      </c>
      <c r="M222" s="3662">
        <f>SUM(N222:AA223)</f>
        <v>194166</v>
      </c>
      <c r="N222" s="5085"/>
      <c r="O222" s="5085"/>
      <c r="P222" s="5085"/>
      <c r="Q222" s="5085"/>
      <c r="R222" s="5085"/>
      <c r="S222" s="5085"/>
      <c r="T222" s="5085"/>
      <c r="U222" s="5085">
        <v>194166</v>
      </c>
      <c r="V222" s="5085"/>
      <c r="W222" s="5085">
        <v>0</v>
      </c>
      <c r="X222" s="5085">
        <v>0</v>
      </c>
      <c r="Y222" s="5085"/>
      <c r="Z222" s="5085"/>
      <c r="AA222" s="5085"/>
      <c r="AB222" s="5085"/>
      <c r="AC222" s="3662">
        <v>1</v>
      </c>
      <c r="AD222" s="5053" t="s">
        <v>643</v>
      </c>
      <c r="AE222" s="5115">
        <v>0.2</v>
      </c>
      <c r="AF222" s="3662">
        <f>AE222*M222</f>
        <v>38833.2</v>
      </c>
      <c r="AG222" s="3662">
        <f>SUM(BA222:BN222)</f>
        <v>38833.2</v>
      </c>
      <c r="AH222" s="3662" t="s">
        <v>206</v>
      </c>
      <c r="AI222" s="3662">
        <v>42791</v>
      </c>
      <c r="AJ222" s="3662" t="s">
        <v>171</v>
      </c>
      <c r="AK222" s="3662" t="s">
        <v>171</v>
      </c>
      <c r="AL222" s="3662">
        <v>38833.2</v>
      </c>
      <c r="AM222" s="3662">
        <v>42791</v>
      </c>
      <c r="AN222" s="3662">
        <f t="shared" si="53"/>
        <v>38833.2</v>
      </c>
      <c r="AO222" s="3662">
        <v>42936</v>
      </c>
      <c r="AP222" s="3662">
        <f t="shared" si="49"/>
        <v>0</v>
      </c>
      <c r="AQ222" s="5127"/>
      <c r="AR222" s="3814" t="s">
        <v>128</v>
      </c>
      <c r="AS222" s="5134"/>
      <c r="AT222" s="5127"/>
      <c r="AU222" s="5085">
        <f>SUM(AG222:AG223)</f>
        <v>194166</v>
      </c>
      <c r="AV222" s="5085">
        <f>SUM(AL222:AL223)</f>
        <v>194166</v>
      </c>
      <c r="AW222" s="5085">
        <f>SUM(AN222:AN223)</f>
        <v>194166</v>
      </c>
      <c r="AX222" s="5085">
        <f t="shared" si="50"/>
        <v>0</v>
      </c>
      <c r="AY222" s="5085">
        <f t="shared" si="51"/>
        <v>0</v>
      </c>
      <c r="AZ222" s="5085">
        <f t="shared" si="52"/>
        <v>0</v>
      </c>
      <c r="BA222" s="5148"/>
      <c r="BB222" s="3684"/>
      <c r="BC222" s="3684"/>
      <c r="BD222" s="5148"/>
      <c r="BE222" s="5148"/>
      <c r="BF222" s="5148"/>
      <c r="BG222" s="5148"/>
      <c r="BH222" s="3684">
        <v>38833.2</v>
      </c>
      <c r="BI222" s="3684"/>
      <c r="BJ222" s="3684"/>
      <c r="BK222" s="3684"/>
      <c r="BL222" s="3684"/>
      <c r="BM222" s="3684"/>
      <c r="BN222" s="3684"/>
      <c r="BO222" s="5127"/>
      <c r="BP222" s="5127"/>
      <c r="BQ222" s="5127"/>
      <c r="BR222" s="5127"/>
      <c r="BS222" s="5127"/>
      <c r="BT222" s="5127"/>
      <c r="BU222" s="5127"/>
      <c r="BV222" s="3662">
        <v>38833.2</v>
      </c>
      <c r="BW222" s="5127"/>
      <c r="BX222" s="5127"/>
      <c r="BY222" s="5127"/>
      <c r="BZ222" s="5127"/>
      <c r="CA222" s="5127"/>
      <c r="CB222" s="5127"/>
      <c r="CC222" s="3662" t="s">
        <v>166</v>
      </c>
      <c r="CD222" s="3662" t="s">
        <v>154</v>
      </c>
      <c r="CE222" s="5170"/>
      <c r="CF222" s="5170"/>
      <c r="CG222" s="5170"/>
      <c r="CH222" s="5170"/>
    </row>
    <row r="223" s="4972" customFormat="1" ht="61" customHeight="1" spans="1:86">
      <c r="A223" s="5085"/>
      <c r="B223" s="3662"/>
      <c r="C223" s="3662"/>
      <c r="D223" s="5053"/>
      <c r="E223" s="3662"/>
      <c r="F223" s="5053"/>
      <c r="G223" s="5053"/>
      <c r="H223" s="3662"/>
      <c r="I223" s="3662"/>
      <c r="J223" s="5053"/>
      <c r="K223" s="3662"/>
      <c r="L223" s="5053"/>
      <c r="M223" s="3662"/>
      <c r="N223" s="5085"/>
      <c r="O223" s="5085"/>
      <c r="P223" s="5085"/>
      <c r="Q223" s="5085"/>
      <c r="R223" s="5085"/>
      <c r="S223" s="5085"/>
      <c r="T223" s="5085"/>
      <c r="U223" s="5085"/>
      <c r="V223" s="5085"/>
      <c r="W223" s="5085"/>
      <c r="X223" s="5085"/>
      <c r="Y223" s="5085"/>
      <c r="Z223" s="5085"/>
      <c r="AA223" s="5085"/>
      <c r="AB223" s="5085"/>
      <c r="AC223" s="3662">
        <v>2</v>
      </c>
      <c r="AD223" s="5053" t="s">
        <v>644</v>
      </c>
      <c r="AE223" s="5115">
        <v>0.8</v>
      </c>
      <c r="AF223" s="3662">
        <f>AE223*M222</f>
        <v>155332.8</v>
      </c>
      <c r="AG223" s="3662">
        <f>SUM(BA223:BN223)</f>
        <v>155332.8</v>
      </c>
      <c r="AH223" s="3662" t="s">
        <v>206</v>
      </c>
      <c r="AI223" s="3662">
        <v>42791</v>
      </c>
      <c r="AJ223" s="3662" t="s">
        <v>171</v>
      </c>
      <c r="AK223" s="3662" t="s">
        <v>171</v>
      </c>
      <c r="AL223" s="3662">
        <v>155332.8</v>
      </c>
      <c r="AM223" s="3662">
        <v>42791</v>
      </c>
      <c r="AN223" s="3662">
        <f t="shared" si="53"/>
        <v>155332.8</v>
      </c>
      <c r="AO223" s="3662">
        <v>42936</v>
      </c>
      <c r="AP223" s="3662">
        <f t="shared" si="49"/>
        <v>0</v>
      </c>
      <c r="AQ223" s="5127"/>
      <c r="AR223" s="3662"/>
      <c r="AS223" s="5134"/>
      <c r="AT223" s="5127"/>
      <c r="AU223" s="5403"/>
      <c r="AV223" s="5403"/>
      <c r="AW223" s="5403"/>
      <c r="AX223" s="5403"/>
      <c r="AY223" s="5403"/>
      <c r="AZ223" s="5403"/>
      <c r="BA223" s="5148"/>
      <c r="BB223" s="3684"/>
      <c r="BC223" s="3684"/>
      <c r="BD223" s="5148"/>
      <c r="BE223" s="5148"/>
      <c r="BF223" s="5148"/>
      <c r="BG223" s="5148"/>
      <c r="BH223" s="3684">
        <v>155332.8</v>
      </c>
      <c r="BI223" s="3684"/>
      <c r="BJ223" s="3684"/>
      <c r="BK223" s="3684"/>
      <c r="BL223" s="3684"/>
      <c r="BM223" s="3684"/>
      <c r="BN223" s="3684"/>
      <c r="BO223" s="5127"/>
      <c r="BP223" s="5127"/>
      <c r="BQ223" s="5127"/>
      <c r="BR223" s="5127"/>
      <c r="BS223" s="5127"/>
      <c r="BT223" s="5127"/>
      <c r="BU223" s="5127"/>
      <c r="BV223" s="3662">
        <v>155332.8</v>
      </c>
      <c r="BW223" s="5127"/>
      <c r="BX223" s="5127"/>
      <c r="BY223" s="5127"/>
      <c r="BZ223" s="5127"/>
      <c r="CA223" s="5127"/>
      <c r="CB223" s="5127"/>
      <c r="CC223" s="3662"/>
      <c r="CD223" s="3662"/>
      <c r="CE223" s="5170"/>
      <c r="CF223" s="5170"/>
      <c r="CG223" s="5170"/>
      <c r="CH223" s="5170"/>
    </row>
    <row r="224" s="4965" customFormat="1" ht="30" customHeight="1" spans="1:86">
      <c r="A224" s="3524">
        <v>51</v>
      </c>
      <c r="B224" s="3524" t="s">
        <v>173</v>
      </c>
      <c r="C224" s="3524">
        <v>43888</v>
      </c>
      <c r="D224" s="3742" t="s">
        <v>645</v>
      </c>
      <c r="E224" s="3742" t="s">
        <v>646</v>
      </c>
      <c r="F224" s="1032" t="s">
        <v>647</v>
      </c>
      <c r="G224" s="3742" t="s">
        <v>648</v>
      </c>
      <c r="H224" s="3524" t="s">
        <v>193</v>
      </c>
      <c r="I224" s="4840"/>
      <c r="J224" s="3742" t="s">
        <v>649</v>
      </c>
      <c r="K224" s="3524">
        <v>271380.418</v>
      </c>
      <c r="L224" s="3524"/>
      <c r="M224" s="3524">
        <f>SUM(N224:AA227)</f>
        <v>810000</v>
      </c>
      <c r="N224" s="5378"/>
      <c r="O224" s="5378"/>
      <c r="P224" s="5378"/>
      <c r="Q224" s="5378"/>
      <c r="R224" s="5378"/>
      <c r="S224" s="5378"/>
      <c r="T224" s="5378"/>
      <c r="U224" s="5378"/>
      <c r="V224" s="5378">
        <v>810000</v>
      </c>
      <c r="W224" s="5378">
        <v>0</v>
      </c>
      <c r="X224" s="5378">
        <v>0</v>
      </c>
      <c r="Y224" s="5378"/>
      <c r="Z224" s="5378"/>
      <c r="AA224" s="5378"/>
      <c r="AB224" s="5378"/>
      <c r="AC224" s="3524">
        <v>1</v>
      </c>
      <c r="AD224" s="3742" t="s">
        <v>650</v>
      </c>
      <c r="AE224" s="5117">
        <v>0.4</v>
      </c>
      <c r="AF224" s="3524">
        <f>AE224*M224</f>
        <v>324000</v>
      </c>
      <c r="AG224" s="3812">
        <f>SUM(BA224:BN224)</f>
        <v>324000</v>
      </c>
      <c r="AH224" s="3524" t="s">
        <v>206</v>
      </c>
      <c r="AI224" s="3812">
        <v>44020</v>
      </c>
      <c r="AJ224" s="3524" t="s">
        <v>171</v>
      </c>
      <c r="AK224" s="3524" t="s">
        <v>171</v>
      </c>
      <c r="AL224" s="3524">
        <v>810000</v>
      </c>
      <c r="AM224" s="3812">
        <v>44020</v>
      </c>
      <c r="AN224" s="3812">
        <f t="shared" si="53"/>
        <v>200000</v>
      </c>
      <c r="AO224" s="3812">
        <v>44165</v>
      </c>
      <c r="AP224" s="3524"/>
      <c r="AQ224" s="5122"/>
      <c r="AR224" s="3524"/>
      <c r="AS224" s="5137"/>
      <c r="AT224" s="5122"/>
      <c r="AU224" s="5378">
        <f>SUM(AG224:AG227)</f>
        <v>810000</v>
      </c>
      <c r="AV224" s="5378">
        <f>SUM(AL224:AL227)</f>
        <v>810000</v>
      </c>
      <c r="AW224" s="5378">
        <f>SUM(AN224:AN227)</f>
        <v>810000</v>
      </c>
      <c r="AX224" s="5378">
        <f>M224-AU224</f>
        <v>0</v>
      </c>
      <c r="AY224" s="5378">
        <f>AU224-AV224</f>
        <v>0</v>
      </c>
      <c r="AZ224" s="5378">
        <f>AV224-AW224</f>
        <v>0</v>
      </c>
      <c r="BA224" s="5146"/>
      <c r="BB224" s="3812"/>
      <c r="BC224" s="3812"/>
      <c r="BD224" s="5146"/>
      <c r="BE224" s="5146"/>
      <c r="BF224" s="5146"/>
      <c r="BG224" s="5146"/>
      <c r="BH224" s="3812"/>
      <c r="BI224" s="3812">
        <v>324000</v>
      </c>
      <c r="BJ224" s="3812"/>
      <c r="BK224" s="3812"/>
      <c r="BL224" s="3812"/>
      <c r="BM224" s="3812"/>
      <c r="BN224" s="3812"/>
      <c r="BO224" s="5122"/>
      <c r="BP224" s="5122"/>
      <c r="BQ224" s="5122"/>
      <c r="BR224" s="5122"/>
      <c r="BS224" s="5122"/>
      <c r="BT224" s="5122"/>
      <c r="BU224" s="5122"/>
      <c r="BV224" s="5122"/>
      <c r="BW224" s="5146">
        <v>200000</v>
      </c>
      <c r="BX224" s="5122"/>
      <c r="BY224" s="5122"/>
      <c r="BZ224" s="5122"/>
      <c r="CA224" s="5122"/>
      <c r="CB224" s="5122"/>
      <c r="CC224" s="3524" t="s">
        <v>166</v>
      </c>
      <c r="CD224" s="3524" t="s">
        <v>154</v>
      </c>
      <c r="CE224" s="5169"/>
      <c r="CF224" s="5169"/>
      <c r="CG224" s="5169"/>
      <c r="CH224" s="5169"/>
    </row>
    <row r="225" s="4965" customFormat="1" ht="23.35" customHeight="1" spans="1:86">
      <c r="A225" s="3524"/>
      <c r="B225" s="3524"/>
      <c r="C225" s="3524"/>
      <c r="D225" s="3742"/>
      <c r="E225" s="3742"/>
      <c r="F225" s="3742"/>
      <c r="G225" s="3742"/>
      <c r="H225" s="3524"/>
      <c r="I225" s="4841"/>
      <c r="J225" s="3742"/>
      <c r="K225" s="3524"/>
      <c r="L225" s="3524"/>
      <c r="M225" s="3524"/>
      <c r="N225" s="5378"/>
      <c r="O225" s="5378"/>
      <c r="P225" s="5378"/>
      <c r="Q225" s="5378"/>
      <c r="R225" s="5378"/>
      <c r="S225" s="5378"/>
      <c r="T225" s="5378"/>
      <c r="U225" s="5378"/>
      <c r="V225" s="5378"/>
      <c r="W225" s="5378"/>
      <c r="X225" s="5378"/>
      <c r="Y225" s="5378"/>
      <c r="Z225" s="5378"/>
      <c r="AA225" s="5378"/>
      <c r="AB225" s="5378"/>
      <c r="AC225" s="3524"/>
      <c r="AD225" s="3742"/>
      <c r="AE225" s="5117"/>
      <c r="AF225" s="3524"/>
      <c r="AG225" s="3812"/>
      <c r="AH225" s="3524"/>
      <c r="AI225" s="3812"/>
      <c r="AJ225" s="3524" t="s">
        <v>171</v>
      </c>
      <c r="AK225" s="3524" t="s">
        <v>171</v>
      </c>
      <c r="AL225" s="3524"/>
      <c r="AM225" s="3812">
        <v>44020</v>
      </c>
      <c r="AN225" s="3812">
        <f t="shared" si="53"/>
        <v>150000</v>
      </c>
      <c r="AO225" s="3812">
        <v>44232</v>
      </c>
      <c r="AP225" s="3524"/>
      <c r="AQ225" s="5122" t="s">
        <v>250</v>
      </c>
      <c r="AR225" s="3524"/>
      <c r="AS225" s="5137"/>
      <c r="AT225" s="5122"/>
      <c r="AU225" s="5378"/>
      <c r="AV225" s="5378"/>
      <c r="AW225" s="5378"/>
      <c r="AX225" s="5378"/>
      <c r="AY225" s="5378"/>
      <c r="AZ225" s="5378"/>
      <c r="BA225" s="5146"/>
      <c r="BB225" s="3812"/>
      <c r="BC225" s="3812"/>
      <c r="BD225" s="5146"/>
      <c r="BE225" s="5146"/>
      <c r="BF225" s="5146"/>
      <c r="BG225" s="5146"/>
      <c r="BH225" s="3812"/>
      <c r="BI225" s="3812"/>
      <c r="BJ225" s="3812"/>
      <c r="BK225" s="3812"/>
      <c r="BL225" s="3812"/>
      <c r="BM225" s="3812"/>
      <c r="BN225" s="3812"/>
      <c r="BO225" s="5146"/>
      <c r="BP225" s="5146"/>
      <c r="BQ225" s="5146"/>
      <c r="BR225" s="5146"/>
      <c r="BS225" s="5146"/>
      <c r="BT225" s="5146"/>
      <c r="BU225" s="5146"/>
      <c r="BV225" s="5146"/>
      <c r="BW225" s="5146">
        <v>150000</v>
      </c>
      <c r="BX225" s="5146"/>
      <c r="BY225" s="5146"/>
      <c r="BZ225" s="5146"/>
      <c r="CA225" s="5146"/>
      <c r="CB225" s="5146"/>
      <c r="CC225" s="3524"/>
      <c r="CD225" s="3524"/>
      <c r="CE225" s="5169"/>
      <c r="CF225" s="5169"/>
      <c r="CG225" s="5169"/>
      <c r="CH225" s="5169"/>
    </row>
    <row r="226" s="4965" customFormat="1" ht="61" customHeight="1" spans="1:86">
      <c r="A226" s="3524"/>
      <c r="B226" s="3524"/>
      <c r="C226" s="3524"/>
      <c r="D226" s="3742"/>
      <c r="E226" s="3742"/>
      <c r="F226" s="3742"/>
      <c r="G226" s="3742"/>
      <c r="H226" s="3524"/>
      <c r="I226" s="4841"/>
      <c r="J226" s="3742"/>
      <c r="K226" s="3524"/>
      <c r="L226" s="3524"/>
      <c r="M226" s="3524"/>
      <c r="N226" s="5378"/>
      <c r="O226" s="5378"/>
      <c r="P226" s="5378"/>
      <c r="Q226" s="5378"/>
      <c r="R226" s="5378"/>
      <c r="S226" s="5378"/>
      <c r="T226" s="5378"/>
      <c r="U226" s="5378"/>
      <c r="V226" s="5378"/>
      <c r="W226" s="5378"/>
      <c r="X226" s="5378"/>
      <c r="Y226" s="5378"/>
      <c r="Z226" s="5378"/>
      <c r="AA226" s="5378"/>
      <c r="AB226" s="5378"/>
      <c r="AC226" s="3524">
        <v>2</v>
      </c>
      <c r="AD226" s="3742" t="s">
        <v>651</v>
      </c>
      <c r="AE226" s="5117">
        <v>0.4</v>
      </c>
      <c r="AF226" s="3524">
        <f>AE226*M224</f>
        <v>324000</v>
      </c>
      <c r="AG226" s="3812">
        <f t="shared" ref="AG226:AG239" si="54">SUM(BA226:BN226)</f>
        <v>324000</v>
      </c>
      <c r="AH226" s="3524" t="s">
        <v>206</v>
      </c>
      <c r="AI226" s="3812">
        <v>44020</v>
      </c>
      <c r="AJ226" s="3524" t="s">
        <v>171</v>
      </c>
      <c r="AK226" s="3524" t="s">
        <v>171</v>
      </c>
      <c r="AL226" s="3524"/>
      <c r="AM226" s="3812">
        <v>44020</v>
      </c>
      <c r="AN226" s="3812">
        <f t="shared" si="53"/>
        <v>350000</v>
      </c>
      <c r="AO226" s="3812">
        <v>44579</v>
      </c>
      <c r="AP226" s="3524"/>
      <c r="AQ226" s="5256" t="s">
        <v>652</v>
      </c>
      <c r="AR226" s="3524"/>
      <c r="AS226" s="5137"/>
      <c r="AT226" s="5122"/>
      <c r="AU226" s="5378"/>
      <c r="AV226" s="5378"/>
      <c r="AW226" s="5378"/>
      <c r="AX226" s="5378"/>
      <c r="AY226" s="5378"/>
      <c r="AZ226" s="5378"/>
      <c r="BA226" s="5146"/>
      <c r="BB226" s="3812"/>
      <c r="BC226" s="3812"/>
      <c r="BD226" s="5146"/>
      <c r="BE226" s="5146"/>
      <c r="BF226" s="5146"/>
      <c r="BG226" s="5146"/>
      <c r="BH226" s="3812"/>
      <c r="BI226" s="3812">
        <v>324000</v>
      </c>
      <c r="BJ226" s="3812"/>
      <c r="BK226" s="3812"/>
      <c r="BL226" s="3812"/>
      <c r="BM226" s="3812"/>
      <c r="BN226" s="3812"/>
      <c r="BO226" s="5160"/>
      <c r="BP226" s="5160"/>
      <c r="BQ226" s="5160"/>
      <c r="BR226" s="5160"/>
      <c r="BS226" s="5160"/>
      <c r="BT226" s="5160"/>
      <c r="BU226" s="5160"/>
      <c r="BV226" s="5160"/>
      <c r="BW226" s="5146">
        <v>350000</v>
      </c>
      <c r="BX226" s="5160"/>
      <c r="BY226" s="5160"/>
      <c r="BZ226" s="5160"/>
      <c r="CA226" s="5160"/>
      <c r="CB226" s="5160"/>
      <c r="CC226" s="3524"/>
      <c r="CD226" s="3524"/>
      <c r="CE226" s="5169"/>
      <c r="CF226" s="5169"/>
      <c r="CG226" s="5169"/>
      <c r="CH226" s="5169"/>
    </row>
    <row r="227" s="4965" customFormat="1" ht="61" customHeight="1" spans="1:86">
      <c r="A227" s="3524"/>
      <c r="B227" s="3524"/>
      <c r="C227" s="3524"/>
      <c r="D227" s="3742"/>
      <c r="E227" s="3742"/>
      <c r="F227" s="3742"/>
      <c r="G227" s="3742"/>
      <c r="H227" s="3524"/>
      <c r="I227" s="4842"/>
      <c r="J227" s="3742"/>
      <c r="K227" s="3524"/>
      <c r="L227" s="3524"/>
      <c r="M227" s="3524"/>
      <c r="N227" s="5378"/>
      <c r="O227" s="5378"/>
      <c r="P227" s="5378"/>
      <c r="Q227" s="5378"/>
      <c r="R227" s="5378"/>
      <c r="S227" s="5378"/>
      <c r="T227" s="5378"/>
      <c r="U227" s="5378"/>
      <c r="V227" s="5378"/>
      <c r="W227" s="5378"/>
      <c r="X227" s="5378"/>
      <c r="Y227" s="5378"/>
      <c r="Z227" s="5378"/>
      <c r="AA227" s="5378"/>
      <c r="AB227" s="5378"/>
      <c r="AC227" s="3524">
        <v>3</v>
      </c>
      <c r="AD227" s="3742" t="s">
        <v>653</v>
      </c>
      <c r="AE227" s="5117">
        <v>0.2</v>
      </c>
      <c r="AF227" s="3524">
        <f>AE227*M224</f>
        <v>162000</v>
      </c>
      <c r="AG227" s="3812">
        <f t="shared" si="54"/>
        <v>162000</v>
      </c>
      <c r="AH227" s="3524" t="s">
        <v>206</v>
      </c>
      <c r="AI227" s="3812">
        <v>44020</v>
      </c>
      <c r="AJ227" s="3524" t="s">
        <v>171</v>
      </c>
      <c r="AK227" s="3524" t="s">
        <v>171</v>
      </c>
      <c r="AL227" s="3524"/>
      <c r="AM227" s="3812">
        <v>44020</v>
      </c>
      <c r="AN227" s="5123">
        <f t="shared" si="53"/>
        <v>110000</v>
      </c>
      <c r="AO227" s="5123"/>
      <c r="AP227" s="3524"/>
      <c r="AQ227" s="5122"/>
      <c r="AR227" s="3524"/>
      <c r="AS227" s="5137"/>
      <c r="AT227" s="5122"/>
      <c r="AU227" s="5406"/>
      <c r="AV227" s="5406"/>
      <c r="AW227" s="5406"/>
      <c r="AX227" s="5406"/>
      <c r="AY227" s="5406"/>
      <c r="AZ227" s="5406"/>
      <c r="BA227" s="5146"/>
      <c r="BB227" s="3812"/>
      <c r="BC227" s="3812"/>
      <c r="BD227" s="5146"/>
      <c r="BE227" s="5146"/>
      <c r="BF227" s="5146"/>
      <c r="BG227" s="5146"/>
      <c r="BH227" s="3812"/>
      <c r="BI227" s="3812">
        <v>162000</v>
      </c>
      <c r="BJ227" s="3812"/>
      <c r="BK227" s="3812"/>
      <c r="BL227" s="3812"/>
      <c r="BM227" s="3812"/>
      <c r="BN227" s="3812"/>
      <c r="BO227" s="5122"/>
      <c r="BP227" s="5122"/>
      <c r="BQ227" s="5122"/>
      <c r="BR227" s="5122"/>
      <c r="BS227" s="5122"/>
      <c r="BT227" s="5122"/>
      <c r="BU227" s="5122"/>
      <c r="BV227" s="5122"/>
      <c r="BW227" s="5146">
        <v>110000</v>
      </c>
      <c r="BX227" s="5122"/>
      <c r="BY227" s="5122"/>
      <c r="BZ227" s="5122"/>
      <c r="CA227" s="5122"/>
      <c r="CB227" s="5122"/>
      <c r="CC227" s="3524"/>
      <c r="CD227" s="3524"/>
      <c r="CE227" s="5169"/>
      <c r="CF227" s="5169"/>
      <c r="CG227" s="5169"/>
      <c r="CH227" s="5169"/>
    </row>
    <row r="228" s="4972" customFormat="1" ht="61" customHeight="1" spans="1:86">
      <c r="A228" s="3662">
        <v>52</v>
      </c>
      <c r="B228" s="3662" t="s">
        <v>173</v>
      </c>
      <c r="C228" s="3662">
        <v>43968</v>
      </c>
      <c r="D228" s="5055" t="s">
        <v>654</v>
      </c>
      <c r="E228" s="5053" t="s">
        <v>655</v>
      </c>
      <c r="F228" s="5053" t="s">
        <v>656</v>
      </c>
      <c r="G228" s="5053" t="s">
        <v>657</v>
      </c>
      <c r="H228" s="3662" t="s">
        <v>658</v>
      </c>
      <c r="I228" s="3744"/>
      <c r="J228" s="5053" t="s">
        <v>215</v>
      </c>
      <c r="K228" s="3662">
        <v>2000</v>
      </c>
      <c r="L228" s="3662" t="s">
        <v>659</v>
      </c>
      <c r="M228" s="3662">
        <f>SUM(N228:AA230)</f>
        <v>200000</v>
      </c>
      <c r="N228" s="5379"/>
      <c r="O228" s="5379"/>
      <c r="P228" s="5379"/>
      <c r="Q228" s="5379"/>
      <c r="R228" s="5379"/>
      <c r="S228" s="5379">
        <v>200000</v>
      </c>
      <c r="T228" s="5379"/>
      <c r="U228" s="5379"/>
      <c r="V228" s="5379"/>
      <c r="W228" s="5379">
        <v>0</v>
      </c>
      <c r="X228" s="5379">
        <v>0</v>
      </c>
      <c r="Y228" s="5379"/>
      <c r="Z228" s="5379"/>
      <c r="AA228" s="5379"/>
      <c r="AB228" s="5379"/>
      <c r="AC228" s="3662">
        <v>1</v>
      </c>
      <c r="AD228" s="5053" t="s">
        <v>660</v>
      </c>
      <c r="AE228" s="5115">
        <v>0.2</v>
      </c>
      <c r="AF228" s="3662">
        <f>AE228*M228</f>
        <v>40000</v>
      </c>
      <c r="AG228" s="3684">
        <f t="shared" si="54"/>
        <v>40000</v>
      </c>
      <c r="AH228" s="3684" t="s">
        <v>206</v>
      </c>
      <c r="AI228" s="3684">
        <v>44033</v>
      </c>
      <c r="AJ228" s="3662" t="s">
        <v>171</v>
      </c>
      <c r="AK228" s="3662" t="s">
        <v>171</v>
      </c>
      <c r="AL228" s="3662">
        <v>40000</v>
      </c>
      <c r="AM228" s="3662">
        <v>44033</v>
      </c>
      <c r="AN228" s="3684">
        <f t="shared" si="53"/>
        <v>40000</v>
      </c>
      <c r="AO228" s="3684">
        <v>44468</v>
      </c>
      <c r="AP228" s="3662">
        <f t="shared" ref="AP228:AP233" si="55">AG228-AN228</f>
        <v>0</v>
      </c>
      <c r="AQ228" s="5127" t="s">
        <v>661</v>
      </c>
      <c r="AR228" s="3814" t="s">
        <v>128</v>
      </c>
      <c r="AS228" s="5134"/>
      <c r="AT228" s="5127"/>
      <c r="AU228" s="5379">
        <f>SUM(AG228:AG230)</f>
        <v>200000</v>
      </c>
      <c r="AV228" s="5379">
        <f>SUM(AL228:AL230)</f>
        <v>200000</v>
      </c>
      <c r="AW228" s="5379">
        <f>SUM(AN228:AN230)</f>
        <v>200000</v>
      </c>
      <c r="AX228" s="5379">
        <f>M228-AU228</f>
        <v>0</v>
      </c>
      <c r="AY228" s="5379">
        <f>AU228-AV228</f>
        <v>0</v>
      </c>
      <c r="AZ228" s="5379">
        <f>AV228-AW228</f>
        <v>0</v>
      </c>
      <c r="BA228" s="5148"/>
      <c r="BB228" s="3684"/>
      <c r="BC228" s="3684"/>
      <c r="BD228" s="5148"/>
      <c r="BE228" s="5148"/>
      <c r="BF228" s="5148">
        <v>40000</v>
      </c>
      <c r="BG228" s="5148"/>
      <c r="BH228" s="3684"/>
      <c r="BI228" s="3684"/>
      <c r="BJ228" s="3684"/>
      <c r="BK228" s="3684"/>
      <c r="BL228" s="3684"/>
      <c r="BM228" s="3684"/>
      <c r="BN228" s="3684"/>
      <c r="BO228" s="5164"/>
      <c r="BP228" s="5164"/>
      <c r="BQ228" s="5164"/>
      <c r="BR228" s="5164"/>
      <c r="BS228" s="5164"/>
      <c r="BT228" s="5148">
        <v>40000</v>
      </c>
      <c r="BU228" s="5164"/>
      <c r="BV228" s="5164"/>
      <c r="BW228" s="5164"/>
      <c r="BX228" s="5164"/>
      <c r="BY228" s="5164"/>
      <c r="BZ228" s="5164"/>
      <c r="CA228" s="5164"/>
      <c r="CB228" s="5164"/>
      <c r="CC228" s="3662" t="s">
        <v>197</v>
      </c>
      <c r="CD228" s="3662" t="s">
        <v>154</v>
      </c>
      <c r="CE228" s="5170"/>
      <c r="CF228" s="5170"/>
      <c r="CG228" s="5170"/>
      <c r="CH228" s="5170"/>
    </row>
    <row r="229" s="4972" customFormat="1" ht="61" customHeight="1" spans="1:86">
      <c r="A229" s="3662"/>
      <c r="B229" s="3662"/>
      <c r="C229" s="3662"/>
      <c r="D229" s="5053"/>
      <c r="E229" s="5053"/>
      <c r="F229" s="5053"/>
      <c r="G229" s="5053"/>
      <c r="H229" s="3662"/>
      <c r="I229" s="3666"/>
      <c r="J229" s="5053"/>
      <c r="K229" s="3662"/>
      <c r="L229" s="3662"/>
      <c r="M229" s="3662"/>
      <c r="N229" s="5379"/>
      <c r="O229" s="5379"/>
      <c r="P229" s="5379"/>
      <c r="Q229" s="5379"/>
      <c r="R229" s="5379"/>
      <c r="S229" s="5379"/>
      <c r="T229" s="5379"/>
      <c r="U229" s="5379"/>
      <c r="V229" s="5379"/>
      <c r="W229" s="5379"/>
      <c r="X229" s="5379"/>
      <c r="Y229" s="5379"/>
      <c r="Z229" s="5379"/>
      <c r="AA229" s="5379"/>
      <c r="AB229" s="5379"/>
      <c r="AC229" s="3662">
        <v>2</v>
      </c>
      <c r="AD229" s="5053" t="s">
        <v>662</v>
      </c>
      <c r="AE229" s="5115">
        <v>0.6</v>
      </c>
      <c r="AF229" s="3684">
        <f>AE229*M228</f>
        <v>120000</v>
      </c>
      <c r="AG229" s="3684">
        <f t="shared" si="54"/>
        <v>120000</v>
      </c>
      <c r="AH229" s="3684" t="s">
        <v>122</v>
      </c>
      <c r="AI229" s="3684">
        <v>44091</v>
      </c>
      <c r="AJ229" s="3684" t="s">
        <v>122</v>
      </c>
      <c r="AK229" s="3684">
        <v>44091</v>
      </c>
      <c r="AL229" s="3662">
        <v>120000</v>
      </c>
      <c r="AM229" s="3662">
        <v>44545</v>
      </c>
      <c r="AN229" s="3684">
        <f t="shared" si="53"/>
        <v>120000</v>
      </c>
      <c r="AO229" s="3684">
        <v>44554</v>
      </c>
      <c r="AP229" s="3662">
        <f t="shared" si="55"/>
        <v>0</v>
      </c>
      <c r="AQ229" s="5055" t="s">
        <v>663</v>
      </c>
      <c r="AR229" s="3662"/>
      <c r="AS229" s="5134"/>
      <c r="AT229" s="5127"/>
      <c r="AU229" s="5379"/>
      <c r="AV229" s="5379"/>
      <c r="AW229" s="5379"/>
      <c r="AX229" s="5379"/>
      <c r="AY229" s="5379"/>
      <c r="AZ229" s="5379"/>
      <c r="BA229" s="5148"/>
      <c r="BB229" s="3684"/>
      <c r="BC229" s="3684"/>
      <c r="BD229" s="5148"/>
      <c r="BE229" s="5148"/>
      <c r="BF229" s="5148">
        <v>120000</v>
      </c>
      <c r="BG229" s="5148"/>
      <c r="BH229" s="3684"/>
      <c r="BI229" s="3684"/>
      <c r="BJ229" s="3684"/>
      <c r="BK229" s="3684"/>
      <c r="BL229" s="3684"/>
      <c r="BM229" s="3684"/>
      <c r="BN229" s="3684"/>
      <c r="BO229" s="5164"/>
      <c r="BP229" s="5164"/>
      <c r="BQ229" s="5164"/>
      <c r="BR229" s="5164"/>
      <c r="BS229" s="5164"/>
      <c r="BT229" s="5148">
        <v>120000</v>
      </c>
      <c r="BU229" s="5164"/>
      <c r="BV229" s="5164"/>
      <c r="BW229" s="5164"/>
      <c r="BX229" s="5164"/>
      <c r="BY229" s="5164"/>
      <c r="BZ229" s="5164"/>
      <c r="CA229" s="5164"/>
      <c r="CB229" s="5164"/>
      <c r="CC229" s="3662"/>
      <c r="CD229" s="3662"/>
      <c r="CE229" s="5170"/>
      <c r="CF229" s="5170"/>
      <c r="CG229" s="5170"/>
      <c r="CH229" s="5170"/>
    </row>
    <row r="230" s="4972" customFormat="1" ht="61" customHeight="1" spans="1:86">
      <c r="A230" s="3662"/>
      <c r="B230" s="3662"/>
      <c r="C230" s="3662"/>
      <c r="D230" s="5053"/>
      <c r="E230" s="5053"/>
      <c r="F230" s="5053"/>
      <c r="G230" s="5053"/>
      <c r="H230" s="3662"/>
      <c r="I230" s="3667"/>
      <c r="J230" s="5053"/>
      <c r="K230" s="3662"/>
      <c r="L230" s="3662"/>
      <c r="M230" s="3662"/>
      <c r="N230" s="5379"/>
      <c r="O230" s="5379"/>
      <c r="P230" s="5379"/>
      <c r="Q230" s="5379"/>
      <c r="R230" s="5379"/>
      <c r="S230" s="5379"/>
      <c r="T230" s="5379"/>
      <c r="U230" s="5379"/>
      <c r="V230" s="5379"/>
      <c r="W230" s="5379"/>
      <c r="X230" s="5379"/>
      <c r="Y230" s="5379"/>
      <c r="Z230" s="5379"/>
      <c r="AA230" s="5379"/>
      <c r="AB230" s="5379"/>
      <c r="AC230" s="3662">
        <v>3</v>
      </c>
      <c r="AD230" s="5053" t="s">
        <v>664</v>
      </c>
      <c r="AE230" s="5115">
        <v>0.2</v>
      </c>
      <c r="AF230" s="3684">
        <f>AE230*M228</f>
        <v>40000</v>
      </c>
      <c r="AG230" s="3684">
        <f t="shared" si="54"/>
        <v>40000</v>
      </c>
      <c r="AH230" s="3684" t="s">
        <v>122</v>
      </c>
      <c r="AI230" s="3684">
        <v>44091</v>
      </c>
      <c r="AJ230" s="3684" t="s">
        <v>122</v>
      </c>
      <c r="AK230" s="3684">
        <v>44091</v>
      </c>
      <c r="AL230" s="3662">
        <v>40000</v>
      </c>
      <c r="AM230" s="3662">
        <v>44545</v>
      </c>
      <c r="AN230" s="3684">
        <f t="shared" si="53"/>
        <v>40000</v>
      </c>
      <c r="AO230" s="3684">
        <v>44554</v>
      </c>
      <c r="AP230" s="3662">
        <f t="shared" si="55"/>
        <v>0</v>
      </c>
      <c r="AQ230" s="5055"/>
      <c r="AR230" s="3662"/>
      <c r="AS230" s="5134"/>
      <c r="AT230" s="5127"/>
      <c r="AU230" s="5379"/>
      <c r="AV230" s="5379"/>
      <c r="AW230" s="5379"/>
      <c r="AX230" s="5379"/>
      <c r="AY230" s="5379"/>
      <c r="AZ230" s="5379"/>
      <c r="BA230" s="5148"/>
      <c r="BB230" s="3684"/>
      <c r="BC230" s="3684"/>
      <c r="BD230" s="5148"/>
      <c r="BE230" s="5148"/>
      <c r="BF230" s="5148">
        <v>40000</v>
      </c>
      <c r="BG230" s="5148"/>
      <c r="BH230" s="3684"/>
      <c r="BI230" s="3684"/>
      <c r="BJ230" s="3684"/>
      <c r="BK230" s="3684"/>
      <c r="BL230" s="3684"/>
      <c r="BM230" s="3684"/>
      <c r="BN230" s="3684"/>
      <c r="BO230" s="5164"/>
      <c r="BP230" s="5164"/>
      <c r="BQ230" s="5164"/>
      <c r="BR230" s="5164"/>
      <c r="BS230" s="5164"/>
      <c r="BT230" s="5148">
        <v>40000</v>
      </c>
      <c r="BU230" s="5164"/>
      <c r="BV230" s="5164"/>
      <c r="BW230" s="5164"/>
      <c r="BX230" s="5164"/>
      <c r="BY230" s="5164"/>
      <c r="BZ230" s="5164"/>
      <c r="CA230" s="5164"/>
      <c r="CB230" s="5164"/>
      <c r="CC230" s="3662"/>
      <c r="CD230" s="3662"/>
      <c r="CE230" s="5170"/>
      <c r="CF230" s="5170"/>
      <c r="CG230" s="5170"/>
      <c r="CH230" s="5170"/>
    </row>
    <row r="231" s="4965" customFormat="1" ht="61" customHeight="1" spans="1:86">
      <c r="A231" s="3524">
        <v>53</v>
      </c>
      <c r="B231" s="3524" t="s">
        <v>173</v>
      </c>
      <c r="C231" s="3524">
        <v>43964</v>
      </c>
      <c r="D231" s="3742" t="s">
        <v>665</v>
      </c>
      <c r="E231" s="3742" t="s">
        <v>666</v>
      </c>
      <c r="F231" s="3742" t="s">
        <v>667</v>
      </c>
      <c r="G231" s="3742" t="s">
        <v>668</v>
      </c>
      <c r="H231" s="3524" t="s">
        <v>31</v>
      </c>
      <c r="I231" s="4840"/>
      <c r="J231" s="3742" t="s">
        <v>177</v>
      </c>
      <c r="K231" s="3742" t="s">
        <v>669</v>
      </c>
      <c r="L231" s="3742" t="s">
        <v>670</v>
      </c>
      <c r="M231" s="3524">
        <f>SUM(N231:AA234)</f>
        <v>503900</v>
      </c>
      <c r="N231" s="5328"/>
      <c r="O231" s="5328"/>
      <c r="P231" s="5328"/>
      <c r="Q231" s="5328"/>
      <c r="R231" s="5328"/>
      <c r="S231" s="5328"/>
      <c r="T231" s="5328"/>
      <c r="U231" s="5328">
        <v>503900</v>
      </c>
      <c r="V231" s="5328"/>
      <c r="W231" s="5328">
        <v>0</v>
      </c>
      <c r="X231" s="5328">
        <v>0</v>
      </c>
      <c r="Y231" s="5328"/>
      <c r="Z231" s="5328"/>
      <c r="AA231" s="5328"/>
      <c r="AB231" s="5328"/>
      <c r="AC231" s="3524">
        <v>1</v>
      </c>
      <c r="AD231" s="5129" t="s">
        <v>671</v>
      </c>
      <c r="AE231" s="5117">
        <v>0.8</v>
      </c>
      <c r="AF231" s="3524">
        <f>AE231*M231</f>
        <v>403120</v>
      </c>
      <c r="AG231" s="3812">
        <f t="shared" si="54"/>
        <v>403120</v>
      </c>
      <c r="AH231" s="3812" t="s">
        <v>206</v>
      </c>
      <c r="AI231" s="3812">
        <v>44022</v>
      </c>
      <c r="AJ231" s="3524" t="s">
        <v>206</v>
      </c>
      <c r="AK231" s="3524">
        <v>44022</v>
      </c>
      <c r="AL231" s="3812">
        <v>403120</v>
      </c>
      <c r="AM231" s="3812">
        <v>44022</v>
      </c>
      <c r="AN231" s="3812">
        <f t="shared" si="53"/>
        <v>403120</v>
      </c>
      <c r="AO231" s="3812">
        <v>44316</v>
      </c>
      <c r="AP231" s="3524">
        <f t="shared" si="55"/>
        <v>0</v>
      </c>
      <c r="AQ231" s="5122" t="s">
        <v>661</v>
      </c>
      <c r="AR231" s="3524"/>
      <c r="AS231" s="5137"/>
      <c r="AT231" s="5122"/>
      <c r="AU231" s="5328">
        <f>SUM(AG231:AG234)</f>
        <v>503900</v>
      </c>
      <c r="AV231" s="5328">
        <f>SUM(AL231:AL234)</f>
        <v>478705</v>
      </c>
      <c r="AW231" s="5328">
        <f>SUM(AN231:AN234)</f>
        <v>478705</v>
      </c>
      <c r="AX231" s="5328">
        <f>M231-AU231</f>
        <v>0</v>
      </c>
      <c r="AY231" s="5328">
        <f>AU231-AV231</f>
        <v>25195</v>
      </c>
      <c r="AZ231" s="5328">
        <f>AV231-AW231</f>
        <v>0</v>
      </c>
      <c r="BA231" s="5146"/>
      <c r="BB231" s="3812"/>
      <c r="BC231" s="3812"/>
      <c r="BD231" s="5146"/>
      <c r="BE231" s="5146"/>
      <c r="BF231" s="5146"/>
      <c r="BG231" s="5146"/>
      <c r="BH231" s="3812">
        <v>403120</v>
      </c>
      <c r="BI231" s="3812"/>
      <c r="BJ231" s="3812"/>
      <c r="BK231" s="3812"/>
      <c r="BL231" s="3812"/>
      <c r="BM231" s="3812"/>
      <c r="BN231" s="3812"/>
      <c r="BO231" s="5146"/>
      <c r="BP231" s="5146"/>
      <c r="BQ231" s="5146"/>
      <c r="BR231" s="5146"/>
      <c r="BS231" s="5146"/>
      <c r="BT231" s="5146"/>
      <c r="BU231" s="5146"/>
      <c r="BV231" s="5146">
        <v>403120</v>
      </c>
      <c r="BW231" s="5146"/>
      <c r="BX231" s="5146"/>
      <c r="BY231" s="5146"/>
      <c r="BZ231" s="5146"/>
      <c r="CA231" s="5146"/>
      <c r="CB231" s="5146"/>
      <c r="CC231" s="3524" t="s">
        <v>166</v>
      </c>
      <c r="CD231" s="3524" t="s">
        <v>154</v>
      </c>
      <c r="CE231" s="5169"/>
      <c r="CF231" s="5169"/>
      <c r="CG231" s="5169"/>
      <c r="CH231" s="5169"/>
    </row>
    <row r="232" s="4965" customFormat="1" ht="61" customHeight="1" spans="1:86">
      <c r="A232" s="3524"/>
      <c r="B232" s="3524"/>
      <c r="C232" s="3524"/>
      <c r="D232" s="3742"/>
      <c r="E232" s="3742"/>
      <c r="F232" s="3742"/>
      <c r="G232" s="3742"/>
      <c r="H232" s="3524"/>
      <c r="I232" s="4841"/>
      <c r="J232" s="3742"/>
      <c r="K232" s="3742"/>
      <c r="L232" s="3742"/>
      <c r="M232" s="3524"/>
      <c r="N232" s="5328"/>
      <c r="O232" s="5328"/>
      <c r="P232" s="5328"/>
      <c r="Q232" s="5328"/>
      <c r="R232" s="5328"/>
      <c r="S232" s="5328"/>
      <c r="T232" s="5328"/>
      <c r="U232" s="5328"/>
      <c r="V232" s="5328"/>
      <c r="W232" s="5328"/>
      <c r="X232" s="5328"/>
      <c r="Y232" s="5328"/>
      <c r="Z232" s="5328"/>
      <c r="AA232" s="5328"/>
      <c r="AB232" s="5328"/>
      <c r="AC232" s="4087">
        <v>2</v>
      </c>
      <c r="AD232" s="5390" t="s">
        <v>672</v>
      </c>
      <c r="AE232" s="5117">
        <v>0.15</v>
      </c>
      <c r="AF232" s="4087">
        <f>AE232*M231</f>
        <v>75585</v>
      </c>
      <c r="AG232" s="4840">
        <f t="shared" si="54"/>
        <v>75585</v>
      </c>
      <c r="AH232" s="3366" t="s">
        <v>122</v>
      </c>
      <c r="AI232" s="4840">
        <v>45251</v>
      </c>
      <c r="AJ232" s="4087">
        <v>75585</v>
      </c>
      <c r="AK232" s="4840">
        <v>45251</v>
      </c>
      <c r="AL232" s="3812">
        <v>72240</v>
      </c>
      <c r="AM232" s="3524"/>
      <c r="AN232" s="3812">
        <f t="shared" si="53"/>
        <v>72240</v>
      </c>
      <c r="AO232" s="5123"/>
      <c r="AP232" s="3524">
        <f t="shared" si="55"/>
        <v>3345</v>
      </c>
      <c r="AQ232" s="5122"/>
      <c r="AR232" s="3524"/>
      <c r="AS232" s="5137"/>
      <c r="AT232" s="5122"/>
      <c r="AU232" s="5328"/>
      <c r="AV232" s="5328"/>
      <c r="AW232" s="5328"/>
      <c r="AX232" s="5328"/>
      <c r="AY232" s="5328"/>
      <c r="AZ232" s="5328"/>
      <c r="BA232" s="5122"/>
      <c r="BB232" s="3524"/>
      <c r="BC232" s="3524"/>
      <c r="BD232" s="5122"/>
      <c r="BE232" s="5122"/>
      <c r="BF232" s="5122"/>
      <c r="BG232" s="5122"/>
      <c r="BH232" s="4840">
        <v>75585</v>
      </c>
      <c r="BI232" s="3524"/>
      <c r="BJ232" s="3524"/>
      <c r="BK232" s="3524"/>
      <c r="BL232" s="3524"/>
      <c r="BM232" s="3524"/>
      <c r="BN232" s="3524"/>
      <c r="BO232" s="5122"/>
      <c r="BP232" s="5122"/>
      <c r="BQ232" s="5122"/>
      <c r="BR232" s="5122"/>
      <c r="BS232" s="5122"/>
      <c r="BT232" s="5122"/>
      <c r="BU232" s="5122"/>
      <c r="BV232" s="5146">
        <v>72240</v>
      </c>
      <c r="BW232" s="5122"/>
      <c r="BX232" s="5122"/>
      <c r="BY232" s="5122"/>
      <c r="BZ232" s="5122"/>
      <c r="CA232" s="5122"/>
      <c r="CB232" s="5122"/>
      <c r="CC232" s="3524"/>
      <c r="CD232" s="3524"/>
      <c r="CE232" s="5169"/>
      <c r="CF232" s="5169"/>
      <c r="CG232" s="5169"/>
      <c r="CH232" s="5169"/>
    </row>
    <row r="233" s="4965" customFormat="1" ht="61" customHeight="1" spans="1:86">
      <c r="A233" s="3524"/>
      <c r="B233" s="3524"/>
      <c r="C233" s="3524"/>
      <c r="D233" s="3742"/>
      <c r="E233" s="3742"/>
      <c r="F233" s="3742"/>
      <c r="G233" s="3742"/>
      <c r="H233" s="3524"/>
      <c r="I233" s="4841"/>
      <c r="J233" s="3742"/>
      <c r="K233" s="3742"/>
      <c r="L233" s="3742"/>
      <c r="M233" s="3524"/>
      <c r="N233" s="5328"/>
      <c r="O233" s="5328"/>
      <c r="P233" s="5328"/>
      <c r="Q233" s="5328"/>
      <c r="R233" s="5328"/>
      <c r="S233" s="5328"/>
      <c r="T233" s="5328"/>
      <c r="U233" s="5328"/>
      <c r="V233" s="5328"/>
      <c r="W233" s="5328"/>
      <c r="X233" s="5328"/>
      <c r="Y233" s="5328"/>
      <c r="Z233" s="5328"/>
      <c r="AA233" s="5328"/>
      <c r="AB233" s="5328"/>
      <c r="AC233" s="4903"/>
      <c r="AD233" s="5391"/>
      <c r="AE233" s="5117"/>
      <c r="AF233" s="4903"/>
      <c r="AG233" s="4842"/>
      <c r="AH233" s="3409"/>
      <c r="AI233" s="4842"/>
      <c r="AJ233" s="4903"/>
      <c r="AK233" s="4842"/>
      <c r="AL233" s="3812">
        <f>AJ232-AL232</f>
        <v>3345</v>
      </c>
      <c r="AM233" s="3524"/>
      <c r="AN233" s="3812">
        <f t="shared" si="53"/>
        <v>3345</v>
      </c>
      <c r="AO233" s="3524"/>
      <c r="AP233" s="3524">
        <f t="shared" si="55"/>
        <v>-3345</v>
      </c>
      <c r="AQ233" s="5122"/>
      <c r="AR233" s="3524"/>
      <c r="AS233" s="5137"/>
      <c r="AT233" s="5122"/>
      <c r="AU233" s="5407"/>
      <c r="AV233" s="5407"/>
      <c r="AW233" s="5407"/>
      <c r="AX233" s="5407"/>
      <c r="AY233" s="5407"/>
      <c r="AZ233" s="5407"/>
      <c r="BA233" s="5122"/>
      <c r="BB233" s="3524"/>
      <c r="BC233" s="3524"/>
      <c r="BD233" s="5122"/>
      <c r="BE233" s="5122"/>
      <c r="BF233" s="5122"/>
      <c r="BG233" s="5122"/>
      <c r="BH233" s="4842"/>
      <c r="BI233" s="3524"/>
      <c r="BJ233" s="3524"/>
      <c r="BK233" s="3524"/>
      <c r="BL233" s="3524"/>
      <c r="BM233" s="3524"/>
      <c r="BN233" s="3524"/>
      <c r="BO233" s="5122"/>
      <c r="BP233" s="5122"/>
      <c r="BQ233" s="5122"/>
      <c r="BR233" s="5122"/>
      <c r="BS233" s="5122"/>
      <c r="BT233" s="5122"/>
      <c r="BU233" s="5122"/>
      <c r="BV233" s="5122">
        <v>3345</v>
      </c>
      <c r="BW233" s="5122"/>
      <c r="BX233" s="5122"/>
      <c r="BY233" s="5122"/>
      <c r="BZ233" s="5122"/>
      <c r="CA233" s="5122"/>
      <c r="CB233" s="5122"/>
      <c r="CC233" s="3524"/>
      <c r="CD233" s="3524"/>
      <c r="CE233" s="5169"/>
      <c r="CF233" s="5169"/>
      <c r="CG233" s="5169"/>
      <c r="CH233" s="5169"/>
    </row>
    <row r="234" s="4965" customFormat="1" ht="61" customHeight="1" spans="1:86">
      <c r="A234" s="3524"/>
      <c r="B234" s="3524"/>
      <c r="C234" s="3524"/>
      <c r="D234" s="3742"/>
      <c r="E234" s="3742"/>
      <c r="F234" s="3742"/>
      <c r="G234" s="3742"/>
      <c r="H234" s="3524"/>
      <c r="I234" s="4842"/>
      <c r="J234" s="3742"/>
      <c r="K234" s="3742"/>
      <c r="L234" s="3742"/>
      <c r="M234" s="3524"/>
      <c r="N234" s="5328"/>
      <c r="O234" s="5328"/>
      <c r="P234" s="5328"/>
      <c r="Q234" s="5328"/>
      <c r="R234" s="5328"/>
      <c r="S234" s="5328"/>
      <c r="T234" s="5328"/>
      <c r="U234" s="5328"/>
      <c r="V234" s="5328"/>
      <c r="W234" s="5328"/>
      <c r="X234" s="5328"/>
      <c r="Y234" s="5328"/>
      <c r="Z234" s="5328"/>
      <c r="AA234" s="5328"/>
      <c r="AB234" s="5328"/>
      <c r="AC234" s="3524">
        <v>3</v>
      </c>
      <c r="AD234" s="5129" t="s">
        <v>673</v>
      </c>
      <c r="AE234" s="5117">
        <v>0.05</v>
      </c>
      <c r="AF234" s="3524">
        <f>AE234*M231</f>
        <v>25195</v>
      </c>
      <c r="AG234" s="5123">
        <f>SUM(BA234:BN234)</f>
        <v>25195</v>
      </c>
      <c r="AH234" s="3406"/>
      <c r="AI234" s="5123"/>
      <c r="AJ234" s="3524"/>
      <c r="AK234" s="3524"/>
      <c r="AL234" s="3812"/>
      <c r="AM234" s="3524"/>
      <c r="AN234" s="3524">
        <f t="shared" si="53"/>
        <v>0</v>
      </c>
      <c r="AO234" s="3524"/>
      <c r="AP234" s="3524">
        <f t="shared" ref="AP234:AP240" si="56">AG234-AN234</f>
        <v>25195</v>
      </c>
      <c r="AQ234" s="5122"/>
      <c r="AR234" s="3524"/>
      <c r="AS234" s="5137"/>
      <c r="AT234" s="5122"/>
      <c r="AU234" s="5407"/>
      <c r="AV234" s="5407"/>
      <c r="AW234" s="5407"/>
      <c r="AX234" s="5407"/>
      <c r="AY234" s="5407"/>
      <c r="AZ234" s="5407"/>
      <c r="BA234" s="5122"/>
      <c r="BB234" s="3524"/>
      <c r="BC234" s="3524"/>
      <c r="BD234" s="5122"/>
      <c r="BE234" s="5122"/>
      <c r="BF234" s="5122"/>
      <c r="BG234" s="5122"/>
      <c r="BH234" s="5123">
        <v>25195</v>
      </c>
      <c r="BI234" s="3524"/>
      <c r="BJ234" s="3524"/>
      <c r="BK234" s="3524"/>
      <c r="BL234" s="3524"/>
      <c r="BM234" s="3524"/>
      <c r="BN234" s="3524"/>
      <c r="BO234" s="5122"/>
      <c r="BP234" s="5122"/>
      <c r="BQ234" s="5122"/>
      <c r="BR234" s="5122"/>
      <c r="BS234" s="5122"/>
      <c r="BT234" s="5122"/>
      <c r="BU234" s="5122"/>
      <c r="BV234" s="5122"/>
      <c r="BW234" s="5122"/>
      <c r="BX234" s="5122"/>
      <c r="BY234" s="5122"/>
      <c r="BZ234" s="5122"/>
      <c r="CA234" s="5122"/>
      <c r="CB234" s="5122"/>
      <c r="CC234" s="3524"/>
      <c r="CD234" s="3524"/>
      <c r="CE234" s="5169"/>
      <c r="CF234" s="5169"/>
      <c r="CG234" s="5169"/>
      <c r="CH234" s="5169"/>
    </row>
    <row r="235" s="4972" customFormat="1" ht="34.15" customHeight="1" spans="1:86">
      <c r="A235" s="3662">
        <v>54</v>
      </c>
      <c r="B235" s="3662" t="s">
        <v>173</v>
      </c>
      <c r="C235" s="3662">
        <v>43970</v>
      </c>
      <c r="D235" s="5055" t="s">
        <v>674</v>
      </c>
      <c r="E235" s="3742" t="s">
        <v>675</v>
      </c>
      <c r="F235" s="5053" t="s">
        <v>676</v>
      </c>
      <c r="G235" s="5053" t="s">
        <v>677</v>
      </c>
      <c r="H235" s="3662" t="s">
        <v>31</v>
      </c>
      <c r="I235" s="5069"/>
      <c r="J235" s="5053" t="s">
        <v>215</v>
      </c>
      <c r="K235" s="3662">
        <v>136071.26</v>
      </c>
      <c r="L235" s="5055" t="s">
        <v>678</v>
      </c>
      <c r="M235" s="3662">
        <f>SUM(N235:AA239)</f>
        <v>924910</v>
      </c>
      <c r="N235" s="5380"/>
      <c r="O235" s="5380"/>
      <c r="P235" s="5380"/>
      <c r="Q235" s="5380"/>
      <c r="R235" s="5380"/>
      <c r="S235" s="5380"/>
      <c r="T235" s="5380"/>
      <c r="U235" s="5380">
        <v>924910</v>
      </c>
      <c r="V235" s="5380"/>
      <c r="W235" s="5380">
        <v>0</v>
      </c>
      <c r="X235" s="5380">
        <v>0</v>
      </c>
      <c r="Y235" s="5380"/>
      <c r="Z235" s="5380"/>
      <c r="AA235" s="5380"/>
      <c r="AB235" s="5380"/>
      <c r="AC235" s="3662">
        <v>1</v>
      </c>
      <c r="AD235" s="5341" t="s">
        <v>679</v>
      </c>
      <c r="AE235" s="5115">
        <v>0.2</v>
      </c>
      <c r="AF235" s="3662">
        <f>AE235*M235</f>
        <v>184982</v>
      </c>
      <c r="AG235" s="3662">
        <f>SUM(BA235:BN235)</f>
        <v>184982</v>
      </c>
      <c r="AH235" s="3662" t="s">
        <v>206</v>
      </c>
      <c r="AI235" s="3662">
        <v>43986</v>
      </c>
      <c r="AJ235" s="3662" t="s">
        <v>171</v>
      </c>
      <c r="AK235" s="3662" t="s">
        <v>171</v>
      </c>
      <c r="AL235" s="3662">
        <v>184982</v>
      </c>
      <c r="AM235" s="3662">
        <v>43986</v>
      </c>
      <c r="AN235" s="3684">
        <f t="shared" si="53"/>
        <v>184982</v>
      </c>
      <c r="AO235" s="3684">
        <v>44469</v>
      </c>
      <c r="AP235" s="3662">
        <f t="shared" si="56"/>
        <v>0</v>
      </c>
      <c r="AQ235" s="5127"/>
      <c r="AR235" s="3662"/>
      <c r="AS235" s="5134"/>
      <c r="AT235" s="5127"/>
      <c r="AU235" s="3662">
        <f>SUM(AG235:AG239)</f>
        <v>924910</v>
      </c>
      <c r="AV235" s="3662">
        <f>SUM(AL235:AL239)</f>
        <v>924910</v>
      </c>
      <c r="AW235" s="3662">
        <f>SUM(AN235:AN239)</f>
        <v>924910</v>
      </c>
      <c r="AX235" s="3662">
        <f>M235-AU235</f>
        <v>0</v>
      </c>
      <c r="AY235" s="3662">
        <f>AU235-AV235</f>
        <v>0</v>
      </c>
      <c r="AZ235" s="3662">
        <f>AV235-AW235</f>
        <v>0</v>
      </c>
      <c r="BA235" s="5148"/>
      <c r="BB235" s="3684"/>
      <c r="BC235" s="3684"/>
      <c r="BD235" s="5148"/>
      <c r="BE235" s="5148"/>
      <c r="BF235" s="5148"/>
      <c r="BG235" s="5148"/>
      <c r="BH235" s="3684">
        <v>184982</v>
      </c>
      <c r="BI235" s="3684"/>
      <c r="BJ235" s="3684"/>
      <c r="BK235" s="3684"/>
      <c r="BL235" s="3684"/>
      <c r="BM235" s="3684"/>
      <c r="BN235" s="3684"/>
      <c r="BO235" s="5164"/>
      <c r="BP235" s="5164"/>
      <c r="BQ235" s="5164"/>
      <c r="BR235" s="5164"/>
      <c r="BS235" s="5164"/>
      <c r="BT235" s="5164"/>
      <c r="BU235" s="5164"/>
      <c r="BV235" s="5148">
        <v>184982</v>
      </c>
      <c r="BW235" s="5164"/>
      <c r="BX235" s="5164"/>
      <c r="BY235" s="5164"/>
      <c r="BZ235" s="5164"/>
      <c r="CA235" s="5164"/>
      <c r="CB235" s="5164"/>
      <c r="CC235" s="3662" t="s">
        <v>166</v>
      </c>
      <c r="CD235" s="3662" t="s">
        <v>154</v>
      </c>
      <c r="CE235" s="5170"/>
      <c r="CF235" s="5170"/>
      <c r="CG235" s="5170"/>
      <c r="CH235" s="5170"/>
    </row>
    <row r="236" s="4972" customFormat="1" ht="61" customHeight="1" spans="1:86">
      <c r="A236" s="3662"/>
      <c r="B236" s="3662"/>
      <c r="C236" s="3662"/>
      <c r="D236" s="5053"/>
      <c r="E236" s="3742"/>
      <c r="F236" s="5053"/>
      <c r="G236" s="5053"/>
      <c r="H236" s="3662"/>
      <c r="I236" s="5065"/>
      <c r="J236" s="5053"/>
      <c r="K236" s="3662"/>
      <c r="L236" s="5053"/>
      <c r="M236" s="3662"/>
      <c r="N236" s="5380"/>
      <c r="O236" s="5380"/>
      <c r="P236" s="5380"/>
      <c r="Q236" s="5380"/>
      <c r="R236" s="5380"/>
      <c r="S236" s="5380"/>
      <c r="T236" s="5380"/>
      <c r="U236" s="5380"/>
      <c r="V236" s="5380"/>
      <c r="W236" s="5380"/>
      <c r="X236" s="5380"/>
      <c r="Y236" s="5380"/>
      <c r="Z236" s="5380"/>
      <c r="AA236" s="5380"/>
      <c r="AB236" s="5380"/>
      <c r="AC236" s="3662">
        <v>2</v>
      </c>
      <c r="AD236" s="5341" t="s">
        <v>680</v>
      </c>
      <c r="AE236" s="5115">
        <v>0.2</v>
      </c>
      <c r="AF236" s="3684">
        <f>AE236*M235</f>
        <v>184982</v>
      </c>
      <c r="AG236" s="3662">
        <f>SUM(BA236:BN236)</f>
        <v>184982</v>
      </c>
      <c r="AH236" s="3684" t="s">
        <v>122</v>
      </c>
      <c r="AI236" s="3684">
        <v>44091</v>
      </c>
      <c r="AJ236" s="3684">
        <f>SUM(BD236:BQ236)</f>
        <v>184982</v>
      </c>
      <c r="AK236" s="3684">
        <v>44091</v>
      </c>
      <c r="AL236" s="3684">
        <v>184982</v>
      </c>
      <c r="AM236" s="3662">
        <v>44452</v>
      </c>
      <c r="AN236" s="3684">
        <f t="shared" si="53"/>
        <v>184982</v>
      </c>
      <c r="AO236" s="3684">
        <v>44559</v>
      </c>
      <c r="AP236" s="3662">
        <f t="shared" si="56"/>
        <v>0</v>
      </c>
      <c r="AQ236" s="5127"/>
      <c r="AR236" s="3662"/>
      <c r="AS236" s="5134"/>
      <c r="AT236" s="5127"/>
      <c r="AU236" s="3662"/>
      <c r="AV236" s="3662"/>
      <c r="AW236" s="3662"/>
      <c r="AX236" s="3662"/>
      <c r="AY236" s="3662"/>
      <c r="AZ236" s="3662"/>
      <c r="BA236" s="5148"/>
      <c r="BB236" s="3684"/>
      <c r="BC236" s="3684"/>
      <c r="BD236" s="5148"/>
      <c r="BE236" s="5148"/>
      <c r="BF236" s="5148"/>
      <c r="BG236" s="5148"/>
      <c r="BH236" s="3684">
        <v>184982</v>
      </c>
      <c r="BI236" s="3684"/>
      <c r="BJ236" s="3684"/>
      <c r="BK236" s="3684"/>
      <c r="BL236" s="3684"/>
      <c r="BM236" s="3684"/>
      <c r="BN236" s="3684"/>
      <c r="BO236" s="5164"/>
      <c r="BP236" s="5164"/>
      <c r="BQ236" s="5164"/>
      <c r="BR236" s="5164"/>
      <c r="BS236" s="5164"/>
      <c r="BT236" s="5164"/>
      <c r="BU236" s="5164"/>
      <c r="BV236" s="3708">
        <v>184982</v>
      </c>
      <c r="BW236" s="5164"/>
      <c r="BX236" s="5164"/>
      <c r="BY236" s="5164"/>
      <c r="BZ236" s="5164"/>
      <c r="CA236" s="5164"/>
      <c r="CB236" s="5164"/>
      <c r="CC236" s="3662"/>
      <c r="CD236" s="3662"/>
      <c r="CE236" s="5170"/>
      <c r="CF236" s="5170"/>
      <c r="CG236" s="5170"/>
      <c r="CH236" s="5170"/>
    </row>
    <row r="237" s="4972" customFormat="1" ht="89.15" customHeight="1" spans="1:86">
      <c r="A237" s="3662"/>
      <c r="B237" s="3662"/>
      <c r="C237" s="3662"/>
      <c r="D237" s="5053"/>
      <c r="E237" s="3742"/>
      <c r="F237" s="5053"/>
      <c r="G237" s="5053"/>
      <c r="H237" s="3662"/>
      <c r="I237" s="5065"/>
      <c r="J237" s="5053"/>
      <c r="K237" s="3662"/>
      <c r="L237" s="5053"/>
      <c r="M237" s="3662"/>
      <c r="N237" s="5380"/>
      <c r="O237" s="5380"/>
      <c r="P237" s="5380"/>
      <c r="Q237" s="5380"/>
      <c r="R237" s="5380"/>
      <c r="S237" s="5380"/>
      <c r="T237" s="5380"/>
      <c r="U237" s="5380"/>
      <c r="V237" s="5380"/>
      <c r="W237" s="5380"/>
      <c r="X237" s="5380"/>
      <c r="Y237" s="5380"/>
      <c r="Z237" s="5380"/>
      <c r="AA237" s="5380"/>
      <c r="AB237" s="5380"/>
      <c r="AC237" s="3662">
        <v>3</v>
      </c>
      <c r="AD237" s="5341" t="s">
        <v>681</v>
      </c>
      <c r="AE237" s="5115">
        <v>0.58</v>
      </c>
      <c r="AF237" s="3684">
        <f>AE237*M235</f>
        <v>536447.8</v>
      </c>
      <c r="AG237" s="3684">
        <f>SUM(BA237:BN237)</f>
        <v>536447.8</v>
      </c>
      <c r="AH237" s="3684" t="s">
        <v>122</v>
      </c>
      <c r="AI237" s="3684">
        <v>44091</v>
      </c>
      <c r="AJ237" s="3684">
        <f>SUM(BD237:BQ237)</f>
        <v>536447.8</v>
      </c>
      <c r="AK237" s="3684">
        <v>44091</v>
      </c>
      <c r="AL237" s="3684">
        <v>536447.8</v>
      </c>
      <c r="AM237" s="3662">
        <v>44452</v>
      </c>
      <c r="AN237" s="3684">
        <f t="shared" si="53"/>
        <v>536447.8</v>
      </c>
      <c r="AO237" s="3684">
        <v>44559</v>
      </c>
      <c r="AP237" s="3662">
        <f t="shared" si="56"/>
        <v>0</v>
      </c>
      <c r="AQ237" s="5127"/>
      <c r="AR237" s="3662"/>
      <c r="AS237" s="5134"/>
      <c r="AT237" s="5127"/>
      <c r="AU237" s="3662"/>
      <c r="AV237" s="3662"/>
      <c r="AW237" s="3662"/>
      <c r="AX237" s="3662"/>
      <c r="AY237" s="3662"/>
      <c r="AZ237" s="3662"/>
      <c r="BA237" s="5148"/>
      <c r="BB237" s="3684"/>
      <c r="BC237" s="3684"/>
      <c r="BD237" s="5148"/>
      <c r="BE237" s="5148"/>
      <c r="BF237" s="5148"/>
      <c r="BG237" s="5148"/>
      <c r="BH237" s="3684">
        <v>536447.8</v>
      </c>
      <c r="BI237" s="3684"/>
      <c r="BJ237" s="3684"/>
      <c r="BK237" s="3684"/>
      <c r="BL237" s="3684"/>
      <c r="BM237" s="3684"/>
      <c r="BN237" s="3684"/>
      <c r="BO237" s="5164"/>
      <c r="BP237" s="5164"/>
      <c r="BQ237" s="5164"/>
      <c r="BR237" s="5164"/>
      <c r="BS237" s="5164"/>
      <c r="BT237" s="5164"/>
      <c r="BU237" s="5164"/>
      <c r="BV237" s="3708">
        <v>536447.8</v>
      </c>
      <c r="BW237" s="5164"/>
      <c r="BX237" s="5164"/>
      <c r="BY237" s="5164"/>
      <c r="BZ237" s="5164"/>
      <c r="CA237" s="5164"/>
      <c r="CB237" s="5164"/>
      <c r="CC237" s="3662"/>
      <c r="CD237" s="3662"/>
      <c r="CE237" s="5170"/>
      <c r="CF237" s="5170"/>
      <c r="CG237" s="5170"/>
      <c r="CH237" s="5170"/>
    </row>
    <row r="238" s="4972" customFormat="1" ht="61" customHeight="1" spans="1:86">
      <c r="A238" s="3662"/>
      <c r="B238" s="3662"/>
      <c r="C238" s="3662"/>
      <c r="D238" s="5053"/>
      <c r="E238" s="3742"/>
      <c r="F238" s="5053"/>
      <c r="G238" s="5053"/>
      <c r="H238" s="3662"/>
      <c r="I238" s="5062"/>
      <c r="J238" s="5053"/>
      <c r="K238" s="3662"/>
      <c r="L238" s="5053"/>
      <c r="M238" s="3662"/>
      <c r="N238" s="5380"/>
      <c r="O238" s="5380"/>
      <c r="P238" s="5380"/>
      <c r="Q238" s="5380"/>
      <c r="R238" s="5380"/>
      <c r="S238" s="5380"/>
      <c r="T238" s="5380"/>
      <c r="U238" s="5380"/>
      <c r="V238" s="5380"/>
      <c r="W238" s="5380"/>
      <c r="X238" s="5380"/>
      <c r="Y238" s="5380"/>
      <c r="Z238" s="5380"/>
      <c r="AA238" s="5380"/>
      <c r="AB238" s="5380"/>
      <c r="AC238" s="3744">
        <v>4</v>
      </c>
      <c r="AD238" s="5069" t="s">
        <v>682</v>
      </c>
      <c r="AE238" s="5115">
        <v>0.02</v>
      </c>
      <c r="AF238" s="3744">
        <f>M235*AE238</f>
        <v>18498.2</v>
      </c>
      <c r="AG238" s="3684">
        <f>SUM(BA238:BN238)</f>
        <v>27037.04</v>
      </c>
      <c r="AH238" s="3684" t="s">
        <v>122</v>
      </c>
      <c r="AI238" s="3684">
        <v>44091</v>
      </c>
      <c r="AJ238" s="3684">
        <f>SUM(BD238:BQ238)</f>
        <v>27037.04</v>
      </c>
      <c r="AK238" s="3662">
        <v>44091</v>
      </c>
      <c r="AL238" s="3684">
        <v>18498.2</v>
      </c>
      <c r="AM238" s="3684">
        <v>45663</v>
      </c>
      <c r="AN238" s="3684">
        <f t="shared" si="53"/>
        <v>18498.2</v>
      </c>
      <c r="AO238" s="3684">
        <v>45680</v>
      </c>
      <c r="AP238" s="3662">
        <f t="shared" si="56"/>
        <v>8538.84</v>
      </c>
      <c r="AQ238" s="5127"/>
      <c r="AR238" s="3662"/>
      <c r="AS238" s="5134"/>
      <c r="AT238" s="5127"/>
      <c r="AU238" s="3662"/>
      <c r="AV238" s="3662"/>
      <c r="AW238" s="3662"/>
      <c r="AX238" s="3662"/>
      <c r="AY238" s="3662"/>
      <c r="AZ238" s="3662"/>
      <c r="BA238" s="5148"/>
      <c r="BB238" s="3684"/>
      <c r="BC238" s="3684"/>
      <c r="BD238" s="5148"/>
      <c r="BE238" s="5148"/>
      <c r="BF238" s="5148"/>
      <c r="BG238" s="5148"/>
      <c r="BH238" s="3684">
        <v>27037.04</v>
      </c>
      <c r="BI238" s="3684"/>
      <c r="BJ238" s="3684"/>
      <c r="BK238" s="3684"/>
      <c r="BL238" s="3684"/>
      <c r="BM238" s="3684"/>
      <c r="BN238" s="3684"/>
      <c r="BO238" s="5127"/>
      <c r="BP238" s="5127"/>
      <c r="BQ238" s="5127"/>
      <c r="BR238" s="5127"/>
      <c r="BS238" s="5127"/>
      <c r="BT238" s="5127"/>
      <c r="BU238" s="5127"/>
      <c r="BV238" s="5162">
        <v>18498.2</v>
      </c>
      <c r="BW238" s="5127"/>
      <c r="BX238" s="5127"/>
      <c r="BY238" s="5127"/>
      <c r="BZ238" s="5127"/>
      <c r="CA238" s="5127"/>
      <c r="CB238" s="5127"/>
      <c r="CC238" s="3662"/>
      <c r="CD238" s="3662"/>
      <c r="CE238" s="5170"/>
      <c r="CF238" s="5170"/>
      <c r="CG238" s="5170"/>
      <c r="CH238" s="5170"/>
    </row>
    <row r="239" s="4972" customFormat="1" ht="61" customHeight="1" spans="1:86">
      <c r="A239" s="3662"/>
      <c r="B239" s="3662"/>
      <c r="C239" s="3662"/>
      <c r="D239" s="5053"/>
      <c r="E239" s="3742"/>
      <c r="F239" s="5053"/>
      <c r="G239" s="5053"/>
      <c r="H239" s="3662"/>
      <c r="I239" s="5062"/>
      <c r="J239" s="5053"/>
      <c r="K239" s="3662"/>
      <c r="L239" s="5053"/>
      <c r="M239" s="3662"/>
      <c r="N239" s="5380"/>
      <c r="O239" s="5380"/>
      <c r="P239" s="5380"/>
      <c r="Q239" s="5380"/>
      <c r="R239" s="5380"/>
      <c r="S239" s="5380"/>
      <c r="T239" s="5380"/>
      <c r="U239" s="5380"/>
      <c r="V239" s="5380"/>
      <c r="W239" s="5380"/>
      <c r="X239" s="5380"/>
      <c r="Y239" s="5380"/>
      <c r="Z239" s="5380"/>
      <c r="AA239" s="5380"/>
      <c r="AB239" s="5380"/>
      <c r="AC239" s="3667"/>
      <c r="AD239" s="5062"/>
      <c r="AE239" s="5115"/>
      <c r="AF239" s="3667"/>
      <c r="AG239" s="3684">
        <v>-8538.84</v>
      </c>
      <c r="AH239" s="3684" t="s">
        <v>122</v>
      </c>
      <c r="AI239" s="3684">
        <v>45904</v>
      </c>
      <c r="AJ239" s="3684">
        <v>-8538.84</v>
      </c>
      <c r="AK239" s="3684">
        <v>45904</v>
      </c>
      <c r="AL239" s="3684"/>
      <c r="AM239" s="3684"/>
      <c r="AN239" s="3684"/>
      <c r="AO239" s="3684"/>
      <c r="AP239" s="3662">
        <f t="shared" si="56"/>
        <v>-8538.84</v>
      </c>
      <c r="AQ239" s="5127"/>
      <c r="AR239" s="3662"/>
      <c r="AS239" s="5134"/>
      <c r="AT239" s="5127"/>
      <c r="AU239" s="3662"/>
      <c r="AV239" s="3662"/>
      <c r="AW239" s="3662"/>
      <c r="AX239" s="3662"/>
      <c r="AY239" s="3662"/>
      <c r="AZ239" s="3662"/>
      <c r="BA239" s="5148"/>
      <c r="BB239" s="3684"/>
      <c r="BC239" s="3684"/>
      <c r="BD239" s="5148"/>
      <c r="BE239" s="5148"/>
      <c r="BF239" s="5148"/>
      <c r="BG239" s="5148"/>
      <c r="BH239" s="3684">
        <v>-8538.84</v>
      </c>
      <c r="BI239" s="3684"/>
      <c r="BJ239" s="3684"/>
      <c r="BK239" s="3684"/>
      <c r="BL239" s="3684"/>
      <c r="BM239" s="3684"/>
      <c r="BN239" s="3684"/>
      <c r="BO239" s="5127"/>
      <c r="BP239" s="5127"/>
      <c r="BQ239" s="5127"/>
      <c r="BR239" s="5127"/>
      <c r="BS239" s="5127"/>
      <c r="BT239" s="5127"/>
      <c r="BU239" s="5127"/>
      <c r="BV239" s="5162"/>
      <c r="BW239" s="5127"/>
      <c r="BX239" s="5127"/>
      <c r="BY239" s="5127"/>
      <c r="BZ239" s="5127"/>
      <c r="CA239" s="5127"/>
      <c r="CB239" s="5127"/>
      <c r="CC239" s="3662"/>
      <c r="CD239" s="3662"/>
      <c r="CE239" s="5170"/>
      <c r="CF239" s="5170"/>
      <c r="CG239" s="5170"/>
      <c r="CH239" s="5170"/>
    </row>
    <row r="240" s="4965" customFormat="1" ht="61" customHeight="1" spans="1:86">
      <c r="A240" s="3812">
        <v>55</v>
      </c>
      <c r="B240" s="3684" t="s">
        <v>173</v>
      </c>
      <c r="C240" s="3684">
        <v>43980</v>
      </c>
      <c r="D240" s="5055" t="s">
        <v>683</v>
      </c>
      <c r="E240" s="5060" t="s">
        <v>684</v>
      </c>
      <c r="F240" s="5060" t="s">
        <v>685</v>
      </c>
      <c r="G240" s="5060" t="s">
        <v>686</v>
      </c>
      <c r="H240" s="3684" t="s">
        <v>240</v>
      </c>
      <c r="I240" s="4200"/>
      <c r="J240" s="5060" t="s">
        <v>215</v>
      </c>
      <c r="K240" s="3684">
        <v>321380</v>
      </c>
      <c r="L240" s="5060" t="s">
        <v>243</v>
      </c>
      <c r="M240" s="5381">
        <f>SUM(N240:AA247)</f>
        <v>5832724</v>
      </c>
      <c r="N240" s="3684"/>
      <c r="O240" s="3684"/>
      <c r="P240" s="3684">
        <v>685341</v>
      </c>
      <c r="Q240" s="3684"/>
      <c r="R240" s="3684"/>
      <c r="S240" s="3684"/>
      <c r="T240" s="3684"/>
      <c r="U240" s="3684"/>
      <c r="V240" s="3684"/>
      <c r="W240" s="3662"/>
      <c r="X240" s="3662">
        <v>0</v>
      </c>
      <c r="Y240" s="3662"/>
      <c r="Z240" s="3662"/>
      <c r="AA240" s="3684">
        <v>5147383</v>
      </c>
      <c r="AB240" s="5060" t="s">
        <v>687</v>
      </c>
      <c r="AC240" s="3684">
        <v>1</v>
      </c>
      <c r="AD240" s="5060" t="s">
        <v>245</v>
      </c>
      <c r="AE240" s="3684">
        <v>0.1</v>
      </c>
      <c r="AF240" s="3684">
        <v>583272.4</v>
      </c>
      <c r="AG240" s="3684">
        <f>SUM(BA240:BN240)</f>
        <v>583272.4</v>
      </c>
      <c r="AH240" s="3684" t="s">
        <v>206</v>
      </c>
      <c r="AI240" s="3684">
        <v>44033</v>
      </c>
      <c r="AJ240" s="3684" t="s">
        <v>171</v>
      </c>
      <c r="AK240" s="3684" t="s">
        <v>171</v>
      </c>
      <c r="AL240" s="3684">
        <v>583272.4</v>
      </c>
      <c r="AM240" s="3684">
        <v>44033</v>
      </c>
      <c r="AN240" s="3684">
        <f t="shared" ref="AN239:AN249" si="57">SUM(BO240:CB240)</f>
        <v>583272.4</v>
      </c>
      <c r="AO240" s="3684">
        <v>44043</v>
      </c>
      <c r="AP240" s="3662">
        <f t="shared" si="56"/>
        <v>0</v>
      </c>
      <c r="AQ240" s="5148"/>
      <c r="AR240" s="3684"/>
      <c r="AS240" s="5408"/>
      <c r="AT240" s="5127"/>
      <c r="AU240" s="3662">
        <f>SUM(AG240:AG247)</f>
        <v>1896000</v>
      </c>
      <c r="AV240" s="3662">
        <f>SUM(AL240:AL247)</f>
        <v>1896000</v>
      </c>
      <c r="AW240" s="3662">
        <f>SUM(AN240:AN247)</f>
        <v>1896000</v>
      </c>
      <c r="AX240" s="3662">
        <f>M240-AU240</f>
        <v>3936724</v>
      </c>
      <c r="AY240" s="3662">
        <f>AU240-AV240</f>
        <v>0</v>
      </c>
      <c r="AZ240" s="3662">
        <f>AV240-AW240</f>
        <v>0</v>
      </c>
      <c r="BA240" s="3684"/>
      <c r="BB240" s="3684"/>
      <c r="BC240" s="5148">
        <v>68534.1</v>
      </c>
      <c r="BD240" s="5148"/>
      <c r="BE240" s="5148"/>
      <c r="BF240" s="3684"/>
      <c r="BG240" s="3684"/>
      <c r="BH240" s="3684"/>
      <c r="BI240" s="3684"/>
      <c r="BJ240" s="5148"/>
      <c r="BK240" s="5148"/>
      <c r="BL240" s="5148"/>
      <c r="BM240" s="5148"/>
      <c r="BN240" s="5148">
        <v>514738.3</v>
      </c>
      <c r="BO240" s="5148"/>
      <c r="BP240" s="5148"/>
      <c r="BQ240" s="5148">
        <v>68534.1</v>
      </c>
      <c r="BR240" s="5148"/>
      <c r="BS240" s="5148"/>
      <c r="BT240" s="3684"/>
      <c r="BU240" s="3684"/>
      <c r="BV240" s="3684"/>
      <c r="BW240" s="3684"/>
      <c r="BX240" s="5148"/>
      <c r="BY240" s="5148"/>
      <c r="BZ240" s="5148"/>
      <c r="CA240" s="5148"/>
      <c r="CB240" s="5148">
        <v>514738.3</v>
      </c>
      <c r="CC240" s="3814" t="s">
        <v>247</v>
      </c>
      <c r="CD240" s="3814" t="s">
        <v>154</v>
      </c>
      <c r="CE240" s="5169"/>
      <c r="CF240" s="5169"/>
      <c r="CG240" s="5169"/>
      <c r="CH240" s="5169"/>
    </row>
    <row r="241" s="4965" customFormat="1" ht="61" customHeight="1" spans="1:86">
      <c r="A241" s="3812"/>
      <c r="B241" s="3684"/>
      <c r="C241" s="3684"/>
      <c r="D241" s="5060"/>
      <c r="E241" s="5060"/>
      <c r="F241" s="5060"/>
      <c r="G241" s="5060"/>
      <c r="H241" s="3684"/>
      <c r="I241" s="4201"/>
      <c r="J241" s="5060"/>
      <c r="K241" s="3684"/>
      <c r="L241" s="5060"/>
      <c r="M241" s="5381"/>
      <c r="N241" s="3684"/>
      <c r="O241" s="3684"/>
      <c r="P241" s="3684"/>
      <c r="Q241" s="3684"/>
      <c r="R241" s="3684"/>
      <c r="S241" s="3684"/>
      <c r="T241" s="3684"/>
      <c r="U241" s="3684"/>
      <c r="V241" s="3684"/>
      <c r="W241" s="3662"/>
      <c r="X241" s="3662"/>
      <c r="Y241" s="3662"/>
      <c r="Z241" s="3662"/>
      <c r="AA241" s="3684"/>
      <c r="AB241" s="5060"/>
      <c r="AC241" s="3684">
        <v>2</v>
      </c>
      <c r="AD241" s="5060" t="s">
        <v>249</v>
      </c>
      <c r="AE241" s="3684">
        <v>0.5</v>
      </c>
      <c r="AF241" s="3684">
        <v>2916362</v>
      </c>
      <c r="AG241" s="3684">
        <f>SUM(BA241:BN241)</f>
        <v>1312727.6</v>
      </c>
      <c r="AH241" s="3684" t="s">
        <v>122</v>
      </c>
      <c r="AI241" s="3684">
        <v>44553</v>
      </c>
      <c r="AJ241" s="3684">
        <v>1312727.6</v>
      </c>
      <c r="AK241" s="3684">
        <v>44553</v>
      </c>
      <c r="AL241" s="3662">
        <v>1312727.6</v>
      </c>
      <c r="AM241" s="3684">
        <v>44859</v>
      </c>
      <c r="AN241" s="3684">
        <f t="shared" si="57"/>
        <v>500000</v>
      </c>
      <c r="AO241" s="3684">
        <v>44865</v>
      </c>
      <c r="AP241" s="3662">
        <f>AG241-AN241-AN242-AN243</f>
        <v>112727.6</v>
      </c>
      <c r="AQ241" s="5148"/>
      <c r="AR241" s="3684"/>
      <c r="AS241" s="5408"/>
      <c r="AT241" s="5127"/>
      <c r="AU241" s="3662"/>
      <c r="AV241" s="3662"/>
      <c r="AW241" s="3662"/>
      <c r="AX241" s="3662"/>
      <c r="AY241" s="3662"/>
      <c r="AZ241" s="3662"/>
      <c r="BA241" s="3684"/>
      <c r="BB241" s="3684"/>
      <c r="BC241" s="5148">
        <f>216934.19-BC240</f>
        <v>148400.09</v>
      </c>
      <c r="BD241" s="5148"/>
      <c r="BE241" s="5148"/>
      <c r="BF241" s="3684"/>
      <c r="BG241" s="3684"/>
      <c r="BH241" s="3684"/>
      <c r="BI241" s="3684"/>
      <c r="BJ241" s="5148"/>
      <c r="BK241" s="5148"/>
      <c r="BL241" s="5148"/>
      <c r="BM241" s="5148"/>
      <c r="BN241" s="5148">
        <v>1164327.51</v>
      </c>
      <c r="BO241" s="5148"/>
      <c r="BP241" s="5148"/>
      <c r="BQ241" s="5148">
        <v>0</v>
      </c>
      <c r="BR241" s="5164"/>
      <c r="BS241" s="5164"/>
      <c r="BT241" s="3708"/>
      <c r="BU241" s="3708"/>
      <c r="BV241" s="3708"/>
      <c r="BW241" s="3708"/>
      <c r="BX241" s="5164"/>
      <c r="BY241" s="5164"/>
      <c r="BZ241" s="5164"/>
      <c r="CA241" s="5164"/>
      <c r="CB241" s="5148">
        <v>500000</v>
      </c>
      <c r="CC241" s="3662"/>
      <c r="CD241" s="3662"/>
      <c r="CE241" s="5169"/>
      <c r="CF241" s="5169"/>
      <c r="CG241" s="5169"/>
      <c r="CH241" s="5169"/>
    </row>
    <row r="242" s="4965" customFormat="1" ht="61" customHeight="1" spans="1:86">
      <c r="A242" s="3812"/>
      <c r="B242" s="3684"/>
      <c r="C242" s="3684"/>
      <c r="D242" s="5060"/>
      <c r="E242" s="5060"/>
      <c r="F242" s="5060"/>
      <c r="G242" s="5060"/>
      <c r="H242" s="3684"/>
      <c r="I242" s="4201"/>
      <c r="J242" s="5060"/>
      <c r="K242" s="3684"/>
      <c r="L242" s="5060"/>
      <c r="M242" s="5381"/>
      <c r="N242" s="3684"/>
      <c r="O242" s="3684"/>
      <c r="P242" s="3684"/>
      <c r="Q242" s="3684"/>
      <c r="R242" s="3684"/>
      <c r="S242" s="3684"/>
      <c r="T242" s="3684"/>
      <c r="U242" s="3684"/>
      <c r="V242" s="3684"/>
      <c r="W242" s="3662"/>
      <c r="X242" s="3662"/>
      <c r="Y242" s="3662"/>
      <c r="Z242" s="3662"/>
      <c r="AA242" s="3684"/>
      <c r="AB242" s="5060"/>
      <c r="AC242" s="3684"/>
      <c r="AD242" s="5060"/>
      <c r="AE242" s="3684"/>
      <c r="AF242" s="3684"/>
      <c r="AG242" s="3684"/>
      <c r="AH242" s="3684"/>
      <c r="AI242" s="3684"/>
      <c r="AJ242" s="3684"/>
      <c r="AK242" s="3684"/>
      <c r="AL242" s="3662"/>
      <c r="AM242" s="3684"/>
      <c r="AN242" s="3684">
        <f t="shared" si="57"/>
        <v>500000</v>
      </c>
      <c r="AO242" s="3684">
        <v>44895</v>
      </c>
      <c r="AP242" s="3662"/>
      <c r="AQ242" s="5319" t="s">
        <v>688</v>
      </c>
      <c r="AR242" s="3684"/>
      <c r="AS242" s="5408"/>
      <c r="AT242" s="5127"/>
      <c r="AU242" s="3662"/>
      <c r="AV242" s="3662"/>
      <c r="AW242" s="3662"/>
      <c r="AX242" s="3662"/>
      <c r="AY242" s="3662"/>
      <c r="AZ242" s="3662"/>
      <c r="BA242" s="3684"/>
      <c r="BB242" s="3684"/>
      <c r="BC242" s="5148"/>
      <c r="BD242" s="5148"/>
      <c r="BE242" s="5148"/>
      <c r="BF242" s="3684"/>
      <c r="BG242" s="3684"/>
      <c r="BH242" s="3684"/>
      <c r="BI242" s="3684"/>
      <c r="BJ242" s="5148"/>
      <c r="BK242" s="5148"/>
      <c r="BL242" s="5148"/>
      <c r="BM242" s="5148"/>
      <c r="BN242" s="5148"/>
      <c r="BO242" s="5148"/>
      <c r="BP242" s="5148"/>
      <c r="BQ242" s="5148">
        <f>BC241</f>
        <v>148400.09</v>
      </c>
      <c r="BR242" s="5164"/>
      <c r="BS242" s="5164"/>
      <c r="BT242" s="3708"/>
      <c r="BU242" s="3708"/>
      <c r="BV242" s="3708"/>
      <c r="BW242" s="3708"/>
      <c r="BX242" s="5164"/>
      <c r="BY242" s="5164"/>
      <c r="BZ242" s="5164"/>
      <c r="CA242" s="5164"/>
      <c r="CB242" s="5148">
        <v>351599.91</v>
      </c>
      <c r="CC242" s="3662"/>
      <c r="CD242" s="3662"/>
      <c r="CE242" s="5169"/>
      <c r="CF242" s="5169"/>
      <c r="CG242" s="5169"/>
      <c r="CH242" s="5169"/>
    </row>
    <row r="243" s="4965" customFormat="1" ht="61" customHeight="1" spans="1:86">
      <c r="A243" s="3812"/>
      <c r="B243" s="3684"/>
      <c r="C243" s="3684"/>
      <c r="D243" s="5060"/>
      <c r="E243" s="5060"/>
      <c r="F243" s="5060"/>
      <c r="G243" s="5060"/>
      <c r="H243" s="3684"/>
      <c r="I243" s="4201"/>
      <c r="J243" s="5060"/>
      <c r="K243" s="3684"/>
      <c r="L243" s="5060"/>
      <c r="M243" s="5381"/>
      <c r="N243" s="3684"/>
      <c r="O243" s="3684"/>
      <c r="P243" s="3684"/>
      <c r="Q243" s="3684"/>
      <c r="R243" s="3684"/>
      <c r="S243" s="3684"/>
      <c r="T243" s="3684"/>
      <c r="U243" s="3684"/>
      <c r="V243" s="3684"/>
      <c r="W243" s="3662"/>
      <c r="X243" s="3662"/>
      <c r="Y243" s="3662"/>
      <c r="Z243" s="3662"/>
      <c r="AA243" s="3684"/>
      <c r="AB243" s="5060"/>
      <c r="AC243" s="3684"/>
      <c r="AD243" s="5060"/>
      <c r="AE243" s="3684"/>
      <c r="AF243" s="3684"/>
      <c r="AG243" s="3684"/>
      <c r="AH243" s="3684"/>
      <c r="AI243" s="3684"/>
      <c r="AJ243" s="3684"/>
      <c r="AK243" s="3684"/>
      <c r="AL243" s="3662"/>
      <c r="AM243" s="3684"/>
      <c r="AN243" s="3684">
        <f t="shared" si="57"/>
        <v>200000</v>
      </c>
      <c r="AO243" s="3684">
        <v>44916</v>
      </c>
      <c r="AP243" s="3662"/>
      <c r="AQ243" s="5319"/>
      <c r="AR243" s="3684"/>
      <c r="AS243" s="5408"/>
      <c r="AT243" s="5127"/>
      <c r="AU243" s="3662"/>
      <c r="AV243" s="3662"/>
      <c r="AW243" s="3662"/>
      <c r="AX243" s="3662"/>
      <c r="AY243" s="3662"/>
      <c r="AZ243" s="3662"/>
      <c r="BA243" s="3684"/>
      <c r="BB243" s="3684"/>
      <c r="BC243" s="5148"/>
      <c r="BD243" s="5148"/>
      <c r="BE243" s="5148"/>
      <c r="BF243" s="3684"/>
      <c r="BG243" s="3684"/>
      <c r="BH243" s="3684"/>
      <c r="BI243" s="3684"/>
      <c r="BJ243" s="5148"/>
      <c r="BK243" s="5148"/>
      <c r="BL243" s="5148"/>
      <c r="BM243" s="5148"/>
      <c r="BN243" s="5148"/>
      <c r="BO243" s="5148"/>
      <c r="BP243" s="5148"/>
      <c r="BQ243" s="5148">
        <v>0</v>
      </c>
      <c r="BR243" s="5164"/>
      <c r="BS243" s="5164"/>
      <c r="BT243" s="3708"/>
      <c r="BU243" s="3708"/>
      <c r="BV243" s="3708"/>
      <c r="BW243" s="3708"/>
      <c r="BX243" s="5164"/>
      <c r="BY243" s="5164"/>
      <c r="BZ243" s="5164"/>
      <c r="CA243" s="5164"/>
      <c r="CB243" s="5148">
        <v>200000</v>
      </c>
      <c r="CC243" s="3662"/>
      <c r="CD243" s="3662"/>
      <c r="CE243" s="5169"/>
      <c r="CF243" s="5169"/>
      <c r="CG243" s="5169"/>
      <c r="CH243" s="5169"/>
    </row>
    <row r="244" s="4965" customFormat="1" ht="61" customHeight="1" spans="1:86">
      <c r="A244" s="3812"/>
      <c r="B244" s="3684"/>
      <c r="C244" s="3684"/>
      <c r="D244" s="5060"/>
      <c r="E244" s="5060"/>
      <c r="F244" s="5060"/>
      <c r="G244" s="5060"/>
      <c r="H244" s="3684"/>
      <c r="I244" s="4201"/>
      <c r="J244" s="5060"/>
      <c r="K244" s="3684"/>
      <c r="L244" s="5060"/>
      <c r="M244" s="5381"/>
      <c r="N244" s="3684"/>
      <c r="O244" s="3684"/>
      <c r="P244" s="3684"/>
      <c r="Q244" s="3684"/>
      <c r="R244" s="3684"/>
      <c r="S244" s="3684"/>
      <c r="T244" s="3684"/>
      <c r="U244" s="3684"/>
      <c r="V244" s="3684"/>
      <c r="W244" s="3662"/>
      <c r="X244" s="3662"/>
      <c r="Y244" s="3662"/>
      <c r="Z244" s="3662"/>
      <c r="AA244" s="3684"/>
      <c r="AB244" s="5060"/>
      <c r="AC244" s="3684"/>
      <c r="AD244" s="5060"/>
      <c r="AE244" s="3684"/>
      <c r="AF244" s="3684"/>
      <c r="AG244" s="3684"/>
      <c r="AH244" s="3684"/>
      <c r="AI244" s="3684"/>
      <c r="AJ244" s="3684"/>
      <c r="AK244" s="3684"/>
      <c r="AL244" s="3662"/>
      <c r="AM244" s="3684"/>
      <c r="AN244" s="3684">
        <f t="shared" si="57"/>
        <v>112727.6</v>
      </c>
      <c r="AO244" s="3684">
        <v>45040</v>
      </c>
      <c r="AP244" s="3662"/>
      <c r="AQ244" s="5319" t="s">
        <v>689</v>
      </c>
      <c r="AR244" s="3684"/>
      <c r="AS244" s="5408"/>
      <c r="AT244" s="5127"/>
      <c r="AU244" s="3662"/>
      <c r="AV244" s="3662"/>
      <c r="AW244" s="3662"/>
      <c r="AX244" s="3662"/>
      <c r="AY244" s="3662"/>
      <c r="AZ244" s="3662"/>
      <c r="BA244" s="3684"/>
      <c r="BB244" s="3684"/>
      <c r="BC244" s="5148"/>
      <c r="BD244" s="5148"/>
      <c r="BE244" s="5148"/>
      <c r="BF244" s="3684"/>
      <c r="BG244" s="3684"/>
      <c r="BH244" s="3684"/>
      <c r="BI244" s="3684"/>
      <c r="BJ244" s="5148"/>
      <c r="BK244" s="5148"/>
      <c r="BL244" s="5148"/>
      <c r="BM244" s="5148"/>
      <c r="BN244" s="5148"/>
      <c r="BO244" s="5148"/>
      <c r="BP244" s="5148"/>
      <c r="BQ244" s="5148">
        <v>0</v>
      </c>
      <c r="BR244" s="5148"/>
      <c r="BS244" s="5148"/>
      <c r="BT244" s="5148"/>
      <c r="BU244" s="5148"/>
      <c r="BV244" s="5148"/>
      <c r="BW244" s="3684"/>
      <c r="BX244" s="3684"/>
      <c r="BY244" s="3684"/>
      <c r="BZ244" s="3684"/>
      <c r="CA244" s="3684"/>
      <c r="CB244" s="5127">
        <v>112727.6</v>
      </c>
      <c r="CC244" s="3662"/>
      <c r="CD244" s="3662"/>
      <c r="CE244" s="5169"/>
      <c r="CF244" s="5169"/>
      <c r="CG244" s="5169"/>
      <c r="CH244" s="5169"/>
    </row>
    <row r="245" s="4965" customFormat="1" ht="61" customHeight="1" spans="1:86">
      <c r="A245" s="3812"/>
      <c r="B245" s="3684"/>
      <c r="C245" s="3684"/>
      <c r="D245" s="5060"/>
      <c r="E245" s="5060"/>
      <c r="F245" s="5060"/>
      <c r="G245" s="5060"/>
      <c r="H245" s="3684"/>
      <c r="I245" s="4201"/>
      <c r="J245" s="5060"/>
      <c r="K245" s="3684"/>
      <c r="L245" s="5060"/>
      <c r="M245" s="5381"/>
      <c r="N245" s="3684"/>
      <c r="O245" s="3684"/>
      <c r="P245" s="3684"/>
      <c r="Q245" s="3684"/>
      <c r="R245" s="3684"/>
      <c r="S245" s="3684"/>
      <c r="T245" s="3684"/>
      <c r="U245" s="3684"/>
      <c r="V245" s="3684"/>
      <c r="W245" s="3662"/>
      <c r="X245" s="3662"/>
      <c r="Y245" s="3662"/>
      <c r="Z245" s="3662"/>
      <c r="AA245" s="3684"/>
      <c r="AB245" s="5060"/>
      <c r="AC245" s="3684">
        <v>3</v>
      </c>
      <c r="AD245" s="5060" t="s">
        <v>253</v>
      </c>
      <c r="AE245" s="3684">
        <v>0.2</v>
      </c>
      <c r="AF245" s="3684">
        <v>1166544.8</v>
      </c>
      <c r="AG245" s="3662">
        <f t="shared" ref="AG245:AG265" si="58">SUM(BA245:BN245)</f>
        <v>0</v>
      </c>
      <c r="AH245" s="3684"/>
      <c r="AI245" s="3684"/>
      <c r="AJ245" s="3684">
        <v>0</v>
      </c>
      <c r="AK245" s="3684"/>
      <c r="AL245" s="3684"/>
      <c r="AM245" s="3684"/>
      <c r="AN245" s="3662">
        <f t="shared" si="57"/>
        <v>0</v>
      </c>
      <c r="AO245" s="3684"/>
      <c r="AP245" s="3662">
        <f>AG245-AN245</f>
        <v>0</v>
      </c>
      <c r="AQ245" s="5148"/>
      <c r="AR245" s="3684"/>
      <c r="AS245" s="5408"/>
      <c r="AT245" s="5127"/>
      <c r="AU245" s="3662"/>
      <c r="AV245" s="3662"/>
      <c r="AW245" s="3662"/>
      <c r="AX245" s="3662"/>
      <c r="AY245" s="3662"/>
      <c r="AZ245" s="3662"/>
      <c r="BA245" s="3684"/>
      <c r="BB245" s="3684"/>
      <c r="BC245" s="5148"/>
      <c r="BD245" s="5148"/>
      <c r="BE245" s="5148"/>
      <c r="BF245" s="3684"/>
      <c r="BG245" s="3684"/>
      <c r="BH245" s="3684"/>
      <c r="BI245" s="3684"/>
      <c r="BJ245" s="5148"/>
      <c r="BK245" s="5148"/>
      <c r="BL245" s="5148"/>
      <c r="BM245" s="5148"/>
      <c r="BN245" s="5148"/>
      <c r="BO245" s="5148"/>
      <c r="BP245" s="5148"/>
      <c r="BQ245" s="5148"/>
      <c r="BR245" s="5148"/>
      <c r="BS245" s="5148"/>
      <c r="BT245" s="5148"/>
      <c r="BU245" s="5148"/>
      <c r="BV245" s="5148"/>
      <c r="BW245" s="3684"/>
      <c r="BX245" s="3684"/>
      <c r="BY245" s="3684"/>
      <c r="BZ245" s="3684"/>
      <c r="CA245" s="3684"/>
      <c r="CB245" s="5127"/>
      <c r="CC245" s="3662"/>
      <c r="CD245" s="3662"/>
      <c r="CE245" s="5169"/>
      <c r="CF245" s="5169"/>
      <c r="CG245" s="5169"/>
      <c r="CH245" s="5169"/>
    </row>
    <row r="246" s="4965" customFormat="1" ht="61" customHeight="1" spans="1:86">
      <c r="A246" s="3812"/>
      <c r="B246" s="3684"/>
      <c r="C246" s="3684"/>
      <c r="D246" s="5060"/>
      <c r="E246" s="5060"/>
      <c r="F246" s="5060"/>
      <c r="G246" s="5060"/>
      <c r="H246" s="3684"/>
      <c r="I246" s="4201"/>
      <c r="J246" s="5060"/>
      <c r="K246" s="3684"/>
      <c r="L246" s="5060"/>
      <c r="M246" s="5381"/>
      <c r="N246" s="3684"/>
      <c r="O246" s="3684"/>
      <c r="P246" s="3684"/>
      <c r="Q246" s="3684"/>
      <c r="R246" s="3684"/>
      <c r="S246" s="3684"/>
      <c r="T246" s="3684"/>
      <c r="U246" s="3684"/>
      <c r="V246" s="3684"/>
      <c r="W246" s="3662"/>
      <c r="X246" s="3662"/>
      <c r="Y246" s="3662"/>
      <c r="Z246" s="3662"/>
      <c r="AA246" s="3684"/>
      <c r="AB246" s="5060"/>
      <c r="AC246" s="3684">
        <v>4</v>
      </c>
      <c r="AD246" s="5060" t="s">
        <v>256</v>
      </c>
      <c r="AE246" s="3684">
        <v>0.1</v>
      </c>
      <c r="AF246" s="3684">
        <v>583272.4</v>
      </c>
      <c r="AG246" s="3662">
        <f t="shared" si="58"/>
        <v>0</v>
      </c>
      <c r="AH246" s="5060"/>
      <c r="AI246" s="3684"/>
      <c r="AJ246" s="3684">
        <v>0</v>
      </c>
      <c r="AK246" s="3684"/>
      <c r="AL246" s="3684"/>
      <c r="AM246" s="3684"/>
      <c r="AN246" s="3662">
        <f t="shared" si="57"/>
        <v>0</v>
      </c>
      <c r="AO246" s="3684"/>
      <c r="AP246" s="3662">
        <f>AG246-AN246</f>
        <v>0</v>
      </c>
      <c r="AQ246" s="5148"/>
      <c r="AR246" s="3684"/>
      <c r="AS246" s="5408"/>
      <c r="AT246" s="5127"/>
      <c r="AU246" s="3662"/>
      <c r="AV246" s="3662"/>
      <c r="AW246" s="3662"/>
      <c r="AX246" s="3662"/>
      <c r="AY246" s="3662"/>
      <c r="AZ246" s="3662"/>
      <c r="BA246" s="3684"/>
      <c r="BB246" s="3684"/>
      <c r="BC246" s="5148"/>
      <c r="BD246" s="5148"/>
      <c r="BE246" s="5148"/>
      <c r="BF246" s="3684"/>
      <c r="BG246" s="3684"/>
      <c r="BH246" s="3684"/>
      <c r="BI246" s="3684"/>
      <c r="BJ246" s="5148"/>
      <c r="BK246" s="5148"/>
      <c r="BL246" s="5148"/>
      <c r="BM246" s="5148"/>
      <c r="BN246" s="5148"/>
      <c r="BO246" s="5148"/>
      <c r="BP246" s="5148"/>
      <c r="BQ246" s="5148"/>
      <c r="BR246" s="5148"/>
      <c r="BS246" s="5148"/>
      <c r="BT246" s="5148"/>
      <c r="BU246" s="5148"/>
      <c r="BV246" s="5148"/>
      <c r="BW246" s="3684"/>
      <c r="BX246" s="3684"/>
      <c r="BY246" s="3684"/>
      <c r="BZ246" s="3684"/>
      <c r="CA246" s="3684"/>
      <c r="CB246" s="5127"/>
      <c r="CC246" s="3662"/>
      <c r="CD246" s="3662"/>
      <c r="CE246" s="5169"/>
      <c r="CF246" s="5169"/>
      <c r="CG246" s="5169"/>
      <c r="CH246" s="5169"/>
    </row>
    <row r="247" s="4965" customFormat="1" ht="61" customHeight="1" spans="1:86">
      <c r="A247" s="3812"/>
      <c r="B247" s="3684"/>
      <c r="C247" s="3684"/>
      <c r="D247" s="5060"/>
      <c r="E247" s="5060"/>
      <c r="F247" s="5060"/>
      <c r="G247" s="5060"/>
      <c r="H247" s="3684"/>
      <c r="I247" s="4202"/>
      <c r="J247" s="5060"/>
      <c r="K247" s="3684"/>
      <c r="L247" s="5060"/>
      <c r="M247" s="5381"/>
      <c r="N247" s="3684"/>
      <c r="O247" s="3684"/>
      <c r="P247" s="3684"/>
      <c r="Q247" s="3684"/>
      <c r="R247" s="3684"/>
      <c r="S247" s="3684"/>
      <c r="T247" s="3684"/>
      <c r="U247" s="3684"/>
      <c r="V247" s="3684"/>
      <c r="W247" s="3662"/>
      <c r="X247" s="3662"/>
      <c r="Y247" s="3662"/>
      <c r="Z247" s="3662"/>
      <c r="AA247" s="3684"/>
      <c r="AB247" s="5060"/>
      <c r="AC247" s="3684">
        <v>5</v>
      </c>
      <c r="AD247" s="5060" t="s">
        <v>261</v>
      </c>
      <c r="AE247" s="3684">
        <v>0.1</v>
      </c>
      <c r="AF247" s="3684">
        <v>583272.4</v>
      </c>
      <c r="AG247" s="3662">
        <f t="shared" si="58"/>
        <v>0</v>
      </c>
      <c r="AH247" s="3684"/>
      <c r="AI247" s="3684"/>
      <c r="AJ247" s="3684">
        <v>0</v>
      </c>
      <c r="AK247" s="3684"/>
      <c r="AL247" s="3684"/>
      <c r="AM247" s="3684"/>
      <c r="AN247" s="3662">
        <f t="shared" si="57"/>
        <v>0</v>
      </c>
      <c r="AO247" s="3684"/>
      <c r="AP247" s="3662">
        <f>AG247-AN247</f>
        <v>0</v>
      </c>
      <c r="AQ247" s="5148"/>
      <c r="AR247" s="3684"/>
      <c r="AS247" s="5408"/>
      <c r="AT247" s="5127"/>
      <c r="AU247" s="3662"/>
      <c r="AV247" s="3662"/>
      <c r="AW247" s="3662"/>
      <c r="AX247" s="3662"/>
      <c r="AY247" s="3662"/>
      <c r="AZ247" s="3662"/>
      <c r="BA247" s="3684"/>
      <c r="BB247" s="3684"/>
      <c r="BC247" s="5148"/>
      <c r="BD247" s="5148"/>
      <c r="BE247" s="5148"/>
      <c r="BF247" s="3684"/>
      <c r="BG247" s="3684"/>
      <c r="BH247" s="3684"/>
      <c r="BI247" s="3684"/>
      <c r="BJ247" s="5148"/>
      <c r="BK247" s="5148"/>
      <c r="BL247" s="5148"/>
      <c r="BM247" s="5148"/>
      <c r="BN247" s="5148"/>
      <c r="BO247" s="5148"/>
      <c r="BP247" s="5148"/>
      <c r="BQ247" s="5148"/>
      <c r="BR247" s="5148"/>
      <c r="BS247" s="5148"/>
      <c r="BT247" s="5148"/>
      <c r="BU247" s="5148"/>
      <c r="BV247" s="5148"/>
      <c r="BW247" s="3684"/>
      <c r="BX247" s="3684"/>
      <c r="BY247" s="3684"/>
      <c r="BZ247" s="3684"/>
      <c r="CA247" s="3684"/>
      <c r="CB247" s="5127"/>
      <c r="CC247" s="3662"/>
      <c r="CD247" s="3662"/>
      <c r="CE247" s="5169"/>
      <c r="CF247" s="5169"/>
      <c r="CG247" s="5169"/>
      <c r="CH247" s="5169"/>
    </row>
    <row r="248" s="4965" customFormat="1" ht="67.5" customHeight="1" spans="1:86">
      <c r="A248" s="3812">
        <v>56</v>
      </c>
      <c r="B248" s="3684" t="s">
        <v>690</v>
      </c>
      <c r="C248" s="3684">
        <v>44012</v>
      </c>
      <c r="D248" s="5055" t="s">
        <v>691</v>
      </c>
      <c r="E248" s="5060" t="s">
        <v>692</v>
      </c>
      <c r="F248" s="5060" t="s">
        <v>693</v>
      </c>
      <c r="G248" s="5060" t="s">
        <v>694</v>
      </c>
      <c r="H248" s="5060" t="s">
        <v>695</v>
      </c>
      <c r="I248" s="5060"/>
      <c r="J248" s="5060" t="s">
        <v>696</v>
      </c>
      <c r="K248" s="3684">
        <v>23906.22</v>
      </c>
      <c r="L248" s="5060" t="s">
        <v>697</v>
      </c>
      <c r="M248" s="5381">
        <f>SUM(N248:AA249)</f>
        <v>95625</v>
      </c>
      <c r="N248" s="3684"/>
      <c r="O248" s="3684"/>
      <c r="P248" s="3684"/>
      <c r="Q248" s="3684"/>
      <c r="R248" s="3684"/>
      <c r="S248" s="3684"/>
      <c r="T248" s="3684"/>
      <c r="U248" s="3684"/>
      <c r="V248" s="3684"/>
      <c r="W248" s="3662">
        <v>95625</v>
      </c>
      <c r="X248" s="3662">
        <v>0</v>
      </c>
      <c r="Y248" s="3662"/>
      <c r="Z248" s="3662"/>
      <c r="AA248" s="3684"/>
      <c r="AB248" s="5060"/>
      <c r="AC248" s="3684">
        <v>1</v>
      </c>
      <c r="AD248" s="5060" t="s">
        <v>698</v>
      </c>
      <c r="AE248" s="3684">
        <v>0.6</v>
      </c>
      <c r="AF248" s="3684">
        <v>57375</v>
      </c>
      <c r="AG248" s="3662">
        <f t="shared" si="58"/>
        <v>57375</v>
      </c>
      <c r="AH248" s="3684" t="s">
        <v>122</v>
      </c>
      <c r="AI248" s="3684">
        <v>44075</v>
      </c>
      <c r="AJ248" s="3662">
        <f>SUM(BD248:BQ248)</f>
        <v>57375</v>
      </c>
      <c r="AK248" s="5148">
        <v>44075</v>
      </c>
      <c r="AL248" s="3684">
        <v>57375</v>
      </c>
      <c r="AM248" s="3684">
        <v>44077</v>
      </c>
      <c r="AN248" s="3684">
        <f t="shared" si="57"/>
        <v>57375</v>
      </c>
      <c r="AO248" s="3684">
        <v>44200</v>
      </c>
      <c r="AP248" s="3662">
        <f>AG248-AN248</f>
        <v>0</v>
      </c>
      <c r="AQ248" s="5148"/>
      <c r="AR248" s="3814" t="s">
        <v>128</v>
      </c>
      <c r="AS248" s="5408"/>
      <c r="AT248" s="5127"/>
      <c r="AU248" s="3662">
        <f>SUM(AG248:AG249)</f>
        <v>95625</v>
      </c>
      <c r="AV248" s="3662">
        <f>SUM(AL248:AL249)</f>
        <v>95425</v>
      </c>
      <c r="AW248" s="3662">
        <f>SUM(AN248:AN249)</f>
        <v>95625</v>
      </c>
      <c r="AX248" s="3662">
        <f>M248-AU248</f>
        <v>0</v>
      </c>
      <c r="AY248" s="3662">
        <f>AU248-AV248</f>
        <v>200</v>
      </c>
      <c r="AZ248" s="3662">
        <f>AV248-AW248</f>
        <v>-200</v>
      </c>
      <c r="BA248" s="3684"/>
      <c r="BB248" s="3684"/>
      <c r="BC248" s="5148"/>
      <c r="BD248" s="5148"/>
      <c r="BE248" s="5148"/>
      <c r="BF248" s="3684"/>
      <c r="BG248" s="3684"/>
      <c r="BH248" s="3684"/>
      <c r="BI248" s="3684"/>
      <c r="BJ248" s="5148">
        <v>57375</v>
      </c>
      <c r="BK248" s="5148"/>
      <c r="BL248" s="5148"/>
      <c r="BM248" s="5148"/>
      <c r="BN248" s="5148"/>
      <c r="BO248" s="5148"/>
      <c r="BP248" s="5148"/>
      <c r="BQ248" s="5148"/>
      <c r="BR248" s="5148"/>
      <c r="BS248" s="5148"/>
      <c r="BT248" s="5148"/>
      <c r="BU248" s="5148"/>
      <c r="BV248" s="5148"/>
      <c r="BW248" s="3684"/>
      <c r="BX248" s="3684">
        <v>57375</v>
      </c>
      <c r="BY248" s="3684"/>
      <c r="BZ248" s="3684"/>
      <c r="CA248" s="3684"/>
      <c r="CB248" s="5148"/>
      <c r="CC248" s="3662" t="s">
        <v>166</v>
      </c>
      <c r="CD248" s="3662" t="s">
        <v>154</v>
      </c>
      <c r="CE248" s="5169"/>
      <c r="CF248" s="5169"/>
      <c r="CG248" s="5169"/>
      <c r="CH248" s="5169"/>
    </row>
    <row r="249" s="4965" customFormat="1" ht="76.5" customHeight="1" spans="1:86">
      <c r="A249" s="3812"/>
      <c r="B249" s="3684"/>
      <c r="C249" s="3684"/>
      <c r="D249" s="5060"/>
      <c r="E249" s="5060"/>
      <c r="F249" s="5060"/>
      <c r="G249" s="5060"/>
      <c r="H249" s="5060"/>
      <c r="I249" s="5060"/>
      <c r="J249" s="5060"/>
      <c r="K249" s="3684"/>
      <c r="L249" s="5060"/>
      <c r="M249" s="5381"/>
      <c r="N249" s="3684"/>
      <c r="O249" s="3684"/>
      <c r="P249" s="3684"/>
      <c r="Q249" s="3684"/>
      <c r="R249" s="3684"/>
      <c r="S249" s="3684"/>
      <c r="T249" s="3684"/>
      <c r="U249" s="3684"/>
      <c r="V249" s="3684"/>
      <c r="W249" s="3662"/>
      <c r="X249" s="3662"/>
      <c r="Y249" s="3662"/>
      <c r="Z249" s="3662"/>
      <c r="AA249" s="3684"/>
      <c r="AB249" s="5060"/>
      <c r="AC249" s="3684">
        <v>2</v>
      </c>
      <c r="AD249" s="5060" t="s">
        <v>699</v>
      </c>
      <c r="AE249" s="3684">
        <v>0.4</v>
      </c>
      <c r="AF249" s="3684">
        <v>38250</v>
      </c>
      <c r="AG249" s="3684">
        <f t="shared" si="58"/>
        <v>38250</v>
      </c>
      <c r="AH249" s="3684" t="s">
        <v>122</v>
      </c>
      <c r="AI249" s="3684">
        <v>44175</v>
      </c>
      <c r="AJ249" s="3684">
        <v>38050</v>
      </c>
      <c r="AK249" s="3684">
        <v>44175</v>
      </c>
      <c r="AL249" s="3684">
        <v>38050</v>
      </c>
      <c r="AM249" s="3684">
        <v>44545</v>
      </c>
      <c r="AN249" s="3684">
        <f t="shared" si="57"/>
        <v>38250</v>
      </c>
      <c r="AO249" s="3684">
        <v>44592</v>
      </c>
      <c r="AP249" s="3662">
        <f>AG249-AN249</f>
        <v>0</v>
      </c>
      <c r="AQ249" s="5148"/>
      <c r="AR249" s="3684"/>
      <c r="AS249" s="5408"/>
      <c r="AT249" s="5127"/>
      <c r="AU249" s="3662"/>
      <c r="AV249" s="3662"/>
      <c r="AW249" s="3662"/>
      <c r="AX249" s="3662"/>
      <c r="AY249" s="3662"/>
      <c r="AZ249" s="3662"/>
      <c r="BA249" s="3684"/>
      <c r="BB249" s="3684"/>
      <c r="BC249" s="5148"/>
      <c r="BD249" s="5148"/>
      <c r="BE249" s="5148"/>
      <c r="BF249" s="3684"/>
      <c r="BG249" s="3684"/>
      <c r="BH249" s="3684"/>
      <c r="BI249" s="3684"/>
      <c r="BJ249" s="5148">
        <v>38250</v>
      </c>
      <c r="BK249" s="5148"/>
      <c r="BL249" s="5148"/>
      <c r="BM249" s="5148"/>
      <c r="BN249" s="5148"/>
      <c r="BO249" s="5164"/>
      <c r="BP249" s="5164"/>
      <c r="BQ249" s="5164"/>
      <c r="BR249" s="5164"/>
      <c r="BS249" s="5164"/>
      <c r="BT249" s="5164"/>
      <c r="BU249" s="5164"/>
      <c r="BV249" s="5164"/>
      <c r="BW249" s="3708"/>
      <c r="BX249" s="3708">
        <v>38250</v>
      </c>
      <c r="BY249" s="3708"/>
      <c r="BZ249" s="3708"/>
      <c r="CA249" s="3708"/>
      <c r="CB249" s="5164"/>
      <c r="CC249" s="3662"/>
      <c r="CD249" s="3662"/>
      <c r="CE249" s="5169"/>
      <c r="CF249" s="5169"/>
      <c r="CG249" s="5169"/>
      <c r="CH249" s="5169"/>
    </row>
    <row r="250" s="4976" customFormat="1" ht="92" spans="1:86">
      <c r="A250" s="2957"/>
      <c r="B250" s="905" t="s">
        <v>690</v>
      </c>
      <c r="C250" s="3245">
        <v>45717</v>
      </c>
      <c r="D250" s="5370" t="s">
        <v>700</v>
      </c>
      <c r="E250" s="5374"/>
      <c r="F250" s="5370" t="s">
        <v>701</v>
      </c>
      <c r="G250" s="5370" t="s">
        <v>702</v>
      </c>
      <c r="H250" s="5370" t="s">
        <v>31</v>
      </c>
      <c r="I250" s="5370" t="s">
        <v>703</v>
      </c>
      <c r="J250" s="5370" t="s">
        <v>704</v>
      </c>
      <c r="K250" s="5370" t="s">
        <v>705</v>
      </c>
      <c r="L250" s="5370" t="s">
        <v>706</v>
      </c>
      <c r="M250" s="5382">
        <f>SUBTOTAL(9,N250:AB253)</f>
        <v>298931.5</v>
      </c>
      <c r="N250" s="3684"/>
      <c r="O250" s="3684"/>
      <c r="P250" s="3684"/>
      <c r="Q250" s="3684"/>
      <c r="R250" s="3684"/>
      <c r="S250" s="3684"/>
      <c r="T250" s="3684"/>
      <c r="U250" s="5382">
        <v>298931.5</v>
      </c>
      <c r="V250" s="3684"/>
      <c r="W250" s="3662"/>
      <c r="X250" s="3662"/>
      <c r="Y250" s="3662"/>
      <c r="Z250" s="3662"/>
      <c r="AA250" s="3684"/>
      <c r="AB250" s="5060"/>
      <c r="AC250" s="2957">
        <v>1</v>
      </c>
      <c r="AD250" s="5392" t="s">
        <v>707</v>
      </c>
      <c r="AE250" s="2957">
        <v>0.3</v>
      </c>
      <c r="AF250" s="2957">
        <f>M250*AE250</f>
        <v>89679.45</v>
      </c>
      <c r="AG250" s="2957">
        <f t="shared" si="58"/>
        <v>89679.45</v>
      </c>
      <c r="AH250" s="5394"/>
      <c r="AI250" s="5395"/>
      <c r="AJ250" s="2957"/>
      <c r="AK250" s="2957"/>
      <c r="AL250" s="2957"/>
      <c r="AM250" s="2957"/>
      <c r="AN250" s="2957"/>
      <c r="AO250" s="2957"/>
      <c r="AP250" s="2682"/>
      <c r="AQ250" s="5401"/>
      <c r="AR250" s="2957"/>
      <c r="AS250" s="5409"/>
      <c r="AT250" s="5410"/>
      <c r="AU250" s="2682"/>
      <c r="AV250" s="2682"/>
      <c r="AW250" s="2682"/>
      <c r="AX250" s="2682"/>
      <c r="AY250" s="2682"/>
      <c r="AZ250" s="2682"/>
      <c r="BA250" s="2957"/>
      <c r="BB250" s="2957"/>
      <c r="BC250" s="5401"/>
      <c r="BD250" s="5401"/>
      <c r="BE250" s="5401"/>
      <c r="BF250" s="2957"/>
      <c r="BG250" s="2957"/>
      <c r="BH250" s="5395">
        <v>89679.45</v>
      </c>
      <c r="BI250" s="2957"/>
      <c r="BJ250" s="5401"/>
      <c r="BK250" s="5401"/>
      <c r="BL250" s="5401"/>
      <c r="BM250" s="5401"/>
      <c r="BN250" s="5401"/>
      <c r="BO250" s="5412"/>
      <c r="BP250" s="5412"/>
      <c r="BQ250" s="5412"/>
      <c r="BR250" s="5412"/>
      <c r="BS250" s="5412"/>
      <c r="BT250" s="5412"/>
      <c r="BU250" s="5412"/>
      <c r="BV250" s="5412"/>
      <c r="BW250" s="5395"/>
      <c r="BX250" s="5395"/>
      <c r="BY250" s="5395"/>
      <c r="BZ250" s="5395"/>
      <c r="CA250" s="5395"/>
      <c r="CB250" s="5412"/>
      <c r="CC250" s="2682"/>
      <c r="CD250" s="2682"/>
      <c r="CE250" s="5413"/>
      <c r="CF250" s="5413"/>
      <c r="CG250" s="5413"/>
      <c r="CH250" s="5413"/>
    </row>
    <row r="251" s="4976" customFormat="1" ht="92" spans="1:86">
      <c r="A251" s="2957"/>
      <c r="B251" s="5371"/>
      <c r="C251" s="5371"/>
      <c r="D251" s="5372"/>
      <c r="E251" s="5207"/>
      <c r="F251" s="5372"/>
      <c r="G251" s="5372"/>
      <c r="H251" s="5372"/>
      <c r="I251" s="5372"/>
      <c r="J251" s="5372"/>
      <c r="K251" s="5372"/>
      <c r="L251" s="5372"/>
      <c r="M251" s="5383"/>
      <c r="N251" s="3684"/>
      <c r="O251" s="3684"/>
      <c r="P251" s="3684"/>
      <c r="Q251" s="3684"/>
      <c r="R251" s="3684"/>
      <c r="S251" s="3684"/>
      <c r="T251" s="3684"/>
      <c r="U251" s="5383"/>
      <c r="V251" s="3684"/>
      <c r="W251" s="3662"/>
      <c r="X251" s="3662"/>
      <c r="Y251" s="3662"/>
      <c r="Z251" s="3662"/>
      <c r="AA251" s="3684"/>
      <c r="AB251" s="5060"/>
      <c r="AC251" s="2957">
        <v>2</v>
      </c>
      <c r="AD251" s="5392" t="s">
        <v>708</v>
      </c>
      <c r="AE251" s="2957">
        <v>0.3</v>
      </c>
      <c r="AF251" s="2957">
        <f>M250*AE251</f>
        <v>89679.45</v>
      </c>
      <c r="AG251" s="2957">
        <f t="shared" si="58"/>
        <v>89679.45</v>
      </c>
      <c r="AH251" s="5394"/>
      <c r="AI251" s="5395"/>
      <c r="AJ251" s="2957"/>
      <c r="AK251" s="2957"/>
      <c r="AL251" s="2957"/>
      <c r="AM251" s="2957"/>
      <c r="AN251" s="2957"/>
      <c r="AO251" s="2957"/>
      <c r="AP251" s="2682"/>
      <c r="AQ251" s="5401"/>
      <c r="AR251" s="2957"/>
      <c r="AS251" s="5409"/>
      <c r="AT251" s="5410"/>
      <c r="AU251" s="2682"/>
      <c r="AV251" s="2682"/>
      <c r="AW251" s="2682"/>
      <c r="AX251" s="2682"/>
      <c r="AY251" s="2682"/>
      <c r="AZ251" s="2682"/>
      <c r="BA251" s="2957"/>
      <c r="BB251" s="2957"/>
      <c r="BC251" s="5401"/>
      <c r="BD251" s="5401"/>
      <c r="BE251" s="5401"/>
      <c r="BF251" s="2957"/>
      <c r="BG251" s="2957"/>
      <c r="BH251" s="5395">
        <v>89679.45</v>
      </c>
      <c r="BI251" s="2957"/>
      <c r="BJ251" s="5401"/>
      <c r="BK251" s="5401"/>
      <c r="BL251" s="5401"/>
      <c r="BM251" s="5401"/>
      <c r="BN251" s="5401"/>
      <c r="BO251" s="5412"/>
      <c r="BP251" s="5412"/>
      <c r="BQ251" s="5412"/>
      <c r="BR251" s="5412"/>
      <c r="BS251" s="5412"/>
      <c r="BT251" s="5412"/>
      <c r="BU251" s="5412"/>
      <c r="BV251" s="5412"/>
      <c r="BW251" s="5395"/>
      <c r="BX251" s="5395"/>
      <c r="BY251" s="5395"/>
      <c r="BZ251" s="5395"/>
      <c r="CA251" s="5395"/>
      <c r="CB251" s="5412"/>
      <c r="CC251" s="2682"/>
      <c r="CD251" s="2682"/>
      <c r="CE251" s="5413"/>
      <c r="CF251" s="5413"/>
      <c r="CG251" s="5413"/>
      <c r="CH251" s="5413"/>
    </row>
    <row r="252" s="4976" customFormat="1" ht="92" spans="1:86">
      <c r="A252" s="2957"/>
      <c r="B252" s="5371"/>
      <c r="C252" s="5371"/>
      <c r="D252" s="5372"/>
      <c r="E252" s="5207"/>
      <c r="F252" s="5372"/>
      <c r="G252" s="5372"/>
      <c r="H252" s="5372"/>
      <c r="I252" s="5372"/>
      <c r="J252" s="5372"/>
      <c r="K252" s="5372"/>
      <c r="L252" s="5372"/>
      <c r="M252" s="5383"/>
      <c r="N252" s="3684"/>
      <c r="O252" s="3684"/>
      <c r="P252" s="3684"/>
      <c r="Q252" s="3684"/>
      <c r="R252" s="3684"/>
      <c r="S252" s="3684"/>
      <c r="T252" s="3684"/>
      <c r="U252" s="5383"/>
      <c r="V252" s="3684"/>
      <c r="W252" s="3662"/>
      <c r="X252" s="3662"/>
      <c r="Y252" s="3662"/>
      <c r="Z252" s="3662"/>
      <c r="AA252" s="3684"/>
      <c r="AB252" s="5060"/>
      <c r="AC252" s="2957">
        <v>3</v>
      </c>
      <c r="AD252" s="5392" t="s">
        <v>709</v>
      </c>
      <c r="AE252" s="2957">
        <v>0.3</v>
      </c>
      <c r="AF252" s="2957">
        <f>M250*AE252</f>
        <v>89679.45</v>
      </c>
      <c r="AG252" s="2957">
        <f t="shared" si="58"/>
        <v>0</v>
      </c>
      <c r="AH252" s="2957"/>
      <c r="AI252" s="2957"/>
      <c r="AJ252" s="2957"/>
      <c r="AK252" s="2957"/>
      <c r="AL252" s="2957"/>
      <c r="AM252" s="2957"/>
      <c r="AN252" s="2957"/>
      <c r="AO252" s="2957"/>
      <c r="AP252" s="2682"/>
      <c r="AQ252" s="5401"/>
      <c r="AR252" s="2957"/>
      <c r="AS252" s="5409"/>
      <c r="AT252" s="5410"/>
      <c r="AU252" s="2682"/>
      <c r="AV252" s="2682"/>
      <c r="AW252" s="2682"/>
      <c r="AX252" s="2682"/>
      <c r="AY252" s="2682"/>
      <c r="AZ252" s="2682"/>
      <c r="BA252" s="2957"/>
      <c r="BB252" s="2957"/>
      <c r="BC252" s="5401"/>
      <c r="BD252" s="5401"/>
      <c r="BE252" s="5401"/>
      <c r="BF252" s="2957"/>
      <c r="BG252" s="2957"/>
      <c r="BH252" s="2957"/>
      <c r="BI252" s="2957"/>
      <c r="BJ252" s="5401"/>
      <c r="BK252" s="5401"/>
      <c r="BL252" s="5401"/>
      <c r="BM252" s="5401"/>
      <c r="BN252" s="5401"/>
      <c r="BO252" s="5412"/>
      <c r="BP252" s="5412"/>
      <c r="BQ252" s="5412"/>
      <c r="BR252" s="5412"/>
      <c r="BS252" s="5412"/>
      <c r="BT252" s="5412"/>
      <c r="BU252" s="5412"/>
      <c r="BV252" s="5412"/>
      <c r="BW252" s="5395"/>
      <c r="BX252" s="5395"/>
      <c r="BY252" s="5395"/>
      <c r="BZ252" s="5395"/>
      <c r="CA252" s="5395"/>
      <c r="CB252" s="5412"/>
      <c r="CC252" s="2682"/>
      <c r="CD252" s="2682"/>
      <c r="CE252" s="5413"/>
      <c r="CF252" s="5413"/>
      <c r="CG252" s="5413"/>
      <c r="CH252" s="5413"/>
    </row>
    <row r="253" s="4976" customFormat="1" ht="61" spans="1:86">
      <c r="A253" s="2957"/>
      <c r="B253" s="3244"/>
      <c r="C253" s="3244"/>
      <c r="D253" s="5373"/>
      <c r="E253" s="5208"/>
      <c r="F253" s="5373"/>
      <c r="G253" s="5373"/>
      <c r="H253" s="5373"/>
      <c r="I253" s="5373"/>
      <c r="J253" s="5373"/>
      <c r="K253" s="5373"/>
      <c r="L253" s="5373"/>
      <c r="M253" s="5384"/>
      <c r="N253" s="3684"/>
      <c r="O253" s="3684"/>
      <c r="P253" s="3684"/>
      <c r="Q253" s="3684"/>
      <c r="R253" s="3684"/>
      <c r="S253" s="3684"/>
      <c r="T253" s="3684"/>
      <c r="U253" s="5384"/>
      <c r="V253" s="3684"/>
      <c r="W253" s="3662"/>
      <c r="X253" s="3662"/>
      <c r="Y253" s="3662"/>
      <c r="Z253" s="3662"/>
      <c r="AA253" s="3684"/>
      <c r="AB253" s="5060"/>
      <c r="AC253" s="2957">
        <v>4</v>
      </c>
      <c r="AD253" s="5392" t="s">
        <v>710</v>
      </c>
      <c r="AE253" s="2957">
        <v>0.1</v>
      </c>
      <c r="AF253" s="2957">
        <f>M250*AE253</f>
        <v>29893.15</v>
      </c>
      <c r="AG253" s="2957">
        <f t="shared" si="58"/>
        <v>0</v>
      </c>
      <c r="AH253" s="2957"/>
      <c r="AI253" s="2957"/>
      <c r="AJ253" s="2957"/>
      <c r="AK253" s="2957"/>
      <c r="AL253" s="2957"/>
      <c r="AM253" s="2957"/>
      <c r="AN253" s="2957"/>
      <c r="AO253" s="2957"/>
      <c r="AP253" s="2682"/>
      <c r="AQ253" s="5401"/>
      <c r="AR253" s="2957"/>
      <c r="AS253" s="5409"/>
      <c r="AT253" s="5410"/>
      <c r="AU253" s="2682"/>
      <c r="AV253" s="2682"/>
      <c r="AW253" s="2682"/>
      <c r="AX253" s="2682"/>
      <c r="AY253" s="2682"/>
      <c r="AZ253" s="2682"/>
      <c r="BA253" s="2957"/>
      <c r="BB253" s="2957"/>
      <c r="BC253" s="5401"/>
      <c r="BD253" s="5401"/>
      <c r="BE253" s="5401"/>
      <c r="BF253" s="2957"/>
      <c r="BG253" s="2957"/>
      <c r="BH253" s="2957"/>
      <c r="BI253" s="2957"/>
      <c r="BJ253" s="5401"/>
      <c r="BK253" s="5401"/>
      <c r="BL253" s="5401"/>
      <c r="BM253" s="5401"/>
      <c r="BN253" s="5401"/>
      <c r="BO253" s="5412"/>
      <c r="BP253" s="5412"/>
      <c r="BQ253" s="5412"/>
      <c r="BR253" s="5412"/>
      <c r="BS253" s="5412"/>
      <c r="BT253" s="5412"/>
      <c r="BU253" s="5412"/>
      <c r="BV253" s="5412"/>
      <c r="BW253" s="5395"/>
      <c r="BX253" s="5395"/>
      <c r="BY253" s="5395"/>
      <c r="BZ253" s="5395"/>
      <c r="CA253" s="5395"/>
      <c r="CB253" s="5412"/>
      <c r="CC253" s="2682"/>
      <c r="CD253" s="2682"/>
      <c r="CE253" s="5413"/>
      <c r="CF253" s="5413"/>
      <c r="CG253" s="5413"/>
      <c r="CH253" s="5413"/>
    </row>
    <row r="254" s="4972" customFormat="1" ht="92" spans="1:86">
      <c r="A254" s="3684"/>
      <c r="B254" s="1837" t="s">
        <v>690</v>
      </c>
      <c r="C254" s="4201">
        <v>45717</v>
      </c>
      <c r="D254" s="3910" t="s">
        <v>700</v>
      </c>
      <c r="E254" s="5374"/>
      <c r="F254" s="3910" t="s">
        <v>711</v>
      </c>
      <c r="G254" s="3910" t="s">
        <v>712</v>
      </c>
      <c r="H254" s="3910" t="s">
        <v>31</v>
      </c>
      <c r="I254" s="3910" t="s">
        <v>713</v>
      </c>
      <c r="J254" s="3910" t="s">
        <v>704</v>
      </c>
      <c r="K254" s="3910" t="s">
        <v>714</v>
      </c>
      <c r="L254" s="3910" t="s">
        <v>706</v>
      </c>
      <c r="M254" s="5385">
        <f>SUBTOTAL(9,N254:AB257)</f>
        <v>472985.8</v>
      </c>
      <c r="N254" s="3684"/>
      <c r="O254" s="3684"/>
      <c r="P254" s="3684"/>
      <c r="Q254" s="3684"/>
      <c r="R254" s="3684"/>
      <c r="S254" s="3684"/>
      <c r="T254" s="3684"/>
      <c r="U254" s="5386">
        <v>472985.8</v>
      </c>
      <c r="V254" s="3684"/>
      <c r="W254" s="3662"/>
      <c r="X254" s="3662"/>
      <c r="Y254" s="3662"/>
      <c r="Z254" s="3662"/>
      <c r="AA254" s="3684"/>
      <c r="AB254" s="5060"/>
      <c r="AC254" s="3684">
        <v>1</v>
      </c>
      <c r="AD254" s="5388" t="s">
        <v>707</v>
      </c>
      <c r="AE254" s="3684">
        <v>0.3</v>
      </c>
      <c r="AF254" s="3684">
        <f>M254*AE254</f>
        <v>141895.74</v>
      </c>
      <c r="AG254" s="3684">
        <f t="shared" si="58"/>
        <v>141895.74</v>
      </c>
      <c r="AH254" s="3823"/>
      <c r="AI254" s="5163"/>
      <c r="AJ254" s="3684"/>
      <c r="AK254" s="3684"/>
      <c r="AL254" s="3684"/>
      <c r="AM254" s="3684"/>
      <c r="AN254" s="3684"/>
      <c r="AO254" s="3684"/>
      <c r="AP254" s="3662"/>
      <c r="AQ254" s="5148"/>
      <c r="AR254" s="3684"/>
      <c r="AS254" s="5408"/>
      <c r="AT254" s="5127"/>
      <c r="AU254" s="3662"/>
      <c r="AV254" s="3662"/>
      <c r="AW254" s="3662"/>
      <c r="AX254" s="3662"/>
      <c r="AY254" s="3662"/>
      <c r="AZ254" s="3662"/>
      <c r="BA254" s="3684"/>
      <c r="BB254" s="3684"/>
      <c r="BC254" s="5148"/>
      <c r="BD254" s="5148"/>
      <c r="BE254" s="5148"/>
      <c r="BF254" s="3684"/>
      <c r="BG254" s="3684"/>
      <c r="BH254" s="3708">
        <v>141895.74</v>
      </c>
      <c r="BI254" s="3684"/>
      <c r="BJ254" s="5148"/>
      <c r="BK254" s="5148"/>
      <c r="BL254" s="5148"/>
      <c r="BM254" s="5148"/>
      <c r="BN254" s="5148"/>
      <c r="BO254" s="5164"/>
      <c r="BP254" s="5164"/>
      <c r="BQ254" s="5164"/>
      <c r="BR254" s="5164"/>
      <c r="BS254" s="5164"/>
      <c r="BT254" s="5164"/>
      <c r="BU254" s="5164"/>
      <c r="BV254" s="5164"/>
      <c r="BW254" s="3708"/>
      <c r="BX254" s="3708"/>
      <c r="BY254" s="3708"/>
      <c r="BZ254" s="3708"/>
      <c r="CA254" s="3708"/>
      <c r="CB254" s="5164"/>
      <c r="CC254" s="3662"/>
      <c r="CD254" s="3662"/>
      <c r="CE254" s="5170"/>
      <c r="CF254" s="5170"/>
      <c r="CG254" s="5170"/>
      <c r="CH254" s="5170"/>
    </row>
    <row r="255" s="4972" customFormat="1" ht="92" spans="1:86">
      <c r="A255" s="3684"/>
      <c r="B255" s="4201"/>
      <c r="C255" s="4201"/>
      <c r="D255" s="5207"/>
      <c r="E255" s="5208"/>
      <c r="F255" s="5207"/>
      <c r="G255" s="5207"/>
      <c r="H255" s="5207"/>
      <c r="I255" s="5207"/>
      <c r="J255" s="5207"/>
      <c r="K255" s="5207"/>
      <c r="L255" s="5207"/>
      <c r="M255" s="5386"/>
      <c r="N255" s="3684"/>
      <c r="O255" s="3684"/>
      <c r="P255" s="3684"/>
      <c r="Q255" s="3684"/>
      <c r="R255" s="3684"/>
      <c r="S255" s="3684"/>
      <c r="T255" s="3684"/>
      <c r="U255" s="5386"/>
      <c r="V255" s="3684"/>
      <c r="W255" s="3662"/>
      <c r="X255" s="3662"/>
      <c r="Y255" s="3662"/>
      <c r="Z255" s="3662"/>
      <c r="AA255" s="3684"/>
      <c r="AB255" s="5060"/>
      <c r="AC255" s="3684">
        <v>2</v>
      </c>
      <c r="AD255" s="5388" t="s">
        <v>708</v>
      </c>
      <c r="AE255" s="3684">
        <v>0.3</v>
      </c>
      <c r="AF255" s="3684">
        <f>M254*AE255</f>
        <v>141895.74</v>
      </c>
      <c r="AG255" s="3684">
        <f t="shared" si="58"/>
        <v>141895.74</v>
      </c>
      <c r="AH255" s="3823"/>
      <c r="AI255" s="5163"/>
      <c r="AJ255" s="3684"/>
      <c r="AK255" s="3684"/>
      <c r="AL255" s="3684"/>
      <c r="AM255" s="3684"/>
      <c r="AN255" s="3684"/>
      <c r="AO255" s="3684"/>
      <c r="AP255" s="3662"/>
      <c r="AQ255" s="5148"/>
      <c r="AR255" s="3684"/>
      <c r="AS255" s="5408"/>
      <c r="AT255" s="5127"/>
      <c r="AU255" s="3662"/>
      <c r="AV255" s="3662"/>
      <c r="AW255" s="3662"/>
      <c r="AX255" s="3662"/>
      <c r="AY255" s="3662"/>
      <c r="AZ255" s="3662"/>
      <c r="BA255" s="3684"/>
      <c r="BB255" s="3684"/>
      <c r="BC255" s="5148"/>
      <c r="BD255" s="5148"/>
      <c r="BE255" s="5148"/>
      <c r="BF255" s="3684"/>
      <c r="BG255" s="3684"/>
      <c r="BH255" s="3708">
        <v>141895.74</v>
      </c>
      <c r="BI255" s="3684"/>
      <c r="BJ255" s="5148"/>
      <c r="BK255" s="5148"/>
      <c r="BL255" s="5148"/>
      <c r="BM255" s="5148"/>
      <c r="BN255" s="5148"/>
      <c r="BO255" s="5164"/>
      <c r="BP255" s="5164"/>
      <c r="BQ255" s="5164"/>
      <c r="BR255" s="5164"/>
      <c r="BS255" s="5164"/>
      <c r="BT255" s="5164"/>
      <c r="BU255" s="5164"/>
      <c r="BV255" s="5164"/>
      <c r="BW255" s="3708"/>
      <c r="BX255" s="3708"/>
      <c r="BY255" s="3708"/>
      <c r="BZ255" s="3708"/>
      <c r="CA255" s="3708"/>
      <c r="CB255" s="5164"/>
      <c r="CC255" s="3662"/>
      <c r="CD255" s="3662"/>
      <c r="CE255" s="5170"/>
      <c r="CF255" s="5170"/>
      <c r="CG255" s="5170"/>
      <c r="CH255" s="5170"/>
    </row>
    <row r="256" s="4972" customFormat="1" ht="92" spans="1:86">
      <c r="A256" s="3684"/>
      <c r="B256" s="4201"/>
      <c r="C256" s="4201"/>
      <c r="D256" s="5207"/>
      <c r="E256" s="5060"/>
      <c r="F256" s="5207"/>
      <c r="G256" s="5207"/>
      <c r="H256" s="5207"/>
      <c r="I256" s="5207"/>
      <c r="J256" s="5207"/>
      <c r="K256" s="5207"/>
      <c r="L256" s="5207"/>
      <c r="M256" s="5386"/>
      <c r="N256" s="3684"/>
      <c r="O256" s="3684"/>
      <c r="P256" s="3684"/>
      <c r="Q256" s="3684"/>
      <c r="R256" s="3684"/>
      <c r="S256" s="3684"/>
      <c r="T256" s="3684"/>
      <c r="U256" s="5386"/>
      <c r="V256" s="3684"/>
      <c r="W256" s="3662"/>
      <c r="X256" s="3662"/>
      <c r="Y256" s="3662"/>
      <c r="Z256" s="3662"/>
      <c r="AA256" s="3684"/>
      <c r="AB256" s="5060"/>
      <c r="AC256" s="3684">
        <v>3</v>
      </c>
      <c r="AD256" s="5388" t="s">
        <v>709</v>
      </c>
      <c r="AE256" s="3684">
        <v>0.3</v>
      </c>
      <c r="AF256" s="3684">
        <f>M254*AE256</f>
        <v>141895.74</v>
      </c>
      <c r="AG256" s="3684">
        <f t="shared" si="58"/>
        <v>0</v>
      </c>
      <c r="AH256" s="3684"/>
      <c r="AI256" s="3684"/>
      <c r="AJ256" s="3684"/>
      <c r="AK256" s="3684"/>
      <c r="AL256" s="3684"/>
      <c r="AM256" s="3684"/>
      <c r="AN256" s="3684"/>
      <c r="AO256" s="3684"/>
      <c r="AP256" s="3662"/>
      <c r="AQ256" s="5148"/>
      <c r="AR256" s="3684"/>
      <c r="AS256" s="5408"/>
      <c r="AT256" s="5127"/>
      <c r="AU256" s="3662"/>
      <c r="AV256" s="3662"/>
      <c r="AW256" s="3662"/>
      <c r="AX256" s="3662"/>
      <c r="AY256" s="3662"/>
      <c r="AZ256" s="3662"/>
      <c r="BA256" s="3684"/>
      <c r="BB256" s="3684"/>
      <c r="BC256" s="5148"/>
      <c r="BD256" s="5148"/>
      <c r="BE256" s="5148"/>
      <c r="BF256" s="3684"/>
      <c r="BG256" s="3684"/>
      <c r="BH256" s="3684"/>
      <c r="BI256" s="3684"/>
      <c r="BJ256" s="5148"/>
      <c r="BK256" s="5148"/>
      <c r="BL256" s="5148"/>
      <c r="BM256" s="5148"/>
      <c r="BN256" s="5148"/>
      <c r="BO256" s="5164"/>
      <c r="BP256" s="5164"/>
      <c r="BQ256" s="5164"/>
      <c r="BR256" s="5164"/>
      <c r="BS256" s="5164"/>
      <c r="BT256" s="5164"/>
      <c r="BU256" s="5164"/>
      <c r="BV256" s="5164"/>
      <c r="BW256" s="3708"/>
      <c r="BX256" s="3708"/>
      <c r="BY256" s="3708"/>
      <c r="BZ256" s="3708"/>
      <c r="CA256" s="3708"/>
      <c r="CB256" s="5164"/>
      <c r="CC256" s="3662"/>
      <c r="CD256" s="3662"/>
      <c r="CE256" s="5170"/>
      <c r="CF256" s="5170"/>
      <c r="CG256" s="5170"/>
      <c r="CH256" s="5170"/>
    </row>
    <row r="257" s="4972" customFormat="1" ht="61" spans="1:86">
      <c r="A257" s="3684"/>
      <c r="B257" s="4202"/>
      <c r="C257" s="4202"/>
      <c r="D257" s="5208"/>
      <c r="E257" s="5060"/>
      <c r="F257" s="5208"/>
      <c r="G257" s="5208"/>
      <c r="H257" s="5208"/>
      <c r="I257" s="5208"/>
      <c r="J257" s="5208"/>
      <c r="K257" s="5208"/>
      <c r="L257" s="5208"/>
      <c r="M257" s="5447"/>
      <c r="N257" s="3684"/>
      <c r="O257" s="3684"/>
      <c r="P257" s="3684"/>
      <c r="Q257" s="3684"/>
      <c r="R257" s="3684"/>
      <c r="S257" s="3684"/>
      <c r="T257" s="3684"/>
      <c r="U257" s="5447"/>
      <c r="V257" s="3684"/>
      <c r="W257" s="3662"/>
      <c r="X257" s="3662"/>
      <c r="Y257" s="3662"/>
      <c r="Z257" s="3662"/>
      <c r="AA257" s="3684"/>
      <c r="AB257" s="5060"/>
      <c r="AC257" s="3684">
        <v>4</v>
      </c>
      <c r="AD257" s="5388" t="s">
        <v>710</v>
      </c>
      <c r="AE257" s="3684">
        <v>0.1</v>
      </c>
      <c r="AF257" s="3684">
        <f>M254*AE257</f>
        <v>47298.58</v>
      </c>
      <c r="AG257" s="3684">
        <f t="shared" si="58"/>
        <v>0</v>
      </c>
      <c r="AH257" s="3684"/>
      <c r="AI257" s="3684"/>
      <c r="AJ257" s="3684"/>
      <c r="AK257" s="3684"/>
      <c r="AL257" s="3684"/>
      <c r="AM257" s="3684"/>
      <c r="AN257" s="3684"/>
      <c r="AO257" s="3684"/>
      <c r="AP257" s="3662"/>
      <c r="AQ257" s="5148"/>
      <c r="AR257" s="3684"/>
      <c r="AS257" s="5408"/>
      <c r="AT257" s="5127"/>
      <c r="AU257" s="3662"/>
      <c r="AV257" s="3662"/>
      <c r="AW257" s="3662"/>
      <c r="AX257" s="3662"/>
      <c r="AY257" s="3662"/>
      <c r="AZ257" s="3662"/>
      <c r="BA257" s="3684"/>
      <c r="BB257" s="3684"/>
      <c r="BC257" s="5148"/>
      <c r="BD257" s="5148"/>
      <c r="BE257" s="5148"/>
      <c r="BF257" s="3684"/>
      <c r="BG257" s="3684"/>
      <c r="BH257" s="3684"/>
      <c r="BI257" s="3684"/>
      <c r="BJ257" s="5148"/>
      <c r="BK257" s="5148"/>
      <c r="BL257" s="5148"/>
      <c r="BM257" s="5148"/>
      <c r="BN257" s="5148"/>
      <c r="BO257" s="5164"/>
      <c r="BP257" s="5164"/>
      <c r="BQ257" s="5164"/>
      <c r="BR257" s="5164"/>
      <c r="BS257" s="5164"/>
      <c r="BT257" s="5164"/>
      <c r="BU257" s="5164"/>
      <c r="BV257" s="5164"/>
      <c r="BW257" s="3708"/>
      <c r="BX257" s="3708"/>
      <c r="BY257" s="3708"/>
      <c r="BZ257" s="3708"/>
      <c r="CA257" s="3708"/>
      <c r="CB257" s="5164"/>
      <c r="CC257" s="3662"/>
      <c r="CD257" s="3662"/>
      <c r="CE257" s="5170"/>
      <c r="CF257" s="5170"/>
      <c r="CG257" s="5170"/>
      <c r="CH257" s="5170"/>
    </row>
    <row r="258" s="4971" customFormat="1" ht="50" customHeight="1" spans="1:86">
      <c r="A258" s="5414">
        <v>57</v>
      </c>
      <c r="B258" s="5415" t="s">
        <v>690</v>
      </c>
      <c r="C258" s="5414">
        <v>44071</v>
      </c>
      <c r="D258" s="5416" t="s">
        <v>715</v>
      </c>
      <c r="E258" s="5417" t="s">
        <v>716</v>
      </c>
      <c r="F258" s="5417" t="s">
        <v>717</v>
      </c>
      <c r="G258" s="5417" t="s">
        <v>718</v>
      </c>
      <c r="H258" s="5414" t="s">
        <v>31</v>
      </c>
      <c r="I258" s="5441"/>
      <c r="J258" s="5417" t="s">
        <v>719</v>
      </c>
      <c r="K258" s="5414">
        <v>31700</v>
      </c>
      <c r="L258" s="5417" t="s">
        <v>720</v>
      </c>
      <c r="M258" s="5414">
        <f>SUM(N258:AA259)</f>
        <v>95100</v>
      </c>
      <c r="N258" s="5414"/>
      <c r="O258" s="5414"/>
      <c r="P258" s="5414"/>
      <c r="Q258" s="5414"/>
      <c r="R258" s="5414"/>
      <c r="S258" s="5414"/>
      <c r="T258" s="5414"/>
      <c r="U258" s="5414">
        <v>95100</v>
      </c>
      <c r="V258" s="5414"/>
      <c r="W258" s="5414"/>
      <c r="X258" s="5414">
        <v>0</v>
      </c>
      <c r="Y258" s="5414"/>
      <c r="Z258" s="5414"/>
      <c r="AA258" s="5414"/>
      <c r="AB258" s="5414"/>
      <c r="AC258" s="5414">
        <v>1</v>
      </c>
      <c r="AD258" s="5417" t="s">
        <v>721</v>
      </c>
      <c r="AE258" s="5456">
        <v>0.8</v>
      </c>
      <c r="AF258" s="5414">
        <f>AE258*M258</f>
        <v>76080</v>
      </c>
      <c r="AG258" s="5414">
        <f t="shared" si="58"/>
        <v>76080</v>
      </c>
      <c r="AH258" s="5417" t="s">
        <v>722</v>
      </c>
      <c r="AI258" s="5414">
        <v>44076</v>
      </c>
      <c r="AJ258" s="5414">
        <v>76080</v>
      </c>
      <c r="AK258" s="5414">
        <v>44075</v>
      </c>
      <c r="AL258" s="5483">
        <v>76080</v>
      </c>
      <c r="AM258" s="5414">
        <v>44076</v>
      </c>
      <c r="AN258" s="5470">
        <f t="shared" ref="AN258:AN268" si="59">SUM(BO258:CB258)</f>
        <v>76080</v>
      </c>
      <c r="AO258" s="5470">
        <v>44097</v>
      </c>
      <c r="AP258" s="5488">
        <f t="shared" ref="AP258:AP273" si="60">AG258-AN258</f>
        <v>0</v>
      </c>
      <c r="AQ258" s="5484"/>
      <c r="AR258" s="5415" t="s">
        <v>128</v>
      </c>
      <c r="AS258" s="5495"/>
      <c r="AT258" s="5484"/>
      <c r="AU258" s="5488">
        <f>SUM(AG258:AG259)</f>
        <v>95100</v>
      </c>
      <c r="AV258" s="5488">
        <f>SUM(AL258:AL259)</f>
        <v>95100</v>
      </c>
      <c r="AW258" s="5488">
        <f>SUM(AN258:AN259)</f>
        <v>95100</v>
      </c>
      <c r="AX258" s="5488">
        <f>M258-AU258</f>
        <v>0</v>
      </c>
      <c r="AY258" s="5488">
        <f>AU258-AV258</f>
        <v>0</v>
      </c>
      <c r="AZ258" s="5488">
        <f>AV258-AW258</f>
        <v>0</v>
      </c>
      <c r="BA258" s="5489"/>
      <c r="BB258" s="5470"/>
      <c r="BC258" s="5470"/>
      <c r="BD258" s="5489"/>
      <c r="BE258" s="5489"/>
      <c r="BF258" s="5489"/>
      <c r="BG258" s="5489"/>
      <c r="BH258" s="5470">
        <v>76080</v>
      </c>
      <c r="BI258" s="5470"/>
      <c r="BJ258" s="5470"/>
      <c r="BK258" s="5470"/>
      <c r="BL258" s="5470"/>
      <c r="BM258" s="5470"/>
      <c r="BN258" s="5470"/>
      <c r="BO258" s="5484"/>
      <c r="BP258" s="5484"/>
      <c r="BQ258" s="5484"/>
      <c r="BR258" s="5484"/>
      <c r="BS258" s="5484"/>
      <c r="BT258" s="5484"/>
      <c r="BU258" s="5484"/>
      <c r="BV258" s="5489">
        <v>76080</v>
      </c>
      <c r="BW258" s="5484"/>
      <c r="BX258" s="5484"/>
      <c r="BY258" s="5484"/>
      <c r="BZ258" s="5484"/>
      <c r="CA258" s="5484"/>
      <c r="CB258" s="5484"/>
      <c r="CC258" s="5414" t="s">
        <v>166</v>
      </c>
      <c r="CD258" s="5414" t="s">
        <v>154</v>
      </c>
      <c r="CE258" s="5039"/>
      <c r="CF258" s="5039"/>
      <c r="CG258" s="5039"/>
      <c r="CH258" s="5039"/>
    </row>
    <row r="259" s="4971" customFormat="1" ht="61" customHeight="1" spans="1:86">
      <c r="A259" s="5414"/>
      <c r="B259" s="5414"/>
      <c r="C259" s="5414"/>
      <c r="D259" s="5417"/>
      <c r="E259" s="5417"/>
      <c r="F259" s="5417"/>
      <c r="G259" s="5417"/>
      <c r="H259" s="5414"/>
      <c r="I259" s="5442"/>
      <c r="J259" s="5417"/>
      <c r="K259" s="5414"/>
      <c r="L259" s="5417"/>
      <c r="M259" s="5414"/>
      <c r="N259" s="5414"/>
      <c r="O259" s="5414"/>
      <c r="P259" s="5414"/>
      <c r="Q259" s="5414"/>
      <c r="R259" s="5414"/>
      <c r="S259" s="5414"/>
      <c r="T259" s="5414"/>
      <c r="U259" s="5414"/>
      <c r="V259" s="5414"/>
      <c r="W259" s="5414"/>
      <c r="X259" s="5414"/>
      <c r="Y259" s="5414"/>
      <c r="Z259" s="5414"/>
      <c r="AA259" s="5414"/>
      <c r="AB259" s="5414"/>
      <c r="AC259" s="5414">
        <v>2</v>
      </c>
      <c r="AD259" s="5417" t="s">
        <v>723</v>
      </c>
      <c r="AE259" s="5456">
        <v>0.2</v>
      </c>
      <c r="AF259" s="5414">
        <f>AE259*M258</f>
        <v>19020</v>
      </c>
      <c r="AG259" s="5414">
        <f t="shared" si="58"/>
        <v>19020</v>
      </c>
      <c r="AH259" s="5470" t="s">
        <v>122</v>
      </c>
      <c r="AI259" s="5470">
        <v>44208</v>
      </c>
      <c r="AJ259" s="5414">
        <v>19020</v>
      </c>
      <c r="AK259" s="5484">
        <v>44208</v>
      </c>
      <c r="AL259" s="5483">
        <v>19020</v>
      </c>
      <c r="AM259" s="5414">
        <v>44208</v>
      </c>
      <c r="AN259" s="5470">
        <f t="shared" si="59"/>
        <v>19020</v>
      </c>
      <c r="AO259" s="5470">
        <v>44221</v>
      </c>
      <c r="AP259" s="5488">
        <f t="shared" si="60"/>
        <v>0</v>
      </c>
      <c r="AQ259" s="5489"/>
      <c r="AR259" s="5414"/>
      <c r="AS259" s="5495"/>
      <c r="AT259" s="5484"/>
      <c r="AU259" s="5488"/>
      <c r="AV259" s="5488"/>
      <c r="AW259" s="5488"/>
      <c r="AX259" s="5488"/>
      <c r="AY259" s="5488"/>
      <c r="AZ259" s="5488"/>
      <c r="BA259" s="5489"/>
      <c r="BB259" s="5470"/>
      <c r="BC259" s="5470"/>
      <c r="BD259" s="5489"/>
      <c r="BE259" s="5489"/>
      <c r="BF259" s="5489"/>
      <c r="BG259" s="5489"/>
      <c r="BH259" s="5470">
        <v>19020</v>
      </c>
      <c r="BI259" s="5470"/>
      <c r="BJ259" s="5470"/>
      <c r="BK259" s="5470"/>
      <c r="BL259" s="5470"/>
      <c r="BM259" s="5470"/>
      <c r="BN259" s="5470"/>
      <c r="BO259" s="5489"/>
      <c r="BP259" s="5489"/>
      <c r="BQ259" s="5489"/>
      <c r="BR259" s="5489"/>
      <c r="BS259" s="5489"/>
      <c r="BT259" s="5489"/>
      <c r="BU259" s="5489"/>
      <c r="BV259" s="5489">
        <v>19020</v>
      </c>
      <c r="BW259" s="5489"/>
      <c r="BX259" s="5489"/>
      <c r="BY259" s="5489"/>
      <c r="BZ259" s="5489"/>
      <c r="CA259" s="5489"/>
      <c r="CB259" s="5489"/>
      <c r="CC259" s="5414"/>
      <c r="CD259" s="5414"/>
      <c r="CE259" s="5039"/>
      <c r="CF259" s="5039"/>
      <c r="CG259" s="5039"/>
      <c r="CH259" s="5039"/>
    </row>
    <row r="260" s="4971" customFormat="1" ht="44.15" customHeight="1" spans="1:86">
      <c r="A260" s="3061">
        <v>58</v>
      </c>
      <c r="B260" s="3061" t="s">
        <v>724</v>
      </c>
      <c r="C260" s="3061">
        <v>44067</v>
      </c>
      <c r="D260" s="5418" t="s">
        <v>725</v>
      </c>
      <c r="E260" s="5419" t="s">
        <v>113</v>
      </c>
      <c r="F260" s="5419" t="s">
        <v>726</v>
      </c>
      <c r="G260" s="5419" t="s">
        <v>727</v>
      </c>
      <c r="H260" s="3061" t="s">
        <v>31</v>
      </c>
      <c r="I260" s="3061"/>
      <c r="J260" s="5419" t="s">
        <v>728</v>
      </c>
      <c r="K260" s="3061" t="s">
        <v>729</v>
      </c>
      <c r="L260" s="5419" t="s">
        <v>730</v>
      </c>
      <c r="M260" s="3061">
        <f>SUM(N260:AA261)</f>
        <v>673000</v>
      </c>
      <c r="N260" s="3061"/>
      <c r="O260" s="3061"/>
      <c r="P260" s="3061"/>
      <c r="Q260" s="3061"/>
      <c r="R260" s="3061"/>
      <c r="S260" s="3061"/>
      <c r="T260" s="3061"/>
      <c r="U260" s="3061"/>
      <c r="V260" s="3061"/>
      <c r="W260" s="3061"/>
      <c r="X260" s="3061">
        <v>0</v>
      </c>
      <c r="Y260" s="3061"/>
      <c r="Z260" s="3061"/>
      <c r="AA260" s="3061">
        <v>673000</v>
      </c>
      <c r="AB260" s="3061"/>
      <c r="AC260" s="3061">
        <v>1</v>
      </c>
      <c r="AD260" s="5457" t="s">
        <v>731</v>
      </c>
      <c r="AE260" s="5458">
        <v>0.2</v>
      </c>
      <c r="AF260" s="3061">
        <f>AE260*M260</f>
        <v>134600</v>
      </c>
      <c r="AG260" s="3061">
        <f t="shared" si="58"/>
        <v>134600</v>
      </c>
      <c r="AH260" s="3061" t="s">
        <v>122</v>
      </c>
      <c r="AI260" s="3061">
        <v>44075</v>
      </c>
      <c r="AJ260" s="3061">
        <v>134600</v>
      </c>
      <c r="AK260" s="5458">
        <v>44075</v>
      </c>
      <c r="AL260" s="4099">
        <v>134600</v>
      </c>
      <c r="AM260" s="3061">
        <v>44076</v>
      </c>
      <c r="AN260" s="4099">
        <f t="shared" si="59"/>
        <v>134600</v>
      </c>
      <c r="AO260" s="5490">
        <v>44175</v>
      </c>
      <c r="AP260" s="3061">
        <f t="shared" si="60"/>
        <v>0</v>
      </c>
      <c r="AQ260" s="5419" t="s">
        <v>732</v>
      </c>
      <c r="AR260" s="5491" t="s">
        <v>128</v>
      </c>
      <c r="AS260" s="5459"/>
      <c r="AT260" s="5458"/>
      <c r="AU260" s="3061">
        <f>SUM(AG260:AG261)</f>
        <v>673000</v>
      </c>
      <c r="AV260" s="3061">
        <f>SUM(AL260:AL261)</f>
        <v>673000</v>
      </c>
      <c r="AW260" s="3061">
        <f>SUM(AN260:AN261)</f>
        <v>673000</v>
      </c>
      <c r="AX260" s="3061">
        <f>M260-AU260</f>
        <v>0</v>
      </c>
      <c r="AY260" s="3061">
        <f>AU260-AV260</f>
        <v>0</v>
      </c>
      <c r="AZ260" s="3061">
        <f>AV260-AW260</f>
        <v>0</v>
      </c>
      <c r="BA260" s="5490"/>
      <c r="BB260" s="5490"/>
      <c r="BC260" s="5490"/>
      <c r="BD260" s="5490"/>
      <c r="BE260" s="5490"/>
      <c r="BF260" s="5490"/>
      <c r="BG260" s="5490"/>
      <c r="BH260" s="5490"/>
      <c r="BI260" s="5490"/>
      <c r="BJ260" s="5490"/>
      <c r="BK260" s="5490"/>
      <c r="BL260" s="5490"/>
      <c r="BM260" s="5490"/>
      <c r="BN260" s="5490">
        <v>134600</v>
      </c>
      <c r="BO260" s="5458"/>
      <c r="BP260" s="5458"/>
      <c r="BQ260" s="5458"/>
      <c r="BR260" s="5458"/>
      <c r="BS260" s="5458"/>
      <c r="BT260" s="5458"/>
      <c r="BU260" s="5458"/>
      <c r="BV260" s="5458"/>
      <c r="BW260" s="5458"/>
      <c r="BX260" s="5458"/>
      <c r="BY260" s="5458"/>
      <c r="BZ260" s="5458"/>
      <c r="CA260" s="5458"/>
      <c r="CB260" s="5524">
        <v>134600</v>
      </c>
      <c r="CC260" s="3061" t="s">
        <v>166</v>
      </c>
      <c r="CD260" s="3061" t="s">
        <v>154</v>
      </c>
      <c r="CE260" s="5039"/>
      <c r="CF260" s="5039"/>
      <c r="CG260" s="5039"/>
      <c r="CH260" s="5039"/>
    </row>
    <row r="261" s="4971" customFormat="1" ht="61" customHeight="1" spans="1:86">
      <c r="A261" s="3061"/>
      <c r="B261" s="3061"/>
      <c r="C261" s="3061"/>
      <c r="D261" s="5419"/>
      <c r="E261" s="3061"/>
      <c r="F261" s="3061"/>
      <c r="G261" s="5419"/>
      <c r="H261" s="3061"/>
      <c r="I261" s="3061"/>
      <c r="J261" s="5419"/>
      <c r="K261" s="3061"/>
      <c r="L261" s="5419"/>
      <c r="M261" s="3061"/>
      <c r="N261" s="3061"/>
      <c r="O261" s="3061"/>
      <c r="P261" s="3061"/>
      <c r="Q261" s="3061"/>
      <c r="R261" s="3061"/>
      <c r="S261" s="3061"/>
      <c r="T261" s="3061"/>
      <c r="U261" s="3061"/>
      <c r="V261" s="3061"/>
      <c r="W261" s="3061"/>
      <c r="X261" s="3061"/>
      <c r="Y261" s="3061"/>
      <c r="Z261" s="3061"/>
      <c r="AA261" s="3061"/>
      <c r="AB261" s="3061"/>
      <c r="AC261" s="3061">
        <v>2</v>
      </c>
      <c r="AD261" s="5459" t="s">
        <v>733</v>
      </c>
      <c r="AE261" s="5458">
        <v>0.8</v>
      </c>
      <c r="AF261" s="3061">
        <f>AE261*M260</f>
        <v>538400</v>
      </c>
      <c r="AG261" s="3061">
        <f t="shared" si="58"/>
        <v>538400</v>
      </c>
      <c r="AH261" s="3061" t="s">
        <v>122</v>
      </c>
      <c r="AI261" s="3061">
        <v>44075</v>
      </c>
      <c r="AJ261" s="3061">
        <v>538400</v>
      </c>
      <c r="AK261" s="5458">
        <v>44075</v>
      </c>
      <c r="AL261" s="4099">
        <v>538400</v>
      </c>
      <c r="AM261" s="3061">
        <v>44076</v>
      </c>
      <c r="AN261" s="4099">
        <f t="shared" si="59"/>
        <v>538400</v>
      </c>
      <c r="AO261" s="5490">
        <v>44175</v>
      </c>
      <c r="AP261" s="3061">
        <f t="shared" si="60"/>
        <v>0</v>
      </c>
      <c r="AQ261" s="5419"/>
      <c r="AR261" s="3061"/>
      <c r="AS261" s="5459"/>
      <c r="AT261" s="5458"/>
      <c r="AU261" s="3061"/>
      <c r="AV261" s="3061"/>
      <c r="AW261" s="3061"/>
      <c r="AX261" s="3061"/>
      <c r="AY261" s="3061"/>
      <c r="AZ261" s="3061"/>
      <c r="BA261" s="5490"/>
      <c r="BB261" s="5490"/>
      <c r="BC261" s="5490"/>
      <c r="BD261" s="5490"/>
      <c r="BE261" s="5490"/>
      <c r="BF261" s="5490"/>
      <c r="BG261" s="5490"/>
      <c r="BH261" s="5490"/>
      <c r="BI261" s="5490"/>
      <c r="BJ261" s="5490"/>
      <c r="BK261" s="5490"/>
      <c r="BL261" s="5490"/>
      <c r="BM261" s="5490"/>
      <c r="BN261" s="5490">
        <v>538400</v>
      </c>
      <c r="BO261" s="5458"/>
      <c r="BP261" s="5458"/>
      <c r="BQ261" s="5458"/>
      <c r="BR261" s="5458"/>
      <c r="BS261" s="5458"/>
      <c r="BT261" s="5458"/>
      <c r="BU261" s="5458"/>
      <c r="BV261" s="5458"/>
      <c r="BW261" s="5458"/>
      <c r="BX261" s="5458"/>
      <c r="BY261" s="5458"/>
      <c r="BZ261" s="5458"/>
      <c r="CA261" s="5458"/>
      <c r="CB261" s="5524">
        <v>538400</v>
      </c>
      <c r="CC261" s="3061"/>
      <c r="CD261" s="3061"/>
      <c r="CE261" s="5039"/>
      <c r="CF261" s="5039"/>
      <c r="CG261" s="5039"/>
      <c r="CH261" s="5039"/>
    </row>
    <row r="262" s="4972" customFormat="1" ht="61" customHeight="1" spans="1:86">
      <c r="A262" s="3662">
        <v>59</v>
      </c>
      <c r="B262" s="3744" t="s">
        <v>173</v>
      </c>
      <c r="C262" s="3744">
        <v>44050</v>
      </c>
      <c r="D262" s="3909" t="s">
        <v>734</v>
      </c>
      <c r="E262" s="3742" t="s">
        <v>735</v>
      </c>
      <c r="F262" s="5069" t="s">
        <v>736</v>
      </c>
      <c r="G262" s="5069" t="s">
        <v>737</v>
      </c>
      <c r="H262" s="3744" t="s">
        <v>193</v>
      </c>
      <c r="I262" s="3909" t="s">
        <v>738</v>
      </c>
      <c r="J262" s="5069" t="s">
        <v>215</v>
      </c>
      <c r="K262" s="3909" t="s">
        <v>739</v>
      </c>
      <c r="L262" s="5069" t="s">
        <v>740</v>
      </c>
      <c r="M262" s="3744">
        <f>SUM(N262:AA267)</f>
        <v>646907.94</v>
      </c>
      <c r="N262" s="2963"/>
      <c r="O262" s="2963"/>
      <c r="P262" s="2963"/>
      <c r="Q262" s="2963"/>
      <c r="R262" s="2963"/>
      <c r="S262" s="2963"/>
      <c r="T262" s="2963"/>
      <c r="U262" s="2963"/>
      <c r="V262" s="2963">
        <v>646907.94</v>
      </c>
      <c r="W262" s="2963"/>
      <c r="X262" s="2963">
        <v>0</v>
      </c>
      <c r="Y262" s="2963"/>
      <c r="Z262" s="2963"/>
      <c r="AA262" s="2963"/>
      <c r="AB262" s="2963"/>
      <c r="AC262" s="3662">
        <v>1</v>
      </c>
      <c r="AD262" s="5134" t="s">
        <v>741</v>
      </c>
      <c r="AE262" s="3662">
        <v>0.2</v>
      </c>
      <c r="AF262" s="3662">
        <f>AE262*M262</f>
        <v>129381.588</v>
      </c>
      <c r="AG262" s="3662">
        <f t="shared" si="58"/>
        <v>129381.588</v>
      </c>
      <c r="AH262" s="3662" t="s">
        <v>122</v>
      </c>
      <c r="AI262" s="3662">
        <v>44091</v>
      </c>
      <c r="AJ262" s="3662">
        <v>129381.59</v>
      </c>
      <c r="AK262" s="3662">
        <v>44091</v>
      </c>
      <c r="AL262" s="3684">
        <v>129381.588</v>
      </c>
      <c r="AM262" s="3662">
        <v>44449</v>
      </c>
      <c r="AN262" s="3684">
        <f t="shared" si="59"/>
        <v>129381.588</v>
      </c>
      <c r="AO262" s="3684">
        <v>44559</v>
      </c>
      <c r="AP262" s="3662">
        <f t="shared" si="60"/>
        <v>0</v>
      </c>
      <c r="AQ262" s="5134" t="s">
        <v>742</v>
      </c>
      <c r="AR262" s="3662"/>
      <c r="AS262" s="5134"/>
      <c r="AT262" s="5127"/>
      <c r="AU262" s="3662">
        <f>SUM(AG262:AG267)</f>
        <v>645320.9352</v>
      </c>
      <c r="AV262" s="3662">
        <f>SUM(AL262:AL267)</f>
        <v>646907.9412</v>
      </c>
      <c r="AW262" s="3662">
        <f>SUM(AN262:AN267)</f>
        <v>646907.9412</v>
      </c>
      <c r="AX262" s="3662">
        <f>M262-AU262</f>
        <v>1587.00479999988</v>
      </c>
      <c r="AY262" s="3662">
        <f>AU262-AV262</f>
        <v>-1587.00600000005</v>
      </c>
      <c r="AZ262" s="3662">
        <f>AV262-AW262</f>
        <v>0</v>
      </c>
      <c r="BA262" s="5148"/>
      <c r="BB262" s="5148"/>
      <c r="BC262" s="5148"/>
      <c r="BD262" s="5148"/>
      <c r="BE262" s="5148"/>
      <c r="BF262" s="5148"/>
      <c r="BG262" s="5148"/>
      <c r="BH262" s="5148"/>
      <c r="BI262" s="3684">
        <v>129381.588</v>
      </c>
      <c r="BJ262" s="5148"/>
      <c r="BK262" s="5148"/>
      <c r="BL262" s="5148"/>
      <c r="BM262" s="5148"/>
      <c r="BN262" s="5148"/>
      <c r="BO262" s="5164"/>
      <c r="BP262" s="5164"/>
      <c r="BQ262" s="5164"/>
      <c r="BR262" s="5164"/>
      <c r="BS262" s="5164"/>
      <c r="BT262" s="5164"/>
      <c r="BU262" s="5164"/>
      <c r="BV262" s="5164"/>
      <c r="BW262" s="3684">
        <v>129381.588</v>
      </c>
      <c r="BX262" s="5164"/>
      <c r="BY262" s="5164"/>
      <c r="BZ262" s="5164"/>
      <c r="CA262" s="5164"/>
      <c r="CB262" s="5164"/>
      <c r="CC262" s="3662" t="s">
        <v>124</v>
      </c>
      <c r="CD262" s="3662" t="s">
        <v>154</v>
      </c>
      <c r="CE262" s="5170"/>
      <c r="CF262" s="5170"/>
      <c r="CG262" s="5170"/>
      <c r="CH262" s="5170"/>
    </row>
    <row r="263" s="4972" customFormat="1" ht="61" customHeight="1" spans="1:86">
      <c r="A263" s="3662"/>
      <c r="B263" s="3666"/>
      <c r="C263" s="3666"/>
      <c r="D263" s="3910"/>
      <c r="E263" s="3742"/>
      <c r="F263" s="5065"/>
      <c r="G263" s="5065"/>
      <c r="H263" s="3666"/>
      <c r="I263" s="3910"/>
      <c r="J263" s="5065"/>
      <c r="K263" s="3910"/>
      <c r="L263" s="5065"/>
      <c r="M263" s="3666"/>
      <c r="N263" s="2963"/>
      <c r="O263" s="2963"/>
      <c r="P263" s="2963"/>
      <c r="Q263" s="2963"/>
      <c r="R263" s="2963"/>
      <c r="S263" s="2963"/>
      <c r="T263" s="2963"/>
      <c r="U263" s="2963"/>
      <c r="V263" s="2963"/>
      <c r="W263" s="2963"/>
      <c r="X263" s="2963"/>
      <c r="Y263" s="2963"/>
      <c r="Z263" s="2963"/>
      <c r="AA263" s="2963"/>
      <c r="AB263" s="2963"/>
      <c r="AC263" s="3662">
        <v>2</v>
      </c>
      <c r="AD263" s="5134" t="s">
        <v>743</v>
      </c>
      <c r="AE263" s="3662">
        <v>0.3</v>
      </c>
      <c r="AF263" s="3662">
        <f>AE263*M262</f>
        <v>194072.382</v>
      </c>
      <c r="AG263" s="3662">
        <f t="shared" si="58"/>
        <v>194072.382</v>
      </c>
      <c r="AH263" s="3662" t="s">
        <v>122</v>
      </c>
      <c r="AI263" s="3662">
        <v>44091</v>
      </c>
      <c r="AJ263" s="3662">
        <v>179345.88</v>
      </c>
      <c r="AK263" s="3662">
        <v>44091</v>
      </c>
      <c r="AL263" s="3684">
        <v>194072.382</v>
      </c>
      <c r="AM263" s="3662">
        <v>44449</v>
      </c>
      <c r="AN263" s="3684">
        <f t="shared" si="59"/>
        <v>194072.382</v>
      </c>
      <c r="AO263" s="3684">
        <v>44559</v>
      </c>
      <c r="AP263" s="3662">
        <f t="shared" si="60"/>
        <v>0</v>
      </c>
      <c r="AQ263" s="5127"/>
      <c r="AR263" s="3662"/>
      <c r="AS263" s="5134"/>
      <c r="AT263" s="5127"/>
      <c r="AU263" s="3662"/>
      <c r="AV263" s="3662"/>
      <c r="AW263" s="3662"/>
      <c r="AX263" s="3662"/>
      <c r="AY263" s="3662"/>
      <c r="AZ263" s="3662"/>
      <c r="BA263" s="5148"/>
      <c r="BB263" s="5148"/>
      <c r="BC263" s="5148"/>
      <c r="BD263" s="5148"/>
      <c r="BE263" s="5148"/>
      <c r="BF263" s="5148"/>
      <c r="BG263" s="5148"/>
      <c r="BH263" s="5148"/>
      <c r="BI263" s="3684">
        <v>194072.382</v>
      </c>
      <c r="BJ263" s="5148"/>
      <c r="BK263" s="5148"/>
      <c r="BL263" s="5148"/>
      <c r="BM263" s="5148"/>
      <c r="BN263" s="5148"/>
      <c r="BO263" s="5164"/>
      <c r="BP263" s="5164"/>
      <c r="BQ263" s="5164"/>
      <c r="BR263" s="5164"/>
      <c r="BS263" s="5164"/>
      <c r="BT263" s="5164"/>
      <c r="BU263" s="5164"/>
      <c r="BV263" s="5164"/>
      <c r="BW263" s="3684">
        <v>194072.382</v>
      </c>
      <c r="BX263" s="5164"/>
      <c r="BY263" s="5164"/>
      <c r="BZ263" s="5164"/>
      <c r="CA263" s="5164"/>
      <c r="CB263" s="5164"/>
      <c r="CC263" s="3662"/>
      <c r="CD263" s="3662"/>
      <c r="CE263" s="5170"/>
      <c r="CF263" s="5170"/>
      <c r="CG263" s="5170"/>
      <c r="CH263" s="5170"/>
    </row>
    <row r="264" s="4972" customFormat="1" ht="92" spans="1:86">
      <c r="A264" s="3662"/>
      <c r="B264" s="3666"/>
      <c r="C264" s="3666"/>
      <c r="D264" s="3910"/>
      <c r="E264" s="3742"/>
      <c r="F264" s="5065"/>
      <c r="G264" s="5065"/>
      <c r="H264" s="3666"/>
      <c r="I264" s="3910"/>
      <c r="J264" s="5065"/>
      <c r="K264" s="3910"/>
      <c r="L264" s="5065"/>
      <c r="M264" s="3666"/>
      <c r="N264" s="2963"/>
      <c r="O264" s="2963"/>
      <c r="P264" s="2963"/>
      <c r="Q264" s="2963"/>
      <c r="R264" s="2963"/>
      <c r="S264" s="2963"/>
      <c r="T264" s="2963"/>
      <c r="U264" s="2963"/>
      <c r="V264" s="2963"/>
      <c r="W264" s="2963"/>
      <c r="X264" s="2963"/>
      <c r="Y264" s="2963"/>
      <c r="Z264" s="2963"/>
      <c r="AA264" s="2963"/>
      <c r="AB264" s="2963"/>
      <c r="AC264" s="3662">
        <v>3</v>
      </c>
      <c r="AD264" s="5134" t="s">
        <v>744</v>
      </c>
      <c r="AE264" s="3662">
        <v>0.3</v>
      </c>
      <c r="AF264" s="3662">
        <f>AE264*M262</f>
        <v>194072.382</v>
      </c>
      <c r="AG264" s="3662">
        <f t="shared" si="58"/>
        <v>194072.382</v>
      </c>
      <c r="AH264" s="3662" t="s">
        <v>122</v>
      </c>
      <c r="AI264" s="3684">
        <v>44452</v>
      </c>
      <c r="AJ264" s="3662">
        <v>252065.74</v>
      </c>
      <c r="AK264" s="3684">
        <v>44452</v>
      </c>
      <c r="AL264" s="3662">
        <v>194072.382</v>
      </c>
      <c r="AM264" s="3662">
        <v>44449</v>
      </c>
      <c r="AN264" s="3684">
        <f t="shared" si="59"/>
        <v>194072.382</v>
      </c>
      <c r="AO264" s="3662">
        <v>44559</v>
      </c>
      <c r="AP264" s="3662">
        <f t="shared" si="60"/>
        <v>0</v>
      </c>
      <c r="AQ264" s="5127"/>
      <c r="AR264" s="3662"/>
      <c r="AS264" s="5134"/>
      <c r="AT264" s="5127"/>
      <c r="AU264" s="3662"/>
      <c r="AV264" s="3662"/>
      <c r="AW264" s="3662"/>
      <c r="AX264" s="3662"/>
      <c r="AY264" s="3662"/>
      <c r="AZ264" s="3662"/>
      <c r="BA264" s="5148"/>
      <c r="BB264" s="5148"/>
      <c r="BC264" s="5148"/>
      <c r="BD264" s="5148"/>
      <c r="BE264" s="5148"/>
      <c r="BF264" s="5148"/>
      <c r="BG264" s="5148"/>
      <c r="BH264" s="5148"/>
      <c r="BI264" s="3684">
        <v>194072.382</v>
      </c>
      <c r="BJ264" s="5148"/>
      <c r="BK264" s="5148"/>
      <c r="BL264" s="5148"/>
      <c r="BM264" s="5148"/>
      <c r="BN264" s="5148"/>
      <c r="BO264" s="5127"/>
      <c r="BP264" s="5127"/>
      <c r="BQ264" s="5127"/>
      <c r="BR264" s="5127"/>
      <c r="BS264" s="5127"/>
      <c r="BT264" s="5127"/>
      <c r="BU264" s="5127"/>
      <c r="BV264" s="5127"/>
      <c r="BW264" s="3684">
        <v>194072.382</v>
      </c>
      <c r="BX264" s="5127"/>
      <c r="BY264" s="5127"/>
      <c r="BZ264" s="5127"/>
      <c r="CA264" s="5127"/>
      <c r="CB264" s="5127"/>
      <c r="CC264" s="3662"/>
      <c r="CD264" s="3662"/>
      <c r="CE264" s="5170"/>
      <c r="CF264" s="5170"/>
      <c r="CG264" s="5170"/>
      <c r="CH264" s="5170"/>
    </row>
    <row r="265" s="4972" customFormat="1" ht="92" spans="1:86">
      <c r="A265" s="3662"/>
      <c r="B265" s="3666"/>
      <c r="C265" s="3666"/>
      <c r="D265" s="3910"/>
      <c r="E265" s="3742"/>
      <c r="F265" s="5065"/>
      <c r="G265" s="5065"/>
      <c r="H265" s="3666"/>
      <c r="I265" s="3910"/>
      <c r="J265" s="5065"/>
      <c r="K265" s="3910"/>
      <c r="L265" s="5065"/>
      <c r="M265" s="3666"/>
      <c r="N265" s="2963"/>
      <c r="O265" s="2963"/>
      <c r="P265" s="2963"/>
      <c r="Q265" s="2963"/>
      <c r="R265" s="2963"/>
      <c r="S265" s="2963"/>
      <c r="T265" s="2963"/>
      <c r="U265" s="2963"/>
      <c r="V265" s="2963"/>
      <c r="W265" s="2963"/>
      <c r="X265" s="2963"/>
      <c r="Y265" s="2963"/>
      <c r="Z265" s="2963"/>
      <c r="AA265" s="2963"/>
      <c r="AB265" s="2963"/>
      <c r="AC265" s="3662">
        <v>4</v>
      </c>
      <c r="AD265" s="5134" t="s">
        <v>745</v>
      </c>
      <c r="AE265" s="3662">
        <v>0.18</v>
      </c>
      <c r="AF265" s="3662">
        <f>AE265*M262</f>
        <v>116443.4292</v>
      </c>
      <c r="AG265" s="3662">
        <f t="shared" si="58"/>
        <v>116443.4292</v>
      </c>
      <c r="AH265" s="3662" t="s">
        <v>122</v>
      </c>
      <c r="AI265" s="3684">
        <v>44452</v>
      </c>
      <c r="AJ265" s="3662">
        <v>123969.5</v>
      </c>
      <c r="AK265" s="3684">
        <v>44452</v>
      </c>
      <c r="AL265" s="3662">
        <v>116443.4292</v>
      </c>
      <c r="AM265" s="3662">
        <v>44449</v>
      </c>
      <c r="AN265" s="3684">
        <f t="shared" si="59"/>
        <v>116443.4292</v>
      </c>
      <c r="AO265" s="3662">
        <v>44559</v>
      </c>
      <c r="AP265" s="3662">
        <f t="shared" si="60"/>
        <v>0</v>
      </c>
      <c r="AQ265" s="5127"/>
      <c r="AR265" s="3662"/>
      <c r="AS265" s="5134"/>
      <c r="AT265" s="5127"/>
      <c r="AU265" s="3662"/>
      <c r="AV265" s="3662"/>
      <c r="AW265" s="3662"/>
      <c r="AX265" s="3662"/>
      <c r="AY265" s="3662"/>
      <c r="AZ265" s="3662"/>
      <c r="BA265" s="5148"/>
      <c r="BB265" s="5148"/>
      <c r="BC265" s="5148"/>
      <c r="BD265" s="5148"/>
      <c r="BE265" s="5148"/>
      <c r="BF265" s="5148"/>
      <c r="BG265" s="5148"/>
      <c r="BH265" s="5148"/>
      <c r="BI265" s="3684">
        <v>116443.4292</v>
      </c>
      <c r="BJ265" s="5148"/>
      <c r="BK265" s="5148"/>
      <c r="BL265" s="5148"/>
      <c r="BM265" s="5148"/>
      <c r="BN265" s="5148"/>
      <c r="BO265" s="5127"/>
      <c r="BP265" s="5127"/>
      <c r="BQ265" s="5127"/>
      <c r="BR265" s="5127"/>
      <c r="BS265" s="5127"/>
      <c r="BT265" s="5127"/>
      <c r="BU265" s="5127"/>
      <c r="BV265" s="5127"/>
      <c r="BW265" s="3684">
        <v>116443.4292</v>
      </c>
      <c r="BX265" s="5127"/>
      <c r="BY265" s="5127"/>
      <c r="BZ265" s="5127"/>
      <c r="CA265" s="5127"/>
      <c r="CB265" s="5127"/>
      <c r="CC265" s="3662"/>
      <c r="CD265" s="3662"/>
      <c r="CE265" s="5170"/>
      <c r="CF265" s="5170"/>
      <c r="CG265" s="5170"/>
      <c r="CH265" s="5170"/>
    </row>
    <row r="266" s="4972" customFormat="1" ht="34.5" customHeight="1" spans="1:86">
      <c r="A266" s="3662"/>
      <c r="B266" s="3666"/>
      <c r="C266" s="3666"/>
      <c r="D266" s="3910"/>
      <c r="E266" s="3742"/>
      <c r="F266" s="5065"/>
      <c r="G266" s="5065"/>
      <c r="H266" s="3666"/>
      <c r="I266" s="3910"/>
      <c r="J266" s="5065"/>
      <c r="K266" s="3910"/>
      <c r="L266" s="5065"/>
      <c r="M266" s="3666"/>
      <c r="N266" s="2963"/>
      <c r="O266" s="2963"/>
      <c r="P266" s="2963"/>
      <c r="Q266" s="2963"/>
      <c r="R266" s="2963"/>
      <c r="S266" s="2963"/>
      <c r="T266" s="2963"/>
      <c r="U266" s="2963"/>
      <c r="V266" s="2963"/>
      <c r="W266" s="2963"/>
      <c r="X266" s="2963"/>
      <c r="Y266" s="2963"/>
      <c r="Z266" s="2963"/>
      <c r="AA266" s="2963"/>
      <c r="AB266" s="2963"/>
      <c r="AC266" s="3662">
        <v>5</v>
      </c>
      <c r="AD266" s="5069" t="s">
        <v>746</v>
      </c>
      <c r="AE266" s="3744">
        <v>0.02</v>
      </c>
      <c r="AF266" s="3662">
        <v>39388.26</v>
      </c>
      <c r="AG266" s="3662">
        <v>39388.26</v>
      </c>
      <c r="AH266" s="3814" t="s">
        <v>122</v>
      </c>
      <c r="AI266" s="3684">
        <v>44452</v>
      </c>
      <c r="AJ266" s="3662">
        <v>39388.26</v>
      </c>
      <c r="AK266" s="3684">
        <v>44452</v>
      </c>
      <c r="AL266" s="3684">
        <v>12938.16</v>
      </c>
      <c r="AM266" s="3684">
        <v>45663</v>
      </c>
      <c r="AN266" s="3684">
        <f t="shared" si="59"/>
        <v>12938.16</v>
      </c>
      <c r="AO266" s="3684">
        <v>45680</v>
      </c>
      <c r="AP266" s="3662">
        <f t="shared" si="60"/>
        <v>26450.1</v>
      </c>
      <c r="AQ266" s="5127"/>
      <c r="AR266" s="3662"/>
      <c r="AS266" s="5134"/>
      <c r="AT266" s="5127"/>
      <c r="AU266" s="3662"/>
      <c r="AV266" s="3662"/>
      <c r="AW266" s="3662"/>
      <c r="AX266" s="3662"/>
      <c r="AY266" s="3662"/>
      <c r="AZ266" s="3662"/>
      <c r="BA266" s="5148"/>
      <c r="BB266" s="5148"/>
      <c r="BC266" s="5148"/>
      <c r="BD266" s="5148"/>
      <c r="BE266" s="5148"/>
      <c r="BF266" s="5148"/>
      <c r="BG266" s="5148"/>
      <c r="BH266" s="5148"/>
      <c r="BI266" s="3684">
        <v>39388.26</v>
      </c>
      <c r="BJ266" s="5148"/>
      <c r="BK266" s="5148"/>
      <c r="BL266" s="5148"/>
      <c r="BM266" s="5148"/>
      <c r="BN266" s="5148"/>
      <c r="BO266" s="5127"/>
      <c r="BP266" s="5127"/>
      <c r="BQ266" s="5127"/>
      <c r="BR266" s="5127"/>
      <c r="BS266" s="5127"/>
      <c r="BT266" s="5127"/>
      <c r="BU266" s="5127"/>
      <c r="BV266" s="5127"/>
      <c r="BW266" s="3684">
        <v>12938.16</v>
      </c>
      <c r="BX266" s="5127"/>
      <c r="BY266" s="5127"/>
      <c r="BZ266" s="5127"/>
      <c r="CA266" s="5127"/>
      <c r="CB266" s="5127"/>
      <c r="CC266" s="3662"/>
      <c r="CD266" s="3662"/>
      <c r="CE266" s="5170"/>
      <c r="CF266" s="5170"/>
      <c r="CG266" s="5170"/>
      <c r="CH266" s="5170"/>
    </row>
    <row r="267" s="4972" customFormat="1" ht="27" customHeight="1" spans="1:86">
      <c r="A267" s="3662"/>
      <c r="B267" s="3666"/>
      <c r="C267" s="3666"/>
      <c r="D267" s="3910"/>
      <c r="E267" s="3742"/>
      <c r="F267" s="5065"/>
      <c r="G267" s="5065"/>
      <c r="H267" s="3666"/>
      <c r="I267" s="3910"/>
      <c r="J267" s="5065"/>
      <c r="K267" s="3910"/>
      <c r="L267" s="5065"/>
      <c r="M267" s="3666"/>
      <c r="N267" s="2963"/>
      <c r="O267" s="2963"/>
      <c r="P267" s="2963"/>
      <c r="Q267" s="2963"/>
      <c r="R267" s="2963"/>
      <c r="S267" s="2963"/>
      <c r="T267" s="2963"/>
      <c r="U267" s="2963"/>
      <c r="V267" s="2963"/>
      <c r="W267" s="2963"/>
      <c r="X267" s="2963"/>
      <c r="Y267" s="2963"/>
      <c r="Z267" s="2963"/>
      <c r="AA267" s="2963"/>
      <c r="AB267" s="2963"/>
      <c r="AC267" s="3662"/>
      <c r="AD267" s="5460"/>
      <c r="AE267" s="3667"/>
      <c r="AF267" s="3662">
        <v>-26450.1</v>
      </c>
      <c r="AG267" s="5163">
        <f t="shared" ref="AG267:AG281" si="61">SUM(BA267:BN267)</f>
        <v>-28037.106</v>
      </c>
      <c r="AH267" s="3814" t="s">
        <v>122</v>
      </c>
      <c r="AI267" s="3684">
        <v>45667</v>
      </c>
      <c r="AJ267" s="3662">
        <v>-26450.1</v>
      </c>
      <c r="AK267" s="3684">
        <v>45667</v>
      </c>
      <c r="AL267" s="3684"/>
      <c r="AM267" s="3684"/>
      <c r="AN267" s="3662">
        <f t="shared" si="59"/>
        <v>0</v>
      </c>
      <c r="AO267" s="3684"/>
      <c r="AP267" s="3662">
        <f t="shared" si="60"/>
        <v>-28037.106</v>
      </c>
      <c r="AQ267" s="5133"/>
      <c r="AR267" s="3662"/>
      <c r="AS267" s="5134"/>
      <c r="AT267" s="5127"/>
      <c r="AU267" s="3662"/>
      <c r="AV267" s="3662"/>
      <c r="AW267" s="3662"/>
      <c r="AX267" s="3662"/>
      <c r="AY267" s="3662"/>
      <c r="AZ267" s="3662"/>
      <c r="BA267" s="5148"/>
      <c r="BB267" s="5148"/>
      <c r="BC267" s="5148"/>
      <c r="BD267" s="5148"/>
      <c r="BE267" s="5148"/>
      <c r="BF267" s="5148"/>
      <c r="BG267" s="5148"/>
      <c r="BH267" s="5148"/>
      <c r="BI267" s="5507">
        <f>-26450.1*1.06</f>
        <v>-28037.106</v>
      </c>
      <c r="BJ267" s="5148"/>
      <c r="BK267" s="5148"/>
      <c r="BL267" s="5148"/>
      <c r="BM267" s="5148"/>
      <c r="BN267" s="5148"/>
      <c r="BO267" s="5127"/>
      <c r="BP267" s="5127"/>
      <c r="BQ267" s="5127"/>
      <c r="BR267" s="5127"/>
      <c r="BS267" s="5127"/>
      <c r="BT267" s="5127"/>
      <c r="BU267" s="5127"/>
      <c r="BV267" s="5148"/>
      <c r="BW267" s="5522"/>
      <c r="BX267" s="5127"/>
      <c r="BY267" s="5127"/>
      <c r="BZ267" s="5127"/>
      <c r="CA267" s="5127"/>
      <c r="CB267" s="5127"/>
      <c r="CC267" s="3662"/>
      <c r="CD267" s="3662"/>
      <c r="CE267" s="5170"/>
      <c r="CF267" s="5170"/>
      <c r="CG267" s="5170"/>
      <c r="CH267" s="5170"/>
    </row>
    <row r="268" s="4972" customFormat="1" ht="61" customHeight="1" spans="1:86">
      <c r="A268" s="2680">
        <v>60</v>
      </c>
      <c r="B268" s="3662" t="s">
        <v>146</v>
      </c>
      <c r="C268" s="3662">
        <v>44141</v>
      </c>
      <c r="D268" s="5055" t="s">
        <v>747</v>
      </c>
      <c r="E268" s="3662" t="s">
        <v>171</v>
      </c>
      <c r="F268" s="5053" t="s">
        <v>291</v>
      </c>
      <c r="G268" s="5053" t="s">
        <v>748</v>
      </c>
      <c r="H268" s="3662" t="s">
        <v>286</v>
      </c>
      <c r="I268" s="3744"/>
      <c r="J268" s="5053" t="s">
        <v>571</v>
      </c>
      <c r="K268" s="3662" t="s">
        <v>749</v>
      </c>
      <c r="L268" s="3662" t="s">
        <v>750</v>
      </c>
      <c r="M268" s="3662">
        <f>SUM(N268:AA268)</f>
        <v>500000</v>
      </c>
      <c r="N268" s="5448"/>
      <c r="O268" s="5448"/>
      <c r="P268" s="5448">
        <v>200000</v>
      </c>
      <c r="Q268" s="5448">
        <v>200000</v>
      </c>
      <c r="R268" s="5448">
        <v>100000</v>
      </c>
      <c r="S268" s="5331"/>
      <c r="T268" s="5331"/>
      <c r="U268" s="5331"/>
      <c r="V268" s="5331"/>
      <c r="W268" s="5331"/>
      <c r="X268" s="2680">
        <v>0</v>
      </c>
      <c r="Y268" s="2680"/>
      <c r="Z268" s="2680"/>
      <c r="AA268" s="5331"/>
      <c r="AB268" s="5331"/>
      <c r="AC268" s="3662">
        <v>1</v>
      </c>
      <c r="AD268" s="5134" t="s">
        <v>751</v>
      </c>
      <c r="AE268" s="3662">
        <v>0.6</v>
      </c>
      <c r="AF268" s="3662">
        <v>300000</v>
      </c>
      <c r="AG268" s="3684">
        <f t="shared" si="61"/>
        <v>300000</v>
      </c>
      <c r="AH268" s="3684" t="s">
        <v>122</v>
      </c>
      <c r="AI268" s="3684">
        <v>44166</v>
      </c>
      <c r="AJ268" s="3662">
        <v>300000</v>
      </c>
      <c r="AK268" s="5127">
        <v>44166</v>
      </c>
      <c r="AL268" s="3684">
        <v>300000</v>
      </c>
      <c r="AM268" s="3662">
        <v>44187</v>
      </c>
      <c r="AN268" s="3662">
        <f t="shared" si="59"/>
        <v>300000</v>
      </c>
      <c r="AO268" s="5127">
        <v>44232</v>
      </c>
      <c r="AP268" s="3662">
        <f t="shared" si="60"/>
        <v>0</v>
      </c>
      <c r="AQ268" s="5134"/>
      <c r="AR268" s="3662"/>
      <c r="AS268" s="5134"/>
      <c r="AT268" s="5127"/>
      <c r="AU268" s="3662">
        <f>SUM(AG268:AG269)</f>
        <v>400000</v>
      </c>
      <c r="AV268" s="3662">
        <f>SUM(AL268:AL269)</f>
        <v>400000</v>
      </c>
      <c r="AW268" s="3662">
        <f>SUM(AN268:AN269)</f>
        <v>400000</v>
      </c>
      <c r="AX268" s="3662">
        <f>M268-AU268</f>
        <v>100000</v>
      </c>
      <c r="AY268" s="3662">
        <f>AU268-AV268</f>
        <v>0</v>
      </c>
      <c r="AZ268" s="3662">
        <f>AV268-AW268</f>
        <v>0</v>
      </c>
      <c r="BA268" s="5148"/>
      <c r="BB268" s="5148"/>
      <c r="BC268" s="5148">
        <v>100000</v>
      </c>
      <c r="BD268" s="5148">
        <v>200000</v>
      </c>
      <c r="BE268" s="5148"/>
      <c r="BF268" s="5148"/>
      <c r="BG268" s="5148"/>
      <c r="BH268" s="5148"/>
      <c r="BI268" s="5148"/>
      <c r="BJ268" s="5148"/>
      <c r="BK268" s="5148"/>
      <c r="BL268" s="5148"/>
      <c r="BM268" s="5148"/>
      <c r="BN268" s="5148"/>
      <c r="BO268" s="5148"/>
      <c r="BP268" s="5148"/>
      <c r="BQ268" s="5517">
        <v>100000</v>
      </c>
      <c r="BR268" s="5517">
        <v>200000</v>
      </c>
      <c r="BS268" s="5148"/>
      <c r="BT268" s="5148"/>
      <c r="BU268" s="5148"/>
      <c r="BV268" s="5148"/>
      <c r="BW268" s="5148"/>
      <c r="BX268" s="5148"/>
      <c r="BY268" s="5148"/>
      <c r="BZ268" s="5148"/>
      <c r="CA268" s="5148"/>
      <c r="CB268" s="5148"/>
      <c r="CC268" s="5127"/>
      <c r="CD268" s="5127"/>
      <c r="CE268" s="5170"/>
      <c r="CF268" s="5170"/>
      <c r="CG268" s="5170"/>
      <c r="CH268" s="5170"/>
    </row>
    <row r="269" s="4972" customFormat="1" ht="61" customHeight="1" spans="1:86">
      <c r="A269" s="2680"/>
      <c r="B269" s="3662"/>
      <c r="C269" s="3662"/>
      <c r="D269" s="5053"/>
      <c r="E269" s="3662"/>
      <c r="F269" s="5053"/>
      <c r="G269" s="5053"/>
      <c r="H269" s="3662"/>
      <c r="I269" s="3667"/>
      <c r="J269" s="5053"/>
      <c r="K269" s="3662"/>
      <c r="L269" s="3662"/>
      <c r="M269" s="3662"/>
      <c r="N269" s="5449"/>
      <c r="O269" s="5449"/>
      <c r="P269" s="5449"/>
      <c r="Q269" s="5449"/>
      <c r="R269" s="5449"/>
      <c r="S269" s="5331"/>
      <c r="T269" s="5331"/>
      <c r="U269" s="5331"/>
      <c r="V269" s="5331"/>
      <c r="W269" s="5331"/>
      <c r="X269" s="2680"/>
      <c r="Y269" s="2680"/>
      <c r="Z269" s="2680"/>
      <c r="AA269" s="5331"/>
      <c r="AB269" s="5331"/>
      <c r="AC269" s="3662">
        <v>2</v>
      </c>
      <c r="AD269" s="5134" t="s">
        <v>751</v>
      </c>
      <c r="AE269" s="3662">
        <v>0.2</v>
      </c>
      <c r="AF269" s="3662">
        <v>100000</v>
      </c>
      <c r="AG269" s="3684">
        <f t="shared" si="61"/>
        <v>100000</v>
      </c>
      <c r="AH269" s="3814" t="s">
        <v>206</v>
      </c>
      <c r="AI269" s="3684">
        <v>44516</v>
      </c>
      <c r="AJ269" s="3684">
        <v>100000</v>
      </c>
      <c r="AK269" s="3684">
        <v>44516</v>
      </c>
      <c r="AL269" s="3684">
        <v>100000</v>
      </c>
      <c r="AM269" s="3684">
        <v>44516</v>
      </c>
      <c r="AN269" s="3662">
        <v>100000</v>
      </c>
      <c r="AO269" s="5127">
        <v>44531</v>
      </c>
      <c r="AP269" s="3662">
        <f t="shared" si="60"/>
        <v>0</v>
      </c>
      <c r="AQ269" s="5319" t="s">
        <v>752</v>
      </c>
      <c r="AR269" s="3662"/>
      <c r="AS269" s="5134"/>
      <c r="AT269" s="5127"/>
      <c r="AU269" s="3662"/>
      <c r="AV269" s="3662"/>
      <c r="AW269" s="3662"/>
      <c r="AX269" s="3662"/>
      <c r="AY269" s="3662"/>
      <c r="AZ269" s="3662"/>
      <c r="BA269" s="5148"/>
      <c r="BB269" s="5148"/>
      <c r="BC269" s="5148"/>
      <c r="BD269" s="5148">
        <v>100000</v>
      </c>
      <c r="BE269" s="5148"/>
      <c r="BF269" s="5148"/>
      <c r="BG269" s="5148"/>
      <c r="BH269" s="5148"/>
      <c r="BI269" s="5148"/>
      <c r="BJ269" s="5148"/>
      <c r="BK269" s="5148"/>
      <c r="BL269" s="5148"/>
      <c r="BM269" s="5148"/>
      <c r="BN269" s="5148"/>
      <c r="BO269" s="5148"/>
      <c r="BP269" s="5148"/>
      <c r="BQ269" s="5148"/>
      <c r="BR269" s="5148">
        <v>100000</v>
      </c>
      <c r="BS269" s="5148"/>
      <c r="BT269" s="5148"/>
      <c r="BU269" s="5148"/>
      <c r="BV269" s="5148"/>
      <c r="BW269" s="5148"/>
      <c r="BX269" s="5148"/>
      <c r="BY269" s="5148"/>
      <c r="BZ269" s="5148"/>
      <c r="CA269" s="5148"/>
      <c r="CB269" s="5148"/>
      <c r="CC269" s="5127"/>
      <c r="CD269" s="5127"/>
      <c r="CE269" s="5170"/>
      <c r="CF269" s="5170"/>
      <c r="CG269" s="5170"/>
      <c r="CH269" s="5170"/>
    </row>
    <row r="270" s="4972" customFormat="1" ht="61" customHeight="1" spans="1:86">
      <c r="A270" s="5331">
        <v>61</v>
      </c>
      <c r="B270" s="5127" t="s">
        <v>159</v>
      </c>
      <c r="C270" s="5127">
        <v>44119</v>
      </c>
      <c r="D270" s="5134" t="s">
        <v>753</v>
      </c>
      <c r="E270" s="5127" t="s">
        <v>113</v>
      </c>
      <c r="F270" s="5134" t="s">
        <v>754</v>
      </c>
      <c r="G270" s="5134" t="s">
        <v>755</v>
      </c>
      <c r="H270" s="5127" t="s">
        <v>193</v>
      </c>
      <c r="I270" s="5319" t="s">
        <v>756</v>
      </c>
      <c r="J270" s="5134" t="s">
        <v>163</v>
      </c>
      <c r="K270" s="5127"/>
      <c r="L270" s="5127"/>
      <c r="M270" s="3662">
        <f>SUM(N270:AA270)</f>
        <v>40000</v>
      </c>
      <c r="N270" s="5331"/>
      <c r="O270" s="5331"/>
      <c r="P270" s="5331"/>
      <c r="Q270" s="5331"/>
      <c r="R270" s="5331"/>
      <c r="S270" s="5331"/>
      <c r="T270" s="5331"/>
      <c r="U270" s="5331"/>
      <c r="V270" s="5331">
        <v>40000</v>
      </c>
      <c r="W270" s="5331"/>
      <c r="X270" s="2680">
        <v>0</v>
      </c>
      <c r="Y270" s="2680"/>
      <c r="Z270" s="2680"/>
      <c r="AA270" s="5331"/>
      <c r="AB270" s="5331"/>
      <c r="AC270" s="3662">
        <v>1</v>
      </c>
      <c r="AD270" s="5134" t="s">
        <v>757</v>
      </c>
      <c r="AE270" s="3662">
        <v>1</v>
      </c>
      <c r="AF270" s="3662">
        <v>40000</v>
      </c>
      <c r="AG270" s="3662">
        <f t="shared" si="61"/>
        <v>40000</v>
      </c>
      <c r="AH270" s="3662" t="s">
        <v>122</v>
      </c>
      <c r="AI270" s="3662">
        <v>44155</v>
      </c>
      <c r="AJ270" s="3662">
        <v>40000</v>
      </c>
      <c r="AK270" s="5127">
        <v>44155</v>
      </c>
      <c r="AL270" s="3684">
        <v>40000</v>
      </c>
      <c r="AM270" s="3662">
        <v>44155</v>
      </c>
      <c r="AN270" s="3684">
        <f t="shared" ref="AN270:AN277" si="62">SUM(BO270:CB270)</f>
        <v>40000</v>
      </c>
      <c r="AO270" s="5148">
        <v>44306</v>
      </c>
      <c r="AP270" s="3662">
        <f t="shared" ref="AP270:AP277" si="63">AG270-AN270</f>
        <v>0</v>
      </c>
      <c r="AQ270" s="5127"/>
      <c r="AR270" s="3662"/>
      <c r="AS270" s="5134"/>
      <c r="AT270" s="5127"/>
      <c r="AU270" s="3524">
        <f>SUM(AG270)</f>
        <v>40000</v>
      </c>
      <c r="AV270" s="3524">
        <f>SUM(AL270)</f>
        <v>40000</v>
      </c>
      <c r="AW270" s="3524">
        <f>SUM(AN270)</f>
        <v>40000</v>
      </c>
      <c r="AX270" s="3524">
        <f>M270-AU270</f>
        <v>0</v>
      </c>
      <c r="AY270" s="3524">
        <f>AU270-AV270</f>
        <v>0</v>
      </c>
      <c r="AZ270" s="3524">
        <f>AV270-AW270</f>
        <v>0</v>
      </c>
      <c r="BA270" s="5148"/>
      <c r="BB270" s="5148"/>
      <c r="BC270" s="5148"/>
      <c r="BD270" s="5148"/>
      <c r="BE270" s="5148"/>
      <c r="BF270" s="5148"/>
      <c r="BG270" s="5148"/>
      <c r="BH270" s="5148"/>
      <c r="BI270" s="5148">
        <v>40000</v>
      </c>
      <c r="BJ270" s="5148"/>
      <c r="BK270" s="5148"/>
      <c r="BL270" s="5148"/>
      <c r="BM270" s="5148"/>
      <c r="BN270" s="5148"/>
      <c r="BO270" s="5148"/>
      <c r="BP270" s="5148"/>
      <c r="BQ270" s="5148"/>
      <c r="BR270" s="5148"/>
      <c r="BS270" s="5148"/>
      <c r="BT270" s="5148"/>
      <c r="BU270" s="5148"/>
      <c r="BV270" s="5148"/>
      <c r="BW270" s="5148">
        <v>40000</v>
      </c>
      <c r="BX270" s="5148"/>
      <c r="BY270" s="5148"/>
      <c r="BZ270" s="5148"/>
      <c r="CA270" s="5148"/>
      <c r="CB270" s="5148"/>
      <c r="CC270" s="5127"/>
      <c r="CD270" s="5127"/>
      <c r="CE270" s="5170"/>
      <c r="CF270" s="5170"/>
      <c r="CG270" s="5170"/>
      <c r="CH270" s="5170"/>
    </row>
    <row r="271" s="4972" customFormat="1" ht="61" customHeight="1" spans="1:86">
      <c r="A271" s="5177">
        <v>62</v>
      </c>
      <c r="B271" s="3662" t="s">
        <v>159</v>
      </c>
      <c r="C271" s="3662">
        <v>44132</v>
      </c>
      <c r="D271" s="5055" t="s">
        <v>758</v>
      </c>
      <c r="E271" s="5053" t="s">
        <v>759</v>
      </c>
      <c r="F271" s="5053" t="s">
        <v>760</v>
      </c>
      <c r="G271" s="5053" t="s">
        <v>761</v>
      </c>
      <c r="H271" s="3662" t="s">
        <v>31</v>
      </c>
      <c r="I271" s="3909" t="s">
        <v>762</v>
      </c>
      <c r="J271" s="5053" t="s">
        <v>763</v>
      </c>
      <c r="K271" s="5053" t="s">
        <v>764</v>
      </c>
      <c r="L271" s="3662" t="s">
        <v>765</v>
      </c>
      <c r="M271" s="3662">
        <f>SUM(N271:AA273)</f>
        <v>826282.03</v>
      </c>
      <c r="N271" s="5177"/>
      <c r="O271" s="5177"/>
      <c r="P271" s="5177"/>
      <c r="Q271" s="5177"/>
      <c r="R271" s="5177"/>
      <c r="S271" s="5177"/>
      <c r="T271" s="5177"/>
      <c r="U271" s="5177">
        <v>826282.03</v>
      </c>
      <c r="V271" s="5177"/>
      <c r="W271" s="5177"/>
      <c r="X271" s="5177">
        <v>0</v>
      </c>
      <c r="Y271" s="5177"/>
      <c r="Z271" s="5177"/>
      <c r="AA271" s="5177"/>
      <c r="AB271" s="5177"/>
      <c r="AC271" s="3662">
        <v>1</v>
      </c>
      <c r="AD271" s="5134" t="s">
        <v>766</v>
      </c>
      <c r="AE271" s="3662">
        <v>0.2</v>
      </c>
      <c r="AF271" s="3662">
        <f>AE271*M271</f>
        <v>165256.406</v>
      </c>
      <c r="AG271" s="3684">
        <f t="shared" si="61"/>
        <v>165256.406</v>
      </c>
      <c r="AH271" s="3684" t="s">
        <v>122</v>
      </c>
      <c r="AI271" s="3684">
        <v>44166</v>
      </c>
      <c r="AJ271" s="3662">
        <v>165256.406</v>
      </c>
      <c r="AK271" s="5148">
        <v>44166</v>
      </c>
      <c r="AL271" s="3684">
        <v>165256.406</v>
      </c>
      <c r="AM271" s="3662">
        <v>44200</v>
      </c>
      <c r="AN271" s="3662">
        <f t="shared" si="62"/>
        <v>165256.406</v>
      </c>
      <c r="AO271" s="5127">
        <v>44231</v>
      </c>
      <c r="AP271" s="3662">
        <f t="shared" si="63"/>
        <v>0</v>
      </c>
      <c r="AQ271" s="5127"/>
      <c r="AR271" s="3814" t="s">
        <v>128</v>
      </c>
      <c r="AS271" s="5134"/>
      <c r="AT271" s="5127"/>
      <c r="AU271" s="5177">
        <f>SUM(AG271:AG273)</f>
        <v>826282.03</v>
      </c>
      <c r="AV271" s="5177">
        <f>SUM(AL271:AL273)</f>
        <v>826282.028</v>
      </c>
      <c r="AW271" s="5177">
        <f>SUM(AN271:AN273)</f>
        <v>826282.03</v>
      </c>
      <c r="AX271" s="5177">
        <f>M271-AU271</f>
        <v>0</v>
      </c>
      <c r="AY271" s="5177">
        <f>AU271-AV271</f>
        <v>0.0020000000949949</v>
      </c>
      <c r="AZ271" s="5177">
        <v>0</v>
      </c>
      <c r="BA271" s="5148"/>
      <c r="BB271" s="5148"/>
      <c r="BC271" s="5148"/>
      <c r="BD271" s="5148"/>
      <c r="BE271" s="5148"/>
      <c r="BF271" s="5148"/>
      <c r="BG271" s="5148"/>
      <c r="BH271" s="5148">
        <v>165256.406</v>
      </c>
      <c r="BI271" s="5148"/>
      <c r="BJ271" s="5148"/>
      <c r="BK271" s="5148"/>
      <c r="BL271" s="5148"/>
      <c r="BM271" s="5148"/>
      <c r="BN271" s="5148"/>
      <c r="BO271" s="5148"/>
      <c r="BP271" s="5148"/>
      <c r="BQ271" s="5148"/>
      <c r="BR271" s="5148"/>
      <c r="BS271" s="5148"/>
      <c r="BT271" s="5148"/>
      <c r="BU271" s="5148"/>
      <c r="BV271" s="5148">
        <v>165256.406</v>
      </c>
      <c r="BW271" s="5148"/>
      <c r="BX271" s="5148"/>
      <c r="BY271" s="5148"/>
      <c r="BZ271" s="5148"/>
      <c r="CA271" s="5148"/>
      <c r="CB271" s="5148"/>
      <c r="CC271" s="3662" t="s">
        <v>166</v>
      </c>
      <c r="CD271" s="3662" t="s">
        <v>154</v>
      </c>
      <c r="CE271" s="5170"/>
      <c r="CF271" s="5170"/>
      <c r="CG271" s="5170"/>
      <c r="CH271" s="5170"/>
    </row>
    <row r="272" s="4972" customFormat="1" ht="79.15" customHeight="1" spans="1:86">
      <c r="A272" s="5177"/>
      <c r="B272" s="3662"/>
      <c r="C272" s="3662"/>
      <c r="D272" s="5053"/>
      <c r="E272" s="5053"/>
      <c r="F272" s="5053"/>
      <c r="G272" s="5053"/>
      <c r="H272" s="3662"/>
      <c r="I272" s="5065"/>
      <c r="J272" s="5053"/>
      <c r="K272" s="5053"/>
      <c r="L272" s="3662"/>
      <c r="M272" s="3662"/>
      <c r="N272" s="5177"/>
      <c r="O272" s="5177"/>
      <c r="P272" s="5177"/>
      <c r="Q272" s="5177"/>
      <c r="R272" s="5177"/>
      <c r="S272" s="5177"/>
      <c r="T272" s="5177"/>
      <c r="U272" s="5177"/>
      <c r="V272" s="5177"/>
      <c r="W272" s="5177"/>
      <c r="X272" s="5177"/>
      <c r="Y272" s="5177"/>
      <c r="Z272" s="5177"/>
      <c r="AA272" s="5177"/>
      <c r="AB272" s="5177"/>
      <c r="AC272" s="3662">
        <v>2</v>
      </c>
      <c r="AD272" s="5134" t="s">
        <v>767</v>
      </c>
      <c r="AE272" s="3662">
        <v>0.4</v>
      </c>
      <c r="AF272" s="3662">
        <f>AE272*M271</f>
        <v>330512.812</v>
      </c>
      <c r="AG272" s="3684">
        <f t="shared" si="61"/>
        <v>330512.812</v>
      </c>
      <c r="AH272" s="3684" t="s">
        <v>122</v>
      </c>
      <c r="AI272" s="3684">
        <v>44166</v>
      </c>
      <c r="AJ272" s="3662">
        <v>330512.812</v>
      </c>
      <c r="AK272" s="5148">
        <v>44166</v>
      </c>
      <c r="AL272" s="3684">
        <v>330512.812</v>
      </c>
      <c r="AM272" s="3662">
        <v>44200</v>
      </c>
      <c r="AN272" s="3662">
        <f t="shared" si="62"/>
        <v>330512.812</v>
      </c>
      <c r="AO272" s="5127">
        <v>44231</v>
      </c>
      <c r="AP272" s="3662">
        <f t="shared" si="63"/>
        <v>0</v>
      </c>
      <c r="AQ272" s="5127"/>
      <c r="AR272" s="3662"/>
      <c r="AS272" s="5134"/>
      <c r="AT272" s="5127"/>
      <c r="AU272" s="5177"/>
      <c r="AV272" s="5177"/>
      <c r="AW272" s="5177"/>
      <c r="AX272" s="5177"/>
      <c r="AY272" s="5177"/>
      <c r="AZ272" s="5177"/>
      <c r="BA272" s="5148"/>
      <c r="BB272" s="5148"/>
      <c r="BC272" s="5148"/>
      <c r="BD272" s="5148"/>
      <c r="BE272" s="5148"/>
      <c r="BF272" s="5148"/>
      <c r="BG272" s="5148"/>
      <c r="BH272" s="5148">
        <v>330512.812</v>
      </c>
      <c r="BI272" s="5148"/>
      <c r="BJ272" s="5148"/>
      <c r="BK272" s="5148"/>
      <c r="BL272" s="5148"/>
      <c r="BM272" s="5148"/>
      <c r="BN272" s="5148"/>
      <c r="BO272" s="5148"/>
      <c r="BP272" s="5148"/>
      <c r="BQ272" s="5148"/>
      <c r="BR272" s="5148"/>
      <c r="BS272" s="5148"/>
      <c r="BT272" s="5148"/>
      <c r="BU272" s="5148"/>
      <c r="BV272" s="5148">
        <v>330512.812</v>
      </c>
      <c r="BW272" s="5148"/>
      <c r="BX272" s="5148"/>
      <c r="BY272" s="5148"/>
      <c r="BZ272" s="5148"/>
      <c r="CA272" s="5148"/>
      <c r="CB272" s="5148"/>
      <c r="CC272" s="3662"/>
      <c r="CD272" s="3662"/>
      <c r="CE272" s="5170"/>
      <c r="CF272" s="5170"/>
      <c r="CG272" s="5170"/>
      <c r="CH272" s="5170"/>
    </row>
    <row r="273" s="4972" customFormat="1" ht="101.65" customHeight="1" spans="1:86">
      <c r="A273" s="5177"/>
      <c r="B273" s="3662"/>
      <c r="C273" s="3662"/>
      <c r="D273" s="5053"/>
      <c r="E273" s="5053"/>
      <c r="F273" s="5053"/>
      <c r="G273" s="5053"/>
      <c r="H273" s="3662"/>
      <c r="I273" s="5062"/>
      <c r="J273" s="5053"/>
      <c r="K273" s="5053"/>
      <c r="L273" s="3662"/>
      <c r="M273" s="3662"/>
      <c r="N273" s="5177"/>
      <c r="O273" s="5177"/>
      <c r="P273" s="5177"/>
      <c r="Q273" s="5177"/>
      <c r="R273" s="5177"/>
      <c r="S273" s="5177"/>
      <c r="T273" s="5177"/>
      <c r="U273" s="5177"/>
      <c r="V273" s="5177"/>
      <c r="W273" s="5177"/>
      <c r="X273" s="5177"/>
      <c r="Y273" s="5177"/>
      <c r="Z273" s="5177"/>
      <c r="AA273" s="5177"/>
      <c r="AB273" s="5177"/>
      <c r="AC273" s="3662">
        <v>3</v>
      </c>
      <c r="AD273" s="5134" t="s">
        <v>768</v>
      </c>
      <c r="AE273" s="3662">
        <v>0.4</v>
      </c>
      <c r="AF273" s="3662">
        <f>AE273*M271</f>
        <v>330512.812</v>
      </c>
      <c r="AG273" s="3662">
        <f t="shared" si="61"/>
        <v>330512.812</v>
      </c>
      <c r="AH273" s="3684" t="s">
        <v>122</v>
      </c>
      <c r="AI273" s="3684">
        <v>44166</v>
      </c>
      <c r="AJ273" s="3662">
        <v>330512.812</v>
      </c>
      <c r="AK273" s="5148">
        <v>44166</v>
      </c>
      <c r="AL273" s="3684">
        <v>330512.81</v>
      </c>
      <c r="AM273" s="3662">
        <v>44200</v>
      </c>
      <c r="AN273" s="3662">
        <f t="shared" si="62"/>
        <v>330512.812</v>
      </c>
      <c r="AO273" s="5127">
        <v>44231</v>
      </c>
      <c r="AP273" s="3662">
        <f t="shared" si="63"/>
        <v>0</v>
      </c>
      <c r="AQ273" s="5127"/>
      <c r="AR273" s="3662"/>
      <c r="AS273" s="5134"/>
      <c r="AT273" s="5127"/>
      <c r="AU273" s="5177"/>
      <c r="AV273" s="5177"/>
      <c r="AW273" s="5177"/>
      <c r="AX273" s="5177"/>
      <c r="AY273" s="5177"/>
      <c r="AZ273" s="5177"/>
      <c r="BA273" s="5148"/>
      <c r="BB273" s="5148"/>
      <c r="BC273" s="5148"/>
      <c r="BD273" s="5148"/>
      <c r="BE273" s="5148"/>
      <c r="BF273" s="5148"/>
      <c r="BG273" s="5148"/>
      <c r="BH273" s="5148">
        <v>330512.812</v>
      </c>
      <c r="BI273" s="5148"/>
      <c r="BJ273" s="5148"/>
      <c r="BK273" s="5148"/>
      <c r="BL273" s="5148"/>
      <c r="BM273" s="5148"/>
      <c r="BN273" s="5148"/>
      <c r="BO273" s="5148"/>
      <c r="BP273" s="5148"/>
      <c r="BQ273" s="5148"/>
      <c r="BR273" s="5148"/>
      <c r="BS273" s="5148"/>
      <c r="BT273" s="5148"/>
      <c r="BU273" s="5148"/>
      <c r="BV273" s="5148">
        <v>330512.812</v>
      </c>
      <c r="BW273" s="5148"/>
      <c r="BX273" s="5148"/>
      <c r="BY273" s="5148"/>
      <c r="BZ273" s="5148"/>
      <c r="CA273" s="5148"/>
      <c r="CB273" s="5148"/>
      <c r="CC273" s="3662"/>
      <c r="CD273" s="3662"/>
      <c r="CE273" s="5170"/>
      <c r="CF273" s="5170"/>
      <c r="CG273" s="5170"/>
      <c r="CH273" s="5170"/>
    </row>
    <row r="274" s="4972" customFormat="1" ht="32.5" customHeight="1" spans="1:86">
      <c r="A274" s="3058">
        <v>63</v>
      </c>
      <c r="B274" s="3662" t="s">
        <v>159</v>
      </c>
      <c r="C274" s="3662">
        <v>44123</v>
      </c>
      <c r="D274" s="5055" t="s">
        <v>758</v>
      </c>
      <c r="E274" s="5053" t="s">
        <v>769</v>
      </c>
      <c r="F274" s="5053" t="s">
        <v>770</v>
      </c>
      <c r="G274" s="5053" t="s">
        <v>771</v>
      </c>
      <c r="H274" s="3662" t="s">
        <v>193</v>
      </c>
      <c r="I274" s="3909" t="s">
        <v>772</v>
      </c>
      <c r="J274" s="5053" t="s">
        <v>763</v>
      </c>
      <c r="K274" s="5053" t="s">
        <v>773</v>
      </c>
      <c r="L274" s="5053" t="s">
        <v>774</v>
      </c>
      <c r="M274" s="3662">
        <f>SUM(N274:AA276)</f>
        <v>236423.85</v>
      </c>
      <c r="N274" s="3058"/>
      <c r="O274" s="3058"/>
      <c r="P274" s="3058"/>
      <c r="Q274" s="3058"/>
      <c r="R274" s="3058"/>
      <c r="S274" s="3058"/>
      <c r="T274" s="3058"/>
      <c r="U274" s="3058"/>
      <c r="V274" s="3058">
        <v>236423.85</v>
      </c>
      <c r="W274" s="3058"/>
      <c r="X274" s="3058">
        <v>0</v>
      </c>
      <c r="Y274" s="3058"/>
      <c r="Z274" s="3058"/>
      <c r="AA274" s="3058"/>
      <c r="AB274" s="3058"/>
      <c r="AC274" s="3662">
        <v>1</v>
      </c>
      <c r="AD274" s="5134" t="s">
        <v>775</v>
      </c>
      <c r="AE274" s="3662">
        <v>0.2</v>
      </c>
      <c r="AF274" s="3662">
        <f>AE274*M274</f>
        <v>47284.77</v>
      </c>
      <c r="AG274" s="3684">
        <f t="shared" si="61"/>
        <v>47284.77</v>
      </c>
      <c r="AH274" s="3684" t="s">
        <v>122</v>
      </c>
      <c r="AI274" s="3684">
        <v>44166</v>
      </c>
      <c r="AJ274" s="3684">
        <v>47284.77</v>
      </c>
      <c r="AK274" s="3684">
        <v>44166</v>
      </c>
      <c r="AL274" s="3684">
        <v>47284.77</v>
      </c>
      <c r="AM274" s="3662">
        <v>44210</v>
      </c>
      <c r="AN274" s="3662">
        <f t="shared" si="62"/>
        <v>47284.77</v>
      </c>
      <c r="AO274" s="5127">
        <v>44223</v>
      </c>
      <c r="AP274" s="3662">
        <f t="shared" si="63"/>
        <v>0</v>
      </c>
      <c r="AQ274" s="5127"/>
      <c r="AR274" s="3814" t="s">
        <v>128</v>
      </c>
      <c r="AS274" s="5134"/>
      <c r="AT274" s="5127"/>
      <c r="AU274" s="3058">
        <f>SUM(AG274:AG276)</f>
        <v>236423.85</v>
      </c>
      <c r="AV274" s="3058">
        <f>SUM(AL274:AL276)</f>
        <v>236423.85</v>
      </c>
      <c r="AW274" s="3058">
        <f>SUM(AN274:AN276)</f>
        <v>236423.85</v>
      </c>
      <c r="AX274" s="3058">
        <f>M274-AU274</f>
        <v>0</v>
      </c>
      <c r="AY274" s="3058">
        <f>AU274-AV274</f>
        <v>0</v>
      </c>
      <c r="AZ274" s="3058">
        <f>AV274-AW274</f>
        <v>0</v>
      </c>
      <c r="BA274" s="5148"/>
      <c r="BB274" s="5148"/>
      <c r="BC274" s="5148"/>
      <c r="BD274" s="5148"/>
      <c r="BE274" s="5148"/>
      <c r="BF274" s="5148"/>
      <c r="BG274" s="5148"/>
      <c r="BH274" s="5148"/>
      <c r="BI274" s="5148">
        <v>47284.77</v>
      </c>
      <c r="BJ274" s="5148"/>
      <c r="BK274" s="5148"/>
      <c r="BL274" s="5148"/>
      <c r="BM274" s="5148"/>
      <c r="BN274" s="5148"/>
      <c r="BO274" s="5148"/>
      <c r="BP274" s="5148"/>
      <c r="BQ274" s="5148"/>
      <c r="BR274" s="5148"/>
      <c r="BS274" s="5148"/>
      <c r="BT274" s="5148"/>
      <c r="BU274" s="5148"/>
      <c r="BV274" s="5148"/>
      <c r="BW274" s="5148">
        <v>47284.77</v>
      </c>
      <c r="BX274" s="5148"/>
      <c r="BY274" s="5148"/>
      <c r="BZ274" s="5148"/>
      <c r="CA274" s="5148"/>
      <c r="CB274" s="5148"/>
      <c r="CC274" s="3662" t="s">
        <v>166</v>
      </c>
      <c r="CD274" s="3662" t="s">
        <v>154</v>
      </c>
      <c r="CE274" s="5170"/>
      <c r="CF274" s="5170"/>
      <c r="CG274" s="5170"/>
      <c r="CH274" s="5170"/>
    </row>
    <row r="275" s="4972" customFormat="1" ht="50" customHeight="1" spans="1:86">
      <c r="A275" s="3058"/>
      <c r="B275" s="3662"/>
      <c r="C275" s="3662"/>
      <c r="D275" s="5053"/>
      <c r="E275" s="5053"/>
      <c r="F275" s="5053"/>
      <c r="G275" s="5053"/>
      <c r="H275" s="3662"/>
      <c r="I275" s="5065"/>
      <c r="J275" s="5053"/>
      <c r="K275" s="5053"/>
      <c r="L275" s="5053"/>
      <c r="M275" s="3662"/>
      <c r="N275" s="3058"/>
      <c r="O275" s="3058"/>
      <c r="P275" s="3058"/>
      <c r="Q275" s="3058"/>
      <c r="R275" s="3058"/>
      <c r="S275" s="3058"/>
      <c r="T275" s="3058"/>
      <c r="U275" s="3058"/>
      <c r="V275" s="3058"/>
      <c r="W275" s="3058"/>
      <c r="X275" s="3058"/>
      <c r="Y275" s="3058"/>
      <c r="Z275" s="3058"/>
      <c r="AA275" s="3058"/>
      <c r="AB275" s="3058"/>
      <c r="AC275" s="3662">
        <v>2</v>
      </c>
      <c r="AD275" s="5053" t="s">
        <v>776</v>
      </c>
      <c r="AE275" s="5115">
        <v>0.4</v>
      </c>
      <c r="AF275" s="3662">
        <f>AE275*M274</f>
        <v>94569.54</v>
      </c>
      <c r="AG275" s="3684">
        <f t="shared" si="61"/>
        <v>94569.54</v>
      </c>
      <c r="AH275" s="3684" t="s">
        <v>122</v>
      </c>
      <c r="AI275" s="3684">
        <v>44166</v>
      </c>
      <c r="AJ275" s="3684">
        <v>94569.54</v>
      </c>
      <c r="AK275" s="3684">
        <v>44166</v>
      </c>
      <c r="AL275" s="3684">
        <v>94569.54</v>
      </c>
      <c r="AM275" s="3662">
        <v>44210</v>
      </c>
      <c r="AN275" s="3662">
        <f t="shared" si="62"/>
        <v>94569.54</v>
      </c>
      <c r="AO275" s="3662">
        <v>44223</v>
      </c>
      <c r="AP275" s="3662">
        <f t="shared" si="63"/>
        <v>0</v>
      </c>
      <c r="AQ275" s="5127"/>
      <c r="AR275" s="3662"/>
      <c r="AS275" s="5134"/>
      <c r="AT275" s="5127"/>
      <c r="AU275" s="3058"/>
      <c r="AV275" s="3058"/>
      <c r="AW275" s="3058"/>
      <c r="AX275" s="3058"/>
      <c r="AY275" s="3058"/>
      <c r="AZ275" s="3058"/>
      <c r="BA275" s="5148"/>
      <c r="BB275" s="3684"/>
      <c r="BC275" s="3684"/>
      <c r="BD275" s="5148"/>
      <c r="BE275" s="5148"/>
      <c r="BF275" s="5148"/>
      <c r="BG275" s="5148"/>
      <c r="BH275" s="3684"/>
      <c r="BI275" s="3684">
        <v>94569.54</v>
      </c>
      <c r="BJ275" s="3684"/>
      <c r="BK275" s="3684"/>
      <c r="BL275" s="3684"/>
      <c r="BM275" s="3684"/>
      <c r="BN275" s="3684"/>
      <c r="BO275" s="5148"/>
      <c r="BP275" s="5148"/>
      <c r="BQ275" s="5148"/>
      <c r="BR275" s="5148"/>
      <c r="BS275" s="5148"/>
      <c r="BT275" s="5148"/>
      <c r="BU275" s="5148"/>
      <c r="BV275" s="5148"/>
      <c r="BW275" s="3684">
        <v>94569.54</v>
      </c>
      <c r="BX275" s="5148"/>
      <c r="BY275" s="5148"/>
      <c r="BZ275" s="5148"/>
      <c r="CA275" s="5148"/>
      <c r="CB275" s="5148"/>
      <c r="CC275" s="3662"/>
      <c r="CD275" s="3662"/>
      <c r="CE275" s="5170"/>
      <c r="CF275" s="5170"/>
      <c r="CG275" s="5170"/>
      <c r="CH275" s="5170"/>
    </row>
    <row r="276" s="4972" customFormat="1" ht="61" customHeight="1" spans="1:86">
      <c r="A276" s="3058"/>
      <c r="B276" s="3662"/>
      <c r="C276" s="3662"/>
      <c r="D276" s="5053"/>
      <c r="E276" s="5053"/>
      <c r="F276" s="5053"/>
      <c r="G276" s="5053"/>
      <c r="H276" s="3662"/>
      <c r="I276" s="5062"/>
      <c r="J276" s="5053"/>
      <c r="K276" s="5053"/>
      <c r="L276" s="5053"/>
      <c r="M276" s="3662"/>
      <c r="N276" s="3058"/>
      <c r="O276" s="3058"/>
      <c r="P276" s="3058"/>
      <c r="Q276" s="3058"/>
      <c r="R276" s="3058"/>
      <c r="S276" s="3058"/>
      <c r="T276" s="3058"/>
      <c r="U276" s="3058"/>
      <c r="V276" s="3058"/>
      <c r="W276" s="3058"/>
      <c r="X276" s="3058"/>
      <c r="Y276" s="3058"/>
      <c r="Z276" s="3058"/>
      <c r="AA276" s="3058"/>
      <c r="AB276" s="3058"/>
      <c r="AC276" s="3662">
        <v>3</v>
      </c>
      <c r="AD276" s="5053" t="s">
        <v>777</v>
      </c>
      <c r="AE276" s="5115">
        <v>0.4</v>
      </c>
      <c r="AF276" s="3662">
        <f>AE276*M274</f>
        <v>94569.54</v>
      </c>
      <c r="AG276" s="3662">
        <f t="shared" si="61"/>
        <v>94569.54</v>
      </c>
      <c r="AH276" s="3684" t="s">
        <v>122</v>
      </c>
      <c r="AI276" s="3684">
        <v>44166</v>
      </c>
      <c r="AJ276" s="3684">
        <v>94569.54</v>
      </c>
      <c r="AK276" s="3684">
        <v>44166</v>
      </c>
      <c r="AL276" s="3684">
        <v>94569.54</v>
      </c>
      <c r="AM276" s="3662">
        <v>44387</v>
      </c>
      <c r="AN276" s="3684">
        <f t="shared" si="62"/>
        <v>94569.54</v>
      </c>
      <c r="AO276" s="3684">
        <v>44405</v>
      </c>
      <c r="AP276" s="3662">
        <f t="shared" si="63"/>
        <v>0</v>
      </c>
      <c r="AQ276" s="5127"/>
      <c r="AR276" s="3662"/>
      <c r="AS276" s="5134"/>
      <c r="AT276" s="5127"/>
      <c r="AU276" s="3058"/>
      <c r="AV276" s="3058"/>
      <c r="AW276" s="3058"/>
      <c r="AX276" s="3058"/>
      <c r="AY276" s="3058"/>
      <c r="AZ276" s="3058"/>
      <c r="BA276" s="5148"/>
      <c r="BB276" s="3684"/>
      <c r="BC276" s="3684"/>
      <c r="BD276" s="5148"/>
      <c r="BE276" s="5148"/>
      <c r="BF276" s="5148"/>
      <c r="BG276" s="5148"/>
      <c r="BH276" s="3684"/>
      <c r="BI276" s="3684">
        <v>94569.54</v>
      </c>
      <c r="BJ276" s="3684"/>
      <c r="BK276" s="3684"/>
      <c r="BL276" s="3684"/>
      <c r="BM276" s="3684"/>
      <c r="BN276" s="3684"/>
      <c r="BO276" s="5164"/>
      <c r="BP276" s="5164"/>
      <c r="BQ276" s="5164"/>
      <c r="BR276" s="5164"/>
      <c r="BS276" s="5164"/>
      <c r="BT276" s="5164"/>
      <c r="BU276" s="5164"/>
      <c r="BV276" s="5164"/>
      <c r="BW276" s="5148">
        <v>94569.54</v>
      </c>
      <c r="BX276" s="5164"/>
      <c r="BY276" s="5164"/>
      <c r="BZ276" s="5164"/>
      <c r="CA276" s="5164"/>
      <c r="CB276" s="5164"/>
      <c r="CC276" s="3662"/>
      <c r="CD276" s="3662"/>
      <c r="CE276" s="5170"/>
      <c r="CF276" s="5170"/>
      <c r="CG276" s="5170"/>
      <c r="CH276" s="5170"/>
    </row>
    <row r="277" s="4975" customFormat="1" ht="92.5" customHeight="1" spans="1:86">
      <c r="A277" s="5420">
        <v>64</v>
      </c>
      <c r="B277" s="2824" t="s">
        <v>690</v>
      </c>
      <c r="C277" s="5356">
        <v>44165</v>
      </c>
      <c r="D277" s="5357" t="s">
        <v>778</v>
      </c>
      <c r="E277" s="5317" t="s">
        <v>779</v>
      </c>
      <c r="F277" s="5361" t="s">
        <v>780</v>
      </c>
      <c r="G277" s="5361" t="s">
        <v>781</v>
      </c>
      <c r="H277" s="5317" t="s">
        <v>695</v>
      </c>
      <c r="I277" s="5317"/>
      <c r="J277" s="5361" t="s">
        <v>782</v>
      </c>
      <c r="K277" s="2824" t="s">
        <v>783</v>
      </c>
      <c r="L277" s="2824" t="s">
        <v>784</v>
      </c>
      <c r="M277" s="2824">
        <f>SUM(N277:AA277)</f>
        <v>357500</v>
      </c>
      <c r="N277" s="5450"/>
      <c r="O277" s="5450"/>
      <c r="P277" s="5450"/>
      <c r="Q277" s="5450"/>
      <c r="R277" s="5450"/>
      <c r="S277" s="5450"/>
      <c r="T277" s="5450"/>
      <c r="U277" s="5450"/>
      <c r="V277" s="5450"/>
      <c r="W277" s="5420">
        <v>357500</v>
      </c>
      <c r="X277" s="5420">
        <v>0</v>
      </c>
      <c r="Y277" s="5420"/>
      <c r="Z277" s="5420"/>
      <c r="AA277" s="5450"/>
      <c r="AB277" s="5450"/>
      <c r="AC277" s="2824">
        <v>1</v>
      </c>
      <c r="AD277" s="5317" t="s">
        <v>785</v>
      </c>
      <c r="AE277" s="5344">
        <v>1</v>
      </c>
      <c r="AF277" s="2824">
        <v>357500</v>
      </c>
      <c r="AG277" s="5347">
        <f t="shared" si="61"/>
        <v>309837.82</v>
      </c>
      <c r="AH277" s="5348" t="s">
        <v>122</v>
      </c>
      <c r="AI277" s="5347">
        <v>44538</v>
      </c>
      <c r="AJ277" s="2824">
        <v>309837.82</v>
      </c>
      <c r="AK277" s="5356">
        <v>44538</v>
      </c>
      <c r="AL277" s="5347">
        <v>309837.82</v>
      </c>
      <c r="AM277" s="2824">
        <v>44538</v>
      </c>
      <c r="AN277" s="5347">
        <f t="shared" si="62"/>
        <v>309837.82</v>
      </c>
      <c r="AO277" s="5347">
        <v>44588</v>
      </c>
      <c r="AP277" s="2824">
        <f t="shared" si="63"/>
        <v>0</v>
      </c>
      <c r="AQ277" s="5356"/>
      <c r="AR277" s="5348" t="s">
        <v>128</v>
      </c>
      <c r="AS277" s="5361"/>
      <c r="AT277" s="5356"/>
      <c r="AU277" s="5420">
        <f>SUM(AG277:AG277)</f>
        <v>309837.82</v>
      </c>
      <c r="AV277" s="5420">
        <f>SUM(AL277:AL277)</f>
        <v>309837.82</v>
      </c>
      <c r="AW277" s="5420">
        <f>SUM(AN277:AN277)</f>
        <v>309837.82</v>
      </c>
      <c r="AX277" s="5420">
        <f>M277-AU277</f>
        <v>47662.18</v>
      </c>
      <c r="AY277" s="5420">
        <f>AU277-AV277</f>
        <v>0</v>
      </c>
      <c r="AZ277" s="5420">
        <f>AV277-AW277</f>
        <v>0</v>
      </c>
      <c r="BA277" s="5363"/>
      <c r="BB277" s="5347"/>
      <c r="BC277" s="5347"/>
      <c r="BD277" s="5363"/>
      <c r="BE277" s="5363"/>
      <c r="BF277" s="5363"/>
      <c r="BG277" s="5363"/>
      <c r="BH277" s="5347"/>
      <c r="BI277" s="5347"/>
      <c r="BJ277" s="5347">
        <v>309837.82</v>
      </c>
      <c r="BK277" s="5347"/>
      <c r="BL277" s="5347"/>
      <c r="BM277" s="5347"/>
      <c r="BN277" s="5347"/>
      <c r="BO277" s="5508"/>
      <c r="BP277" s="5508"/>
      <c r="BQ277" s="5508"/>
      <c r="BR277" s="5508"/>
      <c r="BS277" s="5508"/>
      <c r="BT277" s="5508"/>
      <c r="BU277" s="5508"/>
      <c r="BV277" s="5508"/>
      <c r="BW277" s="5508"/>
      <c r="BX277" s="5363">
        <v>309837.82</v>
      </c>
      <c r="BY277" s="5508"/>
      <c r="BZ277" s="5508"/>
      <c r="CA277" s="5508"/>
      <c r="CB277" s="5508"/>
      <c r="CC277" s="2824" t="s">
        <v>166</v>
      </c>
      <c r="CD277" s="2824" t="s">
        <v>154</v>
      </c>
      <c r="CE277" s="5366"/>
      <c r="CF277" s="5366"/>
      <c r="CG277" s="5366"/>
      <c r="CH277" s="5366"/>
    </row>
    <row r="278" s="4976" customFormat="1" ht="57" customHeight="1" spans="1:86">
      <c r="A278" s="2682"/>
      <c r="B278" s="905" t="s">
        <v>690</v>
      </c>
      <c r="C278" s="2686">
        <v>45628</v>
      </c>
      <c r="D278" s="5370" t="s">
        <v>786</v>
      </c>
      <c r="E278" s="5323"/>
      <c r="F278" s="5370" t="s">
        <v>787</v>
      </c>
      <c r="G278" s="5370" t="s">
        <v>788</v>
      </c>
      <c r="H278" s="5370" t="s">
        <v>695</v>
      </c>
      <c r="I278" s="5370" t="s">
        <v>789</v>
      </c>
      <c r="J278" s="5370" t="s">
        <v>790</v>
      </c>
      <c r="K278" s="5370">
        <v>7750</v>
      </c>
      <c r="L278" s="5370" t="s">
        <v>791</v>
      </c>
      <c r="M278" s="2686">
        <f>SUM(N278:AA282)</f>
        <v>157200</v>
      </c>
      <c r="N278" s="2682"/>
      <c r="O278" s="2682"/>
      <c r="P278" s="2682"/>
      <c r="Q278" s="2682"/>
      <c r="R278" s="2682"/>
      <c r="S278" s="2682"/>
      <c r="T278" s="2682"/>
      <c r="U278" s="2682"/>
      <c r="V278" s="2682"/>
      <c r="W278" s="2686">
        <v>157200</v>
      </c>
      <c r="X278" s="2682"/>
      <c r="Y278" s="2682"/>
      <c r="Z278" s="2682"/>
      <c r="AA278" s="2682"/>
      <c r="AB278" s="2682"/>
      <c r="AC278" s="2682">
        <v>1</v>
      </c>
      <c r="AD278" s="5461" t="s">
        <v>792</v>
      </c>
      <c r="AE278" s="5462">
        <v>0.2</v>
      </c>
      <c r="AF278" s="2682">
        <f>M278*AE278</f>
        <v>31440</v>
      </c>
      <c r="AG278" s="5471">
        <f>SUBTOTAL(9,BA278:BN278)</f>
        <v>31440</v>
      </c>
      <c r="AH278" s="600" t="s">
        <v>122</v>
      </c>
      <c r="AI278" s="2957">
        <v>45660</v>
      </c>
      <c r="AJ278" s="2682">
        <v>31440</v>
      </c>
      <c r="AK278" s="2957">
        <v>45660</v>
      </c>
      <c r="AL278" s="5472">
        <v>31440</v>
      </c>
      <c r="AM278" s="3077">
        <v>45767</v>
      </c>
      <c r="AN278" s="2682">
        <f>SUBTOTAL(9,BO278:CB278)</f>
        <v>31440</v>
      </c>
      <c r="AO278" s="2957">
        <v>45660</v>
      </c>
      <c r="AP278" s="2682"/>
      <c r="AQ278" s="5410"/>
      <c r="AR278" s="600"/>
      <c r="AS278" s="5496"/>
      <c r="AT278" s="5410"/>
      <c r="AU278" s="2682"/>
      <c r="AV278" s="2682"/>
      <c r="AW278" s="2682"/>
      <c r="AX278" s="2682"/>
      <c r="AY278" s="2682"/>
      <c r="AZ278" s="2682"/>
      <c r="BA278" s="5401"/>
      <c r="BB278" s="2957"/>
      <c r="BC278" s="2957"/>
      <c r="BD278" s="5401"/>
      <c r="BE278" s="5401"/>
      <c r="BF278" s="5401"/>
      <c r="BG278" s="5401"/>
      <c r="BH278" s="2957"/>
      <c r="BI278" s="2957"/>
      <c r="BJ278" s="2957">
        <f>M278*AE278</f>
        <v>31440</v>
      </c>
      <c r="BK278" s="2957"/>
      <c r="BL278" s="2957"/>
      <c r="BM278" s="2957"/>
      <c r="BN278" s="2957"/>
      <c r="BO278" s="5410"/>
      <c r="BP278" s="5410"/>
      <c r="BQ278" s="5410"/>
      <c r="BR278" s="5410"/>
      <c r="BS278" s="5410"/>
      <c r="BT278" s="5410"/>
      <c r="BU278" s="5410"/>
      <c r="BV278" s="2957"/>
      <c r="BW278" s="2682"/>
      <c r="BX278" s="2682">
        <v>31440</v>
      </c>
      <c r="BY278" s="5410"/>
      <c r="BZ278" s="5410"/>
      <c r="CA278" s="5410"/>
      <c r="CB278" s="5410"/>
      <c r="CC278" s="2682"/>
      <c r="CD278" s="2682"/>
      <c r="CE278" s="5413"/>
      <c r="CF278" s="5413"/>
      <c r="CG278" s="5413"/>
      <c r="CH278" s="5413"/>
    </row>
    <row r="279" s="4976" customFormat="1" ht="57" customHeight="1" spans="1:86">
      <c r="A279" s="2682"/>
      <c r="B279" s="906"/>
      <c r="C279" s="3154"/>
      <c r="D279" s="5421"/>
      <c r="E279" s="5324"/>
      <c r="F279" s="5421"/>
      <c r="G279" s="5421"/>
      <c r="H279" s="5421"/>
      <c r="I279" s="5443"/>
      <c r="J279" s="5421"/>
      <c r="K279" s="5443"/>
      <c r="L279" s="5443"/>
      <c r="M279" s="3154"/>
      <c r="N279" s="2682"/>
      <c r="O279" s="2682"/>
      <c r="P279" s="2682"/>
      <c r="Q279" s="2682"/>
      <c r="R279" s="2682"/>
      <c r="S279" s="2682"/>
      <c r="T279" s="2682"/>
      <c r="U279" s="2682"/>
      <c r="V279" s="2682"/>
      <c r="W279" s="3154"/>
      <c r="X279" s="2682"/>
      <c r="Y279" s="2682"/>
      <c r="Z279" s="2682"/>
      <c r="AA279" s="2682"/>
      <c r="AB279" s="2682"/>
      <c r="AC279" s="2682">
        <v>2</v>
      </c>
      <c r="AD279" s="5461" t="s">
        <v>793</v>
      </c>
      <c r="AE279" s="5462">
        <v>0.2</v>
      </c>
      <c r="AF279" s="2682">
        <f>M278*AE279</f>
        <v>31440</v>
      </c>
      <c r="AG279" s="2957">
        <f>SUBTOTAL(9,BA279:BN279)</f>
        <v>31440</v>
      </c>
      <c r="AH279" s="600" t="s">
        <v>122</v>
      </c>
      <c r="AI279" s="5472">
        <v>45767</v>
      </c>
      <c r="AJ279" s="3077">
        <v>31440</v>
      </c>
      <c r="AK279" s="5472">
        <v>45767</v>
      </c>
      <c r="AL279" s="5472">
        <v>31440</v>
      </c>
      <c r="AM279" s="3077">
        <v>45767</v>
      </c>
      <c r="AN279" s="2682">
        <v>31440</v>
      </c>
      <c r="AO279" s="2682">
        <v>45803</v>
      </c>
      <c r="AP279" s="2682"/>
      <c r="AQ279" s="5410"/>
      <c r="AR279" s="600"/>
      <c r="AS279" s="5496"/>
      <c r="AT279" s="5410"/>
      <c r="AU279" s="2682"/>
      <c r="AV279" s="2682"/>
      <c r="AW279" s="2682"/>
      <c r="AX279" s="2682"/>
      <c r="AY279" s="2682"/>
      <c r="AZ279" s="2682"/>
      <c r="BA279" s="5401"/>
      <c r="BB279" s="2957"/>
      <c r="BC279" s="2957"/>
      <c r="BD279" s="5401"/>
      <c r="BE279" s="5401"/>
      <c r="BF279" s="5401"/>
      <c r="BG279" s="5401"/>
      <c r="BH279" s="2957"/>
      <c r="BI279" s="2957"/>
      <c r="BJ279" s="2957">
        <f t="shared" ref="BJ279:BJ281" si="64">M278*AE279</f>
        <v>31440</v>
      </c>
      <c r="BK279" s="2957"/>
      <c r="BL279" s="2957"/>
      <c r="BM279" s="2957"/>
      <c r="BN279" s="2957"/>
      <c r="BO279" s="5410"/>
      <c r="BP279" s="5410"/>
      <c r="BQ279" s="5410"/>
      <c r="BR279" s="5410"/>
      <c r="BS279" s="5410"/>
      <c r="BT279" s="5410"/>
      <c r="BU279" s="5410"/>
      <c r="BV279" s="2682"/>
      <c r="BW279" s="2682"/>
      <c r="BX279" s="2682">
        <v>31440</v>
      </c>
      <c r="BY279" s="5410"/>
      <c r="BZ279" s="5410"/>
      <c r="CA279" s="5410"/>
      <c r="CB279" s="5410"/>
      <c r="CC279" s="2682"/>
      <c r="CD279" s="2682"/>
      <c r="CE279" s="5413"/>
      <c r="CF279" s="5413"/>
      <c r="CG279" s="5413"/>
      <c r="CH279" s="5413"/>
    </row>
    <row r="280" s="4976" customFormat="1" ht="57" customHeight="1" spans="1:86">
      <c r="A280" s="2682"/>
      <c r="B280" s="906"/>
      <c r="C280" s="3154"/>
      <c r="D280" s="5421"/>
      <c r="E280" s="5324"/>
      <c r="F280" s="5421"/>
      <c r="G280" s="5421"/>
      <c r="H280" s="5421"/>
      <c r="I280" s="5443"/>
      <c r="J280" s="5421"/>
      <c r="K280" s="5443"/>
      <c r="L280" s="5443"/>
      <c r="M280" s="3154"/>
      <c r="N280" s="2682"/>
      <c r="O280" s="2682"/>
      <c r="P280" s="2682"/>
      <c r="Q280" s="2682"/>
      <c r="R280" s="2682"/>
      <c r="S280" s="2682"/>
      <c r="T280" s="2682"/>
      <c r="U280" s="2682"/>
      <c r="V280" s="2682"/>
      <c r="W280" s="3154"/>
      <c r="X280" s="2682"/>
      <c r="Y280" s="2682"/>
      <c r="Z280" s="2682"/>
      <c r="AA280" s="2682"/>
      <c r="AB280" s="2682"/>
      <c r="AC280" s="2682">
        <v>3</v>
      </c>
      <c r="AD280" s="5461" t="s">
        <v>794</v>
      </c>
      <c r="AE280" s="5462">
        <v>0.2</v>
      </c>
      <c r="AF280" s="2682">
        <f>M278*AE280</f>
        <v>31440</v>
      </c>
      <c r="AG280" s="2957">
        <f>SUBTOTAL(9,BA280:BN280)</f>
        <v>31440</v>
      </c>
      <c r="AH280" s="600" t="s">
        <v>122</v>
      </c>
      <c r="AI280" s="5472">
        <v>45767</v>
      </c>
      <c r="AJ280" s="3077">
        <v>31440</v>
      </c>
      <c r="AK280" s="5472">
        <v>45767</v>
      </c>
      <c r="AL280" s="5472">
        <v>31440</v>
      </c>
      <c r="AM280" s="3077">
        <v>45767</v>
      </c>
      <c r="AN280" s="2682">
        <v>31440</v>
      </c>
      <c r="AO280" s="2682">
        <v>45803</v>
      </c>
      <c r="AP280" s="2682"/>
      <c r="AQ280" s="5410"/>
      <c r="AR280" s="600"/>
      <c r="AS280" s="5496"/>
      <c r="AT280" s="5410"/>
      <c r="AU280" s="2682"/>
      <c r="AV280" s="2682"/>
      <c r="AW280" s="2682"/>
      <c r="AX280" s="2682"/>
      <c r="AY280" s="2682"/>
      <c r="AZ280" s="2682"/>
      <c r="BA280" s="5401"/>
      <c r="BB280" s="2957"/>
      <c r="BC280" s="2957"/>
      <c r="BD280" s="5401"/>
      <c r="BE280" s="5401"/>
      <c r="BF280" s="5401"/>
      <c r="BG280" s="5401"/>
      <c r="BH280" s="2957"/>
      <c r="BI280" s="2957"/>
      <c r="BJ280" s="2957">
        <v>31440</v>
      </c>
      <c r="BK280" s="2957"/>
      <c r="BL280" s="2957"/>
      <c r="BM280" s="2957"/>
      <c r="BN280" s="2957"/>
      <c r="BO280" s="5410"/>
      <c r="BP280" s="5410"/>
      <c r="BQ280" s="5410"/>
      <c r="BR280" s="5410"/>
      <c r="BS280" s="5410"/>
      <c r="BT280" s="5410"/>
      <c r="BU280" s="5410"/>
      <c r="BV280" s="2682"/>
      <c r="BW280" s="2682"/>
      <c r="BX280" s="2682">
        <v>31440</v>
      </c>
      <c r="BY280" s="5410"/>
      <c r="BZ280" s="5410"/>
      <c r="CA280" s="5410"/>
      <c r="CB280" s="5410"/>
      <c r="CC280" s="2682"/>
      <c r="CD280" s="2682"/>
      <c r="CE280" s="5413"/>
      <c r="CF280" s="5413"/>
      <c r="CG280" s="5413"/>
      <c r="CH280" s="5413"/>
    </row>
    <row r="281" s="4976" customFormat="1" ht="57" customHeight="1" spans="1:86">
      <c r="A281" s="2682"/>
      <c r="B281" s="906"/>
      <c r="C281" s="3154"/>
      <c r="D281" s="5421"/>
      <c r="E281" s="5324"/>
      <c r="F281" s="5421"/>
      <c r="G281" s="5421"/>
      <c r="H281" s="5421"/>
      <c r="I281" s="5443"/>
      <c r="J281" s="5421"/>
      <c r="K281" s="5443"/>
      <c r="L281" s="5443"/>
      <c r="M281" s="3154"/>
      <c r="N281" s="2682"/>
      <c r="O281" s="2682"/>
      <c r="P281" s="2682"/>
      <c r="Q281" s="2682"/>
      <c r="R281" s="2682"/>
      <c r="S281" s="2682"/>
      <c r="T281" s="2682"/>
      <c r="U281" s="2682"/>
      <c r="V281" s="2682"/>
      <c r="W281" s="3154"/>
      <c r="X281" s="2682"/>
      <c r="Y281" s="2682"/>
      <c r="Z281" s="2682"/>
      <c r="AA281" s="2682"/>
      <c r="AB281" s="2682"/>
      <c r="AC281" s="2682">
        <v>4</v>
      </c>
      <c r="AD281" s="5461" t="s">
        <v>795</v>
      </c>
      <c r="AE281" s="5462">
        <v>0.2</v>
      </c>
      <c r="AF281" s="2682">
        <f>M278*AE281</f>
        <v>31440</v>
      </c>
      <c r="AG281" s="2957">
        <f>SUBTOTAL(9,BA281:BN281)</f>
        <v>31440</v>
      </c>
      <c r="AH281" s="600" t="s">
        <v>122</v>
      </c>
      <c r="AI281" s="5472">
        <v>45767</v>
      </c>
      <c r="AJ281" s="3077">
        <v>31440</v>
      </c>
      <c r="AK281" s="5472">
        <v>45767</v>
      </c>
      <c r="AL281" s="5472">
        <v>31440</v>
      </c>
      <c r="AM281" s="3077">
        <v>45767</v>
      </c>
      <c r="AN281" s="2682">
        <v>31440</v>
      </c>
      <c r="AO281" s="2682">
        <v>45803</v>
      </c>
      <c r="AP281" s="2682"/>
      <c r="AQ281" s="5410"/>
      <c r="AR281" s="600"/>
      <c r="AS281" s="5496"/>
      <c r="AT281" s="5410"/>
      <c r="AU281" s="2682"/>
      <c r="AV281" s="2682"/>
      <c r="AW281" s="2682"/>
      <c r="AX281" s="2682"/>
      <c r="AY281" s="2682"/>
      <c r="AZ281" s="2682"/>
      <c r="BA281" s="5401"/>
      <c r="BB281" s="2957"/>
      <c r="BC281" s="2957"/>
      <c r="BD281" s="5401"/>
      <c r="BE281" s="5401"/>
      <c r="BF281" s="5401"/>
      <c r="BG281" s="5401"/>
      <c r="BH281" s="2957"/>
      <c r="BI281" s="2957"/>
      <c r="BJ281" s="2957">
        <v>31440</v>
      </c>
      <c r="BK281" s="2957"/>
      <c r="BL281" s="2957"/>
      <c r="BM281" s="2957"/>
      <c r="BN281" s="2957"/>
      <c r="BO281" s="5410"/>
      <c r="BP281" s="5410"/>
      <c r="BQ281" s="5410"/>
      <c r="BR281" s="5410"/>
      <c r="BS281" s="5410"/>
      <c r="BT281" s="5410"/>
      <c r="BU281" s="5410"/>
      <c r="BV281" s="2682"/>
      <c r="BW281" s="2682"/>
      <c r="BX281" s="2682">
        <v>31440</v>
      </c>
      <c r="BY281" s="5410"/>
      <c r="BZ281" s="5410"/>
      <c r="CA281" s="5410"/>
      <c r="CB281" s="5410"/>
      <c r="CC281" s="2682"/>
      <c r="CD281" s="2682"/>
      <c r="CE281" s="5413"/>
      <c r="CF281" s="5413"/>
      <c r="CG281" s="5413"/>
      <c r="CH281" s="5413"/>
    </row>
    <row r="282" s="4976" customFormat="1" ht="57" customHeight="1" spans="1:86">
      <c r="A282" s="2682"/>
      <c r="B282" s="907"/>
      <c r="C282" s="3171"/>
      <c r="D282" s="5422"/>
      <c r="E282" s="5325"/>
      <c r="F282" s="5422"/>
      <c r="G282" s="5422"/>
      <c r="H282" s="5422"/>
      <c r="I282" s="5444"/>
      <c r="J282" s="5422"/>
      <c r="K282" s="5444"/>
      <c r="L282" s="5444"/>
      <c r="M282" s="3171"/>
      <c r="N282" s="2682"/>
      <c r="O282" s="2682"/>
      <c r="P282" s="2682"/>
      <c r="Q282" s="2682"/>
      <c r="R282" s="2682"/>
      <c r="S282" s="2682"/>
      <c r="T282" s="2682"/>
      <c r="U282" s="2682"/>
      <c r="V282" s="2682"/>
      <c r="W282" s="3171"/>
      <c r="X282" s="2682"/>
      <c r="Y282" s="2682"/>
      <c r="Z282" s="2682"/>
      <c r="AA282" s="2682"/>
      <c r="AB282" s="2682"/>
      <c r="AC282" s="2682">
        <v>5</v>
      </c>
      <c r="AD282" s="5461" t="s">
        <v>796</v>
      </c>
      <c r="AE282" s="5462">
        <v>0.2</v>
      </c>
      <c r="AF282" s="2682">
        <f>M278*AE282</f>
        <v>31440</v>
      </c>
      <c r="AG282" s="2682">
        <v>31440</v>
      </c>
      <c r="AH282" s="600" t="s">
        <v>122</v>
      </c>
      <c r="AI282" s="2682">
        <v>45821</v>
      </c>
      <c r="AJ282" s="2682">
        <v>31440</v>
      </c>
      <c r="AK282" s="2682">
        <v>45821</v>
      </c>
      <c r="AL282" s="2957">
        <v>31440</v>
      </c>
      <c r="AM282" s="2682">
        <v>45821</v>
      </c>
      <c r="AN282" s="2682">
        <v>31440</v>
      </c>
      <c r="AO282" s="2682">
        <v>45854</v>
      </c>
      <c r="AP282" s="2682"/>
      <c r="AQ282" s="5410"/>
      <c r="AR282" s="600"/>
      <c r="AS282" s="5496"/>
      <c r="AT282" s="5410"/>
      <c r="AU282" s="2682"/>
      <c r="AV282" s="2682"/>
      <c r="AW282" s="2682"/>
      <c r="AX282" s="2682"/>
      <c r="AY282" s="2682"/>
      <c r="AZ282" s="2682"/>
      <c r="BA282" s="5401"/>
      <c r="BB282" s="2957"/>
      <c r="BC282" s="2957"/>
      <c r="BD282" s="5401"/>
      <c r="BE282" s="5401"/>
      <c r="BF282" s="5401"/>
      <c r="BG282" s="5401"/>
      <c r="BH282" s="2957"/>
      <c r="BI282" s="2957"/>
      <c r="BJ282" s="2957">
        <v>31440</v>
      </c>
      <c r="BK282" s="2957"/>
      <c r="BL282" s="2957"/>
      <c r="BM282" s="2957"/>
      <c r="BN282" s="2957"/>
      <c r="BO282" s="5410"/>
      <c r="BP282" s="5410"/>
      <c r="BQ282" s="5410"/>
      <c r="BR282" s="5410"/>
      <c r="BS282" s="5410"/>
      <c r="BT282" s="5410"/>
      <c r="BU282" s="5410"/>
      <c r="BV282" s="2682"/>
      <c r="BW282" s="2682"/>
      <c r="BX282" s="2682">
        <v>31440</v>
      </c>
      <c r="BY282" s="5410"/>
      <c r="BZ282" s="5410"/>
      <c r="CA282" s="5410"/>
      <c r="CB282" s="5410"/>
      <c r="CC282" s="2682"/>
      <c r="CD282" s="2682"/>
      <c r="CE282" s="5413"/>
      <c r="CF282" s="5413"/>
      <c r="CG282" s="5413"/>
      <c r="CH282" s="5413"/>
    </row>
    <row r="283" s="4975" customFormat="1" ht="57" customHeight="1" spans="1:86">
      <c r="A283" s="2682">
        <v>65</v>
      </c>
      <c r="B283" s="2824" t="s">
        <v>690</v>
      </c>
      <c r="C283" s="2824">
        <v>44175</v>
      </c>
      <c r="D283" s="5316" t="s">
        <v>797</v>
      </c>
      <c r="E283" s="5317" t="s">
        <v>798</v>
      </c>
      <c r="F283" s="5317" t="s">
        <v>799</v>
      </c>
      <c r="G283" s="5316" t="s">
        <v>800</v>
      </c>
      <c r="H283" s="5317" t="s">
        <v>801</v>
      </c>
      <c r="I283" s="5317"/>
      <c r="J283" s="5317" t="s">
        <v>802</v>
      </c>
      <c r="K283" s="5317" t="s">
        <v>803</v>
      </c>
      <c r="L283" s="5317" t="s">
        <v>804</v>
      </c>
      <c r="M283" s="2824">
        <f>SUM(N283:AA286)</f>
        <v>1471490</v>
      </c>
      <c r="N283" s="2682"/>
      <c r="O283" s="2682"/>
      <c r="P283" s="2682"/>
      <c r="Q283" s="2682">
        <v>524575</v>
      </c>
      <c r="R283" s="2682"/>
      <c r="S283" s="2682"/>
      <c r="T283" s="2682"/>
      <c r="U283" s="2682">
        <v>310000</v>
      </c>
      <c r="V283" s="2682">
        <v>636915</v>
      </c>
      <c r="W283" s="2682"/>
      <c r="X283" s="2682">
        <v>0</v>
      </c>
      <c r="Y283" s="2682"/>
      <c r="Z283" s="2682"/>
      <c r="AA283" s="2682"/>
      <c r="AB283" s="2682"/>
      <c r="AC283" s="2824">
        <v>1</v>
      </c>
      <c r="AD283" s="5317" t="s">
        <v>805</v>
      </c>
      <c r="AE283" s="5344">
        <v>0.3</v>
      </c>
      <c r="AF283" s="2824">
        <f>AE283*M283</f>
        <v>441447</v>
      </c>
      <c r="AG283" s="2824">
        <f t="shared" ref="AG283:AG291" si="65">SUM(BA283:BN283)</f>
        <v>441447</v>
      </c>
      <c r="AH283" s="2824" t="s">
        <v>122</v>
      </c>
      <c r="AI283" s="2824">
        <v>44175</v>
      </c>
      <c r="AJ283" s="2824">
        <v>441447</v>
      </c>
      <c r="AK283" s="2824">
        <v>44175</v>
      </c>
      <c r="AL283" s="5347">
        <v>441447</v>
      </c>
      <c r="AM283" s="2824">
        <v>44181</v>
      </c>
      <c r="AN283" s="2824">
        <f>SUM(BO283:CB283)</f>
        <v>441447</v>
      </c>
      <c r="AO283" s="2824">
        <v>44190</v>
      </c>
      <c r="AP283" s="2824">
        <f>AG283-AN283</f>
        <v>0</v>
      </c>
      <c r="AQ283" s="5356" t="s">
        <v>318</v>
      </c>
      <c r="AR283" s="5348" t="s">
        <v>128</v>
      </c>
      <c r="AS283" s="5361"/>
      <c r="AT283" s="5356"/>
      <c r="AU283" s="2682">
        <f>SUM(AG283:AG286)</f>
        <v>1471490</v>
      </c>
      <c r="AV283" s="2682">
        <f>SUM(AL283:AL286)</f>
        <v>1471490</v>
      </c>
      <c r="AW283" s="2682">
        <f>SUM(AN283:AN286)</f>
        <v>1471490</v>
      </c>
      <c r="AX283" s="2682">
        <f>M283-AU283</f>
        <v>0</v>
      </c>
      <c r="AY283" s="2682">
        <f>AU283-AV283</f>
        <v>0</v>
      </c>
      <c r="AZ283" s="2682">
        <f>AV283-AW283</f>
        <v>0</v>
      </c>
      <c r="BA283" s="5363"/>
      <c r="BB283" s="5347"/>
      <c r="BC283" s="5347"/>
      <c r="BD283" s="5363">
        <v>157372.5</v>
      </c>
      <c r="BE283" s="5363"/>
      <c r="BF283" s="5363"/>
      <c r="BG283" s="5363"/>
      <c r="BH283" s="5347">
        <v>93000</v>
      </c>
      <c r="BI283" s="5347">
        <v>191074.5</v>
      </c>
      <c r="BJ283" s="5347"/>
      <c r="BK283" s="5347"/>
      <c r="BL283" s="5347"/>
      <c r="BM283" s="5347"/>
      <c r="BN283" s="5347"/>
      <c r="BO283" s="5356"/>
      <c r="BP283" s="5356"/>
      <c r="BQ283" s="5356"/>
      <c r="BR283" s="5356">
        <v>157372.5</v>
      </c>
      <c r="BS283" s="5356"/>
      <c r="BT283" s="5356"/>
      <c r="BU283" s="5356"/>
      <c r="BV283" s="2824">
        <v>93000</v>
      </c>
      <c r="BW283" s="2824">
        <v>191074.5</v>
      </c>
      <c r="BX283" s="5356"/>
      <c r="BY283" s="5356"/>
      <c r="BZ283" s="5356"/>
      <c r="CA283" s="5356"/>
      <c r="CB283" s="5356"/>
      <c r="CC283" s="2824" t="s">
        <v>166</v>
      </c>
      <c r="CD283" s="2824" t="s">
        <v>154</v>
      </c>
      <c r="CE283" s="5366"/>
      <c r="CF283" s="5366"/>
      <c r="CG283" s="5366"/>
      <c r="CH283" s="5366"/>
    </row>
    <row r="284" s="4975" customFormat="1" ht="69" customHeight="1" spans="1:86">
      <c r="A284" s="2682"/>
      <c r="B284" s="2824"/>
      <c r="C284" s="2824"/>
      <c r="D284" s="5317"/>
      <c r="E284" s="5317"/>
      <c r="F284" s="5317"/>
      <c r="G284" s="5317"/>
      <c r="H284" s="5317"/>
      <c r="I284" s="5317"/>
      <c r="J284" s="5317"/>
      <c r="K284" s="5317"/>
      <c r="L284" s="5317"/>
      <c r="M284" s="2824"/>
      <c r="N284" s="2682"/>
      <c r="O284" s="2682"/>
      <c r="P284" s="2682"/>
      <c r="Q284" s="2682"/>
      <c r="R284" s="2682"/>
      <c r="S284" s="2682"/>
      <c r="T284" s="2682"/>
      <c r="U284" s="2682"/>
      <c r="V284" s="2682"/>
      <c r="W284" s="2682"/>
      <c r="X284" s="2682"/>
      <c r="Y284" s="2682"/>
      <c r="Z284" s="2682"/>
      <c r="AA284" s="2682"/>
      <c r="AB284" s="2682"/>
      <c r="AC284" s="2824">
        <v>2</v>
      </c>
      <c r="AD284" s="5317" t="s">
        <v>806</v>
      </c>
      <c r="AE284" s="5344">
        <v>0.6</v>
      </c>
      <c r="AF284" s="2824">
        <f>AE284*M283</f>
        <v>882894</v>
      </c>
      <c r="AG284" s="2824">
        <f t="shared" si="65"/>
        <v>882894</v>
      </c>
      <c r="AH284" s="2824" t="s">
        <v>122</v>
      </c>
      <c r="AI284" s="2824">
        <v>44175</v>
      </c>
      <c r="AJ284" s="2824">
        <v>882894</v>
      </c>
      <c r="AK284" s="2824">
        <v>44175</v>
      </c>
      <c r="AL284" s="5347">
        <v>882894</v>
      </c>
      <c r="AM284" s="2824">
        <v>44181</v>
      </c>
      <c r="AN284" s="5347">
        <f>SUM(BO284:CB284)</f>
        <v>882894</v>
      </c>
      <c r="AO284" s="5347">
        <v>44558</v>
      </c>
      <c r="AP284" s="2824">
        <f>AG284-AN284</f>
        <v>0</v>
      </c>
      <c r="AQ284" s="5356"/>
      <c r="AR284" s="2824"/>
      <c r="AS284" s="5361"/>
      <c r="AT284" s="5356"/>
      <c r="AU284" s="2682"/>
      <c r="AV284" s="2682"/>
      <c r="AW284" s="2682"/>
      <c r="AX284" s="2682"/>
      <c r="AY284" s="2682"/>
      <c r="AZ284" s="2682"/>
      <c r="BA284" s="5363"/>
      <c r="BB284" s="5347"/>
      <c r="BC284" s="5347"/>
      <c r="BD284" s="5363">
        <v>314745</v>
      </c>
      <c r="BE284" s="5363"/>
      <c r="BF284" s="5363"/>
      <c r="BG284" s="5363"/>
      <c r="BH284" s="5347">
        <v>186000</v>
      </c>
      <c r="BI284" s="5347">
        <v>382149</v>
      </c>
      <c r="BJ284" s="5347"/>
      <c r="BK284" s="5347"/>
      <c r="BL284" s="5347"/>
      <c r="BM284" s="5347"/>
      <c r="BN284" s="5347"/>
      <c r="BO284" s="5508"/>
      <c r="BP284" s="5508"/>
      <c r="BQ284" s="5508"/>
      <c r="BR284" s="5363">
        <v>314745</v>
      </c>
      <c r="BS284" s="5363"/>
      <c r="BT284" s="5363"/>
      <c r="BU284" s="5363"/>
      <c r="BV284" s="5347">
        <v>186000</v>
      </c>
      <c r="BW284" s="5347">
        <v>382149</v>
      </c>
      <c r="BX284" s="5508"/>
      <c r="BY284" s="5508"/>
      <c r="BZ284" s="5508"/>
      <c r="CA284" s="5508"/>
      <c r="CB284" s="5508"/>
      <c r="CC284" s="2824"/>
      <c r="CD284" s="2824"/>
      <c r="CE284" s="5366"/>
      <c r="CF284" s="5366"/>
      <c r="CG284" s="5366"/>
      <c r="CH284" s="5366"/>
    </row>
    <row r="285" s="4975" customFormat="1" ht="58.35" customHeight="1" spans="1:86">
      <c r="A285" s="2682"/>
      <c r="B285" s="2824"/>
      <c r="C285" s="2824"/>
      <c r="D285" s="5317"/>
      <c r="E285" s="5317"/>
      <c r="F285" s="5317"/>
      <c r="G285" s="5317"/>
      <c r="H285" s="5317"/>
      <c r="I285" s="5317"/>
      <c r="J285" s="5317"/>
      <c r="K285" s="5317"/>
      <c r="L285" s="5317"/>
      <c r="M285" s="2824"/>
      <c r="N285" s="2682"/>
      <c r="O285" s="2682"/>
      <c r="P285" s="2682"/>
      <c r="Q285" s="2682"/>
      <c r="R285" s="2682"/>
      <c r="S285" s="2682"/>
      <c r="T285" s="2682"/>
      <c r="U285" s="2682"/>
      <c r="V285" s="2682"/>
      <c r="W285" s="2682"/>
      <c r="X285" s="2682"/>
      <c r="Y285" s="2682"/>
      <c r="Z285" s="2682"/>
      <c r="AA285" s="2682"/>
      <c r="AB285" s="2682"/>
      <c r="AC285" s="2824">
        <v>3</v>
      </c>
      <c r="AD285" s="5317" t="s">
        <v>807</v>
      </c>
      <c r="AE285" s="5344">
        <v>0.05</v>
      </c>
      <c r="AF285" s="2824">
        <f>AE285*M283</f>
        <v>73574.5</v>
      </c>
      <c r="AG285" s="2824">
        <f t="shared" si="65"/>
        <v>147149</v>
      </c>
      <c r="AH285" s="5348" t="s">
        <v>122</v>
      </c>
      <c r="AI285" s="2824">
        <v>44537</v>
      </c>
      <c r="AJ285" s="2824">
        <f>AG285</f>
        <v>147149</v>
      </c>
      <c r="AK285" s="2824">
        <v>44537</v>
      </c>
      <c r="AL285" s="5347">
        <f>AG285</f>
        <v>147149</v>
      </c>
      <c r="AM285" s="2824">
        <v>44537</v>
      </c>
      <c r="AN285" s="5347">
        <f>SUM(BO285:CB285)</f>
        <v>147149</v>
      </c>
      <c r="AO285" s="5347">
        <v>44585</v>
      </c>
      <c r="AP285" s="2824">
        <f>AG285-AN285</f>
        <v>0</v>
      </c>
      <c r="AQ285" s="5356"/>
      <c r="AR285" s="2824"/>
      <c r="AS285" s="5361"/>
      <c r="AT285" s="5356"/>
      <c r="AU285" s="2682"/>
      <c r="AV285" s="2682"/>
      <c r="AW285" s="2682"/>
      <c r="AX285" s="2682"/>
      <c r="AY285" s="2682"/>
      <c r="AZ285" s="2682"/>
      <c r="BA285" s="5363"/>
      <c r="BB285" s="5347"/>
      <c r="BC285" s="5347"/>
      <c r="BD285" s="5347">
        <v>52457.5</v>
      </c>
      <c r="BE285" s="5363"/>
      <c r="BF285" s="5363"/>
      <c r="BG285" s="5363"/>
      <c r="BH285" s="5347">
        <v>31000</v>
      </c>
      <c r="BI285" s="5347">
        <v>63691.5</v>
      </c>
      <c r="BJ285" s="5347"/>
      <c r="BK285" s="5347"/>
      <c r="BL285" s="5347"/>
      <c r="BM285" s="5347"/>
      <c r="BN285" s="5347"/>
      <c r="BO285" s="5356"/>
      <c r="BP285" s="5356"/>
      <c r="BQ285" s="5356"/>
      <c r="BR285" s="5473">
        <v>52457.5</v>
      </c>
      <c r="BS285" s="5356"/>
      <c r="BT285" s="5356"/>
      <c r="BU285" s="5356"/>
      <c r="BV285" s="5347">
        <v>31000</v>
      </c>
      <c r="BW285" s="5347">
        <v>63691.5</v>
      </c>
      <c r="BX285" s="5356"/>
      <c r="BY285" s="5356"/>
      <c r="BZ285" s="5356"/>
      <c r="CA285" s="5356"/>
      <c r="CB285" s="5356"/>
      <c r="CC285" s="2824"/>
      <c r="CD285" s="2824"/>
      <c r="CE285" s="5366"/>
      <c r="CF285" s="5366"/>
      <c r="CG285" s="5366"/>
      <c r="CH285" s="5366"/>
    </row>
    <row r="286" s="4975" customFormat="1" ht="48.35" customHeight="1" spans="1:86">
      <c r="A286" s="2682"/>
      <c r="B286" s="2824"/>
      <c r="C286" s="2824"/>
      <c r="D286" s="5317"/>
      <c r="E286" s="5317"/>
      <c r="F286" s="5317"/>
      <c r="G286" s="5317"/>
      <c r="H286" s="5317"/>
      <c r="I286" s="5317"/>
      <c r="J286" s="5317"/>
      <c r="K286" s="5317"/>
      <c r="L286" s="5317"/>
      <c r="M286" s="2824"/>
      <c r="N286" s="2682"/>
      <c r="O286" s="2682"/>
      <c r="P286" s="2682"/>
      <c r="Q286" s="2682"/>
      <c r="R286" s="2682"/>
      <c r="S286" s="2682"/>
      <c r="T286" s="2682"/>
      <c r="U286" s="2682"/>
      <c r="V286" s="2682"/>
      <c r="W286" s="2682"/>
      <c r="X286" s="2682"/>
      <c r="Y286" s="2682"/>
      <c r="Z286" s="2682"/>
      <c r="AA286" s="2682"/>
      <c r="AB286" s="2682"/>
      <c r="AC286" s="2824">
        <v>4</v>
      </c>
      <c r="AD286" s="5317" t="s">
        <v>808</v>
      </c>
      <c r="AE286" s="5344">
        <v>0.05</v>
      </c>
      <c r="AF286" s="2824">
        <f>AE286*M283</f>
        <v>73574.5</v>
      </c>
      <c r="AG286" s="2824"/>
      <c r="AH286" s="2824"/>
      <c r="AI286" s="2824"/>
      <c r="AJ286" s="2824"/>
      <c r="AK286" s="2824"/>
      <c r="AL286" s="5347"/>
      <c r="AM286" s="2824"/>
      <c r="AN286" s="5347"/>
      <c r="AO286" s="5347"/>
      <c r="AP286" s="2824"/>
      <c r="AQ286" s="5356"/>
      <c r="AR286" s="2824"/>
      <c r="AS286" s="5361"/>
      <c r="AT286" s="5356"/>
      <c r="AU286" s="2682"/>
      <c r="AV286" s="2682"/>
      <c r="AW286" s="2682"/>
      <c r="AX286" s="2682"/>
      <c r="AY286" s="2682"/>
      <c r="AZ286" s="2682"/>
      <c r="BA286" s="5363"/>
      <c r="BB286" s="5347"/>
      <c r="BC286" s="5347"/>
      <c r="BD286" s="5347"/>
      <c r="BE286" s="5363"/>
      <c r="BF286" s="5363"/>
      <c r="BG286" s="5363"/>
      <c r="BH286" s="5347"/>
      <c r="BI286" s="5347"/>
      <c r="BJ286" s="5347"/>
      <c r="BK286" s="5347"/>
      <c r="BL286" s="5347"/>
      <c r="BM286" s="5347"/>
      <c r="BN286" s="5347"/>
      <c r="BO286" s="5356"/>
      <c r="BP286" s="5356"/>
      <c r="BQ286" s="5356"/>
      <c r="BR286" s="5473"/>
      <c r="BS286" s="5356"/>
      <c r="BT286" s="5356"/>
      <c r="BU286" s="5356"/>
      <c r="BV286" s="5347"/>
      <c r="BW286" s="5347"/>
      <c r="BX286" s="5356"/>
      <c r="BY286" s="5356"/>
      <c r="BZ286" s="5356"/>
      <c r="CA286" s="5356"/>
      <c r="CB286" s="5356"/>
      <c r="CC286" s="2824"/>
      <c r="CD286" s="2824"/>
      <c r="CE286" s="5366"/>
      <c r="CF286" s="5366"/>
      <c r="CG286" s="5366"/>
      <c r="CH286" s="5366"/>
    </row>
    <row r="287" s="4975" customFormat="1" ht="48.35" customHeight="1" spans="1:86">
      <c r="A287" s="2682"/>
      <c r="B287" s="5423" t="s">
        <v>809</v>
      </c>
      <c r="C287" s="5424">
        <v>45896</v>
      </c>
      <c r="D287" s="5425" t="s">
        <v>810</v>
      </c>
      <c r="E287" s="5317"/>
      <c r="F287" s="5425" t="s">
        <v>811</v>
      </c>
      <c r="G287" s="5425" t="s">
        <v>812</v>
      </c>
      <c r="H287" s="5425" t="s">
        <v>813</v>
      </c>
      <c r="I287" s="5316" t="s">
        <v>814</v>
      </c>
      <c r="J287" s="5425" t="s">
        <v>815</v>
      </c>
      <c r="K287" s="5323"/>
      <c r="L287" s="5323"/>
      <c r="M287" s="5424">
        <v>39105</v>
      </c>
      <c r="N287" s="2682"/>
      <c r="O287" s="2682"/>
      <c r="P287" s="2682"/>
      <c r="Q287" s="2682"/>
      <c r="R287" s="2682"/>
      <c r="S287" s="2682"/>
      <c r="T287" s="2682"/>
      <c r="U287" s="2682"/>
      <c r="V287" s="2682"/>
      <c r="W287" s="2682"/>
      <c r="X287" s="2682"/>
      <c r="Y287" s="2682"/>
      <c r="Z287" s="2682"/>
      <c r="AA287" s="2682"/>
      <c r="AB287" s="2682"/>
      <c r="AC287" s="2824">
        <v>1</v>
      </c>
      <c r="AD287" s="5316" t="s">
        <v>816</v>
      </c>
      <c r="AE287" s="5344">
        <v>0.7</v>
      </c>
      <c r="AF287" s="2824">
        <f>M287*AE287</f>
        <v>27373.5</v>
      </c>
      <c r="AG287" s="5347">
        <f t="shared" si="65"/>
        <v>27373.5</v>
      </c>
      <c r="AH287" s="5423" t="s">
        <v>122</v>
      </c>
      <c r="AI287" s="4204">
        <v>45925</v>
      </c>
      <c r="AJ287" s="5424">
        <v>27373.5</v>
      </c>
      <c r="AK287" s="5424">
        <v>45925</v>
      </c>
      <c r="AL287" s="4204">
        <v>27373.5</v>
      </c>
      <c r="AM287" s="5424">
        <v>45926</v>
      </c>
      <c r="AN287" s="3684">
        <v>27373.5</v>
      </c>
      <c r="AO287" s="5347">
        <v>45952</v>
      </c>
      <c r="AP287" s="2824"/>
      <c r="AQ287" s="5356"/>
      <c r="AR287" s="2824"/>
      <c r="AS287" s="5361"/>
      <c r="AT287" s="5356"/>
      <c r="AU287" s="2682"/>
      <c r="AV287" s="2682"/>
      <c r="AW287" s="2682"/>
      <c r="AX287" s="2682"/>
      <c r="AY287" s="2682"/>
      <c r="AZ287" s="2682"/>
      <c r="BA287" s="5363"/>
      <c r="BB287" s="5347"/>
      <c r="BC287" s="5347"/>
      <c r="BD287" s="5347"/>
      <c r="BE287" s="5363"/>
      <c r="BF287" s="5363"/>
      <c r="BG287" s="5356"/>
      <c r="BH287" s="5473"/>
      <c r="BI287" s="5347"/>
      <c r="BJ287" s="5347"/>
      <c r="BK287" s="5347"/>
      <c r="BL287" s="5508"/>
      <c r="BM287" s="5363">
        <v>27373.5</v>
      </c>
      <c r="BN287" s="5347"/>
      <c r="BO287" s="5356"/>
      <c r="BP287" s="5356"/>
      <c r="BQ287" s="5356"/>
      <c r="BR287" s="5473"/>
      <c r="BS287" s="5356"/>
      <c r="BT287" s="5356"/>
      <c r="BU287" s="5356"/>
      <c r="BV287" s="5347"/>
      <c r="BW287" s="5347"/>
      <c r="BX287" s="5356"/>
      <c r="BY287" s="5356"/>
      <c r="BZ287" s="5356"/>
      <c r="CA287" s="5356">
        <v>27373.5</v>
      </c>
      <c r="CB287" s="5356"/>
      <c r="CC287" s="2824"/>
      <c r="CD287" s="2824"/>
      <c r="CE287" s="5366"/>
      <c r="CF287" s="5366"/>
      <c r="CG287" s="5366"/>
      <c r="CH287" s="5366"/>
    </row>
    <row r="288" s="4975" customFormat="1" ht="48.35" customHeight="1" spans="1:86">
      <c r="A288" s="2682"/>
      <c r="B288" s="5426"/>
      <c r="C288" s="5427"/>
      <c r="D288" s="5428"/>
      <c r="E288" s="5317"/>
      <c r="F288" s="5428"/>
      <c r="G288" s="5324"/>
      <c r="H288" s="5428"/>
      <c r="I288" s="5316"/>
      <c r="J288" s="5428"/>
      <c r="K288" s="5324"/>
      <c r="L288" s="5324"/>
      <c r="M288" s="5427"/>
      <c r="N288" s="2682"/>
      <c r="O288" s="2682"/>
      <c r="P288" s="2682"/>
      <c r="Q288" s="2682"/>
      <c r="R288" s="2682"/>
      <c r="S288" s="2682"/>
      <c r="T288" s="2682"/>
      <c r="U288" s="2682"/>
      <c r="V288" s="2682"/>
      <c r="W288" s="2682"/>
      <c r="X288" s="2682"/>
      <c r="Y288" s="2682"/>
      <c r="Z288" s="2682"/>
      <c r="AA288" s="2682"/>
      <c r="AB288" s="2682"/>
      <c r="AC288" s="2824">
        <v>2</v>
      </c>
      <c r="AD288" s="5316" t="s">
        <v>817</v>
      </c>
      <c r="AE288" s="5344">
        <v>0.2</v>
      </c>
      <c r="AF288" s="2824">
        <f>M287*AE288</f>
        <v>7821</v>
      </c>
      <c r="AG288" s="5473">
        <f t="shared" si="65"/>
        <v>7821</v>
      </c>
      <c r="AH288" s="5474" t="s">
        <v>349</v>
      </c>
      <c r="AI288" s="5475">
        <v>46052</v>
      </c>
      <c r="AJ288" s="5424"/>
      <c r="AK288" s="5424"/>
      <c r="AL288" s="4204"/>
      <c r="AM288" s="5424"/>
      <c r="AN288" s="5473">
        <f>AG288</f>
        <v>7821</v>
      </c>
      <c r="AO288" s="5473">
        <v>46052</v>
      </c>
      <c r="AP288" s="2824"/>
      <c r="AQ288" s="5356"/>
      <c r="AR288" s="2824"/>
      <c r="AS288" s="5361"/>
      <c r="AT288" s="5356"/>
      <c r="AU288" s="2682"/>
      <c r="AV288" s="2682"/>
      <c r="AW288" s="2682"/>
      <c r="AX288" s="2682"/>
      <c r="AY288" s="2682"/>
      <c r="AZ288" s="2682"/>
      <c r="BA288" s="5363"/>
      <c r="BB288" s="5347"/>
      <c r="BC288" s="5347"/>
      <c r="BD288" s="5347"/>
      <c r="BE288" s="5363"/>
      <c r="BF288" s="5363"/>
      <c r="BG288" s="5356"/>
      <c r="BH288" s="5473"/>
      <c r="BI288" s="5347"/>
      <c r="BJ288" s="5347"/>
      <c r="BK288" s="5347"/>
      <c r="BL288" s="5508"/>
      <c r="BM288" s="5508">
        <v>7821</v>
      </c>
      <c r="BN288" s="5347"/>
      <c r="BO288" s="5356"/>
      <c r="BP288" s="5356"/>
      <c r="BQ288" s="5356"/>
      <c r="BR288" s="5473"/>
      <c r="BS288" s="5356"/>
      <c r="BT288" s="5356"/>
      <c r="BU288" s="5356"/>
      <c r="BV288" s="5347"/>
      <c r="BW288" s="5347"/>
      <c r="BX288" s="5356"/>
      <c r="BY288" s="5356"/>
      <c r="BZ288" s="5356"/>
      <c r="CA288" s="5356"/>
      <c r="CB288" s="5356"/>
      <c r="CC288" s="2824"/>
      <c r="CD288" s="2824"/>
      <c r="CE288" s="5366"/>
      <c r="CF288" s="5366"/>
      <c r="CG288" s="5366"/>
      <c r="CH288" s="5366"/>
    </row>
    <row r="289" s="4975" customFormat="1" ht="48.35" customHeight="1" spans="1:86">
      <c r="A289" s="2682"/>
      <c r="B289" s="5429"/>
      <c r="C289" s="5430"/>
      <c r="D289" s="5431"/>
      <c r="E289" s="5317"/>
      <c r="F289" s="5431"/>
      <c r="G289" s="5325"/>
      <c r="H289" s="5431"/>
      <c r="I289" s="5316"/>
      <c r="J289" s="5431"/>
      <c r="K289" s="5325"/>
      <c r="L289" s="5325"/>
      <c r="M289" s="5430"/>
      <c r="N289" s="2682"/>
      <c r="O289" s="2682"/>
      <c r="P289" s="2682"/>
      <c r="Q289" s="2682"/>
      <c r="R289" s="2682"/>
      <c r="S289" s="2682"/>
      <c r="T289" s="2682"/>
      <c r="U289" s="2682"/>
      <c r="V289" s="2682"/>
      <c r="W289" s="2682"/>
      <c r="X289" s="2682"/>
      <c r="Y289" s="2682"/>
      <c r="Z289" s="2682"/>
      <c r="AA289" s="2682"/>
      <c r="AB289" s="2682"/>
      <c r="AC289" s="2824">
        <v>3</v>
      </c>
      <c r="AD289" s="5316" t="s">
        <v>818</v>
      </c>
      <c r="AE289" s="5344">
        <v>0.1</v>
      </c>
      <c r="AF289" s="2824">
        <f>M287*AE289</f>
        <v>3910.5</v>
      </c>
      <c r="AG289" s="5473">
        <f t="shared" si="65"/>
        <v>3910.5</v>
      </c>
      <c r="AH289" s="5474" t="s">
        <v>349</v>
      </c>
      <c r="AI289" s="5475">
        <v>46203</v>
      </c>
      <c r="AJ289" s="5424"/>
      <c r="AK289" s="5424"/>
      <c r="AL289" s="4204"/>
      <c r="AM289" s="5424"/>
      <c r="AN289" s="5347"/>
      <c r="AO289" s="5347"/>
      <c r="AP289" s="2824"/>
      <c r="AQ289" s="5356"/>
      <c r="AR289" s="2824"/>
      <c r="AS289" s="5361"/>
      <c r="AT289" s="5356"/>
      <c r="AU289" s="2682"/>
      <c r="AV289" s="2682"/>
      <c r="AW289" s="2682"/>
      <c r="AX289" s="2682"/>
      <c r="AY289" s="2682"/>
      <c r="AZ289" s="2682"/>
      <c r="BA289" s="5363"/>
      <c r="BB289" s="5347"/>
      <c r="BC289" s="5347"/>
      <c r="BD289" s="5347"/>
      <c r="BE289" s="5363"/>
      <c r="BF289" s="5363"/>
      <c r="BG289" s="5356"/>
      <c r="BH289" s="5473"/>
      <c r="BI289" s="5347"/>
      <c r="BJ289" s="5347"/>
      <c r="BK289" s="5347"/>
      <c r="BL289" s="5508"/>
      <c r="BM289" s="5508">
        <v>3910.5</v>
      </c>
      <c r="BN289" s="5347"/>
      <c r="BO289" s="5356"/>
      <c r="BP289" s="5356"/>
      <c r="BQ289" s="5356"/>
      <c r="BR289" s="5473"/>
      <c r="BS289" s="5356"/>
      <c r="BT289" s="5356"/>
      <c r="BU289" s="5356"/>
      <c r="BV289" s="5347"/>
      <c r="BW289" s="5347"/>
      <c r="BX289" s="5356"/>
      <c r="BY289" s="5356"/>
      <c r="BZ289" s="5356"/>
      <c r="CA289" s="5356"/>
      <c r="CB289" s="5356"/>
      <c r="CC289" s="2824"/>
      <c r="CD289" s="2824"/>
      <c r="CE289" s="5366"/>
      <c r="CF289" s="5366"/>
      <c r="CG289" s="5366"/>
      <c r="CH289" s="5366"/>
    </row>
    <row r="290" s="4971" customFormat="1" ht="70" customHeight="1" spans="1:86">
      <c r="A290" s="2978"/>
      <c r="B290" s="3408" t="s">
        <v>809</v>
      </c>
      <c r="C290" s="4088">
        <v>45945</v>
      </c>
      <c r="D290" s="5205" t="s">
        <v>810</v>
      </c>
      <c r="E290" s="3742"/>
      <c r="F290" s="5073" t="s">
        <v>819</v>
      </c>
      <c r="G290" s="5205" t="s">
        <v>820</v>
      </c>
      <c r="H290" s="5205" t="s">
        <v>813</v>
      </c>
      <c r="I290" s="5205" t="s">
        <v>821</v>
      </c>
      <c r="J290" s="5205" t="s">
        <v>815</v>
      </c>
      <c r="K290" s="3740"/>
      <c r="L290" s="3740"/>
      <c r="M290" s="4088">
        <v>19552.5</v>
      </c>
      <c r="N290" s="2978"/>
      <c r="O290" s="2978"/>
      <c r="P290" s="2978"/>
      <c r="Q290" s="2978"/>
      <c r="R290" s="2978"/>
      <c r="S290" s="2978"/>
      <c r="T290" s="2978"/>
      <c r="U290" s="2978"/>
      <c r="V290" s="2978"/>
      <c r="W290" s="2978"/>
      <c r="X290" s="2978"/>
      <c r="Y290" s="2978"/>
      <c r="Z290" s="2978"/>
      <c r="AA290" s="2978"/>
      <c r="AB290" s="2978"/>
      <c r="AC290" s="3524">
        <v>1</v>
      </c>
      <c r="AD290" s="3742" t="s">
        <v>816</v>
      </c>
      <c r="AE290" s="5117">
        <v>0.7</v>
      </c>
      <c r="AF290" s="3524">
        <f>M290*AE290</f>
        <v>13686.75</v>
      </c>
      <c r="AG290" s="4087"/>
      <c r="AH290" s="4087"/>
      <c r="AI290" s="4087"/>
      <c r="AJ290" s="4087"/>
      <c r="AK290" s="4087"/>
      <c r="AL290" s="4840"/>
      <c r="AM290" s="4087"/>
      <c r="AN290" s="3812"/>
      <c r="AO290" s="3812"/>
      <c r="AP290" s="3524"/>
      <c r="AQ290" s="5122"/>
      <c r="AR290" s="3524"/>
      <c r="AS290" s="5137"/>
      <c r="AT290" s="5122"/>
      <c r="AU290" s="2978"/>
      <c r="AV290" s="2978"/>
      <c r="AW290" s="2978"/>
      <c r="AX290" s="2978"/>
      <c r="AY290" s="2978"/>
      <c r="AZ290" s="2978"/>
      <c r="BA290" s="5146"/>
      <c r="BB290" s="3812"/>
      <c r="BC290" s="3812"/>
      <c r="BD290" s="3812"/>
      <c r="BE290" s="5146"/>
      <c r="BF290" s="3812"/>
      <c r="BG290" s="3812"/>
      <c r="BH290" s="3812"/>
      <c r="BI290" s="3812"/>
      <c r="BJ290" s="3812"/>
      <c r="BK290" s="3812"/>
      <c r="BL290" s="3812"/>
      <c r="BM290" s="3812"/>
      <c r="BN290" s="3812"/>
      <c r="BO290" s="5160"/>
      <c r="BP290" s="5160"/>
      <c r="BQ290" s="5160"/>
      <c r="BR290" s="3812"/>
      <c r="BS290" s="5146"/>
      <c r="BT290" s="3812"/>
      <c r="BU290" s="5123"/>
      <c r="BV290" s="5160"/>
      <c r="BW290" s="5160"/>
      <c r="BX290" s="5160"/>
      <c r="BY290" s="5160"/>
      <c r="BZ290" s="5160"/>
      <c r="CA290" s="5160"/>
      <c r="CB290" s="5160"/>
      <c r="CC290" s="3524"/>
      <c r="CD290" s="3524"/>
      <c r="CE290" s="5039"/>
      <c r="CF290" s="5039"/>
      <c r="CG290" s="5039"/>
      <c r="CH290" s="5039"/>
    </row>
    <row r="291" s="4971" customFormat="1" ht="70" customHeight="1" spans="1:86">
      <c r="A291" s="2978"/>
      <c r="B291" s="4088"/>
      <c r="C291" s="4088"/>
      <c r="D291" s="3669"/>
      <c r="E291" s="3742"/>
      <c r="F291" s="5205"/>
      <c r="G291" s="3669"/>
      <c r="H291" s="3669"/>
      <c r="I291" s="3669"/>
      <c r="J291" s="3669"/>
      <c r="K291" s="3669"/>
      <c r="L291" s="3669"/>
      <c r="M291" s="4088"/>
      <c r="N291" s="2978"/>
      <c r="O291" s="2978"/>
      <c r="P291" s="2978"/>
      <c r="Q291" s="2978"/>
      <c r="R291" s="2978"/>
      <c r="S291" s="2978"/>
      <c r="T291" s="2978"/>
      <c r="U291" s="2978"/>
      <c r="V291" s="2978"/>
      <c r="W291" s="2978"/>
      <c r="X291" s="2978"/>
      <c r="Y291" s="2978"/>
      <c r="Z291" s="2978"/>
      <c r="AA291" s="2978"/>
      <c r="AB291" s="2978"/>
      <c r="AC291" s="3524">
        <v>2</v>
      </c>
      <c r="AD291" s="3742" t="s">
        <v>817</v>
      </c>
      <c r="AE291" s="5117">
        <v>0.2</v>
      </c>
      <c r="AF291" s="3524">
        <f>M290*AE291</f>
        <v>3910.5</v>
      </c>
      <c r="AG291" s="4087"/>
      <c r="AH291" s="4087"/>
      <c r="AI291" s="4087"/>
      <c r="AJ291" s="4087"/>
      <c r="AK291" s="4087"/>
      <c r="AL291" s="4840"/>
      <c r="AM291" s="4087"/>
      <c r="AN291" s="3812"/>
      <c r="AO291" s="3812"/>
      <c r="AP291" s="3524"/>
      <c r="AQ291" s="5122"/>
      <c r="AR291" s="3524"/>
      <c r="AS291" s="5137"/>
      <c r="AT291" s="5122"/>
      <c r="AU291" s="2978"/>
      <c r="AV291" s="2978"/>
      <c r="AW291" s="2978"/>
      <c r="AX291" s="2978"/>
      <c r="AY291" s="2978"/>
      <c r="AZ291" s="2978"/>
      <c r="BA291" s="5146"/>
      <c r="BB291" s="3812"/>
      <c r="BC291" s="3812"/>
      <c r="BD291" s="3812"/>
      <c r="BE291" s="5146"/>
      <c r="BF291" s="3812"/>
      <c r="BG291" s="3812"/>
      <c r="BH291" s="3812"/>
      <c r="BI291" s="3812"/>
      <c r="BJ291" s="3812"/>
      <c r="BK291" s="3812"/>
      <c r="BL291" s="3812"/>
      <c r="BM291" s="3812"/>
      <c r="BN291" s="3812"/>
      <c r="BO291" s="5160"/>
      <c r="BP291" s="5160"/>
      <c r="BQ291" s="5160"/>
      <c r="BR291" s="3812"/>
      <c r="BS291" s="5146"/>
      <c r="BT291" s="3812"/>
      <c r="BU291" s="5123"/>
      <c r="BV291" s="5160"/>
      <c r="BW291" s="5160"/>
      <c r="BX291" s="5160"/>
      <c r="BY291" s="5160"/>
      <c r="BZ291" s="5160"/>
      <c r="CA291" s="5160"/>
      <c r="CB291" s="5160"/>
      <c r="CC291" s="3524"/>
      <c r="CD291" s="3524"/>
      <c r="CE291" s="5039"/>
      <c r="CF291" s="5039"/>
      <c r="CG291" s="5039"/>
      <c r="CH291" s="5039"/>
    </row>
    <row r="292" s="4971" customFormat="1" ht="70" customHeight="1" spans="1:86">
      <c r="A292" s="2978"/>
      <c r="B292" s="4903"/>
      <c r="C292" s="4903"/>
      <c r="D292" s="3741"/>
      <c r="E292" s="3742"/>
      <c r="F292" s="5206"/>
      <c r="G292" s="3741"/>
      <c r="H292" s="3741"/>
      <c r="I292" s="3669"/>
      <c r="J292" s="3741"/>
      <c r="K292" s="3741"/>
      <c r="L292" s="3741"/>
      <c r="M292" s="4903"/>
      <c r="N292" s="2978"/>
      <c r="O292" s="2978"/>
      <c r="P292" s="2978"/>
      <c r="Q292" s="2978"/>
      <c r="R292" s="2978"/>
      <c r="S292" s="2978"/>
      <c r="T292" s="2978"/>
      <c r="U292" s="2978"/>
      <c r="V292" s="2978"/>
      <c r="W292" s="2978"/>
      <c r="X292" s="2978"/>
      <c r="Y292" s="2978"/>
      <c r="Z292" s="2978"/>
      <c r="AA292" s="2978"/>
      <c r="AB292" s="2978"/>
      <c r="AC292" s="3524">
        <v>3</v>
      </c>
      <c r="AD292" s="3742" t="s">
        <v>818</v>
      </c>
      <c r="AE292" s="5117">
        <v>0.1</v>
      </c>
      <c r="AF292" s="3524">
        <f>M290*AE292</f>
        <v>1955.25</v>
      </c>
      <c r="AG292" s="4087"/>
      <c r="AH292" s="4087"/>
      <c r="AI292" s="4087"/>
      <c r="AJ292" s="4087"/>
      <c r="AK292" s="4087"/>
      <c r="AL292" s="4840"/>
      <c r="AM292" s="4087"/>
      <c r="AN292" s="3812"/>
      <c r="AO292" s="3812"/>
      <c r="AP292" s="3524"/>
      <c r="AQ292" s="5122"/>
      <c r="AR292" s="3524"/>
      <c r="AS292" s="5137"/>
      <c r="AT292" s="5122"/>
      <c r="AU292" s="2978"/>
      <c r="AV292" s="2978"/>
      <c r="AW292" s="2978"/>
      <c r="AX292" s="2978"/>
      <c r="AY292" s="2978"/>
      <c r="AZ292" s="2978"/>
      <c r="BA292" s="5146"/>
      <c r="BB292" s="3812"/>
      <c r="BC292" s="3812"/>
      <c r="BD292" s="3812"/>
      <c r="BE292" s="5146"/>
      <c r="BF292" s="3812"/>
      <c r="BG292" s="3812"/>
      <c r="BH292" s="3812"/>
      <c r="BI292" s="3812"/>
      <c r="BJ292" s="3812"/>
      <c r="BK292" s="3812"/>
      <c r="BL292" s="3812"/>
      <c r="BM292" s="3812"/>
      <c r="BN292" s="3812"/>
      <c r="BO292" s="5160"/>
      <c r="BP292" s="5160"/>
      <c r="BQ292" s="5160"/>
      <c r="BR292" s="3812"/>
      <c r="BS292" s="5146"/>
      <c r="BT292" s="3812"/>
      <c r="BU292" s="5123"/>
      <c r="BV292" s="5160"/>
      <c r="BW292" s="5160"/>
      <c r="BX292" s="5160"/>
      <c r="BY292" s="5160"/>
      <c r="BZ292" s="5160"/>
      <c r="CA292" s="5160"/>
      <c r="CB292" s="5160"/>
      <c r="CC292" s="3524"/>
      <c r="CD292" s="3524"/>
      <c r="CE292" s="5039"/>
      <c r="CF292" s="5039"/>
      <c r="CG292" s="5039"/>
      <c r="CH292" s="5039"/>
    </row>
    <row r="293" s="4971" customFormat="1" ht="70" customHeight="1" spans="1:86">
      <c r="A293" s="2978">
        <v>66</v>
      </c>
      <c r="B293" s="3524" t="s">
        <v>690</v>
      </c>
      <c r="C293" s="3524">
        <v>44175</v>
      </c>
      <c r="D293" s="3742" t="s">
        <v>822</v>
      </c>
      <c r="E293" s="3742" t="s">
        <v>823</v>
      </c>
      <c r="F293" s="5129" t="s">
        <v>824</v>
      </c>
      <c r="G293" s="3742" t="s">
        <v>825</v>
      </c>
      <c r="H293" s="3742" t="s">
        <v>801</v>
      </c>
      <c r="I293" s="3740"/>
      <c r="J293" s="3742" t="s">
        <v>802</v>
      </c>
      <c r="K293" s="3742" t="s">
        <v>826</v>
      </c>
      <c r="L293" s="3742" t="s">
        <v>804</v>
      </c>
      <c r="M293" s="3524">
        <f>SUM(N293:AA297)</f>
        <v>1431769</v>
      </c>
      <c r="N293" s="2978"/>
      <c r="O293" s="2978"/>
      <c r="P293" s="2978"/>
      <c r="Q293" s="2978">
        <v>345425</v>
      </c>
      <c r="R293" s="2978"/>
      <c r="S293" s="2978">
        <v>1086344</v>
      </c>
      <c r="T293" s="2978"/>
      <c r="U293" s="2978"/>
      <c r="V293" s="2978"/>
      <c r="W293" s="2978"/>
      <c r="X293" s="2978">
        <v>0</v>
      </c>
      <c r="Y293" s="2978"/>
      <c r="Z293" s="2978"/>
      <c r="AA293" s="2978"/>
      <c r="AB293" s="2978"/>
      <c r="AC293" s="3524">
        <v>1</v>
      </c>
      <c r="AD293" s="5129" t="s">
        <v>827</v>
      </c>
      <c r="AE293" s="5117">
        <v>0.3</v>
      </c>
      <c r="AF293" s="3524">
        <f>AE293*M293</f>
        <v>429530.7</v>
      </c>
      <c r="AG293" s="4087">
        <f>SUM(BA293:BN293)</f>
        <v>429530.7</v>
      </c>
      <c r="AH293" s="4087" t="s">
        <v>122</v>
      </c>
      <c r="AI293" s="4087">
        <v>44175</v>
      </c>
      <c r="AJ293" s="4087">
        <v>1288592.1</v>
      </c>
      <c r="AK293" s="4087">
        <v>44175</v>
      </c>
      <c r="AL293" s="4840">
        <v>1288592.1</v>
      </c>
      <c r="AM293" s="4087">
        <v>44181</v>
      </c>
      <c r="AN293" s="3812">
        <f t="shared" ref="AN293:AN298" si="66">SUM(BO293:CB293)</f>
        <v>429530.7</v>
      </c>
      <c r="AO293" s="3812">
        <v>45684</v>
      </c>
      <c r="AP293" s="3524">
        <f t="shared" ref="AP293:AP298" si="67">AG293-AN293</f>
        <v>0</v>
      </c>
      <c r="AQ293" s="5122"/>
      <c r="AR293" s="3524"/>
      <c r="AS293" s="5137"/>
      <c r="AT293" s="5122"/>
      <c r="AU293" s="2978">
        <f>SUM(AG293:AG297)</f>
        <v>1288592.1</v>
      </c>
      <c r="AV293" s="2978">
        <f>SUM(AL293:AL297)</f>
        <v>1288592.1</v>
      </c>
      <c r="AW293" s="2978">
        <f>SUM(AN293:AN297)</f>
        <v>1288592.1</v>
      </c>
      <c r="AX293" s="2978">
        <f>M293-AU293</f>
        <v>143176.9</v>
      </c>
      <c r="AY293" s="2978">
        <f>AU293-AV293</f>
        <v>0</v>
      </c>
      <c r="AZ293" s="2978">
        <f>AV293-AW293</f>
        <v>0</v>
      </c>
      <c r="BA293" s="5146"/>
      <c r="BB293" s="3812"/>
      <c r="BC293" s="3812"/>
      <c r="BD293" s="3812">
        <v>103627.5</v>
      </c>
      <c r="BE293" s="5146"/>
      <c r="BF293" s="3812">
        <v>325903.2</v>
      </c>
      <c r="BG293" s="3812"/>
      <c r="BH293" s="3812"/>
      <c r="BI293" s="3812"/>
      <c r="BJ293" s="3812"/>
      <c r="BK293" s="3812"/>
      <c r="BL293" s="3812"/>
      <c r="BM293" s="3812"/>
      <c r="BN293" s="3812"/>
      <c r="BO293" s="5160"/>
      <c r="BP293" s="5160"/>
      <c r="BQ293" s="5160"/>
      <c r="BR293" s="3812">
        <v>103627.5</v>
      </c>
      <c r="BS293" s="5146"/>
      <c r="BT293" s="3812">
        <v>325903.2</v>
      </c>
      <c r="BU293" s="5123"/>
      <c r="BV293" s="5160"/>
      <c r="BW293" s="5160"/>
      <c r="BX293" s="5160"/>
      <c r="BY293" s="5160"/>
      <c r="BZ293" s="5160"/>
      <c r="CA293" s="5160"/>
      <c r="CB293" s="5160"/>
      <c r="CC293" s="3524" t="s">
        <v>166</v>
      </c>
      <c r="CD293" s="3524" t="s">
        <v>154</v>
      </c>
      <c r="CE293" s="5039"/>
      <c r="CF293" s="5039"/>
      <c r="CG293" s="5039"/>
      <c r="CH293" s="5039"/>
    </row>
    <row r="294" s="4971" customFormat="1" ht="52.5" customHeight="1" spans="1:86">
      <c r="A294" s="2978"/>
      <c r="B294" s="3524"/>
      <c r="C294" s="3524"/>
      <c r="D294" s="3742"/>
      <c r="E294" s="3742"/>
      <c r="F294" s="5129"/>
      <c r="G294" s="3742"/>
      <c r="H294" s="3742"/>
      <c r="I294" s="3669"/>
      <c r="J294" s="3742"/>
      <c r="K294" s="3742"/>
      <c r="L294" s="3742"/>
      <c r="M294" s="3524"/>
      <c r="N294" s="2978"/>
      <c r="O294" s="2978"/>
      <c r="P294" s="2978"/>
      <c r="Q294" s="2978"/>
      <c r="R294" s="2978"/>
      <c r="S294" s="2978"/>
      <c r="T294" s="2978"/>
      <c r="U294" s="2978"/>
      <c r="V294" s="2978"/>
      <c r="W294" s="2978"/>
      <c r="X294" s="2978"/>
      <c r="Y294" s="2978"/>
      <c r="Z294" s="2978"/>
      <c r="AA294" s="2978"/>
      <c r="AB294" s="2978"/>
      <c r="AC294" s="4087">
        <v>2</v>
      </c>
      <c r="AD294" s="5390" t="s">
        <v>828</v>
      </c>
      <c r="AE294" s="5117">
        <v>0.6</v>
      </c>
      <c r="AF294" s="4087">
        <f>AE294*M293</f>
        <v>859061.4</v>
      </c>
      <c r="AG294" s="3524">
        <f>SUM(BA294:BN294)</f>
        <v>524546.8</v>
      </c>
      <c r="AH294" s="4088"/>
      <c r="AI294" s="4088"/>
      <c r="AJ294" s="4088"/>
      <c r="AK294" s="4088"/>
      <c r="AL294" s="4841"/>
      <c r="AM294" s="4088"/>
      <c r="AN294" s="3812">
        <f t="shared" si="66"/>
        <v>524546.8</v>
      </c>
      <c r="AO294" s="3812">
        <v>45684</v>
      </c>
      <c r="AP294" s="3524">
        <f t="shared" si="67"/>
        <v>0</v>
      </c>
      <c r="AQ294" s="5122"/>
      <c r="AR294" s="3524"/>
      <c r="AS294" s="5137"/>
      <c r="AT294" s="5122"/>
      <c r="AU294" s="2978"/>
      <c r="AV294" s="2978"/>
      <c r="AW294" s="2978"/>
      <c r="AX294" s="2978"/>
      <c r="AY294" s="2978"/>
      <c r="AZ294" s="2978"/>
      <c r="BA294" s="5146"/>
      <c r="BB294" s="3812"/>
      <c r="BC294" s="3812"/>
      <c r="BD294" s="3812">
        <f>207255-BD295</f>
        <v>126550.85</v>
      </c>
      <c r="BE294" s="5146"/>
      <c r="BF294" s="3812">
        <f>651806.4-BF295</f>
        <v>397995.95</v>
      </c>
      <c r="BG294" s="3812"/>
      <c r="BH294" s="3812"/>
      <c r="BI294" s="3812"/>
      <c r="BJ294" s="3812"/>
      <c r="BK294" s="3812"/>
      <c r="BL294" s="3812"/>
      <c r="BM294" s="3812"/>
      <c r="BN294" s="3812"/>
      <c r="BO294" s="5160"/>
      <c r="BP294" s="5160"/>
      <c r="BQ294" s="5160"/>
      <c r="BR294" s="3812">
        <f>207255-BR295</f>
        <v>126550.85</v>
      </c>
      <c r="BS294" s="5146"/>
      <c r="BT294" s="3812">
        <f>651806.4-BT295</f>
        <v>397995.95</v>
      </c>
      <c r="BU294" s="5123"/>
      <c r="BV294" s="5160"/>
      <c r="BW294" s="5160"/>
      <c r="BX294" s="5160"/>
      <c r="BY294" s="5160"/>
      <c r="BZ294" s="5160"/>
      <c r="CA294" s="5160"/>
      <c r="CB294" s="5160"/>
      <c r="CC294" s="3524"/>
      <c r="CD294" s="3524"/>
      <c r="CE294" s="5039"/>
      <c r="CF294" s="5039"/>
      <c r="CG294" s="5039"/>
      <c r="CH294" s="5039"/>
    </row>
    <row r="295" s="4971" customFormat="1" ht="50.85" customHeight="1" spans="1:86">
      <c r="A295" s="2978"/>
      <c r="B295" s="3524"/>
      <c r="C295" s="3524"/>
      <c r="D295" s="3742"/>
      <c r="E295" s="3742"/>
      <c r="F295" s="5129"/>
      <c r="G295" s="3742"/>
      <c r="H295" s="3742"/>
      <c r="I295" s="3669"/>
      <c r="J295" s="3742"/>
      <c r="K295" s="3742"/>
      <c r="L295" s="3742"/>
      <c r="M295" s="3524"/>
      <c r="N295" s="2978"/>
      <c r="O295" s="2978"/>
      <c r="P295" s="2978"/>
      <c r="Q295" s="2978"/>
      <c r="R295" s="2978"/>
      <c r="S295" s="2978"/>
      <c r="T295" s="2978"/>
      <c r="U295" s="2978"/>
      <c r="V295" s="2978"/>
      <c r="W295" s="2978"/>
      <c r="X295" s="2978"/>
      <c r="Y295" s="2978"/>
      <c r="Z295" s="2978"/>
      <c r="AA295" s="2978"/>
      <c r="AB295" s="2978"/>
      <c r="AC295" s="4903"/>
      <c r="AD295" s="5391"/>
      <c r="AE295" s="5117"/>
      <c r="AF295" s="4903"/>
      <c r="AG295" s="3524">
        <v>334514.6</v>
      </c>
      <c r="AH295" s="4903"/>
      <c r="AI295" s="4903"/>
      <c r="AJ295" s="4903"/>
      <c r="AK295" s="4903"/>
      <c r="AL295" s="4842"/>
      <c r="AM295" s="4903"/>
      <c r="AN295" s="5485">
        <f t="shared" si="66"/>
        <v>334514.6</v>
      </c>
      <c r="AO295" s="3524"/>
      <c r="AP295" s="3524">
        <f t="shared" si="67"/>
        <v>0</v>
      </c>
      <c r="AQ295" s="5122"/>
      <c r="AR295" s="3524"/>
      <c r="AS295" s="5137"/>
      <c r="AT295" s="5122"/>
      <c r="AU295" s="2978"/>
      <c r="AV295" s="2978"/>
      <c r="AW295" s="2978"/>
      <c r="AX295" s="2978"/>
      <c r="AY295" s="2978"/>
      <c r="AZ295" s="2978"/>
      <c r="BA295" s="5122"/>
      <c r="BB295" s="3524"/>
      <c r="BC295" s="3524"/>
      <c r="BD295" s="3524">
        <v>80704.15</v>
      </c>
      <c r="BE295" s="5122"/>
      <c r="BF295" s="3524">
        <v>253810.45</v>
      </c>
      <c r="BG295" s="5122"/>
      <c r="BH295" s="3524"/>
      <c r="BI295" s="3524"/>
      <c r="BJ295" s="3524"/>
      <c r="BK295" s="3524"/>
      <c r="BL295" s="3524"/>
      <c r="BM295" s="3524"/>
      <c r="BN295" s="3524"/>
      <c r="BO295" s="5122"/>
      <c r="BP295" s="5122"/>
      <c r="BQ295" s="5122"/>
      <c r="BR295" s="3524">
        <v>80704.15</v>
      </c>
      <c r="BS295" s="5122"/>
      <c r="BT295" s="3524">
        <v>253810.45</v>
      </c>
      <c r="BU295" s="5122"/>
      <c r="BV295" s="5122"/>
      <c r="BW295" s="5122"/>
      <c r="BX295" s="5122"/>
      <c r="BY295" s="5122"/>
      <c r="BZ295" s="5122"/>
      <c r="CA295" s="5122"/>
      <c r="CB295" s="5122"/>
      <c r="CC295" s="3524"/>
      <c r="CD295" s="3524"/>
      <c r="CE295" s="5039"/>
      <c r="CF295" s="5039"/>
      <c r="CG295" s="5039"/>
      <c r="CH295" s="5039"/>
    </row>
    <row r="296" s="4971" customFormat="1" ht="50.85" customHeight="1" spans="1:86">
      <c r="A296" s="2978"/>
      <c r="B296" s="3524"/>
      <c r="C296" s="3524"/>
      <c r="D296" s="3742"/>
      <c r="E296" s="3742"/>
      <c r="F296" s="5129"/>
      <c r="G296" s="3742"/>
      <c r="H296" s="3742"/>
      <c r="I296" s="3669"/>
      <c r="J296" s="3742"/>
      <c r="K296" s="3742"/>
      <c r="L296" s="3742"/>
      <c r="M296" s="3524"/>
      <c r="N296" s="2978"/>
      <c r="O296" s="2978"/>
      <c r="P296" s="2978"/>
      <c r="Q296" s="2978"/>
      <c r="R296" s="2978"/>
      <c r="S296" s="2978"/>
      <c r="T296" s="2978"/>
      <c r="U296" s="2978"/>
      <c r="V296" s="2978"/>
      <c r="W296" s="2978"/>
      <c r="X296" s="2978"/>
      <c r="Y296" s="2978"/>
      <c r="Z296" s="2978"/>
      <c r="AA296" s="2978"/>
      <c r="AB296" s="2978"/>
      <c r="AC296" s="3524">
        <v>3</v>
      </c>
      <c r="AD296" s="5129" t="s">
        <v>807</v>
      </c>
      <c r="AE296" s="5117">
        <v>0.05</v>
      </c>
      <c r="AF296" s="3524">
        <f>AE296*M293</f>
        <v>71588.45</v>
      </c>
      <c r="AG296" s="3524">
        <f>SUM(BA296:BN296)</f>
        <v>0</v>
      </c>
      <c r="AH296" s="3524"/>
      <c r="AI296" s="3524"/>
      <c r="AJ296" s="3524"/>
      <c r="AK296" s="5122"/>
      <c r="AL296" s="3812"/>
      <c r="AM296" s="3524"/>
      <c r="AN296" s="3524">
        <f t="shared" si="66"/>
        <v>0</v>
      </c>
      <c r="AO296" s="3524"/>
      <c r="AP296" s="3524">
        <f t="shared" si="67"/>
        <v>0</v>
      </c>
      <c r="AQ296" s="5122"/>
      <c r="AR296" s="3524"/>
      <c r="AS296" s="5137"/>
      <c r="AT296" s="5122"/>
      <c r="AU296" s="2978"/>
      <c r="AV296" s="2978"/>
      <c r="AW296" s="2978"/>
      <c r="AX296" s="2978"/>
      <c r="AY296" s="2978"/>
      <c r="AZ296" s="2978"/>
      <c r="BA296" s="5122"/>
      <c r="BB296" s="3524"/>
      <c r="BC296" s="3524"/>
      <c r="BD296" s="5122"/>
      <c r="BE296" s="5122"/>
      <c r="BF296" s="5122"/>
      <c r="BG296" s="5122"/>
      <c r="BH296" s="3524"/>
      <c r="BI296" s="3524"/>
      <c r="BJ296" s="3524"/>
      <c r="BK296" s="3524"/>
      <c r="BL296" s="3524"/>
      <c r="BM296" s="3524"/>
      <c r="BN296" s="3524"/>
      <c r="BO296" s="5122"/>
      <c r="BP296" s="5122"/>
      <c r="BQ296" s="5122"/>
      <c r="BR296" s="5122"/>
      <c r="BS296" s="5122"/>
      <c r="BT296" s="5122"/>
      <c r="BU296" s="5122"/>
      <c r="BV296" s="5122"/>
      <c r="BW296" s="5122"/>
      <c r="BX296" s="5122"/>
      <c r="BY296" s="5122"/>
      <c r="BZ296" s="5122"/>
      <c r="CA296" s="5122"/>
      <c r="CB296" s="5122"/>
      <c r="CC296" s="3524"/>
      <c r="CD296" s="3524"/>
      <c r="CE296" s="5039"/>
      <c r="CF296" s="5039"/>
      <c r="CG296" s="5039"/>
      <c r="CH296" s="5039"/>
    </row>
    <row r="297" s="4971" customFormat="1" ht="35.85" customHeight="1" spans="1:86">
      <c r="A297" s="2978"/>
      <c r="B297" s="3524"/>
      <c r="C297" s="3524"/>
      <c r="D297" s="3742"/>
      <c r="E297" s="3742"/>
      <c r="F297" s="5129"/>
      <c r="G297" s="3742"/>
      <c r="H297" s="3742"/>
      <c r="I297" s="3741"/>
      <c r="J297" s="3742"/>
      <c r="K297" s="3742"/>
      <c r="L297" s="3742"/>
      <c r="M297" s="3524"/>
      <c r="N297" s="2978"/>
      <c r="O297" s="2978"/>
      <c r="P297" s="2978"/>
      <c r="Q297" s="2978"/>
      <c r="R297" s="2978"/>
      <c r="S297" s="2978"/>
      <c r="T297" s="2978"/>
      <c r="U297" s="2978"/>
      <c r="V297" s="2978"/>
      <c r="W297" s="2978"/>
      <c r="X297" s="2978"/>
      <c r="Y297" s="2978"/>
      <c r="Z297" s="2978"/>
      <c r="AA297" s="2978"/>
      <c r="AB297" s="2978"/>
      <c r="AC297" s="3524">
        <v>4</v>
      </c>
      <c r="AD297" s="5129" t="s">
        <v>829</v>
      </c>
      <c r="AE297" s="5117">
        <v>0.05</v>
      </c>
      <c r="AF297" s="3524">
        <f>AE297*M293</f>
        <v>71588.45</v>
      </c>
      <c r="AG297" s="3524">
        <f>SUM(BA297:BN297)</f>
        <v>0</v>
      </c>
      <c r="AH297" s="3524"/>
      <c r="AI297" s="3524"/>
      <c r="AJ297" s="3524"/>
      <c r="AK297" s="5122"/>
      <c r="AL297" s="3812"/>
      <c r="AM297" s="3524"/>
      <c r="AN297" s="3524">
        <f t="shared" si="66"/>
        <v>0</v>
      </c>
      <c r="AO297" s="3524"/>
      <c r="AP297" s="3524">
        <f t="shared" si="67"/>
        <v>0</v>
      </c>
      <c r="AQ297" s="5122"/>
      <c r="AR297" s="3524"/>
      <c r="AS297" s="5137"/>
      <c r="AT297" s="5122"/>
      <c r="AU297" s="2978"/>
      <c r="AV297" s="2978"/>
      <c r="AW297" s="2978"/>
      <c r="AX297" s="2978"/>
      <c r="AY297" s="2978"/>
      <c r="AZ297" s="2978"/>
      <c r="BA297" s="5122"/>
      <c r="BB297" s="3524"/>
      <c r="BC297" s="3524"/>
      <c r="BD297" s="5122"/>
      <c r="BE297" s="5122"/>
      <c r="BF297" s="5122"/>
      <c r="BG297" s="5122"/>
      <c r="BH297" s="3524"/>
      <c r="BI297" s="3524"/>
      <c r="BJ297" s="3524"/>
      <c r="BK297" s="3524"/>
      <c r="BL297" s="3524"/>
      <c r="BM297" s="3524"/>
      <c r="BN297" s="3524"/>
      <c r="BO297" s="5122"/>
      <c r="BP297" s="5122"/>
      <c r="BQ297" s="5122"/>
      <c r="BR297" s="5122"/>
      <c r="BS297" s="5122"/>
      <c r="BT297" s="5122"/>
      <c r="BU297" s="5122"/>
      <c r="BV297" s="5122"/>
      <c r="BW297" s="5122"/>
      <c r="BX297" s="5122"/>
      <c r="BY297" s="5122"/>
      <c r="BZ297" s="5122"/>
      <c r="CA297" s="5122"/>
      <c r="CB297" s="5122"/>
      <c r="CC297" s="3524"/>
      <c r="CD297" s="3524"/>
      <c r="CE297" s="5039"/>
      <c r="CF297" s="5039"/>
      <c r="CG297" s="5039"/>
      <c r="CH297" s="5039"/>
    </row>
    <row r="298" s="4975" customFormat="1" ht="65.85" customHeight="1" spans="1:86">
      <c r="A298" s="3083">
        <v>67</v>
      </c>
      <c r="B298" s="2824" t="s">
        <v>690</v>
      </c>
      <c r="C298" s="2824">
        <v>44176</v>
      </c>
      <c r="D298" s="5316" t="s">
        <v>830</v>
      </c>
      <c r="E298" s="5317" t="s">
        <v>831</v>
      </c>
      <c r="F298" s="5438" t="s">
        <v>832</v>
      </c>
      <c r="G298" s="5317" t="s">
        <v>833</v>
      </c>
      <c r="H298" s="5317" t="s">
        <v>801</v>
      </c>
      <c r="I298" s="5317"/>
      <c r="J298" s="5317" t="s">
        <v>802</v>
      </c>
      <c r="K298" s="5317" t="s">
        <v>826</v>
      </c>
      <c r="L298" s="5317" t="s">
        <v>804</v>
      </c>
      <c r="M298" s="2824">
        <f>SUM(N298:AA301)</f>
        <v>1873656</v>
      </c>
      <c r="N298" s="3083"/>
      <c r="O298" s="3083"/>
      <c r="P298" s="3083"/>
      <c r="Q298" s="3083"/>
      <c r="R298" s="3083"/>
      <c r="S298" s="3083">
        <v>1873656</v>
      </c>
      <c r="T298" s="3083"/>
      <c r="U298" s="3083"/>
      <c r="V298" s="3083"/>
      <c r="W298" s="3083"/>
      <c r="X298" s="3083">
        <v>0</v>
      </c>
      <c r="Y298" s="3083"/>
      <c r="Z298" s="3083"/>
      <c r="AA298" s="3083"/>
      <c r="AB298" s="3083"/>
      <c r="AC298" s="2824">
        <v>1</v>
      </c>
      <c r="AD298" s="5317" t="s">
        <v>805</v>
      </c>
      <c r="AE298" s="5344">
        <v>0.3</v>
      </c>
      <c r="AF298" s="2824">
        <f>AE298*M298</f>
        <v>562096.8</v>
      </c>
      <c r="AG298" s="2824">
        <f>SUM(BA298:BN298)</f>
        <v>1686290.4</v>
      </c>
      <c r="AH298" s="2824" t="s">
        <v>122</v>
      </c>
      <c r="AI298" s="2824">
        <v>44175</v>
      </c>
      <c r="AJ298" s="2824">
        <v>1686290.4</v>
      </c>
      <c r="AK298" s="2824">
        <v>44175</v>
      </c>
      <c r="AL298" s="5347">
        <v>1686290.4</v>
      </c>
      <c r="AM298" s="2824">
        <v>44181</v>
      </c>
      <c r="AN298" s="2824">
        <f t="shared" si="66"/>
        <v>1686290.4</v>
      </c>
      <c r="AO298" s="2824">
        <v>44190</v>
      </c>
      <c r="AP298" s="2824">
        <f t="shared" si="67"/>
        <v>0</v>
      </c>
      <c r="AQ298" s="5356"/>
      <c r="AR298" s="5348" t="s">
        <v>128</v>
      </c>
      <c r="AS298" s="5361"/>
      <c r="AT298" s="5356"/>
      <c r="AU298" s="3083">
        <f>SUM(AG298:AG300)</f>
        <v>1873656</v>
      </c>
      <c r="AV298" s="3083">
        <f>SUM(AL298:AL301)</f>
        <v>1873656</v>
      </c>
      <c r="AW298" s="3083">
        <f>SUM(AN298:AN300)</f>
        <v>1873656</v>
      </c>
      <c r="AX298" s="3083">
        <f>M298-AU298</f>
        <v>0</v>
      </c>
      <c r="AY298" s="3083">
        <f>AU298-AV298</f>
        <v>0</v>
      </c>
      <c r="AZ298" s="3083">
        <f>AV298-AW298</f>
        <v>0</v>
      </c>
      <c r="BA298" s="5363"/>
      <c r="BB298" s="5347"/>
      <c r="BC298" s="5347"/>
      <c r="BD298" s="5363"/>
      <c r="BE298" s="5363"/>
      <c r="BF298" s="5347">
        <v>1686290.4</v>
      </c>
      <c r="BG298" s="5347"/>
      <c r="BH298" s="5347"/>
      <c r="BI298" s="5347"/>
      <c r="BJ298" s="5347"/>
      <c r="BK298" s="5347"/>
      <c r="BL298" s="5347"/>
      <c r="BM298" s="5347"/>
      <c r="BN298" s="5347"/>
      <c r="BO298" s="5356"/>
      <c r="BP298" s="5356"/>
      <c r="BQ298" s="5356"/>
      <c r="BR298" s="5356"/>
      <c r="BS298" s="5356"/>
      <c r="BT298" s="2824">
        <v>1686290.4</v>
      </c>
      <c r="BU298" s="2824"/>
      <c r="BV298" s="5356"/>
      <c r="BW298" s="5356"/>
      <c r="BX298" s="5356"/>
      <c r="BY298" s="5356"/>
      <c r="BZ298" s="5356"/>
      <c r="CA298" s="5356"/>
      <c r="CB298" s="5356"/>
      <c r="CC298" s="2824" t="s">
        <v>166</v>
      </c>
      <c r="CD298" s="2824" t="s">
        <v>154</v>
      </c>
      <c r="CE298" s="5366"/>
      <c r="CF298" s="5366"/>
      <c r="CG298" s="5366"/>
      <c r="CH298" s="5366"/>
    </row>
    <row r="299" s="4975" customFormat="1" ht="77.5" customHeight="1" spans="1:86">
      <c r="A299" s="3083"/>
      <c r="B299" s="2824"/>
      <c r="C299" s="2824"/>
      <c r="D299" s="5317"/>
      <c r="E299" s="5317"/>
      <c r="F299" s="5438"/>
      <c r="G299" s="5317"/>
      <c r="H299" s="5317"/>
      <c r="I299" s="5317"/>
      <c r="J299" s="5317"/>
      <c r="K299" s="5317"/>
      <c r="L299" s="5317"/>
      <c r="M299" s="2824"/>
      <c r="N299" s="3083"/>
      <c r="O299" s="3083"/>
      <c r="P299" s="3083"/>
      <c r="Q299" s="3083"/>
      <c r="R299" s="3083"/>
      <c r="S299" s="3083"/>
      <c r="T299" s="3083"/>
      <c r="U299" s="3083"/>
      <c r="V299" s="3083"/>
      <c r="W299" s="3083"/>
      <c r="X299" s="3083"/>
      <c r="Y299" s="3083"/>
      <c r="Z299" s="3083"/>
      <c r="AA299" s="3083"/>
      <c r="AB299" s="3083"/>
      <c r="AC299" s="2824">
        <v>2</v>
      </c>
      <c r="AD299" s="5317" t="s">
        <v>806</v>
      </c>
      <c r="AE299" s="5344">
        <v>0.6</v>
      </c>
      <c r="AF299" s="2824">
        <f>AE299*M298</f>
        <v>1124193.6</v>
      </c>
      <c r="AG299" s="2824"/>
      <c r="AH299" s="2824"/>
      <c r="AI299" s="2824"/>
      <c r="AJ299" s="2824"/>
      <c r="AK299" s="2824"/>
      <c r="AL299" s="5347"/>
      <c r="AM299" s="2824"/>
      <c r="AN299" s="2824"/>
      <c r="AO299" s="2824"/>
      <c r="AP299" s="2824"/>
      <c r="AQ299" s="5356"/>
      <c r="AR299" s="2824"/>
      <c r="AS299" s="5361"/>
      <c r="AT299" s="5356"/>
      <c r="AU299" s="3083"/>
      <c r="AV299" s="3083"/>
      <c r="AW299" s="3083"/>
      <c r="AX299" s="3083"/>
      <c r="AY299" s="3083"/>
      <c r="AZ299" s="3083"/>
      <c r="BA299" s="5363"/>
      <c r="BB299" s="5347"/>
      <c r="BC299" s="5347"/>
      <c r="BD299" s="5363"/>
      <c r="BE299" s="5363"/>
      <c r="BF299" s="5347"/>
      <c r="BG299" s="5347"/>
      <c r="BH299" s="5347"/>
      <c r="BI299" s="5347"/>
      <c r="BJ299" s="5347"/>
      <c r="BK299" s="5347"/>
      <c r="BL299" s="5347"/>
      <c r="BM299" s="5347"/>
      <c r="BN299" s="5347"/>
      <c r="BO299" s="5356"/>
      <c r="BP299" s="5356"/>
      <c r="BQ299" s="5356"/>
      <c r="BR299" s="5356"/>
      <c r="BS299" s="5356"/>
      <c r="BT299" s="2824"/>
      <c r="BU299" s="2824"/>
      <c r="BV299" s="5356"/>
      <c r="BW299" s="5356"/>
      <c r="BX299" s="5356"/>
      <c r="BY299" s="5356"/>
      <c r="BZ299" s="5356"/>
      <c r="CA299" s="5356"/>
      <c r="CB299" s="5356"/>
      <c r="CC299" s="2824"/>
      <c r="CD299" s="2824"/>
      <c r="CE299" s="5366"/>
      <c r="CF299" s="5366"/>
      <c r="CG299" s="5366"/>
      <c r="CH299" s="5366"/>
    </row>
    <row r="300" s="4975" customFormat="1" ht="54.15" customHeight="1" spans="1:86">
      <c r="A300" s="3083"/>
      <c r="B300" s="2824"/>
      <c r="C300" s="2824"/>
      <c r="D300" s="5317"/>
      <c r="E300" s="5317"/>
      <c r="F300" s="5438"/>
      <c r="G300" s="5317"/>
      <c r="H300" s="5317"/>
      <c r="I300" s="5317"/>
      <c r="J300" s="5317"/>
      <c r="K300" s="5317"/>
      <c r="L300" s="5317"/>
      <c r="M300" s="2824"/>
      <c r="N300" s="3083"/>
      <c r="O300" s="3083"/>
      <c r="P300" s="3083"/>
      <c r="Q300" s="3083"/>
      <c r="R300" s="3083"/>
      <c r="S300" s="3083"/>
      <c r="T300" s="3083"/>
      <c r="U300" s="3083"/>
      <c r="V300" s="3083"/>
      <c r="W300" s="3083"/>
      <c r="X300" s="3083"/>
      <c r="Y300" s="3083"/>
      <c r="Z300" s="3083"/>
      <c r="AA300" s="3083"/>
      <c r="AB300" s="3083"/>
      <c r="AC300" s="2824">
        <v>3</v>
      </c>
      <c r="AD300" s="5317" t="s">
        <v>807</v>
      </c>
      <c r="AE300" s="5344">
        <v>0.05</v>
      </c>
      <c r="AF300" s="2824">
        <f>AE300*M298</f>
        <v>93682.8</v>
      </c>
      <c r="AG300" s="2824">
        <f>SUM(BA300:BN301)</f>
        <v>187365.6</v>
      </c>
      <c r="AH300" s="5348" t="s">
        <v>122</v>
      </c>
      <c r="AI300" s="2824">
        <v>44537</v>
      </c>
      <c r="AJ300" s="2824">
        <f>AG300</f>
        <v>187365.6</v>
      </c>
      <c r="AK300" s="2824">
        <v>44537</v>
      </c>
      <c r="AL300" s="5347">
        <f>AG300</f>
        <v>187365.6</v>
      </c>
      <c r="AM300" s="2824">
        <v>44537</v>
      </c>
      <c r="AN300" s="5347">
        <f>SUM(BO300:CB301)</f>
        <v>187365.6</v>
      </c>
      <c r="AO300" s="5347">
        <v>44586</v>
      </c>
      <c r="AP300" s="2824">
        <f>AG300-AN300</f>
        <v>0</v>
      </c>
      <c r="AQ300" s="5356"/>
      <c r="AR300" s="2824"/>
      <c r="AS300" s="5361"/>
      <c r="AT300" s="5356"/>
      <c r="AU300" s="3083"/>
      <c r="AV300" s="3083"/>
      <c r="AW300" s="3083"/>
      <c r="AX300" s="3083"/>
      <c r="AY300" s="3083"/>
      <c r="AZ300" s="3083"/>
      <c r="BA300" s="5363"/>
      <c r="BB300" s="5347"/>
      <c r="BC300" s="5347"/>
      <c r="BD300" s="5363"/>
      <c r="BE300" s="5363"/>
      <c r="BF300" s="5347">
        <v>187365.6</v>
      </c>
      <c r="BG300" s="5347"/>
      <c r="BH300" s="5347"/>
      <c r="BI300" s="5347"/>
      <c r="BJ300" s="5347"/>
      <c r="BK300" s="5347"/>
      <c r="BL300" s="5347"/>
      <c r="BM300" s="5347"/>
      <c r="BN300" s="5347"/>
      <c r="BO300" s="5356"/>
      <c r="BP300" s="5356"/>
      <c r="BQ300" s="5356"/>
      <c r="BR300" s="5356"/>
      <c r="BS300" s="5356"/>
      <c r="BT300" s="5347">
        <v>187365.6</v>
      </c>
      <c r="BU300" s="2824"/>
      <c r="BV300" s="5356"/>
      <c r="BW300" s="5356"/>
      <c r="BX300" s="5356"/>
      <c r="BY300" s="5356"/>
      <c r="BZ300" s="5356"/>
      <c r="CA300" s="5356"/>
      <c r="CB300" s="5356"/>
      <c r="CC300" s="2824"/>
      <c r="CD300" s="2824"/>
      <c r="CE300" s="5366"/>
      <c r="CF300" s="5366"/>
      <c r="CG300" s="5366"/>
      <c r="CH300" s="5366"/>
    </row>
    <row r="301" s="4975" customFormat="1" ht="51.65" customHeight="1" spans="1:86">
      <c r="A301" s="3083"/>
      <c r="B301" s="2824"/>
      <c r="C301" s="2824"/>
      <c r="D301" s="5317"/>
      <c r="E301" s="5317"/>
      <c r="F301" s="5438"/>
      <c r="G301" s="5317"/>
      <c r="H301" s="5317"/>
      <c r="I301" s="5317"/>
      <c r="J301" s="5317"/>
      <c r="K301" s="5317"/>
      <c r="L301" s="5317"/>
      <c r="M301" s="2824"/>
      <c r="N301" s="3083"/>
      <c r="O301" s="3083"/>
      <c r="P301" s="3083"/>
      <c r="Q301" s="3083"/>
      <c r="R301" s="3083"/>
      <c r="S301" s="3083"/>
      <c r="T301" s="3083"/>
      <c r="U301" s="3083"/>
      <c r="V301" s="3083"/>
      <c r="W301" s="3083"/>
      <c r="X301" s="3083"/>
      <c r="Y301" s="3083"/>
      <c r="Z301" s="3083"/>
      <c r="AA301" s="3083"/>
      <c r="AB301" s="3083"/>
      <c r="AC301" s="2824">
        <v>4</v>
      </c>
      <c r="AD301" s="5317" t="s">
        <v>808</v>
      </c>
      <c r="AE301" s="5344">
        <v>0.05</v>
      </c>
      <c r="AF301" s="2824">
        <f>AE301*M298</f>
        <v>93682.8</v>
      </c>
      <c r="AG301" s="2824"/>
      <c r="AH301" s="2824"/>
      <c r="AI301" s="2824"/>
      <c r="AJ301" s="2824"/>
      <c r="AK301" s="2824"/>
      <c r="AL301" s="5347"/>
      <c r="AM301" s="2824"/>
      <c r="AN301" s="5347"/>
      <c r="AO301" s="5347"/>
      <c r="AP301" s="2824"/>
      <c r="AQ301" s="5356"/>
      <c r="AR301" s="2824"/>
      <c r="AS301" s="5361"/>
      <c r="AT301" s="5356"/>
      <c r="AU301" s="3083"/>
      <c r="AV301" s="3083"/>
      <c r="AW301" s="3083"/>
      <c r="AX301" s="3083"/>
      <c r="AY301" s="3083"/>
      <c r="AZ301" s="3083"/>
      <c r="BA301" s="5363"/>
      <c r="BB301" s="5347"/>
      <c r="BC301" s="5347"/>
      <c r="BD301" s="5363"/>
      <c r="BE301" s="5363"/>
      <c r="BF301" s="5347"/>
      <c r="BG301" s="5363"/>
      <c r="BH301" s="5347"/>
      <c r="BI301" s="5347"/>
      <c r="BJ301" s="5347"/>
      <c r="BK301" s="5347"/>
      <c r="BL301" s="5347"/>
      <c r="BM301" s="5347"/>
      <c r="BN301" s="5347"/>
      <c r="BO301" s="5356"/>
      <c r="BP301" s="5356"/>
      <c r="BQ301" s="5356"/>
      <c r="BR301" s="5356"/>
      <c r="BS301" s="5356"/>
      <c r="BT301" s="5347"/>
      <c r="BU301" s="5356"/>
      <c r="BV301" s="5356"/>
      <c r="BW301" s="5356"/>
      <c r="BX301" s="5356"/>
      <c r="BY301" s="5356"/>
      <c r="BZ301" s="5356"/>
      <c r="CA301" s="5356"/>
      <c r="CB301" s="5356"/>
      <c r="CC301" s="2824"/>
      <c r="CD301" s="2824"/>
      <c r="CE301" s="5366"/>
      <c r="CF301" s="5366"/>
      <c r="CG301" s="5366"/>
      <c r="CH301" s="5366"/>
    </row>
    <row r="302" s="4971" customFormat="1" ht="140.85" customHeight="1" spans="1:86">
      <c r="A302" s="5432">
        <v>68</v>
      </c>
      <c r="B302" s="5432" t="s">
        <v>809</v>
      </c>
      <c r="C302" s="5432">
        <v>44182</v>
      </c>
      <c r="D302" s="5433" t="s">
        <v>834</v>
      </c>
      <c r="E302" s="5434" t="s">
        <v>835</v>
      </c>
      <c r="F302" s="5434" t="s">
        <v>836</v>
      </c>
      <c r="G302" s="5434" t="s">
        <v>837</v>
      </c>
      <c r="H302" s="5434" t="s">
        <v>838</v>
      </c>
      <c r="I302" s="5445"/>
      <c r="J302" s="5434" t="s">
        <v>839</v>
      </c>
      <c r="K302" s="5434" t="s">
        <v>840</v>
      </c>
      <c r="L302" s="5434" t="s">
        <v>720</v>
      </c>
      <c r="M302" s="5432">
        <f>SUM(N302:AA303)</f>
        <v>4862000</v>
      </c>
      <c r="N302" s="5432">
        <v>260000</v>
      </c>
      <c r="O302" s="5432"/>
      <c r="P302" s="5432">
        <v>640000</v>
      </c>
      <c r="Q302" s="5432">
        <v>1160000</v>
      </c>
      <c r="R302" s="5432"/>
      <c r="S302" s="5432">
        <v>220000</v>
      </c>
      <c r="T302" s="5432"/>
      <c r="U302" s="5432">
        <v>1802000</v>
      </c>
      <c r="V302" s="5432"/>
      <c r="W302" s="5432"/>
      <c r="X302" s="5432">
        <v>0</v>
      </c>
      <c r="Y302" s="5432"/>
      <c r="Z302" s="5432"/>
      <c r="AA302" s="5432">
        <v>780000</v>
      </c>
      <c r="AB302" s="5432"/>
      <c r="AC302" s="5432" t="s">
        <v>436</v>
      </c>
      <c r="AD302" s="5434" t="s">
        <v>841</v>
      </c>
      <c r="AE302" s="5463" t="s">
        <v>842</v>
      </c>
      <c r="AF302" s="5432">
        <v>4562000</v>
      </c>
      <c r="AG302" s="5432">
        <f>SUM(BA302:BN302)</f>
        <v>4562000</v>
      </c>
      <c r="AH302" s="5432" t="s">
        <v>122</v>
      </c>
      <c r="AI302" s="5432">
        <v>44185</v>
      </c>
      <c r="AJ302" s="5432">
        <v>4562000</v>
      </c>
      <c r="AK302" s="5486">
        <v>44185</v>
      </c>
      <c r="AL302" s="5476">
        <v>4562000</v>
      </c>
      <c r="AM302" s="5432">
        <v>44189</v>
      </c>
      <c r="AN302" s="5476">
        <f>SUM(BO302:CB302)</f>
        <v>4562000</v>
      </c>
      <c r="AO302" s="5476">
        <v>44307</v>
      </c>
      <c r="AP302" s="5432">
        <f>AG302-AN302</f>
        <v>0</v>
      </c>
      <c r="AQ302" s="5492"/>
      <c r="AR302" s="5493" t="s">
        <v>128</v>
      </c>
      <c r="AS302" s="5492"/>
      <c r="AT302" s="5486"/>
      <c r="AU302" s="5432">
        <f>SUM(AG302:AG303)</f>
        <v>4862000</v>
      </c>
      <c r="AV302" s="5432">
        <f>SUM(AL302:AL303)</f>
        <v>4862000</v>
      </c>
      <c r="AW302" s="5432">
        <f>SUM(AN302:AN303)</f>
        <v>4862000</v>
      </c>
      <c r="AX302" s="5432">
        <f>M302-AU302</f>
        <v>0</v>
      </c>
      <c r="AY302" s="5432">
        <f>AU302-AV302</f>
        <v>0</v>
      </c>
      <c r="AZ302" s="5432">
        <f>AV302-AW302</f>
        <v>0</v>
      </c>
      <c r="BA302" s="5498">
        <v>260000</v>
      </c>
      <c r="BB302" s="5476"/>
      <c r="BC302" s="5476">
        <v>640000</v>
      </c>
      <c r="BD302" s="5498">
        <v>1160000</v>
      </c>
      <c r="BE302" s="5498"/>
      <c r="BF302" s="5498">
        <v>220000</v>
      </c>
      <c r="BG302" s="5498"/>
      <c r="BH302" s="5476">
        <v>1802000</v>
      </c>
      <c r="BI302" s="5476"/>
      <c r="BJ302" s="5476"/>
      <c r="BK302" s="5476"/>
      <c r="BL302" s="5476"/>
      <c r="BM302" s="5476"/>
      <c r="BN302" s="5476">
        <v>480000</v>
      </c>
      <c r="BO302" s="5498">
        <v>260000</v>
      </c>
      <c r="BP302" s="5476"/>
      <c r="BQ302" s="5476">
        <v>640000</v>
      </c>
      <c r="BR302" s="5498">
        <v>1160000</v>
      </c>
      <c r="BS302" s="5498"/>
      <c r="BT302" s="5498">
        <v>220000</v>
      </c>
      <c r="BU302" s="5498"/>
      <c r="BV302" s="5476">
        <v>1802000</v>
      </c>
      <c r="BW302" s="5476"/>
      <c r="BX302" s="5476"/>
      <c r="BY302" s="5476"/>
      <c r="BZ302" s="5476"/>
      <c r="CA302" s="5476"/>
      <c r="CB302" s="5476">
        <v>480000</v>
      </c>
      <c r="CC302" s="5432" t="s">
        <v>166</v>
      </c>
      <c r="CD302" s="5432" t="s">
        <v>154</v>
      </c>
      <c r="CE302" s="5039"/>
      <c r="CF302" s="5039"/>
      <c r="CG302" s="5039"/>
      <c r="CH302" s="5039"/>
    </row>
    <row r="303" s="4971" customFormat="1" ht="82.5" customHeight="1" spans="1:86">
      <c r="A303" s="5432"/>
      <c r="B303" s="5432"/>
      <c r="C303" s="5432"/>
      <c r="D303" s="5434"/>
      <c r="E303" s="5434"/>
      <c r="F303" s="5434"/>
      <c r="G303" s="5434"/>
      <c r="H303" s="5434"/>
      <c r="I303" s="5446"/>
      <c r="J303" s="5434"/>
      <c r="K303" s="5434"/>
      <c r="L303" s="5434"/>
      <c r="M303" s="5432"/>
      <c r="N303" s="5432"/>
      <c r="O303" s="5432"/>
      <c r="P303" s="5432"/>
      <c r="Q303" s="5432"/>
      <c r="R303" s="5432"/>
      <c r="S303" s="5432"/>
      <c r="T303" s="5432"/>
      <c r="U303" s="5432"/>
      <c r="V303" s="5432"/>
      <c r="W303" s="5432"/>
      <c r="X303" s="5432"/>
      <c r="Y303" s="5432"/>
      <c r="Z303" s="5432"/>
      <c r="AA303" s="5432"/>
      <c r="AB303" s="5432"/>
      <c r="AC303" s="5432" t="s">
        <v>438</v>
      </c>
      <c r="AD303" s="5434" t="s">
        <v>843</v>
      </c>
      <c r="AE303" s="5464"/>
      <c r="AF303" s="5432">
        <v>300000</v>
      </c>
      <c r="AG303" s="5476">
        <f>SUM(BA303:BN303)</f>
        <v>300000</v>
      </c>
      <c r="AH303" s="5476" t="s">
        <v>122</v>
      </c>
      <c r="AI303" s="5476">
        <v>44418</v>
      </c>
      <c r="AJ303" s="5432">
        <v>300000</v>
      </c>
      <c r="AK303" s="5476">
        <v>44418</v>
      </c>
      <c r="AL303" s="5432">
        <v>300000</v>
      </c>
      <c r="AM303" s="5476">
        <v>44418</v>
      </c>
      <c r="AN303" s="5476">
        <f>SUM(BO303:CB303)</f>
        <v>300000</v>
      </c>
      <c r="AO303" s="5476">
        <v>44433</v>
      </c>
      <c r="AP303" s="5432">
        <f>AG303-AN303</f>
        <v>0</v>
      </c>
      <c r="AQ303" s="5486"/>
      <c r="AR303" s="5432"/>
      <c r="AS303" s="5492"/>
      <c r="AT303" s="5486"/>
      <c r="AU303" s="5432"/>
      <c r="AV303" s="5432"/>
      <c r="AW303" s="5432"/>
      <c r="AX303" s="5432"/>
      <c r="AY303" s="5432"/>
      <c r="AZ303" s="5432"/>
      <c r="BA303" s="5498"/>
      <c r="BB303" s="5476"/>
      <c r="BC303" s="5476"/>
      <c r="BD303" s="5498"/>
      <c r="BE303" s="5498"/>
      <c r="BF303" s="5498"/>
      <c r="BG303" s="5498"/>
      <c r="BH303" s="5476"/>
      <c r="BI303" s="5476"/>
      <c r="BJ303" s="5476"/>
      <c r="BK303" s="5476"/>
      <c r="BL303" s="5476"/>
      <c r="BM303" s="5476"/>
      <c r="BN303" s="5476">
        <v>300000</v>
      </c>
      <c r="BO303" s="5511"/>
      <c r="BP303" s="5511"/>
      <c r="BQ303" s="5511"/>
      <c r="BR303" s="5511"/>
      <c r="BS303" s="5511"/>
      <c r="BT303" s="5511"/>
      <c r="BU303" s="5511"/>
      <c r="BV303" s="5511"/>
      <c r="BW303" s="5511"/>
      <c r="BX303" s="5511"/>
      <c r="BY303" s="5511"/>
      <c r="BZ303" s="5511"/>
      <c r="CA303" s="5511"/>
      <c r="CB303" s="5498">
        <v>300000</v>
      </c>
      <c r="CC303" s="5432"/>
      <c r="CD303" s="5432"/>
      <c r="CE303" s="5039"/>
      <c r="CF303" s="5039"/>
      <c r="CG303" s="5039"/>
      <c r="CH303" s="5039"/>
    </row>
    <row r="304" s="4971" customFormat="1" ht="28.5" customHeight="1" spans="1:86">
      <c r="A304" s="5432"/>
      <c r="B304" s="4749" t="s">
        <v>809</v>
      </c>
      <c r="C304" s="3375">
        <v>45402</v>
      </c>
      <c r="D304" s="5435" t="s">
        <v>844</v>
      </c>
      <c r="E304" s="5439"/>
      <c r="F304" s="5435" t="s">
        <v>845</v>
      </c>
      <c r="G304" s="5435" t="s">
        <v>846</v>
      </c>
      <c r="H304" s="5435" t="s">
        <v>847</v>
      </c>
      <c r="I304" s="5435"/>
      <c r="J304" s="5435" t="s">
        <v>815</v>
      </c>
      <c r="K304" s="5439">
        <v>171613.31</v>
      </c>
      <c r="L304" s="5435" t="s">
        <v>848</v>
      </c>
      <c r="M304" s="3375">
        <f>SUM(N304:AA307)</f>
        <v>3757130.27</v>
      </c>
      <c r="N304" s="3375"/>
      <c r="O304" s="3375"/>
      <c r="P304" s="3375"/>
      <c r="Q304" s="3375"/>
      <c r="R304" s="3375"/>
      <c r="S304" s="3375">
        <v>3593718.26</v>
      </c>
      <c r="T304" s="3375"/>
      <c r="U304" s="3375">
        <v>145234.92</v>
      </c>
      <c r="V304" s="3375"/>
      <c r="W304" s="3375"/>
      <c r="X304" s="3375"/>
      <c r="Y304" s="3375"/>
      <c r="Z304" s="3375"/>
      <c r="AA304" s="3375">
        <v>18177.09</v>
      </c>
      <c r="AB304" s="4749" t="s">
        <v>29</v>
      </c>
      <c r="AC304" s="3375">
        <v>1</v>
      </c>
      <c r="AD304" s="5465" t="s">
        <v>849</v>
      </c>
      <c r="AE304" s="5466">
        <v>0.5</v>
      </c>
      <c r="AF304" s="5177">
        <f>M304*AE304</f>
        <v>1878565.135</v>
      </c>
      <c r="AG304" s="5477">
        <f>SUM(BA304:BN304)</f>
        <v>1795709.28</v>
      </c>
      <c r="AH304" s="5478" t="s">
        <v>122</v>
      </c>
      <c r="AI304" s="5477">
        <v>45628</v>
      </c>
      <c r="AJ304" s="5479">
        <v>1795709.28</v>
      </c>
      <c r="AK304" s="5479">
        <v>45628</v>
      </c>
      <c r="AL304" s="5177">
        <v>1795709.28</v>
      </c>
      <c r="AM304" s="5479">
        <v>45629</v>
      </c>
      <c r="AN304" s="5479">
        <f>SUM(BO304:CB304)</f>
        <v>1795709.28</v>
      </c>
      <c r="AO304" s="5479">
        <v>45638</v>
      </c>
      <c r="AP304" s="5177">
        <f>AG304-AN304</f>
        <v>0</v>
      </c>
      <c r="AQ304" s="5178"/>
      <c r="AR304" s="5177"/>
      <c r="AS304" s="5497"/>
      <c r="AT304" s="5178"/>
      <c r="AU304" s="5432"/>
      <c r="AV304" s="5432"/>
      <c r="AW304" s="5432"/>
      <c r="AX304" s="5432"/>
      <c r="AY304" s="5432"/>
      <c r="AZ304" s="5432"/>
      <c r="BA304" s="5499"/>
      <c r="BB304" s="5479"/>
      <c r="BC304" s="5479"/>
      <c r="BD304" s="5499"/>
      <c r="BE304" s="5499"/>
      <c r="BF304" s="5501">
        <f>825835.8+888297.13</f>
        <v>1714132.93</v>
      </c>
      <c r="BG304" s="5499"/>
      <c r="BH304" s="5502">
        <v>72502.23</v>
      </c>
      <c r="BI304" s="5509"/>
      <c r="BJ304" s="5509"/>
      <c r="BK304" s="5509"/>
      <c r="BL304" s="5509"/>
      <c r="BM304" s="5510"/>
      <c r="BN304" s="5502">
        <v>9074.12</v>
      </c>
      <c r="BO304" s="5512"/>
      <c r="BP304" s="5513"/>
      <c r="BQ304" s="5513"/>
      <c r="BR304" s="5513"/>
      <c r="BS304" s="5513"/>
      <c r="BT304" s="5501">
        <f>825835.8+888297.13</f>
        <v>1714132.93</v>
      </c>
      <c r="BU304" s="5499"/>
      <c r="BV304" s="4283">
        <v>72502.23</v>
      </c>
      <c r="BW304" s="5509"/>
      <c r="BX304" s="5509"/>
      <c r="BY304" s="5509"/>
      <c r="BZ304" s="5509"/>
      <c r="CA304" s="5510"/>
      <c r="CB304" s="5502">
        <v>9074.12</v>
      </c>
      <c r="CC304" s="5509"/>
      <c r="CD304" s="5177"/>
      <c r="CE304" s="5039"/>
      <c r="CF304" s="5039"/>
      <c r="CG304" s="5039"/>
      <c r="CH304" s="5039"/>
    </row>
    <row r="305" s="4971" customFormat="1" ht="28.5" customHeight="1" spans="1:86">
      <c r="A305" s="5432"/>
      <c r="B305" s="5436"/>
      <c r="C305" s="5436"/>
      <c r="D305" s="5437"/>
      <c r="E305" s="5437"/>
      <c r="F305" s="5437"/>
      <c r="G305" s="5437"/>
      <c r="H305" s="5437"/>
      <c r="I305" s="443"/>
      <c r="J305" s="5437"/>
      <c r="K305" s="5437"/>
      <c r="L305" s="5437"/>
      <c r="M305" s="5436"/>
      <c r="N305" s="5436"/>
      <c r="O305" s="5436"/>
      <c r="P305" s="5436"/>
      <c r="Q305" s="5436"/>
      <c r="R305" s="5436"/>
      <c r="S305" s="5436"/>
      <c r="T305" s="5436"/>
      <c r="U305" s="5436"/>
      <c r="V305" s="5436"/>
      <c r="W305" s="5436"/>
      <c r="X305" s="5436"/>
      <c r="Y305" s="5436"/>
      <c r="Z305" s="5436"/>
      <c r="AA305" s="5436"/>
      <c r="AB305" s="5436"/>
      <c r="AC305" s="3375">
        <v>2</v>
      </c>
      <c r="AD305" s="5465" t="s">
        <v>850</v>
      </c>
      <c r="AE305" s="5466">
        <v>0.2</v>
      </c>
      <c r="AF305" s="5177">
        <f>M304*AE305</f>
        <v>751426.054</v>
      </c>
      <c r="AG305" s="5477">
        <f>SUM(BA305:BN305)</f>
        <v>713925.81</v>
      </c>
      <c r="AH305" s="5478" t="s">
        <v>122</v>
      </c>
      <c r="AI305" s="5477">
        <v>45628</v>
      </c>
      <c r="AJ305" s="5479">
        <v>713925.81</v>
      </c>
      <c r="AK305" s="5479">
        <v>45628</v>
      </c>
      <c r="AL305" s="5177">
        <v>713925.81</v>
      </c>
      <c r="AM305" s="5479">
        <v>45629</v>
      </c>
      <c r="AN305" s="5177">
        <f t="shared" ref="AN305:AN317" si="68">SUM(BO305:CB305)</f>
        <v>713925.81</v>
      </c>
      <c r="AO305" s="5479">
        <v>45638</v>
      </c>
      <c r="AP305" s="5177">
        <f t="shared" ref="AP305:AP317" si="69">AG305-AN305</f>
        <v>0</v>
      </c>
      <c r="AQ305" s="5178"/>
      <c r="AR305" s="5177"/>
      <c r="AS305" s="5497"/>
      <c r="AT305" s="5178"/>
      <c r="AU305" s="5432"/>
      <c r="AV305" s="5432"/>
      <c r="AW305" s="5432"/>
      <c r="AX305" s="5432"/>
      <c r="AY305" s="5432"/>
      <c r="AZ305" s="5432"/>
      <c r="BA305" s="5499"/>
      <c r="BB305" s="5479"/>
      <c r="BC305" s="5479"/>
      <c r="BD305" s="5499"/>
      <c r="BE305" s="5499"/>
      <c r="BF305" s="4283">
        <f>330334.32+355318.85-4357.9</f>
        <v>681295.27</v>
      </c>
      <c r="BG305" s="4283"/>
      <c r="BH305" s="5502">
        <v>29000.89</v>
      </c>
      <c r="BI305" s="5510"/>
      <c r="BJ305" s="5510"/>
      <c r="BK305" s="5510"/>
      <c r="BL305" s="5510"/>
      <c r="BM305" s="5510"/>
      <c r="BN305" s="5502">
        <v>3629.65</v>
      </c>
      <c r="BO305" s="5512"/>
      <c r="BP305" s="5513"/>
      <c r="BQ305" s="5513"/>
      <c r="BR305" s="5513"/>
      <c r="BS305" s="5513"/>
      <c r="BT305" s="4283">
        <f>330334.32+355318.85-4357.9</f>
        <v>681295.27</v>
      </c>
      <c r="BU305" s="4283"/>
      <c r="BV305" s="4283">
        <v>29000.89</v>
      </c>
      <c r="BW305" s="5510"/>
      <c r="BX305" s="5510"/>
      <c r="BY305" s="5510"/>
      <c r="BZ305" s="5510"/>
      <c r="CA305" s="5510"/>
      <c r="CB305" s="5502">
        <v>3629.65</v>
      </c>
      <c r="CC305" s="5509"/>
      <c r="CD305" s="5177"/>
      <c r="CE305" s="5039"/>
      <c r="CF305" s="5039"/>
      <c r="CG305" s="5039"/>
      <c r="CH305" s="5039"/>
    </row>
    <row r="306" s="4971" customFormat="1" ht="28.5" customHeight="1" spans="1:86">
      <c r="A306" s="5432"/>
      <c r="B306" s="5436"/>
      <c r="C306" s="5436"/>
      <c r="D306" s="5437"/>
      <c r="E306" s="5437"/>
      <c r="F306" s="5437"/>
      <c r="G306" s="5437"/>
      <c r="H306" s="5437"/>
      <c r="I306" s="443"/>
      <c r="J306" s="5437"/>
      <c r="K306" s="5437"/>
      <c r="L306" s="5437"/>
      <c r="M306" s="5436"/>
      <c r="N306" s="5436"/>
      <c r="O306" s="5436"/>
      <c r="P306" s="5436"/>
      <c r="Q306" s="5436"/>
      <c r="R306" s="5436"/>
      <c r="S306" s="5436"/>
      <c r="T306" s="5436"/>
      <c r="U306" s="5436"/>
      <c r="V306" s="5436"/>
      <c r="W306" s="5436"/>
      <c r="X306" s="5436"/>
      <c r="Y306" s="5436"/>
      <c r="Z306" s="5436"/>
      <c r="AA306" s="5436"/>
      <c r="AB306" s="5436"/>
      <c r="AC306" s="3375">
        <v>3</v>
      </c>
      <c r="AD306" s="5465" t="s">
        <v>851</v>
      </c>
      <c r="AE306" s="5466">
        <v>0.2</v>
      </c>
      <c r="AF306" s="5177">
        <f>M304*AE306</f>
        <v>751426.054</v>
      </c>
      <c r="AG306" s="5177">
        <f t="shared" ref="AG305:AG330" si="70">SUM(BA306:BN306)</f>
        <v>0</v>
      </c>
      <c r="AH306" s="5479"/>
      <c r="AI306" s="5479"/>
      <c r="AJ306" s="5177"/>
      <c r="AK306" s="5479"/>
      <c r="AL306" s="5177"/>
      <c r="AM306" s="5479"/>
      <c r="AN306" s="5177">
        <f t="shared" si="68"/>
        <v>0</v>
      </c>
      <c r="AO306" s="5479"/>
      <c r="AP306" s="5177">
        <f t="shared" si="69"/>
        <v>0</v>
      </c>
      <c r="AQ306" s="5178"/>
      <c r="AR306" s="5177"/>
      <c r="AS306" s="5497"/>
      <c r="AT306" s="5178"/>
      <c r="AU306" s="5432"/>
      <c r="AV306" s="5432"/>
      <c r="AW306" s="5432"/>
      <c r="AX306" s="5432"/>
      <c r="AY306" s="5432"/>
      <c r="AZ306" s="5432"/>
      <c r="BA306" s="5499"/>
      <c r="BB306" s="5479"/>
      <c r="BC306" s="5479"/>
      <c r="BD306" s="5499"/>
      <c r="BE306" s="5499"/>
      <c r="BF306" s="5501"/>
      <c r="BG306" s="5499"/>
      <c r="BH306" s="4283"/>
      <c r="BI306" s="5479"/>
      <c r="BJ306" s="5479"/>
      <c r="BK306" s="5479"/>
      <c r="BL306" s="5479"/>
      <c r="BM306" s="4283"/>
      <c r="BN306" s="4283"/>
      <c r="BO306" s="5513"/>
      <c r="BP306" s="5513"/>
      <c r="BQ306" s="5513"/>
      <c r="BR306" s="5513"/>
      <c r="BS306" s="5513"/>
      <c r="BT306" s="5518"/>
      <c r="BU306" s="5513"/>
      <c r="BV306" s="5518"/>
      <c r="BW306" s="5513"/>
      <c r="BX306" s="5513"/>
      <c r="BY306" s="5513"/>
      <c r="BZ306" s="5513"/>
      <c r="CA306" s="5518"/>
      <c r="CB306" s="5501"/>
      <c r="CC306" s="5177"/>
      <c r="CD306" s="5177"/>
      <c r="CE306" s="5039"/>
      <c r="CF306" s="5039"/>
      <c r="CG306" s="5039"/>
      <c r="CH306" s="5039"/>
    </row>
    <row r="307" s="4971" customFormat="1" ht="28.5" customHeight="1" spans="1:86">
      <c r="A307" s="5432"/>
      <c r="B307" s="5436"/>
      <c r="C307" s="5436"/>
      <c r="D307" s="5437"/>
      <c r="E307" s="5437"/>
      <c r="F307" s="5437"/>
      <c r="G307" s="5437"/>
      <c r="H307" s="5437"/>
      <c r="I307" s="443"/>
      <c r="J307" s="5437"/>
      <c r="K307" s="5437"/>
      <c r="L307" s="5437"/>
      <c r="M307" s="5436"/>
      <c r="N307" s="5436"/>
      <c r="O307" s="5436"/>
      <c r="P307" s="5436"/>
      <c r="Q307" s="5436"/>
      <c r="R307" s="5436"/>
      <c r="S307" s="5436"/>
      <c r="T307" s="5436"/>
      <c r="U307" s="5436"/>
      <c r="V307" s="5436"/>
      <c r="W307" s="5436"/>
      <c r="X307" s="5436"/>
      <c r="Y307" s="5436"/>
      <c r="Z307" s="5436"/>
      <c r="AA307" s="5436"/>
      <c r="AB307" s="5436"/>
      <c r="AC307" s="3375">
        <v>4</v>
      </c>
      <c r="AD307" s="5465" t="s">
        <v>852</v>
      </c>
      <c r="AE307" s="5466">
        <v>0.1</v>
      </c>
      <c r="AF307" s="5177">
        <f>M304*AE307</f>
        <v>375713.027</v>
      </c>
      <c r="AG307" s="5177">
        <f t="shared" si="70"/>
        <v>0</v>
      </c>
      <c r="AH307" s="5479"/>
      <c r="AI307" s="5479"/>
      <c r="AJ307" s="5177"/>
      <c r="AK307" s="5479"/>
      <c r="AL307" s="5177"/>
      <c r="AM307" s="5479"/>
      <c r="AN307" s="5177">
        <f t="shared" si="68"/>
        <v>0</v>
      </c>
      <c r="AO307" s="5479"/>
      <c r="AP307" s="5177">
        <f t="shared" si="69"/>
        <v>0</v>
      </c>
      <c r="AQ307" s="5178"/>
      <c r="AR307" s="5177"/>
      <c r="AS307" s="5497"/>
      <c r="AT307" s="5178"/>
      <c r="AU307" s="5432"/>
      <c r="AV307" s="5432"/>
      <c r="AW307" s="5432"/>
      <c r="AX307" s="5432"/>
      <c r="AY307" s="5432"/>
      <c r="AZ307" s="5432"/>
      <c r="BA307" s="5499"/>
      <c r="BB307" s="5479"/>
      <c r="BC307" s="5479"/>
      <c r="BD307" s="5499"/>
      <c r="BE307" s="5499"/>
      <c r="BF307" s="5501"/>
      <c r="BG307" s="5499"/>
      <c r="BH307" s="4283"/>
      <c r="BI307" s="5479"/>
      <c r="BJ307" s="5479"/>
      <c r="BK307" s="5479"/>
      <c r="BL307" s="5479"/>
      <c r="BM307" s="4283"/>
      <c r="BN307" s="4283"/>
      <c r="BO307" s="5513"/>
      <c r="BP307" s="5513"/>
      <c r="BQ307" s="5513"/>
      <c r="BR307" s="5513"/>
      <c r="BS307" s="5513"/>
      <c r="BT307" s="5518"/>
      <c r="BU307" s="5513"/>
      <c r="BV307" s="5518"/>
      <c r="BW307" s="5513"/>
      <c r="BX307" s="5513"/>
      <c r="BY307" s="5513"/>
      <c r="BZ307" s="5513"/>
      <c r="CA307" s="5518"/>
      <c r="CB307" s="5501"/>
      <c r="CC307" s="5177"/>
      <c r="CD307" s="5177"/>
      <c r="CE307" s="5039"/>
      <c r="CF307" s="5039"/>
      <c r="CG307" s="5039"/>
      <c r="CH307" s="5039"/>
    </row>
    <row r="308" s="4971" customFormat="1" ht="155" customHeight="1" spans="1:86">
      <c r="A308" s="5432"/>
      <c r="B308" s="5436"/>
      <c r="C308" s="5436"/>
      <c r="D308" s="5437"/>
      <c r="E308" s="5437"/>
      <c r="F308" s="5437"/>
      <c r="G308" s="5437"/>
      <c r="H308" s="5437"/>
      <c r="I308" s="443"/>
      <c r="J308" s="5437"/>
      <c r="K308" s="5437"/>
      <c r="L308" s="5437"/>
      <c r="M308" s="3375">
        <f>SUM(N308:AA313)</f>
        <v>3506059.92</v>
      </c>
      <c r="N308" s="3375"/>
      <c r="O308" s="3375"/>
      <c r="P308" s="3375"/>
      <c r="Q308" s="3375"/>
      <c r="R308" s="3375"/>
      <c r="S308" s="3375">
        <v>3506059.92</v>
      </c>
      <c r="T308" s="3375"/>
      <c r="U308" s="3375"/>
      <c r="V308" s="3375"/>
      <c r="W308" s="3375"/>
      <c r="X308" s="3375"/>
      <c r="Y308" s="3375"/>
      <c r="Z308" s="3375"/>
      <c r="AA308" s="3375"/>
      <c r="AB308" s="4749" t="s">
        <v>29</v>
      </c>
      <c r="AC308" s="3375">
        <v>1</v>
      </c>
      <c r="AD308" s="5465" t="s">
        <v>853</v>
      </c>
      <c r="AE308" s="5466">
        <v>0.2</v>
      </c>
      <c r="AF308" s="5177">
        <f>M308*AE308</f>
        <v>701211.984</v>
      </c>
      <c r="AG308" s="5480">
        <f t="shared" si="70"/>
        <v>701211.98</v>
      </c>
      <c r="AH308" s="5481" t="s">
        <v>349</v>
      </c>
      <c r="AI308" s="5480">
        <v>46203</v>
      </c>
      <c r="AJ308" s="5177"/>
      <c r="AK308" s="5479"/>
      <c r="AL308" s="5177"/>
      <c r="AM308" s="5479"/>
      <c r="AN308" s="5480">
        <f t="shared" si="68"/>
        <v>701211.98</v>
      </c>
      <c r="AO308" s="5480">
        <v>46203</v>
      </c>
      <c r="AP308" s="5480">
        <f t="shared" si="69"/>
        <v>0</v>
      </c>
      <c r="AQ308" s="5178"/>
      <c r="AR308" s="5177"/>
      <c r="AS308" s="5497"/>
      <c r="AT308" s="5178"/>
      <c r="AU308" s="5432"/>
      <c r="AV308" s="5432"/>
      <c r="AW308" s="5432"/>
      <c r="AX308" s="5432"/>
      <c r="AY308" s="5432"/>
      <c r="AZ308" s="5432"/>
      <c r="BA308" s="5499"/>
      <c r="BB308" s="5479"/>
      <c r="BC308" s="5479"/>
      <c r="BD308" s="5499"/>
      <c r="BE308" s="5499"/>
      <c r="BF308" s="5501">
        <v>701211.98</v>
      </c>
      <c r="BG308" s="5499"/>
      <c r="BH308" s="4283"/>
      <c r="BI308" s="5479"/>
      <c r="BJ308" s="5479"/>
      <c r="BK308" s="5479"/>
      <c r="BL308" s="5479"/>
      <c r="BM308" s="4283"/>
      <c r="BN308" s="4283"/>
      <c r="BO308" s="5513"/>
      <c r="BP308" s="5513"/>
      <c r="BQ308" s="5513"/>
      <c r="BR308" s="5513"/>
      <c r="BS308" s="5513"/>
      <c r="BT308" s="5518">
        <v>701211.98</v>
      </c>
      <c r="BU308" s="5513"/>
      <c r="BV308" s="5518"/>
      <c r="BW308" s="5513"/>
      <c r="BX308" s="5513"/>
      <c r="BY308" s="5513"/>
      <c r="BZ308" s="5513"/>
      <c r="CA308" s="5518"/>
      <c r="CB308" s="5501"/>
      <c r="CC308" s="5177"/>
      <c r="CD308" s="5177"/>
      <c r="CE308" s="5039"/>
      <c r="CF308" s="5039"/>
      <c r="CG308" s="5039"/>
      <c r="CH308" s="5039"/>
    </row>
    <row r="309" s="4971" customFormat="1" ht="28.5" customHeight="1" spans="1:86">
      <c r="A309" s="5432"/>
      <c r="B309" s="5436"/>
      <c r="C309" s="5436"/>
      <c r="D309" s="5437"/>
      <c r="E309" s="5437"/>
      <c r="F309" s="5437"/>
      <c r="G309" s="5437"/>
      <c r="H309" s="5437"/>
      <c r="I309" s="443"/>
      <c r="J309" s="5437"/>
      <c r="K309" s="5437"/>
      <c r="L309" s="5437"/>
      <c r="M309" s="5436"/>
      <c r="N309" s="5436"/>
      <c r="O309" s="5436"/>
      <c r="P309" s="5436"/>
      <c r="Q309" s="5436"/>
      <c r="R309" s="5436"/>
      <c r="S309" s="5436"/>
      <c r="T309" s="5436"/>
      <c r="U309" s="5436"/>
      <c r="V309" s="5436"/>
      <c r="W309" s="5436"/>
      <c r="X309" s="5436"/>
      <c r="Y309" s="5436"/>
      <c r="Z309" s="5436"/>
      <c r="AA309" s="5436"/>
      <c r="AB309" s="5436"/>
      <c r="AC309" s="3375">
        <v>2</v>
      </c>
      <c r="AD309" s="5465" t="s">
        <v>854</v>
      </c>
      <c r="AE309" s="5466">
        <v>0.1</v>
      </c>
      <c r="AF309" s="5177">
        <f>M308*AE309</f>
        <v>350605.992</v>
      </c>
      <c r="AG309" s="5480">
        <f t="shared" si="70"/>
        <v>350605.99</v>
      </c>
      <c r="AH309" s="5481" t="s">
        <v>349</v>
      </c>
      <c r="AI309" s="5480">
        <v>46203</v>
      </c>
      <c r="AJ309" s="5177"/>
      <c r="AK309" s="5479"/>
      <c r="AL309" s="5177"/>
      <c r="AM309" s="5479"/>
      <c r="AN309" s="5480">
        <f t="shared" si="68"/>
        <v>350605.99</v>
      </c>
      <c r="AO309" s="5480">
        <v>46203</v>
      </c>
      <c r="AP309" s="5480">
        <f t="shared" si="69"/>
        <v>0</v>
      </c>
      <c r="AQ309" s="5178"/>
      <c r="AR309" s="5177"/>
      <c r="AS309" s="5497"/>
      <c r="AT309" s="5178"/>
      <c r="AU309" s="5432"/>
      <c r="AV309" s="5432"/>
      <c r="AW309" s="5432"/>
      <c r="AX309" s="5432"/>
      <c r="AY309" s="5432"/>
      <c r="AZ309" s="5432"/>
      <c r="BA309" s="5499"/>
      <c r="BB309" s="5479"/>
      <c r="BC309" s="5479"/>
      <c r="BD309" s="5499"/>
      <c r="BE309" s="5499"/>
      <c r="BF309" s="5501">
        <v>350605.99</v>
      </c>
      <c r="BG309" s="5499"/>
      <c r="BH309" s="4283"/>
      <c r="BI309" s="5479"/>
      <c r="BJ309" s="5479"/>
      <c r="BK309" s="5479"/>
      <c r="BL309" s="5479"/>
      <c r="BM309" s="4283"/>
      <c r="BN309" s="4283"/>
      <c r="BO309" s="5513"/>
      <c r="BP309" s="5513"/>
      <c r="BQ309" s="5513"/>
      <c r="BR309" s="5513"/>
      <c r="BS309" s="5513"/>
      <c r="BT309" s="5518">
        <v>350605.99</v>
      </c>
      <c r="BU309" s="5513"/>
      <c r="BV309" s="5518"/>
      <c r="BW309" s="5513"/>
      <c r="BX309" s="5513"/>
      <c r="BY309" s="5513"/>
      <c r="BZ309" s="5513"/>
      <c r="CA309" s="5518"/>
      <c r="CB309" s="5501"/>
      <c r="CC309" s="5177"/>
      <c r="CD309" s="5177"/>
      <c r="CE309" s="5039"/>
      <c r="CF309" s="5039"/>
      <c r="CG309" s="5039"/>
      <c r="CH309" s="5039"/>
    </row>
    <row r="310" s="4971" customFormat="1" ht="28.5" customHeight="1" spans="1:86">
      <c r="A310" s="5432"/>
      <c r="B310" s="5436"/>
      <c r="C310" s="5436"/>
      <c r="D310" s="5437"/>
      <c r="E310" s="5437"/>
      <c r="F310" s="5437"/>
      <c r="G310" s="5437"/>
      <c r="H310" s="5437"/>
      <c r="I310" s="443"/>
      <c r="J310" s="5437"/>
      <c r="K310" s="5437"/>
      <c r="L310" s="5437"/>
      <c r="M310" s="5436"/>
      <c r="N310" s="5436"/>
      <c r="O310" s="5436"/>
      <c r="P310" s="5436"/>
      <c r="Q310" s="5436"/>
      <c r="R310" s="5436"/>
      <c r="S310" s="5436"/>
      <c r="T310" s="5436"/>
      <c r="U310" s="5436"/>
      <c r="V310" s="5436"/>
      <c r="W310" s="5436"/>
      <c r="X310" s="5436"/>
      <c r="Y310" s="5436"/>
      <c r="Z310" s="5436"/>
      <c r="AA310" s="5436"/>
      <c r="AB310" s="5436"/>
      <c r="AC310" s="3375">
        <v>3</v>
      </c>
      <c r="AD310" s="5465" t="s">
        <v>855</v>
      </c>
      <c r="AE310" s="5466">
        <v>0.2</v>
      </c>
      <c r="AF310" s="5177">
        <f>M308*AE310</f>
        <v>701211.984</v>
      </c>
      <c r="AG310" s="5480">
        <f t="shared" si="70"/>
        <v>701211.98</v>
      </c>
      <c r="AH310" s="5481" t="s">
        <v>349</v>
      </c>
      <c r="AI310" s="5480">
        <v>46203</v>
      </c>
      <c r="AJ310" s="5177"/>
      <c r="AK310" s="5479"/>
      <c r="AL310" s="5177"/>
      <c r="AM310" s="5479"/>
      <c r="AN310" s="5480">
        <f t="shared" si="68"/>
        <v>701211.98</v>
      </c>
      <c r="AO310" s="5480"/>
      <c r="AP310" s="5480">
        <f t="shared" si="69"/>
        <v>0</v>
      </c>
      <c r="AQ310" s="5178"/>
      <c r="AR310" s="5177"/>
      <c r="AS310" s="5497"/>
      <c r="AT310" s="5178"/>
      <c r="AU310" s="5432"/>
      <c r="AV310" s="5432"/>
      <c r="AW310" s="5432"/>
      <c r="AX310" s="5432"/>
      <c r="AY310" s="5432"/>
      <c r="AZ310" s="5432"/>
      <c r="BA310" s="5499"/>
      <c r="BB310" s="5479"/>
      <c r="BC310" s="5479"/>
      <c r="BD310" s="5499"/>
      <c r="BE310" s="5499"/>
      <c r="BF310" s="5501">
        <v>701211.98</v>
      </c>
      <c r="BG310" s="5499"/>
      <c r="BH310" s="4283"/>
      <c r="BI310" s="5479"/>
      <c r="BJ310" s="5479"/>
      <c r="BK310" s="5479"/>
      <c r="BL310" s="5479"/>
      <c r="BM310" s="4283"/>
      <c r="BN310" s="4283"/>
      <c r="BO310" s="5513"/>
      <c r="BP310" s="5513"/>
      <c r="BQ310" s="5513"/>
      <c r="BR310" s="5513"/>
      <c r="BS310" s="5513"/>
      <c r="BT310" s="5518">
        <v>701211.98</v>
      </c>
      <c r="BU310" s="5513"/>
      <c r="BV310" s="5518"/>
      <c r="BW310" s="5513"/>
      <c r="BX310" s="5513"/>
      <c r="BY310" s="5513"/>
      <c r="BZ310" s="5513"/>
      <c r="CA310" s="5518"/>
      <c r="CB310" s="5501"/>
      <c r="CC310" s="5177"/>
      <c r="CD310" s="5177"/>
      <c r="CE310" s="5039"/>
      <c r="CF310" s="5039"/>
      <c r="CG310" s="5039"/>
      <c r="CH310" s="5039"/>
    </row>
    <row r="311" s="4971" customFormat="1" ht="28.5" customHeight="1" spans="1:86">
      <c r="A311" s="5432"/>
      <c r="B311" s="5436"/>
      <c r="C311" s="5436"/>
      <c r="D311" s="5437"/>
      <c r="E311" s="5437"/>
      <c r="F311" s="5437"/>
      <c r="G311" s="5437"/>
      <c r="H311" s="5437"/>
      <c r="I311" s="443"/>
      <c r="J311" s="5437"/>
      <c r="K311" s="5437"/>
      <c r="L311" s="5437"/>
      <c r="M311" s="5436"/>
      <c r="N311" s="5436"/>
      <c r="O311" s="5436"/>
      <c r="P311" s="5436"/>
      <c r="Q311" s="5436"/>
      <c r="R311" s="5436"/>
      <c r="S311" s="5436"/>
      <c r="T311" s="5436"/>
      <c r="U311" s="5436"/>
      <c r="V311" s="5436"/>
      <c r="W311" s="5436"/>
      <c r="X311" s="5436"/>
      <c r="Y311" s="5436"/>
      <c r="Z311" s="5436"/>
      <c r="AA311" s="5436"/>
      <c r="AB311" s="5436"/>
      <c r="AC311" s="3375">
        <v>4</v>
      </c>
      <c r="AD311" s="5465" t="s">
        <v>856</v>
      </c>
      <c r="AE311" s="5466">
        <v>0.2</v>
      </c>
      <c r="AF311" s="5177">
        <f>M308*AE311</f>
        <v>701211.984</v>
      </c>
      <c r="AG311" s="5480"/>
      <c r="AH311" s="5481"/>
      <c r="AI311" s="5480"/>
      <c r="AJ311" s="5177"/>
      <c r="AK311" s="5479"/>
      <c r="AL311" s="5177"/>
      <c r="AM311" s="5479"/>
      <c r="AN311" s="5177">
        <f t="shared" si="68"/>
        <v>0</v>
      </c>
      <c r="AO311" s="5479"/>
      <c r="AP311" s="5177">
        <f t="shared" si="69"/>
        <v>0</v>
      </c>
      <c r="AQ311" s="5178"/>
      <c r="AR311" s="5177"/>
      <c r="AS311" s="5497"/>
      <c r="AT311" s="5178"/>
      <c r="AU311" s="5432"/>
      <c r="AV311" s="5432"/>
      <c r="AW311" s="5432"/>
      <c r="AX311" s="5432"/>
      <c r="AY311" s="5432"/>
      <c r="AZ311" s="5432"/>
      <c r="BA311" s="5499"/>
      <c r="BB311" s="5479"/>
      <c r="BC311" s="5479"/>
      <c r="BD311" s="5499"/>
      <c r="BE311" s="5499"/>
      <c r="BF311" s="5501">
        <v>701211.98</v>
      </c>
      <c r="BG311" s="5499"/>
      <c r="BH311" s="4283"/>
      <c r="BI311" s="5479"/>
      <c r="BJ311" s="5479"/>
      <c r="BK311" s="5479"/>
      <c r="BL311" s="5479"/>
      <c r="BM311" s="4283"/>
      <c r="BN311" s="4283"/>
      <c r="BO311" s="5513"/>
      <c r="BP311" s="5513"/>
      <c r="BQ311" s="5513"/>
      <c r="BR311" s="5513"/>
      <c r="BS311" s="5513"/>
      <c r="BT311" s="5518"/>
      <c r="BU311" s="5513"/>
      <c r="BV311" s="5518"/>
      <c r="BW311" s="5513"/>
      <c r="BX311" s="5513"/>
      <c r="BY311" s="5513"/>
      <c r="BZ311" s="5513"/>
      <c r="CA311" s="5518"/>
      <c r="CB311" s="5501"/>
      <c r="CC311" s="5177"/>
      <c r="CD311" s="5177"/>
      <c r="CE311" s="5039"/>
      <c r="CF311" s="5039"/>
      <c r="CG311" s="5039"/>
      <c r="CH311" s="5039"/>
    </row>
    <row r="312" s="4971" customFormat="1" ht="28.5" customHeight="1" spans="1:86">
      <c r="A312" s="5432"/>
      <c r="B312" s="5436"/>
      <c r="C312" s="5436"/>
      <c r="D312" s="5437"/>
      <c r="E312" s="5437"/>
      <c r="F312" s="5437"/>
      <c r="G312" s="5437"/>
      <c r="H312" s="5437"/>
      <c r="I312" s="443"/>
      <c r="J312" s="5437"/>
      <c r="K312" s="5437"/>
      <c r="L312" s="5437"/>
      <c r="M312" s="5436"/>
      <c r="N312" s="5436"/>
      <c r="O312" s="5436"/>
      <c r="P312" s="5436"/>
      <c r="Q312" s="5436"/>
      <c r="R312" s="5436"/>
      <c r="S312" s="5436"/>
      <c r="T312" s="5436"/>
      <c r="U312" s="5436"/>
      <c r="V312" s="5436"/>
      <c r="W312" s="5436"/>
      <c r="X312" s="5436"/>
      <c r="Y312" s="5436"/>
      <c r="Z312" s="5436"/>
      <c r="AA312" s="5436"/>
      <c r="AB312" s="5436"/>
      <c r="AC312" s="3375">
        <v>5</v>
      </c>
      <c r="AD312" s="5465" t="s">
        <v>857</v>
      </c>
      <c r="AE312" s="5466">
        <v>0.2</v>
      </c>
      <c r="AF312" s="5177">
        <f>M308*AE312</f>
        <v>701211.984</v>
      </c>
      <c r="AG312" s="5177">
        <f t="shared" si="70"/>
        <v>0</v>
      </c>
      <c r="AH312" s="5479"/>
      <c r="AI312" s="5479"/>
      <c r="AJ312" s="5177"/>
      <c r="AK312" s="5479"/>
      <c r="AL312" s="5177"/>
      <c r="AM312" s="5479"/>
      <c r="AN312" s="5177">
        <f t="shared" si="68"/>
        <v>0</v>
      </c>
      <c r="AO312" s="5479"/>
      <c r="AP312" s="5177">
        <f t="shared" si="69"/>
        <v>0</v>
      </c>
      <c r="AQ312" s="5178"/>
      <c r="AR312" s="5177"/>
      <c r="AS312" s="5497"/>
      <c r="AT312" s="5178"/>
      <c r="AU312" s="5432"/>
      <c r="AV312" s="5432"/>
      <c r="AW312" s="5432"/>
      <c r="AX312" s="5432"/>
      <c r="AY312" s="5432"/>
      <c r="AZ312" s="5432"/>
      <c r="BA312" s="5499"/>
      <c r="BB312" s="5479"/>
      <c r="BC312" s="5479"/>
      <c r="BD312" s="5499"/>
      <c r="BE312" s="5499"/>
      <c r="BF312" s="5501"/>
      <c r="BG312" s="5499"/>
      <c r="BH312" s="4283"/>
      <c r="BI312" s="5479"/>
      <c r="BJ312" s="5479"/>
      <c r="BK312" s="5479"/>
      <c r="BL312" s="5479"/>
      <c r="BM312" s="4283"/>
      <c r="BN312" s="4283"/>
      <c r="BO312" s="5513"/>
      <c r="BP312" s="5513"/>
      <c r="BQ312" s="5513"/>
      <c r="BR312" s="5513"/>
      <c r="BS312" s="5513"/>
      <c r="BT312" s="5518"/>
      <c r="BU312" s="5513"/>
      <c r="BV312" s="5518"/>
      <c r="BW312" s="5513"/>
      <c r="BX312" s="5513"/>
      <c r="BY312" s="5513"/>
      <c r="BZ312" s="5513"/>
      <c r="CA312" s="5518"/>
      <c r="CB312" s="5501"/>
      <c r="CC312" s="5177"/>
      <c r="CD312" s="5177"/>
      <c r="CE312" s="5039"/>
      <c r="CF312" s="5039"/>
      <c r="CG312" s="5039"/>
      <c r="CH312" s="5039"/>
    </row>
    <row r="313" s="4971" customFormat="1" ht="28.5" customHeight="1" spans="1:86">
      <c r="A313" s="5432"/>
      <c r="B313" s="5436"/>
      <c r="C313" s="5436"/>
      <c r="D313" s="5437"/>
      <c r="E313" s="5437"/>
      <c r="F313" s="5437"/>
      <c r="G313" s="5437"/>
      <c r="H313" s="5437"/>
      <c r="I313" s="443"/>
      <c r="J313" s="5437"/>
      <c r="K313" s="5437"/>
      <c r="L313" s="5437"/>
      <c r="M313" s="5436"/>
      <c r="N313" s="5436"/>
      <c r="O313" s="5436"/>
      <c r="P313" s="5436"/>
      <c r="Q313" s="5436"/>
      <c r="R313" s="5436"/>
      <c r="S313" s="5436"/>
      <c r="T313" s="5436"/>
      <c r="U313" s="5436"/>
      <c r="V313" s="5436"/>
      <c r="W313" s="5436"/>
      <c r="X313" s="5436"/>
      <c r="Y313" s="5436"/>
      <c r="Z313" s="5436"/>
      <c r="AA313" s="5436"/>
      <c r="AB313" s="5436"/>
      <c r="AC313" s="3375">
        <v>6</v>
      </c>
      <c r="AD313" s="5465" t="s">
        <v>852</v>
      </c>
      <c r="AE313" s="5466">
        <v>0.1</v>
      </c>
      <c r="AF313" s="5177">
        <f>M308*AE313</f>
        <v>350605.992</v>
      </c>
      <c r="AG313" s="5177">
        <f t="shared" si="70"/>
        <v>0</v>
      </c>
      <c r="AH313" s="5479"/>
      <c r="AI313" s="5479"/>
      <c r="AJ313" s="5177"/>
      <c r="AK313" s="5479"/>
      <c r="AL313" s="5177"/>
      <c r="AM313" s="5479"/>
      <c r="AN313" s="5177">
        <f t="shared" si="68"/>
        <v>0</v>
      </c>
      <c r="AO313" s="5479"/>
      <c r="AP313" s="5177">
        <f t="shared" si="69"/>
        <v>0</v>
      </c>
      <c r="AQ313" s="5178"/>
      <c r="AR313" s="5177"/>
      <c r="AS313" s="5497"/>
      <c r="AT313" s="5178"/>
      <c r="AU313" s="5432"/>
      <c r="AV313" s="5432"/>
      <c r="AW313" s="5432"/>
      <c r="AX313" s="5432"/>
      <c r="AY313" s="5432"/>
      <c r="AZ313" s="5432"/>
      <c r="BA313" s="5499"/>
      <c r="BB313" s="5479"/>
      <c r="BC313" s="5479"/>
      <c r="BD313" s="5499"/>
      <c r="BE313" s="5499"/>
      <c r="BF313" s="5501"/>
      <c r="BG313" s="5499"/>
      <c r="BH313" s="4283"/>
      <c r="BI313" s="5479"/>
      <c r="BJ313" s="5479"/>
      <c r="BK313" s="5479"/>
      <c r="BL313" s="5479"/>
      <c r="BM313" s="4283"/>
      <c r="BN313" s="4283"/>
      <c r="BO313" s="5513"/>
      <c r="BP313" s="5513"/>
      <c r="BQ313" s="5513"/>
      <c r="BR313" s="5513"/>
      <c r="BS313" s="5513"/>
      <c r="BT313" s="5518"/>
      <c r="BU313" s="5513"/>
      <c r="BV313" s="5518"/>
      <c r="BW313" s="5513"/>
      <c r="BX313" s="5513"/>
      <c r="BY313" s="5513"/>
      <c r="BZ313" s="5513"/>
      <c r="CA313" s="5518"/>
      <c r="CB313" s="5501"/>
      <c r="CC313" s="5177"/>
      <c r="CD313" s="5177"/>
      <c r="CE313" s="5039"/>
      <c r="CF313" s="5039"/>
      <c r="CG313" s="5039"/>
      <c r="CH313" s="5039"/>
    </row>
    <row r="314" s="4972" customFormat="1" ht="41.25" customHeight="1" spans="1:86">
      <c r="A314" s="3662"/>
      <c r="B314" s="3815" t="s">
        <v>809</v>
      </c>
      <c r="C314" s="3744">
        <v>45106</v>
      </c>
      <c r="D314" s="3909" t="s">
        <v>858</v>
      </c>
      <c r="E314" s="5069"/>
      <c r="F314" s="3909" t="s">
        <v>859</v>
      </c>
      <c r="G314" s="3909" t="s">
        <v>860</v>
      </c>
      <c r="H314" s="5440" t="s">
        <v>861</v>
      </c>
      <c r="I314" s="5440"/>
      <c r="J314" s="5440" t="s">
        <v>815</v>
      </c>
      <c r="K314" s="5055" t="s">
        <v>862</v>
      </c>
      <c r="L314" s="5055" t="s">
        <v>863</v>
      </c>
      <c r="M314" s="5451">
        <f>SUM(N314:AA317)</f>
        <v>1262906.79</v>
      </c>
      <c r="N314" s="4048"/>
      <c r="O314" s="5452"/>
      <c r="P314" s="5452"/>
      <c r="Q314" s="5452"/>
      <c r="R314" s="5452"/>
      <c r="S314" s="5452">
        <v>1162261.8</v>
      </c>
      <c r="T314" s="5452"/>
      <c r="U314" s="5452">
        <v>89449.77</v>
      </c>
      <c r="V314" s="5452"/>
      <c r="W314" s="5452"/>
      <c r="X314" s="5452"/>
      <c r="Y314" s="5452"/>
      <c r="Z314" s="5452"/>
      <c r="AA314" s="5452">
        <v>11195.22</v>
      </c>
      <c r="AB314" s="5455" t="s">
        <v>29</v>
      </c>
      <c r="AC314" s="5452">
        <v>1</v>
      </c>
      <c r="AD314" s="5467" t="s">
        <v>864</v>
      </c>
      <c r="AE314" s="5468">
        <v>0.5</v>
      </c>
      <c r="AF314" s="5200">
        <f>M314*AE314</f>
        <v>631453.395</v>
      </c>
      <c r="AG314" s="5200">
        <f t="shared" si="70"/>
        <v>631453.3927735</v>
      </c>
      <c r="AH314" s="5482" t="s">
        <v>122</v>
      </c>
      <c r="AI314" s="5200">
        <v>45287</v>
      </c>
      <c r="AJ314" s="5200">
        <v>631453.3927735</v>
      </c>
      <c r="AK314" s="5200">
        <v>45287</v>
      </c>
      <c r="AL314" s="5200">
        <v>631453.39</v>
      </c>
      <c r="AM314" s="4048">
        <v>45301</v>
      </c>
      <c r="AN314" s="5200">
        <f t="shared" si="68"/>
        <v>631453.3927735</v>
      </c>
      <c r="AO314" s="5200">
        <v>45317</v>
      </c>
      <c r="AP314" s="5200">
        <f t="shared" si="69"/>
        <v>0</v>
      </c>
      <c r="AQ314" s="5494"/>
      <c r="AR314" s="5482"/>
      <c r="AS314" s="5494"/>
      <c r="AT314" s="5487"/>
      <c r="AU314" s="3524"/>
      <c r="AV314" s="3524"/>
      <c r="AW314" s="3524"/>
      <c r="AX314" s="3524"/>
      <c r="AY314" s="3524"/>
      <c r="AZ314" s="3524"/>
      <c r="BA314" s="5500"/>
      <c r="BB314" s="5200"/>
      <c r="BC314" s="5200"/>
      <c r="BD314" s="5500"/>
      <c r="BE314" s="5500"/>
      <c r="BF314" s="5503">
        <v>581130.9</v>
      </c>
      <c r="BG314" s="5504"/>
      <c r="BH314" s="5503">
        <v>44724.8851235</v>
      </c>
      <c r="BI314" s="5504"/>
      <c r="BJ314" s="5482"/>
      <c r="BK314" s="5482"/>
      <c r="BL314" s="5482"/>
      <c r="BM314" s="5514"/>
      <c r="BN314" s="5503">
        <v>5597.60765</v>
      </c>
      <c r="BO314" s="5515"/>
      <c r="BP314" s="5515"/>
      <c r="BQ314" s="5519"/>
      <c r="BR314" s="5515"/>
      <c r="BS314" s="5515"/>
      <c r="BT314" s="5520">
        <v>581130.9</v>
      </c>
      <c r="BU314" s="5515"/>
      <c r="BV314" s="5520">
        <v>44724.8851235</v>
      </c>
      <c r="BW314" s="5515"/>
      <c r="BX314" s="5523"/>
      <c r="BY314" s="5523"/>
      <c r="BZ314" s="5523"/>
      <c r="CA314" s="5525"/>
      <c r="CB314" s="5520">
        <v>5597.60765</v>
      </c>
      <c r="CC314" s="4048"/>
      <c r="CD314" s="4048"/>
      <c r="CE314" s="5170"/>
      <c r="CF314" s="5170"/>
      <c r="CG314" s="5170"/>
      <c r="CH314" s="5170"/>
    </row>
    <row r="315" s="4972" customFormat="1" ht="41.25" customHeight="1" spans="1:86">
      <c r="A315" s="3662"/>
      <c r="B315" s="1837"/>
      <c r="C315" s="3666"/>
      <c r="D315" s="3910"/>
      <c r="E315" s="5065"/>
      <c r="F315" s="3910"/>
      <c r="G315" s="3910"/>
      <c r="H315" s="5440"/>
      <c r="I315" s="5440"/>
      <c r="J315" s="5440"/>
      <c r="K315" s="5055"/>
      <c r="L315" s="5055"/>
      <c r="M315" s="5451"/>
      <c r="N315" s="4048"/>
      <c r="O315" s="5453"/>
      <c r="P315" s="5453"/>
      <c r="Q315" s="5453"/>
      <c r="R315" s="5453"/>
      <c r="S315" s="5453"/>
      <c r="T315" s="5453"/>
      <c r="U315" s="5453"/>
      <c r="V315" s="5453"/>
      <c r="W315" s="5453"/>
      <c r="X315" s="5453"/>
      <c r="Y315" s="5453"/>
      <c r="Z315" s="5453"/>
      <c r="AA315" s="5453"/>
      <c r="AB315" s="5453"/>
      <c r="AC315" s="5454">
        <v>2</v>
      </c>
      <c r="AD315" s="5467" t="s">
        <v>865</v>
      </c>
      <c r="AE315" s="5468">
        <v>0.2</v>
      </c>
      <c r="AF315" s="5200">
        <f>M314*AE315</f>
        <v>252581.358</v>
      </c>
      <c r="AG315" s="5200">
        <f t="shared" si="70"/>
        <v>252581.3571094</v>
      </c>
      <c r="AH315" s="5482" t="s">
        <v>122</v>
      </c>
      <c r="AI315" s="5200">
        <v>45287</v>
      </c>
      <c r="AJ315" s="5200">
        <v>252581.3571094</v>
      </c>
      <c r="AK315" s="5200">
        <v>45287</v>
      </c>
      <c r="AL315" s="5200">
        <v>252581.36</v>
      </c>
      <c r="AM315" s="4048">
        <v>45301</v>
      </c>
      <c r="AN315" s="5200">
        <f t="shared" si="68"/>
        <v>252581.3571094</v>
      </c>
      <c r="AO315" s="5200">
        <v>45317</v>
      </c>
      <c r="AP315" s="5200">
        <f t="shared" si="69"/>
        <v>0</v>
      </c>
      <c r="AQ315" s="5494"/>
      <c r="AR315" s="5482"/>
      <c r="AS315" s="5494"/>
      <c r="AT315" s="5487"/>
      <c r="AU315" s="3524"/>
      <c r="AV315" s="3524"/>
      <c r="AW315" s="3524"/>
      <c r="AX315" s="3524"/>
      <c r="AY315" s="3524"/>
      <c r="AZ315" s="3524"/>
      <c r="BA315" s="5500"/>
      <c r="BB315" s="5200"/>
      <c r="BC315" s="5200"/>
      <c r="BD315" s="5500"/>
      <c r="BE315" s="5500"/>
      <c r="BF315" s="5503">
        <v>232452.36</v>
      </c>
      <c r="BG315" s="5504"/>
      <c r="BH315" s="5503">
        <v>17889.9540494</v>
      </c>
      <c r="BI315" s="5504"/>
      <c r="BJ315" s="5504"/>
      <c r="BK315" s="5504"/>
      <c r="BL315" s="5504"/>
      <c r="BM315" s="5516"/>
      <c r="BN315" s="5503">
        <v>2239.04306</v>
      </c>
      <c r="BO315" s="5515"/>
      <c r="BP315" s="5515"/>
      <c r="BQ315" s="5519"/>
      <c r="BR315" s="5515"/>
      <c r="BS315" s="5515"/>
      <c r="BT315" s="5520">
        <v>232452.36</v>
      </c>
      <c r="BU315" s="5515"/>
      <c r="BV315" s="5520">
        <v>17889.9540494</v>
      </c>
      <c r="BW315" s="5515"/>
      <c r="BX315" s="5515"/>
      <c r="BY315" s="5515"/>
      <c r="BZ315" s="5515"/>
      <c r="CA315" s="5526"/>
      <c r="CB315" s="5520">
        <v>2239.04306</v>
      </c>
      <c r="CC315" s="4048"/>
      <c r="CD315" s="4048"/>
      <c r="CE315" s="5170"/>
      <c r="CF315" s="5170"/>
      <c r="CG315" s="5170"/>
      <c r="CH315" s="5170"/>
    </row>
    <row r="316" s="4972" customFormat="1" ht="29.15" customHeight="1" spans="1:86">
      <c r="A316" s="3662"/>
      <c r="B316" s="1837"/>
      <c r="C316" s="3666"/>
      <c r="D316" s="3910"/>
      <c r="E316" s="5065"/>
      <c r="F316" s="3910"/>
      <c r="G316" s="3910"/>
      <c r="H316" s="5440"/>
      <c r="I316" s="5440"/>
      <c r="J316" s="5440"/>
      <c r="K316" s="5055"/>
      <c r="L316" s="5055"/>
      <c r="M316" s="5451"/>
      <c r="N316" s="4048"/>
      <c r="O316" s="5453"/>
      <c r="P316" s="5453"/>
      <c r="Q316" s="5453"/>
      <c r="R316" s="5453"/>
      <c r="S316" s="5453"/>
      <c r="T316" s="5453"/>
      <c r="U316" s="5453"/>
      <c r="V316" s="5453"/>
      <c r="W316" s="5453"/>
      <c r="X316" s="5453"/>
      <c r="Y316" s="5453"/>
      <c r="Z316" s="5453"/>
      <c r="AA316" s="5453"/>
      <c r="AB316" s="5453"/>
      <c r="AC316" s="5454">
        <v>3</v>
      </c>
      <c r="AD316" s="5440" t="s">
        <v>866</v>
      </c>
      <c r="AE316" s="5469">
        <v>0.2</v>
      </c>
      <c r="AF316" s="4048">
        <f>M314*AE316</f>
        <v>252581.358</v>
      </c>
      <c r="AG316" s="5200">
        <f t="shared" si="70"/>
        <v>0</v>
      </c>
      <c r="AH316" s="4048"/>
      <c r="AI316" s="4048"/>
      <c r="AJ316" s="4048"/>
      <c r="AK316" s="5487"/>
      <c r="AL316" s="5200"/>
      <c r="AM316" s="4048"/>
      <c r="AN316" s="5200">
        <f t="shared" si="68"/>
        <v>0</v>
      </c>
      <c r="AO316" s="5200"/>
      <c r="AP316" s="5200">
        <f t="shared" si="69"/>
        <v>0</v>
      </c>
      <c r="AQ316" s="5494"/>
      <c r="AR316" s="5482"/>
      <c r="AS316" s="5494"/>
      <c r="AT316" s="5487"/>
      <c r="AU316" s="3524"/>
      <c r="AV316" s="3524"/>
      <c r="AW316" s="3524"/>
      <c r="AX316" s="3524"/>
      <c r="AY316" s="3524"/>
      <c r="AZ316" s="3524"/>
      <c r="BA316" s="5500"/>
      <c r="BB316" s="5200"/>
      <c r="BC316" s="5200"/>
      <c r="BD316" s="5500"/>
      <c r="BE316" s="5500"/>
      <c r="BF316" s="5505"/>
      <c r="BG316" s="5500"/>
      <c r="BH316" s="5506"/>
      <c r="BI316" s="5200"/>
      <c r="BJ316" s="5200"/>
      <c r="BK316" s="5200"/>
      <c r="BL316" s="5200"/>
      <c r="BM316" s="5506"/>
      <c r="BN316" s="5506"/>
      <c r="BO316" s="5500"/>
      <c r="BP316" s="5500"/>
      <c r="BQ316" s="5521"/>
      <c r="BR316" s="5500"/>
      <c r="BS316" s="5500"/>
      <c r="BT316" s="5505"/>
      <c r="BU316" s="5500"/>
      <c r="BV316" s="5505"/>
      <c r="BW316" s="5500"/>
      <c r="BX316" s="5500"/>
      <c r="BY316" s="5500"/>
      <c r="BZ316" s="5500"/>
      <c r="CA316" s="5505"/>
      <c r="CB316" s="5505"/>
      <c r="CC316" s="4048"/>
      <c r="CD316" s="4048"/>
      <c r="CE316" s="5170"/>
      <c r="CF316" s="5170"/>
      <c r="CG316" s="5170"/>
      <c r="CH316" s="5170"/>
    </row>
    <row r="317" s="4972" customFormat="1" ht="29.15" customHeight="1" spans="1:86">
      <c r="A317" s="3662"/>
      <c r="B317" s="1837"/>
      <c r="C317" s="3666"/>
      <c r="D317" s="3910"/>
      <c r="E317" s="5065"/>
      <c r="F317" s="3910"/>
      <c r="G317" s="3910"/>
      <c r="H317" s="5440"/>
      <c r="I317" s="5440"/>
      <c r="J317" s="5440"/>
      <c r="K317" s="5055"/>
      <c r="L317" s="5055"/>
      <c r="M317" s="5451"/>
      <c r="N317" s="4048"/>
      <c r="O317" s="5454"/>
      <c r="P317" s="5454"/>
      <c r="Q317" s="5454"/>
      <c r="R317" s="5454"/>
      <c r="S317" s="5454"/>
      <c r="T317" s="5454"/>
      <c r="U317" s="5454"/>
      <c r="V317" s="5454"/>
      <c r="W317" s="5454"/>
      <c r="X317" s="5454"/>
      <c r="Y317" s="5454"/>
      <c r="Z317" s="5454"/>
      <c r="AA317" s="5454"/>
      <c r="AB317" s="5454"/>
      <c r="AC317" s="5454">
        <v>4</v>
      </c>
      <c r="AD317" s="5440" t="s">
        <v>867</v>
      </c>
      <c r="AE317" s="5469">
        <v>0.1</v>
      </c>
      <c r="AF317" s="4048">
        <f>M314*AE317</f>
        <v>126290.679</v>
      </c>
      <c r="AG317" s="5200">
        <f t="shared" si="70"/>
        <v>0</v>
      </c>
      <c r="AH317" s="4048"/>
      <c r="AI317" s="4048"/>
      <c r="AJ317" s="4048"/>
      <c r="AK317" s="5487"/>
      <c r="AL317" s="5200"/>
      <c r="AM317" s="4048"/>
      <c r="AN317" s="5200">
        <f t="shared" si="68"/>
        <v>0</v>
      </c>
      <c r="AO317" s="5200"/>
      <c r="AP317" s="5200">
        <f t="shared" si="69"/>
        <v>0</v>
      </c>
      <c r="AQ317" s="5494"/>
      <c r="AR317" s="5482"/>
      <c r="AS317" s="5494"/>
      <c r="AT317" s="5487"/>
      <c r="AU317" s="3524"/>
      <c r="AV317" s="3524"/>
      <c r="AW317" s="3524"/>
      <c r="AX317" s="3524"/>
      <c r="AY317" s="3524"/>
      <c r="AZ317" s="3524"/>
      <c r="BA317" s="5500"/>
      <c r="BB317" s="5200"/>
      <c r="BC317" s="5200"/>
      <c r="BD317" s="5500"/>
      <c r="BE317" s="5500"/>
      <c r="BF317" s="5505"/>
      <c r="BG317" s="5500"/>
      <c r="BH317" s="5506"/>
      <c r="BI317" s="5200"/>
      <c r="BJ317" s="5200"/>
      <c r="BK317" s="5200"/>
      <c r="BL317" s="5200"/>
      <c r="BM317" s="5506"/>
      <c r="BN317" s="5506"/>
      <c r="BO317" s="5500"/>
      <c r="BP317" s="5500"/>
      <c r="BQ317" s="5521"/>
      <c r="BR317" s="5500"/>
      <c r="BS317" s="5500"/>
      <c r="BT317" s="5505"/>
      <c r="BU317" s="5500"/>
      <c r="BV317" s="5505"/>
      <c r="BW317" s="5500"/>
      <c r="BX317" s="5500"/>
      <c r="BY317" s="5500"/>
      <c r="BZ317" s="5500"/>
      <c r="CA317" s="5505"/>
      <c r="CB317" s="5505"/>
      <c r="CC317" s="4048"/>
      <c r="CD317" s="4048"/>
      <c r="CE317" s="5170"/>
      <c r="CF317" s="5170"/>
      <c r="CG317" s="5170"/>
      <c r="CH317" s="5170"/>
    </row>
    <row r="318" s="4972" customFormat="1" ht="37.5" customHeight="1" spans="1:86">
      <c r="A318" s="3662"/>
      <c r="B318" s="1837"/>
      <c r="C318" s="3666"/>
      <c r="D318" s="3910"/>
      <c r="E318" s="5065"/>
      <c r="F318" s="3910"/>
      <c r="G318" s="3910"/>
      <c r="H318" s="3909" t="s">
        <v>868</v>
      </c>
      <c r="I318" s="3909"/>
      <c r="J318" s="3909" t="s">
        <v>815</v>
      </c>
      <c r="K318" s="5055"/>
      <c r="L318" s="5055"/>
      <c r="M318" s="3744">
        <f>SUM(N318:AA321)</f>
        <v>2529341.95</v>
      </c>
      <c r="N318" s="3744"/>
      <c r="O318" s="3744"/>
      <c r="P318" s="3744"/>
      <c r="Q318" s="3744"/>
      <c r="R318" s="3744"/>
      <c r="S318" s="3744">
        <f>3451325.58-S314</f>
        <v>2289063.78</v>
      </c>
      <c r="T318" s="3744"/>
      <c r="U318" s="3744">
        <f>303000.67-U314</f>
        <v>213550.9</v>
      </c>
      <c r="V318" s="3744"/>
      <c r="W318" s="3744"/>
      <c r="X318" s="3744"/>
      <c r="Y318" s="3744"/>
      <c r="Z318" s="3744"/>
      <c r="AA318" s="3744">
        <f>37922.49-AA314</f>
        <v>26727.27</v>
      </c>
      <c r="AB318" s="3815" t="s">
        <v>29</v>
      </c>
      <c r="AC318" s="3662">
        <v>1</v>
      </c>
      <c r="AD318" s="5055" t="s">
        <v>869</v>
      </c>
      <c r="AE318" s="5115">
        <v>0.5</v>
      </c>
      <c r="AF318" s="3662">
        <f>M318*AE318</f>
        <v>1264670.975</v>
      </c>
      <c r="AG318" s="5347">
        <f t="shared" si="70"/>
        <v>0</v>
      </c>
      <c r="AH318" s="3662"/>
      <c r="AI318" s="3662"/>
      <c r="AJ318" s="3662"/>
      <c r="AK318" s="5127"/>
      <c r="AL318" s="3684"/>
      <c r="AM318" s="3662"/>
      <c r="AN318" s="3662">
        <f t="shared" ref="AN318:AN330" si="71">SUM(BO318:CB318)</f>
        <v>0</v>
      </c>
      <c r="AO318" s="3684"/>
      <c r="AP318" s="3684">
        <f t="shared" ref="AP318:AP330" si="72">AG318-AN318</f>
        <v>0</v>
      </c>
      <c r="AQ318" s="5134"/>
      <c r="AR318" s="3814"/>
      <c r="AS318" s="5134"/>
      <c r="AT318" s="5127"/>
      <c r="AU318" s="3524"/>
      <c r="AV318" s="3524"/>
      <c r="AW318" s="3524"/>
      <c r="AX318" s="3524"/>
      <c r="AY318" s="3524"/>
      <c r="AZ318" s="3524"/>
      <c r="BA318" s="5148"/>
      <c r="BB318" s="3684"/>
      <c r="BC318" s="3684"/>
      <c r="BD318" s="5148"/>
      <c r="BE318" s="5148"/>
      <c r="BF318" s="5148"/>
      <c r="BG318" s="5148"/>
      <c r="BH318" s="3684"/>
      <c r="BI318" s="3684"/>
      <c r="BJ318" s="3684"/>
      <c r="BK318" s="3684"/>
      <c r="BL318" s="3684"/>
      <c r="BM318" s="3684"/>
      <c r="BN318" s="3684"/>
      <c r="BO318" s="5148"/>
      <c r="BP318" s="5148"/>
      <c r="BQ318" s="5517"/>
      <c r="BR318" s="5148"/>
      <c r="BS318" s="5148"/>
      <c r="BT318" s="5148"/>
      <c r="BU318" s="5148"/>
      <c r="BV318" s="5148"/>
      <c r="BW318" s="5148"/>
      <c r="BX318" s="5148"/>
      <c r="BY318" s="5148"/>
      <c r="BZ318" s="5148"/>
      <c r="CA318" s="5148"/>
      <c r="CB318" s="5148"/>
      <c r="CC318" s="3662"/>
      <c r="CD318" s="3662"/>
      <c r="CE318" s="5170"/>
      <c r="CF318" s="5170"/>
      <c r="CG318" s="5170"/>
      <c r="CH318" s="5170"/>
    </row>
    <row r="319" s="4972" customFormat="1" ht="37.5" customHeight="1" spans="1:86">
      <c r="A319" s="3662"/>
      <c r="B319" s="3666"/>
      <c r="C319" s="3666"/>
      <c r="D319" s="3910"/>
      <c r="E319" s="5065"/>
      <c r="F319" s="5065"/>
      <c r="G319" s="5065"/>
      <c r="H319" s="3910"/>
      <c r="I319" s="3910"/>
      <c r="J319" s="3910"/>
      <c r="K319" s="5053"/>
      <c r="L319" s="5053"/>
      <c r="M319" s="3666"/>
      <c r="N319" s="3666"/>
      <c r="O319" s="3666"/>
      <c r="P319" s="3666"/>
      <c r="Q319" s="3666"/>
      <c r="R319" s="3666"/>
      <c r="S319" s="3666"/>
      <c r="T319" s="3666"/>
      <c r="U319" s="3666"/>
      <c r="V319" s="3666"/>
      <c r="W319" s="3666"/>
      <c r="X319" s="3666"/>
      <c r="Y319" s="3666"/>
      <c r="Z319" s="3666"/>
      <c r="AA319" s="3666"/>
      <c r="AB319" s="3666"/>
      <c r="AC319" s="3662">
        <v>2</v>
      </c>
      <c r="AD319" s="5055" t="s">
        <v>870</v>
      </c>
      <c r="AE319" s="5115">
        <v>0.2</v>
      </c>
      <c r="AF319" s="3662">
        <f>M318*AE319</f>
        <v>505868.39</v>
      </c>
      <c r="AG319" s="5347">
        <f t="shared" si="70"/>
        <v>0</v>
      </c>
      <c r="AH319" s="3662"/>
      <c r="AI319" s="3662"/>
      <c r="AJ319" s="3662"/>
      <c r="AK319" s="5127"/>
      <c r="AL319" s="3684"/>
      <c r="AM319" s="3662"/>
      <c r="AN319" s="3662">
        <f t="shared" si="71"/>
        <v>0</v>
      </c>
      <c r="AO319" s="3684"/>
      <c r="AP319" s="3684">
        <f t="shared" si="72"/>
        <v>0</v>
      </c>
      <c r="AQ319" s="5134"/>
      <c r="AR319" s="3814"/>
      <c r="AS319" s="5134"/>
      <c r="AT319" s="5127"/>
      <c r="AU319" s="3524"/>
      <c r="AV319" s="3524"/>
      <c r="AW319" s="3524"/>
      <c r="AX319" s="3524"/>
      <c r="AY319" s="3524"/>
      <c r="AZ319" s="3524"/>
      <c r="BA319" s="5148"/>
      <c r="BB319" s="3684"/>
      <c r="BC319" s="3684"/>
      <c r="BD319" s="5148"/>
      <c r="BE319" s="5148"/>
      <c r="BF319" s="5148"/>
      <c r="BG319" s="5148"/>
      <c r="BH319" s="3684"/>
      <c r="BI319" s="3684"/>
      <c r="BJ319" s="3684"/>
      <c r="BK319" s="3684"/>
      <c r="BL319" s="3684"/>
      <c r="BM319" s="3684"/>
      <c r="BN319" s="3684"/>
      <c r="BO319" s="5148"/>
      <c r="BP319" s="5148"/>
      <c r="BQ319" s="5517"/>
      <c r="BR319" s="5148"/>
      <c r="BS319" s="5148"/>
      <c r="BT319" s="5148"/>
      <c r="BU319" s="5148"/>
      <c r="BV319" s="5148"/>
      <c r="BW319" s="5148"/>
      <c r="BX319" s="5148"/>
      <c r="BY319" s="5148"/>
      <c r="BZ319" s="5148"/>
      <c r="CA319" s="5148"/>
      <c r="CB319" s="5148"/>
      <c r="CC319" s="3662"/>
      <c r="CD319" s="3662"/>
      <c r="CE319" s="5170"/>
      <c r="CF319" s="5170"/>
      <c r="CG319" s="5170"/>
      <c r="CH319" s="5170"/>
    </row>
    <row r="320" s="4972" customFormat="1" ht="37.5" customHeight="1" spans="1:86">
      <c r="A320" s="3662"/>
      <c r="B320" s="3666"/>
      <c r="C320" s="3666"/>
      <c r="D320" s="3910"/>
      <c r="E320" s="5065"/>
      <c r="F320" s="5065"/>
      <c r="G320" s="5065"/>
      <c r="H320" s="3910"/>
      <c r="I320" s="3910"/>
      <c r="J320" s="3910"/>
      <c r="K320" s="5053"/>
      <c r="L320" s="5053"/>
      <c r="M320" s="3666"/>
      <c r="N320" s="3666"/>
      <c r="O320" s="3666"/>
      <c r="P320" s="3666"/>
      <c r="Q320" s="3666"/>
      <c r="R320" s="3666"/>
      <c r="S320" s="3666"/>
      <c r="T320" s="3666"/>
      <c r="U320" s="3666"/>
      <c r="V320" s="3666"/>
      <c r="W320" s="3666"/>
      <c r="X320" s="3666"/>
      <c r="Y320" s="3666"/>
      <c r="Z320" s="3666"/>
      <c r="AA320" s="3666"/>
      <c r="AB320" s="3666"/>
      <c r="AC320" s="3662">
        <v>3</v>
      </c>
      <c r="AD320" s="5055" t="s">
        <v>866</v>
      </c>
      <c r="AE320" s="5115">
        <v>0.2</v>
      </c>
      <c r="AF320" s="3662">
        <f>M318*AE320</f>
        <v>505868.39</v>
      </c>
      <c r="AG320" s="5347">
        <f t="shared" si="70"/>
        <v>0</v>
      </c>
      <c r="AH320" s="3662"/>
      <c r="AI320" s="3662"/>
      <c r="AJ320" s="3662"/>
      <c r="AK320" s="5127"/>
      <c r="AL320" s="3684"/>
      <c r="AM320" s="3662"/>
      <c r="AN320" s="3662">
        <f t="shared" si="71"/>
        <v>0</v>
      </c>
      <c r="AO320" s="3684"/>
      <c r="AP320" s="3684">
        <f t="shared" si="72"/>
        <v>0</v>
      </c>
      <c r="AQ320" s="5134"/>
      <c r="AR320" s="3814"/>
      <c r="AS320" s="5134"/>
      <c r="AT320" s="5127"/>
      <c r="AU320" s="3524"/>
      <c r="AV320" s="3524"/>
      <c r="AW320" s="3524"/>
      <c r="AX320" s="3524"/>
      <c r="AY320" s="3524"/>
      <c r="AZ320" s="3524"/>
      <c r="BA320" s="5148"/>
      <c r="BB320" s="3684"/>
      <c r="BC320" s="3684"/>
      <c r="BD320" s="5148"/>
      <c r="BE320" s="5148"/>
      <c r="BF320" s="5148"/>
      <c r="BG320" s="5148"/>
      <c r="BH320" s="3684"/>
      <c r="BI320" s="3684"/>
      <c r="BJ320" s="3684"/>
      <c r="BK320" s="3684"/>
      <c r="BL320" s="3684"/>
      <c r="BM320" s="3684"/>
      <c r="BN320" s="3684"/>
      <c r="BO320" s="5148"/>
      <c r="BP320" s="5148"/>
      <c r="BQ320" s="5517"/>
      <c r="BR320" s="5148"/>
      <c r="BS320" s="5148"/>
      <c r="BT320" s="5148"/>
      <c r="BU320" s="5148"/>
      <c r="BV320" s="5148"/>
      <c r="BW320" s="5148"/>
      <c r="BX320" s="5148"/>
      <c r="BY320" s="5148"/>
      <c r="BZ320" s="5148"/>
      <c r="CA320" s="5148"/>
      <c r="CB320" s="5148"/>
      <c r="CC320" s="3662"/>
      <c r="CD320" s="3662"/>
      <c r="CE320" s="5170"/>
      <c r="CF320" s="5170"/>
      <c r="CG320" s="5170"/>
      <c r="CH320" s="5170"/>
    </row>
    <row r="321" s="4972" customFormat="1" ht="37.5" customHeight="1" spans="1:86">
      <c r="A321" s="3662"/>
      <c r="B321" s="3666"/>
      <c r="C321" s="3666"/>
      <c r="D321" s="3910"/>
      <c r="E321" s="5065"/>
      <c r="F321" s="5062"/>
      <c r="G321" s="5065"/>
      <c r="H321" s="3911"/>
      <c r="I321" s="3911"/>
      <c r="J321" s="3911"/>
      <c r="K321" s="5053"/>
      <c r="L321" s="5053"/>
      <c r="M321" s="3667"/>
      <c r="N321" s="3667"/>
      <c r="O321" s="3667"/>
      <c r="P321" s="3667"/>
      <c r="Q321" s="3667"/>
      <c r="R321" s="3667"/>
      <c r="S321" s="3667"/>
      <c r="T321" s="3667"/>
      <c r="U321" s="3667"/>
      <c r="V321" s="3667"/>
      <c r="W321" s="3667"/>
      <c r="X321" s="3667"/>
      <c r="Y321" s="3667"/>
      <c r="Z321" s="3667"/>
      <c r="AA321" s="3667"/>
      <c r="AB321" s="3667"/>
      <c r="AC321" s="3662">
        <v>4</v>
      </c>
      <c r="AD321" s="5055" t="s">
        <v>867</v>
      </c>
      <c r="AE321" s="5115">
        <v>0.1</v>
      </c>
      <c r="AF321" s="3662">
        <f>M318*AE321</f>
        <v>252934.195</v>
      </c>
      <c r="AG321" s="5347">
        <f t="shared" si="70"/>
        <v>0</v>
      </c>
      <c r="AH321" s="3662"/>
      <c r="AI321" s="3662"/>
      <c r="AJ321" s="3662"/>
      <c r="AK321" s="5127"/>
      <c r="AL321" s="3684"/>
      <c r="AM321" s="3662"/>
      <c r="AN321" s="3662">
        <f t="shared" si="71"/>
        <v>0</v>
      </c>
      <c r="AO321" s="3684"/>
      <c r="AP321" s="3684">
        <f t="shared" si="72"/>
        <v>0</v>
      </c>
      <c r="AQ321" s="5134"/>
      <c r="AR321" s="3814"/>
      <c r="AS321" s="5134"/>
      <c r="AT321" s="5127"/>
      <c r="AU321" s="3524"/>
      <c r="AV321" s="3524"/>
      <c r="AW321" s="3524"/>
      <c r="AX321" s="3524"/>
      <c r="AY321" s="3524"/>
      <c r="AZ321" s="3524"/>
      <c r="BA321" s="5148"/>
      <c r="BB321" s="3684"/>
      <c r="BC321" s="3684"/>
      <c r="BD321" s="5148"/>
      <c r="BE321" s="5148"/>
      <c r="BF321" s="5148"/>
      <c r="BG321" s="5148"/>
      <c r="BH321" s="3684"/>
      <c r="BI321" s="3684"/>
      <c r="BJ321" s="3684"/>
      <c r="BK321" s="3684"/>
      <c r="BL321" s="3684"/>
      <c r="BM321" s="3684"/>
      <c r="BN321" s="3684"/>
      <c r="BO321" s="5148"/>
      <c r="BP321" s="5148"/>
      <c r="BQ321" s="5517"/>
      <c r="BR321" s="5148"/>
      <c r="BS321" s="5148"/>
      <c r="BT321" s="5148"/>
      <c r="BU321" s="5148"/>
      <c r="BV321" s="5148"/>
      <c r="BW321" s="5148"/>
      <c r="BX321" s="5148"/>
      <c r="BY321" s="5148"/>
      <c r="BZ321" s="5148"/>
      <c r="CA321" s="5148"/>
      <c r="CB321" s="5148"/>
      <c r="CC321" s="3662"/>
      <c r="CD321" s="3662"/>
      <c r="CE321" s="5170"/>
      <c r="CF321" s="5170"/>
      <c r="CG321" s="5170"/>
      <c r="CH321" s="5170"/>
    </row>
    <row r="322" s="4972" customFormat="1" ht="37.5" customHeight="1" spans="1:86">
      <c r="A322" s="3662"/>
      <c r="B322" s="3666"/>
      <c r="C322" s="3666">
        <v>45106</v>
      </c>
      <c r="D322" s="3910" t="s">
        <v>858</v>
      </c>
      <c r="E322" s="5065"/>
      <c r="F322" s="3909" t="s">
        <v>871</v>
      </c>
      <c r="G322" s="5065"/>
      <c r="H322" s="5543" t="s">
        <v>872</v>
      </c>
      <c r="I322" s="5543"/>
      <c r="J322" s="5543" t="s">
        <v>815</v>
      </c>
      <c r="K322" s="2973">
        <v>71692.63</v>
      </c>
      <c r="L322" s="2973">
        <v>18.43</v>
      </c>
      <c r="M322" s="5561">
        <f>SUM(N322:AA324)</f>
        <v>1321295.17</v>
      </c>
      <c r="N322" s="5561"/>
      <c r="O322" s="5561"/>
      <c r="P322" s="5561"/>
      <c r="Q322" s="5561"/>
      <c r="R322" s="5561"/>
      <c r="S322" s="5561">
        <v>1321295.17</v>
      </c>
      <c r="T322" s="5561"/>
      <c r="U322" s="5561"/>
      <c r="V322" s="5561"/>
      <c r="W322" s="5561"/>
      <c r="X322" s="5561"/>
      <c r="Y322" s="5561"/>
      <c r="Z322" s="5561"/>
      <c r="AA322" s="5561"/>
      <c r="AB322" s="5582" t="s">
        <v>29</v>
      </c>
      <c r="AC322" s="2973">
        <v>1</v>
      </c>
      <c r="AD322" s="5543" t="s">
        <v>873</v>
      </c>
      <c r="AE322" s="5586">
        <v>0.7</v>
      </c>
      <c r="AF322" s="2973">
        <f>M322*0.7</f>
        <v>924906.619</v>
      </c>
      <c r="AG322" s="5612">
        <f t="shared" si="70"/>
        <v>924906.619</v>
      </c>
      <c r="AH322" s="5613" t="s">
        <v>122</v>
      </c>
      <c r="AI322" s="5588">
        <v>45622</v>
      </c>
      <c r="AJ322" s="2973">
        <v>924906.62</v>
      </c>
      <c r="AK322" s="5588">
        <v>45622</v>
      </c>
      <c r="AL322" s="5612">
        <v>924906.62</v>
      </c>
      <c r="AM322" s="5588">
        <v>45622</v>
      </c>
      <c r="AN322" s="2973">
        <f t="shared" si="71"/>
        <v>924906.62</v>
      </c>
      <c r="AO322" s="5588">
        <v>45638</v>
      </c>
      <c r="AP322" s="5588">
        <f t="shared" si="72"/>
        <v>-0.00100000004749745</v>
      </c>
      <c r="AQ322" s="5635"/>
      <c r="AR322" s="5613"/>
      <c r="AS322" s="5635"/>
      <c r="AT322" s="5614"/>
      <c r="AU322" s="3524"/>
      <c r="AV322" s="3524"/>
      <c r="AW322" s="3524"/>
      <c r="AX322" s="3524"/>
      <c r="AY322" s="3524"/>
      <c r="AZ322" s="3524"/>
      <c r="BA322" s="5648"/>
      <c r="BB322" s="5588"/>
      <c r="BC322" s="5588"/>
      <c r="BD322" s="5648"/>
      <c r="BE322" s="5648"/>
      <c r="BF322" s="5588">
        <v>924906.619</v>
      </c>
      <c r="BG322" s="5648"/>
      <c r="BH322" s="5588"/>
      <c r="BI322" s="5588"/>
      <c r="BJ322" s="5588"/>
      <c r="BK322" s="5588"/>
      <c r="BL322" s="5588"/>
      <c r="BM322" s="5588"/>
      <c r="BN322" s="5588"/>
      <c r="BO322" s="5648"/>
      <c r="BP322" s="5648"/>
      <c r="BQ322" s="5654"/>
      <c r="BR322" s="5648"/>
      <c r="BS322" s="5648"/>
      <c r="BT322" s="5648">
        <v>924906.62</v>
      </c>
      <c r="BU322" s="5648"/>
      <c r="BV322" s="5648"/>
      <c r="BW322" s="5648"/>
      <c r="BX322" s="5648"/>
      <c r="BY322" s="5648"/>
      <c r="BZ322" s="5648"/>
      <c r="CA322" s="5648"/>
      <c r="CB322" s="5648"/>
      <c r="CC322" s="2973"/>
      <c r="CD322" s="2973"/>
      <c r="CE322" s="5170"/>
      <c r="CF322" s="5170"/>
      <c r="CG322" s="5170"/>
      <c r="CH322" s="5170"/>
    </row>
    <row r="323" s="4972" customFormat="1" ht="37.5" customHeight="1" spans="1:86">
      <c r="A323" s="3662"/>
      <c r="B323" s="3666"/>
      <c r="C323" s="3666"/>
      <c r="D323" s="3910"/>
      <c r="E323" s="5065"/>
      <c r="F323" s="5065"/>
      <c r="G323" s="5065"/>
      <c r="H323" s="5543"/>
      <c r="I323" s="5543"/>
      <c r="J323" s="5543"/>
      <c r="K323" s="2973"/>
      <c r="L323" s="2973"/>
      <c r="M323" s="5563"/>
      <c r="N323" s="5563"/>
      <c r="O323" s="5563"/>
      <c r="P323" s="5563"/>
      <c r="Q323" s="5563"/>
      <c r="R323" s="5563"/>
      <c r="S323" s="5563"/>
      <c r="T323" s="5563"/>
      <c r="U323" s="5563"/>
      <c r="V323" s="5563"/>
      <c r="W323" s="5563"/>
      <c r="X323" s="5563"/>
      <c r="Y323" s="5563"/>
      <c r="Z323" s="5563"/>
      <c r="AA323" s="5563"/>
      <c r="AB323" s="5583"/>
      <c r="AC323" s="2973">
        <v>2</v>
      </c>
      <c r="AD323" s="5543" t="s">
        <v>874</v>
      </c>
      <c r="AE323" s="5587">
        <v>0.2</v>
      </c>
      <c r="AF323" s="5588">
        <f>M322*0.2</f>
        <v>264259.034</v>
      </c>
      <c r="AG323" s="5612">
        <f t="shared" si="70"/>
        <v>0</v>
      </c>
      <c r="AH323" s="5614"/>
      <c r="AI323" s="5614"/>
      <c r="AJ323" s="5614"/>
      <c r="AK323" s="5614"/>
      <c r="AL323" s="5614"/>
      <c r="AM323" s="5614"/>
      <c r="AN323" s="2973">
        <f t="shared" si="71"/>
        <v>0</v>
      </c>
      <c r="AO323" s="5636"/>
      <c r="AP323" s="5588">
        <f t="shared" si="72"/>
        <v>0</v>
      </c>
      <c r="AQ323" s="5635"/>
      <c r="AR323" s="5613"/>
      <c r="AS323" s="5635"/>
      <c r="AT323" s="5614"/>
      <c r="AU323" s="3524"/>
      <c r="AV323" s="3524"/>
      <c r="AW323" s="3524"/>
      <c r="AX323" s="3524"/>
      <c r="AY323" s="3524"/>
      <c r="AZ323" s="3524"/>
      <c r="BA323" s="5648"/>
      <c r="BB323" s="5588"/>
      <c r="BC323" s="5588"/>
      <c r="BD323" s="5648"/>
      <c r="BE323" s="5648"/>
      <c r="BF323" s="5636"/>
      <c r="BG323" s="5648"/>
      <c r="BH323" s="5588"/>
      <c r="BI323" s="5588"/>
      <c r="BJ323" s="5588"/>
      <c r="BK323" s="5588"/>
      <c r="BL323" s="5588"/>
      <c r="BM323" s="5588"/>
      <c r="BN323" s="5588"/>
      <c r="BO323" s="5648"/>
      <c r="BP323" s="5648"/>
      <c r="BQ323" s="5654"/>
      <c r="BR323" s="5648"/>
      <c r="BS323" s="5648"/>
      <c r="BT323" s="5636"/>
      <c r="BU323" s="5648"/>
      <c r="BV323" s="5648"/>
      <c r="BW323" s="5648"/>
      <c r="BX323" s="5648"/>
      <c r="BY323" s="5648"/>
      <c r="BZ323" s="5648"/>
      <c r="CA323" s="5648"/>
      <c r="CB323" s="5648"/>
      <c r="CC323" s="2973"/>
      <c r="CD323" s="2973"/>
      <c r="CE323" s="5170"/>
      <c r="CF323" s="5170"/>
      <c r="CG323" s="5170"/>
      <c r="CH323" s="5170"/>
    </row>
    <row r="324" s="4972" customFormat="1" ht="37.5" customHeight="1" spans="1:86">
      <c r="A324" s="3662"/>
      <c r="B324" s="3666"/>
      <c r="C324" s="3666"/>
      <c r="D324" s="3910"/>
      <c r="E324" s="5065"/>
      <c r="F324" s="5065"/>
      <c r="G324" s="5065"/>
      <c r="H324" s="5543"/>
      <c r="I324" s="5543"/>
      <c r="J324" s="5543"/>
      <c r="K324" s="2973"/>
      <c r="L324" s="2973"/>
      <c r="M324" s="5565"/>
      <c r="N324" s="5563"/>
      <c r="O324" s="5563"/>
      <c r="P324" s="5563"/>
      <c r="Q324" s="5563"/>
      <c r="R324" s="5563"/>
      <c r="S324" s="5563"/>
      <c r="T324" s="5563"/>
      <c r="U324" s="5563"/>
      <c r="V324" s="5563"/>
      <c r="W324" s="5563"/>
      <c r="X324" s="5563"/>
      <c r="Y324" s="5563"/>
      <c r="Z324" s="5563"/>
      <c r="AA324" s="5563"/>
      <c r="AB324" s="5583"/>
      <c r="AC324" s="2973">
        <v>3</v>
      </c>
      <c r="AD324" s="5543" t="s">
        <v>875</v>
      </c>
      <c r="AE324" s="5586">
        <v>0.1</v>
      </c>
      <c r="AF324" s="2973">
        <f>M322*0.1</f>
        <v>132129.517</v>
      </c>
      <c r="AG324" s="5612">
        <f t="shared" si="70"/>
        <v>0</v>
      </c>
      <c r="AH324" s="2973"/>
      <c r="AI324" s="2973"/>
      <c r="AJ324" s="2973"/>
      <c r="AK324" s="5614"/>
      <c r="AL324" s="5588"/>
      <c r="AM324" s="2973"/>
      <c r="AN324" s="2973">
        <f t="shared" si="71"/>
        <v>0</v>
      </c>
      <c r="AO324" s="5588"/>
      <c r="AP324" s="5588">
        <f t="shared" si="72"/>
        <v>0</v>
      </c>
      <c r="AQ324" s="5635"/>
      <c r="AR324" s="5613"/>
      <c r="AS324" s="5635"/>
      <c r="AT324" s="5614"/>
      <c r="AU324" s="3524"/>
      <c r="AV324" s="3524"/>
      <c r="AW324" s="3524"/>
      <c r="AX324" s="3524"/>
      <c r="AY324" s="3524"/>
      <c r="AZ324" s="3524"/>
      <c r="BA324" s="5648"/>
      <c r="BB324" s="5588"/>
      <c r="BC324" s="5588"/>
      <c r="BD324" s="5648"/>
      <c r="BE324" s="5648"/>
      <c r="BF324" s="5648"/>
      <c r="BG324" s="5648"/>
      <c r="BH324" s="5588"/>
      <c r="BI324" s="5588"/>
      <c r="BJ324" s="5588"/>
      <c r="BK324" s="5588"/>
      <c r="BL324" s="5588"/>
      <c r="BM324" s="5588"/>
      <c r="BN324" s="5588"/>
      <c r="BO324" s="5648"/>
      <c r="BP324" s="5648"/>
      <c r="BQ324" s="5654"/>
      <c r="BR324" s="5648"/>
      <c r="BS324" s="5648"/>
      <c r="BT324" s="5648"/>
      <c r="BU324" s="5648"/>
      <c r="BV324" s="5648"/>
      <c r="BW324" s="5648"/>
      <c r="BX324" s="5648"/>
      <c r="BY324" s="5648"/>
      <c r="BZ324" s="5648"/>
      <c r="CA324" s="5648"/>
      <c r="CB324" s="5648"/>
      <c r="CC324" s="2973"/>
      <c r="CD324" s="2973"/>
      <c r="CE324" s="5170"/>
      <c r="CF324" s="5170"/>
      <c r="CG324" s="5170"/>
      <c r="CH324" s="5170"/>
    </row>
    <row r="325" s="4972" customFormat="1" ht="30.85" customHeight="1" spans="1:86">
      <c r="A325" s="3662"/>
      <c r="B325" s="3666"/>
      <c r="C325" s="3666"/>
      <c r="D325" s="3910"/>
      <c r="E325" s="5065"/>
      <c r="F325" s="5065"/>
      <c r="G325" s="5065"/>
      <c r="H325" s="5544" t="s">
        <v>876</v>
      </c>
      <c r="I325" s="5544"/>
      <c r="J325" s="5544" t="s">
        <v>815</v>
      </c>
      <c r="K325" s="3083">
        <f>173620.82-K322</f>
        <v>101928.19</v>
      </c>
      <c r="L325" s="3083">
        <v>18.43</v>
      </c>
      <c r="M325" s="4901">
        <f>SUM(N325:AA330)</f>
        <v>1878536.54</v>
      </c>
      <c r="N325" s="4901"/>
      <c r="O325" s="4901"/>
      <c r="P325" s="4901"/>
      <c r="Q325" s="4901"/>
      <c r="R325" s="4901"/>
      <c r="S325" s="4901">
        <v>1878536.54</v>
      </c>
      <c r="T325" s="4901"/>
      <c r="U325" s="4901"/>
      <c r="V325" s="4901"/>
      <c r="W325" s="4901"/>
      <c r="X325" s="4901"/>
      <c r="Y325" s="4901"/>
      <c r="Z325" s="4901"/>
      <c r="AA325" s="4901"/>
      <c r="AB325" s="1835" t="s">
        <v>29</v>
      </c>
      <c r="AC325" s="3083">
        <v>1</v>
      </c>
      <c r="AD325" s="5544" t="s">
        <v>877</v>
      </c>
      <c r="AE325" s="5589">
        <v>0.2</v>
      </c>
      <c r="AF325" s="3083">
        <f>M325*AE325</f>
        <v>375707.308</v>
      </c>
      <c r="AG325" s="5615">
        <f t="shared" si="70"/>
        <v>0</v>
      </c>
      <c r="AH325" s="3083"/>
      <c r="AI325" s="3083"/>
      <c r="AJ325" s="3083"/>
      <c r="AK325" s="5629"/>
      <c r="AL325" s="5630"/>
      <c r="AM325" s="3083"/>
      <c r="AN325" s="3083">
        <f t="shared" si="71"/>
        <v>0</v>
      </c>
      <c r="AO325" s="5630"/>
      <c r="AP325" s="5630">
        <f t="shared" si="72"/>
        <v>0</v>
      </c>
      <c r="AQ325" s="5637"/>
      <c r="AR325" s="5638"/>
      <c r="AS325" s="5637"/>
      <c r="AT325" s="5629"/>
      <c r="AU325" s="3524"/>
      <c r="AV325" s="3524"/>
      <c r="AW325" s="3524"/>
      <c r="AX325" s="3524"/>
      <c r="AY325" s="3524"/>
      <c r="AZ325" s="3524"/>
      <c r="BA325" s="5649"/>
      <c r="BB325" s="5630"/>
      <c r="BC325" s="5630"/>
      <c r="BD325" s="5649"/>
      <c r="BE325" s="5649"/>
      <c r="BF325" s="5649"/>
      <c r="BG325" s="5649"/>
      <c r="BH325" s="5630"/>
      <c r="BI325" s="5630"/>
      <c r="BJ325" s="5630"/>
      <c r="BK325" s="5630"/>
      <c r="BL325" s="5630"/>
      <c r="BM325" s="5630"/>
      <c r="BN325" s="5630"/>
      <c r="BO325" s="5649"/>
      <c r="BP325" s="5649"/>
      <c r="BQ325" s="5655"/>
      <c r="BR325" s="5649"/>
      <c r="BS325" s="5649"/>
      <c r="BT325" s="5649"/>
      <c r="BU325" s="5649"/>
      <c r="BV325" s="5649"/>
      <c r="BW325" s="5649"/>
      <c r="BX325" s="5649"/>
      <c r="BY325" s="5649"/>
      <c r="BZ325" s="5649"/>
      <c r="CA325" s="5649"/>
      <c r="CB325" s="5649"/>
      <c r="CC325" s="3083"/>
      <c r="CD325" s="3083"/>
      <c r="CE325" s="5170"/>
      <c r="CF325" s="5170"/>
      <c r="CG325" s="5170"/>
      <c r="CH325" s="5170"/>
    </row>
    <row r="326" s="4972" customFormat="1" ht="30.85" customHeight="1" spans="1:86">
      <c r="A326" s="3662"/>
      <c r="B326" s="3666"/>
      <c r="C326" s="3666"/>
      <c r="D326" s="3910"/>
      <c r="E326" s="5065"/>
      <c r="F326" s="5065"/>
      <c r="G326" s="5065"/>
      <c r="H326" s="5544"/>
      <c r="I326" s="5544"/>
      <c r="J326" s="5544"/>
      <c r="K326" s="3083"/>
      <c r="L326" s="3083"/>
      <c r="M326" s="4902"/>
      <c r="N326" s="4902"/>
      <c r="O326" s="4902"/>
      <c r="P326" s="4902"/>
      <c r="Q326" s="4902"/>
      <c r="R326" s="4902"/>
      <c r="S326" s="4902"/>
      <c r="T326" s="4902"/>
      <c r="U326" s="4902"/>
      <c r="V326" s="4902"/>
      <c r="W326" s="4902"/>
      <c r="X326" s="4902"/>
      <c r="Y326" s="4902"/>
      <c r="Z326" s="4902"/>
      <c r="AA326" s="4902"/>
      <c r="AB326" s="4902"/>
      <c r="AC326" s="3083">
        <v>2</v>
      </c>
      <c r="AD326" s="5544" t="s">
        <v>878</v>
      </c>
      <c r="AE326" s="5589">
        <v>0.1</v>
      </c>
      <c r="AF326" s="3083">
        <f>M325*AE326</f>
        <v>187853.654</v>
      </c>
      <c r="AG326" s="5615">
        <f t="shared" si="70"/>
        <v>0</v>
      </c>
      <c r="AH326" s="3083"/>
      <c r="AI326" s="3083"/>
      <c r="AJ326" s="3083"/>
      <c r="AK326" s="5629"/>
      <c r="AL326" s="5630"/>
      <c r="AM326" s="3083"/>
      <c r="AN326" s="3083">
        <f t="shared" si="71"/>
        <v>0</v>
      </c>
      <c r="AO326" s="5630"/>
      <c r="AP326" s="5630">
        <f t="shared" si="72"/>
        <v>0</v>
      </c>
      <c r="AQ326" s="5637"/>
      <c r="AR326" s="5638"/>
      <c r="AS326" s="5637"/>
      <c r="AT326" s="5629"/>
      <c r="AU326" s="3524"/>
      <c r="AV326" s="3524"/>
      <c r="AW326" s="3524"/>
      <c r="AX326" s="3524"/>
      <c r="AY326" s="3524"/>
      <c r="AZ326" s="3524"/>
      <c r="BA326" s="5649"/>
      <c r="BB326" s="5630"/>
      <c r="BC326" s="5630"/>
      <c r="BD326" s="5649"/>
      <c r="BE326" s="5649"/>
      <c r="BF326" s="5649"/>
      <c r="BG326" s="5649"/>
      <c r="BH326" s="5630"/>
      <c r="BI326" s="5630"/>
      <c r="BJ326" s="5630"/>
      <c r="BK326" s="5630"/>
      <c r="BL326" s="5630"/>
      <c r="BM326" s="5630"/>
      <c r="BN326" s="5630"/>
      <c r="BO326" s="5649"/>
      <c r="BP326" s="5649"/>
      <c r="BQ326" s="5655"/>
      <c r="BR326" s="5649"/>
      <c r="BS326" s="5649"/>
      <c r="BT326" s="5649"/>
      <c r="BU326" s="5649"/>
      <c r="BV326" s="5649"/>
      <c r="BW326" s="5649"/>
      <c r="BX326" s="5649"/>
      <c r="BY326" s="5649"/>
      <c r="BZ326" s="5649"/>
      <c r="CA326" s="5649"/>
      <c r="CB326" s="5649"/>
      <c r="CC326" s="3083"/>
      <c r="CD326" s="3083"/>
      <c r="CE326" s="5170"/>
      <c r="CF326" s="5170"/>
      <c r="CG326" s="5170"/>
      <c r="CH326" s="5170"/>
    </row>
    <row r="327" s="4972" customFormat="1" ht="30.85" customHeight="1" spans="1:86">
      <c r="A327" s="3662"/>
      <c r="B327" s="3666"/>
      <c r="C327" s="3666"/>
      <c r="D327" s="3910"/>
      <c r="E327" s="5065"/>
      <c r="F327" s="5065"/>
      <c r="G327" s="5065"/>
      <c r="H327" s="5544"/>
      <c r="I327" s="5544"/>
      <c r="J327" s="5544"/>
      <c r="K327" s="3083"/>
      <c r="L327" s="3083"/>
      <c r="M327" s="4902"/>
      <c r="N327" s="4902"/>
      <c r="O327" s="4902"/>
      <c r="P327" s="4902"/>
      <c r="Q327" s="4902"/>
      <c r="R327" s="4902"/>
      <c r="S327" s="4902"/>
      <c r="T327" s="4902"/>
      <c r="U327" s="4902"/>
      <c r="V327" s="4902"/>
      <c r="W327" s="4902"/>
      <c r="X327" s="4902"/>
      <c r="Y327" s="4902"/>
      <c r="Z327" s="4902"/>
      <c r="AA327" s="4902"/>
      <c r="AB327" s="4902"/>
      <c r="AC327" s="3083">
        <v>3</v>
      </c>
      <c r="AD327" s="5544" t="s">
        <v>879</v>
      </c>
      <c r="AE327" s="5589">
        <v>0.2</v>
      </c>
      <c r="AF327" s="3083">
        <f>M325*AE327</f>
        <v>375707.308</v>
      </c>
      <c r="AG327" s="5615">
        <f t="shared" si="70"/>
        <v>0</v>
      </c>
      <c r="AH327" s="3083"/>
      <c r="AI327" s="3083"/>
      <c r="AJ327" s="3083"/>
      <c r="AK327" s="5629"/>
      <c r="AL327" s="5630"/>
      <c r="AM327" s="3083"/>
      <c r="AN327" s="3083">
        <f t="shared" si="71"/>
        <v>0</v>
      </c>
      <c r="AO327" s="5630"/>
      <c r="AP327" s="5630">
        <f t="shared" si="72"/>
        <v>0</v>
      </c>
      <c r="AQ327" s="5637"/>
      <c r="AR327" s="5638"/>
      <c r="AS327" s="5637"/>
      <c r="AT327" s="5629"/>
      <c r="AU327" s="3524"/>
      <c r="AV327" s="3524"/>
      <c r="AW327" s="3524"/>
      <c r="AX327" s="3524"/>
      <c r="AY327" s="3524"/>
      <c r="AZ327" s="3524"/>
      <c r="BA327" s="5649"/>
      <c r="BB327" s="5630"/>
      <c r="BC327" s="5630"/>
      <c r="BD327" s="5649"/>
      <c r="BE327" s="5649"/>
      <c r="BF327" s="5649"/>
      <c r="BG327" s="5649"/>
      <c r="BH327" s="5630"/>
      <c r="BI327" s="5630"/>
      <c r="BJ327" s="5630"/>
      <c r="BK327" s="5630"/>
      <c r="BL327" s="5630"/>
      <c r="BM327" s="5630"/>
      <c r="BN327" s="5630"/>
      <c r="BO327" s="5649"/>
      <c r="BP327" s="5649"/>
      <c r="BQ327" s="5655"/>
      <c r="BR327" s="5649"/>
      <c r="BS327" s="5649"/>
      <c r="BT327" s="5649"/>
      <c r="BU327" s="5649"/>
      <c r="BV327" s="5649"/>
      <c r="BW327" s="5649"/>
      <c r="BX327" s="5649"/>
      <c r="BY327" s="5649"/>
      <c r="BZ327" s="5649"/>
      <c r="CA327" s="5649"/>
      <c r="CB327" s="5649"/>
      <c r="CC327" s="3083"/>
      <c r="CD327" s="3083"/>
      <c r="CE327" s="5170"/>
      <c r="CF327" s="5170"/>
      <c r="CG327" s="5170"/>
      <c r="CH327" s="5170"/>
    </row>
    <row r="328" s="4972" customFormat="1" ht="30.85" customHeight="1" spans="1:86">
      <c r="A328" s="3662"/>
      <c r="B328" s="3666"/>
      <c r="C328" s="3666"/>
      <c r="D328" s="3910"/>
      <c r="E328" s="5065"/>
      <c r="F328" s="5065"/>
      <c r="G328" s="5065"/>
      <c r="H328" s="5544"/>
      <c r="I328" s="5544"/>
      <c r="J328" s="5544"/>
      <c r="K328" s="3083"/>
      <c r="L328" s="3083"/>
      <c r="M328" s="4902"/>
      <c r="N328" s="4902"/>
      <c r="O328" s="4902"/>
      <c r="P328" s="4902"/>
      <c r="Q328" s="4902"/>
      <c r="R328" s="4902"/>
      <c r="S328" s="4902"/>
      <c r="T328" s="4902"/>
      <c r="U328" s="4902"/>
      <c r="V328" s="4902"/>
      <c r="W328" s="4902"/>
      <c r="X328" s="4902"/>
      <c r="Y328" s="4902"/>
      <c r="Z328" s="4902"/>
      <c r="AA328" s="4902"/>
      <c r="AB328" s="4902"/>
      <c r="AC328" s="3083">
        <v>4</v>
      </c>
      <c r="AD328" s="5544" t="s">
        <v>880</v>
      </c>
      <c r="AE328" s="5589">
        <v>0.2</v>
      </c>
      <c r="AF328" s="3083">
        <f>M325*AE328</f>
        <v>375707.308</v>
      </c>
      <c r="AG328" s="5615">
        <f t="shared" si="70"/>
        <v>0</v>
      </c>
      <c r="AH328" s="3083"/>
      <c r="AI328" s="3083"/>
      <c r="AJ328" s="3083"/>
      <c r="AK328" s="5629"/>
      <c r="AL328" s="5630"/>
      <c r="AM328" s="3083"/>
      <c r="AN328" s="3083">
        <f t="shared" si="71"/>
        <v>0</v>
      </c>
      <c r="AO328" s="5630"/>
      <c r="AP328" s="5630">
        <f t="shared" si="72"/>
        <v>0</v>
      </c>
      <c r="AQ328" s="5637"/>
      <c r="AR328" s="5638"/>
      <c r="AS328" s="5637"/>
      <c r="AT328" s="5629"/>
      <c r="AU328" s="3524"/>
      <c r="AV328" s="3524"/>
      <c r="AW328" s="3524"/>
      <c r="AX328" s="3524"/>
      <c r="AY328" s="3524"/>
      <c r="AZ328" s="3524"/>
      <c r="BA328" s="5649"/>
      <c r="BB328" s="5630"/>
      <c r="BC328" s="5630"/>
      <c r="BD328" s="5649"/>
      <c r="BE328" s="5649"/>
      <c r="BF328" s="5649"/>
      <c r="BG328" s="5649"/>
      <c r="BH328" s="5630"/>
      <c r="BI328" s="5630"/>
      <c r="BJ328" s="5630"/>
      <c r="BK328" s="5630"/>
      <c r="BL328" s="5630"/>
      <c r="BM328" s="5630"/>
      <c r="BN328" s="5630"/>
      <c r="BO328" s="5649"/>
      <c r="BP328" s="5649"/>
      <c r="BQ328" s="5655"/>
      <c r="BR328" s="5649"/>
      <c r="BS328" s="5649"/>
      <c r="BT328" s="5649"/>
      <c r="BU328" s="5649"/>
      <c r="BV328" s="5649"/>
      <c r="BW328" s="5649"/>
      <c r="BX328" s="5649"/>
      <c r="BY328" s="5649"/>
      <c r="BZ328" s="5649"/>
      <c r="CA328" s="5649"/>
      <c r="CB328" s="5649"/>
      <c r="CC328" s="3083"/>
      <c r="CD328" s="3083"/>
      <c r="CE328" s="5170"/>
      <c r="CF328" s="5170"/>
      <c r="CG328" s="5170"/>
      <c r="CH328" s="5170"/>
    </row>
    <row r="329" s="4972" customFormat="1" ht="30.85" customHeight="1" spans="1:86">
      <c r="A329" s="3662"/>
      <c r="B329" s="3666"/>
      <c r="C329" s="3666"/>
      <c r="D329" s="3910"/>
      <c r="E329" s="5065"/>
      <c r="F329" s="5065"/>
      <c r="G329" s="5065"/>
      <c r="H329" s="5544"/>
      <c r="I329" s="5544"/>
      <c r="J329" s="5544"/>
      <c r="K329" s="3083"/>
      <c r="L329" s="3083"/>
      <c r="M329" s="4902"/>
      <c r="N329" s="4902"/>
      <c r="O329" s="4902"/>
      <c r="P329" s="4902"/>
      <c r="Q329" s="4902"/>
      <c r="R329" s="4902"/>
      <c r="S329" s="4902"/>
      <c r="T329" s="4902"/>
      <c r="U329" s="4902"/>
      <c r="V329" s="4902"/>
      <c r="W329" s="4902"/>
      <c r="X329" s="4902"/>
      <c r="Y329" s="4902"/>
      <c r="Z329" s="4902"/>
      <c r="AA329" s="4902"/>
      <c r="AB329" s="4902"/>
      <c r="AC329" s="3083">
        <v>5</v>
      </c>
      <c r="AD329" s="5544" t="s">
        <v>881</v>
      </c>
      <c r="AE329" s="5589">
        <v>0.2</v>
      </c>
      <c r="AF329" s="3083">
        <f>M325*AE329</f>
        <v>375707.308</v>
      </c>
      <c r="AG329" s="5615">
        <f t="shared" si="70"/>
        <v>0</v>
      </c>
      <c r="AH329" s="3083"/>
      <c r="AI329" s="3083"/>
      <c r="AJ329" s="3083"/>
      <c r="AK329" s="5629"/>
      <c r="AL329" s="5630"/>
      <c r="AM329" s="3083"/>
      <c r="AN329" s="3083">
        <f t="shared" si="71"/>
        <v>0</v>
      </c>
      <c r="AO329" s="5630"/>
      <c r="AP329" s="5630">
        <f t="shared" si="72"/>
        <v>0</v>
      </c>
      <c r="AQ329" s="5637"/>
      <c r="AR329" s="5638"/>
      <c r="AS329" s="5637"/>
      <c r="AT329" s="5629"/>
      <c r="AU329" s="3524"/>
      <c r="AV329" s="3524"/>
      <c r="AW329" s="3524"/>
      <c r="AX329" s="3524"/>
      <c r="AY329" s="3524"/>
      <c r="AZ329" s="3524"/>
      <c r="BA329" s="5649"/>
      <c r="BB329" s="5630"/>
      <c r="BC329" s="5630"/>
      <c r="BD329" s="5649"/>
      <c r="BE329" s="5649"/>
      <c r="BF329" s="5649"/>
      <c r="BG329" s="5649"/>
      <c r="BH329" s="5630"/>
      <c r="BI329" s="5630"/>
      <c r="BJ329" s="5630"/>
      <c r="BK329" s="5630"/>
      <c r="BL329" s="5630"/>
      <c r="BM329" s="5630"/>
      <c r="BN329" s="5630"/>
      <c r="BO329" s="5649"/>
      <c r="BP329" s="5649"/>
      <c r="BQ329" s="5655"/>
      <c r="BR329" s="5649"/>
      <c r="BS329" s="5649"/>
      <c r="BT329" s="5649"/>
      <c r="BU329" s="5649"/>
      <c r="BV329" s="5649"/>
      <c r="BW329" s="5649"/>
      <c r="BX329" s="5649"/>
      <c r="BY329" s="5649"/>
      <c r="BZ329" s="5649"/>
      <c r="CA329" s="5649"/>
      <c r="CB329" s="5649"/>
      <c r="CC329" s="3083"/>
      <c r="CD329" s="3083"/>
      <c r="CE329" s="5170"/>
      <c r="CF329" s="5170"/>
      <c r="CG329" s="5170"/>
      <c r="CH329" s="5170"/>
    </row>
    <row r="330" s="4972" customFormat="1" ht="30.85" customHeight="1" spans="1:86">
      <c r="A330" s="3662"/>
      <c r="B330" s="3667"/>
      <c r="C330" s="3667"/>
      <c r="D330" s="3911"/>
      <c r="E330" s="5062"/>
      <c r="F330" s="5062"/>
      <c r="G330" s="5062"/>
      <c r="H330" s="5544"/>
      <c r="I330" s="5544"/>
      <c r="J330" s="5544"/>
      <c r="K330" s="3083"/>
      <c r="L330" s="3083"/>
      <c r="M330" s="5573"/>
      <c r="N330" s="5573"/>
      <c r="O330" s="5573"/>
      <c r="P330" s="5573"/>
      <c r="Q330" s="5573"/>
      <c r="R330" s="5573"/>
      <c r="S330" s="5573"/>
      <c r="T330" s="5573"/>
      <c r="U330" s="5573"/>
      <c r="V330" s="5573"/>
      <c r="W330" s="5573"/>
      <c r="X330" s="5573"/>
      <c r="Y330" s="5573"/>
      <c r="Z330" s="5573"/>
      <c r="AA330" s="5573"/>
      <c r="AB330" s="5573"/>
      <c r="AC330" s="3083">
        <v>6</v>
      </c>
      <c r="AD330" s="5544" t="s">
        <v>882</v>
      </c>
      <c r="AE330" s="5589">
        <v>0.1</v>
      </c>
      <c r="AF330" s="3083">
        <f>M325*AE330</f>
        <v>187853.654</v>
      </c>
      <c r="AG330" s="5615">
        <f t="shared" si="70"/>
        <v>0</v>
      </c>
      <c r="AH330" s="3083"/>
      <c r="AI330" s="3083"/>
      <c r="AJ330" s="3083"/>
      <c r="AK330" s="5629"/>
      <c r="AL330" s="5630"/>
      <c r="AM330" s="3083"/>
      <c r="AN330" s="3083">
        <f t="shared" si="71"/>
        <v>0</v>
      </c>
      <c r="AO330" s="5630"/>
      <c r="AP330" s="5630">
        <f t="shared" si="72"/>
        <v>0</v>
      </c>
      <c r="AQ330" s="5637"/>
      <c r="AR330" s="5638"/>
      <c r="AS330" s="5637"/>
      <c r="AT330" s="5629"/>
      <c r="AU330" s="3524"/>
      <c r="AV330" s="3524"/>
      <c r="AW330" s="3524"/>
      <c r="AX330" s="3524"/>
      <c r="AY330" s="3524"/>
      <c r="AZ330" s="3524"/>
      <c r="BA330" s="5649"/>
      <c r="BB330" s="5630"/>
      <c r="BC330" s="5630"/>
      <c r="BD330" s="5649"/>
      <c r="BE330" s="5649"/>
      <c r="BF330" s="5649"/>
      <c r="BG330" s="5649"/>
      <c r="BH330" s="5630"/>
      <c r="BI330" s="5630"/>
      <c r="BJ330" s="5630"/>
      <c r="BK330" s="5630"/>
      <c r="BL330" s="5630"/>
      <c r="BM330" s="5630"/>
      <c r="BN330" s="5630"/>
      <c r="BO330" s="5649"/>
      <c r="BP330" s="5649"/>
      <c r="BQ330" s="5655"/>
      <c r="BR330" s="5649"/>
      <c r="BS330" s="5649"/>
      <c r="BT330" s="5649"/>
      <c r="BU330" s="5649"/>
      <c r="BV330" s="5649"/>
      <c r="BW330" s="5649"/>
      <c r="BX330" s="5649"/>
      <c r="BY330" s="5649"/>
      <c r="BZ330" s="5649"/>
      <c r="CA330" s="5649"/>
      <c r="CB330" s="5649"/>
      <c r="CC330" s="3083"/>
      <c r="CD330" s="3083"/>
      <c r="CE330" s="5170"/>
      <c r="CF330" s="5170"/>
      <c r="CG330" s="5170"/>
      <c r="CH330" s="5170"/>
    </row>
    <row r="331" s="4972" customFormat="1" ht="92.5" customHeight="1" spans="1:86">
      <c r="A331" s="3662">
        <v>69</v>
      </c>
      <c r="B331" s="3662" t="s">
        <v>173</v>
      </c>
      <c r="C331" s="3662">
        <v>44182</v>
      </c>
      <c r="D331" s="5053" t="s">
        <v>883</v>
      </c>
      <c r="E331" s="5053" t="s">
        <v>171</v>
      </c>
      <c r="F331" s="5341" t="s">
        <v>884</v>
      </c>
      <c r="G331" s="5053" t="s">
        <v>885</v>
      </c>
      <c r="H331" s="5053" t="s">
        <v>286</v>
      </c>
      <c r="I331" s="5053"/>
      <c r="J331" s="5053" t="s">
        <v>185</v>
      </c>
      <c r="K331" s="3662"/>
      <c r="L331" s="3662" t="s">
        <v>886</v>
      </c>
      <c r="M331" s="3662">
        <f>SUM(N331:AA331)</f>
        <v>100000</v>
      </c>
      <c r="N331" s="3524"/>
      <c r="O331" s="3524"/>
      <c r="P331" s="3524">
        <v>100000</v>
      </c>
      <c r="Q331" s="3524"/>
      <c r="R331" s="3524"/>
      <c r="S331" s="3524"/>
      <c r="T331" s="3524"/>
      <c r="U331" s="3524"/>
      <c r="V331" s="3524"/>
      <c r="W331" s="3524"/>
      <c r="X331" s="3524">
        <v>0</v>
      </c>
      <c r="Y331" s="3524"/>
      <c r="Z331" s="3524"/>
      <c r="AA331" s="3524"/>
      <c r="AB331" s="3524"/>
      <c r="AC331" s="3662">
        <v>1</v>
      </c>
      <c r="AD331" s="5053" t="s">
        <v>887</v>
      </c>
      <c r="AE331" s="5115">
        <v>1</v>
      </c>
      <c r="AF331" s="3662">
        <v>100000</v>
      </c>
      <c r="AG331" s="3662">
        <f t="shared" ref="AG331:AG363" si="73">SUM(BA331:BN331)</f>
        <v>100000</v>
      </c>
      <c r="AH331" s="3662" t="s">
        <v>122</v>
      </c>
      <c r="AI331" s="3662">
        <v>44189</v>
      </c>
      <c r="AJ331" s="3662">
        <v>100000</v>
      </c>
      <c r="AK331" s="5127">
        <v>44189</v>
      </c>
      <c r="AL331" s="3684">
        <v>100000</v>
      </c>
      <c r="AM331" s="3662">
        <v>44300</v>
      </c>
      <c r="AN331" s="3662">
        <f t="shared" ref="AN331:AN342" si="74">SUM(BO331:CB331)</f>
        <v>100000</v>
      </c>
      <c r="AO331" s="3684">
        <v>44314</v>
      </c>
      <c r="AP331" s="3662">
        <f t="shared" ref="AP331:AP342" si="75">AG331-AN331</f>
        <v>0</v>
      </c>
      <c r="AQ331" s="5134"/>
      <c r="AR331" s="3814" t="s">
        <v>128</v>
      </c>
      <c r="AS331" s="5134"/>
      <c r="AT331" s="5127"/>
      <c r="AU331" s="3524">
        <f>SUM(AG331:AG331)</f>
        <v>100000</v>
      </c>
      <c r="AV331" s="3524">
        <f>SUM(AL331:AL331)</f>
        <v>100000</v>
      </c>
      <c r="AW331" s="3524">
        <f>SUM(AN331:AN331)</f>
        <v>100000</v>
      </c>
      <c r="AX331" s="3524">
        <f>M331-AU331</f>
        <v>0</v>
      </c>
      <c r="AY331" s="3524">
        <f>AU331-AV331</f>
        <v>0</v>
      </c>
      <c r="AZ331" s="3524">
        <f>AV331-AW331</f>
        <v>0</v>
      </c>
      <c r="BA331" s="5148"/>
      <c r="BB331" s="3684"/>
      <c r="BC331" s="3684">
        <v>100000</v>
      </c>
      <c r="BD331" s="5148"/>
      <c r="BE331" s="5148"/>
      <c r="BF331" s="5148"/>
      <c r="BG331" s="5148"/>
      <c r="BH331" s="3684"/>
      <c r="BI331" s="3684"/>
      <c r="BJ331" s="3684"/>
      <c r="BK331" s="3684"/>
      <c r="BL331" s="3684"/>
      <c r="BM331" s="3684"/>
      <c r="BN331" s="3684"/>
      <c r="BO331" s="5148"/>
      <c r="BP331" s="5148"/>
      <c r="BQ331" s="5148">
        <v>100000</v>
      </c>
      <c r="BR331" s="5148"/>
      <c r="BS331" s="5148"/>
      <c r="BT331" s="5148"/>
      <c r="BU331" s="5148"/>
      <c r="BV331" s="5148"/>
      <c r="BW331" s="5148"/>
      <c r="BX331" s="5148"/>
      <c r="BY331" s="5148"/>
      <c r="BZ331" s="5148"/>
      <c r="CA331" s="5148"/>
      <c r="CB331" s="5148"/>
      <c r="CC331" s="3662" t="s">
        <v>166</v>
      </c>
      <c r="CD331" s="3662" t="s">
        <v>154</v>
      </c>
      <c r="CE331" s="5170"/>
      <c r="CF331" s="5170"/>
      <c r="CG331" s="5170"/>
      <c r="CH331" s="5170"/>
    </row>
    <row r="332" s="4971" customFormat="1" ht="62.25" customHeight="1" spans="1:86">
      <c r="A332" s="5177">
        <v>70</v>
      </c>
      <c r="B332" s="5177" t="s">
        <v>888</v>
      </c>
      <c r="C332" s="5177">
        <v>44193</v>
      </c>
      <c r="D332" s="5179" t="s">
        <v>889</v>
      </c>
      <c r="E332" s="5179" t="s">
        <v>890</v>
      </c>
      <c r="F332" s="5465" t="s">
        <v>891</v>
      </c>
      <c r="G332" s="5179" t="s">
        <v>892</v>
      </c>
      <c r="H332" s="5179" t="s">
        <v>240</v>
      </c>
      <c r="I332" s="5439"/>
      <c r="J332" s="5179" t="s">
        <v>893</v>
      </c>
      <c r="K332" s="5177">
        <v>335000</v>
      </c>
      <c r="L332" s="5177" t="s">
        <v>894</v>
      </c>
      <c r="M332" s="5177">
        <v>4355000</v>
      </c>
      <c r="N332" s="5177"/>
      <c r="O332" s="5177"/>
      <c r="P332" s="5177">
        <v>4355000</v>
      </c>
      <c r="Q332" s="5177"/>
      <c r="R332" s="5177"/>
      <c r="S332" s="5177"/>
      <c r="T332" s="5177"/>
      <c r="U332" s="5177"/>
      <c r="V332" s="5177"/>
      <c r="W332" s="5177"/>
      <c r="X332" s="5177">
        <v>0</v>
      </c>
      <c r="Y332" s="5177"/>
      <c r="Z332" s="5177"/>
      <c r="AA332" s="5177"/>
      <c r="AB332" s="5177"/>
      <c r="AC332" s="5177">
        <v>1</v>
      </c>
      <c r="AD332" s="5179" t="s">
        <v>895</v>
      </c>
      <c r="AE332" s="5466">
        <v>0.2</v>
      </c>
      <c r="AF332" s="5177">
        <f>AE332*P332</f>
        <v>871000</v>
      </c>
      <c r="AG332" s="5479">
        <f t="shared" si="73"/>
        <v>871000</v>
      </c>
      <c r="AH332" s="5479" t="s">
        <v>409</v>
      </c>
      <c r="AI332" s="5479">
        <v>44287</v>
      </c>
      <c r="AJ332" s="5479">
        <v>871000</v>
      </c>
      <c r="AK332" s="5479">
        <v>44287</v>
      </c>
      <c r="AL332" s="5479">
        <v>871000</v>
      </c>
      <c r="AM332" s="5177">
        <v>44288</v>
      </c>
      <c r="AN332" s="5479">
        <f t="shared" si="74"/>
        <v>871000</v>
      </c>
      <c r="AO332" s="5479">
        <v>44309</v>
      </c>
      <c r="AP332" s="5177">
        <f t="shared" si="75"/>
        <v>0</v>
      </c>
      <c r="AQ332" s="5497" t="s">
        <v>896</v>
      </c>
      <c r="AR332" s="5177"/>
      <c r="AS332" s="5497"/>
      <c r="AT332" s="5178"/>
      <c r="AU332" s="5177">
        <f>SUM(AG332:AG336)</f>
        <v>3919500</v>
      </c>
      <c r="AV332" s="5177">
        <f>SUM(AL332:AL336)</f>
        <v>3919500</v>
      </c>
      <c r="AW332" s="5177">
        <f>SUM(AN332:AN336)</f>
        <v>3919500</v>
      </c>
      <c r="AX332" s="5177">
        <f>M332-AU332</f>
        <v>435500</v>
      </c>
      <c r="AY332" s="5177">
        <f>AU332-AV332</f>
        <v>0</v>
      </c>
      <c r="AZ332" s="5177">
        <f>AV332-AW332</f>
        <v>0</v>
      </c>
      <c r="BA332" s="5499"/>
      <c r="BB332" s="5479"/>
      <c r="BC332" s="5479">
        <f>871000-BD332-BH332</f>
        <v>740350</v>
      </c>
      <c r="BD332" s="5479">
        <v>54035</v>
      </c>
      <c r="BE332" s="5499"/>
      <c r="BF332" s="5499"/>
      <c r="BG332" s="5499"/>
      <c r="BH332" s="5479">
        <v>76615</v>
      </c>
      <c r="BI332" s="5479"/>
      <c r="BJ332" s="5479"/>
      <c r="BK332" s="5479"/>
      <c r="BL332" s="5479"/>
      <c r="BM332" s="5479"/>
      <c r="BN332" s="5479"/>
      <c r="BO332" s="5499"/>
      <c r="BP332" s="5499"/>
      <c r="BQ332" s="5479">
        <f>871000-BR332-BV332</f>
        <v>740350</v>
      </c>
      <c r="BR332" s="5479">
        <v>54035</v>
      </c>
      <c r="BS332" s="5499"/>
      <c r="BT332" s="5499"/>
      <c r="BU332" s="5499"/>
      <c r="BV332" s="5479">
        <v>76615</v>
      </c>
      <c r="BW332" s="5499"/>
      <c r="BX332" s="5499"/>
      <c r="BY332" s="5499"/>
      <c r="BZ332" s="5499"/>
      <c r="CA332" s="5499"/>
      <c r="CB332" s="5499"/>
      <c r="CC332" s="5177" t="s">
        <v>247</v>
      </c>
      <c r="CD332" s="5177" t="s">
        <v>154</v>
      </c>
      <c r="CE332" s="5039"/>
      <c r="CF332" s="5039"/>
      <c r="CG332" s="5039"/>
      <c r="CH332" s="5039"/>
    </row>
    <row r="333" s="4971" customFormat="1" ht="92.5" customHeight="1" spans="1:86">
      <c r="A333" s="5177"/>
      <c r="B333" s="5177"/>
      <c r="C333" s="5177"/>
      <c r="D333" s="5179"/>
      <c r="E333" s="5179"/>
      <c r="F333" s="5179"/>
      <c r="G333" s="5179"/>
      <c r="H333" s="5179"/>
      <c r="I333" s="5437"/>
      <c r="J333" s="5179"/>
      <c r="K333" s="5177"/>
      <c r="L333" s="5177"/>
      <c r="M333" s="5177"/>
      <c r="N333" s="5177"/>
      <c r="O333" s="5177"/>
      <c r="P333" s="5177"/>
      <c r="Q333" s="5177"/>
      <c r="R333" s="5177"/>
      <c r="S333" s="5177"/>
      <c r="T333" s="5177"/>
      <c r="U333" s="5177"/>
      <c r="V333" s="5177"/>
      <c r="W333" s="5177"/>
      <c r="X333" s="5177"/>
      <c r="Y333" s="5177"/>
      <c r="Z333" s="5177"/>
      <c r="AA333" s="5177"/>
      <c r="AB333" s="5177"/>
      <c r="AC333" s="5177">
        <v>2</v>
      </c>
      <c r="AD333" s="5590" t="s">
        <v>897</v>
      </c>
      <c r="AE333" s="5466">
        <v>0.2</v>
      </c>
      <c r="AF333" s="5177">
        <f>AE333*P332</f>
        <v>871000</v>
      </c>
      <c r="AG333" s="5479">
        <f t="shared" si="73"/>
        <v>871000</v>
      </c>
      <c r="AH333" s="4676" t="s">
        <v>122</v>
      </c>
      <c r="AI333" s="5479">
        <v>44921</v>
      </c>
      <c r="AJ333" s="5177">
        <v>871000</v>
      </c>
      <c r="AK333" s="5479">
        <v>44921</v>
      </c>
      <c r="AL333" s="5479">
        <v>871000</v>
      </c>
      <c r="AM333" s="5177">
        <v>45210</v>
      </c>
      <c r="AN333" s="5479">
        <f t="shared" si="74"/>
        <v>871000</v>
      </c>
      <c r="AO333" s="5479">
        <v>45226</v>
      </c>
      <c r="AP333" s="5177">
        <f t="shared" si="75"/>
        <v>0</v>
      </c>
      <c r="AQ333" s="5639" t="s">
        <v>898</v>
      </c>
      <c r="AR333" s="5177"/>
      <c r="AS333" s="5497"/>
      <c r="AT333" s="5178"/>
      <c r="AU333" s="5177"/>
      <c r="AV333" s="5177"/>
      <c r="AW333" s="5177"/>
      <c r="AX333" s="5177"/>
      <c r="AY333" s="5177"/>
      <c r="AZ333" s="5177"/>
      <c r="BA333" s="5499"/>
      <c r="BB333" s="5479"/>
      <c r="BC333" s="5479">
        <v>655950.1</v>
      </c>
      <c r="BD333" s="5499"/>
      <c r="BE333" s="5499"/>
      <c r="BF333" s="5499"/>
      <c r="BG333" s="5499"/>
      <c r="BH333" s="5479">
        <v>207646.4</v>
      </c>
      <c r="BI333" s="5479"/>
      <c r="BJ333" s="5479"/>
      <c r="BK333" s="5479"/>
      <c r="BL333" s="5479"/>
      <c r="BM333" s="5479"/>
      <c r="BN333" s="5479">
        <v>7403.5</v>
      </c>
      <c r="BO333" s="5513"/>
      <c r="BP333" s="5513"/>
      <c r="BQ333" s="5479">
        <v>655950.1</v>
      </c>
      <c r="BR333" s="5499"/>
      <c r="BS333" s="5499"/>
      <c r="BT333" s="5499"/>
      <c r="BU333" s="5499"/>
      <c r="BV333" s="5479">
        <v>207646.4</v>
      </c>
      <c r="BW333" s="5480"/>
      <c r="BX333" s="5480"/>
      <c r="BY333" s="5480"/>
      <c r="BZ333" s="5480"/>
      <c r="CA333" s="5480"/>
      <c r="CB333" s="5479">
        <v>7403.5</v>
      </c>
      <c r="CC333" s="5177"/>
      <c r="CD333" s="5177"/>
      <c r="CE333" s="5039"/>
      <c r="CF333" s="5039"/>
      <c r="CG333" s="5039"/>
      <c r="CH333" s="5039"/>
    </row>
    <row r="334" s="4971" customFormat="1" ht="92" spans="1:86">
      <c r="A334" s="5177"/>
      <c r="B334" s="5177"/>
      <c r="C334" s="5177"/>
      <c r="D334" s="5179"/>
      <c r="E334" s="5179"/>
      <c r="F334" s="5179"/>
      <c r="G334" s="5179"/>
      <c r="H334" s="5179"/>
      <c r="I334" s="5437"/>
      <c r="J334" s="5179"/>
      <c r="K334" s="5177"/>
      <c r="L334" s="5177"/>
      <c r="M334" s="5177"/>
      <c r="N334" s="5177"/>
      <c r="O334" s="5177"/>
      <c r="P334" s="5177"/>
      <c r="Q334" s="5177"/>
      <c r="R334" s="5177"/>
      <c r="S334" s="5177"/>
      <c r="T334" s="5177"/>
      <c r="U334" s="5177"/>
      <c r="V334" s="5177"/>
      <c r="W334" s="5177"/>
      <c r="X334" s="5177"/>
      <c r="Y334" s="5177"/>
      <c r="Z334" s="5177"/>
      <c r="AA334" s="5177"/>
      <c r="AB334" s="5177"/>
      <c r="AC334" s="5177">
        <v>3</v>
      </c>
      <c r="AD334" s="5590" t="s">
        <v>899</v>
      </c>
      <c r="AE334" s="5466">
        <v>0.25</v>
      </c>
      <c r="AF334" s="5177">
        <f>AE334*P332</f>
        <v>1088750</v>
      </c>
      <c r="AG334" s="5479">
        <f t="shared" si="73"/>
        <v>1088750</v>
      </c>
      <c r="AH334" s="4676" t="s">
        <v>122</v>
      </c>
      <c r="AI334" s="5479">
        <v>45286</v>
      </c>
      <c r="AJ334" s="5479">
        <v>1088750</v>
      </c>
      <c r="AK334" s="5479">
        <v>45282</v>
      </c>
      <c r="AL334" s="5479">
        <v>1088750</v>
      </c>
      <c r="AM334" s="5177">
        <v>45455</v>
      </c>
      <c r="AN334" s="5479">
        <f t="shared" si="74"/>
        <v>1088750</v>
      </c>
      <c r="AO334" s="5479">
        <v>45470</v>
      </c>
      <c r="AP334" s="5177">
        <f t="shared" si="75"/>
        <v>0</v>
      </c>
      <c r="AQ334" s="5435" t="s">
        <v>900</v>
      </c>
      <c r="AR334" s="5177"/>
      <c r="AS334" s="5497"/>
      <c r="AT334" s="5178"/>
      <c r="AU334" s="5177"/>
      <c r="AV334" s="5177"/>
      <c r="AW334" s="5177"/>
      <c r="AX334" s="5177"/>
      <c r="AY334" s="5177"/>
      <c r="AZ334" s="5177"/>
      <c r="BA334" s="5513"/>
      <c r="BB334" s="5480"/>
      <c r="BC334" s="5479">
        <v>872687.56</v>
      </c>
      <c r="BD334" s="5499"/>
      <c r="BE334" s="5499"/>
      <c r="BF334" s="5479">
        <f>47663.37+11105.25</f>
        <v>58768.62</v>
      </c>
      <c r="BG334" s="5499"/>
      <c r="BH334" s="5479">
        <f>174733.41-123439.59</f>
        <v>51293.82</v>
      </c>
      <c r="BI334" s="5479">
        <v>106000</v>
      </c>
      <c r="BJ334" s="5479"/>
      <c r="BK334" s="5479"/>
      <c r="BL334" s="5479"/>
      <c r="BM334" s="5479"/>
      <c r="BN334" s="5479"/>
      <c r="BO334" s="5513"/>
      <c r="BP334" s="5513"/>
      <c r="BQ334" s="5479">
        <v>872687.56</v>
      </c>
      <c r="BR334" s="5499"/>
      <c r="BS334" s="5499"/>
      <c r="BT334" s="5479">
        <f>47663.37+11105.25</f>
        <v>58768.62</v>
      </c>
      <c r="BU334" s="5499"/>
      <c r="BV334" s="5479">
        <f>174733.41-123439.59</f>
        <v>51293.82</v>
      </c>
      <c r="BW334" s="5479">
        <v>106000</v>
      </c>
      <c r="BX334" s="5479"/>
      <c r="BY334" s="5479"/>
      <c r="BZ334" s="5479"/>
      <c r="CA334" s="5479"/>
      <c r="CB334" s="5479"/>
      <c r="CC334" s="5177"/>
      <c r="CD334" s="5177"/>
      <c r="CE334" s="5039"/>
      <c r="CF334" s="5039"/>
      <c r="CG334" s="5039"/>
      <c r="CH334" s="5039"/>
    </row>
    <row r="335" s="4971" customFormat="1" ht="76" spans="1:86">
      <c r="A335" s="5177"/>
      <c r="B335" s="5177"/>
      <c r="C335" s="5177"/>
      <c r="D335" s="5179"/>
      <c r="E335" s="5179"/>
      <c r="F335" s="5179"/>
      <c r="G335" s="5179"/>
      <c r="H335" s="5179"/>
      <c r="I335" s="5437"/>
      <c r="J335" s="5179"/>
      <c r="K335" s="5177"/>
      <c r="L335" s="5177"/>
      <c r="M335" s="5177"/>
      <c r="N335" s="5177"/>
      <c r="O335" s="5177"/>
      <c r="P335" s="5177"/>
      <c r="Q335" s="5177"/>
      <c r="R335" s="5177"/>
      <c r="S335" s="5177"/>
      <c r="T335" s="5177"/>
      <c r="U335" s="5177"/>
      <c r="V335" s="5177"/>
      <c r="W335" s="5177"/>
      <c r="X335" s="5177"/>
      <c r="Y335" s="5177"/>
      <c r="Z335" s="5177"/>
      <c r="AA335" s="5177"/>
      <c r="AB335" s="5177"/>
      <c r="AC335" s="5177">
        <v>4</v>
      </c>
      <c r="AD335" s="5590" t="s">
        <v>901</v>
      </c>
      <c r="AE335" s="5466">
        <v>0.25</v>
      </c>
      <c r="AF335" s="5177">
        <f>AE335*P332</f>
        <v>1088750</v>
      </c>
      <c r="AG335" s="5479">
        <f t="shared" si="73"/>
        <v>1088750</v>
      </c>
      <c r="AH335" s="4676" t="s">
        <v>122</v>
      </c>
      <c r="AI335" s="5479">
        <v>45286</v>
      </c>
      <c r="AJ335" s="5479">
        <v>1088750</v>
      </c>
      <c r="AK335" s="5479">
        <v>45282</v>
      </c>
      <c r="AL335" s="5479">
        <v>1088750</v>
      </c>
      <c r="AM335" s="5177">
        <v>45763</v>
      </c>
      <c r="AN335" s="5479">
        <f t="shared" si="74"/>
        <v>1088750</v>
      </c>
      <c r="AO335" s="5479">
        <v>45771</v>
      </c>
      <c r="AP335" s="5177">
        <f t="shared" si="75"/>
        <v>0</v>
      </c>
      <c r="AQ335" s="5556"/>
      <c r="AR335" s="5177"/>
      <c r="AS335" s="5497"/>
      <c r="AT335" s="5178"/>
      <c r="AU335" s="5177"/>
      <c r="AV335" s="5177"/>
      <c r="AW335" s="5177"/>
      <c r="AX335" s="5177"/>
      <c r="AY335" s="5177"/>
      <c r="AZ335" s="5177"/>
      <c r="BA335" s="5513"/>
      <c r="BB335" s="5480"/>
      <c r="BC335" s="5479">
        <v>954662.4</v>
      </c>
      <c r="BD335" s="5499"/>
      <c r="BE335" s="5499"/>
      <c r="BF335" s="5479">
        <v>7587.94</v>
      </c>
      <c r="BG335" s="5499"/>
      <c r="BH335" s="5479">
        <v>123439.59</v>
      </c>
      <c r="BI335" s="5479"/>
      <c r="BJ335" s="5479"/>
      <c r="BK335" s="5479"/>
      <c r="BL335" s="5479"/>
      <c r="BM335" s="5479"/>
      <c r="BN335" s="5479">
        <v>3060.07</v>
      </c>
      <c r="BO335" s="5513"/>
      <c r="BP335" s="5513"/>
      <c r="BQ335" s="5479">
        <v>954662.4</v>
      </c>
      <c r="BR335" s="5499"/>
      <c r="BS335" s="5499"/>
      <c r="BT335" s="5479">
        <v>7587.94</v>
      </c>
      <c r="BU335" s="5499"/>
      <c r="BV335" s="5479">
        <v>123439.59</v>
      </c>
      <c r="BW335" s="5479"/>
      <c r="BX335" s="5479"/>
      <c r="BY335" s="5479"/>
      <c r="BZ335" s="5479"/>
      <c r="CA335" s="5479"/>
      <c r="CB335" s="5479">
        <v>3060.07</v>
      </c>
      <c r="CC335" s="5177"/>
      <c r="CD335" s="5177"/>
      <c r="CE335" s="5169">
        <f>SUBTOTAL(9,BO335:CB335)</f>
        <v>1088750</v>
      </c>
      <c r="CF335" s="5169">
        <f>AN335-CE335</f>
        <v>0</v>
      </c>
      <c r="CG335" s="5039"/>
      <c r="CH335" s="5039"/>
    </row>
    <row r="336" s="4971" customFormat="1" ht="72.75" customHeight="1" spans="1:86">
      <c r="A336" s="5177"/>
      <c r="B336" s="5177"/>
      <c r="C336" s="5177"/>
      <c r="D336" s="5179"/>
      <c r="E336" s="5179"/>
      <c r="F336" s="5179"/>
      <c r="G336" s="5179"/>
      <c r="H336" s="5179"/>
      <c r="I336" s="5556"/>
      <c r="J336" s="5179"/>
      <c r="K336" s="5177"/>
      <c r="L336" s="5177"/>
      <c r="M336" s="5177"/>
      <c r="N336" s="5177"/>
      <c r="O336" s="5177"/>
      <c r="P336" s="5177"/>
      <c r="Q336" s="5177"/>
      <c r="R336" s="5177"/>
      <c r="S336" s="5177"/>
      <c r="T336" s="5177"/>
      <c r="U336" s="5177"/>
      <c r="V336" s="5177"/>
      <c r="W336" s="5177"/>
      <c r="X336" s="5177"/>
      <c r="Y336" s="5177"/>
      <c r="Z336" s="5177"/>
      <c r="AA336" s="5177"/>
      <c r="AB336" s="5177"/>
      <c r="AC336" s="5177">
        <v>5</v>
      </c>
      <c r="AD336" s="5590" t="s">
        <v>902</v>
      </c>
      <c r="AE336" s="5466">
        <v>0.1</v>
      </c>
      <c r="AF336" s="5177">
        <f>AE336*P332</f>
        <v>435500</v>
      </c>
      <c r="AG336" s="5177">
        <f t="shared" si="73"/>
        <v>0</v>
      </c>
      <c r="AH336" s="5177"/>
      <c r="AI336" s="5177"/>
      <c r="AJ336" s="5177"/>
      <c r="AK336" s="5178"/>
      <c r="AL336" s="5479"/>
      <c r="AM336" s="5177"/>
      <c r="AN336" s="5177">
        <f t="shared" si="74"/>
        <v>0</v>
      </c>
      <c r="AO336" s="5177"/>
      <c r="AP336" s="5177">
        <f t="shared" si="75"/>
        <v>0</v>
      </c>
      <c r="AQ336" s="5178"/>
      <c r="AR336" s="5177"/>
      <c r="AS336" s="5497"/>
      <c r="AT336" s="5178"/>
      <c r="AU336" s="5177"/>
      <c r="AV336" s="5177"/>
      <c r="AW336" s="5177"/>
      <c r="AX336" s="5177"/>
      <c r="AY336" s="5177"/>
      <c r="AZ336" s="5177"/>
      <c r="BA336" s="5178"/>
      <c r="BB336" s="5177"/>
      <c r="BC336" s="5177"/>
      <c r="BD336" s="5178"/>
      <c r="BE336" s="5178"/>
      <c r="BF336" s="5178"/>
      <c r="BG336" s="5178"/>
      <c r="BH336" s="5177"/>
      <c r="BI336" s="5177"/>
      <c r="BJ336" s="5177"/>
      <c r="BK336" s="5177"/>
      <c r="BL336" s="5177"/>
      <c r="BM336" s="5177"/>
      <c r="BN336" s="5177"/>
      <c r="BO336" s="5178"/>
      <c r="BP336" s="5178"/>
      <c r="BQ336" s="5178"/>
      <c r="BR336" s="5178"/>
      <c r="BS336" s="5178"/>
      <c r="BT336" s="5178"/>
      <c r="BU336" s="5178"/>
      <c r="BV336" s="5178"/>
      <c r="BW336" s="5178"/>
      <c r="BX336" s="5178"/>
      <c r="BY336" s="5178"/>
      <c r="BZ336" s="5178"/>
      <c r="CA336" s="5178"/>
      <c r="CB336" s="5178"/>
      <c r="CC336" s="5177"/>
      <c r="CD336" s="5177"/>
      <c r="CE336" s="5039"/>
      <c r="CF336" s="5039"/>
      <c r="CG336" s="5039"/>
      <c r="CH336" s="5039"/>
    </row>
    <row r="337" s="4971" customFormat="1" ht="70.85" customHeight="1" spans="1:86">
      <c r="A337" s="3662"/>
      <c r="B337" s="5527" t="s">
        <v>888</v>
      </c>
      <c r="C337" s="5528">
        <v>45180</v>
      </c>
      <c r="D337" s="5529" t="s">
        <v>903</v>
      </c>
      <c r="E337" s="5545"/>
      <c r="F337" s="5529" t="s">
        <v>904</v>
      </c>
      <c r="G337" s="5529" t="s">
        <v>905</v>
      </c>
      <c r="H337" s="5529" t="s">
        <v>906</v>
      </c>
      <c r="I337" s="5529"/>
      <c r="J337" s="5529" t="s">
        <v>893</v>
      </c>
      <c r="K337" s="5528">
        <v>316649</v>
      </c>
      <c r="L337" s="5527" t="s">
        <v>907</v>
      </c>
      <c r="M337" s="5574">
        <f>SUM(N337:AB339)</f>
        <v>1108271.5</v>
      </c>
      <c r="N337" s="5528"/>
      <c r="O337" s="5528"/>
      <c r="P337" s="5528"/>
      <c r="Q337" s="5528"/>
      <c r="R337" s="5528"/>
      <c r="S337" s="5528"/>
      <c r="T337" s="5528"/>
      <c r="U337" s="5528">
        <v>1108271.5</v>
      </c>
      <c r="V337" s="5528"/>
      <c r="W337" s="5528"/>
      <c r="X337" s="5528"/>
      <c r="Y337" s="5528"/>
      <c r="Z337" s="5528"/>
      <c r="AA337" s="5528"/>
      <c r="AB337" s="5528"/>
      <c r="AC337" s="5591">
        <v>1</v>
      </c>
      <c r="AD337" s="5592" t="s">
        <v>908</v>
      </c>
      <c r="AE337" s="5593">
        <v>0.2</v>
      </c>
      <c r="AF337" s="5594">
        <f>M337*AE337</f>
        <v>221654.3</v>
      </c>
      <c r="AG337" s="5594">
        <v>221654.3</v>
      </c>
      <c r="AH337" s="5616" t="s">
        <v>122</v>
      </c>
      <c r="AI337" s="5594">
        <v>45224</v>
      </c>
      <c r="AJ337" s="5594">
        <v>221654.3</v>
      </c>
      <c r="AK337" s="5594">
        <v>45224</v>
      </c>
      <c r="AL337" s="5594">
        <v>221654.3</v>
      </c>
      <c r="AM337" s="5594">
        <v>45224</v>
      </c>
      <c r="AN337" s="5594">
        <f t="shared" si="74"/>
        <v>221654.3</v>
      </c>
      <c r="AO337" s="5594">
        <v>45230</v>
      </c>
      <c r="AP337" s="5591">
        <f t="shared" si="75"/>
        <v>0</v>
      </c>
      <c r="AQ337" s="5640" t="s">
        <v>909</v>
      </c>
      <c r="AR337" s="5591"/>
      <c r="AS337" s="5643"/>
      <c r="AT337" s="5631"/>
      <c r="AU337" s="5591"/>
      <c r="AV337" s="5591"/>
      <c r="AW337" s="5591"/>
      <c r="AX337" s="5591"/>
      <c r="AY337" s="5591"/>
      <c r="AZ337" s="5591"/>
      <c r="BA337" s="5631"/>
      <c r="BB337" s="5591"/>
      <c r="BC337" s="5591"/>
      <c r="BD337" s="5631"/>
      <c r="BE337" s="5631"/>
      <c r="BF337" s="5631"/>
      <c r="BG337" s="5631"/>
      <c r="BH337" s="5594">
        <v>221654.3</v>
      </c>
      <c r="BI337" s="5591"/>
      <c r="BJ337" s="5591"/>
      <c r="BK337" s="5591"/>
      <c r="BL337" s="5591"/>
      <c r="BM337" s="5591"/>
      <c r="BN337" s="5591"/>
      <c r="BO337" s="5631"/>
      <c r="BP337" s="5631"/>
      <c r="BQ337" s="5631"/>
      <c r="BR337" s="5631"/>
      <c r="BS337" s="5631"/>
      <c r="BT337" s="5631"/>
      <c r="BU337" s="5631"/>
      <c r="BV337" s="5594">
        <v>221654.3</v>
      </c>
      <c r="BW337" s="5631"/>
      <c r="BX337" s="5631"/>
      <c r="BY337" s="5631"/>
      <c r="BZ337" s="5631"/>
      <c r="CA337" s="5631"/>
      <c r="CB337" s="5631"/>
      <c r="CC337" s="5528"/>
      <c r="CD337" s="5528"/>
      <c r="CE337" s="5039"/>
      <c r="CF337" s="5039"/>
      <c r="CG337" s="5039"/>
      <c r="CH337" s="5039"/>
    </row>
    <row r="338" s="4971" customFormat="1" ht="70.85" customHeight="1" spans="1:86">
      <c r="A338" s="3662"/>
      <c r="B338" s="5530"/>
      <c r="C338" s="5530"/>
      <c r="D338" s="5531"/>
      <c r="E338" s="5531"/>
      <c r="F338" s="5531"/>
      <c r="G338" s="5531"/>
      <c r="H338" s="5531"/>
      <c r="I338" s="5557"/>
      <c r="J338" s="5531"/>
      <c r="K338" s="5530"/>
      <c r="L338" s="5530"/>
      <c r="M338" s="5575"/>
      <c r="N338" s="5530"/>
      <c r="O338" s="5530"/>
      <c r="P338" s="5530"/>
      <c r="Q338" s="5530"/>
      <c r="R338" s="5530"/>
      <c r="S338" s="5530"/>
      <c r="T338" s="5530"/>
      <c r="U338" s="5530"/>
      <c r="V338" s="5530"/>
      <c r="W338" s="5530"/>
      <c r="X338" s="5530"/>
      <c r="Y338" s="5530"/>
      <c r="Z338" s="5530"/>
      <c r="AA338" s="5530"/>
      <c r="AB338" s="5530"/>
      <c r="AC338" s="5591">
        <v>2</v>
      </c>
      <c r="AD338" s="5592" t="s">
        <v>910</v>
      </c>
      <c r="AE338" s="5593">
        <v>0.65</v>
      </c>
      <c r="AF338" s="5594">
        <f>M337*AE338</f>
        <v>720376.475</v>
      </c>
      <c r="AG338" s="5594">
        <v>720376.475</v>
      </c>
      <c r="AH338" s="5616" t="s">
        <v>122</v>
      </c>
      <c r="AI338" s="5594">
        <v>45282</v>
      </c>
      <c r="AJ338" s="5591">
        <v>720376.48</v>
      </c>
      <c r="AK338" s="5591">
        <v>45282</v>
      </c>
      <c r="AL338" s="5594">
        <v>720376.475</v>
      </c>
      <c r="AM338" s="5591">
        <v>45973</v>
      </c>
      <c r="AN338" s="5594">
        <f t="shared" si="74"/>
        <v>720376.475</v>
      </c>
      <c r="AO338" s="5594">
        <v>45989</v>
      </c>
      <c r="AP338" s="5591">
        <f t="shared" si="75"/>
        <v>0</v>
      </c>
      <c r="AQ338" s="5641" t="s">
        <v>911</v>
      </c>
      <c r="AR338" s="5591"/>
      <c r="AS338" s="5643"/>
      <c r="AT338" s="5631"/>
      <c r="AU338" s="5591"/>
      <c r="AV338" s="5591"/>
      <c r="AW338" s="5591"/>
      <c r="AX338" s="5591"/>
      <c r="AY338" s="5591"/>
      <c r="AZ338" s="5591"/>
      <c r="BA338" s="5631"/>
      <c r="BB338" s="5591"/>
      <c r="BC338" s="5591"/>
      <c r="BD338" s="5631"/>
      <c r="BE338" s="5631"/>
      <c r="BF338" s="5631"/>
      <c r="BG338" s="5631"/>
      <c r="BH338" s="5594">
        <v>720376.475</v>
      </c>
      <c r="BI338" s="5591"/>
      <c r="BJ338" s="5591"/>
      <c r="BK338" s="5591"/>
      <c r="BL338" s="5591"/>
      <c r="BM338" s="5591"/>
      <c r="BN338" s="5591"/>
      <c r="BO338" s="5631"/>
      <c r="BP338" s="5631"/>
      <c r="BQ338" s="5631"/>
      <c r="BR338" s="5631"/>
      <c r="BS338" s="5631"/>
      <c r="BT338" s="5631"/>
      <c r="BU338" s="5631"/>
      <c r="BV338" s="5656">
        <v>720376.475</v>
      </c>
      <c r="BW338" s="5631"/>
      <c r="BX338" s="5631"/>
      <c r="BY338" s="5631"/>
      <c r="BZ338" s="5631"/>
      <c r="CA338" s="5631"/>
      <c r="CB338" s="5631"/>
      <c r="CC338" s="5530"/>
      <c r="CD338" s="5530"/>
      <c r="CE338" s="5039"/>
      <c r="CF338" s="5039"/>
      <c r="CG338" s="5039"/>
      <c r="CH338" s="5039"/>
    </row>
    <row r="339" s="4971" customFormat="1" ht="70.85" customHeight="1" spans="1:86">
      <c r="A339" s="3662"/>
      <c r="B339" s="5532"/>
      <c r="C339" s="5532"/>
      <c r="D339" s="5533"/>
      <c r="E339" s="5533"/>
      <c r="F339" s="5533"/>
      <c r="G339" s="5533"/>
      <c r="H339" s="5533"/>
      <c r="I339" s="5558"/>
      <c r="J339" s="5533"/>
      <c r="K339" s="5532"/>
      <c r="L339" s="5532"/>
      <c r="M339" s="5576"/>
      <c r="N339" s="5532"/>
      <c r="O339" s="5532"/>
      <c r="P339" s="5532"/>
      <c r="Q339" s="5532"/>
      <c r="R339" s="5532"/>
      <c r="S339" s="5532"/>
      <c r="T339" s="5532"/>
      <c r="U339" s="5532"/>
      <c r="V339" s="5532"/>
      <c r="W339" s="5532"/>
      <c r="X339" s="5532"/>
      <c r="Y339" s="5532"/>
      <c r="Z339" s="5532"/>
      <c r="AA339" s="5532"/>
      <c r="AB339" s="5532"/>
      <c r="AC339" s="5591">
        <v>3</v>
      </c>
      <c r="AD339" s="5592" t="s">
        <v>912</v>
      </c>
      <c r="AE339" s="5593">
        <v>0.15</v>
      </c>
      <c r="AF339" s="5591">
        <f>M337*AE339</f>
        <v>166240.725</v>
      </c>
      <c r="AG339" s="5591">
        <f t="shared" si="73"/>
        <v>0</v>
      </c>
      <c r="AH339" s="5591"/>
      <c r="AI339" s="5591"/>
      <c r="AJ339" s="5591"/>
      <c r="AK339" s="5631"/>
      <c r="AL339" s="5594"/>
      <c r="AM339" s="5591"/>
      <c r="AN339" s="5591">
        <f t="shared" si="74"/>
        <v>0</v>
      </c>
      <c r="AO339" s="5591"/>
      <c r="AP339" s="5591">
        <f t="shared" si="75"/>
        <v>0</v>
      </c>
      <c r="AQ339" s="5631"/>
      <c r="AR339" s="5591"/>
      <c r="AS339" s="5643"/>
      <c r="AT339" s="5631"/>
      <c r="AU339" s="5591"/>
      <c r="AV339" s="5591"/>
      <c r="AW339" s="5591"/>
      <c r="AX339" s="5591"/>
      <c r="AY339" s="5591"/>
      <c r="AZ339" s="5591"/>
      <c r="BA339" s="5631"/>
      <c r="BB339" s="5591"/>
      <c r="BC339" s="5591"/>
      <c r="BD339" s="5631"/>
      <c r="BE339" s="5631"/>
      <c r="BF339" s="5631"/>
      <c r="BG339" s="5631"/>
      <c r="BH339" s="5591"/>
      <c r="BI339" s="5591"/>
      <c r="BJ339" s="5591"/>
      <c r="BK339" s="5591"/>
      <c r="BL339" s="5591"/>
      <c r="BM339" s="5591"/>
      <c r="BN339" s="5591"/>
      <c r="BO339" s="5631"/>
      <c r="BP339" s="5631"/>
      <c r="BQ339" s="5631"/>
      <c r="BR339" s="5631"/>
      <c r="BS339" s="5631"/>
      <c r="BT339" s="5631"/>
      <c r="BU339" s="5631"/>
      <c r="BV339" s="5631"/>
      <c r="BW339" s="5631"/>
      <c r="BX339" s="5631"/>
      <c r="BY339" s="5631"/>
      <c r="BZ339" s="5631"/>
      <c r="CA339" s="5631"/>
      <c r="CB339" s="5631"/>
      <c r="CC339" s="5532"/>
      <c r="CD339" s="5532"/>
      <c r="CE339" s="5039"/>
      <c r="CF339" s="5039"/>
      <c r="CG339" s="5039"/>
      <c r="CH339" s="5039"/>
    </row>
    <row r="340" s="4977" customFormat="1" ht="70.85" customHeight="1" spans="1:86">
      <c r="A340" s="3684"/>
      <c r="B340" s="5534" t="s">
        <v>888</v>
      </c>
      <c r="C340" s="5535">
        <v>45180</v>
      </c>
      <c r="D340" s="5536" t="s">
        <v>913</v>
      </c>
      <c r="E340" s="5546"/>
      <c r="F340" s="5536" t="s">
        <v>914</v>
      </c>
      <c r="G340" s="5536" t="s">
        <v>915</v>
      </c>
      <c r="H340" s="5536" t="s">
        <v>906</v>
      </c>
      <c r="I340" s="5536"/>
      <c r="J340" s="5536" t="s">
        <v>893</v>
      </c>
      <c r="K340" s="5535">
        <v>151925</v>
      </c>
      <c r="L340" s="5535">
        <v>3.5</v>
      </c>
      <c r="M340" s="5577">
        <f>SUM(N340:AB343)</f>
        <v>531737.5</v>
      </c>
      <c r="N340" s="5578"/>
      <c r="O340" s="5578"/>
      <c r="P340" s="5578"/>
      <c r="Q340" s="5578"/>
      <c r="R340" s="5578"/>
      <c r="S340" s="5578"/>
      <c r="T340" s="5578"/>
      <c r="U340" s="5578">
        <v>531737.5</v>
      </c>
      <c r="V340" s="5578"/>
      <c r="W340" s="5578"/>
      <c r="X340" s="5578"/>
      <c r="Y340" s="5578"/>
      <c r="Z340" s="5578"/>
      <c r="AA340" s="5578"/>
      <c r="AB340" s="5578"/>
      <c r="AC340" s="5595">
        <v>1</v>
      </c>
      <c r="AD340" s="5596" t="s">
        <v>908</v>
      </c>
      <c r="AE340" s="5597">
        <v>0.2</v>
      </c>
      <c r="AF340" s="5595">
        <f>M340*AE340</f>
        <v>106347.5</v>
      </c>
      <c r="AG340" s="5600">
        <f t="shared" si="73"/>
        <v>106347.5</v>
      </c>
      <c r="AH340" s="5617" t="s">
        <v>122</v>
      </c>
      <c r="AI340" s="5595">
        <v>45215</v>
      </c>
      <c r="AJ340" s="5595">
        <v>106347.5</v>
      </c>
      <c r="AK340" s="5595">
        <v>45215</v>
      </c>
      <c r="AL340" s="5595">
        <v>106347.5</v>
      </c>
      <c r="AM340" s="5595">
        <v>45215</v>
      </c>
      <c r="AN340" s="5595">
        <f t="shared" si="74"/>
        <v>106347.5</v>
      </c>
      <c r="AO340" s="5595">
        <v>45226</v>
      </c>
      <c r="AP340" s="5595">
        <f t="shared" si="75"/>
        <v>0</v>
      </c>
      <c r="AQ340" s="5642"/>
      <c r="AR340" s="5595"/>
      <c r="AS340" s="5644"/>
      <c r="AT340" s="5642"/>
      <c r="AU340" s="5595"/>
      <c r="AV340" s="5595"/>
      <c r="AW340" s="5595"/>
      <c r="AX340" s="5595"/>
      <c r="AY340" s="5595"/>
      <c r="AZ340" s="5595"/>
      <c r="BA340" s="5642"/>
      <c r="BB340" s="5595"/>
      <c r="BC340" s="5595"/>
      <c r="BD340" s="5642"/>
      <c r="BE340" s="5642"/>
      <c r="BF340" s="5642"/>
      <c r="BG340" s="5642"/>
      <c r="BH340" s="5595">
        <v>106347.5</v>
      </c>
      <c r="BI340" s="5595"/>
      <c r="BJ340" s="5595"/>
      <c r="BK340" s="5595"/>
      <c r="BL340" s="5595"/>
      <c r="BM340" s="5595"/>
      <c r="BN340" s="5595"/>
      <c r="BO340" s="5642"/>
      <c r="BP340" s="5642"/>
      <c r="BQ340" s="5642"/>
      <c r="BR340" s="5642"/>
      <c r="BS340" s="5642"/>
      <c r="BT340" s="5642"/>
      <c r="BU340" s="5642"/>
      <c r="BV340" s="5595">
        <v>106347.5</v>
      </c>
      <c r="BW340" s="5642"/>
      <c r="BX340" s="5642"/>
      <c r="BY340" s="5642"/>
      <c r="BZ340" s="5642"/>
      <c r="CA340" s="5642"/>
      <c r="CB340" s="5642"/>
      <c r="CC340" s="5595"/>
      <c r="CD340" s="5595"/>
      <c r="CE340" s="5040"/>
      <c r="CF340" s="5040"/>
      <c r="CG340" s="5040"/>
      <c r="CH340" s="5040"/>
    </row>
    <row r="341" s="4971" customFormat="1" ht="107" spans="1:86">
      <c r="A341" s="3662"/>
      <c r="B341" s="5537"/>
      <c r="C341" s="5537"/>
      <c r="D341" s="5538"/>
      <c r="E341" s="5538"/>
      <c r="F341" s="5538"/>
      <c r="G341" s="5538"/>
      <c r="H341" s="5538"/>
      <c r="I341" s="5559"/>
      <c r="J341" s="5538"/>
      <c r="K341" s="5537"/>
      <c r="L341" s="5537"/>
      <c r="M341" s="5579"/>
      <c r="N341" s="5537"/>
      <c r="O341" s="5537"/>
      <c r="P341" s="5537"/>
      <c r="Q341" s="5537"/>
      <c r="R341" s="5537"/>
      <c r="S341" s="5537"/>
      <c r="T341" s="5537"/>
      <c r="U341" s="5537"/>
      <c r="V341" s="5537"/>
      <c r="W341" s="5537"/>
      <c r="X341" s="5537"/>
      <c r="Y341" s="5537"/>
      <c r="Z341" s="5537"/>
      <c r="AA341" s="5537"/>
      <c r="AB341" s="5537"/>
      <c r="AC341" s="5578">
        <v>2</v>
      </c>
      <c r="AD341" s="5596" t="s">
        <v>916</v>
      </c>
      <c r="AE341" s="5598">
        <v>0.65</v>
      </c>
      <c r="AF341" s="5535">
        <f>M340*AE341</f>
        <v>345629.375</v>
      </c>
      <c r="AG341" s="5600">
        <f t="shared" si="73"/>
        <v>215185.43</v>
      </c>
      <c r="AH341" s="5617" t="s">
        <v>122</v>
      </c>
      <c r="AI341" s="5595">
        <v>45282</v>
      </c>
      <c r="AJ341" s="5600">
        <v>215185.43</v>
      </c>
      <c r="AK341" s="5600">
        <v>45282</v>
      </c>
      <c r="AL341" s="5595"/>
      <c r="AM341" s="5600"/>
      <c r="AN341" s="5600">
        <f t="shared" si="74"/>
        <v>215185.43</v>
      </c>
      <c r="AO341" s="5600"/>
      <c r="AP341" s="5600">
        <f t="shared" si="75"/>
        <v>0</v>
      </c>
      <c r="AQ341" s="5632"/>
      <c r="AR341" s="5600"/>
      <c r="AS341" s="5645"/>
      <c r="AT341" s="5632"/>
      <c r="AU341" s="5600"/>
      <c r="AV341" s="5600"/>
      <c r="AW341" s="5600"/>
      <c r="AX341" s="5600"/>
      <c r="AY341" s="5600"/>
      <c r="AZ341" s="5600"/>
      <c r="BA341" s="5632"/>
      <c r="BB341" s="5600"/>
      <c r="BC341" s="5600"/>
      <c r="BD341" s="5632"/>
      <c r="BE341" s="5632"/>
      <c r="BF341" s="5632"/>
      <c r="BG341" s="5632"/>
      <c r="BH341" s="5595">
        <v>215185.43</v>
      </c>
      <c r="BI341" s="5600"/>
      <c r="BJ341" s="5600"/>
      <c r="BK341" s="5600"/>
      <c r="BL341" s="5600"/>
      <c r="BM341" s="5600"/>
      <c r="BN341" s="5600"/>
      <c r="BO341" s="5632"/>
      <c r="BP341" s="5632"/>
      <c r="BQ341" s="5632"/>
      <c r="BR341" s="5632"/>
      <c r="BS341" s="5632"/>
      <c r="BT341" s="5632"/>
      <c r="BU341" s="5632"/>
      <c r="BV341" s="5657">
        <v>215185.43</v>
      </c>
      <c r="BW341" s="5632"/>
      <c r="BX341" s="5632"/>
      <c r="BY341" s="5632"/>
      <c r="BZ341" s="5632"/>
      <c r="CA341" s="5632"/>
      <c r="CB341" s="5632"/>
      <c r="CC341" s="5600"/>
      <c r="CD341" s="5600"/>
      <c r="CE341" s="5039"/>
      <c r="CF341" s="5039"/>
      <c r="CG341" s="5039"/>
      <c r="CH341" s="5039"/>
    </row>
    <row r="342" s="4977" customFormat="1" ht="107" spans="1:86">
      <c r="A342" s="3684"/>
      <c r="B342" s="5539"/>
      <c r="C342" s="5539"/>
      <c r="D342" s="5540"/>
      <c r="E342" s="5538"/>
      <c r="F342" s="5540"/>
      <c r="G342" s="5540"/>
      <c r="H342" s="5540"/>
      <c r="I342" s="5559"/>
      <c r="J342" s="5540"/>
      <c r="K342" s="5539"/>
      <c r="L342" s="5539"/>
      <c r="M342" s="5580"/>
      <c r="N342" s="5537"/>
      <c r="O342" s="5537"/>
      <c r="P342" s="5537"/>
      <c r="Q342" s="5537"/>
      <c r="R342" s="5537"/>
      <c r="S342" s="5537"/>
      <c r="T342" s="5537"/>
      <c r="U342" s="5537"/>
      <c r="V342" s="5537"/>
      <c r="W342" s="5537"/>
      <c r="X342" s="5537"/>
      <c r="Y342" s="5537"/>
      <c r="Z342" s="5537"/>
      <c r="AA342" s="5537"/>
      <c r="AB342" s="5537"/>
      <c r="AC342" s="5599"/>
      <c r="AD342" s="5596" t="s">
        <v>917</v>
      </c>
      <c r="AE342" s="5597"/>
      <c r="AF342" s="5599"/>
      <c r="AG342" s="5595">
        <f t="shared" si="73"/>
        <v>130443.95</v>
      </c>
      <c r="AH342" s="5617" t="s">
        <v>122</v>
      </c>
      <c r="AI342" s="5595">
        <v>45653</v>
      </c>
      <c r="AJ342" s="5595">
        <v>130443.95</v>
      </c>
      <c r="AK342" s="5595">
        <v>45653</v>
      </c>
      <c r="AL342" s="5595"/>
      <c r="AM342" s="5595"/>
      <c r="AN342" s="5595"/>
      <c r="AO342" s="5595"/>
      <c r="AP342" s="5595"/>
      <c r="AQ342" s="5642"/>
      <c r="AR342" s="5595"/>
      <c r="AS342" s="5644"/>
      <c r="AT342" s="5642"/>
      <c r="AU342" s="5600"/>
      <c r="AV342" s="5600"/>
      <c r="AW342" s="5600"/>
      <c r="AX342" s="5600"/>
      <c r="AY342" s="5600"/>
      <c r="AZ342" s="5600"/>
      <c r="BA342" s="5642"/>
      <c r="BB342" s="5595"/>
      <c r="BC342" s="5595"/>
      <c r="BD342" s="5642"/>
      <c r="BE342" s="5642"/>
      <c r="BF342" s="5642"/>
      <c r="BG342" s="5642"/>
      <c r="BH342" s="5650">
        <v>130443.95</v>
      </c>
      <c r="BI342" s="5595"/>
      <c r="BJ342" s="5595"/>
      <c r="BK342" s="5595"/>
      <c r="BL342" s="5595"/>
      <c r="BM342" s="5595"/>
      <c r="BN342" s="5595"/>
      <c r="BO342" s="5642"/>
      <c r="BP342" s="5642"/>
      <c r="BQ342" s="5642"/>
      <c r="BR342" s="5642"/>
      <c r="BS342" s="5642"/>
      <c r="BT342" s="5642"/>
      <c r="BU342" s="5642"/>
      <c r="BV342" s="5595">
        <v>130443.95</v>
      </c>
      <c r="BW342" s="5642"/>
      <c r="BX342" s="5642"/>
      <c r="BY342" s="5642"/>
      <c r="BZ342" s="5642"/>
      <c r="CA342" s="5642"/>
      <c r="CB342" s="5642"/>
      <c r="CC342" s="5595"/>
      <c r="CD342" s="5595"/>
      <c r="CE342" s="5040"/>
      <c r="CF342" s="5040"/>
      <c r="CG342" s="5040"/>
      <c r="CH342" s="5040"/>
    </row>
    <row r="343" s="4971" customFormat="1" ht="70.85" customHeight="1" spans="1:86">
      <c r="A343" s="3662"/>
      <c r="B343" s="5541"/>
      <c r="C343" s="5541"/>
      <c r="D343" s="5542"/>
      <c r="E343" s="5542"/>
      <c r="F343" s="5542"/>
      <c r="G343" s="5542"/>
      <c r="H343" s="5542"/>
      <c r="I343" s="5560"/>
      <c r="J343" s="5542"/>
      <c r="K343" s="5541"/>
      <c r="L343" s="5541"/>
      <c r="M343" s="5581"/>
      <c r="N343" s="5541"/>
      <c r="O343" s="5541"/>
      <c r="P343" s="5541"/>
      <c r="Q343" s="5541"/>
      <c r="R343" s="5541"/>
      <c r="S343" s="5541"/>
      <c r="T343" s="5541"/>
      <c r="U343" s="5541"/>
      <c r="V343" s="5541"/>
      <c r="W343" s="5541"/>
      <c r="X343" s="5541"/>
      <c r="Y343" s="5541"/>
      <c r="Z343" s="5541"/>
      <c r="AA343" s="5541"/>
      <c r="AB343" s="5541"/>
      <c r="AC343" s="5600">
        <v>3</v>
      </c>
      <c r="AD343" s="5596" t="s">
        <v>912</v>
      </c>
      <c r="AE343" s="5598">
        <v>0.15</v>
      </c>
      <c r="AF343" s="5600">
        <f>M340*AE343</f>
        <v>79760.625</v>
      </c>
      <c r="AG343" s="5600">
        <f t="shared" si="73"/>
        <v>0</v>
      </c>
      <c r="AH343" s="5600"/>
      <c r="AI343" s="5600"/>
      <c r="AJ343" s="5600"/>
      <c r="AK343" s="5632"/>
      <c r="AL343" s="5595"/>
      <c r="AM343" s="5600"/>
      <c r="AN343" s="5600">
        <f t="shared" ref="AN343:AN363" si="76">SUM(BO343:CB343)</f>
        <v>0</v>
      </c>
      <c r="AO343" s="5600"/>
      <c r="AP343" s="5600">
        <f>AG343-AN343</f>
        <v>0</v>
      </c>
      <c r="AQ343" s="5632"/>
      <c r="AR343" s="5600"/>
      <c r="AS343" s="5645"/>
      <c r="AT343" s="5632"/>
      <c r="AU343" s="5600"/>
      <c r="AV343" s="5600"/>
      <c r="AW343" s="5600"/>
      <c r="AX343" s="5600"/>
      <c r="AY343" s="5600"/>
      <c r="AZ343" s="5600"/>
      <c r="BA343" s="5632"/>
      <c r="BB343" s="5600"/>
      <c r="BC343" s="5600"/>
      <c r="BD343" s="5632"/>
      <c r="BE343" s="5632"/>
      <c r="BF343" s="5632"/>
      <c r="BG343" s="5632"/>
      <c r="BH343" s="5600"/>
      <c r="BI343" s="5600"/>
      <c r="BJ343" s="5600"/>
      <c r="BK343" s="5600"/>
      <c r="BL343" s="5600"/>
      <c r="BM343" s="5600"/>
      <c r="BN343" s="5600"/>
      <c r="BO343" s="5632"/>
      <c r="BP343" s="5632"/>
      <c r="BQ343" s="5632"/>
      <c r="BR343" s="5632"/>
      <c r="BS343" s="5632"/>
      <c r="BT343" s="5632"/>
      <c r="BU343" s="5632"/>
      <c r="BV343" s="5632"/>
      <c r="BW343" s="5632"/>
      <c r="BX343" s="5632"/>
      <c r="BY343" s="5632"/>
      <c r="BZ343" s="5632"/>
      <c r="CA343" s="5632"/>
      <c r="CB343" s="5632"/>
      <c r="CC343" s="5600"/>
      <c r="CD343" s="5600"/>
      <c r="CE343" s="5039"/>
      <c r="CF343" s="5039"/>
      <c r="CG343" s="5039"/>
      <c r="CH343" s="5039"/>
    </row>
    <row r="344" s="4971" customFormat="1" ht="61" spans="1:86">
      <c r="A344" s="3662"/>
      <c r="B344" s="857" t="s">
        <v>888</v>
      </c>
      <c r="C344" s="3524">
        <v>45258</v>
      </c>
      <c r="D344" s="5073" t="s">
        <v>918</v>
      </c>
      <c r="E344" s="3740"/>
      <c r="F344" s="5547" t="s">
        <v>919</v>
      </c>
      <c r="G344" s="5547" t="s">
        <v>920</v>
      </c>
      <c r="H344" s="5547" t="s">
        <v>338</v>
      </c>
      <c r="I344" s="5547"/>
      <c r="J344" s="5547" t="s">
        <v>921</v>
      </c>
      <c r="K344" s="5561">
        <v>72766.63</v>
      </c>
      <c r="L344" s="5561"/>
      <c r="M344" s="5561">
        <f>SUM(N344:AA349)</f>
        <v>2899042.66</v>
      </c>
      <c r="N344" s="5561"/>
      <c r="O344" s="5561"/>
      <c r="P344" s="5561">
        <v>568179.66</v>
      </c>
      <c r="Q344" s="5561"/>
      <c r="R344" s="5561"/>
      <c r="S344" s="5561"/>
      <c r="T344" s="5561"/>
      <c r="U344" s="5561"/>
      <c r="V344" s="5561"/>
      <c r="W344" s="5561"/>
      <c r="X344" s="5561"/>
      <c r="Y344" s="5561"/>
      <c r="Z344" s="5561"/>
      <c r="AA344" s="5561">
        <v>2330863</v>
      </c>
      <c r="AB344" s="5582" t="s">
        <v>126</v>
      </c>
      <c r="AC344" s="2973">
        <v>1</v>
      </c>
      <c r="AD344" s="5601" t="s">
        <v>922</v>
      </c>
      <c r="AE344" s="5586">
        <v>0.15</v>
      </c>
      <c r="AF344" s="2973">
        <f>M344*AE344</f>
        <v>434856.399</v>
      </c>
      <c r="AG344" s="5588">
        <f t="shared" si="73"/>
        <v>434856.4</v>
      </c>
      <c r="AH344" s="5613" t="s">
        <v>122</v>
      </c>
      <c r="AI344" s="5588">
        <v>45288</v>
      </c>
      <c r="AJ344" s="5588">
        <v>434856.4</v>
      </c>
      <c r="AK344" s="5588">
        <v>45288</v>
      </c>
      <c r="AL344" s="5588">
        <v>434856.4</v>
      </c>
      <c r="AM344" s="2973">
        <v>45357</v>
      </c>
      <c r="AN344" s="2973">
        <f t="shared" si="76"/>
        <v>434856.4</v>
      </c>
      <c r="AO344" s="2973">
        <v>45369</v>
      </c>
      <c r="AP344" s="2973">
        <f>AG344-AN344</f>
        <v>0</v>
      </c>
      <c r="AQ344" s="5614"/>
      <c r="AR344" s="2973"/>
      <c r="AS344" s="5635"/>
      <c r="AT344" s="5614"/>
      <c r="AU344" s="3662"/>
      <c r="AV344" s="3662"/>
      <c r="AW344" s="3662"/>
      <c r="AX344" s="3662"/>
      <c r="AY344" s="3662"/>
      <c r="AZ344" s="3662"/>
      <c r="BA344" s="5614"/>
      <c r="BB344" s="2973"/>
      <c r="BC344" s="2973">
        <v>113635.93</v>
      </c>
      <c r="BD344" s="5614"/>
      <c r="BE344" s="5614"/>
      <c r="BF344" s="5614"/>
      <c r="BG344" s="5614"/>
      <c r="BH344" s="2973"/>
      <c r="BI344" s="2973"/>
      <c r="BJ344" s="2973"/>
      <c r="BK344" s="2973"/>
      <c r="BL344" s="2973"/>
      <c r="BM344" s="2973"/>
      <c r="BN344" s="2973">
        <v>321220.47</v>
      </c>
      <c r="BO344" s="5614"/>
      <c r="BP344" s="5614"/>
      <c r="BQ344" s="2973">
        <v>113635.93</v>
      </c>
      <c r="BR344" s="5614"/>
      <c r="BS344" s="5614"/>
      <c r="BT344" s="5614"/>
      <c r="BU344" s="5614"/>
      <c r="BV344" s="2973"/>
      <c r="BW344" s="2973"/>
      <c r="BX344" s="2973"/>
      <c r="BY344" s="2973"/>
      <c r="BZ344" s="2973"/>
      <c r="CA344" s="2973"/>
      <c r="CB344" s="2973">
        <v>321220.47</v>
      </c>
      <c r="CC344" s="2973"/>
      <c r="CD344" s="2973"/>
      <c r="CE344" s="5039"/>
      <c r="CF344" s="5039"/>
      <c r="CG344" s="5039"/>
      <c r="CH344" s="5039"/>
    </row>
    <row r="345" s="4971" customFormat="1" ht="76" spans="1:86">
      <c r="A345" s="3662"/>
      <c r="B345" s="3524"/>
      <c r="C345" s="3524"/>
      <c r="D345" s="3669"/>
      <c r="E345" s="3669"/>
      <c r="F345" s="5548"/>
      <c r="G345" s="5548"/>
      <c r="H345" s="5548"/>
      <c r="I345" s="5562"/>
      <c r="J345" s="5548"/>
      <c r="K345" s="5563"/>
      <c r="L345" s="5563"/>
      <c r="M345" s="5563"/>
      <c r="N345" s="5563"/>
      <c r="O345" s="5563"/>
      <c r="P345" s="5563"/>
      <c r="Q345" s="5563"/>
      <c r="R345" s="5563"/>
      <c r="S345" s="5563"/>
      <c r="T345" s="5563"/>
      <c r="U345" s="5563"/>
      <c r="V345" s="5563"/>
      <c r="W345" s="5563"/>
      <c r="X345" s="5563"/>
      <c r="Y345" s="5563"/>
      <c r="Z345" s="5563"/>
      <c r="AA345" s="5563"/>
      <c r="AB345" s="5563"/>
      <c r="AC345" s="2973">
        <v>2</v>
      </c>
      <c r="AD345" s="5601" t="s">
        <v>923</v>
      </c>
      <c r="AE345" s="5586">
        <v>0.25</v>
      </c>
      <c r="AF345" s="2973">
        <f>M344*AE345</f>
        <v>724760.665</v>
      </c>
      <c r="AG345" s="2973">
        <f t="shared" si="73"/>
        <v>724760.66</v>
      </c>
      <c r="AH345" s="5613" t="s">
        <v>122</v>
      </c>
      <c r="AI345" s="2973">
        <v>45288</v>
      </c>
      <c r="AJ345" s="2973">
        <v>724760.66</v>
      </c>
      <c r="AK345" s="2973">
        <v>45288</v>
      </c>
      <c r="AL345" s="2973">
        <v>724760.67</v>
      </c>
      <c r="AM345" s="2973">
        <v>45357</v>
      </c>
      <c r="AN345" s="2973">
        <f t="shared" si="76"/>
        <v>724760.66</v>
      </c>
      <c r="AO345" s="2973">
        <v>45369</v>
      </c>
      <c r="AP345" s="2973">
        <f t="shared" ref="AP345:AP359" si="77">AG345-AN345</f>
        <v>0</v>
      </c>
      <c r="AQ345" s="5614"/>
      <c r="AR345" s="2973"/>
      <c r="AS345" s="5635"/>
      <c r="AT345" s="5614"/>
      <c r="AU345" s="3662"/>
      <c r="AV345" s="3662"/>
      <c r="AW345" s="3662"/>
      <c r="AX345" s="3662"/>
      <c r="AY345" s="3662"/>
      <c r="AZ345" s="3662"/>
      <c r="BA345" s="5614"/>
      <c r="BB345" s="2973"/>
      <c r="BC345" s="2973"/>
      <c r="BD345" s="5614"/>
      <c r="BE345" s="5614"/>
      <c r="BF345" s="5614"/>
      <c r="BG345" s="5614"/>
      <c r="BH345" s="2973"/>
      <c r="BI345" s="2973"/>
      <c r="BJ345" s="2973"/>
      <c r="BK345" s="2973"/>
      <c r="BL345" s="2973"/>
      <c r="BM345" s="2973"/>
      <c r="BN345" s="2973">
        <v>724760.66</v>
      </c>
      <c r="BO345" s="5614"/>
      <c r="BP345" s="5614"/>
      <c r="BQ345" s="2973"/>
      <c r="BR345" s="5614"/>
      <c r="BS345" s="5614"/>
      <c r="BT345" s="5614"/>
      <c r="BU345" s="5614"/>
      <c r="BV345" s="2973"/>
      <c r="BW345" s="2973"/>
      <c r="BX345" s="2973"/>
      <c r="BY345" s="2973"/>
      <c r="BZ345" s="2973"/>
      <c r="CA345" s="2973"/>
      <c r="CB345" s="2973">
        <v>724760.66</v>
      </c>
      <c r="CC345" s="2973"/>
      <c r="CD345" s="2973"/>
      <c r="CE345" s="5039"/>
      <c r="CF345" s="5039"/>
      <c r="CG345" s="5039"/>
      <c r="CH345" s="5039"/>
    </row>
    <row r="346" s="4971" customFormat="1" ht="76" spans="1:86">
      <c r="A346" s="3662"/>
      <c r="B346" s="3524"/>
      <c r="C346" s="3524"/>
      <c r="D346" s="3669"/>
      <c r="E346" s="3669"/>
      <c r="F346" s="5548"/>
      <c r="G346" s="5548"/>
      <c r="H346" s="5548"/>
      <c r="I346" s="5562"/>
      <c r="J346" s="5548"/>
      <c r="K346" s="5563"/>
      <c r="L346" s="5563"/>
      <c r="M346" s="5563"/>
      <c r="N346" s="5563"/>
      <c r="O346" s="5563"/>
      <c r="P346" s="5563"/>
      <c r="Q346" s="5563"/>
      <c r="R346" s="5563"/>
      <c r="S346" s="5563"/>
      <c r="T346" s="5563"/>
      <c r="U346" s="5563"/>
      <c r="V346" s="5563"/>
      <c r="W346" s="5563"/>
      <c r="X346" s="5563"/>
      <c r="Y346" s="5563"/>
      <c r="Z346" s="5563"/>
      <c r="AA346" s="5563"/>
      <c r="AB346" s="5563"/>
      <c r="AC346" s="2973">
        <v>3</v>
      </c>
      <c r="AD346" s="5601" t="s">
        <v>924</v>
      </c>
      <c r="AE346" s="5586">
        <v>0.15</v>
      </c>
      <c r="AF346" s="2973">
        <f>M344*AE346</f>
        <v>434856.399</v>
      </c>
      <c r="AG346" s="5588">
        <f t="shared" si="73"/>
        <v>434856.399</v>
      </c>
      <c r="AH346" s="5613" t="s">
        <v>122</v>
      </c>
      <c r="AI346" s="5588">
        <v>45849</v>
      </c>
      <c r="AJ346" s="2973">
        <v>434856.399</v>
      </c>
      <c r="AK346" s="2973">
        <v>45849</v>
      </c>
      <c r="AL346" s="5588">
        <v>434856.399</v>
      </c>
      <c r="AM346" s="2973">
        <v>45852</v>
      </c>
      <c r="AN346" s="5618">
        <f t="shared" si="76"/>
        <v>434856.399</v>
      </c>
      <c r="AO346" s="5618">
        <v>46052</v>
      </c>
      <c r="AP346" s="2973">
        <f t="shared" si="77"/>
        <v>0</v>
      </c>
      <c r="AQ346" s="5614"/>
      <c r="AR346" s="2973"/>
      <c r="AS346" s="5635"/>
      <c r="AT346" s="5614"/>
      <c r="AU346" s="3662"/>
      <c r="AV346" s="3662"/>
      <c r="AW346" s="3662"/>
      <c r="AX346" s="3662"/>
      <c r="AY346" s="3662"/>
      <c r="AZ346" s="3662"/>
      <c r="BA346" s="5614"/>
      <c r="BB346" s="2973"/>
      <c r="BC346" s="2973">
        <v>112918.11</v>
      </c>
      <c r="BD346" s="5614"/>
      <c r="BE346" s="5614"/>
      <c r="BF346" s="5614"/>
      <c r="BG346" s="5614"/>
      <c r="BH346" s="2973"/>
      <c r="BI346" s="2973"/>
      <c r="BJ346" s="2973"/>
      <c r="BK346" s="2973"/>
      <c r="BL346" s="2973"/>
      <c r="BM346" s="2973"/>
      <c r="BN346" s="2973">
        <v>321938.289</v>
      </c>
      <c r="BO346" s="5614"/>
      <c r="BP346" s="5614"/>
      <c r="BQ346" s="2973">
        <v>112918.11</v>
      </c>
      <c r="BR346" s="5614"/>
      <c r="BS346" s="5614"/>
      <c r="BT346" s="5614"/>
      <c r="BU346" s="5614"/>
      <c r="BV346" s="2973"/>
      <c r="BW346" s="2973"/>
      <c r="BX346" s="2973"/>
      <c r="BY346" s="2973"/>
      <c r="BZ346" s="2973"/>
      <c r="CA346" s="2973"/>
      <c r="CB346" s="2973">
        <v>321938.289</v>
      </c>
      <c r="CC346" s="2973"/>
      <c r="CD346" s="2973"/>
      <c r="CE346" s="5039"/>
      <c r="CF346" s="5039"/>
      <c r="CG346" s="5039"/>
      <c r="CH346" s="5039"/>
    </row>
    <row r="347" s="4971" customFormat="1" ht="92" spans="1:86">
      <c r="A347" s="3662"/>
      <c r="B347" s="3524"/>
      <c r="C347" s="3524"/>
      <c r="D347" s="3669"/>
      <c r="E347" s="3669"/>
      <c r="F347" s="5548"/>
      <c r="G347" s="5548"/>
      <c r="H347" s="5548"/>
      <c r="I347" s="5562"/>
      <c r="J347" s="5548"/>
      <c r="K347" s="5563"/>
      <c r="L347" s="5563"/>
      <c r="M347" s="5563"/>
      <c r="N347" s="5563"/>
      <c r="O347" s="5563"/>
      <c r="P347" s="5563"/>
      <c r="Q347" s="5563"/>
      <c r="R347" s="5563"/>
      <c r="S347" s="5563"/>
      <c r="T347" s="5563"/>
      <c r="U347" s="5563"/>
      <c r="V347" s="5563"/>
      <c r="W347" s="5563"/>
      <c r="X347" s="5563"/>
      <c r="Y347" s="5563"/>
      <c r="Z347" s="5563"/>
      <c r="AA347" s="5563"/>
      <c r="AB347" s="5563"/>
      <c r="AC347" s="2973">
        <v>4</v>
      </c>
      <c r="AD347" s="5601" t="s">
        <v>925</v>
      </c>
      <c r="AE347" s="5586">
        <v>0.2</v>
      </c>
      <c r="AF347" s="2973">
        <f>M344*AE347</f>
        <v>579808.532</v>
      </c>
      <c r="AG347" s="5618">
        <f t="shared" si="73"/>
        <v>579808.532</v>
      </c>
      <c r="AH347" s="5619" t="s">
        <v>349</v>
      </c>
      <c r="AI347" s="5619">
        <v>46172</v>
      </c>
      <c r="AJ347" s="2973"/>
      <c r="AK347" s="5614"/>
      <c r="AL347" s="5588"/>
      <c r="AM347" s="2973"/>
      <c r="AN347" s="5618">
        <f t="shared" si="76"/>
        <v>579808.532</v>
      </c>
      <c r="AO347" s="5619">
        <v>46203</v>
      </c>
      <c r="AP347" s="2973">
        <f t="shared" si="77"/>
        <v>0</v>
      </c>
      <c r="AQ347" s="5614"/>
      <c r="AR347" s="2973"/>
      <c r="AS347" s="5635"/>
      <c r="AT347" s="5614"/>
      <c r="AU347" s="3662"/>
      <c r="AV347" s="3662"/>
      <c r="AW347" s="3662"/>
      <c r="AX347" s="3662"/>
      <c r="AY347" s="3662"/>
      <c r="AZ347" s="3662"/>
      <c r="BA347" s="5614"/>
      <c r="BB347" s="2973"/>
      <c r="BC347" s="2973">
        <v>150557.48</v>
      </c>
      <c r="BD347" s="5614"/>
      <c r="BE347" s="5614"/>
      <c r="BF347" s="5614"/>
      <c r="BG347" s="5614"/>
      <c r="BH347" s="2973"/>
      <c r="BI347" s="2973"/>
      <c r="BJ347" s="2973"/>
      <c r="BK347" s="2973"/>
      <c r="BL347" s="2973"/>
      <c r="BM347" s="2973"/>
      <c r="BN347" s="2973">
        <v>429251.052</v>
      </c>
      <c r="BO347" s="5614"/>
      <c r="BP347" s="5614"/>
      <c r="BQ347" s="2973">
        <v>150557.48</v>
      </c>
      <c r="BR347" s="5614"/>
      <c r="BS347" s="5614"/>
      <c r="BT347" s="5614"/>
      <c r="BU347" s="5614"/>
      <c r="BV347" s="2973"/>
      <c r="BW347" s="2973"/>
      <c r="BX347" s="2973"/>
      <c r="BY347" s="2973"/>
      <c r="BZ347" s="2973"/>
      <c r="CA347" s="2973"/>
      <c r="CB347" s="2973">
        <v>429251.052</v>
      </c>
      <c r="CC347" s="2973"/>
      <c r="CD347" s="2973"/>
      <c r="CE347" s="5039"/>
      <c r="CF347" s="5039"/>
      <c r="CG347" s="5039"/>
      <c r="CH347" s="5039"/>
    </row>
    <row r="348" s="4971" customFormat="1" ht="76" spans="1:86">
      <c r="A348" s="3662"/>
      <c r="B348" s="3524"/>
      <c r="C348" s="3524"/>
      <c r="D348" s="3669"/>
      <c r="E348" s="3669"/>
      <c r="F348" s="5548"/>
      <c r="G348" s="5548"/>
      <c r="H348" s="5548"/>
      <c r="I348" s="5562"/>
      <c r="J348" s="5548"/>
      <c r="K348" s="5563"/>
      <c r="L348" s="5563"/>
      <c r="M348" s="5563"/>
      <c r="N348" s="5563"/>
      <c r="O348" s="5563"/>
      <c r="P348" s="5563"/>
      <c r="Q348" s="5563"/>
      <c r="R348" s="5563"/>
      <c r="S348" s="5563"/>
      <c r="T348" s="5563"/>
      <c r="U348" s="5563"/>
      <c r="V348" s="5563"/>
      <c r="W348" s="5563"/>
      <c r="X348" s="5563"/>
      <c r="Y348" s="5563"/>
      <c r="Z348" s="5563"/>
      <c r="AA348" s="5563"/>
      <c r="AB348" s="5563"/>
      <c r="AC348" s="2973">
        <v>5</v>
      </c>
      <c r="AD348" s="5601" t="s">
        <v>926</v>
      </c>
      <c r="AE348" s="5586">
        <v>0.15</v>
      </c>
      <c r="AF348" s="2973">
        <f>M344*AE348</f>
        <v>434856.399</v>
      </c>
      <c r="AG348" s="5618">
        <f t="shared" si="73"/>
        <v>434856.399</v>
      </c>
      <c r="AH348" s="5619" t="s">
        <v>349</v>
      </c>
      <c r="AI348" s="5618"/>
      <c r="AJ348" s="2973"/>
      <c r="AK348" s="5614"/>
      <c r="AL348" s="5588"/>
      <c r="AM348" s="2973"/>
      <c r="AN348" s="5618">
        <f t="shared" si="76"/>
        <v>434856.399</v>
      </c>
      <c r="AO348" s="5618"/>
      <c r="AP348" s="2973">
        <f t="shared" si="77"/>
        <v>0</v>
      </c>
      <c r="AQ348" s="5614"/>
      <c r="AR348" s="2973"/>
      <c r="AS348" s="5635"/>
      <c r="AT348" s="5614"/>
      <c r="AU348" s="3662"/>
      <c r="AV348" s="3662"/>
      <c r="AW348" s="3662"/>
      <c r="AX348" s="3662"/>
      <c r="AY348" s="3662"/>
      <c r="AZ348" s="3662"/>
      <c r="BA348" s="5614"/>
      <c r="BB348" s="2973"/>
      <c r="BC348" s="2973">
        <v>112918.1</v>
      </c>
      <c r="BD348" s="5614"/>
      <c r="BE348" s="5614"/>
      <c r="BF348" s="5614"/>
      <c r="BG348" s="5614"/>
      <c r="BH348" s="2973"/>
      <c r="BI348" s="2973"/>
      <c r="BJ348" s="2973"/>
      <c r="BK348" s="2973"/>
      <c r="BL348" s="2973"/>
      <c r="BM348" s="2973"/>
      <c r="BN348" s="2973">
        <v>321938.299</v>
      </c>
      <c r="BO348" s="5614"/>
      <c r="BP348" s="5614"/>
      <c r="BQ348" s="2973">
        <v>112918.1</v>
      </c>
      <c r="BR348" s="5614"/>
      <c r="BS348" s="5614"/>
      <c r="BT348" s="5614"/>
      <c r="BU348" s="5614"/>
      <c r="BV348" s="2973"/>
      <c r="BW348" s="2973"/>
      <c r="BX348" s="2973"/>
      <c r="BY348" s="2973"/>
      <c r="BZ348" s="2973"/>
      <c r="CA348" s="2973"/>
      <c r="CB348" s="2973">
        <v>321938.299</v>
      </c>
      <c r="CC348" s="2973"/>
      <c r="CD348" s="2973"/>
      <c r="CE348" s="5039"/>
      <c r="CF348" s="5039"/>
      <c r="CG348" s="5039"/>
      <c r="CH348" s="5039"/>
    </row>
    <row r="349" s="4971" customFormat="1" ht="61" spans="1:86">
      <c r="A349" s="3662"/>
      <c r="B349" s="3524"/>
      <c r="C349" s="3524"/>
      <c r="D349" s="3669"/>
      <c r="E349" s="3669"/>
      <c r="F349" s="5549"/>
      <c r="G349" s="5549"/>
      <c r="H349" s="5549"/>
      <c r="I349" s="5564"/>
      <c r="J349" s="5549"/>
      <c r="K349" s="5565"/>
      <c r="L349" s="5565"/>
      <c r="M349" s="5565"/>
      <c r="N349" s="5565"/>
      <c r="O349" s="5565"/>
      <c r="P349" s="5565"/>
      <c r="Q349" s="5565"/>
      <c r="R349" s="5565"/>
      <c r="S349" s="5565"/>
      <c r="T349" s="5565"/>
      <c r="U349" s="5565"/>
      <c r="V349" s="5565"/>
      <c r="W349" s="5565"/>
      <c r="X349" s="5565"/>
      <c r="Y349" s="5565"/>
      <c r="Z349" s="5565"/>
      <c r="AA349" s="5565"/>
      <c r="AB349" s="5565"/>
      <c r="AC349" s="2973">
        <v>6</v>
      </c>
      <c r="AD349" s="5601" t="s">
        <v>927</v>
      </c>
      <c r="AE349" s="5586">
        <v>0.1</v>
      </c>
      <c r="AF349" s="2973">
        <f>M344*AE349</f>
        <v>289904.266</v>
      </c>
      <c r="AG349" s="5618">
        <f t="shared" si="73"/>
        <v>289904.27</v>
      </c>
      <c r="AH349" s="2973"/>
      <c r="AI349" s="2973"/>
      <c r="AJ349" s="2973"/>
      <c r="AK349" s="5614"/>
      <c r="AL349" s="5588"/>
      <c r="AM349" s="2973"/>
      <c r="AN349" s="2973">
        <f t="shared" si="76"/>
        <v>0</v>
      </c>
      <c r="AO349" s="2973"/>
      <c r="AP349" s="2973">
        <f t="shared" si="77"/>
        <v>289904.27</v>
      </c>
      <c r="AQ349" s="5614"/>
      <c r="AR349" s="2973"/>
      <c r="AS349" s="5635"/>
      <c r="AT349" s="5614"/>
      <c r="AU349" s="3662"/>
      <c r="AV349" s="3662"/>
      <c r="AW349" s="3662"/>
      <c r="AX349" s="3662"/>
      <c r="AY349" s="3662"/>
      <c r="AZ349" s="3662"/>
      <c r="BA349" s="5614"/>
      <c r="BB349" s="2973"/>
      <c r="BC349" s="2973">
        <v>54447.74</v>
      </c>
      <c r="BD349" s="5614"/>
      <c r="BE349" s="5614"/>
      <c r="BF349" s="5614"/>
      <c r="BG349" s="5614"/>
      <c r="BH349" s="2973"/>
      <c r="BI349" s="2973"/>
      <c r="BJ349" s="2973"/>
      <c r="BK349" s="2973"/>
      <c r="BL349" s="2973"/>
      <c r="BM349" s="2973"/>
      <c r="BN349" s="2973">
        <v>235456.53</v>
      </c>
      <c r="BO349" s="5614"/>
      <c r="BP349" s="5614"/>
      <c r="BQ349" s="5614"/>
      <c r="BR349" s="5614"/>
      <c r="BS349" s="5614"/>
      <c r="BT349" s="5614"/>
      <c r="BU349" s="5614"/>
      <c r="BV349" s="5614"/>
      <c r="BW349" s="5614"/>
      <c r="BX349" s="5614"/>
      <c r="BY349" s="5614"/>
      <c r="BZ349" s="5614"/>
      <c r="CA349" s="5614"/>
      <c r="CB349" s="5614"/>
      <c r="CC349" s="2973"/>
      <c r="CD349" s="2973"/>
      <c r="CE349" s="5039"/>
      <c r="CF349" s="5039"/>
      <c r="CG349" s="5039"/>
      <c r="CH349" s="5039"/>
    </row>
    <row r="350" s="4971" customFormat="1" ht="61" spans="1:86">
      <c r="A350" s="3662"/>
      <c r="B350" s="3524"/>
      <c r="C350" s="3524">
        <v>45258</v>
      </c>
      <c r="D350" s="3669"/>
      <c r="E350" s="3669"/>
      <c r="F350" s="5550" t="s">
        <v>928</v>
      </c>
      <c r="G350" s="5550" t="s">
        <v>920</v>
      </c>
      <c r="H350" s="5550" t="s">
        <v>353</v>
      </c>
      <c r="I350" s="5550"/>
      <c r="J350" s="5550" t="s">
        <v>921</v>
      </c>
      <c r="K350" s="5566"/>
      <c r="L350" s="5566"/>
      <c r="M350" s="5566">
        <f>SUM(N350:AA355)</f>
        <v>926174.79</v>
      </c>
      <c r="N350" s="5566"/>
      <c r="O350" s="5566"/>
      <c r="P350" s="5566"/>
      <c r="Q350" s="5566"/>
      <c r="R350" s="5566"/>
      <c r="S350" s="5566"/>
      <c r="T350" s="5566"/>
      <c r="U350" s="5566"/>
      <c r="V350" s="5566"/>
      <c r="W350" s="5566"/>
      <c r="X350" s="5566"/>
      <c r="Y350" s="5566"/>
      <c r="Z350" s="5566"/>
      <c r="AA350" s="5566">
        <v>926174.79</v>
      </c>
      <c r="AB350" s="5584" t="s">
        <v>126</v>
      </c>
      <c r="AC350" s="2967">
        <v>1</v>
      </c>
      <c r="AD350" s="5602" t="s">
        <v>922</v>
      </c>
      <c r="AE350" s="5603">
        <v>0.15</v>
      </c>
      <c r="AF350" s="2967">
        <f>M350*AE350</f>
        <v>138926.2185</v>
      </c>
      <c r="AG350" s="2966">
        <f t="shared" si="73"/>
        <v>138926.22</v>
      </c>
      <c r="AH350" s="5620" t="s">
        <v>122</v>
      </c>
      <c r="AI350" s="2966">
        <v>45288</v>
      </c>
      <c r="AJ350" s="2967">
        <v>138926.22</v>
      </c>
      <c r="AK350" s="2966">
        <v>45288</v>
      </c>
      <c r="AL350" s="2967">
        <v>138926.22</v>
      </c>
      <c r="AM350" s="2967">
        <v>45357</v>
      </c>
      <c r="AN350" s="2967">
        <f t="shared" si="76"/>
        <v>138926.22</v>
      </c>
      <c r="AO350" s="2966">
        <v>45369</v>
      </c>
      <c r="AP350" s="2967">
        <f t="shared" si="77"/>
        <v>0</v>
      </c>
      <c r="AQ350" s="5633"/>
      <c r="AR350" s="2967"/>
      <c r="AS350" s="5646"/>
      <c r="AT350" s="5633"/>
      <c r="AU350" s="3662"/>
      <c r="AV350" s="3662"/>
      <c r="AW350" s="3662"/>
      <c r="AX350" s="3662"/>
      <c r="AY350" s="3662"/>
      <c r="AZ350" s="3662"/>
      <c r="BA350" s="5633"/>
      <c r="BB350" s="2967"/>
      <c r="BC350" s="2967"/>
      <c r="BD350" s="5633"/>
      <c r="BE350" s="5633"/>
      <c r="BF350" s="5633"/>
      <c r="BG350" s="5633"/>
      <c r="BH350" s="2967"/>
      <c r="BI350" s="2967"/>
      <c r="BJ350" s="2967"/>
      <c r="BK350" s="2967"/>
      <c r="BL350" s="2967"/>
      <c r="BM350" s="2967"/>
      <c r="BN350" s="2966">
        <v>138926.22</v>
      </c>
      <c r="BO350" s="5633"/>
      <c r="BP350" s="5633"/>
      <c r="BQ350" s="5633"/>
      <c r="BR350" s="5633"/>
      <c r="BS350" s="5633"/>
      <c r="BT350" s="5633"/>
      <c r="BU350" s="5633"/>
      <c r="BV350" s="5633"/>
      <c r="BW350" s="5633"/>
      <c r="BX350" s="5633"/>
      <c r="BY350" s="5633"/>
      <c r="BZ350" s="5633"/>
      <c r="CA350" s="5633"/>
      <c r="CB350" s="2966">
        <v>138926.22</v>
      </c>
      <c r="CC350" s="2967"/>
      <c r="CD350" s="2967"/>
      <c r="CE350" s="5039"/>
      <c r="CF350" s="5039"/>
      <c r="CG350" s="5039"/>
      <c r="CH350" s="5039"/>
    </row>
    <row r="351" s="4971" customFormat="1" ht="76" spans="1:86">
      <c r="A351" s="3662"/>
      <c r="B351" s="3524"/>
      <c r="C351" s="3524"/>
      <c r="D351" s="3669"/>
      <c r="E351" s="3669"/>
      <c r="F351" s="5551"/>
      <c r="G351" s="5551"/>
      <c r="H351" s="5551"/>
      <c r="I351" s="5567"/>
      <c r="J351" s="5551"/>
      <c r="K351" s="5568"/>
      <c r="L351" s="5568"/>
      <c r="M351" s="5568"/>
      <c r="N351" s="5568"/>
      <c r="O351" s="5568"/>
      <c r="P351" s="5568"/>
      <c r="Q351" s="5568"/>
      <c r="R351" s="5568"/>
      <c r="S351" s="5568"/>
      <c r="T351" s="5568"/>
      <c r="U351" s="5568"/>
      <c r="V351" s="5568"/>
      <c r="W351" s="5568"/>
      <c r="X351" s="5568"/>
      <c r="Y351" s="5568"/>
      <c r="Z351" s="5568"/>
      <c r="AA351" s="5568"/>
      <c r="AB351" s="5568"/>
      <c r="AC351" s="2967">
        <v>2</v>
      </c>
      <c r="AD351" s="5602" t="s">
        <v>923</v>
      </c>
      <c r="AE351" s="5603">
        <v>0.25</v>
      </c>
      <c r="AF351" s="2967">
        <f>M350*AE351</f>
        <v>231543.6975</v>
      </c>
      <c r="AG351" s="2966">
        <f t="shared" si="73"/>
        <v>231543.6975</v>
      </c>
      <c r="AH351" s="5620" t="s">
        <v>122</v>
      </c>
      <c r="AI351" s="2966">
        <v>45288</v>
      </c>
      <c r="AJ351" s="2967">
        <v>231543.6975</v>
      </c>
      <c r="AK351" s="2966">
        <v>45288</v>
      </c>
      <c r="AL351" s="2967">
        <v>231543.7</v>
      </c>
      <c r="AM351" s="2967">
        <v>45357</v>
      </c>
      <c r="AN351" s="2967">
        <f t="shared" si="76"/>
        <v>231543.6975</v>
      </c>
      <c r="AO351" s="2966">
        <v>45369</v>
      </c>
      <c r="AP351" s="2967">
        <f t="shared" si="77"/>
        <v>0</v>
      </c>
      <c r="AQ351" s="5633"/>
      <c r="AR351" s="2967"/>
      <c r="AS351" s="5646"/>
      <c r="AT351" s="5633"/>
      <c r="AU351" s="3662"/>
      <c r="AV351" s="3662"/>
      <c r="AW351" s="3662"/>
      <c r="AX351" s="3662"/>
      <c r="AY351" s="3662"/>
      <c r="AZ351" s="3662"/>
      <c r="BA351" s="5633"/>
      <c r="BB351" s="2967"/>
      <c r="BC351" s="2967"/>
      <c r="BD351" s="5633"/>
      <c r="BE351" s="5633"/>
      <c r="BF351" s="5633"/>
      <c r="BG351" s="5633"/>
      <c r="BH351" s="2967"/>
      <c r="BI351" s="2967"/>
      <c r="BJ351" s="2967"/>
      <c r="BK351" s="2967"/>
      <c r="BL351" s="2967"/>
      <c r="BM351" s="2967"/>
      <c r="BN351" s="2966">
        <v>231543.6975</v>
      </c>
      <c r="BO351" s="5633"/>
      <c r="BP351" s="5633"/>
      <c r="BQ351" s="5633"/>
      <c r="BR351" s="5633"/>
      <c r="BS351" s="5633"/>
      <c r="BT351" s="5633"/>
      <c r="BU351" s="5633"/>
      <c r="BV351" s="5633"/>
      <c r="BW351" s="5633"/>
      <c r="BX351" s="5633"/>
      <c r="BY351" s="5633"/>
      <c r="BZ351" s="5633"/>
      <c r="CA351" s="5633"/>
      <c r="CB351" s="5621">
        <v>231543.6975</v>
      </c>
      <c r="CC351" s="2967"/>
      <c r="CD351" s="2967"/>
      <c r="CE351" s="5039"/>
      <c r="CF351" s="5039"/>
      <c r="CG351" s="5039"/>
      <c r="CH351" s="5039"/>
    </row>
    <row r="352" s="4971" customFormat="1" ht="76" spans="1:86">
      <c r="A352" s="3662"/>
      <c r="B352" s="3524"/>
      <c r="C352" s="3524"/>
      <c r="D352" s="3669"/>
      <c r="E352" s="3669"/>
      <c r="F352" s="5551"/>
      <c r="G352" s="5551"/>
      <c r="H352" s="5551"/>
      <c r="I352" s="5567"/>
      <c r="J352" s="5551"/>
      <c r="K352" s="5568"/>
      <c r="L352" s="5568"/>
      <c r="M352" s="5568"/>
      <c r="N352" s="5568"/>
      <c r="O352" s="5568"/>
      <c r="P352" s="5568"/>
      <c r="Q352" s="5568"/>
      <c r="R352" s="5568"/>
      <c r="S352" s="5568"/>
      <c r="T352" s="5568"/>
      <c r="U352" s="5568"/>
      <c r="V352" s="5568"/>
      <c r="W352" s="5568"/>
      <c r="X352" s="5568"/>
      <c r="Y352" s="5568"/>
      <c r="Z352" s="5568"/>
      <c r="AA352" s="5568"/>
      <c r="AB352" s="5568"/>
      <c r="AC352" s="2967">
        <v>3</v>
      </c>
      <c r="AD352" s="5602" t="s">
        <v>929</v>
      </c>
      <c r="AE352" s="5603">
        <v>0.15</v>
      </c>
      <c r="AF352" s="2967">
        <f>M350*AE352</f>
        <v>138926.2185</v>
      </c>
      <c r="AG352" s="2967">
        <f t="shared" si="73"/>
        <v>138926.21</v>
      </c>
      <c r="AH352" s="5620" t="s">
        <v>122</v>
      </c>
      <c r="AI352" s="2966">
        <v>45288</v>
      </c>
      <c r="AJ352" s="2967">
        <v>138926.21</v>
      </c>
      <c r="AK352" s="2966">
        <v>45288</v>
      </c>
      <c r="AL352" s="2967">
        <v>138926.21</v>
      </c>
      <c r="AM352" s="2967">
        <v>45357</v>
      </c>
      <c r="AN352" s="2967">
        <f t="shared" si="76"/>
        <v>138926.21</v>
      </c>
      <c r="AO352" s="2966">
        <v>45369</v>
      </c>
      <c r="AP352" s="2967">
        <f t="shared" si="77"/>
        <v>0</v>
      </c>
      <c r="AQ352" s="5633"/>
      <c r="AR352" s="2967"/>
      <c r="AS352" s="5646"/>
      <c r="AT352" s="5633"/>
      <c r="AU352" s="3662"/>
      <c r="AV352" s="3662"/>
      <c r="AW352" s="3662"/>
      <c r="AX352" s="3662"/>
      <c r="AY352" s="3662"/>
      <c r="AZ352" s="3662"/>
      <c r="BA352" s="5633"/>
      <c r="BB352" s="2967"/>
      <c r="BC352" s="2967"/>
      <c r="BD352" s="5633"/>
      <c r="BE352" s="5633"/>
      <c r="BF352" s="5633"/>
      <c r="BG352" s="5633"/>
      <c r="BH352" s="2967"/>
      <c r="BI352" s="2967"/>
      <c r="BJ352" s="2967"/>
      <c r="BK352" s="2967"/>
      <c r="BL352" s="2967"/>
      <c r="BM352" s="2967"/>
      <c r="BN352" s="2967">
        <v>138926.21</v>
      </c>
      <c r="BO352" s="5633"/>
      <c r="BP352" s="5633"/>
      <c r="BQ352" s="5633"/>
      <c r="BR352" s="5633"/>
      <c r="BS352" s="5633"/>
      <c r="BT352" s="5633"/>
      <c r="BU352" s="5633"/>
      <c r="BV352" s="5633"/>
      <c r="BW352" s="5633"/>
      <c r="BX352" s="5633"/>
      <c r="BY352" s="5633"/>
      <c r="BZ352" s="5633"/>
      <c r="CA352" s="5633"/>
      <c r="CB352" s="2967">
        <v>138926.21</v>
      </c>
      <c r="CC352" s="2967"/>
      <c r="CD352" s="2967"/>
      <c r="CE352" s="5039"/>
      <c r="CF352" s="5039"/>
      <c r="CG352" s="5039"/>
      <c r="CH352" s="5039"/>
    </row>
    <row r="353" s="4971" customFormat="1" ht="76" spans="1:86">
      <c r="A353" s="3662"/>
      <c r="B353" s="3524"/>
      <c r="C353" s="3524"/>
      <c r="D353" s="3669"/>
      <c r="E353" s="3669"/>
      <c r="F353" s="5551"/>
      <c r="G353" s="5551"/>
      <c r="H353" s="5551"/>
      <c r="I353" s="5567"/>
      <c r="J353" s="5551"/>
      <c r="K353" s="5568"/>
      <c r="L353" s="5568"/>
      <c r="M353" s="5568"/>
      <c r="N353" s="5568"/>
      <c r="O353" s="5568"/>
      <c r="P353" s="5568"/>
      <c r="Q353" s="5568"/>
      <c r="R353" s="5568"/>
      <c r="S353" s="5568"/>
      <c r="T353" s="5568"/>
      <c r="U353" s="5568"/>
      <c r="V353" s="5568"/>
      <c r="W353" s="5568"/>
      <c r="X353" s="5568"/>
      <c r="Y353" s="5568"/>
      <c r="Z353" s="5568"/>
      <c r="AA353" s="5568"/>
      <c r="AB353" s="5568"/>
      <c r="AC353" s="2967">
        <v>4</v>
      </c>
      <c r="AD353" s="5602" t="s">
        <v>930</v>
      </c>
      <c r="AE353" s="5603">
        <v>0.2</v>
      </c>
      <c r="AF353" s="2967">
        <f>M350*AE353</f>
        <v>185234.958</v>
      </c>
      <c r="AG353" s="5621">
        <f t="shared" si="73"/>
        <v>185234.958</v>
      </c>
      <c r="AH353" s="5622" t="s">
        <v>349</v>
      </c>
      <c r="AI353" s="5622">
        <v>46172</v>
      </c>
      <c r="AJ353" s="2967"/>
      <c r="AK353" s="5633"/>
      <c r="AL353" s="2966"/>
      <c r="AM353" s="2967"/>
      <c r="AN353" s="5621">
        <f t="shared" si="76"/>
        <v>185234.958</v>
      </c>
      <c r="AO353" s="5621">
        <v>46203</v>
      </c>
      <c r="AP353" s="2967">
        <f t="shared" si="77"/>
        <v>0</v>
      </c>
      <c r="AQ353" s="5633"/>
      <c r="AR353" s="2967"/>
      <c r="AS353" s="5646"/>
      <c r="AT353" s="5633"/>
      <c r="AU353" s="3662"/>
      <c r="AV353" s="3662"/>
      <c r="AW353" s="3662"/>
      <c r="AX353" s="3662"/>
      <c r="AY353" s="3662"/>
      <c r="AZ353" s="3662"/>
      <c r="BA353" s="5633"/>
      <c r="BB353" s="2967"/>
      <c r="BC353" s="2967"/>
      <c r="BD353" s="5633"/>
      <c r="BE353" s="5633"/>
      <c r="BF353" s="5633"/>
      <c r="BG353" s="5633"/>
      <c r="BH353" s="2967"/>
      <c r="BI353" s="2967"/>
      <c r="BJ353" s="2967"/>
      <c r="BK353" s="2967"/>
      <c r="BL353" s="2967"/>
      <c r="BM353" s="2967"/>
      <c r="BN353" s="2967">
        <v>185234.958</v>
      </c>
      <c r="BO353" s="5633"/>
      <c r="BP353" s="5633"/>
      <c r="BQ353" s="5633"/>
      <c r="BR353" s="5633"/>
      <c r="BS353" s="5633"/>
      <c r="BT353" s="5633"/>
      <c r="BU353" s="5633"/>
      <c r="BV353" s="5633"/>
      <c r="BW353" s="5633"/>
      <c r="BX353" s="5633"/>
      <c r="BY353" s="5633"/>
      <c r="BZ353" s="5633"/>
      <c r="CA353" s="5633"/>
      <c r="CB353" s="2967">
        <v>185234.958</v>
      </c>
      <c r="CC353" s="2967"/>
      <c r="CD353" s="2967"/>
      <c r="CE353" s="5039"/>
      <c r="CF353" s="5039"/>
      <c r="CG353" s="5039"/>
      <c r="CH353" s="5039"/>
    </row>
    <row r="354" s="4971" customFormat="1" ht="76" spans="1:86">
      <c r="A354" s="3662"/>
      <c r="B354" s="3524"/>
      <c r="C354" s="3524"/>
      <c r="D354" s="3669"/>
      <c r="E354" s="3669"/>
      <c r="F354" s="5551"/>
      <c r="G354" s="5551"/>
      <c r="H354" s="5551"/>
      <c r="I354" s="5567"/>
      <c r="J354" s="5551"/>
      <c r="K354" s="5568"/>
      <c r="L354" s="5568"/>
      <c r="M354" s="5568"/>
      <c r="N354" s="5568"/>
      <c r="O354" s="5568"/>
      <c r="P354" s="5568"/>
      <c r="Q354" s="5568"/>
      <c r="R354" s="5568"/>
      <c r="S354" s="5568"/>
      <c r="T354" s="5568"/>
      <c r="U354" s="5568"/>
      <c r="V354" s="5568"/>
      <c r="W354" s="5568"/>
      <c r="X354" s="5568"/>
      <c r="Y354" s="5568"/>
      <c r="Z354" s="5568"/>
      <c r="AA354" s="5568"/>
      <c r="AB354" s="5568"/>
      <c r="AC354" s="2967">
        <v>5</v>
      </c>
      <c r="AD354" s="5602" t="s">
        <v>931</v>
      </c>
      <c r="AE354" s="5603">
        <v>0.15</v>
      </c>
      <c r="AF354" s="2967">
        <f>M350*AE354</f>
        <v>138926.2185</v>
      </c>
      <c r="AG354" s="5621">
        <f t="shared" si="73"/>
        <v>138926.2185</v>
      </c>
      <c r="AH354" s="5622" t="s">
        <v>349</v>
      </c>
      <c r="AI354" s="5621"/>
      <c r="AJ354" s="2967"/>
      <c r="AK354" s="5633"/>
      <c r="AL354" s="2966"/>
      <c r="AM354" s="2967"/>
      <c r="AN354" s="5621">
        <f t="shared" si="76"/>
        <v>138926.2185</v>
      </c>
      <c r="AO354" s="5621"/>
      <c r="AP354" s="2967">
        <f t="shared" si="77"/>
        <v>0</v>
      </c>
      <c r="AQ354" s="5633"/>
      <c r="AR354" s="2967"/>
      <c r="AS354" s="5646"/>
      <c r="AT354" s="5633"/>
      <c r="AU354" s="3662"/>
      <c r="AV354" s="3662"/>
      <c r="AW354" s="3662"/>
      <c r="AX354" s="3662"/>
      <c r="AY354" s="3662"/>
      <c r="AZ354" s="3662"/>
      <c r="BA354" s="5633"/>
      <c r="BB354" s="2967"/>
      <c r="BC354" s="2967"/>
      <c r="BD354" s="5633"/>
      <c r="BE354" s="5633"/>
      <c r="BF354" s="5633"/>
      <c r="BG354" s="5633"/>
      <c r="BH354" s="2967"/>
      <c r="BI354" s="2967"/>
      <c r="BJ354" s="2967"/>
      <c r="BK354" s="2967"/>
      <c r="BL354" s="2967"/>
      <c r="BM354" s="2967"/>
      <c r="BN354" s="2967">
        <v>138926.2185</v>
      </c>
      <c r="BO354" s="5633"/>
      <c r="BP354" s="5633"/>
      <c r="BQ354" s="5633"/>
      <c r="BR354" s="5633"/>
      <c r="BS354" s="5633"/>
      <c r="BT354" s="5633"/>
      <c r="BU354" s="5633"/>
      <c r="BV354" s="5633"/>
      <c r="BW354" s="5633"/>
      <c r="BX354" s="5633"/>
      <c r="BY354" s="5633"/>
      <c r="BZ354" s="5633"/>
      <c r="CA354" s="5633"/>
      <c r="CB354" s="2967">
        <v>138926.2185</v>
      </c>
      <c r="CC354" s="2967"/>
      <c r="CD354" s="2967"/>
      <c r="CE354" s="5039"/>
      <c r="CF354" s="5039"/>
      <c r="CG354" s="5039"/>
      <c r="CH354" s="5039"/>
    </row>
    <row r="355" s="4971" customFormat="1" ht="61" spans="1:86">
      <c r="A355" s="3662"/>
      <c r="B355" s="3524"/>
      <c r="C355" s="3524"/>
      <c r="D355" s="3669"/>
      <c r="E355" s="3669"/>
      <c r="F355" s="5552"/>
      <c r="G355" s="5552"/>
      <c r="H355" s="5552"/>
      <c r="I355" s="5569"/>
      <c r="J355" s="5552"/>
      <c r="K355" s="5570"/>
      <c r="L355" s="5570"/>
      <c r="M355" s="5570"/>
      <c r="N355" s="5570"/>
      <c r="O355" s="5570"/>
      <c r="P355" s="5570"/>
      <c r="Q355" s="5570"/>
      <c r="R355" s="5570"/>
      <c r="S355" s="5570"/>
      <c r="T355" s="5570"/>
      <c r="U355" s="5570"/>
      <c r="V355" s="5570"/>
      <c r="W355" s="5570"/>
      <c r="X355" s="5570"/>
      <c r="Y355" s="5570"/>
      <c r="Z355" s="5570"/>
      <c r="AA355" s="5570"/>
      <c r="AB355" s="5570"/>
      <c r="AC355" s="2967">
        <v>6</v>
      </c>
      <c r="AD355" s="5602" t="s">
        <v>927</v>
      </c>
      <c r="AE355" s="5603">
        <v>0.1</v>
      </c>
      <c r="AF355" s="2967">
        <f>M350*AE355</f>
        <v>92617.479</v>
      </c>
      <c r="AG355" s="2967">
        <f t="shared" si="73"/>
        <v>0</v>
      </c>
      <c r="AH355" s="2967"/>
      <c r="AI355" s="2967"/>
      <c r="AJ355" s="2967"/>
      <c r="AK355" s="5633"/>
      <c r="AL355" s="2966"/>
      <c r="AM355" s="2967"/>
      <c r="AN355" s="2967">
        <f t="shared" si="76"/>
        <v>0</v>
      </c>
      <c r="AO355" s="2967"/>
      <c r="AP355" s="2967">
        <f t="shared" si="77"/>
        <v>0</v>
      </c>
      <c r="AQ355" s="5633"/>
      <c r="AR355" s="2967"/>
      <c r="AS355" s="5646"/>
      <c r="AT355" s="5633"/>
      <c r="AU355" s="3662"/>
      <c r="AV355" s="3662"/>
      <c r="AW355" s="3662"/>
      <c r="AX355" s="3662"/>
      <c r="AY355" s="3662"/>
      <c r="AZ355" s="3662"/>
      <c r="BA355" s="5633"/>
      <c r="BB355" s="2967"/>
      <c r="BC355" s="2967"/>
      <c r="BD355" s="5633"/>
      <c r="BE355" s="5633"/>
      <c r="BF355" s="5633"/>
      <c r="BG355" s="5633"/>
      <c r="BH355" s="2967"/>
      <c r="BI355" s="2967"/>
      <c r="BJ355" s="2967"/>
      <c r="BK355" s="2967"/>
      <c r="BL355" s="2967"/>
      <c r="BM355" s="2967"/>
      <c r="BN355" s="2967"/>
      <c r="BO355" s="5633"/>
      <c r="BP355" s="5633"/>
      <c r="BQ355" s="5633"/>
      <c r="BR355" s="5633"/>
      <c r="BS355" s="5633"/>
      <c r="BT355" s="5633"/>
      <c r="BU355" s="5633"/>
      <c r="BV355" s="5633"/>
      <c r="BW355" s="5633"/>
      <c r="BX355" s="5633"/>
      <c r="BY355" s="5633"/>
      <c r="BZ355" s="5633"/>
      <c r="CA355" s="5633"/>
      <c r="CB355" s="2967"/>
      <c r="CC355" s="2967"/>
      <c r="CD355" s="2967"/>
      <c r="CE355" s="5039"/>
      <c r="CF355" s="5039"/>
      <c r="CG355" s="5039"/>
      <c r="CH355" s="5039"/>
    </row>
    <row r="356" s="4971" customFormat="1" ht="76" spans="1:86">
      <c r="A356" s="3662"/>
      <c r="B356" s="3524"/>
      <c r="C356" s="4088">
        <v>45258</v>
      </c>
      <c r="D356" s="3669"/>
      <c r="E356" s="3669"/>
      <c r="F356" s="5553" t="s">
        <v>932</v>
      </c>
      <c r="G356" s="5553" t="s">
        <v>920</v>
      </c>
      <c r="H356" s="5553" t="s">
        <v>362</v>
      </c>
      <c r="I356" s="5553"/>
      <c r="J356" s="5553" t="s">
        <v>921</v>
      </c>
      <c r="K356" s="5571"/>
      <c r="L356" s="5571"/>
      <c r="M356" s="5571">
        <f>SUM(N356:AA365)</f>
        <v>2340025</v>
      </c>
      <c r="N356" s="5571"/>
      <c r="O356" s="5571"/>
      <c r="P356" s="5571"/>
      <c r="Q356" s="5571"/>
      <c r="R356" s="5571"/>
      <c r="S356" s="5571"/>
      <c r="T356" s="5571"/>
      <c r="U356" s="5571"/>
      <c r="V356" s="5571"/>
      <c r="W356" s="5571"/>
      <c r="X356" s="5571"/>
      <c r="Y356" s="5571"/>
      <c r="Z356" s="5571"/>
      <c r="AA356" s="5571">
        <v>2340025</v>
      </c>
      <c r="AB356" s="5585" t="s">
        <v>126</v>
      </c>
      <c r="AC356" s="2963">
        <v>1</v>
      </c>
      <c r="AD356" s="5604" t="s">
        <v>933</v>
      </c>
      <c r="AE356" s="5605">
        <v>0.15</v>
      </c>
      <c r="AF356" s="2963">
        <f>M356*AE356</f>
        <v>351003.75</v>
      </c>
      <c r="AG356" s="2960">
        <f t="shared" si="73"/>
        <v>351003.75</v>
      </c>
      <c r="AH356" s="918" t="s">
        <v>122</v>
      </c>
      <c r="AI356" s="2960">
        <v>45288</v>
      </c>
      <c r="AJ356" s="2960">
        <v>351003.75</v>
      </c>
      <c r="AK356" s="2960">
        <v>45288</v>
      </c>
      <c r="AL356" s="2960">
        <v>351003.75</v>
      </c>
      <c r="AM356" s="2963">
        <v>45357</v>
      </c>
      <c r="AN356" s="2963">
        <f t="shared" si="76"/>
        <v>351003.75</v>
      </c>
      <c r="AO356" s="2963">
        <v>45369</v>
      </c>
      <c r="AP356" s="2963">
        <f t="shared" si="77"/>
        <v>0</v>
      </c>
      <c r="AQ356" s="5634"/>
      <c r="AR356" s="2963"/>
      <c r="AS356" s="5647"/>
      <c r="AT356" s="5634"/>
      <c r="AU356" s="3662"/>
      <c r="AV356" s="3662"/>
      <c r="AW356" s="3662"/>
      <c r="AX356" s="3662"/>
      <c r="AY356" s="3662"/>
      <c r="AZ356" s="3662"/>
      <c r="BA356" s="5634"/>
      <c r="BB356" s="2963"/>
      <c r="BC356" s="2963"/>
      <c r="BD356" s="5634"/>
      <c r="BE356" s="5634"/>
      <c r="BF356" s="5634"/>
      <c r="BG356" s="5634"/>
      <c r="BH356" s="2963"/>
      <c r="BI356" s="2963"/>
      <c r="BJ356" s="2963"/>
      <c r="BK356" s="2963"/>
      <c r="BL356" s="2963"/>
      <c r="BM356" s="2963"/>
      <c r="BN356" s="2963">
        <v>351003.75</v>
      </c>
      <c r="BO356" s="5634"/>
      <c r="BP356" s="5634"/>
      <c r="BQ356" s="5634"/>
      <c r="BR356" s="5634"/>
      <c r="BS356" s="5634"/>
      <c r="BT356" s="5634"/>
      <c r="BU356" s="5634"/>
      <c r="BV356" s="5634"/>
      <c r="BW356" s="5634"/>
      <c r="BX356" s="5634"/>
      <c r="BY356" s="5634"/>
      <c r="BZ356" s="5634"/>
      <c r="CA356" s="5634"/>
      <c r="CB356" s="2963">
        <v>351003.75</v>
      </c>
      <c r="CC356" s="2963"/>
      <c r="CD356" s="2963"/>
      <c r="CE356" s="5039"/>
      <c r="CF356" s="5039"/>
      <c r="CG356" s="5039"/>
      <c r="CH356" s="5039"/>
    </row>
    <row r="357" s="4971" customFormat="1" ht="76" spans="1:86">
      <c r="A357" s="3662"/>
      <c r="B357" s="3524"/>
      <c r="C357" s="4088"/>
      <c r="D357" s="3669"/>
      <c r="E357" s="3669"/>
      <c r="F357" s="5554"/>
      <c r="G357" s="5554"/>
      <c r="H357" s="5554"/>
      <c r="I357" s="5572"/>
      <c r="J357" s="5554"/>
      <c r="K357" s="3324"/>
      <c r="L357" s="3324"/>
      <c r="M357" s="3324"/>
      <c r="N357" s="3324"/>
      <c r="O357" s="3324"/>
      <c r="P357" s="3324"/>
      <c r="Q357" s="3324"/>
      <c r="R357" s="3324"/>
      <c r="S357" s="3324"/>
      <c r="T357" s="3324"/>
      <c r="U357" s="3324"/>
      <c r="V357" s="3324"/>
      <c r="W357" s="3324"/>
      <c r="X357" s="3324"/>
      <c r="Y357" s="3324"/>
      <c r="Z357" s="3324"/>
      <c r="AA357" s="3324"/>
      <c r="AB357" s="3324"/>
      <c r="AC357" s="5571">
        <v>2</v>
      </c>
      <c r="AD357" s="5604" t="s">
        <v>934</v>
      </c>
      <c r="AE357" s="5605">
        <v>0.25</v>
      </c>
      <c r="AF357" s="2963">
        <f>M356*AE357-AF358</f>
        <v>465006.25</v>
      </c>
      <c r="AG357" s="2960">
        <f t="shared" si="73"/>
        <v>465006.25</v>
      </c>
      <c r="AH357" s="918" t="s">
        <v>122</v>
      </c>
      <c r="AI357" s="2960">
        <v>45288</v>
      </c>
      <c r="AJ357" s="2960">
        <v>465006.25</v>
      </c>
      <c r="AK357" s="2960">
        <v>45288</v>
      </c>
      <c r="AL357" s="2960">
        <v>465006.25</v>
      </c>
      <c r="AM357" s="2963">
        <v>45357</v>
      </c>
      <c r="AN357" s="2963">
        <f t="shared" si="76"/>
        <v>465006.25</v>
      </c>
      <c r="AO357" s="2963">
        <v>45369</v>
      </c>
      <c r="AP357" s="2963">
        <f t="shared" si="77"/>
        <v>0</v>
      </c>
      <c r="AQ357" s="5634"/>
      <c r="AR357" s="2963"/>
      <c r="AS357" s="5647"/>
      <c r="AT357" s="5634"/>
      <c r="AU357" s="3662"/>
      <c r="AV357" s="3662"/>
      <c r="AW357" s="3662"/>
      <c r="AX357" s="3662"/>
      <c r="AY357" s="3662"/>
      <c r="AZ357" s="3662"/>
      <c r="BA357" s="5634"/>
      <c r="BB357" s="2963"/>
      <c r="BC357" s="2963"/>
      <c r="BD357" s="5634"/>
      <c r="BE357" s="5634"/>
      <c r="BF357" s="5634"/>
      <c r="BG357" s="5634"/>
      <c r="BH357" s="2963"/>
      <c r="BI357" s="2963"/>
      <c r="BJ357" s="2963"/>
      <c r="BK357" s="2963"/>
      <c r="BL357" s="2963"/>
      <c r="BM357" s="2963"/>
      <c r="BN357" s="2963">
        <f>585006.25-BN358</f>
        <v>465006.25</v>
      </c>
      <c r="BO357" s="5634"/>
      <c r="BP357" s="5634"/>
      <c r="BQ357" s="5634"/>
      <c r="BR357" s="5634"/>
      <c r="BS357" s="5634"/>
      <c r="BT357" s="5634"/>
      <c r="BU357" s="5634"/>
      <c r="BV357" s="5634"/>
      <c r="BW357" s="5634"/>
      <c r="BX357" s="5634"/>
      <c r="BY357" s="5634"/>
      <c r="BZ357" s="5634"/>
      <c r="CA357" s="5634"/>
      <c r="CB357" s="2963">
        <v>465006.25</v>
      </c>
      <c r="CC357" s="2963"/>
      <c r="CD357" s="2963"/>
      <c r="CE357" s="5039"/>
      <c r="CF357" s="5039"/>
      <c r="CG357" s="5039"/>
      <c r="CH357" s="5039"/>
    </row>
    <row r="358" s="4971" customFormat="1" ht="28.5" customHeight="1" spans="1:86">
      <c r="A358" s="3662"/>
      <c r="B358" s="3524"/>
      <c r="C358" s="4088"/>
      <c r="D358" s="3669"/>
      <c r="E358" s="3669"/>
      <c r="F358" s="5554"/>
      <c r="G358" s="5554"/>
      <c r="H358" s="5554"/>
      <c r="I358" s="5572"/>
      <c r="J358" s="5554"/>
      <c r="K358" s="3324"/>
      <c r="L358" s="3324"/>
      <c r="M358" s="3324"/>
      <c r="N358" s="3324"/>
      <c r="O358" s="3324"/>
      <c r="P358" s="3324"/>
      <c r="Q358" s="3324"/>
      <c r="R358" s="3324"/>
      <c r="S358" s="3324"/>
      <c r="T358" s="3324"/>
      <c r="U358" s="3324"/>
      <c r="V358" s="3324"/>
      <c r="W358" s="3324"/>
      <c r="X358" s="3324"/>
      <c r="Y358" s="3324"/>
      <c r="Z358" s="3324"/>
      <c r="AA358" s="3324"/>
      <c r="AB358" s="3324"/>
      <c r="AC358" s="3383"/>
      <c r="AD358" s="5606" t="s">
        <v>935</v>
      </c>
      <c r="AE358" s="5605"/>
      <c r="AF358" s="2963">
        <f>480000*0.25</f>
        <v>120000</v>
      </c>
      <c r="AG358" s="2960">
        <f t="shared" si="73"/>
        <v>120000</v>
      </c>
      <c r="AH358" s="918" t="s">
        <v>122</v>
      </c>
      <c r="AI358" s="2960">
        <v>45288</v>
      </c>
      <c r="AJ358" s="2960">
        <v>120000</v>
      </c>
      <c r="AK358" s="2960">
        <v>45288</v>
      </c>
      <c r="AL358" s="2960">
        <v>120000</v>
      </c>
      <c r="AM358" s="2963">
        <v>45520</v>
      </c>
      <c r="AN358" s="2963">
        <f t="shared" si="76"/>
        <v>120000</v>
      </c>
      <c r="AO358" s="2963">
        <v>45596</v>
      </c>
      <c r="AP358" s="2963">
        <f t="shared" ref="AP358:AP363" si="78">AG358-AN358</f>
        <v>0</v>
      </c>
      <c r="AQ358" s="5634"/>
      <c r="AR358" s="2963"/>
      <c r="AS358" s="5647"/>
      <c r="AT358" s="5634"/>
      <c r="AU358" s="3662"/>
      <c r="AV358" s="3662"/>
      <c r="AW358" s="3662"/>
      <c r="AX358" s="3662"/>
      <c r="AY358" s="3662"/>
      <c r="AZ358" s="3662"/>
      <c r="BA358" s="5634"/>
      <c r="BB358" s="2963"/>
      <c r="BC358" s="2963"/>
      <c r="BD358" s="5634"/>
      <c r="BE358" s="5634"/>
      <c r="BF358" s="5634"/>
      <c r="BG358" s="5634"/>
      <c r="BH358" s="2963"/>
      <c r="BI358" s="2963"/>
      <c r="BJ358" s="2963"/>
      <c r="BK358" s="2963"/>
      <c r="BL358" s="2963"/>
      <c r="BM358" s="2963"/>
      <c r="BN358" s="2963">
        <v>120000</v>
      </c>
      <c r="BO358" s="5634"/>
      <c r="BP358" s="5634"/>
      <c r="BQ358" s="5634"/>
      <c r="BR358" s="5634"/>
      <c r="BS358" s="5634"/>
      <c r="BT358" s="5634"/>
      <c r="BU358" s="5634"/>
      <c r="BV358" s="5634"/>
      <c r="BW358" s="5634"/>
      <c r="BX358" s="5634"/>
      <c r="BY358" s="5634"/>
      <c r="BZ358" s="5634"/>
      <c r="CA358" s="5634"/>
      <c r="CB358" s="2963">
        <v>120000</v>
      </c>
      <c r="CC358" s="2963"/>
      <c r="CD358" s="2963"/>
      <c r="CE358" s="5039"/>
      <c r="CF358" s="5039"/>
      <c r="CG358" s="5039"/>
      <c r="CH358" s="5039"/>
    </row>
    <row r="359" s="4971" customFormat="1" ht="76" spans="1:86">
      <c r="A359" s="3662"/>
      <c r="B359" s="3524"/>
      <c r="C359" s="4088"/>
      <c r="D359" s="3669"/>
      <c r="E359" s="3669"/>
      <c r="F359" s="5554"/>
      <c r="G359" s="5554"/>
      <c r="H359" s="5554"/>
      <c r="I359" s="5572"/>
      <c r="J359" s="5554"/>
      <c r="K359" s="3324"/>
      <c r="L359" s="3324"/>
      <c r="M359" s="3324"/>
      <c r="N359" s="3324"/>
      <c r="O359" s="3324"/>
      <c r="P359" s="3324"/>
      <c r="Q359" s="3324"/>
      <c r="R359" s="3324"/>
      <c r="S359" s="3324"/>
      <c r="T359" s="3324"/>
      <c r="U359" s="3324"/>
      <c r="V359" s="3324"/>
      <c r="W359" s="3324"/>
      <c r="X359" s="3324"/>
      <c r="Y359" s="3324"/>
      <c r="Z359" s="3324"/>
      <c r="AA359" s="3324"/>
      <c r="AB359" s="3324"/>
      <c r="AC359" s="5571">
        <v>3</v>
      </c>
      <c r="AD359" s="5604" t="s">
        <v>936</v>
      </c>
      <c r="AE359" s="5605">
        <v>0.15</v>
      </c>
      <c r="AF359" s="2963">
        <f>M356*AE359-AF360</f>
        <v>279003.75</v>
      </c>
      <c r="AG359" s="2960">
        <f t="shared" si="73"/>
        <v>279003.75</v>
      </c>
      <c r="AH359" s="918" t="s">
        <v>122</v>
      </c>
      <c r="AI359" s="2960">
        <v>45288</v>
      </c>
      <c r="AJ359" s="2960">
        <v>279003.75</v>
      </c>
      <c r="AK359" s="2960">
        <v>45288</v>
      </c>
      <c r="AL359" s="2960">
        <v>279003.75</v>
      </c>
      <c r="AM359" s="2963">
        <v>45357</v>
      </c>
      <c r="AN359" s="2963">
        <f t="shared" si="76"/>
        <v>279003.75</v>
      </c>
      <c r="AO359" s="2963">
        <v>45369</v>
      </c>
      <c r="AP359" s="2963">
        <f t="shared" si="78"/>
        <v>0</v>
      </c>
      <c r="AQ359" s="5634"/>
      <c r="AR359" s="2963"/>
      <c r="AS359" s="5647"/>
      <c r="AT359" s="5634"/>
      <c r="AU359" s="3662"/>
      <c r="AV359" s="3662"/>
      <c r="AW359" s="3662"/>
      <c r="AX359" s="3662"/>
      <c r="AY359" s="3662"/>
      <c r="AZ359" s="3662"/>
      <c r="BA359" s="5634"/>
      <c r="BB359" s="2963"/>
      <c r="BC359" s="2963"/>
      <c r="BD359" s="5634"/>
      <c r="BE359" s="5634"/>
      <c r="BF359" s="5634"/>
      <c r="BG359" s="5634"/>
      <c r="BH359" s="2963"/>
      <c r="BI359" s="2963"/>
      <c r="BJ359" s="2963"/>
      <c r="BK359" s="2963"/>
      <c r="BL359" s="2963"/>
      <c r="BM359" s="2963"/>
      <c r="BN359" s="2963">
        <f>351003.75-BN360</f>
        <v>279003.75</v>
      </c>
      <c r="BO359" s="5634"/>
      <c r="BP359" s="5634"/>
      <c r="BQ359" s="5634"/>
      <c r="BR359" s="5634"/>
      <c r="BS359" s="5634"/>
      <c r="BT359" s="5634"/>
      <c r="BU359" s="5634"/>
      <c r="BV359" s="5634"/>
      <c r="BW359" s="5634"/>
      <c r="BX359" s="5634"/>
      <c r="BY359" s="5634"/>
      <c r="BZ359" s="5634"/>
      <c r="CA359" s="5634"/>
      <c r="CB359" s="2963">
        <v>279003.75</v>
      </c>
      <c r="CC359" s="2963"/>
      <c r="CD359" s="2963"/>
      <c r="CE359" s="5039"/>
      <c r="CF359" s="5039"/>
      <c r="CG359" s="5039"/>
      <c r="CH359" s="5039"/>
    </row>
    <row r="360" s="4971" customFormat="1" ht="24.75" customHeight="1" spans="1:86">
      <c r="A360" s="3662"/>
      <c r="B360" s="3524"/>
      <c r="C360" s="4088"/>
      <c r="D360" s="3669"/>
      <c r="E360" s="3669"/>
      <c r="F360" s="5554"/>
      <c r="G360" s="5554"/>
      <c r="H360" s="5554"/>
      <c r="I360" s="5572"/>
      <c r="J360" s="5554"/>
      <c r="K360" s="3324"/>
      <c r="L360" s="3324"/>
      <c r="M360" s="3324"/>
      <c r="N360" s="3324"/>
      <c r="O360" s="3324"/>
      <c r="P360" s="3324"/>
      <c r="Q360" s="3324"/>
      <c r="R360" s="3324"/>
      <c r="S360" s="3324"/>
      <c r="T360" s="3324"/>
      <c r="U360" s="3324"/>
      <c r="V360" s="3324"/>
      <c r="W360" s="3324"/>
      <c r="X360" s="3324"/>
      <c r="Y360" s="3324"/>
      <c r="Z360" s="3324"/>
      <c r="AA360" s="3324"/>
      <c r="AB360" s="3324"/>
      <c r="AC360" s="3324"/>
      <c r="AD360" s="5607" t="s">
        <v>935</v>
      </c>
      <c r="AE360" s="5605"/>
      <c r="AF360" s="2963">
        <f>480000*0.15</f>
        <v>72000</v>
      </c>
      <c r="AG360" s="2960">
        <f t="shared" si="73"/>
        <v>72000</v>
      </c>
      <c r="AH360" s="918" t="s">
        <v>122</v>
      </c>
      <c r="AI360" s="2960">
        <v>45288</v>
      </c>
      <c r="AJ360" s="2960">
        <v>72000</v>
      </c>
      <c r="AK360" s="2960">
        <v>45288</v>
      </c>
      <c r="AL360" s="2960">
        <v>72000</v>
      </c>
      <c r="AM360" s="2963">
        <v>45520</v>
      </c>
      <c r="AN360" s="2963">
        <f t="shared" si="76"/>
        <v>72000</v>
      </c>
      <c r="AO360" s="2963">
        <v>45596</v>
      </c>
      <c r="AP360" s="2963">
        <f t="shared" si="78"/>
        <v>0</v>
      </c>
      <c r="AQ360" s="5634"/>
      <c r="AR360" s="2963"/>
      <c r="AS360" s="5647"/>
      <c r="AT360" s="5634"/>
      <c r="AU360" s="3662"/>
      <c r="AV360" s="3662"/>
      <c r="AW360" s="3662"/>
      <c r="AX360" s="3662"/>
      <c r="AY360" s="3662"/>
      <c r="AZ360" s="3662"/>
      <c r="BA360" s="5634"/>
      <c r="BB360" s="2963"/>
      <c r="BC360" s="2963"/>
      <c r="BD360" s="5634"/>
      <c r="BE360" s="5634"/>
      <c r="BF360" s="5634"/>
      <c r="BG360" s="5634"/>
      <c r="BH360" s="2963"/>
      <c r="BI360" s="2963"/>
      <c r="BJ360" s="2963"/>
      <c r="BK360" s="2963"/>
      <c r="BL360" s="2963"/>
      <c r="BM360" s="2963"/>
      <c r="BN360" s="2963">
        <v>72000</v>
      </c>
      <c r="BO360" s="5634"/>
      <c r="BP360" s="5634"/>
      <c r="BQ360" s="5634"/>
      <c r="BR360" s="5634"/>
      <c r="BS360" s="5634"/>
      <c r="BT360" s="5634"/>
      <c r="BU360" s="5634"/>
      <c r="BV360" s="5634"/>
      <c r="BW360" s="5634"/>
      <c r="BX360" s="5634"/>
      <c r="BY360" s="5634"/>
      <c r="BZ360" s="5634"/>
      <c r="CA360" s="5634"/>
      <c r="CB360" s="2963">
        <v>72000</v>
      </c>
      <c r="CC360" s="2963"/>
      <c r="CD360" s="2963"/>
      <c r="CE360" s="5039"/>
      <c r="CF360" s="5039"/>
      <c r="CG360" s="5039"/>
      <c r="CH360" s="5039"/>
    </row>
    <row r="361" s="4971" customFormat="1" ht="92" spans="1:86">
      <c r="A361" s="3662"/>
      <c r="B361" s="3524"/>
      <c r="C361" s="4088"/>
      <c r="D361" s="3669"/>
      <c r="E361" s="3669"/>
      <c r="F361" s="5554"/>
      <c r="G361" s="5554"/>
      <c r="H361" s="5554"/>
      <c r="I361" s="5572"/>
      <c r="J361" s="5554"/>
      <c r="K361" s="3324"/>
      <c r="L361" s="3324"/>
      <c r="M361" s="3324"/>
      <c r="N361" s="3324"/>
      <c r="O361" s="3324"/>
      <c r="P361" s="3324"/>
      <c r="Q361" s="3324"/>
      <c r="R361" s="3324"/>
      <c r="S361" s="3324"/>
      <c r="T361" s="3324"/>
      <c r="U361" s="3324"/>
      <c r="V361" s="3324"/>
      <c r="W361" s="3324"/>
      <c r="X361" s="3324"/>
      <c r="Y361" s="3324"/>
      <c r="Z361" s="3324"/>
      <c r="AA361" s="3324"/>
      <c r="AB361" s="3324"/>
      <c r="AC361" s="5571">
        <v>4</v>
      </c>
      <c r="AD361" s="5608" t="s">
        <v>937</v>
      </c>
      <c r="AE361" s="5605">
        <v>0.2</v>
      </c>
      <c r="AF361" s="5571">
        <f>M356*AE361</f>
        <v>468005</v>
      </c>
      <c r="AG361" s="2960">
        <f t="shared" si="73"/>
        <v>92400</v>
      </c>
      <c r="AH361" s="918" t="s">
        <v>122</v>
      </c>
      <c r="AI361" s="2960">
        <v>45288</v>
      </c>
      <c r="AJ361" s="2960">
        <v>92400</v>
      </c>
      <c r="AK361" s="2960">
        <v>45288</v>
      </c>
      <c r="AL361" s="2960">
        <v>92400</v>
      </c>
      <c r="AM361" s="2963">
        <v>45357</v>
      </c>
      <c r="AN361" s="2963">
        <f t="shared" si="76"/>
        <v>92400</v>
      </c>
      <c r="AO361" s="2963">
        <v>45369</v>
      </c>
      <c r="AP361" s="2963">
        <f t="shared" si="78"/>
        <v>0</v>
      </c>
      <c r="AQ361" s="5634"/>
      <c r="AR361" s="2963"/>
      <c r="AS361" s="5647"/>
      <c r="AT361" s="5634"/>
      <c r="AU361" s="3662"/>
      <c r="AV361" s="3662"/>
      <c r="AW361" s="3662"/>
      <c r="AX361" s="3662"/>
      <c r="AY361" s="3662"/>
      <c r="AZ361" s="3662"/>
      <c r="BA361" s="5634"/>
      <c r="BB361" s="2963"/>
      <c r="BC361" s="2963"/>
      <c r="BD361" s="5634"/>
      <c r="BE361" s="5634"/>
      <c r="BF361" s="5634"/>
      <c r="BG361" s="5634"/>
      <c r="BH361" s="2963"/>
      <c r="BI361" s="2963"/>
      <c r="BJ361" s="2963"/>
      <c r="BK361" s="2963"/>
      <c r="BL361" s="2963"/>
      <c r="BM361" s="2963"/>
      <c r="BN361" s="2963">
        <v>92400</v>
      </c>
      <c r="BO361" s="5634"/>
      <c r="BP361" s="5634"/>
      <c r="BQ361" s="5634"/>
      <c r="BR361" s="5634"/>
      <c r="BS361" s="5634"/>
      <c r="BT361" s="5634"/>
      <c r="BU361" s="5634"/>
      <c r="BV361" s="5634"/>
      <c r="BW361" s="5634"/>
      <c r="BX361" s="5634"/>
      <c r="BY361" s="5634"/>
      <c r="BZ361" s="5634"/>
      <c r="CA361" s="5634"/>
      <c r="CB361" s="2963">
        <v>92400</v>
      </c>
      <c r="CC361" s="2963"/>
      <c r="CD361" s="2963"/>
      <c r="CE361" s="5039"/>
      <c r="CF361" s="5039"/>
      <c r="CG361" s="5039"/>
      <c r="CH361" s="5039"/>
    </row>
    <row r="362" s="4971" customFormat="1" ht="92" spans="1:86">
      <c r="A362" s="3662"/>
      <c r="B362" s="3524"/>
      <c r="C362" s="4088"/>
      <c r="D362" s="3669"/>
      <c r="E362" s="3669"/>
      <c r="F362" s="5554"/>
      <c r="G362" s="5554"/>
      <c r="H362" s="5554"/>
      <c r="I362" s="5572"/>
      <c r="J362" s="5554"/>
      <c r="K362" s="3324"/>
      <c r="L362" s="3324"/>
      <c r="M362" s="3324"/>
      <c r="N362" s="3324"/>
      <c r="O362" s="3324"/>
      <c r="P362" s="3324"/>
      <c r="Q362" s="3324"/>
      <c r="R362" s="3324"/>
      <c r="S362" s="3324"/>
      <c r="T362" s="3324"/>
      <c r="U362" s="3324"/>
      <c r="V362" s="3324"/>
      <c r="W362" s="3324"/>
      <c r="X362" s="3324"/>
      <c r="Y362" s="3324"/>
      <c r="Z362" s="3324"/>
      <c r="AA362" s="3324"/>
      <c r="AB362" s="3324"/>
      <c r="AC362" s="3324"/>
      <c r="AD362" s="5608" t="s">
        <v>938</v>
      </c>
      <c r="AE362" s="5605"/>
      <c r="AF362" s="3324"/>
      <c r="AG362" s="2960">
        <f t="shared" si="73"/>
        <v>165151.58</v>
      </c>
      <c r="AH362" s="918" t="s">
        <v>122</v>
      </c>
      <c r="AI362" s="2963">
        <v>45288</v>
      </c>
      <c r="AJ362" s="2963">
        <v>165151.58</v>
      </c>
      <c r="AK362" s="2963">
        <v>45288</v>
      </c>
      <c r="AL362" s="2963">
        <v>165151.58</v>
      </c>
      <c r="AM362" s="2963">
        <v>45520</v>
      </c>
      <c r="AN362" s="2963">
        <f t="shared" si="76"/>
        <v>165151.58</v>
      </c>
      <c r="AO362" s="2963">
        <v>45596</v>
      </c>
      <c r="AP362" s="2963">
        <f t="shared" si="78"/>
        <v>0</v>
      </c>
      <c r="AQ362" s="5634"/>
      <c r="AR362" s="2963"/>
      <c r="AS362" s="5647"/>
      <c r="AT362" s="5634"/>
      <c r="AU362" s="3662"/>
      <c r="AV362" s="3662"/>
      <c r="AW362" s="3662"/>
      <c r="AX362" s="3662"/>
      <c r="AY362" s="3662"/>
      <c r="AZ362" s="3662"/>
      <c r="BA362" s="5634"/>
      <c r="BB362" s="2963"/>
      <c r="BC362" s="2963"/>
      <c r="BD362" s="5634"/>
      <c r="BE362" s="5634"/>
      <c r="BF362" s="5634"/>
      <c r="BG362" s="5634"/>
      <c r="BH362" s="2963"/>
      <c r="BI362" s="2963"/>
      <c r="BJ362" s="2963"/>
      <c r="BK362" s="2963"/>
      <c r="BL362" s="2963"/>
      <c r="BM362" s="2963"/>
      <c r="BN362" s="2963">
        <v>165151.58</v>
      </c>
      <c r="BO362" s="5634"/>
      <c r="BP362" s="5634"/>
      <c r="BQ362" s="5634"/>
      <c r="BR362" s="5634"/>
      <c r="BS362" s="5634"/>
      <c r="BT362" s="5634"/>
      <c r="BU362" s="5634"/>
      <c r="BV362" s="5634"/>
      <c r="BW362" s="5634"/>
      <c r="BX362" s="5634"/>
      <c r="BY362" s="5634"/>
      <c r="BZ362" s="5634"/>
      <c r="CA362" s="5634"/>
      <c r="CB362" s="5634">
        <v>165151.58</v>
      </c>
      <c r="CC362" s="2963"/>
      <c r="CD362" s="2963"/>
      <c r="CE362" s="5039"/>
      <c r="CF362" s="5039"/>
      <c r="CG362" s="5039"/>
      <c r="CH362" s="5039"/>
    </row>
    <row r="363" s="4971" customFormat="1" ht="76" spans="1:86">
      <c r="A363" s="3662"/>
      <c r="B363" s="3524"/>
      <c r="C363" s="4088"/>
      <c r="D363" s="3669"/>
      <c r="E363" s="3669"/>
      <c r="F363" s="5554"/>
      <c r="G363" s="5554"/>
      <c r="H363" s="5554"/>
      <c r="I363" s="5572"/>
      <c r="J363" s="5554"/>
      <c r="K363" s="3324"/>
      <c r="L363" s="3324"/>
      <c r="M363" s="3324"/>
      <c r="N363" s="3324"/>
      <c r="O363" s="3324"/>
      <c r="P363" s="3324"/>
      <c r="Q363" s="3324"/>
      <c r="R363" s="3324"/>
      <c r="S363" s="3324"/>
      <c r="T363" s="3324"/>
      <c r="U363" s="3324"/>
      <c r="V363" s="3324"/>
      <c r="W363" s="3324"/>
      <c r="X363" s="3324"/>
      <c r="Y363" s="3324"/>
      <c r="Z363" s="3324"/>
      <c r="AA363" s="3324"/>
      <c r="AB363" s="3324"/>
      <c r="AC363" s="3383"/>
      <c r="AD363" s="5604" t="s">
        <v>939</v>
      </c>
      <c r="AE363" s="5605"/>
      <c r="AF363" s="3383"/>
      <c r="AG363" s="2960">
        <f t="shared" si="73"/>
        <v>210453.42</v>
      </c>
      <c r="AH363" s="918" t="s">
        <v>122</v>
      </c>
      <c r="AI363" s="2963">
        <v>45519</v>
      </c>
      <c r="AJ363" s="2963">
        <v>210453.42</v>
      </c>
      <c r="AK363" s="2963">
        <v>45519</v>
      </c>
      <c r="AL363" s="2963">
        <v>210453.42</v>
      </c>
      <c r="AM363" s="2963">
        <v>45520</v>
      </c>
      <c r="AN363" s="2963">
        <f t="shared" si="76"/>
        <v>210453.42</v>
      </c>
      <c r="AO363" s="2963">
        <v>45596</v>
      </c>
      <c r="AP363" s="2963">
        <f t="shared" si="78"/>
        <v>0</v>
      </c>
      <c r="AQ363" s="5634"/>
      <c r="AR363" s="2963"/>
      <c r="AS363" s="5647"/>
      <c r="AT363" s="5634"/>
      <c r="AU363" s="3662"/>
      <c r="AV363" s="3662"/>
      <c r="AW363" s="3662"/>
      <c r="AX363" s="3662"/>
      <c r="AY363" s="3662"/>
      <c r="AZ363" s="3662"/>
      <c r="BA363" s="5634"/>
      <c r="BB363" s="2963"/>
      <c r="BC363" s="2963"/>
      <c r="BD363" s="5634"/>
      <c r="BE363" s="5634"/>
      <c r="BF363" s="5634"/>
      <c r="BG363" s="5634"/>
      <c r="BH363" s="2963"/>
      <c r="BI363" s="2963"/>
      <c r="BJ363" s="2963"/>
      <c r="BK363" s="2963"/>
      <c r="BL363" s="2963"/>
      <c r="BM363" s="2963"/>
      <c r="BN363" s="5651">
        <v>210453.42</v>
      </c>
      <c r="BO363" s="5634"/>
      <c r="BP363" s="5634"/>
      <c r="BQ363" s="5634"/>
      <c r="BR363" s="5634"/>
      <c r="BS363" s="5634"/>
      <c r="BT363" s="5634"/>
      <c r="BU363" s="5634"/>
      <c r="BV363" s="5634"/>
      <c r="BW363" s="5634"/>
      <c r="BX363" s="5634"/>
      <c r="BY363" s="5634"/>
      <c r="BZ363" s="5634"/>
      <c r="CA363" s="5634"/>
      <c r="CB363" s="5634">
        <v>210453.42</v>
      </c>
      <c r="CC363" s="2963"/>
      <c r="CD363" s="2963"/>
      <c r="CE363" s="5039"/>
      <c r="CF363" s="5039"/>
      <c r="CG363" s="5039"/>
      <c r="CH363" s="5039"/>
    </row>
    <row r="364" s="4971" customFormat="1" ht="76" spans="1:86">
      <c r="A364" s="3662"/>
      <c r="B364" s="3524"/>
      <c r="C364" s="4088"/>
      <c r="D364" s="3669"/>
      <c r="E364" s="3669"/>
      <c r="F364" s="5554"/>
      <c r="G364" s="5554"/>
      <c r="H364" s="5554"/>
      <c r="I364" s="5572"/>
      <c r="J364" s="5554"/>
      <c r="K364" s="3324"/>
      <c r="L364" s="3324"/>
      <c r="M364" s="3324"/>
      <c r="N364" s="3324"/>
      <c r="O364" s="3324"/>
      <c r="P364" s="3324"/>
      <c r="Q364" s="3324"/>
      <c r="R364" s="3324"/>
      <c r="S364" s="3324"/>
      <c r="T364" s="3324"/>
      <c r="U364" s="3324"/>
      <c r="V364" s="3324"/>
      <c r="W364" s="3324"/>
      <c r="X364" s="3324"/>
      <c r="Y364" s="3324"/>
      <c r="Z364" s="3324"/>
      <c r="AA364" s="3324"/>
      <c r="AB364" s="3324"/>
      <c r="AC364" s="2963">
        <v>5</v>
      </c>
      <c r="AD364" s="5604" t="s">
        <v>940</v>
      </c>
      <c r="AE364" s="5605">
        <v>0.15</v>
      </c>
      <c r="AF364" s="2963">
        <f>M356*AE364</f>
        <v>351003.75</v>
      </c>
      <c r="AG364" s="2963">
        <f t="shared" ref="AG364:AG391" si="79">SUM(BA364:BN364)</f>
        <v>351003.75</v>
      </c>
      <c r="AH364" s="5623" t="s">
        <v>349</v>
      </c>
      <c r="AI364" s="5624">
        <v>46021</v>
      </c>
      <c r="AJ364" s="2963"/>
      <c r="AK364" s="5634"/>
      <c r="AL364" s="2960"/>
      <c r="AM364" s="2963"/>
      <c r="AN364" s="5624">
        <f t="shared" ref="AN364:AN384" si="80">SUM(BO364:CB364)</f>
        <v>351003.75</v>
      </c>
      <c r="AO364" s="5624">
        <v>46052</v>
      </c>
      <c r="AP364" s="2963">
        <f t="shared" ref="AP364:AP389" si="81">AG364-AN364</f>
        <v>0</v>
      </c>
      <c r="AQ364" s="5634"/>
      <c r="AR364" s="2963"/>
      <c r="AS364" s="5647"/>
      <c r="AT364" s="5634"/>
      <c r="AU364" s="3662"/>
      <c r="AV364" s="3662"/>
      <c r="AW364" s="3662"/>
      <c r="AX364" s="3662"/>
      <c r="AY364" s="3662"/>
      <c r="AZ364" s="3662"/>
      <c r="BA364" s="5634"/>
      <c r="BB364" s="2963"/>
      <c r="BC364" s="2963"/>
      <c r="BD364" s="5634"/>
      <c r="BE364" s="5634"/>
      <c r="BF364" s="5634"/>
      <c r="BG364" s="5634"/>
      <c r="BH364" s="2963"/>
      <c r="BI364" s="2963"/>
      <c r="BJ364" s="2963"/>
      <c r="BK364" s="2963"/>
      <c r="BL364" s="2963"/>
      <c r="BM364" s="2963"/>
      <c r="BN364" s="2963">
        <v>351003.75</v>
      </c>
      <c r="BO364" s="5634"/>
      <c r="BP364" s="5634"/>
      <c r="BQ364" s="5634"/>
      <c r="BR364" s="5634"/>
      <c r="BS364" s="5634"/>
      <c r="BT364" s="5634"/>
      <c r="BU364" s="5634"/>
      <c r="BV364" s="5634"/>
      <c r="BW364" s="5634"/>
      <c r="BX364" s="5634"/>
      <c r="BY364" s="5634"/>
      <c r="BZ364" s="5634"/>
      <c r="CA364" s="5634"/>
      <c r="CB364" s="5634">
        <v>351003.75</v>
      </c>
      <c r="CC364" s="2963"/>
      <c r="CD364" s="2963"/>
      <c r="CE364" s="5039"/>
      <c r="CF364" s="5039"/>
      <c r="CG364" s="5039"/>
      <c r="CH364" s="5039"/>
    </row>
    <row r="365" s="4971" customFormat="1" ht="76" spans="1:86">
      <c r="A365" s="3662"/>
      <c r="B365" s="3524"/>
      <c r="C365" s="4903"/>
      <c r="D365" s="3741"/>
      <c r="E365" s="3741"/>
      <c r="F365" s="5555"/>
      <c r="G365" s="5555"/>
      <c r="H365" s="5555"/>
      <c r="I365" s="4671"/>
      <c r="J365" s="5555"/>
      <c r="K365" s="3383"/>
      <c r="L365" s="3383"/>
      <c r="M365" s="3383"/>
      <c r="N365" s="3383"/>
      <c r="O365" s="3383"/>
      <c r="P365" s="3383"/>
      <c r="Q365" s="3383"/>
      <c r="R365" s="3383"/>
      <c r="S365" s="3383"/>
      <c r="T365" s="3383"/>
      <c r="U365" s="3383"/>
      <c r="V365" s="3383"/>
      <c r="W365" s="3383"/>
      <c r="X365" s="3383"/>
      <c r="Y365" s="3383"/>
      <c r="Z365" s="3383"/>
      <c r="AA365" s="3383"/>
      <c r="AB365" s="3383"/>
      <c r="AC365" s="2963">
        <v>6</v>
      </c>
      <c r="AD365" s="5604" t="s">
        <v>941</v>
      </c>
      <c r="AE365" s="5605">
        <v>0.1</v>
      </c>
      <c r="AF365" s="2963">
        <f>M356*AE365</f>
        <v>234002.5</v>
      </c>
      <c r="AG365" s="2963">
        <f t="shared" si="79"/>
        <v>234002.5</v>
      </c>
      <c r="AH365" s="5623" t="s">
        <v>349</v>
      </c>
      <c r="AI365" s="5624">
        <v>46021</v>
      </c>
      <c r="AJ365" s="2963"/>
      <c r="AK365" s="5634"/>
      <c r="AL365" s="2960"/>
      <c r="AM365" s="2963"/>
      <c r="AN365" s="5624">
        <f t="shared" si="80"/>
        <v>234002.5</v>
      </c>
      <c r="AO365" s="5624">
        <v>46052</v>
      </c>
      <c r="AP365" s="2963">
        <f t="shared" si="81"/>
        <v>0</v>
      </c>
      <c r="AQ365" s="5634"/>
      <c r="AR365" s="2963"/>
      <c r="AS365" s="5647"/>
      <c r="AT365" s="5634"/>
      <c r="AU365" s="3662"/>
      <c r="AV365" s="3662"/>
      <c r="AW365" s="3662"/>
      <c r="AX365" s="3662"/>
      <c r="AY365" s="3662"/>
      <c r="AZ365" s="3662"/>
      <c r="BA365" s="5634"/>
      <c r="BB365" s="2963"/>
      <c r="BC365" s="2963"/>
      <c r="BD365" s="5634"/>
      <c r="BE365" s="5634"/>
      <c r="BF365" s="5634"/>
      <c r="BG365" s="5634"/>
      <c r="BH365" s="2963"/>
      <c r="BI365" s="2963"/>
      <c r="BJ365" s="2963"/>
      <c r="BK365" s="2963"/>
      <c r="BL365" s="2963"/>
      <c r="BM365" s="2963"/>
      <c r="BN365" s="2963">
        <v>234002.5</v>
      </c>
      <c r="BO365" s="5634"/>
      <c r="BP365" s="5634"/>
      <c r="BQ365" s="5634"/>
      <c r="BR365" s="5634"/>
      <c r="BS365" s="5634"/>
      <c r="BT365" s="5634"/>
      <c r="BU365" s="5634"/>
      <c r="BV365" s="5634"/>
      <c r="BW365" s="5634"/>
      <c r="BX365" s="5634"/>
      <c r="BY365" s="5634"/>
      <c r="BZ365" s="5634"/>
      <c r="CA365" s="5634"/>
      <c r="CB365" s="5634">
        <v>234002.5</v>
      </c>
      <c r="CC365" s="2963"/>
      <c r="CD365" s="2963"/>
      <c r="CE365" s="5039"/>
      <c r="CF365" s="5039"/>
      <c r="CG365" s="5039"/>
      <c r="CH365" s="5039"/>
    </row>
    <row r="366" s="4971" customFormat="1" ht="61" spans="1:86">
      <c r="A366" s="3662"/>
      <c r="B366" s="857" t="s">
        <v>888</v>
      </c>
      <c r="C366" s="3524">
        <v>45258</v>
      </c>
      <c r="D366" s="5073" t="s">
        <v>918</v>
      </c>
      <c r="E366" s="3740"/>
      <c r="F366" s="5547" t="s">
        <v>942</v>
      </c>
      <c r="G366" s="5547" t="s">
        <v>943</v>
      </c>
      <c r="H366" s="5547" t="s">
        <v>338</v>
      </c>
      <c r="I366" s="5547"/>
      <c r="J366" s="5547" t="s">
        <v>921</v>
      </c>
      <c r="K366" s="5561">
        <v>104208.83</v>
      </c>
      <c r="L366" s="5561"/>
      <c r="M366" s="5561">
        <f>SUM(N366:AA371)</f>
        <v>517375</v>
      </c>
      <c r="N366" s="5561"/>
      <c r="O366" s="5561"/>
      <c r="P366" s="5561"/>
      <c r="Q366" s="5561"/>
      <c r="R366" s="5561"/>
      <c r="S366" s="5561"/>
      <c r="T366" s="5561"/>
      <c r="U366" s="5561"/>
      <c r="V366" s="5561"/>
      <c r="W366" s="5561"/>
      <c r="X366" s="5561"/>
      <c r="Y366" s="5561"/>
      <c r="Z366" s="5561"/>
      <c r="AA366" s="5561">
        <v>517375</v>
      </c>
      <c r="AB366" s="5582" t="s">
        <v>126</v>
      </c>
      <c r="AC366" s="2973">
        <v>1</v>
      </c>
      <c r="AD366" s="5601" t="s">
        <v>922</v>
      </c>
      <c r="AE366" s="5586">
        <v>0.15</v>
      </c>
      <c r="AF366" s="2973">
        <f>M366*AE366</f>
        <v>77606.25</v>
      </c>
      <c r="AG366" s="5588">
        <f t="shared" si="79"/>
        <v>77606.25</v>
      </c>
      <c r="AH366" s="5613" t="s">
        <v>122</v>
      </c>
      <c r="AI366" s="5588">
        <v>45604</v>
      </c>
      <c r="AJ366" s="5588">
        <v>77606.25</v>
      </c>
      <c r="AK366" s="5588">
        <v>45604</v>
      </c>
      <c r="AL366" s="5612">
        <v>77606.25</v>
      </c>
      <c r="AM366" s="5588">
        <v>45604</v>
      </c>
      <c r="AN366" s="5588">
        <f t="shared" si="80"/>
        <v>77606.25</v>
      </c>
      <c r="AO366" s="5588">
        <v>45678</v>
      </c>
      <c r="AP366" s="2973">
        <f t="shared" si="81"/>
        <v>0</v>
      </c>
      <c r="AQ366" s="5614"/>
      <c r="AR366" s="2973"/>
      <c r="AS366" s="5635"/>
      <c r="AT366" s="5614"/>
      <c r="AU366" s="3662"/>
      <c r="AV366" s="3662"/>
      <c r="AW366" s="3662"/>
      <c r="AX366" s="3662"/>
      <c r="AY366" s="3662"/>
      <c r="AZ366" s="3662"/>
      <c r="BA366" s="5614"/>
      <c r="BB366" s="2973"/>
      <c r="BC366" s="2973">
        <v>77606.25</v>
      </c>
      <c r="BD366" s="5614"/>
      <c r="BE366" s="5614"/>
      <c r="BF366" s="5614"/>
      <c r="BG366" s="5614"/>
      <c r="BH366" s="2973"/>
      <c r="BI366" s="2973"/>
      <c r="BJ366" s="2973"/>
      <c r="BK366" s="2973"/>
      <c r="BL366" s="2973"/>
      <c r="BM366" s="2973"/>
      <c r="BN366" s="2973"/>
      <c r="BO366" s="5614"/>
      <c r="BP366" s="5614"/>
      <c r="BQ366" s="5614">
        <v>77606.25</v>
      </c>
      <c r="BR366" s="5614"/>
      <c r="BS366" s="5614"/>
      <c r="BT366" s="5614"/>
      <c r="BU366" s="5614"/>
      <c r="BV366" s="5648"/>
      <c r="BW366" s="5614"/>
      <c r="BX366" s="5614"/>
      <c r="BY366" s="5614"/>
      <c r="BZ366" s="5614"/>
      <c r="CA366" s="5614"/>
      <c r="CB366" s="5614"/>
      <c r="CC366" s="2973"/>
      <c r="CD366" s="2973"/>
      <c r="CE366" s="5039"/>
      <c r="CF366" s="5039"/>
      <c r="CG366" s="5039"/>
      <c r="CH366" s="5039"/>
    </row>
    <row r="367" s="4971" customFormat="1" ht="70.85" customHeight="1" spans="1:86">
      <c r="A367" s="3662"/>
      <c r="B367" s="3524"/>
      <c r="C367" s="3524"/>
      <c r="D367" s="3669"/>
      <c r="E367" s="3669"/>
      <c r="F367" s="5548"/>
      <c r="G367" s="5548"/>
      <c r="H367" s="5548"/>
      <c r="I367" s="5562"/>
      <c r="J367" s="5548"/>
      <c r="K367" s="5563"/>
      <c r="L367" s="5563"/>
      <c r="M367" s="5563"/>
      <c r="N367" s="5563"/>
      <c r="O367" s="5563"/>
      <c r="P367" s="5563"/>
      <c r="Q367" s="5563"/>
      <c r="R367" s="5563"/>
      <c r="S367" s="5563"/>
      <c r="T367" s="5563"/>
      <c r="U367" s="5563"/>
      <c r="V367" s="5563"/>
      <c r="W367" s="5563"/>
      <c r="X367" s="5563"/>
      <c r="Y367" s="5563"/>
      <c r="Z367" s="5563"/>
      <c r="AA367" s="5563"/>
      <c r="AB367" s="5563"/>
      <c r="AC367" s="2973">
        <v>2</v>
      </c>
      <c r="AD367" s="5601" t="s">
        <v>923</v>
      </c>
      <c r="AE367" s="5586">
        <v>0.25</v>
      </c>
      <c r="AF367" s="2973">
        <f>M366*AE367</f>
        <v>129343.75</v>
      </c>
      <c r="AG367" s="5588">
        <f t="shared" si="79"/>
        <v>129343.75</v>
      </c>
      <c r="AH367" s="5613" t="s">
        <v>122</v>
      </c>
      <c r="AI367" s="5588">
        <v>45604</v>
      </c>
      <c r="AJ367" s="5588">
        <v>129343.75</v>
      </c>
      <c r="AK367" s="5588">
        <v>45604</v>
      </c>
      <c r="AL367" s="5612">
        <v>129343.75</v>
      </c>
      <c r="AM367" s="5588">
        <v>45604</v>
      </c>
      <c r="AN367" s="5588">
        <f t="shared" si="80"/>
        <v>129343.75</v>
      </c>
      <c r="AO367" s="5588">
        <v>45678</v>
      </c>
      <c r="AP367" s="2973">
        <f t="shared" si="81"/>
        <v>0</v>
      </c>
      <c r="AQ367" s="5614"/>
      <c r="AR367" s="2973"/>
      <c r="AS367" s="5635"/>
      <c r="AT367" s="5614"/>
      <c r="AU367" s="3662"/>
      <c r="AV367" s="3662"/>
      <c r="AW367" s="3662"/>
      <c r="AX367" s="3662"/>
      <c r="AY367" s="3662"/>
      <c r="AZ367" s="3662"/>
      <c r="BA367" s="5614"/>
      <c r="BB367" s="2973"/>
      <c r="BC367" s="2973"/>
      <c r="BD367" s="5614"/>
      <c r="BE367" s="5614"/>
      <c r="BF367" s="5614"/>
      <c r="BG367" s="5614"/>
      <c r="BH367" s="2973"/>
      <c r="BI367" s="2973"/>
      <c r="BJ367" s="2973"/>
      <c r="BK367" s="2973"/>
      <c r="BL367" s="2973"/>
      <c r="BM367" s="2973"/>
      <c r="BN367" s="5652">
        <v>129343.75</v>
      </c>
      <c r="BO367" s="5614"/>
      <c r="BP367" s="5614"/>
      <c r="BQ367" s="5614"/>
      <c r="BR367" s="5614"/>
      <c r="BS367" s="5614"/>
      <c r="BT367" s="5614"/>
      <c r="BU367" s="5614"/>
      <c r="BV367" s="5648"/>
      <c r="BW367" s="5614"/>
      <c r="BX367" s="5614"/>
      <c r="BY367" s="5614"/>
      <c r="BZ367" s="5614"/>
      <c r="CA367" s="5614"/>
      <c r="CB367" s="5614">
        <v>129343.75</v>
      </c>
      <c r="CC367" s="2973"/>
      <c r="CD367" s="2973"/>
      <c r="CE367" s="5039"/>
      <c r="CF367" s="5039"/>
      <c r="CG367" s="5039"/>
      <c r="CH367" s="5039"/>
    </row>
    <row r="368" s="4971" customFormat="1" ht="70.85" customHeight="1" spans="1:86">
      <c r="A368" s="3662"/>
      <c r="B368" s="3524"/>
      <c r="C368" s="3524"/>
      <c r="D368" s="3669"/>
      <c r="E368" s="3669"/>
      <c r="F368" s="5548"/>
      <c r="G368" s="5548"/>
      <c r="H368" s="5548"/>
      <c r="I368" s="5562"/>
      <c r="J368" s="5548"/>
      <c r="K368" s="5563"/>
      <c r="L368" s="5563"/>
      <c r="M368" s="5563"/>
      <c r="N368" s="5563"/>
      <c r="O368" s="5563"/>
      <c r="P368" s="5563"/>
      <c r="Q368" s="5563"/>
      <c r="R368" s="5563"/>
      <c r="S368" s="5563"/>
      <c r="T368" s="5563"/>
      <c r="U368" s="5563"/>
      <c r="V368" s="5563"/>
      <c r="W368" s="5563"/>
      <c r="X368" s="5563"/>
      <c r="Y368" s="5563"/>
      <c r="Z368" s="5563"/>
      <c r="AA368" s="5563"/>
      <c r="AB368" s="5563"/>
      <c r="AC368" s="2973">
        <v>3</v>
      </c>
      <c r="AD368" s="5601" t="s">
        <v>924</v>
      </c>
      <c r="AE368" s="5586">
        <v>0.15</v>
      </c>
      <c r="AF368" s="2973">
        <f>M366*AE368</f>
        <v>77606.25</v>
      </c>
      <c r="AG368" s="5588">
        <f t="shared" si="79"/>
        <v>77606.25</v>
      </c>
      <c r="AH368" s="5613" t="s">
        <v>122</v>
      </c>
      <c r="AI368" s="5588">
        <v>45849</v>
      </c>
      <c r="AJ368" s="5588">
        <v>77606.25</v>
      </c>
      <c r="AK368" s="5588">
        <v>45849</v>
      </c>
      <c r="AL368" s="5588">
        <v>77606.25</v>
      </c>
      <c r="AM368" s="5588">
        <v>45852</v>
      </c>
      <c r="AN368" s="5618">
        <f t="shared" si="80"/>
        <v>77606.25</v>
      </c>
      <c r="AO368" s="5618">
        <v>46052</v>
      </c>
      <c r="AP368" s="2973">
        <f t="shared" si="81"/>
        <v>0</v>
      </c>
      <c r="AQ368" s="5614"/>
      <c r="AR368" s="2973"/>
      <c r="AS368" s="5635"/>
      <c r="AT368" s="5614"/>
      <c r="AU368" s="3662"/>
      <c r="AV368" s="3662"/>
      <c r="AW368" s="3662"/>
      <c r="AX368" s="3662"/>
      <c r="AY368" s="3662"/>
      <c r="AZ368" s="3662"/>
      <c r="BA368" s="5614"/>
      <c r="BB368" s="2973"/>
      <c r="BC368" s="2973"/>
      <c r="BD368" s="5614"/>
      <c r="BE368" s="5614"/>
      <c r="BF368" s="5614"/>
      <c r="BG368" s="5614"/>
      <c r="BH368" s="2973"/>
      <c r="BI368" s="2973"/>
      <c r="BJ368" s="2973"/>
      <c r="BK368" s="2973"/>
      <c r="BL368" s="2973"/>
      <c r="BM368" s="2973"/>
      <c r="BN368" s="2973">
        <v>77606.25</v>
      </c>
      <c r="BO368" s="5614"/>
      <c r="BP368" s="5614"/>
      <c r="BQ368" s="5614"/>
      <c r="BR368" s="5614"/>
      <c r="BS368" s="5614"/>
      <c r="BT368" s="5614"/>
      <c r="BU368" s="5614"/>
      <c r="BV368" s="5614"/>
      <c r="BW368" s="5614"/>
      <c r="BX368" s="5614"/>
      <c r="BY368" s="5614"/>
      <c r="BZ368" s="5614"/>
      <c r="CA368" s="5614"/>
      <c r="CB368" s="5614">
        <v>77606.25</v>
      </c>
      <c r="CC368" s="2973"/>
      <c r="CD368" s="2973"/>
      <c r="CE368" s="5039"/>
      <c r="CF368" s="5039"/>
      <c r="CG368" s="5039"/>
      <c r="CH368" s="5039"/>
    </row>
    <row r="369" s="4971" customFormat="1" ht="70.85" customHeight="1" spans="1:86">
      <c r="A369" s="3662"/>
      <c r="B369" s="3524"/>
      <c r="C369" s="3524"/>
      <c r="D369" s="3669"/>
      <c r="E369" s="3669"/>
      <c r="F369" s="5548"/>
      <c r="G369" s="5548"/>
      <c r="H369" s="5548"/>
      <c r="I369" s="5562"/>
      <c r="J369" s="5548"/>
      <c r="K369" s="5563"/>
      <c r="L369" s="5563"/>
      <c r="M369" s="5563"/>
      <c r="N369" s="5563"/>
      <c r="O369" s="5563"/>
      <c r="P369" s="5563"/>
      <c r="Q369" s="5563"/>
      <c r="R369" s="5563"/>
      <c r="S369" s="5563"/>
      <c r="T369" s="5563"/>
      <c r="U369" s="5563"/>
      <c r="V369" s="5563"/>
      <c r="W369" s="5563"/>
      <c r="X369" s="5563"/>
      <c r="Y369" s="5563"/>
      <c r="Z369" s="5563"/>
      <c r="AA369" s="5563"/>
      <c r="AB369" s="5563"/>
      <c r="AC369" s="2973">
        <v>4</v>
      </c>
      <c r="AD369" s="5601" t="s">
        <v>925</v>
      </c>
      <c r="AE369" s="5586">
        <v>0.2</v>
      </c>
      <c r="AF369" s="2973">
        <f>M366*AE369</f>
        <v>103475</v>
      </c>
      <c r="AG369" s="5618">
        <f t="shared" si="79"/>
        <v>103475</v>
      </c>
      <c r="AH369" s="5619" t="s">
        <v>349</v>
      </c>
      <c r="AI369" s="5618">
        <v>46172</v>
      </c>
      <c r="AJ369" s="2973"/>
      <c r="AK369" s="5614"/>
      <c r="AL369" s="5588"/>
      <c r="AM369" s="2973"/>
      <c r="AN369" s="5618">
        <f t="shared" si="80"/>
        <v>103475</v>
      </c>
      <c r="AO369" s="5618">
        <v>46203</v>
      </c>
      <c r="AP369" s="2973">
        <f t="shared" si="81"/>
        <v>0</v>
      </c>
      <c r="AQ369" s="5614"/>
      <c r="AR369" s="2973"/>
      <c r="AS369" s="5635"/>
      <c r="AT369" s="5614"/>
      <c r="AU369" s="3662"/>
      <c r="AV369" s="3662"/>
      <c r="AW369" s="3662"/>
      <c r="AX369" s="3662"/>
      <c r="AY369" s="3662"/>
      <c r="AZ369" s="3662"/>
      <c r="BA369" s="5614"/>
      <c r="BB369" s="2973"/>
      <c r="BC369" s="2973"/>
      <c r="BD369" s="5614"/>
      <c r="BE369" s="5614"/>
      <c r="BF369" s="5614"/>
      <c r="BG369" s="5614"/>
      <c r="BH369" s="2973"/>
      <c r="BI369" s="2973"/>
      <c r="BJ369" s="2973"/>
      <c r="BK369" s="2973"/>
      <c r="BL369" s="2973"/>
      <c r="BM369" s="2973"/>
      <c r="BN369" s="2973">
        <v>103475</v>
      </c>
      <c r="BO369" s="5614"/>
      <c r="BP369" s="5614"/>
      <c r="BQ369" s="5614"/>
      <c r="BR369" s="5614"/>
      <c r="BS369" s="5614"/>
      <c r="BT369" s="5614"/>
      <c r="BU369" s="5614"/>
      <c r="BV369" s="5614"/>
      <c r="BW369" s="5614"/>
      <c r="BX369" s="5614"/>
      <c r="BY369" s="5614"/>
      <c r="BZ369" s="5614"/>
      <c r="CA369" s="5614"/>
      <c r="CB369" s="5614">
        <v>103475</v>
      </c>
      <c r="CC369" s="2973"/>
      <c r="CD369" s="2973"/>
      <c r="CE369" s="5039"/>
      <c r="CF369" s="5039"/>
      <c r="CG369" s="5039"/>
      <c r="CH369" s="5039"/>
    </row>
    <row r="370" s="4971" customFormat="1" ht="70.85" customHeight="1" spans="1:86">
      <c r="A370" s="3662"/>
      <c r="B370" s="3524"/>
      <c r="C370" s="3524"/>
      <c r="D370" s="3669"/>
      <c r="E370" s="3669"/>
      <c r="F370" s="5548"/>
      <c r="G370" s="5548"/>
      <c r="H370" s="5548"/>
      <c r="I370" s="5562"/>
      <c r="J370" s="5548"/>
      <c r="K370" s="5563"/>
      <c r="L370" s="5563"/>
      <c r="M370" s="5563"/>
      <c r="N370" s="5563"/>
      <c r="O370" s="5563"/>
      <c r="P370" s="5563"/>
      <c r="Q370" s="5563"/>
      <c r="R370" s="5563"/>
      <c r="S370" s="5563"/>
      <c r="T370" s="5563"/>
      <c r="U370" s="5563"/>
      <c r="V370" s="5563"/>
      <c r="W370" s="5563"/>
      <c r="X370" s="5563"/>
      <c r="Y370" s="5563"/>
      <c r="Z370" s="5563"/>
      <c r="AA370" s="5563"/>
      <c r="AB370" s="5563"/>
      <c r="AC370" s="2973">
        <v>5</v>
      </c>
      <c r="AD370" s="5601" t="s">
        <v>926</v>
      </c>
      <c r="AE370" s="5586">
        <v>0.15</v>
      </c>
      <c r="AF370" s="2973">
        <f>M366*AE370</f>
        <v>77606.25</v>
      </c>
      <c r="AG370" s="5618">
        <f t="shared" si="79"/>
        <v>77606.25</v>
      </c>
      <c r="AH370" s="5619" t="s">
        <v>349</v>
      </c>
      <c r="AI370" s="5618"/>
      <c r="AJ370" s="2973"/>
      <c r="AK370" s="5614"/>
      <c r="AL370" s="5588"/>
      <c r="AM370" s="2973"/>
      <c r="AN370" s="5618">
        <f t="shared" si="80"/>
        <v>77606.25</v>
      </c>
      <c r="AO370" s="5618"/>
      <c r="AP370" s="2973">
        <f t="shared" si="81"/>
        <v>0</v>
      </c>
      <c r="AQ370" s="5614"/>
      <c r="AR370" s="2973"/>
      <c r="AS370" s="5635"/>
      <c r="AT370" s="5614"/>
      <c r="AU370" s="3662"/>
      <c r="AV370" s="3662"/>
      <c r="AW370" s="3662"/>
      <c r="AX370" s="3662"/>
      <c r="AY370" s="3662"/>
      <c r="AZ370" s="3662"/>
      <c r="BA370" s="5614"/>
      <c r="BB370" s="2973"/>
      <c r="BC370" s="2973"/>
      <c r="BD370" s="5614"/>
      <c r="BE370" s="5614"/>
      <c r="BF370" s="5614"/>
      <c r="BG370" s="5614"/>
      <c r="BH370" s="2973"/>
      <c r="BI370" s="2973"/>
      <c r="BJ370" s="2973"/>
      <c r="BK370" s="2973"/>
      <c r="BL370" s="2973"/>
      <c r="BM370" s="2973"/>
      <c r="BN370" s="2973">
        <v>77606.25</v>
      </c>
      <c r="BO370" s="5614"/>
      <c r="BP370" s="5614"/>
      <c r="BQ370" s="5614"/>
      <c r="BR370" s="5614"/>
      <c r="BS370" s="5614"/>
      <c r="BT370" s="5614"/>
      <c r="BU370" s="5614"/>
      <c r="BV370" s="5614"/>
      <c r="BW370" s="5614"/>
      <c r="BX370" s="5614"/>
      <c r="BY370" s="5614"/>
      <c r="BZ370" s="5614"/>
      <c r="CA370" s="5614"/>
      <c r="CB370" s="5614">
        <v>77606.25</v>
      </c>
      <c r="CC370" s="2973"/>
      <c r="CD370" s="2973"/>
      <c r="CE370" s="5039"/>
      <c r="CF370" s="5039"/>
      <c r="CG370" s="5039"/>
      <c r="CH370" s="5039"/>
    </row>
    <row r="371" s="4971" customFormat="1" ht="70.85" customHeight="1" spans="1:86">
      <c r="A371" s="3662"/>
      <c r="B371" s="3524"/>
      <c r="C371" s="3524"/>
      <c r="D371" s="3669"/>
      <c r="E371" s="3669"/>
      <c r="F371" s="5549"/>
      <c r="G371" s="5549"/>
      <c r="H371" s="5549"/>
      <c r="I371" s="5564"/>
      <c r="J371" s="5549"/>
      <c r="K371" s="5565"/>
      <c r="L371" s="5565"/>
      <c r="M371" s="5565"/>
      <c r="N371" s="5565"/>
      <c r="O371" s="5565"/>
      <c r="P371" s="5565"/>
      <c r="Q371" s="5565"/>
      <c r="R371" s="5565"/>
      <c r="S371" s="5565"/>
      <c r="T371" s="5565"/>
      <c r="U371" s="5565"/>
      <c r="V371" s="5565"/>
      <c r="W371" s="5565"/>
      <c r="X371" s="5565"/>
      <c r="Y371" s="5565"/>
      <c r="Z371" s="5565"/>
      <c r="AA371" s="5565"/>
      <c r="AB371" s="5565"/>
      <c r="AC371" s="2973">
        <v>6</v>
      </c>
      <c r="AD371" s="5601" t="s">
        <v>927</v>
      </c>
      <c r="AE371" s="5586">
        <v>0.1</v>
      </c>
      <c r="AF371" s="2973">
        <f>M366*AE371</f>
        <v>51737.5</v>
      </c>
      <c r="AG371" s="2973">
        <f t="shared" si="79"/>
        <v>0</v>
      </c>
      <c r="AH371" s="2973"/>
      <c r="AI371" s="2973"/>
      <c r="AJ371" s="2973"/>
      <c r="AK371" s="5614"/>
      <c r="AL371" s="5588"/>
      <c r="AM371" s="2973"/>
      <c r="AN371" s="2973">
        <f t="shared" si="80"/>
        <v>0</v>
      </c>
      <c r="AO371" s="2973"/>
      <c r="AP371" s="2973">
        <f t="shared" si="81"/>
        <v>0</v>
      </c>
      <c r="AQ371" s="5614"/>
      <c r="AR371" s="2973"/>
      <c r="AS371" s="5635"/>
      <c r="AT371" s="5614"/>
      <c r="AU371" s="3662"/>
      <c r="AV371" s="3662"/>
      <c r="AW371" s="3662"/>
      <c r="AX371" s="3662"/>
      <c r="AY371" s="3662"/>
      <c r="AZ371" s="3662"/>
      <c r="BA371" s="5614"/>
      <c r="BB371" s="2973"/>
      <c r="BC371" s="2973"/>
      <c r="BD371" s="5614"/>
      <c r="BE371" s="5614"/>
      <c r="BF371" s="5614"/>
      <c r="BG371" s="5614"/>
      <c r="BH371" s="2973"/>
      <c r="BI371" s="2973"/>
      <c r="BJ371" s="2973"/>
      <c r="BK371" s="2973"/>
      <c r="BL371" s="2973"/>
      <c r="BM371" s="2973"/>
      <c r="BN371" s="2973"/>
      <c r="BO371" s="5614"/>
      <c r="BP371" s="5614"/>
      <c r="BQ371" s="5614"/>
      <c r="BR371" s="5614"/>
      <c r="BS371" s="5614"/>
      <c r="BT371" s="5614"/>
      <c r="BU371" s="5614"/>
      <c r="BV371" s="5614"/>
      <c r="BW371" s="5614"/>
      <c r="BX371" s="5614"/>
      <c r="BY371" s="5614"/>
      <c r="BZ371" s="5614"/>
      <c r="CA371" s="5614"/>
      <c r="CB371" s="5614"/>
      <c r="CC371" s="2973"/>
      <c r="CD371" s="2973"/>
      <c r="CE371" s="5039"/>
      <c r="CF371" s="5039"/>
      <c r="CG371" s="5039"/>
      <c r="CH371" s="5039"/>
    </row>
    <row r="372" s="4971" customFormat="1" ht="61" spans="1:86">
      <c r="A372" s="3662"/>
      <c r="B372" s="3524"/>
      <c r="C372" s="3524">
        <v>45258</v>
      </c>
      <c r="D372" s="3669"/>
      <c r="E372" s="3669"/>
      <c r="F372" s="5550" t="s">
        <v>944</v>
      </c>
      <c r="G372" s="5550" t="s">
        <v>943</v>
      </c>
      <c r="H372" s="5550" t="s">
        <v>353</v>
      </c>
      <c r="I372" s="5550"/>
      <c r="J372" s="5550" t="s">
        <v>921</v>
      </c>
      <c r="K372" s="5566"/>
      <c r="L372" s="5566"/>
      <c r="M372" s="5566">
        <f>SUM(N372:AA377)</f>
        <v>240000</v>
      </c>
      <c r="N372" s="5566"/>
      <c r="O372" s="5566"/>
      <c r="P372" s="5566"/>
      <c r="Q372" s="5566"/>
      <c r="R372" s="5566"/>
      <c r="S372" s="5566"/>
      <c r="T372" s="5566"/>
      <c r="U372" s="5566"/>
      <c r="V372" s="5566"/>
      <c r="W372" s="5566"/>
      <c r="X372" s="5566"/>
      <c r="Y372" s="5566"/>
      <c r="Z372" s="5566"/>
      <c r="AA372" s="5566">
        <v>240000</v>
      </c>
      <c r="AB372" s="5584" t="s">
        <v>126</v>
      </c>
      <c r="AC372" s="2967">
        <v>1</v>
      </c>
      <c r="AD372" s="5602" t="s">
        <v>922</v>
      </c>
      <c r="AE372" s="5603">
        <v>0.15</v>
      </c>
      <c r="AF372" s="2967">
        <f>M372*AE372</f>
        <v>36000</v>
      </c>
      <c r="AG372" s="2966">
        <f t="shared" si="79"/>
        <v>36000</v>
      </c>
      <c r="AH372" s="5620" t="s">
        <v>122</v>
      </c>
      <c r="AI372" s="2966">
        <v>45288</v>
      </c>
      <c r="AJ372" s="2967">
        <v>36000</v>
      </c>
      <c r="AK372" s="2966">
        <v>45288</v>
      </c>
      <c r="AL372" s="2967">
        <v>36000</v>
      </c>
      <c r="AM372" s="2967">
        <v>45357</v>
      </c>
      <c r="AN372" s="2967">
        <f t="shared" si="80"/>
        <v>36000</v>
      </c>
      <c r="AO372" s="2966">
        <v>45369</v>
      </c>
      <c r="AP372" s="2967">
        <f t="shared" si="81"/>
        <v>0</v>
      </c>
      <c r="AQ372" s="5633"/>
      <c r="AR372" s="2967"/>
      <c r="AS372" s="5646"/>
      <c r="AT372" s="5633"/>
      <c r="AU372" s="3662"/>
      <c r="AV372" s="3662"/>
      <c r="AW372" s="3662"/>
      <c r="AX372" s="3662"/>
      <c r="AY372" s="3662"/>
      <c r="AZ372" s="3662"/>
      <c r="BA372" s="5633"/>
      <c r="BB372" s="2967"/>
      <c r="BC372" s="2967"/>
      <c r="BD372" s="5633"/>
      <c r="BE372" s="5633"/>
      <c r="BF372" s="5633"/>
      <c r="BG372" s="5633"/>
      <c r="BH372" s="2967"/>
      <c r="BI372" s="2967"/>
      <c r="BJ372" s="2967"/>
      <c r="BK372" s="2967"/>
      <c r="BL372" s="2967"/>
      <c r="BM372" s="2967"/>
      <c r="BN372" s="2966">
        <v>36000</v>
      </c>
      <c r="BO372" s="5633"/>
      <c r="BP372" s="5633"/>
      <c r="BQ372" s="5633"/>
      <c r="BR372" s="5633"/>
      <c r="BS372" s="5633"/>
      <c r="BT372" s="5633"/>
      <c r="BU372" s="5633"/>
      <c r="BV372" s="5633"/>
      <c r="BW372" s="5633"/>
      <c r="BX372" s="5633"/>
      <c r="BY372" s="5633"/>
      <c r="BZ372" s="5633"/>
      <c r="CA372" s="5633"/>
      <c r="CB372" s="5621">
        <v>36000</v>
      </c>
      <c r="CC372" s="2967"/>
      <c r="CD372" s="2967"/>
      <c r="CE372" s="5039"/>
      <c r="CF372" s="5039"/>
      <c r="CG372" s="5039"/>
      <c r="CH372" s="5039"/>
    </row>
    <row r="373" s="4971" customFormat="1" ht="76" spans="1:86">
      <c r="A373" s="3662"/>
      <c r="B373" s="3524"/>
      <c r="C373" s="3524"/>
      <c r="D373" s="3669"/>
      <c r="E373" s="3669"/>
      <c r="F373" s="5551"/>
      <c r="G373" s="5551"/>
      <c r="H373" s="5551"/>
      <c r="I373" s="5567"/>
      <c r="J373" s="5551"/>
      <c r="K373" s="5568"/>
      <c r="L373" s="5568"/>
      <c r="M373" s="5568"/>
      <c r="N373" s="5568"/>
      <c r="O373" s="5568"/>
      <c r="P373" s="5568"/>
      <c r="Q373" s="5568"/>
      <c r="R373" s="5568"/>
      <c r="S373" s="5568"/>
      <c r="T373" s="5568"/>
      <c r="U373" s="5568"/>
      <c r="V373" s="5568"/>
      <c r="W373" s="5568"/>
      <c r="X373" s="5568"/>
      <c r="Y373" s="5568"/>
      <c r="Z373" s="5568"/>
      <c r="AA373" s="5568"/>
      <c r="AB373" s="5568"/>
      <c r="AC373" s="2967">
        <v>2</v>
      </c>
      <c r="AD373" s="5602" t="s">
        <v>923</v>
      </c>
      <c r="AE373" s="5603">
        <v>0.25</v>
      </c>
      <c r="AF373" s="2967">
        <f>M372*AE373</f>
        <v>60000</v>
      </c>
      <c r="AG373" s="2966">
        <f t="shared" si="79"/>
        <v>60000</v>
      </c>
      <c r="AH373" s="5620" t="s">
        <v>122</v>
      </c>
      <c r="AI373" s="2966">
        <v>45288</v>
      </c>
      <c r="AJ373" s="2967">
        <v>60000</v>
      </c>
      <c r="AK373" s="2966">
        <v>45288</v>
      </c>
      <c r="AL373" s="2967">
        <v>60000</v>
      </c>
      <c r="AM373" s="2967">
        <v>45357</v>
      </c>
      <c r="AN373" s="2967">
        <f t="shared" si="80"/>
        <v>60000</v>
      </c>
      <c r="AO373" s="2966">
        <v>45369</v>
      </c>
      <c r="AP373" s="2967">
        <f t="shared" si="81"/>
        <v>0</v>
      </c>
      <c r="AQ373" s="5633"/>
      <c r="AR373" s="2967"/>
      <c r="AS373" s="5646"/>
      <c r="AT373" s="5633"/>
      <c r="AU373" s="3662"/>
      <c r="AV373" s="3662"/>
      <c r="AW373" s="3662"/>
      <c r="AX373" s="3662"/>
      <c r="AY373" s="3662"/>
      <c r="AZ373" s="3662"/>
      <c r="BA373" s="5633"/>
      <c r="BB373" s="2967"/>
      <c r="BC373" s="2967"/>
      <c r="BD373" s="5633"/>
      <c r="BE373" s="5633"/>
      <c r="BF373" s="5633"/>
      <c r="BG373" s="5633"/>
      <c r="BH373" s="2967"/>
      <c r="BI373" s="2967"/>
      <c r="BJ373" s="2967"/>
      <c r="BK373" s="2967"/>
      <c r="BL373" s="2967"/>
      <c r="BM373" s="2967"/>
      <c r="BN373" s="2966">
        <v>60000</v>
      </c>
      <c r="BO373" s="5633"/>
      <c r="BP373" s="5633"/>
      <c r="BQ373" s="5633"/>
      <c r="BR373" s="5633"/>
      <c r="BS373" s="5633"/>
      <c r="BT373" s="5633"/>
      <c r="BU373" s="5633"/>
      <c r="BV373" s="5633"/>
      <c r="BW373" s="5633"/>
      <c r="BX373" s="5633"/>
      <c r="BY373" s="5633"/>
      <c r="BZ373" s="5633"/>
      <c r="CA373" s="5633"/>
      <c r="CB373" s="5621">
        <v>60000</v>
      </c>
      <c r="CC373" s="2967"/>
      <c r="CD373" s="2967"/>
      <c r="CE373" s="5039"/>
      <c r="CF373" s="5039"/>
      <c r="CG373" s="5039"/>
      <c r="CH373" s="5039"/>
    </row>
    <row r="374" s="4971" customFormat="1" ht="76" spans="1:86">
      <c r="A374" s="3662"/>
      <c r="B374" s="3524"/>
      <c r="C374" s="3524"/>
      <c r="D374" s="3669"/>
      <c r="E374" s="3669"/>
      <c r="F374" s="5551"/>
      <c r="G374" s="5551"/>
      <c r="H374" s="5551"/>
      <c r="I374" s="5567"/>
      <c r="J374" s="5551"/>
      <c r="K374" s="5568"/>
      <c r="L374" s="5568"/>
      <c r="M374" s="5568"/>
      <c r="N374" s="5568"/>
      <c r="O374" s="5568"/>
      <c r="P374" s="5568"/>
      <c r="Q374" s="5568"/>
      <c r="R374" s="5568"/>
      <c r="S374" s="5568"/>
      <c r="T374" s="5568"/>
      <c r="U374" s="5568"/>
      <c r="V374" s="5568"/>
      <c r="W374" s="5568"/>
      <c r="X374" s="5568"/>
      <c r="Y374" s="5568"/>
      <c r="Z374" s="5568"/>
      <c r="AA374" s="5568"/>
      <c r="AB374" s="5568"/>
      <c r="AC374" s="2967">
        <v>3</v>
      </c>
      <c r="AD374" s="5602" t="s">
        <v>929</v>
      </c>
      <c r="AE374" s="5603">
        <v>0.15</v>
      </c>
      <c r="AF374" s="2967">
        <f>M372*AE374</f>
        <v>36000</v>
      </c>
      <c r="AG374" s="5625">
        <f t="shared" si="79"/>
        <v>36000</v>
      </c>
      <c r="AH374" s="5626" t="s">
        <v>122</v>
      </c>
      <c r="AI374" s="5625">
        <v>45635</v>
      </c>
      <c r="AJ374" s="2967">
        <v>36000</v>
      </c>
      <c r="AK374" s="2966">
        <v>45635</v>
      </c>
      <c r="AL374" s="2967">
        <v>36000</v>
      </c>
      <c r="AM374" s="2967">
        <v>45637</v>
      </c>
      <c r="AN374" s="2966">
        <f t="shared" si="80"/>
        <v>36000</v>
      </c>
      <c r="AO374" s="2966">
        <v>45646</v>
      </c>
      <c r="AP374" s="2967">
        <f t="shared" si="81"/>
        <v>0</v>
      </c>
      <c r="AQ374" s="5633"/>
      <c r="AR374" s="2967"/>
      <c r="AS374" s="5646"/>
      <c r="AT374" s="5633"/>
      <c r="AU374" s="3662"/>
      <c r="AV374" s="3662"/>
      <c r="AW374" s="3662"/>
      <c r="AX374" s="3662"/>
      <c r="AY374" s="3662"/>
      <c r="AZ374" s="3662"/>
      <c r="BA374" s="5633"/>
      <c r="BB374" s="2967"/>
      <c r="BC374" s="2967"/>
      <c r="BD374" s="5633"/>
      <c r="BE374" s="5633"/>
      <c r="BF374" s="5633"/>
      <c r="BG374" s="5633"/>
      <c r="BH374" s="2967"/>
      <c r="BI374" s="2967"/>
      <c r="BJ374" s="2967"/>
      <c r="BK374" s="2967"/>
      <c r="BL374" s="2967"/>
      <c r="BM374" s="2967"/>
      <c r="BN374" s="5653">
        <v>36000</v>
      </c>
      <c r="BO374" s="5633"/>
      <c r="BP374" s="5633"/>
      <c r="BQ374" s="5633"/>
      <c r="BR374" s="5633"/>
      <c r="BS374" s="5633"/>
      <c r="BT374" s="5633"/>
      <c r="BU374" s="5633"/>
      <c r="BV374" s="5633"/>
      <c r="BW374" s="5633"/>
      <c r="BX374" s="5633"/>
      <c r="BY374" s="5633"/>
      <c r="BZ374" s="5633"/>
      <c r="CA374" s="5633"/>
      <c r="CB374" s="5653">
        <v>36000</v>
      </c>
      <c r="CC374" s="2967"/>
      <c r="CD374" s="2967"/>
      <c r="CE374" s="5039"/>
      <c r="CF374" s="5039"/>
      <c r="CG374" s="5039"/>
      <c r="CH374" s="5039"/>
    </row>
    <row r="375" s="4971" customFormat="1" ht="76" spans="1:86">
      <c r="A375" s="3662"/>
      <c r="B375" s="3524"/>
      <c r="C375" s="3524"/>
      <c r="D375" s="3669"/>
      <c r="E375" s="3669"/>
      <c r="F375" s="5551"/>
      <c r="G375" s="5551"/>
      <c r="H375" s="5551"/>
      <c r="I375" s="5567"/>
      <c r="J375" s="5551"/>
      <c r="K375" s="5568"/>
      <c r="L375" s="5568"/>
      <c r="M375" s="5568"/>
      <c r="N375" s="5568"/>
      <c r="O375" s="5568"/>
      <c r="P375" s="5568"/>
      <c r="Q375" s="5568"/>
      <c r="R375" s="5568"/>
      <c r="S375" s="5568"/>
      <c r="T375" s="5568"/>
      <c r="U375" s="5568"/>
      <c r="V375" s="5568"/>
      <c r="W375" s="5568"/>
      <c r="X375" s="5568"/>
      <c r="Y375" s="5568"/>
      <c r="Z375" s="5568"/>
      <c r="AA375" s="5568"/>
      <c r="AB375" s="5568"/>
      <c r="AC375" s="2967">
        <v>4</v>
      </c>
      <c r="AD375" s="5602" t="s">
        <v>930</v>
      </c>
      <c r="AE375" s="5603">
        <v>0.2</v>
      </c>
      <c r="AF375" s="2967">
        <f>M372*AE375</f>
        <v>48000</v>
      </c>
      <c r="AG375" s="5625">
        <f t="shared" si="79"/>
        <v>48000</v>
      </c>
      <c r="AH375" s="5626" t="s">
        <v>122</v>
      </c>
      <c r="AI375" s="5625">
        <v>45635</v>
      </c>
      <c r="AJ375" s="2967">
        <v>48000</v>
      </c>
      <c r="AK375" s="2966">
        <v>45635</v>
      </c>
      <c r="AL375" s="2967">
        <v>48000</v>
      </c>
      <c r="AM375" s="2967">
        <v>45637</v>
      </c>
      <c r="AN375" s="2966">
        <f t="shared" si="80"/>
        <v>48000</v>
      </c>
      <c r="AO375" s="2966">
        <v>45646</v>
      </c>
      <c r="AP375" s="2967">
        <f t="shared" si="81"/>
        <v>0</v>
      </c>
      <c r="AQ375" s="5633"/>
      <c r="AR375" s="2967"/>
      <c r="AS375" s="5646"/>
      <c r="AT375" s="5633"/>
      <c r="AU375" s="3662"/>
      <c r="AV375" s="3662"/>
      <c r="AW375" s="3662"/>
      <c r="AX375" s="3662"/>
      <c r="AY375" s="3662"/>
      <c r="AZ375" s="3662"/>
      <c r="BA375" s="5633"/>
      <c r="BB375" s="2967"/>
      <c r="BC375" s="2967"/>
      <c r="BD375" s="5633"/>
      <c r="BE375" s="5633"/>
      <c r="BF375" s="5633"/>
      <c r="BG375" s="5633"/>
      <c r="BH375" s="2967"/>
      <c r="BI375" s="2967"/>
      <c r="BJ375" s="2967"/>
      <c r="BK375" s="2967"/>
      <c r="BL375" s="2967"/>
      <c r="BM375" s="2967"/>
      <c r="BN375" s="5653">
        <v>48000</v>
      </c>
      <c r="BO375" s="5633"/>
      <c r="BP375" s="5633"/>
      <c r="BQ375" s="5633"/>
      <c r="BR375" s="5633"/>
      <c r="BS375" s="5633"/>
      <c r="BT375" s="5633"/>
      <c r="BU375" s="5633"/>
      <c r="BV375" s="5633"/>
      <c r="BW375" s="5633"/>
      <c r="BX375" s="5633"/>
      <c r="BY375" s="5633"/>
      <c r="BZ375" s="5633"/>
      <c r="CA375" s="5633"/>
      <c r="CB375" s="5653">
        <v>48000</v>
      </c>
      <c r="CC375" s="2967"/>
      <c r="CD375" s="2967"/>
      <c r="CE375" s="5039"/>
      <c r="CF375" s="5039"/>
      <c r="CG375" s="5039"/>
      <c r="CH375" s="5039"/>
    </row>
    <row r="376" s="4971" customFormat="1" ht="76" spans="1:86">
      <c r="A376" s="3662"/>
      <c r="B376" s="3524"/>
      <c r="C376" s="3524"/>
      <c r="D376" s="3669"/>
      <c r="E376" s="3669"/>
      <c r="F376" s="5551"/>
      <c r="G376" s="5551"/>
      <c r="H376" s="5551"/>
      <c r="I376" s="5567"/>
      <c r="J376" s="5551"/>
      <c r="K376" s="5568"/>
      <c r="L376" s="5568"/>
      <c r="M376" s="5568"/>
      <c r="N376" s="5568"/>
      <c r="O376" s="5568"/>
      <c r="P376" s="5568"/>
      <c r="Q376" s="5568"/>
      <c r="R376" s="5568"/>
      <c r="S376" s="5568"/>
      <c r="T376" s="5568"/>
      <c r="U376" s="5568"/>
      <c r="V376" s="5568"/>
      <c r="W376" s="5568"/>
      <c r="X376" s="5568"/>
      <c r="Y376" s="5568"/>
      <c r="Z376" s="5568"/>
      <c r="AA376" s="5568"/>
      <c r="AB376" s="5568"/>
      <c r="AC376" s="2967">
        <v>5</v>
      </c>
      <c r="AD376" s="5609" t="s">
        <v>931</v>
      </c>
      <c r="AE376" s="5603">
        <v>0.15</v>
      </c>
      <c r="AF376" s="2967">
        <f>M372*AE376</f>
        <v>36000</v>
      </c>
      <c r="AG376" s="5625">
        <f t="shared" si="79"/>
        <v>36000</v>
      </c>
      <c r="AH376" s="5626" t="s">
        <v>122</v>
      </c>
      <c r="AI376" s="5625">
        <v>45635</v>
      </c>
      <c r="AJ376" s="2967">
        <v>36000</v>
      </c>
      <c r="AK376" s="2966">
        <v>45635</v>
      </c>
      <c r="AL376" s="2967">
        <v>36000</v>
      </c>
      <c r="AM376" s="2967">
        <v>45637</v>
      </c>
      <c r="AN376" s="2966">
        <f t="shared" si="80"/>
        <v>36000</v>
      </c>
      <c r="AO376" s="2966">
        <v>45646</v>
      </c>
      <c r="AP376" s="2967">
        <f t="shared" si="81"/>
        <v>0</v>
      </c>
      <c r="AQ376" s="5633"/>
      <c r="AR376" s="2967"/>
      <c r="AS376" s="5646"/>
      <c r="AT376" s="5633"/>
      <c r="AU376" s="3662"/>
      <c r="AV376" s="3662"/>
      <c r="AW376" s="3662"/>
      <c r="AX376" s="3662"/>
      <c r="AY376" s="3662"/>
      <c r="AZ376" s="3662"/>
      <c r="BA376" s="5633"/>
      <c r="BB376" s="2967"/>
      <c r="BC376" s="2967"/>
      <c r="BD376" s="5633"/>
      <c r="BE376" s="5633"/>
      <c r="BF376" s="5633"/>
      <c r="BG376" s="5633"/>
      <c r="BH376" s="2967"/>
      <c r="BI376" s="2967"/>
      <c r="BJ376" s="2967"/>
      <c r="BK376" s="2967"/>
      <c r="BL376" s="2967"/>
      <c r="BM376" s="2967"/>
      <c r="BN376" s="5653">
        <v>36000</v>
      </c>
      <c r="BO376" s="5633"/>
      <c r="BP376" s="5633"/>
      <c r="BQ376" s="5633"/>
      <c r="BR376" s="5633"/>
      <c r="BS376" s="5633"/>
      <c r="BT376" s="5633"/>
      <c r="BU376" s="5633"/>
      <c r="BV376" s="5633"/>
      <c r="BW376" s="5633"/>
      <c r="BX376" s="5633"/>
      <c r="BY376" s="5633"/>
      <c r="BZ376" s="5633"/>
      <c r="CA376" s="5633"/>
      <c r="CB376" s="5653">
        <v>36000</v>
      </c>
      <c r="CC376" s="2967"/>
      <c r="CD376" s="2967"/>
      <c r="CE376" s="5039"/>
      <c r="CF376" s="5039"/>
      <c r="CG376" s="5039"/>
      <c r="CH376" s="5039"/>
    </row>
    <row r="377" s="4971" customFormat="1" ht="61" spans="1:86">
      <c r="A377" s="3662"/>
      <c r="B377" s="3524"/>
      <c r="C377" s="3524"/>
      <c r="D377" s="3669"/>
      <c r="E377" s="3669"/>
      <c r="F377" s="5552"/>
      <c r="G377" s="5552"/>
      <c r="H377" s="5552"/>
      <c r="I377" s="5569"/>
      <c r="J377" s="5552"/>
      <c r="K377" s="5570"/>
      <c r="L377" s="5570"/>
      <c r="M377" s="5570"/>
      <c r="N377" s="5570"/>
      <c r="O377" s="5570"/>
      <c r="P377" s="5570"/>
      <c r="Q377" s="5570"/>
      <c r="R377" s="5570"/>
      <c r="S377" s="5570"/>
      <c r="T377" s="5570"/>
      <c r="U377" s="5570"/>
      <c r="V377" s="5570"/>
      <c r="W377" s="5570"/>
      <c r="X377" s="5570"/>
      <c r="Y377" s="5570"/>
      <c r="Z377" s="5570"/>
      <c r="AA377" s="5570"/>
      <c r="AB377" s="5570"/>
      <c r="AC377" s="2967">
        <v>6</v>
      </c>
      <c r="AD377" s="5602" t="s">
        <v>927</v>
      </c>
      <c r="AE377" s="5603">
        <v>0.1</v>
      </c>
      <c r="AF377" s="2967">
        <f>M372*AE377</f>
        <v>24000</v>
      </c>
      <c r="AG377" s="2967">
        <f t="shared" si="79"/>
        <v>0</v>
      </c>
      <c r="AH377" s="2967"/>
      <c r="AI377" s="2967"/>
      <c r="AJ377" s="2967"/>
      <c r="AK377" s="5633"/>
      <c r="AL377" s="2966"/>
      <c r="AM377" s="2967"/>
      <c r="AN377" s="2967">
        <f t="shared" si="80"/>
        <v>0</v>
      </c>
      <c r="AO377" s="2967"/>
      <c r="AP377" s="2967">
        <f t="shared" si="81"/>
        <v>0</v>
      </c>
      <c r="AQ377" s="5633"/>
      <c r="AR377" s="2967"/>
      <c r="AS377" s="5646"/>
      <c r="AT377" s="5633"/>
      <c r="AU377" s="3662"/>
      <c r="AV377" s="3662"/>
      <c r="AW377" s="3662"/>
      <c r="AX377" s="3662"/>
      <c r="AY377" s="3662"/>
      <c r="AZ377" s="3662"/>
      <c r="BA377" s="5633"/>
      <c r="BB377" s="2967"/>
      <c r="BC377" s="2967"/>
      <c r="BD377" s="5633"/>
      <c r="BE377" s="5633"/>
      <c r="BF377" s="5633"/>
      <c r="BG377" s="5633"/>
      <c r="BH377" s="2967"/>
      <c r="BI377" s="2967"/>
      <c r="BJ377" s="2967"/>
      <c r="BK377" s="2967"/>
      <c r="BL377" s="2967"/>
      <c r="BM377" s="2967"/>
      <c r="BN377" s="2967"/>
      <c r="BO377" s="5633"/>
      <c r="BP377" s="5633"/>
      <c r="BQ377" s="5633"/>
      <c r="BR377" s="5633"/>
      <c r="BS377" s="5633"/>
      <c r="BT377" s="5633"/>
      <c r="BU377" s="5633"/>
      <c r="BV377" s="5633"/>
      <c r="BW377" s="5633"/>
      <c r="BX377" s="5633"/>
      <c r="BY377" s="5633"/>
      <c r="BZ377" s="5633"/>
      <c r="CA377" s="5633"/>
      <c r="CB377" s="5633"/>
      <c r="CC377" s="2967"/>
      <c r="CD377" s="2967"/>
      <c r="CE377" s="5039"/>
      <c r="CF377" s="5039"/>
      <c r="CG377" s="5039"/>
      <c r="CH377" s="5039"/>
    </row>
    <row r="378" s="4971" customFormat="1" ht="70.85" customHeight="1" spans="1:86">
      <c r="A378" s="3662"/>
      <c r="B378" s="3524"/>
      <c r="C378" s="4088">
        <v>45258</v>
      </c>
      <c r="D378" s="3669"/>
      <c r="E378" s="3669"/>
      <c r="F378" s="5553" t="s">
        <v>945</v>
      </c>
      <c r="G378" s="5553" t="s">
        <v>943</v>
      </c>
      <c r="H378" s="5553" t="s">
        <v>362</v>
      </c>
      <c r="I378" s="5553"/>
      <c r="J378" s="5553" t="s">
        <v>921</v>
      </c>
      <c r="K378" s="5571"/>
      <c r="L378" s="5571"/>
      <c r="M378" s="5571">
        <f>SUM(N378:AA383)</f>
        <v>3017100</v>
      </c>
      <c r="N378" s="5571"/>
      <c r="O378" s="5571"/>
      <c r="P378" s="5571"/>
      <c r="Q378" s="5571"/>
      <c r="R378" s="5571"/>
      <c r="S378" s="5571"/>
      <c r="T378" s="5571"/>
      <c r="U378" s="5571"/>
      <c r="V378" s="5571"/>
      <c r="W378" s="5571"/>
      <c r="X378" s="5571"/>
      <c r="Y378" s="5571"/>
      <c r="Z378" s="5571"/>
      <c r="AA378" s="5571">
        <v>3017100</v>
      </c>
      <c r="AB378" s="5585" t="s">
        <v>126</v>
      </c>
      <c r="AC378" s="2963">
        <v>1</v>
      </c>
      <c r="AD378" s="5604" t="s">
        <v>933</v>
      </c>
      <c r="AE378" s="5605">
        <v>0.15</v>
      </c>
      <c r="AF378" s="2963">
        <f>M378*AE378</f>
        <v>452565</v>
      </c>
      <c r="AG378" s="2960">
        <f t="shared" si="79"/>
        <v>452565</v>
      </c>
      <c r="AH378" s="918" t="s">
        <v>122</v>
      </c>
      <c r="AI378" s="2960">
        <v>45288</v>
      </c>
      <c r="AJ378" s="2960">
        <f>SUM(BD378:BQ378)</f>
        <v>452565</v>
      </c>
      <c r="AK378" s="2960">
        <v>45288</v>
      </c>
      <c r="AL378" s="2960">
        <f>SUM(BF378:BS378)</f>
        <v>452565</v>
      </c>
      <c r="AM378" s="2963">
        <v>45357</v>
      </c>
      <c r="AN378" s="2963">
        <f t="shared" si="80"/>
        <v>452565</v>
      </c>
      <c r="AO378" s="2963">
        <v>45369</v>
      </c>
      <c r="AP378" s="2963">
        <f t="shared" si="81"/>
        <v>0</v>
      </c>
      <c r="AQ378" s="5634"/>
      <c r="AR378" s="2963"/>
      <c r="AS378" s="5647"/>
      <c r="AT378" s="5634"/>
      <c r="AU378" s="3662"/>
      <c r="AV378" s="3662"/>
      <c r="AW378" s="3662"/>
      <c r="AX378" s="3662"/>
      <c r="AY378" s="3662"/>
      <c r="AZ378" s="3662"/>
      <c r="BA378" s="5634"/>
      <c r="BB378" s="2963"/>
      <c r="BC378" s="2963"/>
      <c r="BD378" s="5634"/>
      <c r="BE378" s="5634"/>
      <c r="BF378" s="5634"/>
      <c r="BG378" s="5634"/>
      <c r="BH378" s="2963"/>
      <c r="BI378" s="2963"/>
      <c r="BJ378" s="2963"/>
      <c r="BK378" s="2963"/>
      <c r="BL378" s="2963"/>
      <c r="BM378" s="2963"/>
      <c r="BN378" s="2963">
        <v>452565</v>
      </c>
      <c r="BO378" s="5634"/>
      <c r="BP378" s="5634"/>
      <c r="BQ378" s="5634"/>
      <c r="BR378" s="5634"/>
      <c r="BS378" s="5634"/>
      <c r="BT378" s="5634"/>
      <c r="BU378" s="5634"/>
      <c r="BV378" s="5634"/>
      <c r="BW378" s="5634"/>
      <c r="BX378" s="5634"/>
      <c r="BY378" s="5634"/>
      <c r="BZ378" s="5634"/>
      <c r="CA378" s="5634"/>
      <c r="CB378" s="2963">
        <v>452565</v>
      </c>
      <c r="CC378" s="2963"/>
      <c r="CD378" s="2963"/>
      <c r="CE378" s="5039"/>
      <c r="CF378" s="5039"/>
      <c r="CG378" s="5039"/>
      <c r="CH378" s="5039"/>
    </row>
    <row r="379" s="4971" customFormat="1" ht="70.85" customHeight="1" spans="1:86">
      <c r="A379" s="3662"/>
      <c r="B379" s="3524"/>
      <c r="C379" s="4088"/>
      <c r="D379" s="3669"/>
      <c r="E379" s="3669"/>
      <c r="F379" s="5554"/>
      <c r="G379" s="5554"/>
      <c r="H379" s="5554"/>
      <c r="I379" s="5572"/>
      <c r="J379" s="5554"/>
      <c r="K379" s="3324"/>
      <c r="L379" s="3324"/>
      <c r="M379" s="3324"/>
      <c r="N379" s="3324"/>
      <c r="O379" s="3324"/>
      <c r="P379" s="3324"/>
      <c r="Q379" s="3324"/>
      <c r="R379" s="3324"/>
      <c r="S379" s="3324"/>
      <c r="T379" s="3324"/>
      <c r="U379" s="3324"/>
      <c r="V379" s="3324"/>
      <c r="W379" s="3324"/>
      <c r="X379" s="3324"/>
      <c r="Y379" s="3324"/>
      <c r="Z379" s="3324"/>
      <c r="AA379" s="3324"/>
      <c r="AB379" s="3324"/>
      <c r="AC379" s="2963">
        <v>2</v>
      </c>
      <c r="AD379" s="5604" t="s">
        <v>934</v>
      </c>
      <c r="AE379" s="5605">
        <v>0.25</v>
      </c>
      <c r="AF379" s="2963">
        <f>M378*AE379</f>
        <v>754275</v>
      </c>
      <c r="AG379" s="2960">
        <f t="shared" si="79"/>
        <v>754275</v>
      </c>
      <c r="AH379" s="918" t="s">
        <v>122</v>
      </c>
      <c r="AI379" s="2960">
        <v>45288</v>
      </c>
      <c r="AJ379" s="2960">
        <f>SUM(BD379:BQ379)</f>
        <v>754275</v>
      </c>
      <c r="AK379" s="2960">
        <v>45288</v>
      </c>
      <c r="AL379" s="2960">
        <f>SUM(BF379:BS379)</f>
        <v>754275</v>
      </c>
      <c r="AM379" s="2963">
        <v>45357</v>
      </c>
      <c r="AN379" s="2963">
        <f t="shared" si="80"/>
        <v>754275</v>
      </c>
      <c r="AO379" s="2963">
        <v>45369</v>
      </c>
      <c r="AP379" s="2963">
        <f t="shared" si="81"/>
        <v>0</v>
      </c>
      <c r="AQ379" s="5634"/>
      <c r="AR379" s="2963"/>
      <c r="AS379" s="5647"/>
      <c r="AT379" s="5634"/>
      <c r="AU379" s="3662"/>
      <c r="AV379" s="3662"/>
      <c r="AW379" s="3662"/>
      <c r="AX379" s="3662"/>
      <c r="AY379" s="3662"/>
      <c r="AZ379" s="3662"/>
      <c r="BA379" s="5634"/>
      <c r="BB379" s="2963"/>
      <c r="BC379" s="2963"/>
      <c r="BD379" s="5634"/>
      <c r="BE379" s="5634"/>
      <c r="BF379" s="5634"/>
      <c r="BG379" s="5634"/>
      <c r="BH379" s="2963"/>
      <c r="BI379" s="2963"/>
      <c r="BJ379" s="2963"/>
      <c r="BK379" s="2963"/>
      <c r="BL379" s="2963"/>
      <c r="BM379" s="2963"/>
      <c r="BN379" s="2963">
        <v>754275</v>
      </c>
      <c r="BO379" s="5634"/>
      <c r="BP379" s="5634"/>
      <c r="BQ379" s="5634"/>
      <c r="BR379" s="5634"/>
      <c r="BS379" s="5634"/>
      <c r="BT379" s="5634"/>
      <c r="BU379" s="5634"/>
      <c r="BV379" s="5634"/>
      <c r="BW379" s="5634"/>
      <c r="BX379" s="5634"/>
      <c r="BY379" s="5634"/>
      <c r="BZ379" s="5634"/>
      <c r="CA379" s="5634"/>
      <c r="CB379" s="2963">
        <v>754275</v>
      </c>
      <c r="CC379" s="2963"/>
      <c r="CD379" s="2963"/>
      <c r="CE379" s="5039"/>
      <c r="CF379" s="5039"/>
      <c r="CG379" s="5039"/>
      <c r="CH379" s="5039"/>
    </row>
    <row r="380" s="4971" customFormat="1" ht="70.85" customHeight="1" spans="1:86">
      <c r="A380" s="3662"/>
      <c r="B380" s="3524"/>
      <c r="C380" s="4088"/>
      <c r="D380" s="3669"/>
      <c r="E380" s="3669"/>
      <c r="F380" s="5554"/>
      <c r="G380" s="5554"/>
      <c r="H380" s="5554"/>
      <c r="I380" s="5572"/>
      <c r="J380" s="5554"/>
      <c r="K380" s="3324"/>
      <c r="L380" s="3324"/>
      <c r="M380" s="3324"/>
      <c r="N380" s="3324"/>
      <c r="O380" s="3324"/>
      <c r="P380" s="3324"/>
      <c r="Q380" s="3324"/>
      <c r="R380" s="3324"/>
      <c r="S380" s="3324"/>
      <c r="T380" s="3324"/>
      <c r="U380" s="3324"/>
      <c r="V380" s="3324"/>
      <c r="W380" s="3324"/>
      <c r="X380" s="3324"/>
      <c r="Y380" s="3324"/>
      <c r="Z380" s="3324"/>
      <c r="AA380" s="3324"/>
      <c r="AB380" s="3324"/>
      <c r="AC380" s="2963">
        <v>3</v>
      </c>
      <c r="AD380" s="5604" t="s">
        <v>936</v>
      </c>
      <c r="AE380" s="5605">
        <v>0.15</v>
      </c>
      <c r="AF380" s="2963">
        <f>M378*AE380</f>
        <v>452565</v>
      </c>
      <c r="AG380" s="2960">
        <f t="shared" si="79"/>
        <v>452565</v>
      </c>
      <c r="AH380" s="918" t="s">
        <v>122</v>
      </c>
      <c r="AI380" s="2960">
        <v>45288</v>
      </c>
      <c r="AJ380" s="2960">
        <f>SUM(BD380:BQ380)</f>
        <v>452565</v>
      </c>
      <c r="AK380" s="2960">
        <v>45288</v>
      </c>
      <c r="AL380" s="2960">
        <f>SUM(BF380:BS380)</f>
        <v>452565</v>
      </c>
      <c r="AM380" s="2963">
        <v>45357</v>
      </c>
      <c r="AN380" s="2963">
        <f t="shared" si="80"/>
        <v>452565</v>
      </c>
      <c r="AO380" s="2963">
        <v>45369</v>
      </c>
      <c r="AP380" s="2963">
        <f t="shared" si="81"/>
        <v>0</v>
      </c>
      <c r="AQ380" s="5634"/>
      <c r="AR380" s="2963"/>
      <c r="AS380" s="5647"/>
      <c r="AT380" s="5634"/>
      <c r="AU380" s="3662"/>
      <c r="AV380" s="3662"/>
      <c r="AW380" s="3662"/>
      <c r="AX380" s="3662"/>
      <c r="AY380" s="3662"/>
      <c r="AZ380" s="3662"/>
      <c r="BA380" s="5634"/>
      <c r="BB380" s="2963"/>
      <c r="BC380" s="2963"/>
      <c r="BD380" s="5634"/>
      <c r="BE380" s="5634"/>
      <c r="BF380" s="5634"/>
      <c r="BG380" s="5634"/>
      <c r="BH380" s="2963"/>
      <c r="BI380" s="2963"/>
      <c r="BJ380" s="2963"/>
      <c r="BK380" s="2963"/>
      <c r="BL380" s="2963"/>
      <c r="BM380" s="2963"/>
      <c r="BN380" s="2963">
        <v>452565</v>
      </c>
      <c r="BO380" s="5634"/>
      <c r="BP380" s="5634"/>
      <c r="BQ380" s="5634"/>
      <c r="BR380" s="5634"/>
      <c r="BS380" s="5634"/>
      <c r="BT380" s="5634"/>
      <c r="BU380" s="5634"/>
      <c r="BV380" s="5634"/>
      <c r="BW380" s="5634"/>
      <c r="BX380" s="5634"/>
      <c r="BY380" s="5634"/>
      <c r="BZ380" s="5634"/>
      <c r="CA380" s="5634"/>
      <c r="CB380" s="2963">
        <v>452565</v>
      </c>
      <c r="CC380" s="2963"/>
      <c r="CD380" s="2963"/>
      <c r="CE380" s="5039"/>
      <c r="CF380" s="5039"/>
      <c r="CG380" s="5039"/>
      <c r="CH380" s="5039"/>
    </row>
    <row r="381" s="4971" customFormat="1" ht="70.85" customHeight="1" spans="1:86">
      <c r="A381" s="3662"/>
      <c r="B381" s="3524"/>
      <c r="C381" s="4088"/>
      <c r="D381" s="3669"/>
      <c r="E381" s="3669"/>
      <c r="F381" s="5554"/>
      <c r="G381" s="5554"/>
      <c r="H381" s="5554"/>
      <c r="I381" s="5572"/>
      <c r="J381" s="5554"/>
      <c r="K381" s="3324"/>
      <c r="L381" s="3324"/>
      <c r="M381" s="3324"/>
      <c r="N381" s="3324"/>
      <c r="O381" s="3324"/>
      <c r="P381" s="3324"/>
      <c r="Q381" s="3324"/>
      <c r="R381" s="3324"/>
      <c r="S381" s="3324"/>
      <c r="T381" s="3324"/>
      <c r="U381" s="3324"/>
      <c r="V381" s="3324"/>
      <c r="W381" s="3324"/>
      <c r="X381" s="3324"/>
      <c r="Y381" s="3324"/>
      <c r="Z381" s="3324"/>
      <c r="AA381" s="3324"/>
      <c r="AB381" s="3324"/>
      <c r="AC381" s="2963">
        <v>4</v>
      </c>
      <c r="AD381" s="5604" t="s">
        <v>946</v>
      </c>
      <c r="AE381" s="5605">
        <v>0.2</v>
      </c>
      <c r="AF381" s="2963">
        <f>M378*AE381</f>
        <v>603420</v>
      </c>
      <c r="AG381" s="2960">
        <f t="shared" si="79"/>
        <v>603420</v>
      </c>
      <c r="AH381" s="918" t="s">
        <v>122</v>
      </c>
      <c r="AI381" s="2960">
        <v>45519</v>
      </c>
      <c r="AJ381" s="2960">
        <v>603420</v>
      </c>
      <c r="AK381" s="2960">
        <v>45519</v>
      </c>
      <c r="AL381" s="2960">
        <v>603420</v>
      </c>
      <c r="AM381" s="2963">
        <v>45520</v>
      </c>
      <c r="AN381" s="2963">
        <f t="shared" si="80"/>
        <v>603420</v>
      </c>
      <c r="AO381" s="2963">
        <v>45593</v>
      </c>
      <c r="AP381" s="2963">
        <f t="shared" si="81"/>
        <v>0</v>
      </c>
      <c r="AQ381" s="5634"/>
      <c r="AR381" s="2963"/>
      <c r="AS381" s="5647"/>
      <c r="AT381" s="5634"/>
      <c r="AU381" s="3662"/>
      <c r="AV381" s="3662"/>
      <c r="AW381" s="3662"/>
      <c r="AX381" s="3662"/>
      <c r="AY381" s="3662"/>
      <c r="AZ381" s="3662"/>
      <c r="BA381" s="5634"/>
      <c r="BB381" s="2963"/>
      <c r="BC381" s="2963"/>
      <c r="BD381" s="5634"/>
      <c r="BE381" s="5634"/>
      <c r="BF381" s="5634"/>
      <c r="BG381" s="5634"/>
      <c r="BH381" s="2963"/>
      <c r="BI381" s="2963"/>
      <c r="BJ381" s="2963"/>
      <c r="BK381" s="2963"/>
      <c r="BL381" s="2963"/>
      <c r="BM381" s="2963"/>
      <c r="BN381" s="5651">
        <v>603420</v>
      </c>
      <c r="BO381" s="5634"/>
      <c r="BP381" s="5634"/>
      <c r="BQ381" s="5634"/>
      <c r="BR381" s="5634"/>
      <c r="BS381" s="5634"/>
      <c r="BT381" s="5634"/>
      <c r="BU381" s="5634"/>
      <c r="BV381" s="5634"/>
      <c r="BW381" s="5634"/>
      <c r="BX381" s="5634"/>
      <c r="BY381" s="5634"/>
      <c r="BZ381" s="5634"/>
      <c r="CA381" s="5634"/>
      <c r="CB381" s="5634">
        <v>603420</v>
      </c>
      <c r="CC381" s="2963"/>
      <c r="CD381" s="2963"/>
      <c r="CE381" s="5039"/>
      <c r="CF381" s="5039"/>
      <c r="CG381" s="5039"/>
      <c r="CH381" s="5039"/>
    </row>
    <row r="382" s="4971" customFormat="1" ht="70.85" customHeight="1" spans="1:86">
      <c r="A382" s="3662"/>
      <c r="B382" s="3524"/>
      <c r="C382" s="4088"/>
      <c r="D382" s="3669"/>
      <c r="E382" s="3669"/>
      <c r="F382" s="5554"/>
      <c r="G382" s="5554"/>
      <c r="H382" s="5554"/>
      <c r="I382" s="5572"/>
      <c r="J382" s="5554"/>
      <c r="K382" s="3324"/>
      <c r="L382" s="3324"/>
      <c r="M382" s="3324"/>
      <c r="N382" s="3324"/>
      <c r="O382" s="3324"/>
      <c r="P382" s="3324"/>
      <c r="Q382" s="3324"/>
      <c r="R382" s="3324"/>
      <c r="S382" s="3324"/>
      <c r="T382" s="3324"/>
      <c r="U382" s="3324"/>
      <c r="V382" s="3324"/>
      <c r="W382" s="3324"/>
      <c r="X382" s="3324"/>
      <c r="Y382" s="3324"/>
      <c r="Z382" s="3324"/>
      <c r="AA382" s="3324"/>
      <c r="AB382" s="3324"/>
      <c r="AC382" s="2963">
        <v>5</v>
      </c>
      <c r="AD382" s="5604" t="s">
        <v>940</v>
      </c>
      <c r="AE382" s="5605">
        <v>0.15</v>
      </c>
      <c r="AF382" s="2963">
        <f>M378*AE382</f>
        <v>452565</v>
      </c>
      <c r="AG382" s="5624">
        <f t="shared" si="79"/>
        <v>452565</v>
      </c>
      <c r="AH382" s="5623" t="s">
        <v>349</v>
      </c>
      <c r="AI382" s="5624">
        <v>46021</v>
      </c>
      <c r="AJ382" s="2963"/>
      <c r="AK382" s="5634"/>
      <c r="AL382" s="2960"/>
      <c r="AM382" s="2963"/>
      <c r="AN382" s="5624">
        <f t="shared" si="80"/>
        <v>452565</v>
      </c>
      <c r="AO382" s="5624">
        <v>46052</v>
      </c>
      <c r="AP382" s="2963">
        <f t="shared" si="81"/>
        <v>0</v>
      </c>
      <c r="AQ382" s="5634"/>
      <c r="AR382" s="2963"/>
      <c r="AS382" s="5647"/>
      <c r="AT382" s="5634"/>
      <c r="AU382" s="3662"/>
      <c r="AV382" s="3662"/>
      <c r="AW382" s="3662"/>
      <c r="AX382" s="3662"/>
      <c r="AY382" s="3662"/>
      <c r="AZ382" s="3662"/>
      <c r="BA382" s="5634"/>
      <c r="BB382" s="2963"/>
      <c r="BC382" s="2963"/>
      <c r="BD382" s="5634"/>
      <c r="BE382" s="5634"/>
      <c r="BF382" s="5634"/>
      <c r="BG382" s="5634"/>
      <c r="BH382" s="2963"/>
      <c r="BI382" s="2963"/>
      <c r="BJ382" s="2963"/>
      <c r="BK382" s="2963"/>
      <c r="BL382" s="2963"/>
      <c r="BM382" s="2963"/>
      <c r="BN382" s="2963">
        <v>452565</v>
      </c>
      <c r="BO382" s="5634"/>
      <c r="BP382" s="5634"/>
      <c r="BQ382" s="5634"/>
      <c r="BR382" s="5634"/>
      <c r="BS382" s="5634"/>
      <c r="BT382" s="5634"/>
      <c r="BU382" s="5634"/>
      <c r="BV382" s="5634"/>
      <c r="BW382" s="5634"/>
      <c r="BX382" s="5634"/>
      <c r="BY382" s="5634"/>
      <c r="BZ382" s="5634"/>
      <c r="CA382" s="5634"/>
      <c r="CB382" s="5634">
        <v>452565</v>
      </c>
      <c r="CC382" s="2963"/>
      <c r="CD382" s="2963"/>
      <c r="CE382" s="5039"/>
      <c r="CF382" s="5039"/>
      <c r="CG382" s="5039"/>
      <c r="CH382" s="5039"/>
    </row>
    <row r="383" s="4971" customFormat="1" ht="70.85" customHeight="1" spans="1:86">
      <c r="A383" s="3662"/>
      <c r="B383" s="3524"/>
      <c r="C383" s="4903"/>
      <c r="D383" s="3741"/>
      <c r="E383" s="3741"/>
      <c r="F383" s="5555"/>
      <c r="G383" s="5555"/>
      <c r="H383" s="5555"/>
      <c r="I383" s="4671"/>
      <c r="J383" s="5555"/>
      <c r="K383" s="3383"/>
      <c r="L383" s="3383"/>
      <c r="M383" s="3383"/>
      <c r="N383" s="3383"/>
      <c r="O383" s="3383"/>
      <c r="P383" s="3383"/>
      <c r="Q383" s="3383"/>
      <c r="R383" s="3383"/>
      <c r="S383" s="3383"/>
      <c r="T383" s="3383"/>
      <c r="U383" s="3383"/>
      <c r="V383" s="3383"/>
      <c r="W383" s="3383"/>
      <c r="X383" s="3383"/>
      <c r="Y383" s="3383"/>
      <c r="Z383" s="3383"/>
      <c r="AA383" s="3383"/>
      <c r="AB383" s="3383"/>
      <c r="AC383" s="2963">
        <v>6</v>
      </c>
      <c r="AD383" s="5604" t="s">
        <v>941</v>
      </c>
      <c r="AE383" s="5605">
        <v>0.1</v>
      </c>
      <c r="AF383" s="2963">
        <f>M378*AE383</f>
        <v>301710</v>
      </c>
      <c r="AG383" s="5624">
        <f t="shared" si="79"/>
        <v>301710</v>
      </c>
      <c r="AH383" s="5623" t="s">
        <v>349</v>
      </c>
      <c r="AI383" s="5624">
        <v>46021</v>
      </c>
      <c r="AJ383" s="2963"/>
      <c r="AK383" s="5634"/>
      <c r="AL383" s="2960"/>
      <c r="AM383" s="2963"/>
      <c r="AN383" s="5624">
        <f t="shared" si="80"/>
        <v>301710</v>
      </c>
      <c r="AO383" s="5624">
        <v>46052</v>
      </c>
      <c r="AP383" s="2963">
        <f t="shared" si="81"/>
        <v>0</v>
      </c>
      <c r="AQ383" s="5634"/>
      <c r="AR383" s="2963"/>
      <c r="AS383" s="5647"/>
      <c r="AT383" s="5634"/>
      <c r="AU383" s="3662"/>
      <c r="AV383" s="3662"/>
      <c r="AW383" s="3662"/>
      <c r="AX383" s="3662"/>
      <c r="AY383" s="3662"/>
      <c r="AZ383" s="3662"/>
      <c r="BA383" s="5634"/>
      <c r="BB383" s="2963"/>
      <c r="BC383" s="2963"/>
      <c r="BD383" s="5634"/>
      <c r="BE383" s="5634"/>
      <c r="BF383" s="5634"/>
      <c r="BG383" s="5634"/>
      <c r="BH383" s="2963"/>
      <c r="BI383" s="2963"/>
      <c r="BJ383" s="2963"/>
      <c r="BK383" s="2963"/>
      <c r="BL383" s="2963"/>
      <c r="BM383" s="2963"/>
      <c r="BN383" s="2963">
        <v>301710</v>
      </c>
      <c r="BO383" s="5634"/>
      <c r="BP383" s="5634"/>
      <c r="BQ383" s="5634"/>
      <c r="BR383" s="5634"/>
      <c r="BS383" s="5634"/>
      <c r="BT383" s="5634"/>
      <c r="BU383" s="5634"/>
      <c r="BV383" s="5634"/>
      <c r="BW383" s="5634"/>
      <c r="BX383" s="5634"/>
      <c r="BY383" s="5634"/>
      <c r="BZ383" s="5634"/>
      <c r="CA383" s="5634"/>
      <c r="CB383" s="5634">
        <v>301710</v>
      </c>
      <c r="CC383" s="2963"/>
      <c r="CD383" s="2963"/>
      <c r="CE383" s="5039"/>
      <c r="CF383" s="5039"/>
      <c r="CG383" s="5039"/>
      <c r="CH383" s="5039"/>
    </row>
    <row r="384" s="4971" customFormat="1" ht="122" spans="1:86">
      <c r="A384" s="3662"/>
      <c r="B384" s="600" t="s">
        <v>888</v>
      </c>
      <c r="C384" s="2682">
        <v>45511</v>
      </c>
      <c r="D384" s="440" t="s">
        <v>918</v>
      </c>
      <c r="E384" s="5421"/>
      <c r="F384" s="440" t="s">
        <v>947</v>
      </c>
      <c r="G384" s="440" t="s">
        <v>948</v>
      </c>
      <c r="H384" s="440" t="s">
        <v>362</v>
      </c>
      <c r="I384" s="440"/>
      <c r="J384" s="440" t="s">
        <v>921</v>
      </c>
      <c r="K384" s="2682"/>
      <c r="L384" s="2682"/>
      <c r="M384" s="2682">
        <f>SUM(N384:AA389)</f>
        <v>1782932.4</v>
      </c>
      <c r="N384" s="3154"/>
      <c r="O384" s="3154"/>
      <c r="P384" s="3154"/>
      <c r="Q384" s="3154"/>
      <c r="R384" s="3154"/>
      <c r="S384" s="3154"/>
      <c r="T384" s="3154"/>
      <c r="U384" s="3154"/>
      <c r="V384" s="3154"/>
      <c r="W384" s="3154"/>
      <c r="X384" s="3154"/>
      <c r="Y384" s="3154"/>
      <c r="Z384" s="3154"/>
      <c r="AA384" s="3154">
        <v>1782932.4</v>
      </c>
      <c r="AB384" s="906" t="s">
        <v>126</v>
      </c>
      <c r="AC384" s="2682">
        <v>1</v>
      </c>
      <c r="AD384" s="5610" t="s">
        <v>949</v>
      </c>
      <c r="AE384" s="5611">
        <v>0.15</v>
      </c>
      <c r="AF384" s="2682">
        <f>M384*AE384</f>
        <v>267439.86</v>
      </c>
      <c r="AG384" s="5627">
        <f t="shared" si="79"/>
        <v>267439.86</v>
      </c>
      <c r="AH384" s="5628" t="s">
        <v>122</v>
      </c>
      <c r="AI384" s="5627">
        <v>45642</v>
      </c>
      <c r="AJ384" s="2682">
        <v>267439.86</v>
      </c>
      <c r="AK384" s="2682">
        <v>45642</v>
      </c>
      <c r="AL384" s="2957">
        <v>267439.86</v>
      </c>
      <c r="AM384" s="2682">
        <v>45644</v>
      </c>
      <c r="AN384" s="2682">
        <f t="shared" si="80"/>
        <v>267439.86</v>
      </c>
      <c r="AO384" s="2682">
        <v>45677</v>
      </c>
      <c r="AP384" s="2682">
        <f t="shared" si="81"/>
        <v>0</v>
      </c>
      <c r="AQ384" s="5410"/>
      <c r="AR384" s="2682"/>
      <c r="AS384" s="5496"/>
      <c r="AT384" s="5410"/>
      <c r="AU384" s="3662"/>
      <c r="AV384" s="3662"/>
      <c r="AW384" s="3662"/>
      <c r="AX384" s="3662"/>
      <c r="AY384" s="3662"/>
      <c r="AZ384" s="3662"/>
      <c r="BA384" s="5410"/>
      <c r="BB384" s="2682"/>
      <c r="BC384" s="2682"/>
      <c r="BD384" s="5410"/>
      <c r="BE384" s="5410"/>
      <c r="BF384" s="5410"/>
      <c r="BG384" s="5410"/>
      <c r="BH384" s="2682"/>
      <c r="BI384" s="2682"/>
      <c r="BJ384" s="2682"/>
      <c r="BK384" s="2682"/>
      <c r="BL384" s="2682"/>
      <c r="BM384" s="2682"/>
      <c r="BN384" s="5627">
        <v>267439.86</v>
      </c>
      <c r="BO384" s="5410"/>
      <c r="BP384" s="5410"/>
      <c r="BQ384" s="5410"/>
      <c r="BR384" s="5410"/>
      <c r="BS384" s="5410"/>
      <c r="BT384" s="5410"/>
      <c r="BU384" s="5410"/>
      <c r="BV384" s="5401"/>
      <c r="BW384" s="5410"/>
      <c r="BX384" s="5410"/>
      <c r="BY384" s="5410"/>
      <c r="BZ384" s="5410"/>
      <c r="CA384" s="5410"/>
      <c r="CB384" s="2682">
        <v>267439.86</v>
      </c>
      <c r="CC384" s="2682"/>
      <c r="CD384" s="2682"/>
      <c r="CE384" s="5039"/>
      <c r="CF384" s="5039"/>
      <c r="CG384" s="5039"/>
      <c r="CH384" s="5039"/>
    </row>
    <row r="385" s="4971" customFormat="1" ht="122" spans="1:86">
      <c r="A385" s="3662"/>
      <c r="B385" s="2682"/>
      <c r="C385" s="2682"/>
      <c r="D385" s="3181"/>
      <c r="E385" s="5443"/>
      <c r="F385" s="3181"/>
      <c r="G385" s="3181"/>
      <c r="H385" s="3181"/>
      <c r="I385" s="3181"/>
      <c r="J385" s="3181"/>
      <c r="K385" s="2682"/>
      <c r="L385" s="2682"/>
      <c r="M385" s="2682"/>
      <c r="N385" s="3154"/>
      <c r="O385" s="3154"/>
      <c r="P385" s="3154"/>
      <c r="Q385" s="3154"/>
      <c r="R385" s="3154"/>
      <c r="S385" s="3154"/>
      <c r="T385" s="3154"/>
      <c r="U385" s="3154"/>
      <c r="V385" s="3154"/>
      <c r="W385" s="3154"/>
      <c r="X385" s="3154"/>
      <c r="Y385" s="3154"/>
      <c r="Z385" s="3154"/>
      <c r="AA385" s="3154"/>
      <c r="AB385" s="3154"/>
      <c r="AC385" s="2682">
        <v>2</v>
      </c>
      <c r="AD385" s="5610" t="s">
        <v>950</v>
      </c>
      <c r="AE385" s="5611">
        <v>0.25</v>
      </c>
      <c r="AF385" s="2682">
        <f>M384*AE385</f>
        <v>445733.1</v>
      </c>
      <c r="AG385" s="2682">
        <f t="shared" si="79"/>
        <v>445733.1</v>
      </c>
      <c r="AH385" s="600" t="s">
        <v>122</v>
      </c>
      <c r="AI385" s="5627">
        <v>45719</v>
      </c>
      <c r="AJ385" s="2682">
        <v>445733.1</v>
      </c>
      <c r="AK385" s="2682">
        <v>45719</v>
      </c>
      <c r="AL385" s="2682">
        <v>445733.1</v>
      </c>
      <c r="AM385" s="2682">
        <v>45719</v>
      </c>
      <c r="AN385" s="5627">
        <f t="shared" ref="AN385:AN396" si="82">SUM(BO385:CB385)</f>
        <v>445733.1</v>
      </c>
      <c r="AO385" s="2682">
        <v>45747</v>
      </c>
      <c r="AP385" s="2682">
        <f t="shared" si="81"/>
        <v>0</v>
      </c>
      <c r="AQ385" s="5410"/>
      <c r="AR385" s="2682"/>
      <c r="AS385" s="5496"/>
      <c r="AT385" s="5410"/>
      <c r="AU385" s="3662"/>
      <c r="AV385" s="3662"/>
      <c r="AW385" s="3662"/>
      <c r="AX385" s="3662"/>
      <c r="AY385" s="3662"/>
      <c r="AZ385" s="3662"/>
      <c r="BA385" s="5410"/>
      <c r="BB385" s="2682"/>
      <c r="BC385" s="2682"/>
      <c r="BD385" s="5410"/>
      <c r="BE385" s="5410"/>
      <c r="BF385" s="5410"/>
      <c r="BG385" s="5410"/>
      <c r="BH385" s="2682"/>
      <c r="BI385" s="2682"/>
      <c r="BJ385" s="2682"/>
      <c r="BK385" s="2682"/>
      <c r="BL385" s="2682"/>
      <c r="BM385" s="2682"/>
      <c r="BN385" s="5627">
        <v>445733.1</v>
      </c>
      <c r="BO385" s="5410"/>
      <c r="BP385" s="5410"/>
      <c r="BQ385" s="5410"/>
      <c r="BR385" s="5410"/>
      <c r="BS385" s="5410"/>
      <c r="BT385" s="5410"/>
      <c r="BU385" s="5410"/>
      <c r="BV385" s="5410"/>
      <c r="BW385" s="5410"/>
      <c r="BX385" s="5410"/>
      <c r="BY385" s="5410"/>
      <c r="BZ385" s="5410"/>
      <c r="CA385" s="5410"/>
      <c r="CB385" s="5410">
        <v>445733.1</v>
      </c>
      <c r="CC385" s="2682"/>
      <c r="CD385" s="2682"/>
      <c r="CE385" s="5039"/>
      <c r="CF385" s="5039"/>
      <c r="CG385" s="5039"/>
      <c r="CH385" s="5039"/>
    </row>
    <row r="386" s="4971" customFormat="1" ht="122" spans="1:86">
      <c r="A386" s="3662"/>
      <c r="B386" s="2682"/>
      <c r="C386" s="2682"/>
      <c r="D386" s="3181"/>
      <c r="E386" s="5443"/>
      <c r="F386" s="3181"/>
      <c r="G386" s="3181"/>
      <c r="H386" s="3181"/>
      <c r="I386" s="3181"/>
      <c r="J386" s="3181"/>
      <c r="K386" s="2682"/>
      <c r="L386" s="2682"/>
      <c r="M386" s="2682"/>
      <c r="N386" s="3154"/>
      <c r="O386" s="3154"/>
      <c r="P386" s="3154"/>
      <c r="Q386" s="3154"/>
      <c r="R386" s="3154"/>
      <c r="S386" s="3154"/>
      <c r="T386" s="3154"/>
      <c r="U386" s="3154"/>
      <c r="V386" s="3154"/>
      <c r="W386" s="3154"/>
      <c r="X386" s="3154"/>
      <c r="Y386" s="3154"/>
      <c r="Z386" s="3154"/>
      <c r="AA386" s="3154"/>
      <c r="AB386" s="3154"/>
      <c r="AC386" s="2682">
        <v>3</v>
      </c>
      <c r="AD386" s="5610" t="s">
        <v>951</v>
      </c>
      <c r="AE386" s="5611">
        <v>0.15</v>
      </c>
      <c r="AF386" s="2682">
        <f>M384*AE386</f>
        <v>267439.86</v>
      </c>
      <c r="AG386" s="2957">
        <f t="shared" si="79"/>
        <v>267439.86</v>
      </c>
      <c r="AH386" s="600" t="s">
        <v>122</v>
      </c>
      <c r="AI386" s="2957">
        <v>45818</v>
      </c>
      <c r="AJ386" s="2957">
        <v>267439.86</v>
      </c>
      <c r="AK386" s="2957">
        <v>45818</v>
      </c>
      <c r="AL386" s="2682">
        <v>267439.86</v>
      </c>
      <c r="AM386" s="2682">
        <v>45819</v>
      </c>
      <c r="AN386" s="2957">
        <f t="shared" si="82"/>
        <v>267439.86</v>
      </c>
      <c r="AO386" s="2957">
        <v>45897</v>
      </c>
      <c r="AP386" s="2682">
        <f t="shared" si="81"/>
        <v>0</v>
      </c>
      <c r="AQ386" s="5410"/>
      <c r="AR386" s="2682"/>
      <c r="AS386" s="5496"/>
      <c r="AT386" s="5410"/>
      <c r="AU386" s="3662"/>
      <c r="AV386" s="3662"/>
      <c r="AW386" s="3662"/>
      <c r="AX386" s="3662"/>
      <c r="AY386" s="3662"/>
      <c r="AZ386" s="3662"/>
      <c r="BA386" s="5410"/>
      <c r="BB386" s="2682"/>
      <c r="BC386" s="2682"/>
      <c r="BD386" s="5410"/>
      <c r="BE386" s="5410"/>
      <c r="BF386" s="5410"/>
      <c r="BG386" s="5410"/>
      <c r="BH386" s="2682"/>
      <c r="BI386" s="2682"/>
      <c r="BJ386" s="2682"/>
      <c r="BK386" s="2682"/>
      <c r="BL386" s="2682"/>
      <c r="BM386" s="2682"/>
      <c r="BN386" s="2682">
        <v>267439.86</v>
      </c>
      <c r="BO386" s="5410"/>
      <c r="BP386" s="5410"/>
      <c r="BQ386" s="5410"/>
      <c r="BR386" s="5410"/>
      <c r="BS386" s="5410"/>
      <c r="BT386" s="5410"/>
      <c r="BU386" s="5410"/>
      <c r="BV386" s="5410"/>
      <c r="BW386" s="5410"/>
      <c r="BX386" s="5410"/>
      <c r="BY386" s="5410"/>
      <c r="BZ386" s="5410"/>
      <c r="CA386" s="5410"/>
      <c r="CB386" s="5410">
        <v>267439.86</v>
      </c>
      <c r="CC386" s="2682"/>
      <c r="CD386" s="2682"/>
      <c r="CE386" s="5039"/>
      <c r="CF386" s="5039"/>
      <c r="CG386" s="5039"/>
      <c r="CH386" s="5039"/>
    </row>
    <row r="387" s="4971" customFormat="1" ht="122" spans="1:86">
      <c r="A387" s="3662"/>
      <c r="B387" s="2682"/>
      <c r="C387" s="2682"/>
      <c r="D387" s="3181"/>
      <c r="E387" s="5443"/>
      <c r="F387" s="3181"/>
      <c r="G387" s="3181"/>
      <c r="H387" s="3181"/>
      <c r="I387" s="3181"/>
      <c r="J387" s="3181"/>
      <c r="K387" s="2682"/>
      <c r="L387" s="2682"/>
      <c r="M387" s="2682"/>
      <c r="N387" s="3154"/>
      <c r="O387" s="3154"/>
      <c r="P387" s="3154"/>
      <c r="Q387" s="3154"/>
      <c r="R387" s="3154"/>
      <c r="S387" s="3154"/>
      <c r="T387" s="3154"/>
      <c r="U387" s="3154"/>
      <c r="V387" s="3154"/>
      <c r="W387" s="3154"/>
      <c r="X387" s="3154"/>
      <c r="Y387" s="3154"/>
      <c r="Z387" s="3154"/>
      <c r="AA387" s="3154"/>
      <c r="AB387" s="3154"/>
      <c r="AC387" s="2682">
        <v>4</v>
      </c>
      <c r="AD387" s="5610" t="s">
        <v>952</v>
      </c>
      <c r="AE387" s="5611">
        <v>0.2</v>
      </c>
      <c r="AF387" s="2682">
        <f>M384*AE387</f>
        <v>356586.48</v>
      </c>
      <c r="AG387" s="5395">
        <f t="shared" si="79"/>
        <v>356586.48</v>
      </c>
      <c r="AH387" s="5394" t="s">
        <v>349</v>
      </c>
      <c r="AI387" s="5395">
        <v>46111</v>
      </c>
      <c r="AJ387" s="2682"/>
      <c r="AK387" s="5410"/>
      <c r="AL387" s="2957"/>
      <c r="AM387" s="2682"/>
      <c r="AN387" s="5395">
        <f t="shared" si="82"/>
        <v>356586.48</v>
      </c>
      <c r="AO387" s="5395">
        <v>46142</v>
      </c>
      <c r="AP387" s="2682">
        <f t="shared" si="81"/>
        <v>0</v>
      </c>
      <c r="AQ387" s="5410"/>
      <c r="AR387" s="2682"/>
      <c r="AS387" s="5496"/>
      <c r="AT387" s="5410"/>
      <c r="AU387" s="3662"/>
      <c r="AV387" s="3662"/>
      <c r="AW387" s="3662"/>
      <c r="AX387" s="3662"/>
      <c r="AY387" s="3662"/>
      <c r="AZ387" s="3662"/>
      <c r="BA387" s="5410"/>
      <c r="BB387" s="2682"/>
      <c r="BC387" s="2682"/>
      <c r="BD387" s="5410"/>
      <c r="BE387" s="5410"/>
      <c r="BF387" s="5410"/>
      <c r="BG387" s="5410"/>
      <c r="BH387" s="2682"/>
      <c r="BI387" s="2682"/>
      <c r="BJ387" s="2682"/>
      <c r="BK387" s="2682"/>
      <c r="BL387" s="2682"/>
      <c r="BM387" s="2682"/>
      <c r="BN387" s="2682">
        <v>356586.48</v>
      </c>
      <c r="BO387" s="5410"/>
      <c r="BP387" s="5410"/>
      <c r="BQ387" s="5410"/>
      <c r="BR387" s="5410"/>
      <c r="BS387" s="5410"/>
      <c r="BT387" s="5410"/>
      <c r="BU387" s="5410"/>
      <c r="BV387" s="5410"/>
      <c r="BW387" s="5410"/>
      <c r="BX387" s="5410"/>
      <c r="BY387" s="5410"/>
      <c r="BZ387" s="5410"/>
      <c r="CA387" s="5410"/>
      <c r="CB387" s="5410">
        <v>356586.48</v>
      </c>
      <c r="CC387" s="2682"/>
      <c r="CD387" s="2682"/>
      <c r="CE387" s="5039"/>
      <c r="CF387" s="5039"/>
      <c r="CG387" s="5039"/>
      <c r="CH387" s="5039"/>
    </row>
    <row r="388" s="4971" customFormat="1" ht="107" spans="1:86">
      <c r="A388" s="3662"/>
      <c r="B388" s="2682"/>
      <c r="C388" s="2682"/>
      <c r="D388" s="3181"/>
      <c r="E388" s="5443"/>
      <c r="F388" s="3181"/>
      <c r="G388" s="3181"/>
      <c r="H388" s="3181"/>
      <c r="I388" s="3181"/>
      <c r="J388" s="3181"/>
      <c r="K388" s="2682"/>
      <c r="L388" s="2682"/>
      <c r="M388" s="2682"/>
      <c r="N388" s="3154"/>
      <c r="O388" s="3154"/>
      <c r="P388" s="3154"/>
      <c r="Q388" s="3154"/>
      <c r="R388" s="3154"/>
      <c r="S388" s="3154"/>
      <c r="T388" s="3154"/>
      <c r="U388" s="3154"/>
      <c r="V388" s="3154"/>
      <c r="W388" s="3154"/>
      <c r="X388" s="3154"/>
      <c r="Y388" s="3154"/>
      <c r="Z388" s="3154"/>
      <c r="AA388" s="3154"/>
      <c r="AB388" s="3154"/>
      <c r="AC388" s="2682">
        <v>5</v>
      </c>
      <c r="AD388" s="5610" t="s">
        <v>953</v>
      </c>
      <c r="AE388" s="5611">
        <v>0.15</v>
      </c>
      <c r="AF388" s="2682">
        <f>M384*AE388</f>
        <v>267439.86</v>
      </c>
      <c r="AG388" s="2682">
        <f t="shared" si="79"/>
        <v>0</v>
      </c>
      <c r="AH388" s="2682"/>
      <c r="AI388" s="2682"/>
      <c r="AJ388" s="2682"/>
      <c r="AK388" s="5410"/>
      <c r="AL388" s="2957"/>
      <c r="AM388" s="2682"/>
      <c r="AN388" s="2682">
        <f t="shared" si="82"/>
        <v>0</v>
      </c>
      <c r="AO388" s="2682"/>
      <c r="AP388" s="2682">
        <f t="shared" si="81"/>
        <v>0</v>
      </c>
      <c r="AQ388" s="5410"/>
      <c r="AR388" s="2682"/>
      <c r="AS388" s="5496"/>
      <c r="AT388" s="5410"/>
      <c r="AU388" s="3662"/>
      <c r="AV388" s="3662"/>
      <c r="AW388" s="3662"/>
      <c r="AX388" s="3662"/>
      <c r="AY388" s="3662"/>
      <c r="AZ388" s="3662"/>
      <c r="BA388" s="5410"/>
      <c r="BB388" s="2682"/>
      <c r="BC388" s="2682"/>
      <c r="BD388" s="5410"/>
      <c r="BE388" s="5410"/>
      <c r="BF388" s="5410"/>
      <c r="BG388" s="5410"/>
      <c r="BH388" s="2682"/>
      <c r="BI388" s="2682"/>
      <c r="BJ388" s="2682"/>
      <c r="BK388" s="2682"/>
      <c r="BL388" s="2682"/>
      <c r="BM388" s="2682"/>
      <c r="BN388" s="2682"/>
      <c r="BO388" s="5410"/>
      <c r="BP388" s="5410"/>
      <c r="BQ388" s="5410"/>
      <c r="BR388" s="5410"/>
      <c r="BS388" s="5410"/>
      <c r="BT388" s="5410"/>
      <c r="BU388" s="5410"/>
      <c r="BV388" s="5410"/>
      <c r="BW388" s="5410"/>
      <c r="BX388" s="5410"/>
      <c r="BY388" s="5410"/>
      <c r="BZ388" s="5410"/>
      <c r="CA388" s="5410"/>
      <c r="CB388" s="5410"/>
      <c r="CC388" s="2682"/>
      <c r="CD388" s="2682"/>
      <c r="CE388" s="5039"/>
      <c r="CF388" s="5039"/>
      <c r="CG388" s="5039"/>
      <c r="CH388" s="5039"/>
    </row>
    <row r="389" s="4971" customFormat="1" ht="107" spans="1:86">
      <c r="A389" s="3662"/>
      <c r="B389" s="2682"/>
      <c r="C389" s="2682"/>
      <c r="D389" s="3181"/>
      <c r="E389" s="5444"/>
      <c r="F389" s="3181"/>
      <c r="G389" s="3181"/>
      <c r="H389" s="3181"/>
      <c r="I389" s="3181"/>
      <c r="J389" s="3181"/>
      <c r="K389" s="2682"/>
      <c r="L389" s="2682"/>
      <c r="M389" s="2682"/>
      <c r="N389" s="3171"/>
      <c r="O389" s="3171"/>
      <c r="P389" s="3171"/>
      <c r="Q389" s="3171"/>
      <c r="R389" s="3171"/>
      <c r="S389" s="3171"/>
      <c r="T389" s="3171"/>
      <c r="U389" s="3171"/>
      <c r="V389" s="3171"/>
      <c r="W389" s="3171"/>
      <c r="X389" s="3171"/>
      <c r="Y389" s="3171"/>
      <c r="Z389" s="3171"/>
      <c r="AA389" s="3171"/>
      <c r="AB389" s="3171"/>
      <c r="AC389" s="2682">
        <v>6</v>
      </c>
      <c r="AD389" s="5610" t="s">
        <v>954</v>
      </c>
      <c r="AE389" s="5611">
        <v>0.1</v>
      </c>
      <c r="AF389" s="2682">
        <f>M384*AE389</f>
        <v>178293.24</v>
      </c>
      <c r="AG389" s="2682">
        <f t="shared" si="79"/>
        <v>0</v>
      </c>
      <c r="AH389" s="2682"/>
      <c r="AI389" s="2682"/>
      <c r="AJ389" s="2682"/>
      <c r="AK389" s="5410"/>
      <c r="AL389" s="2957"/>
      <c r="AM389" s="2682"/>
      <c r="AN389" s="2682">
        <f t="shared" si="82"/>
        <v>0</v>
      </c>
      <c r="AO389" s="2682"/>
      <c r="AP389" s="2682">
        <f t="shared" si="81"/>
        <v>0</v>
      </c>
      <c r="AQ389" s="5410"/>
      <c r="AR389" s="2682"/>
      <c r="AS389" s="5496"/>
      <c r="AT389" s="5410"/>
      <c r="AU389" s="3662"/>
      <c r="AV389" s="3662"/>
      <c r="AW389" s="3662"/>
      <c r="AX389" s="3662"/>
      <c r="AY389" s="3662"/>
      <c r="AZ389" s="3662"/>
      <c r="BA389" s="5410"/>
      <c r="BB389" s="2682"/>
      <c r="BC389" s="2682"/>
      <c r="BD389" s="5410"/>
      <c r="BE389" s="5410"/>
      <c r="BF389" s="5410"/>
      <c r="BG389" s="5410"/>
      <c r="BH389" s="2682"/>
      <c r="BI389" s="2682"/>
      <c r="BJ389" s="2682"/>
      <c r="BK389" s="2682"/>
      <c r="BL389" s="2682"/>
      <c r="BM389" s="2682"/>
      <c r="BN389" s="2682"/>
      <c r="BO389" s="5410"/>
      <c r="BP389" s="5410"/>
      <c r="BQ389" s="5410"/>
      <c r="BR389" s="5410"/>
      <c r="BS389" s="5410"/>
      <c r="BT389" s="5410"/>
      <c r="BU389" s="5410"/>
      <c r="BV389" s="5410"/>
      <c r="BW389" s="5410"/>
      <c r="BX389" s="5410"/>
      <c r="BY389" s="5410"/>
      <c r="BZ389" s="5410"/>
      <c r="CA389" s="5410"/>
      <c r="CB389" s="5410"/>
      <c r="CC389" s="2682"/>
      <c r="CD389" s="2682"/>
      <c r="CE389" s="5039"/>
      <c r="CF389" s="5039"/>
      <c r="CG389" s="5039"/>
      <c r="CH389" s="5039"/>
    </row>
    <row r="390" s="4971" customFormat="1" ht="107" spans="1:86">
      <c r="A390" s="3662"/>
      <c r="B390" s="5658" t="s">
        <v>888</v>
      </c>
      <c r="C390" s="5568">
        <v>45644</v>
      </c>
      <c r="D390" s="5567" t="s">
        <v>918</v>
      </c>
      <c r="E390" s="5567"/>
      <c r="F390" s="5567" t="s">
        <v>955</v>
      </c>
      <c r="G390" s="5567" t="s">
        <v>956</v>
      </c>
      <c r="H390" s="5567" t="s">
        <v>362</v>
      </c>
      <c r="I390" s="5551"/>
      <c r="J390" s="5567" t="s">
        <v>921</v>
      </c>
      <c r="K390" s="5568"/>
      <c r="L390" s="5568"/>
      <c r="M390" s="5568">
        <f>SUM(N390:AA396)</f>
        <v>602400</v>
      </c>
      <c r="N390" s="5568"/>
      <c r="O390" s="5568"/>
      <c r="P390" s="5568"/>
      <c r="Q390" s="5568"/>
      <c r="R390" s="5568"/>
      <c r="S390" s="5568"/>
      <c r="T390" s="5568"/>
      <c r="U390" s="5568"/>
      <c r="V390" s="5568"/>
      <c r="W390" s="5568"/>
      <c r="X390" s="5568"/>
      <c r="Y390" s="5568"/>
      <c r="Z390" s="5568"/>
      <c r="AA390" s="5568">
        <v>602400</v>
      </c>
      <c r="AB390" s="5658" t="s">
        <v>126</v>
      </c>
      <c r="AC390" s="2967">
        <v>1</v>
      </c>
      <c r="AD390" s="5602" t="s">
        <v>957</v>
      </c>
      <c r="AE390" s="5603">
        <v>0.15</v>
      </c>
      <c r="AF390" s="2967">
        <f>M390*AE390</f>
        <v>90360</v>
      </c>
      <c r="AG390" s="2967">
        <f t="shared" si="79"/>
        <v>90360</v>
      </c>
      <c r="AH390" s="5620" t="s">
        <v>122</v>
      </c>
      <c r="AI390" s="2967">
        <v>45737</v>
      </c>
      <c r="AJ390" s="2967">
        <f>SUM(BD390:BQ390)</f>
        <v>90360</v>
      </c>
      <c r="AK390" s="2967">
        <v>45737</v>
      </c>
      <c r="AL390" s="2967">
        <f>SUM(BF390:BS390)</f>
        <v>90360</v>
      </c>
      <c r="AM390" s="2966">
        <v>45740</v>
      </c>
      <c r="AN390" s="5625">
        <f t="shared" si="82"/>
        <v>90360</v>
      </c>
      <c r="AO390" s="2966">
        <v>45775</v>
      </c>
      <c r="AP390" s="5625">
        <f t="shared" ref="AP390:AP430" si="83">AG390-AN390</f>
        <v>0</v>
      </c>
      <c r="AQ390" s="5633"/>
      <c r="AR390" s="2967"/>
      <c r="AS390" s="5646"/>
      <c r="AT390" s="5633"/>
      <c r="AU390" s="3662"/>
      <c r="AV390" s="3662"/>
      <c r="AW390" s="3662"/>
      <c r="AX390" s="3662"/>
      <c r="AY390" s="3662"/>
      <c r="AZ390" s="3662"/>
      <c r="BA390" s="5633"/>
      <c r="BB390" s="2967"/>
      <c r="BC390" s="2967"/>
      <c r="BD390" s="5633"/>
      <c r="BE390" s="5633"/>
      <c r="BF390" s="5633"/>
      <c r="BG390" s="5633"/>
      <c r="BH390" s="2967"/>
      <c r="BI390" s="2967"/>
      <c r="BJ390" s="2967"/>
      <c r="BK390" s="2967"/>
      <c r="BL390" s="2967"/>
      <c r="BM390" s="2967"/>
      <c r="BN390" s="2967">
        <v>90360</v>
      </c>
      <c r="BO390" s="5633"/>
      <c r="BP390" s="5633"/>
      <c r="BQ390" s="5633"/>
      <c r="BR390" s="5633"/>
      <c r="BS390" s="5633"/>
      <c r="BT390" s="5633"/>
      <c r="BU390" s="5633"/>
      <c r="BV390" s="5633"/>
      <c r="BW390" s="5633"/>
      <c r="BX390" s="5633"/>
      <c r="BY390" s="5633"/>
      <c r="BZ390" s="5633"/>
      <c r="CA390" s="5633"/>
      <c r="CB390" s="5633">
        <v>90360</v>
      </c>
      <c r="CC390" s="2967"/>
      <c r="CD390" s="2967"/>
      <c r="CE390" s="5039"/>
      <c r="CF390" s="5039"/>
      <c r="CG390" s="5039"/>
      <c r="CH390" s="5039"/>
    </row>
    <row r="391" s="4971" customFormat="1" ht="43.5" customHeight="1" spans="1:86">
      <c r="A391" s="3662"/>
      <c r="B391" s="5568"/>
      <c r="C391" s="5568"/>
      <c r="D391" s="5551"/>
      <c r="E391" s="5551"/>
      <c r="F391" s="5551"/>
      <c r="G391" s="5551"/>
      <c r="H391" s="5551"/>
      <c r="I391" s="5551"/>
      <c r="J391" s="5551"/>
      <c r="K391" s="5568"/>
      <c r="L391" s="5568"/>
      <c r="M391" s="5568"/>
      <c r="N391" s="5568"/>
      <c r="O391" s="5568"/>
      <c r="P391" s="5568"/>
      <c r="Q391" s="5568"/>
      <c r="R391" s="5568"/>
      <c r="S391" s="5568"/>
      <c r="T391" s="5568"/>
      <c r="U391" s="5568"/>
      <c r="V391" s="5568"/>
      <c r="W391" s="5568"/>
      <c r="X391" s="5568"/>
      <c r="Y391" s="5568"/>
      <c r="Z391" s="5568"/>
      <c r="AA391" s="5568"/>
      <c r="AB391" s="5568"/>
      <c r="AC391" s="5566">
        <v>2</v>
      </c>
      <c r="AD391" s="5550" t="s">
        <v>958</v>
      </c>
      <c r="AE391" s="5603">
        <v>0.25</v>
      </c>
      <c r="AF391" s="5566">
        <f>M390*AE391</f>
        <v>150600</v>
      </c>
      <c r="AG391" s="5566">
        <f t="shared" si="79"/>
        <v>150600</v>
      </c>
      <c r="AH391" s="5584" t="s">
        <v>122</v>
      </c>
      <c r="AI391" s="5566">
        <v>45737</v>
      </c>
      <c r="AJ391" s="5566">
        <f>SUM(BD391:BQ391)</f>
        <v>150600</v>
      </c>
      <c r="AK391" s="5566">
        <v>45737</v>
      </c>
      <c r="AL391" s="5566">
        <f>SUM(BF391:BS391)</f>
        <v>150600</v>
      </c>
      <c r="AM391" s="5691">
        <v>45740</v>
      </c>
      <c r="AN391" s="5625">
        <f t="shared" si="82"/>
        <v>90360</v>
      </c>
      <c r="AO391" s="2966">
        <v>45775</v>
      </c>
      <c r="AP391" s="5625">
        <f t="shared" si="83"/>
        <v>60240</v>
      </c>
      <c r="AQ391" s="5633"/>
      <c r="AR391" s="2967"/>
      <c r="AS391" s="5646"/>
      <c r="AT391" s="5633"/>
      <c r="AU391" s="3662"/>
      <c r="AV391" s="3662"/>
      <c r="AW391" s="3662"/>
      <c r="AX391" s="3662"/>
      <c r="AY391" s="3662"/>
      <c r="AZ391" s="3662"/>
      <c r="BA391" s="5633"/>
      <c r="BB391" s="2967"/>
      <c r="BC391" s="2967"/>
      <c r="BD391" s="5633"/>
      <c r="BE391" s="5633"/>
      <c r="BF391" s="5633"/>
      <c r="BG391" s="5633"/>
      <c r="BH391" s="2967"/>
      <c r="BI391" s="2967"/>
      <c r="BJ391" s="2967"/>
      <c r="BK391" s="2967"/>
      <c r="BL391" s="2967"/>
      <c r="BM391" s="2967"/>
      <c r="BN391" s="2967">
        <v>150600</v>
      </c>
      <c r="BO391" s="5633"/>
      <c r="BP391" s="5633"/>
      <c r="BQ391" s="5633"/>
      <c r="BR391" s="5633"/>
      <c r="BS391" s="5633"/>
      <c r="BT391" s="5633"/>
      <c r="BU391" s="5633"/>
      <c r="BV391" s="5633"/>
      <c r="BW391" s="5633"/>
      <c r="BX391" s="5633"/>
      <c r="BY391" s="5633"/>
      <c r="BZ391" s="5633"/>
      <c r="CA391" s="5633"/>
      <c r="CB391" s="5633">
        <v>90360</v>
      </c>
      <c r="CC391" s="2967"/>
      <c r="CD391" s="2967"/>
      <c r="CE391" s="5039"/>
      <c r="CF391" s="5039"/>
      <c r="CG391" s="5039"/>
      <c r="CH391" s="5039"/>
    </row>
    <row r="392" s="4971" customFormat="1" ht="40.5" customHeight="1" spans="1:86">
      <c r="A392" s="3662"/>
      <c r="B392" s="5568"/>
      <c r="C392" s="5568"/>
      <c r="D392" s="5551"/>
      <c r="E392" s="5551"/>
      <c r="F392" s="5551"/>
      <c r="G392" s="5551"/>
      <c r="H392" s="5551"/>
      <c r="I392" s="5551"/>
      <c r="J392" s="5551"/>
      <c r="K392" s="5568"/>
      <c r="L392" s="5568"/>
      <c r="M392" s="5568"/>
      <c r="N392" s="5568"/>
      <c r="O392" s="5568"/>
      <c r="P392" s="5568"/>
      <c r="Q392" s="5568"/>
      <c r="R392" s="5568"/>
      <c r="S392" s="5568"/>
      <c r="T392" s="5568"/>
      <c r="U392" s="5568"/>
      <c r="V392" s="5568"/>
      <c r="W392" s="5568"/>
      <c r="X392" s="5568"/>
      <c r="Y392" s="5568"/>
      <c r="Z392" s="5568"/>
      <c r="AA392" s="5568"/>
      <c r="AB392" s="5568"/>
      <c r="AC392" s="5570"/>
      <c r="AD392" s="5569"/>
      <c r="AE392" s="5603"/>
      <c r="AF392" s="5570"/>
      <c r="AG392" s="5570"/>
      <c r="AH392" s="5687"/>
      <c r="AI392" s="5570"/>
      <c r="AJ392" s="5570"/>
      <c r="AK392" s="5570"/>
      <c r="AL392" s="5570"/>
      <c r="AM392" s="5692"/>
      <c r="AN392" s="2966">
        <f t="shared" si="82"/>
        <v>60240</v>
      </c>
      <c r="AO392" s="2966">
        <v>45804</v>
      </c>
      <c r="AP392" s="5625">
        <f t="shared" si="83"/>
        <v>-60240</v>
      </c>
      <c r="AQ392" s="5633"/>
      <c r="AR392" s="2967"/>
      <c r="AS392" s="5646"/>
      <c r="AT392" s="5633"/>
      <c r="AU392" s="3662"/>
      <c r="AV392" s="3662"/>
      <c r="AW392" s="3662"/>
      <c r="AX392" s="3662"/>
      <c r="AY392" s="3662"/>
      <c r="AZ392" s="3662"/>
      <c r="BA392" s="5633"/>
      <c r="BB392" s="2967"/>
      <c r="BC392" s="2967"/>
      <c r="BD392" s="5633"/>
      <c r="BE392" s="5633"/>
      <c r="BF392" s="5633"/>
      <c r="BG392" s="5633"/>
      <c r="BH392" s="2967"/>
      <c r="BI392" s="2967"/>
      <c r="BJ392" s="2967"/>
      <c r="BK392" s="2967"/>
      <c r="BL392" s="2967"/>
      <c r="BM392" s="2967"/>
      <c r="BN392" s="2967"/>
      <c r="BO392" s="5633"/>
      <c r="BP392" s="5633"/>
      <c r="BQ392" s="5633"/>
      <c r="BR392" s="5633"/>
      <c r="BS392" s="5633"/>
      <c r="BT392" s="5633"/>
      <c r="BU392" s="5633"/>
      <c r="BV392" s="5633"/>
      <c r="BW392" s="5633"/>
      <c r="BX392" s="5633"/>
      <c r="BY392" s="5633"/>
      <c r="BZ392" s="5633"/>
      <c r="CA392" s="5633"/>
      <c r="CB392" s="5633">
        <v>60240</v>
      </c>
      <c r="CC392" s="2967"/>
      <c r="CD392" s="2967"/>
      <c r="CE392" s="5039"/>
      <c r="CF392" s="5039"/>
      <c r="CG392" s="5039"/>
      <c r="CH392" s="5039"/>
    </row>
    <row r="393" s="4971" customFormat="1" ht="122" spans="1:86">
      <c r="A393" s="3662"/>
      <c r="B393" s="5568"/>
      <c r="C393" s="5568"/>
      <c r="D393" s="5551"/>
      <c r="E393" s="5551"/>
      <c r="F393" s="5551"/>
      <c r="G393" s="5551"/>
      <c r="H393" s="5551"/>
      <c r="I393" s="5551"/>
      <c r="J393" s="5551"/>
      <c r="K393" s="5568"/>
      <c r="L393" s="5568"/>
      <c r="M393" s="5568"/>
      <c r="N393" s="5568"/>
      <c r="O393" s="5568"/>
      <c r="P393" s="5568"/>
      <c r="Q393" s="5568"/>
      <c r="R393" s="5568"/>
      <c r="S393" s="5568"/>
      <c r="T393" s="5568"/>
      <c r="U393" s="5568"/>
      <c r="V393" s="5568"/>
      <c r="W393" s="5568"/>
      <c r="X393" s="5568"/>
      <c r="Y393" s="5568"/>
      <c r="Z393" s="5568"/>
      <c r="AA393" s="5568"/>
      <c r="AB393" s="5568"/>
      <c r="AC393" s="2967">
        <v>3</v>
      </c>
      <c r="AD393" s="5602" t="s">
        <v>959</v>
      </c>
      <c r="AE393" s="5603">
        <v>0.1</v>
      </c>
      <c r="AF393" s="2967">
        <f>M390*AE393</f>
        <v>60240</v>
      </c>
      <c r="AG393" s="2967">
        <f t="shared" ref="AG393:AG418" si="84">SUM(BA393:BN393)</f>
        <v>60240</v>
      </c>
      <c r="AH393" s="5620" t="s">
        <v>122</v>
      </c>
      <c r="AI393" s="2967">
        <v>45737</v>
      </c>
      <c r="AJ393" s="2967">
        <f>SUM(BD393:BQ393)</f>
        <v>60240</v>
      </c>
      <c r="AK393" s="2967">
        <v>45737</v>
      </c>
      <c r="AL393" s="2967">
        <f>SUM(BF393:BS393)</f>
        <v>60240</v>
      </c>
      <c r="AM393" s="2966">
        <v>45740</v>
      </c>
      <c r="AN393" s="2966">
        <f t="shared" si="82"/>
        <v>60240</v>
      </c>
      <c r="AO393" s="2966">
        <v>45804</v>
      </c>
      <c r="AP393" s="5625">
        <f t="shared" si="83"/>
        <v>0</v>
      </c>
      <c r="AQ393" s="5633"/>
      <c r="AR393" s="2967"/>
      <c r="AS393" s="5646"/>
      <c r="AT393" s="5633"/>
      <c r="AU393" s="3662"/>
      <c r="AV393" s="3662"/>
      <c r="AW393" s="3662"/>
      <c r="AX393" s="3662"/>
      <c r="AY393" s="3662"/>
      <c r="AZ393" s="3662"/>
      <c r="BA393" s="5633"/>
      <c r="BB393" s="2967"/>
      <c r="BC393" s="2967"/>
      <c r="BD393" s="5633"/>
      <c r="BE393" s="5633"/>
      <c r="BF393" s="5633"/>
      <c r="BG393" s="5633"/>
      <c r="BH393" s="2967"/>
      <c r="BI393" s="2967"/>
      <c r="BJ393" s="2967"/>
      <c r="BK393" s="2967"/>
      <c r="BL393" s="2967"/>
      <c r="BM393" s="2967"/>
      <c r="BN393" s="2967">
        <v>60240</v>
      </c>
      <c r="BO393" s="5633"/>
      <c r="BP393" s="5633"/>
      <c r="BQ393" s="5633"/>
      <c r="BR393" s="5633"/>
      <c r="BS393" s="5633"/>
      <c r="BT393" s="5633"/>
      <c r="BU393" s="5633"/>
      <c r="BV393" s="5633"/>
      <c r="BW393" s="5633"/>
      <c r="BX393" s="5633"/>
      <c r="BY393" s="5633"/>
      <c r="BZ393" s="5633"/>
      <c r="CA393" s="5633"/>
      <c r="CB393" s="5633">
        <v>60240</v>
      </c>
      <c r="CC393" s="2967"/>
      <c r="CD393" s="2967"/>
      <c r="CE393" s="5039"/>
      <c r="CF393" s="5039"/>
      <c r="CG393" s="5039"/>
      <c r="CH393" s="5039"/>
    </row>
    <row r="394" s="4971" customFormat="1" ht="122" spans="1:86">
      <c r="A394" s="3662"/>
      <c r="B394" s="5568"/>
      <c r="C394" s="5568"/>
      <c r="D394" s="5551"/>
      <c r="E394" s="5551"/>
      <c r="F394" s="5551"/>
      <c r="G394" s="5551"/>
      <c r="H394" s="5551"/>
      <c r="I394" s="5551"/>
      <c r="J394" s="5551"/>
      <c r="K394" s="5568"/>
      <c r="L394" s="5568"/>
      <c r="M394" s="5568"/>
      <c r="N394" s="5568"/>
      <c r="O394" s="5568"/>
      <c r="P394" s="5568"/>
      <c r="Q394" s="5568"/>
      <c r="R394" s="5568"/>
      <c r="S394" s="5568"/>
      <c r="T394" s="5568"/>
      <c r="U394" s="5568"/>
      <c r="V394" s="5568"/>
      <c r="W394" s="5568"/>
      <c r="X394" s="5568"/>
      <c r="Y394" s="5568"/>
      <c r="Z394" s="5568"/>
      <c r="AA394" s="5568"/>
      <c r="AB394" s="5568"/>
      <c r="AC394" s="2967">
        <v>4</v>
      </c>
      <c r="AD394" s="5602" t="s">
        <v>960</v>
      </c>
      <c r="AE394" s="5603">
        <v>0.3</v>
      </c>
      <c r="AF394" s="2967">
        <f>M390*AE394</f>
        <v>180720</v>
      </c>
      <c r="AG394" s="2966">
        <f t="shared" si="84"/>
        <v>180720</v>
      </c>
      <c r="AH394" s="5620" t="s">
        <v>122</v>
      </c>
      <c r="AI394" s="2966">
        <v>45791</v>
      </c>
      <c r="AJ394" s="2966">
        <v>180720</v>
      </c>
      <c r="AK394" s="2966">
        <v>45791</v>
      </c>
      <c r="AL394" s="2966">
        <v>180720</v>
      </c>
      <c r="AM394" s="2967">
        <v>45792</v>
      </c>
      <c r="AN394" s="2966">
        <f t="shared" si="82"/>
        <v>180720</v>
      </c>
      <c r="AO394" s="2966">
        <v>45804</v>
      </c>
      <c r="AP394" s="5625">
        <f t="shared" si="83"/>
        <v>0</v>
      </c>
      <c r="AQ394" s="5633"/>
      <c r="AR394" s="2967"/>
      <c r="AS394" s="5646"/>
      <c r="AT394" s="5633"/>
      <c r="AU394" s="3662"/>
      <c r="AV394" s="3662"/>
      <c r="AW394" s="3662"/>
      <c r="AX394" s="3662"/>
      <c r="AY394" s="3662"/>
      <c r="AZ394" s="3662"/>
      <c r="BA394" s="5633"/>
      <c r="BB394" s="2967"/>
      <c r="BC394" s="2967"/>
      <c r="BD394" s="5633"/>
      <c r="BE394" s="5633"/>
      <c r="BF394" s="5633"/>
      <c r="BG394" s="5633"/>
      <c r="BH394" s="2967"/>
      <c r="BI394" s="2967"/>
      <c r="BJ394" s="2967"/>
      <c r="BK394" s="2967"/>
      <c r="BL394" s="2967"/>
      <c r="BM394" s="2967"/>
      <c r="BN394" s="2967">
        <v>180720</v>
      </c>
      <c r="BO394" s="5633"/>
      <c r="BP394" s="5633"/>
      <c r="BQ394" s="5633"/>
      <c r="BR394" s="5633"/>
      <c r="BS394" s="5633"/>
      <c r="BT394" s="5633"/>
      <c r="BU394" s="5633"/>
      <c r="BV394" s="5633"/>
      <c r="BW394" s="5633"/>
      <c r="BX394" s="5633"/>
      <c r="BY394" s="5633"/>
      <c r="BZ394" s="5633"/>
      <c r="CA394" s="5633"/>
      <c r="CB394" s="5633">
        <v>180720</v>
      </c>
      <c r="CC394" s="2967"/>
      <c r="CD394" s="2967"/>
      <c r="CE394" s="5039"/>
      <c r="CF394" s="5039"/>
      <c r="CG394" s="5039"/>
      <c r="CH394" s="5039"/>
    </row>
    <row r="395" s="4971" customFormat="1" ht="92" spans="1:86">
      <c r="A395" s="3662"/>
      <c r="B395" s="5568"/>
      <c r="C395" s="5568"/>
      <c r="D395" s="5551"/>
      <c r="E395" s="5551"/>
      <c r="F395" s="5551"/>
      <c r="G395" s="5551"/>
      <c r="H395" s="5551"/>
      <c r="I395" s="5551"/>
      <c r="J395" s="5551"/>
      <c r="K395" s="5568"/>
      <c r="L395" s="5568"/>
      <c r="M395" s="5568"/>
      <c r="N395" s="5568"/>
      <c r="O395" s="5568"/>
      <c r="P395" s="5568"/>
      <c r="Q395" s="5568"/>
      <c r="R395" s="5568"/>
      <c r="S395" s="5568"/>
      <c r="T395" s="5568"/>
      <c r="U395" s="5568"/>
      <c r="V395" s="5568"/>
      <c r="W395" s="5568"/>
      <c r="X395" s="5568"/>
      <c r="Y395" s="5568"/>
      <c r="Z395" s="5568"/>
      <c r="AA395" s="5568"/>
      <c r="AB395" s="5568"/>
      <c r="AC395" s="2967">
        <v>5</v>
      </c>
      <c r="AD395" s="5602" t="s">
        <v>961</v>
      </c>
      <c r="AE395" s="5603">
        <v>0.05</v>
      </c>
      <c r="AF395" s="2967">
        <f>M390*AE395</f>
        <v>30120</v>
      </c>
      <c r="AG395" s="2967">
        <f t="shared" si="84"/>
        <v>0</v>
      </c>
      <c r="AH395" s="2967"/>
      <c r="AI395" s="2967"/>
      <c r="AJ395" s="2967"/>
      <c r="AK395" s="5633"/>
      <c r="AL395" s="2966"/>
      <c r="AM395" s="2967"/>
      <c r="AN395" s="2967">
        <f t="shared" si="82"/>
        <v>0</v>
      </c>
      <c r="AO395" s="2967"/>
      <c r="AP395" s="5625">
        <f t="shared" si="83"/>
        <v>0</v>
      </c>
      <c r="AQ395" s="5633"/>
      <c r="AR395" s="2967"/>
      <c r="AS395" s="5646"/>
      <c r="AT395" s="5633"/>
      <c r="AU395" s="3662"/>
      <c r="AV395" s="3662"/>
      <c r="AW395" s="3662"/>
      <c r="AX395" s="3662"/>
      <c r="AY395" s="3662"/>
      <c r="AZ395" s="3662"/>
      <c r="BA395" s="5633"/>
      <c r="BB395" s="2967"/>
      <c r="BC395" s="2967"/>
      <c r="BD395" s="5633"/>
      <c r="BE395" s="5633"/>
      <c r="BF395" s="5633"/>
      <c r="BG395" s="5633"/>
      <c r="BH395" s="2967"/>
      <c r="BI395" s="2967"/>
      <c r="BJ395" s="2967"/>
      <c r="BK395" s="2967"/>
      <c r="BL395" s="2967"/>
      <c r="BM395" s="2967"/>
      <c r="BN395" s="2967"/>
      <c r="BO395" s="5633"/>
      <c r="BP395" s="5633"/>
      <c r="BQ395" s="5633"/>
      <c r="BR395" s="5633"/>
      <c r="BS395" s="5633"/>
      <c r="BT395" s="5633"/>
      <c r="BU395" s="5633"/>
      <c r="BV395" s="5633"/>
      <c r="BW395" s="5633"/>
      <c r="BX395" s="5633"/>
      <c r="BY395" s="5633"/>
      <c r="BZ395" s="5633"/>
      <c r="CA395" s="5633"/>
      <c r="CB395" s="5633"/>
      <c r="CC395" s="2967"/>
      <c r="CD395" s="2967"/>
      <c r="CE395" s="5039"/>
      <c r="CF395" s="5039"/>
      <c r="CG395" s="5039"/>
      <c r="CH395" s="5039"/>
    </row>
    <row r="396" s="4971" customFormat="1" ht="92" spans="1:86">
      <c r="A396" s="3662"/>
      <c r="B396" s="5570"/>
      <c r="C396" s="5570"/>
      <c r="D396" s="5552"/>
      <c r="E396" s="5552"/>
      <c r="F396" s="5552"/>
      <c r="G396" s="5552"/>
      <c r="H396" s="5552"/>
      <c r="I396" s="5552"/>
      <c r="J396" s="5552"/>
      <c r="K396" s="5570"/>
      <c r="L396" s="5570"/>
      <c r="M396" s="5570"/>
      <c r="N396" s="5570"/>
      <c r="O396" s="5570"/>
      <c r="P396" s="5570"/>
      <c r="Q396" s="5570"/>
      <c r="R396" s="5570"/>
      <c r="S396" s="5570"/>
      <c r="T396" s="5570"/>
      <c r="U396" s="5570"/>
      <c r="V396" s="5570"/>
      <c r="W396" s="5570"/>
      <c r="X396" s="5570"/>
      <c r="Y396" s="5570"/>
      <c r="Z396" s="5570"/>
      <c r="AA396" s="5570"/>
      <c r="AB396" s="5570"/>
      <c r="AC396" s="2967">
        <v>6</v>
      </c>
      <c r="AD396" s="5602" t="s">
        <v>962</v>
      </c>
      <c r="AE396" s="5603">
        <v>0.15</v>
      </c>
      <c r="AF396" s="2967">
        <f>M390*AE396</f>
        <v>90360</v>
      </c>
      <c r="AG396" s="2967">
        <f t="shared" si="84"/>
        <v>0</v>
      </c>
      <c r="AH396" s="2967"/>
      <c r="AI396" s="2967"/>
      <c r="AJ396" s="2967"/>
      <c r="AK396" s="5633"/>
      <c r="AL396" s="2966"/>
      <c r="AM396" s="2967"/>
      <c r="AN396" s="2967">
        <f t="shared" si="82"/>
        <v>0</v>
      </c>
      <c r="AO396" s="2967"/>
      <c r="AP396" s="5625">
        <f t="shared" si="83"/>
        <v>0</v>
      </c>
      <c r="AQ396" s="5633"/>
      <c r="AR396" s="2967"/>
      <c r="AS396" s="5646"/>
      <c r="AT396" s="5633"/>
      <c r="AU396" s="3662"/>
      <c r="AV396" s="3662"/>
      <c r="AW396" s="3662"/>
      <c r="AX396" s="3662"/>
      <c r="AY396" s="3662"/>
      <c r="AZ396" s="3662"/>
      <c r="BA396" s="5633"/>
      <c r="BB396" s="2967"/>
      <c r="BC396" s="2967"/>
      <c r="BD396" s="5633"/>
      <c r="BE396" s="5633"/>
      <c r="BF396" s="5633"/>
      <c r="BG396" s="5633"/>
      <c r="BH396" s="2967"/>
      <c r="BI396" s="2967"/>
      <c r="BJ396" s="2967"/>
      <c r="BK396" s="2967"/>
      <c r="BL396" s="2967"/>
      <c r="BM396" s="2967"/>
      <c r="BN396" s="2967"/>
      <c r="BO396" s="5633"/>
      <c r="BP396" s="5633"/>
      <c r="BQ396" s="5633"/>
      <c r="BR396" s="5633"/>
      <c r="BS396" s="5633"/>
      <c r="BT396" s="5633"/>
      <c r="BU396" s="5633"/>
      <c r="BV396" s="5633"/>
      <c r="BW396" s="5633"/>
      <c r="BX396" s="5633"/>
      <c r="BY396" s="5633"/>
      <c r="BZ396" s="5633"/>
      <c r="CA396" s="5633"/>
      <c r="CB396" s="5633"/>
      <c r="CC396" s="2967"/>
      <c r="CD396" s="2967"/>
      <c r="CE396" s="5039"/>
      <c r="CF396" s="5039"/>
      <c r="CG396" s="5039"/>
      <c r="CH396" s="5039"/>
    </row>
    <row r="397" s="4971" customFormat="1" ht="107" spans="1:86">
      <c r="A397" s="3662"/>
      <c r="B397" s="5583" t="s">
        <v>888</v>
      </c>
      <c r="C397" s="2973">
        <v>45657</v>
      </c>
      <c r="D397" s="5543" t="s">
        <v>918</v>
      </c>
      <c r="E397" s="5563"/>
      <c r="F397" s="5543" t="s">
        <v>963</v>
      </c>
      <c r="G397" s="5543" t="s">
        <v>964</v>
      </c>
      <c r="H397" s="5543" t="s">
        <v>362</v>
      </c>
      <c r="I397" s="3176"/>
      <c r="J397" s="5543" t="s">
        <v>921</v>
      </c>
      <c r="K397" s="5543" t="s">
        <v>965</v>
      </c>
      <c r="L397" s="5543" t="s">
        <v>966</v>
      </c>
      <c r="M397" s="2973">
        <f>SUM(N397:AA402)</f>
        <v>680000</v>
      </c>
      <c r="N397" s="5563"/>
      <c r="O397" s="5563"/>
      <c r="P397" s="5563"/>
      <c r="Q397" s="5563"/>
      <c r="R397" s="5563"/>
      <c r="S397" s="5563"/>
      <c r="T397" s="5563"/>
      <c r="U397" s="5563"/>
      <c r="V397" s="5563"/>
      <c r="W397" s="5563"/>
      <c r="X397" s="5563"/>
      <c r="Y397" s="5563"/>
      <c r="Z397" s="5563"/>
      <c r="AA397" s="5563">
        <v>680000</v>
      </c>
      <c r="AB397" s="5583" t="s">
        <v>126</v>
      </c>
      <c r="AC397" s="2973">
        <v>1</v>
      </c>
      <c r="AD397" s="3176" t="s">
        <v>967</v>
      </c>
      <c r="AE397" s="5586">
        <v>0.15</v>
      </c>
      <c r="AF397" s="2973">
        <f>M397*AE397</f>
        <v>102000</v>
      </c>
      <c r="AG397" s="2973">
        <f t="shared" si="84"/>
        <v>0</v>
      </c>
      <c r="AH397" s="2973"/>
      <c r="AI397" s="2973"/>
      <c r="AJ397" s="2973"/>
      <c r="AK397" s="5614"/>
      <c r="AL397" s="5588"/>
      <c r="AM397" s="2973"/>
      <c r="AN397" s="2973">
        <f t="shared" ref="AN397:AN418" si="85">SUM(BO397:CB397)</f>
        <v>0</v>
      </c>
      <c r="AO397" s="2973"/>
      <c r="AP397" s="2973">
        <f t="shared" si="83"/>
        <v>0</v>
      </c>
      <c r="AQ397" s="5614"/>
      <c r="AR397" s="2973"/>
      <c r="AS397" s="5635"/>
      <c r="AT397" s="5614"/>
      <c r="AU397" s="2973"/>
      <c r="AV397" s="2973"/>
      <c r="AW397" s="2973"/>
      <c r="AX397" s="2973"/>
      <c r="AY397" s="2973"/>
      <c r="AZ397" s="2973"/>
      <c r="BA397" s="5614"/>
      <c r="BB397" s="2973"/>
      <c r="BC397" s="2973"/>
      <c r="BD397" s="5614"/>
      <c r="BE397" s="5614"/>
      <c r="BF397" s="5614"/>
      <c r="BG397" s="5614"/>
      <c r="BH397" s="2973"/>
      <c r="BI397" s="2973"/>
      <c r="BJ397" s="2973"/>
      <c r="BK397" s="2973"/>
      <c r="BL397" s="2973"/>
      <c r="BM397" s="2973"/>
      <c r="BN397" s="2973"/>
      <c r="BO397" s="5614"/>
      <c r="BP397" s="5614"/>
      <c r="BQ397" s="5614"/>
      <c r="BR397" s="5614"/>
      <c r="BS397" s="5614"/>
      <c r="BT397" s="5614"/>
      <c r="BU397" s="5614"/>
      <c r="BV397" s="5614"/>
      <c r="BW397" s="5614"/>
      <c r="BX397" s="5614"/>
      <c r="BY397" s="5614"/>
      <c r="BZ397" s="5614"/>
      <c r="CA397" s="5614"/>
      <c r="CB397" s="5614"/>
      <c r="CC397" s="2973"/>
      <c r="CD397" s="2973"/>
      <c r="CE397" s="5039"/>
      <c r="CF397" s="5039"/>
      <c r="CG397" s="5039"/>
      <c r="CH397" s="5039"/>
    </row>
    <row r="398" s="4971" customFormat="1" ht="107" spans="1:86">
      <c r="A398" s="3662"/>
      <c r="B398" s="5583"/>
      <c r="C398" s="2973"/>
      <c r="D398" s="3176"/>
      <c r="E398" s="5563"/>
      <c r="F398" s="3176"/>
      <c r="G398" s="3176"/>
      <c r="H398" s="3176"/>
      <c r="I398" s="3176"/>
      <c r="J398" s="3176"/>
      <c r="K398" s="3176"/>
      <c r="L398" s="3176"/>
      <c r="M398" s="2973"/>
      <c r="N398" s="5563"/>
      <c r="O398" s="5563"/>
      <c r="P398" s="5563"/>
      <c r="Q398" s="5563"/>
      <c r="R398" s="5563"/>
      <c r="S398" s="5563"/>
      <c r="T398" s="5563"/>
      <c r="U398" s="5563"/>
      <c r="V398" s="5563"/>
      <c r="W398" s="5563"/>
      <c r="X398" s="5563"/>
      <c r="Y398" s="5563"/>
      <c r="Z398" s="5563"/>
      <c r="AA398" s="5563"/>
      <c r="AB398" s="5563"/>
      <c r="AC398" s="2973">
        <v>2</v>
      </c>
      <c r="AD398" s="3176" t="s">
        <v>968</v>
      </c>
      <c r="AE398" s="5586">
        <v>0.25</v>
      </c>
      <c r="AF398" s="2973">
        <f>M397*AE398</f>
        <v>170000</v>
      </c>
      <c r="AG398" s="2973">
        <f t="shared" si="84"/>
        <v>0</v>
      </c>
      <c r="AH398" s="2973"/>
      <c r="AI398" s="2973"/>
      <c r="AJ398" s="2973"/>
      <c r="AK398" s="5614"/>
      <c r="AL398" s="5588"/>
      <c r="AM398" s="2973"/>
      <c r="AN398" s="2973">
        <f t="shared" si="85"/>
        <v>0</v>
      </c>
      <c r="AO398" s="2973"/>
      <c r="AP398" s="2973">
        <f t="shared" si="83"/>
        <v>0</v>
      </c>
      <c r="AQ398" s="5614"/>
      <c r="AR398" s="2973"/>
      <c r="AS398" s="5635"/>
      <c r="AT398" s="5614"/>
      <c r="AU398" s="2973"/>
      <c r="AV398" s="2973"/>
      <c r="AW398" s="2973"/>
      <c r="AX398" s="2973"/>
      <c r="AY398" s="2973"/>
      <c r="AZ398" s="2973"/>
      <c r="BA398" s="5614"/>
      <c r="BB398" s="2973"/>
      <c r="BC398" s="2973"/>
      <c r="BD398" s="5614"/>
      <c r="BE398" s="5614"/>
      <c r="BF398" s="5614"/>
      <c r="BG398" s="5614"/>
      <c r="BH398" s="2973"/>
      <c r="BI398" s="2973"/>
      <c r="BJ398" s="2973"/>
      <c r="BK398" s="2973"/>
      <c r="BL398" s="2973"/>
      <c r="BM398" s="2973"/>
      <c r="BN398" s="2973"/>
      <c r="BO398" s="5614"/>
      <c r="BP398" s="5614"/>
      <c r="BQ398" s="5614"/>
      <c r="BR398" s="5614"/>
      <c r="BS398" s="5614"/>
      <c r="BT398" s="5614"/>
      <c r="BU398" s="5614"/>
      <c r="BV398" s="5614"/>
      <c r="BW398" s="5614"/>
      <c r="BX398" s="5614"/>
      <c r="BY398" s="5614"/>
      <c r="BZ398" s="5614"/>
      <c r="CA398" s="5614"/>
      <c r="CB398" s="5614"/>
      <c r="CC398" s="2973"/>
      <c r="CD398" s="2973"/>
      <c r="CE398" s="5039"/>
      <c r="CF398" s="5039"/>
      <c r="CG398" s="5039"/>
      <c r="CH398" s="5039"/>
    </row>
    <row r="399" s="4971" customFormat="1" ht="122" spans="1:86">
      <c r="A399" s="3662"/>
      <c r="B399" s="5583"/>
      <c r="C399" s="2973"/>
      <c r="D399" s="3176"/>
      <c r="E399" s="5563"/>
      <c r="F399" s="3176"/>
      <c r="G399" s="3176"/>
      <c r="H399" s="3176"/>
      <c r="I399" s="3176"/>
      <c r="J399" s="3176"/>
      <c r="K399" s="3176"/>
      <c r="L399" s="3176"/>
      <c r="M399" s="2973"/>
      <c r="N399" s="5563"/>
      <c r="O399" s="5563"/>
      <c r="P399" s="5563"/>
      <c r="Q399" s="5563"/>
      <c r="R399" s="5563"/>
      <c r="S399" s="5563"/>
      <c r="T399" s="5563"/>
      <c r="U399" s="5563"/>
      <c r="V399" s="5563"/>
      <c r="W399" s="5563"/>
      <c r="X399" s="5563"/>
      <c r="Y399" s="5563"/>
      <c r="Z399" s="5563"/>
      <c r="AA399" s="5563"/>
      <c r="AB399" s="5563"/>
      <c r="AC399" s="2973">
        <v>3</v>
      </c>
      <c r="AD399" s="3176" t="s">
        <v>969</v>
      </c>
      <c r="AE399" s="5586">
        <v>0.1</v>
      </c>
      <c r="AF399" s="2973">
        <f>M397*AE399</f>
        <v>68000</v>
      </c>
      <c r="AG399" s="2973">
        <f t="shared" si="84"/>
        <v>0</v>
      </c>
      <c r="AH399" s="2973"/>
      <c r="AI399" s="2973"/>
      <c r="AJ399" s="2973"/>
      <c r="AK399" s="5614"/>
      <c r="AL399" s="5588"/>
      <c r="AM399" s="2973"/>
      <c r="AN399" s="2973">
        <f t="shared" si="85"/>
        <v>0</v>
      </c>
      <c r="AO399" s="2973"/>
      <c r="AP399" s="2973">
        <f t="shared" si="83"/>
        <v>0</v>
      </c>
      <c r="AQ399" s="5614"/>
      <c r="AR399" s="2973"/>
      <c r="AS399" s="5635"/>
      <c r="AT399" s="5614"/>
      <c r="AU399" s="2973"/>
      <c r="AV399" s="2973"/>
      <c r="AW399" s="2973"/>
      <c r="AX399" s="2973"/>
      <c r="AY399" s="2973"/>
      <c r="AZ399" s="2973"/>
      <c r="BA399" s="5614"/>
      <c r="BB399" s="2973"/>
      <c r="BC399" s="2973"/>
      <c r="BD399" s="5614"/>
      <c r="BE399" s="5614"/>
      <c r="BF399" s="5614"/>
      <c r="BG399" s="5614"/>
      <c r="BH399" s="2973"/>
      <c r="BI399" s="2973"/>
      <c r="BJ399" s="2973"/>
      <c r="BK399" s="2973"/>
      <c r="BL399" s="2973"/>
      <c r="BM399" s="2973"/>
      <c r="BN399" s="2973"/>
      <c r="BO399" s="5614"/>
      <c r="BP399" s="5614"/>
      <c r="BQ399" s="5614"/>
      <c r="BR399" s="5614"/>
      <c r="BS399" s="5614"/>
      <c r="BT399" s="5614"/>
      <c r="BU399" s="5614"/>
      <c r="BV399" s="5614"/>
      <c r="BW399" s="5614"/>
      <c r="BX399" s="5614"/>
      <c r="BY399" s="5614"/>
      <c r="BZ399" s="5614"/>
      <c r="CA399" s="5614"/>
      <c r="CB399" s="5614"/>
      <c r="CC399" s="2973"/>
      <c r="CD399" s="2973"/>
      <c r="CE399" s="5039"/>
      <c r="CF399" s="5039"/>
      <c r="CG399" s="5039"/>
      <c r="CH399" s="5039"/>
    </row>
    <row r="400" s="4971" customFormat="1" ht="122" spans="1:86">
      <c r="A400" s="3662"/>
      <c r="B400" s="5583"/>
      <c r="C400" s="2973"/>
      <c r="D400" s="3176"/>
      <c r="E400" s="5563"/>
      <c r="F400" s="3176"/>
      <c r="G400" s="3176"/>
      <c r="H400" s="3176"/>
      <c r="I400" s="3176"/>
      <c r="J400" s="3176"/>
      <c r="K400" s="3176"/>
      <c r="L400" s="3176"/>
      <c r="M400" s="2973"/>
      <c r="N400" s="5563"/>
      <c r="O400" s="5563"/>
      <c r="P400" s="5563"/>
      <c r="Q400" s="5563"/>
      <c r="R400" s="5563"/>
      <c r="S400" s="5563"/>
      <c r="T400" s="5563"/>
      <c r="U400" s="5563"/>
      <c r="V400" s="5563"/>
      <c r="W400" s="5563"/>
      <c r="X400" s="5563"/>
      <c r="Y400" s="5563"/>
      <c r="Z400" s="5563"/>
      <c r="AA400" s="5563"/>
      <c r="AB400" s="5563"/>
      <c r="AC400" s="2973">
        <v>4</v>
      </c>
      <c r="AD400" s="3176" t="s">
        <v>970</v>
      </c>
      <c r="AE400" s="5586">
        <v>0.3</v>
      </c>
      <c r="AF400" s="2973">
        <f>M397*AE400</f>
        <v>204000</v>
      </c>
      <c r="AG400" s="2973">
        <f t="shared" si="84"/>
        <v>0</v>
      </c>
      <c r="AH400" s="2973"/>
      <c r="AI400" s="2973"/>
      <c r="AJ400" s="2973"/>
      <c r="AK400" s="5614"/>
      <c r="AL400" s="5588"/>
      <c r="AM400" s="2973"/>
      <c r="AN400" s="2973">
        <f t="shared" si="85"/>
        <v>0</v>
      </c>
      <c r="AO400" s="2973"/>
      <c r="AP400" s="2973">
        <f t="shared" si="83"/>
        <v>0</v>
      </c>
      <c r="AQ400" s="5614"/>
      <c r="AR400" s="2973"/>
      <c r="AS400" s="5635"/>
      <c r="AT400" s="5614"/>
      <c r="AU400" s="2973"/>
      <c r="AV400" s="2973"/>
      <c r="AW400" s="2973"/>
      <c r="AX400" s="2973"/>
      <c r="AY400" s="2973"/>
      <c r="AZ400" s="2973"/>
      <c r="BA400" s="5614"/>
      <c r="BB400" s="2973"/>
      <c r="BC400" s="2973"/>
      <c r="BD400" s="5614"/>
      <c r="BE400" s="5614"/>
      <c r="BF400" s="5614"/>
      <c r="BG400" s="5614"/>
      <c r="BH400" s="2973"/>
      <c r="BI400" s="2973"/>
      <c r="BJ400" s="2973"/>
      <c r="BK400" s="2973"/>
      <c r="BL400" s="2973"/>
      <c r="BM400" s="2973"/>
      <c r="BN400" s="2973"/>
      <c r="BO400" s="5614"/>
      <c r="BP400" s="5614"/>
      <c r="BQ400" s="5614"/>
      <c r="BR400" s="5614"/>
      <c r="BS400" s="5614"/>
      <c r="BT400" s="5614"/>
      <c r="BU400" s="5614"/>
      <c r="BV400" s="5614"/>
      <c r="BW400" s="5614"/>
      <c r="BX400" s="5614"/>
      <c r="BY400" s="5614"/>
      <c r="BZ400" s="5614"/>
      <c r="CA400" s="5614"/>
      <c r="CB400" s="5614"/>
      <c r="CC400" s="2973"/>
      <c r="CD400" s="2973"/>
      <c r="CE400" s="5039"/>
      <c r="CF400" s="5039"/>
      <c r="CG400" s="5039"/>
      <c r="CH400" s="5039"/>
    </row>
    <row r="401" s="4971" customFormat="1" ht="92" spans="1:86">
      <c r="A401" s="3662"/>
      <c r="B401" s="5583"/>
      <c r="C401" s="2973"/>
      <c r="D401" s="3176"/>
      <c r="E401" s="5563"/>
      <c r="F401" s="3176"/>
      <c r="G401" s="3176"/>
      <c r="H401" s="3176"/>
      <c r="I401" s="3176"/>
      <c r="J401" s="3176"/>
      <c r="K401" s="3176"/>
      <c r="L401" s="3176"/>
      <c r="M401" s="2973"/>
      <c r="N401" s="5563"/>
      <c r="O401" s="5563"/>
      <c r="P401" s="5563"/>
      <c r="Q401" s="5563"/>
      <c r="R401" s="5563"/>
      <c r="S401" s="5563"/>
      <c r="T401" s="5563"/>
      <c r="U401" s="5563"/>
      <c r="V401" s="5563"/>
      <c r="W401" s="5563"/>
      <c r="X401" s="5563"/>
      <c r="Y401" s="5563"/>
      <c r="Z401" s="5563"/>
      <c r="AA401" s="5563"/>
      <c r="AB401" s="5563"/>
      <c r="AC401" s="2973">
        <v>5</v>
      </c>
      <c r="AD401" s="3176" t="s">
        <v>971</v>
      </c>
      <c r="AE401" s="5586">
        <v>0.05</v>
      </c>
      <c r="AF401" s="2973">
        <f>M397*AE401</f>
        <v>34000</v>
      </c>
      <c r="AG401" s="2973">
        <f t="shared" si="84"/>
        <v>0</v>
      </c>
      <c r="AH401" s="2973"/>
      <c r="AI401" s="2973"/>
      <c r="AJ401" s="2973"/>
      <c r="AK401" s="5614"/>
      <c r="AL401" s="5588"/>
      <c r="AM401" s="2973"/>
      <c r="AN401" s="2973">
        <f t="shared" si="85"/>
        <v>0</v>
      </c>
      <c r="AO401" s="2973"/>
      <c r="AP401" s="2973">
        <f t="shared" si="83"/>
        <v>0</v>
      </c>
      <c r="AQ401" s="5614"/>
      <c r="AR401" s="2973"/>
      <c r="AS401" s="5635"/>
      <c r="AT401" s="5614"/>
      <c r="AU401" s="2973"/>
      <c r="AV401" s="2973"/>
      <c r="AW401" s="2973"/>
      <c r="AX401" s="2973"/>
      <c r="AY401" s="2973"/>
      <c r="AZ401" s="2973"/>
      <c r="BA401" s="5614"/>
      <c r="BB401" s="2973"/>
      <c r="BC401" s="2973"/>
      <c r="BD401" s="5614"/>
      <c r="BE401" s="5614"/>
      <c r="BF401" s="5614"/>
      <c r="BG401" s="5614"/>
      <c r="BH401" s="2973"/>
      <c r="BI401" s="2973"/>
      <c r="BJ401" s="2973"/>
      <c r="BK401" s="2973"/>
      <c r="BL401" s="2973"/>
      <c r="BM401" s="2973"/>
      <c r="BN401" s="2973"/>
      <c r="BO401" s="5614"/>
      <c r="BP401" s="5614"/>
      <c r="BQ401" s="5614"/>
      <c r="BR401" s="5614"/>
      <c r="BS401" s="5614"/>
      <c r="BT401" s="5614"/>
      <c r="BU401" s="5614"/>
      <c r="BV401" s="5614"/>
      <c r="BW401" s="5614"/>
      <c r="BX401" s="5614"/>
      <c r="BY401" s="5614"/>
      <c r="BZ401" s="5614"/>
      <c r="CA401" s="5614"/>
      <c r="CB401" s="5614"/>
      <c r="CC401" s="2973"/>
      <c r="CD401" s="2973"/>
      <c r="CE401" s="5039"/>
      <c r="CF401" s="5039"/>
      <c r="CG401" s="5039"/>
      <c r="CH401" s="5039"/>
    </row>
    <row r="402" s="4971" customFormat="1" ht="92" spans="1:86">
      <c r="A402" s="3662"/>
      <c r="B402" s="5659"/>
      <c r="C402" s="2973"/>
      <c r="D402" s="3176"/>
      <c r="E402" s="5565"/>
      <c r="F402" s="3176"/>
      <c r="G402" s="3176"/>
      <c r="H402" s="3176"/>
      <c r="I402" s="3176"/>
      <c r="J402" s="3176"/>
      <c r="K402" s="3176"/>
      <c r="L402" s="3176"/>
      <c r="M402" s="2973"/>
      <c r="N402" s="5565"/>
      <c r="O402" s="5565"/>
      <c r="P402" s="5565"/>
      <c r="Q402" s="5565"/>
      <c r="R402" s="5565"/>
      <c r="S402" s="5565"/>
      <c r="T402" s="5565"/>
      <c r="U402" s="5565"/>
      <c r="V402" s="5565"/>
      <c r="W402" s="5565"/>
      <c r="X402" s="5565"/>
      <c r="Y402" s="5565"/>
      <c r="Z402" s="5565"/>
      <c r="AA402" s="5565"/>
      <c r="AB402" s="5565"/>
      <c r="AC402" s="2973">
        <v>6</v>
      </c>
      <c r="AD402" s="3176" t="s">
        <v>972</v>
      </c>
      <c r="AE402" s="5586">
        <v>0.15</v>
      </c>
      <c r="AF402" s="2973">
        <f>M397*AE402</f>
        <v>102000</v>
      </c>
      <c r="AG402" s="2973">
        <f t="shared" si="84"/>
        <v>0</v>
      </c>
      <c r="AH402" s="2973"/>
      <c r="AI402" s="2973"/>
      <c r="AJ402" s="2973"/>
      <c r="AK402" s="5614"/>
      <c r="AL402" s="5588"/>
      <c r="AM402" s="2973"/>
      <c r="AN402" s="2973">
        <f t="shared" si="85"/>
        <v>0</v>
      </c>
      <c r="AO402" s="2973"/>
      <c r="AP402" s="2973">
        <f t="shared" si="83"/>
        <v>0</v>
      </c>
      <c r="AQ402" s="5614"/>
      <c r="AR402" s="2973"/>
      <c r="AS402" s="5635"/>
      <c r="AT402" s="5614"/>
      <c r="AU402" s="2973"/>
      <c r="AV402" s="2973"/>
      <c r="AW402" s="2973"/>
      <c r="AX402" s="2973"/>
      <c r="AY402" s="2973"/>
      <c r="AZ402" s="2973"/>
      <c r="BA402" s="5614"/>
      <c r="BB402" s="2973"/>
      <c r="BC402" s="2973"/>
      <c r="BD402" s="5614"/>
      <c r="BE402" s="5614"/>
      <c r="BF402" s="5614"/>
      <c r="BG402" s="5614"/>
      <c r="BH402" s="2973"/>
      <c r="BI402" s="2973"/>
      <c r="BJ402" s="2973"/>
      <c r="BK402" s="2973"/>
      <c r="BL402" s="2973"/>
      <c r="BM402" s="2973"/>
      <c r="BN402" s="2973"/>
      <c r="BO402" s="5614"/>
      <c r="BP402" s="5614"/>
      <c r="BQ402" s="5614"/>
      <c r="BR402" s="5614"/>
      <c r="BS402" s="5614"/>
      <c r="BT402" s="5614"/>
      <c r="BU402" s="5614"/>
      <c r="BV402" s="5614"/>
      <c r="BW402" s="5614"/>
      <c r="BX402" s="5614"/>
      <c r="BY402" s="5614"/>
      <c r="BZ402" s="5614"/>
      <c r="CA402" s="5614"/>
      <c r="CB402" s="5614"/>
      <c r="CC402" s="2973"/>
      <c r="CD402" s="2973"/>
      <c r="CE402" s="5039"/>
      <c r="CF402" s="5039"/>
      <c r="CG402" s="5039"/>
      <c r="CH402" s="5039"/>
    </row>
    <row r="403" s="4971" customFormat="1" ht="107" spans="1:86">
      <c r="A403" s="3662"/>
      <c r="B403" s="5660" t="s">
        <v>888</v>
      </c>
      <c r="C403" s="4048">
        <v>45726</v>
      </c>
      <c r="D403" s="5440" t="s">
        <v>918</v>
      </c>
      <c r="E403" s="5674"/>
      <c r="F403" s="5440" t="s">
        <v>973</v>
      </c>
      <c r="G403" s="5440" t="s">
        <v>974</v>
      </c>
      <c r="H403" s="5440" t="s">
        <v>362</v>
      </c>
      <c r="I403" s="5661"/>
      <c r="J403" s="5440" t="s">
        <v>921</v>
      </c>
      <c r="K403" s="5440" t="s">
        <v>975</v>
      </c>
      <c r="L403" s="5440" t="s">
        <v>976</v>
      </c>
      <c r="M403" s="4048">
        <f>SUM(N403:AA408)</f>
        <v>236700</v>
      </c>
      <c r="N403" s="5453"/>
      <c r="O403" s="5453"/>
      <c r="P403" s="5453"/>
      <c r="Q403" s="5453"/>
      <c r="R403" s="5453"/>
      <c r="S403" s="5453"/>
      <c r="T403" s="5453"/>
      <c r="U403" s="5453"/>
      <c r="V403" s="5453"/>
      <c r="W403" s="5453"/>
      <c r="X403" s="5453"/>
      <c r="Y403" s="5453"/>
      <c r="Z403" s="5453"/>
      <c r="AA403" s="5453">
        <v>236700</v>
      </c>
      <c r="AB403" s="5660" t="s">
        <v>126</v>
      </c>
      <c r="AC403" s="4048">
        <v>1</v>
      </c>
      <c r="AD403" s="5661" t="s">
        <v>967</v>
      </c>
      <c r="AE403" s="5661">
        <v>0.15</v>
      </c>
      <c r="AF403" s="4048">
        <f>M403*AE403</f>
        <v>35505</v>
      </c>
      <c r="AG403" s="4048">
        <f t="shared" si="84"/>
        <v>35505</v>
      </c>
      <c r="AH403" s="5482" t="s">
        <v>122</v>
      </c>
      <c r="AI403" s="4048">
        <v>45791</v>
      </c>
      <c r="AJ403" s="4048">
        <v>35505</v>
      </c>
      <c r="AK403" s="4048">
        <v>45791</v>
      </c>
      <c r="AL403" s="5200">
        <v>35505</v>
      </c>
      <c r="AM403" s="4048">
        <v>45792</v>
      </c>
      <c r="AN403" s="4048">
        <f t="shared" si="85"/>
        <v>35505</v>
      </c>
      <c r="AO403" s="4048">
        <v>45804</v>
      </c>
      <c r="AP403" s="4048">
        <f t="shared" si="83"/>
        <v>0</v>
      </c>
      <c r="AQ403" s="5487"/>
      <c r="AR403" s="4048"/>
      <c r="AS403" s="5494"/>
      <c r="AT403" s="5487"/>
      <c r="AU403" s="2973"/>
      <c r="AV403" s="2973"/>
      <c r="AW403" s="2973"/>
      <c r="AX403" s="2973"/>
      <c r="AY403" s="2973"/>
      <c r="AZ403" s="2973"/>
      <c r="BA403" s="5487"/>
      <c r="BB403" s="4048"/>
      <c r="BC403" s="4048"/>
      <c r="BD403" s="5487"/>
      <c r="BE403" s="5487"/>
      <c r="BF403" s="5487"/>
      <c r="BG403" s="5487"/>
      <c r="BH403" s="4048"/>
      <c r="BI403" s="4048"/>
      <c r="BJ403" s="4048"/>
      <c r="BK403" s="4048"/>
      <c r="BL403" s="4048"/>
      <c r="BM403" s="4048"/>
      <c r="BN403" s="4048">
        <v>35505</v>
      </c>
      <c r="BO403" s="5487"/>
      <c r="BP403" s="5487"/>
      <c r="BQ403" s="5487"/>
      <c r="BR403" s="5487"/>
      <c r="BS403" s="5487"/>
      <c r="BT403" s="5487"/>
      <c r="BU403" s="5487"/>
      <c r="BV403" s="5487"/>
      <c r="BW403" s="5487"/>
      <c r="BX403" s="5487"/>
      <c r="BY403" s="5487"/>
      <c r="BZ403" s="5487"/>
      <c r="CA403" s="5487"/>
      <c r="CB403" s="4048">
        <v>35505</v>
      </c>
      <c r="CC403" s="4048"/>
      <c r="CD403" s="4048"/>
      <c r="CE403" s="5039"/>
      <c r="CF403" s="5039"/>
      <c r="CG403" s="5039"/>
      <c r="CH403" s="5039"/>
    </row>
    <row r="404" s="4971" customFormat="1" ht="107" spans="1:86">
      <c r="A404" s="3662"/>
      <c r="B404" s="5660"/>
      <c r="C404" s="4048"/>
      <c r="D404" s="5661"/>
      <c r="E404" s="5675"/>
      <c r="F404" s="5661"/>
      <c r="G404" s="5661"/>
      <c r="H404" s="5661"/>
      <c r="I404" s="5661"/>
      <c r="J404" s="5661"/>
      <c r="K404" s="5661"/>
      <c r="L404" s="5661"/>
      <c r="M404" s="4048"/>
      <c r="N404" s="5453"/>
      <c r="O404" s="5453"/>
      <c r="P404" s="5453"/>
      <c r="Q404" s="5453"/>
      <c r="R404" s="5453"/>
      <c r="S404" s="5453"/>
      <c r="T404" s="5453"/>
      <c r="U404" s="5453"/>
      <c r="V404" s="5453"/>
      <c r="W404" s="5453"/>
      <c r="X404" s="5453"/>
      <c r="Y404" s="5453"/>
      <c r="Z404" s="5453"/>
      <c r="AA404" s="5453"/>
      <c r="AB404" s="5453"/>
      <c r="AC404" s="4048">
        <v>2</v>
      </c>
      <c r="AD404" s="5661" t="s">
        <v>968</v>
      </c>
      <c r="AE404" s="5661">
        <v>0.25</v>
      </c>
      <c r="AF404" s="4048">
        <f>M403*AE404</f>
        <v>59175</v>
      </c>
      <c r="AG404" s="4048">
        <f t="shared" si="84"/>
        <v>59175</v>
      </c>
      <c r="AH404" s="5482" t="s">
        <v>122</v>
      </c>
      <c r="AI404" s="4048">
        <v>45791</v>
      </c>
      <c r="AJ404" s="4048">
        <v>59175</v>
      </c>
      <c r="AK404" s="4048">
        <v>45791</v>
      </c>
      <c r="AL404" s="5200">
        <v>59175</v>
      </c>
      <c r="AM404" s="4048">
        <v>45792</v>
      </c>
      <c r="AN404" s="4048">
        <f t="shared" si="85"/>
        <v>59175</v>
      </c>
      <c r="AO404" s="4048">
        <v>45804</v>
      </c>
      <c r="AP404" s="4048">
        <f t="shared" si="83"/>
        <v>0</v>
      </c>
      <c r="AQ404" s="5487"/>
      <c r="AR404" s="4048"/>
      <c r="AS404" s="5494"/>
      <c r="AT404" s="5487"/>
      <c r="AU404" s="2973"/>
      <c r="AV404" s="2973"/>
      <c r="AW404" s="2973"/>
      <c r="AX404" s="2973"/>
      <c r="AY404" s="2973"/>
      <c r="AZ404" s="2973"/>
      <c r="BA404" s="5487"/>
      <c r="BB404" s="4048"/>
      <c r="BC404" s="4048"/>
      <c r="BD404" s="5487"/>
      <c r="BE404" s="5487"/>
      <c r="BF404" s="5487"/>
      <c r="BG404" s="5487"/>
      <c r="BH404" s="4048"/>
      <c r="BI404" s="4048"/>
      <c r="BJ404" s="4048"/>
      <c r="BK404" s="4048"/>
      <c r="BL404" s="4048"/>
      <c r="BM404" s="4048"/>
      <c r="BN404" s="4048">
        <v>59175</v>
      </c>
      <c r="BO404" s="5487"/>
      <c r="BP404" s="5487"/>
      <c r="BQ404" s="5487"/>
      <c r="BR404" s="5487"/>
      <c r="BS404" s="5487"/>
      <c r="BT404" s="5487"/>
      <c r="BU404" s="5487"/>
      <c r="BV404" s="5487"/>
      <c r="BW404" s="5487"/>
      <c r="BX404" s="5487"/>
      <c r="BY404" s="5487"/>
      <c r="BZ404" s="5487"/>
      <c r="CA404" s="5487"/>
      <c r="CB404" s="4048">
        <v>59175</v>
      </c>
      <c r="CC404" s="4048"/>
      <c r="CD404" s="4048"/>
      <c r="CE404" s="5039"/>
      <c r="CF404" s="5039"/>
      <c r="CG404" s="5039"/>
      <c r="CH404" s="5039"/>
    </row>
    <row r="405" s="4971" customFormat="1" ht="122" spans="1:86">
      <c r="A405" s="3662"/>
      <c r="B405" s="5660"/>
      <c r="C405" s="4048"/>
      <c r="D405" s="5661"/>
      <c r="E405" s="5675"/>
      <c r="F405" s="5661"/>
      <c r="G405" s="5661"/>
      <c r="H405" s="5661"/>
      <c r="I405" s="5661"/>
      <c r="J405" s="5661"/>
      <c r="K405" s="5661"/>
      <c r="L405" s="5661"/>
      <c r="M405" s="4048"/>
      <c r="N405" s="5453"/>
      <c r="O405" s="5453"/>
      <c r="P405" s="5453"/>
      <c r="Q405" s="5453"/>
      <c r="R405" s="5453"/>
      <c r="S405" s="5453"/>
      <c r="T405" s="5453"/>
      <c r="U405" s="5453"/>
      <c r="V405" s="5453"/>
      <c r="W405" s="5453"/>
      <c r="X405" s="5453"/>
      <c r="Y405" s="5453"/>
      <c r="Z405" s="5453"/>
      <c r="AA405" s="5453"/>
      <c r="AB405" s="5453"/>
      <c r="AC405" s="4048">
        <v>3</v>
      </c>
      <c r="AD405" s="5661" t="s">
        <v>969</v>
      </c>
      <c r="AE405" s="5661">
        <v>0.1</v>
      </c>
      <c r="AF405" s="4048">
        <f>M403*AE405</f>
        <v>23670</v>
      </c>
      <c r="AG405" s="4048">
        <f t="shared" si="84"/>
        <v>0</v>
      </c>
      <c r="AH405" s="4048"/>
      <c r="AI405" s="4048"/>
      <c r="AJ405" s="4048"/>
      <c r="AK405" s="5487"/>
      <c r="AL405" s="5200"/>
      <c r="AM405" s="4048"/>
      <c r="AN405" s="4048">
        <f t="shared" si="85"/>
        <v>0</v>
      </c>
      <c r="AO405" s="4048"/>
      <c r="AP405" s="4048">
        <f t="shared" si="83"/>
        <v>0</v>
      </c>
      <c r="AQ405" s="5487"/>
      <c r="AR405" s="4048"/>
      <c r="AS405" s="5494"/>
      <c r="AT405" s="5487"/>
      <c r="AU405" s="2973"/>
      <c r="AV405" s="2973"/>
      <c r="AW405" s="2973"/>
      <c r="AX405" s="2973"/>
      <c r="AY405" s="2973"/>
      <c r="AZ405" s="2973"/>
      <c r="BA405" s="5487"/>
      <c r="BB405" s="4048"/>
      <c r="BC405" s="4048"/>
      <c r="BD405" s="5487"/>
      <c r="BE405" s="5487"/>
      <c r="BF405" s="5487"/>
      <c r="BG405" s="5487"/>
      <c r="BH405" s="4048"/>
      <c r="BI405" s="4048"/>
      <c r="BJ405" s="4048"/>
      <c r="BK405" s="4048"/>
      <c r="BL405" s="4048"/>
      <c r="BM405" s="4048"/>
      <c r="BN405" s="4048"/>
      <c r="BO405" s="5487"/>
      <c r="BP405" s="5487"/>
      <c r="BQ405" s="5487"/>
      <c r="BR405" s="5487"/>
      <c r="BS405" s="5487"/>
      <c r="BT405" s="5487"/>
      <c r="BU405" s="5487"/>
      <c r="BV405" s="5487"/>
      <c r="BW405" s="5487"/>
      <c r="BX405" s="5487"/>
      <c r="BY405" s="5487"/>
      <c r="BZ405" s="5487"/>
      <c r="CA405" s="5487"/>
      <c r="CB405" s="5487"/>
      <c r="CC405" s="4048"/>
      <c r="CD405" s="4048"/>
      <c r="CE405" s="5039"/>
      <c r="CF405" s="5039"/>
      <c r="CG405" s="5039"/>
      <c r="CH405" s="5039"/>
    </row>
    <row r="406" s="4971" customFormat="1" ht="122" spans="1:86">
      <c r="A406" s="3662"/>
      <c r="B406" s="5660"/>
      <c r="C406" s="4048"/>
      <c r="D406" s="5661"/>
      <c r="E406" s="5675"/>
      <c r="F406" s="5661"/>
      <c r="G406" s="5661"/>
      <c r="H406" s="5661"/>
      <c r="I406" s="5661"/>
      <c r="J406" s="5661"/>
      <c r="K406" s="5661"/>
      <c r="L406" s="5661"/>
      <c r="M406" s="4048"/>
      <c r="N406" s="5453"/>
      <c r="O406" s="5453"/>
      <c r="P406" s="5453"/>
      <c r="Q406" s="5453"/>
      <c r="R406" s="5453"/>
      <c r="S406" s="5453"/>
      <c r="T406" s="5453"/>
      <c r="U406" s="5453"/>
      <c r="V406" s="5453"/>
      <c r="W406" s="5453"/>
      <c r="X406" s="5453"/>
      <c r="Y406" s="5453"/>
      <c r="Z406" s="5453"/>
      <c r="AA406" s="5453"/>
      <c r="AB406" s="5453"/>
      <c r="AC406" s="4048">
        <v>4</v>
      </c>
      <c r="AD406" s="5661" t="s">
        <v>970</v>
      </c>
      <c r="AE406" s="5661">
        <v>0.3</v>
      </c>
      <c r="AF406" s="4048">
        <f>M403*AE406</f>
        <v>71010</v>
      </c>
      <c r="AG406" s="4048">
        <f t="shared" si="84"/>
        <v>0</v>
      </c>
      <c r="AH406" s="4048"/>
      <c r="AI406" s="4048"/>
      <c r="AJ406" s="4048"/>
      <c r="AK406" s="5487"/>
      <c r="AL406" s="5200"/>
      <c r="AM406" s="4048"/>
      <c r="AN406" s="4048">
        <f t="shared" si="85"/>
        <v>0</v>
      </c>
      <c r="AO406" s="4048"/>
      <c r="AP406" s="4048">
        <f t="shared" si="83"/>
        <v>0</v>
      </c>
      <c r="AQ406" s="5487"/>
      <c r="AR406" s="4048"/>
      <c r="AS406" s="5494"/>
      <c r="AT406" s="5487"/>
      <c r="AU406" s="2973"/>
      <c r="AV406" s="2973"/>
      <c r="AW406" s="2973"/>
      <c r="AX406" s="2973"/>
      <c r="AY406" s="2973"/>
      <c r="AZ406" s="2973"/>
      <c r="BA406" s="5487"/>
      <c r="BB406" s="4048"/>
      <c r="BC406" s="4048"/>
      <c r="BD406" s="5487"/>
      <c r="BE406" s="5487"/>
      <c r="BF406" s="5487"/>
      <c r="BG406" s="5487"/>
      <c r="BH406" s="4048"/>
      <c r="BI406" s="4048"/>
      <c r="BJ406" s="4048"/>
      <c r="BK406" s="4048"/>
      <c r="BL406" s="4048"/>
      <c r="BM406" s="4048"/>
      <c r="BN406" s="4048"/>
      <c r="BO406" s="5487"/>
      <c r="BP406" s="5487"/>
      <c r="BQ406" s="5487"/>
      <c r="BR406" s="5487"/>
      <c r="BS406" s="5487"/>
      <c r="BT406" s="5487"/>
      <c r="BU406" s="5487"/>
      <c r="BV406" s="5487"/>
      <c r="BW406" s="5487"/>
      <c r="BX406" s="5487"/>
      <c r="BY406" s="5487"/>
      <c r="BZ406" s="5487"/>
      <c r="CA406" s="5487"/>
      <c r="CB406" s="5487"/>
      <c r="CC406" s="4048"/>
      <c r="CD406" s="4048"/>
      <c r="CE406" s="5039"/>
      <c r="CF406" s="5039"/>
      <c r="CG406" s="5039"/>
      <c r="CH406" s="5039"/>
    </row>
    <row r="407" s="4971" customFormat="1" ht="92" spans="1:86">
      <c r="A407" s="3662"/>
      <c r="B407" s="5660"/>
      <c r="C407" s="4048"/>
      <c r="D407" s="5661"/>
      <c r="E407" s="5675"/>
      <c r="F407" s="5661"/>
      <c r="G407" s="5661"/>
      <c r="H407" s="5661"/>
      <c r="I407" s="5661"/>
      <c r="J407" s="5661"/>
      <c r="K407" s="5661"/>
      <c r="L407" s="5661"/>
      <c r="M407" s="4048"/>
      <c r="N407" s="5453"/>
      <c r="O407" s="5453"/>
      <c r="P407" s="5453"/>
      <c r="Q407" s="5453"/>
      <c r="R407" s="5453"/>
      <c r="S407" s="5453"/>
      <c r="T407" s="5453"/>
      <c r="U407" s="5453"/>
      <c r="V407" s="5453"/>
      <c r="W407" s="5453"/>
      <c r="X407" s="5453"/>
      <c r="Y407" s="5453"/>
      <c r="Z407" s="5453"/>
      <c r="AA407" s="5453"/>
      <c r="AB407" s="5453"/>
      <c r="AC407" s="4048">
        <v>5</v>
      </c>
      <c r="AD407" s="5661" t="s">
        <v>971</v>
      </c>
      <c r="AE407" s="5661">
        <v>0.05</v>
      </c>
      <c r="AF407" s="4048">
        <f>M403*AE407</f>
        <v>11835</v>
      </c>
      <c r="AG407" s="4048">
        <f t="shared" si="84"/>
        <v>0</v>
      </c>
      <c r="AH407" s="4048"/>
      <c r="AI407" s="4048"/>
      <c r="AJ407" s="4048"/>
      <c r="AK407" s="5487"/>
      <c r="AL407" s="5200"/>
      <c r="AM407" s="4048"/>
      <c r="AN407" s="4048">
        <f t="shared" si="85"/>
        <v>0</v>
      </c>
      <c r="AO407" s="4048"/>
      <c r="AP407" s="4048">
        <f t="shared" si="83"/>
        <v>0</v>
      </c>
      <c r="AQ407" s="5487"/>
      <c r="AR407" s="4048"/>
      <c r="AS407" s="5494"/>
      <c r="AT407" s="5487"/>
      <c r="AU407" s="2973"/>
      <c r="AV407" s="2973"/>
      <c r="AW407" s="2973"/>
      <c r="AX407" s="2973"/>
      <c r="AY407" s="2973"/>
      <c r="AZ407" s="2973"/>
      <c r="BA407" s="5487"/>
      <c r="BB407" s="4048"/>
      <c r="BC407" s="4048"/>
      <c r="BD407" s="5487"/>
      <c r="BE407" s="5487"/>
      <c r="BF407" s="5487"/>
      <c r="BG407" s="5487"/>
      <c r="BH407" s="4048"/>
      <c r="BI407" s="4048"/>
      <c r="BJ407" s="4048"/>
      <c r="BK407" s="4048"/>
      <c r="BL407" s="4048"/>
      <c r="BM407" s="4048"/>
      <c r="BN407" s="4048"/>
      <c r="BO407" s="5487"/>
      <c r="BP407" s="5487"/>
      <c r="BQ407" s="5487"/>
      <c r="BR407" s="5487"/>
      <c r="BS407" s="5487"/>
      <c r="BT407" s="5487"/>
      <c r="BU407" s="5487"/>
      <c r="BV407" s="5487"/>
      <c r="BW407" s="5487"/>
      <c r="BX407" s="5487"/>
      <c r="BY407" s="5487"/>
      <c r="BZ407" s="5487"/>
      <c r="CA407" s="5487"/>
      <c r="CB407" s="5487"/>
      <c r="CC407" s="4048"/>
      <c r="CD407" s="4048"/>
      <c r="CE407" s="5039"/>
      <c r="CF407" s="5039"/>
      <c r="CG407" s="5039"/>
      <c r="CH407" s="5039"/>
    </row>
    <row r="408" s="4971" customFormat="1" ht="92" spans="1:86">
      <c r="A408" s="3662"/>
      <c r="B408" s="5514"/>
      <c r="C408" s="4048"/>
      <c r="D408" s="5661"/>
      <c r="E408" s="5676"/>
      <c r="F408" s="5661"/>
      <c r="G408" s="5661"/>
      <c r="H408" s="5661"/>
      <c r="I408" s="5661"/>
      <c r="J408" s="5661"/>
      <c r="K408" s="5661"/>
      <c r="L408" s="5661"/>
      <c r="M408" s="4048"/>
      <c r="N408" s="5454"/>
      <c r="O408" s="5454"/>
      <c r="P408" s="5454"/>
      <c r="Q408" s="5454"/>
      <c r="R408" s="5454"/>
      <c r="S408" s="5454"/>
      <c r="T408" s="5454"/>
      <c r="U408" s="5454"/>
      <c r="V408" s="5454"/>
      <c r="W408" s="5454"/>
      <c r="X408" s="5454"/>
      <c r="Y408" s="5454"/>
      <c r="Z408" s="5454"/>
      <c r="AA408" s="5454"/>
      <c r="AB408" s="5454"/>
      <c r="AC408" s="4048">
        <v>6</v>
      </c>
      <c r="AD408" s="5661" t="s">
        <v>972</v>
      </c>
      <c r="AE408" s="5661">
        <v>0.15</v>
      </c>
      <c r="AF408" s="4048">
        <f>M403*AE408</f>
        <v>35505</v>
      </c>
      <c r="AG408" s="4048">
        <f t="shared" si="84"/>
        <v>0</v>
      </c>
      <c r="AH408" s="4048"/>
      <c r="AI408" s="4048"/>
      <c r="AJ408" s="4048"/>
      <c r="AK408" s="5487"/>
      <c r="AL408" s="5200"/>
      <c r="AM408" s="4048"/>
      <c r="AN408" s="4048">
        <f t="shared" si="85"/>
        <v>0</v>
      </c>
      <c r="AO408" s="4048"/>
      <c r="AP408" s="4048">
        <f t="shared" si="83"/>
        <v>0</v>
      </c>
      <c r="AQ408" s="5487"/>
      <c r="AR408" s="4048"/>
      <c r="AS408" s="5494"/>
      <c r="AT408" s="5487"/>
      <c r="AU408" s="2973"/>
      <c r="AV408" s="2973"/>
      <c r="AW408" s="2973"/>
      <c r="AX408" s="2973"/>
      <c r="AY408" s="2973"/>
      <c r="AZ408" s="2973"/>
      <c r="BA408" s="5487"/>
      <c r="BB408" s="4048"/>
      <c r="BC408" s="4048"/>
      <c r="BD408" s="5487"/>
      <c r="BE408" s="5487"/>
      <c r="BF408" s="5487"/>
      <c r="BG408" s="5487"/>
      <c r="BH408" s="4048"/>
      <c r="BI408" s="4048"/>
      <c r="BJ408" s="4048"/>
      <c r="BK408" s="4048"/>
      <c r="BL408" s="4048"/>
      <c r="BM408" s="4048"/>
      <c r="BN408" s="4048"/>
      <c r="BO408" s="5487"/>
      <c r="BP408" s="5487"/>
      <c r="BQ408" s="5487"/>
      <c r="BR408" s="5487"/>
      <c r="BS408" s="5487"/>
      <c r="BT408" s="5487"/>
      <c r="BU408" s="5487"/>
      <c r="BV408" s="5487"/>
      <c r="BW408" s="5487"/>
      <c r="BX408" s="5487"/>
      <c r="BY408" s="5487"/>
      <c r="BZ408" s="5487"/>
      <c r="CA408" s="5487"/>
      <c r="CB408" s="5487"/>
      <c r="CC408" s="4048"/>
      <c r="CD408" s="4048"/>
      <c r="CE408" s="5039"/>
      <c r="CF408" s="5039"/>
      <c r="CG408" s="5039"/>
      <c r="CH408" s="5039"/>
    </row>
    <row r="409" s="4971" customFormat="1" ht="92" spans="1:86">
      <c r="A409" s="3662"/>
      <c r="B409" s="5662" t="s">
        <v>888</v>
      </c>
      <c r="C409" s="4902">
        <v>45748</v>
      </c>
      <c r="D409" s="5663" t="s">
        <v>977</v>
      </c>
      <c r="E409" s="5663"/>
      <c r="F409" s="5663" t="s">
        <v>978</v>
      </c>
      <c r="G409" s="5663" t="s">
        <v>979</v>
      </c>
      <c r="H409" s="5663" t="s">
        <v>980</v>
      </c>
      <c r="I409" s="5664"/>
      <c r="J409" s="5663" t="s">
        <v>921</v>
      </c>
      <c r="K409" s="5664"/>
      <c r="L409" s="5664"/>
      <c r="M409" s="4902">
        <f>SUM(N409:AA414)</f>
        <v>1951500.18</v>
      </c>
      <c r="N409" s="4902"/>
      <c r="O409" s="4902"/>
      <c r="P409" s="4902"/>
      <c r="Q409" s="4902"/>
      <c r="R409" s="4902"/>
      <c r="S409" s="4902"/>
      <c r="T409" s="4902"/>
      <c r="U409" s="4902"/>
      <c r="V409" s="4902"/>
      <c r="W409" s="4902"/>
      <c r="X409" s="4902"/>
      <c r="Y409" s="4902"/>
      <c r="Z409" s="4902"/>
      <c r="AA409" s="4902">
        <v>1951500.18</v>
      </c>
      <c r="AB409" s="5662" t="s">
        <v>126</v>
      </c>
      <c r="AC409" s="3083">
        <v>1</v>
      </c>
      <c r="AD409" s="5544" t="s">
        <v>981</v>
      </c>
      <c r="AE409" s="5678">
        <v>0.25</v>
      </c>
      <c r="AF409" s="3083">
        <f>M409*AE409</f>
        <v>487875.045</v>
      </c>
      <c r="AG409" s="3083">
        <f t="shared" si="84"/>
        <v>487875.045</v>
      </c>
      <c r="AH409" s="5638" t="s">
        <v>122</v>
      </c>
      <c r="AI409" s="3083">
        <v>45762</v>
      </c>
      <c r="AJ409" s="3083">
        <v>487875.045</v>
      </c>
      <c r="AK409" s="3083">
        <v>45762</v>
      </c>
      <c r="AL409" s="5630">
        <v>487875.045</v>
      </c>
      <c r="AM409" s="3083">
        <v>45763</v>
      </c>
      <c r="AN409" s="5615">
        <f t="shared" si="85"/>
        <v>487875.045</v>
      </c>
      <c r="AO409" s="5630">
        <v>45775</v>
      </c>
      <c r="AP409" s="3083">
        <f t="shared" si="83"/>
        <v>0</v>
      </c>
      <c r="AQ409" s="5629"/>
      <c r="AR409" s="3083"/>
      <c r="AS409" s="5637"/>
      <c r="AT409" s="5629"/>
      <c r="AU409" s="2973"/>
      <c r="AV409" s="2973"/>
      <c r="AW409" s="2973"/>
      <c r="AX409" s="2973"/>
      <c r="AY409" s="2973"/>
      <c r="AZ409" s="2973"/>
      <c r="BA409" s="5629"/>
      <c r="BB409" s="3083"/>
      <c r="BC409" s="3083"/>
      <c r="BD409" s="5629"/>
      <c r="BE409" s="5629"/>
      <c r="BF409" s="5629"/>
      <c r="BG409" s="5629"/>
      <c r="BH409" s="3083"/>
      <c r="BI409" s="3083"/>
      <c r="BJ409" s="3083"/>
      <c r="BK409" s="3083"/>
      <c r="BL409" s="3083"/>
      <c r="BM409" s="3083"/>
      <c r="BN409" s="3083">
        <v>487875.045</v>
      </c>
      <c r="BO409" s="5629"/>
      <c r="BP409" s="5629"/>
      <c r="BQ409" s="5629"/>
      <c r="BR409" s="5629"/>
      <c r="BS409" s="5629"/>
      <c r="BT409" s="5629"/>
      <c r="BU409" s="5629"/>
      <c r="BV409" s="5629"/>
      <c r="BW409" s="5629"/>
      <c r="BX409" s="5629"/>
      <c r="BY409" s="5629"/>
      <c r="BZ409" s="5629"/>
      <c r="CA409" s="5629"/>
      <c r="CB409" s="5629">
        <v>487875.045</v>
      </c>
      <c r="CC409" s="3083"/>
      <c r="CD409" s="3083"/>
      <c r="CE409" s="5039"/>
      <c r="CF409" s="5039"/>
      <c r="CG409" s="5039"/>
      <c r="CH409" s="5039"/>
    </row>
    <row r="410" s="4971" customFormat="1" ht="92" spans="1:86">
      <c r="A410" s="3662"/>
      <c r="B410" s="5662"/>
      <c r="C410" s="4902"/>
      <c r="D410" s="5664"/>
      <c r="E410" s="5664"/>
      <c r="F410" s="5664"/>
      <c r="G410" s="5664"/>
      <c r="H410" s="5664"/>
      <c r="I410" s="5664"/>
      <c r="J410" s="5664"/>
      <c r="K410" s="5664"/>
      <c r="L410" s="5664"/>
      <c r="M410" s="4902"/>
      <c r="N410" s="4902"/>
      <c r="O410" s="4902"/>
      <c r="P410" s="4902"/>
      <c r="Q410" s="4902"/>
      <c r="R410" s="4902"/>
      <c r="S410" s="4902"/>
      <c r="T410" s="4902"/>
      <c r="U410" s="4902"/>
      <c r="V410" s="4902"/>
      <c r="W410" s="4902"/>
      <c r="X410" s="4902"/>
      <c r="Y410" s="4902"/>
      <c r="Z410" s="4902"/>
      <c r="AA410" s="4902"/>
      <c r="AB410" s="4902"/>
      <c r="AC410" s="3083">
        <v>2</v>
      </c>
      <c r="AD410" s="5544" t="s">
        <v>982</v>
      </c>
      <c r="AE410" s="5678">
        <v>0.15</v>
      </c>
      <c r="AF410" s="3083">
        <f>M409*AE410</f>
        <v>292725.027</v>
      </c>
      <c r="AG410" s="3083">
        <f t="shared" si="84"/>
        <v>0</v>
      </c>
      <c r="AH410" s="3083"/>
      <c r="AI410" s="3083"/>
      <c r="AJ410" s="3083"/>
      <c r="AK410" s="5629"/>
      <c r="AL410" s="5630"/>
      <c r="AM410" s="3083"/>
      <c r="AN410" s="3083">
        <f t="shared" si="85"/>
        <v>0</v>
      </c>
      <c r="AO410" s="3083"/>
      <c r="AP410" s="3083">
        <f t="shared" si="83"/>
        <v>0</v>
      </c>
      <c r="AQ410" s="5629"/>
      <c r="AR410" s="3083"/>
      <c r="AS410" s="5637"/>
      <c r="AT410" s="5629"/>
      <c r="AU410" s="2973"/>
      <c r="AV410" s="2973"/>
      <c r="AW410" s="2973"/>
      <c r="AX410" s="2973"/>
      <c r="AY410" s="2973"/>
      <c r="AZ410" s="2973"/>
      <c r="BA410" s="5629"/>
      <c r="BB410" s="3083"/>
      <c r="BC410" s="3083"/>
      <c r="BD410" s="5629"/>
      <c r="BE410" s="5629"/>
      <c r="BF410" s="5629"/>
      <c r="BG410" s="5629"/>
      <c r="BH410" s="3083"/>
      <c r="BI410" s="3083"/>
      <c r="BJ410" s="3083"/>
      <c r="BK410" s="3083"/>
      <c r="BL410" s="3083"/>
      <c r="BM410" s="3083"/>
      <c r="BN410" s="3083"/>
      <c r="BO410" s="5629"/>
      <c r="BP410" s="5629"/>
      <c r="BQ410" s="5629"/>
      <c r="BR410" s="5629"/>
      <c r="BS410" s="5629"/>
      <c r="BT410" s="5629"/>
      <c r="BU410" s="5629"/>
      <c r="BV410" s="5629"/>
      <c r="BW410" s="5629"/>
      <c r="BX410" s="5629"/>
      <c r="BY410" s="5629"/>
      <c r="BZ410" s="5629"/>
      <c r="CA410" s="5629"/>
      <c r="CB410" s="5629"/>
      <c r="CC410" s="3083"/>
      <c r="CD410" s="3083"/>
      <c r="CE410" s="5039"/>
      <c r="CF410" s="5039"/>
      <c r="CG410" s="5039"/>
      <c r="CH410" s="5039"/>
    </row>
    <row r="411" s="4971" customFormat="1" ht="92" spans="1:86">
      <c r="A411" s="3662"/>
      <c r="B411" s="5662"/>
      <c r="C411" s="4902"/>
      <c r="D411" s="5664"/>
      <c r="E411" s="5664"/>
      <c r="F411" s="5664"/>
      <c r="G411" s="5664"/>
      <c r="H411" s="5664"/>
      <c r="I411" s="5664"/>
      <c r="J411" s="5664"/>
      <c r="K411" s="5664"/>
      <c r="L411" s="5664"/>
      <c r="M411" s="4902"/>
      <c r="N411" s="4902"/>
      <c r="O411" s="4902"/>
      <c r="P411" s="4902"/>
      <c r="Q411" s="4902"/>
      <c r="R411" s="4902"/>
      <c r="S411" s="4902"/>
      <c r="T411" s="4902"/>
      <c r="U411" s="4902"/>
      <c r="V411" s="4902"/>
      <c r="W411" s="4902"/>
      <c r="X411" s="4902"/>
      <c r="Y411" s="4902"/>
      <c r="Z411" s="4902"/>
      <c r="AA411" s="4902"/>
      <c r="AB411" s="4902"/>
      <c r="AC411" s="3083">
        <v>3</v>
      </c>
      <c r="AD411" s="5544" t="s">
        <v>983</v>
      </c>
      <c r="AE411" s="5678">
        <v>0.2</v>
      </c>
      <c r="AF411" s="3083">
        <f>M409*AE411</f>
        <v>390300.036</v>
      </c>
      <c r="AG411" s="3083">
        <f t="shared" si="84"/>
        <v>0</v>
      </c>
      <c r="AH411" s="3083"/>
      <c r="AI411" s="3083"/>
      <c r="AJ411" s="3083"/>
      <c r="AK411" s="5629"/>
      <c r="AL411" s="5630"/>
      <c r="AM411" s="3083"/>
      <c r="AN411" s="3083">
        <f t="shared" si="85"/>
        <v>0</v>
      </c>
      <c r="AO411" s="3083"/>
      <c r="AP411" s="3083">
        <f t="shared" si="83"/>
        <v>0</v>
      </c>
      <c r="AQ411" s="5629"/>
      <c r="AR411" s="3083"/>
      <c r="AS411" s="5637"/>
      <c r="AT411" s="5629"/>
      <c r="AU411" s="2973"/>
      <c r="AV411" s="2973"/>
      <c r="AW411" s="2973"/>
      <c r="AX411" s="2973"/>
      <c r="AY411" s="2973"/>
      <c r="AZ411" s="2973"/>
      <c r="BA411" s="5629"/>
      <c r="BB411" s="3083"/>
      <c r="BC411" s="3083"/>
      <c r="BD411" s="5629"/>
      <c r="BE411" s="5629"/>
      <c r="BF411" s="5629"/>
      <c r="BG411" s="5629"/>
      <c r="BH411" s="3083"/>
      <c r="BI411" s="3083"/>
      <c r="BJ411" s="3083"/>
      <c r="BK411" s="3083"/>
      <c r="BL411" s="3083"/>
      <c r="BM411" s="3083"/>
      <c r="BN411" s="3083"/>
      <c r="BO411" s="5629"/>
      <c r="BP411" s="5629"/>
      <c r="BQ411" s="5629"/>
      <c r="BR411" s="5629"/>
      <c r="BS411" s="5629"/>
      <c r="BT411" s="5629"/>
      <c r="BU411" s="5629"/>
      <c r="BV411" s="5629"/>
      <c r="BW411" s="5629"/>
      <c r="BX411" s="5629"/>
      <c r="BY411" s="5629"/>
      <c r="BZ411" s="5629"/>
      <c r="CA411" s="5629"/>
      <c r="CB411" s="5629"/>
      <c r="CC411" s="3083"/>
      <c r="CD411" s="3083"/>
      <c r="CE411" s="5039"/>
      <c r="CF411" s="5039"/>
      <c r="CG411" s="5039"/>
      <c r="CH411" s="5039"/>
    </row>
    <row r="412" s="4971" customFormat="1" ht="92" spans="1:86">
      <c r="A412" s="3662"/>
      <c r="B412" s="5662"/>
      <c r="C412" s="4902"/>
      <c r="D412" s="5664"/>
      <c r="E412" s="5664"/>
      <c r="F412" s="5664"/>
      <c r="G412" s="5664"/>
      <c r="H412" s="5664"/>
      <c r="I412" s="5664"/>
      <c r="J412" s="5664"/>
      <c r="K412" s="5664"/>
      <c r="L412" s="5664"/>
      <c r="M412" s="4902"/>
      <c r="N412" s="4902"/>
      <c r="O412" s="4902"/>
      <c r="P412" s="4902"/>
      <c r="Q412" s="4902"/>
      <c r="R412" s="4902"/>
      <c r="S412" s="4902"/>
      <c r="T412" s="4902"/>
      <c r="U412" s="4902"/>
      <c r="V412" s="4902"/>
      <c r="W412" s="4902"/>
      <c r="X412" s="4902"/>
      <c r="Y412" s="4902"/>
      <c r="Z412" s="4902"/>
      <c r="AA412" s="4902"/>
      <c r="AB412" s="4902"/>
      <c r="AC412" s="3083">
        <v>4</v>
      </c>
      <c r="AD412" s="5544" t="s">
        <v>984</v>
      </c>
      <c r="AE412" s="5678">
        <v>0.2</v>
      </c>
      <c r="AF412" s="3083">
        <f>M409*AE412</f>
        <v>390300.036</v>
      </c>
      <c r="AG412" s="3083">
        <f t="shared" si="84"/>
        <v>0</v>
      </c>
      <c r="AH412" s="3083"/>
      <c r="AI412" s="3083"/>
      <c r="AJ412" s="3083"/>
      <c r="AK412" s="5629"/>
      <c r="AL412" s="5630"/>
      <c r="AM412" s="3083"/>
      <c r="AN412" s="3083">
        <f t="shared" si="85"/>
        <v>0</v>
      </c>
      <c r="AO412" s="3083"/>
      <c r="AP412" s="3083">
        <f t="shared" si="83"/>
        <v>0</v>
      </c>
      <c r="AQ412" s="5629"/>
      <c r="AR412" s="3083"/>
      <c r="AS412" s="5637"/>
      <c r="AT412" s="5629"/>
      <c r="AU412" s="2973"/>
      <c r="AV412" s="2973"/>
      <c r="AW412" s="2973"/>
      <c r="AX412" s="2973"/>
      <c r="AY412" s="2973"/>
      <c r="AZ412" s="2973"/>
      <c r="BA412" s="5629"/>
      <c r="BB412" s="3083"/>
      <c r="BC412" s="3083"/>
      <c r="BD412" s="5629"/>
      <c r="BE412" s="5629"/>
      <c r="BF412" s="5629"/>
      <c r="BG412" s="5629"/>
      <c r="BH412" s="3083"/>
      <c r="BI412" s="3083"/>
      <c r="BJ412" s="3083"/>
      <c r="BK412" s="3083"/>
      <c r="BL412" s="3083"/>
      <c r="BM412" s="3083"/>
      <c r="BN412" s="3083"/>
      <c r="BO412" s="5629"/>
      <c r="BP412" s="5629"/>
      <c r="BQ412" s="5629"/>
      <c r="BR412" s="5629"/>
      <c r="BS412" s="5629"/>
      <c r="BT412" s="5629"/>
      <c r="BU412" s="5629"/>
      <c r="BV412" s="5629"/>
      <c r="BW412" s="5629"/>
      <c r="BX412" s="5629"/>
      <c r="BY412" s="5629"/>
      <c r="BZ412" s="5629"/>
      <c r="CA412" s="5629"/>
      <c r="CB412" s="5629"/>
      <c r="CC412" s="3083"/>
      <c r="CD412" s="3083"/>
      <c r="CE412" s="5039"/>
      <c r="CF412" s="5039"/>
      <c r="CG412" s="5039"/>
      <c r="CH412" s="5039"/>
    </row>
    <row r="413" s="4971" customFormat="1" ht="107" spans="1:86">
      <c r="A413" s="3662"/>
      <c r="B413" s="5662"/>
      <c r="C413" s="4902"/>
      <c r="D413" s="5664"/>
      <c r="E413" s="5664"/>
      <c r="F413" s="5664"/>
      <c r="G413" s="5664"/>
      <c r="H413" s="5664"/>
      <c r="I413" s="5664"/>
      <c r="J413" s="5664"/>
      <c r="K413" s="5664"/>
      <c r="L413" s="5664"/>
      <c r="M413" s="4902"/>
      <c r="N413" s="4902"/>
      <c r="O413" s="4902"/>
      <c r="P413" s="4902"/>
      <c r="Q413" s="4902"/>
      <c r="R413" s="4902"/>
      <c r="S413" s="4902"/>
      <c r="T413" s="4902"/>
      <c r="U413" s="4902"/>
      <c r="V413" s="4902"/>
      <c r="W413" s="4902"/>
      <c r="X413" s="4902"/>
      <c r="Y413" s="4902"/>
      <c r="Z413" s="4902"/>
      <c r="AA413" s="4902"/>
      <c r="AB413" s="4902"/>
      <c r="AC413" s="3083">
        <v>5</v>
      </c>
      <c r="AD413" s="5544" t="s">
        <v>985</v>
      </c>
      <c r="AE413" s="5678">
        <v>0.05</v>
      </c>
      <c r="AF413" s="3083">
        <f>M409*AE413</f>
        <v>97575.009</v>
      </c>
      <c r="AG413" s="3083">
        <f t="shared" si="84"/>
        <v>0</v>
      </c>
      <c r="AH413" s="3083"/>
      <c r="AI413" s="3083"/>
      <c r="AJ413" s="3083"/>
      <c r="AK413" s="5629"/>
      <c r="AL413" s="5630"/>
      <c r="AM413" s="3083"/>
      <c r="AN413" s="3083">
        <f t="shared" si="85"/>
        <v>0</v>
      </c>
      <c r="AO413" s="3083"/>
      <c r="AP413" s="3083">
        <f t="shared" si="83"/>
        <v>0</v>
      </c>
      <c r="AQ413" s="5629"/>
      <c r="AR413" s="3083"/>
      <c r="AS413" s="5637"/>
      <c r="AT413" s="5629"/>
      <c r="AU413" s="2973"/>
      <c r="AV413" s="2973"/>
      <c r="AW413" s="2973"/>
      <c r="AX413" s="2973"/>
      <c r="AY413" s="2973"/>
      <c r="AZ413" s="2973"/>
      <c r="BA413" s="5629"/>
      <c r="BB413" s="3083"/>
      <c r="BC413" s="3083"/>
      <c r="BD413" s="5629"/>
      <c r="BE413" s="5629"/>
      <c r="BF413" s="5629"/>
      <c r="BG413" s="5629"/>
      <c r="BH413" s="3083"/>
      <c r="BI413" s="3083"/>
      <c r="BJ413" s="3083"/>
      <c r="BK413" s="3083"/>
      <c r="BL413" s="3083"/>
      <c r="BM413" s="3083"/>
      <c r="BN413" s="3083"/>
      <c r="BO413" s="5629"/>
      <c r="BP413" s="5629"/>
      <c r="BQ413" s="5629"/>
      <c r="BR413" s="5629"/>
      <c r="BS413" s="5629"/>
      <c r="BT413" s="5629"/>
      <c r="BU413" s="5629"/>
      <c r="BV413" s="5629"/>
      <c r="BW413" s="5629"/>
      <c r="BX413" s="5629"/>
      <c r="BY413" s="5629"/>
      <c r="BZ413" s="5629"/>
      <c r="CA413" s="5629"/>
      <c r="CB413" s="5629"/>
      <c r="CC413" s="3083"/>
      <c r="CD413" s="3083"/>
      <c r="CE413" s="5039"/>
      <c r="CF413" s="5039"/>
      <c r="CG413" s="5039"/>
      <c r="CH413" s="5039"/>
    </row>
    <row r="414" s="4971" customFormat="1" ht="107" spans="1:86">
      <c r="A414" s="3662"/>
      <c r="B414" s="4440"/>
      <c r="C414" s="5573"/>
      <c r="D414" s="5665"/>
      <c r="E414" s="5665"/>
      <c r="F414" s="5665"/>
      <c r="G414" s="5665"/>
      <c r="H414" s="5665"/>
      <c r="I414" s="5665"/>
      <c r="J414" s="5665"/>
      <c r="K414" s="5665"/>
      <c r="L414" s="5665"/>
      <c r="M414" s="5573"/>
      <c r="N414" s="5573"/>
      <c r="O414" s="5573"/>
      <c r="P414" s="5573"/>
      <c r="Q414" s="5573"/>
      <c r="R414" s="5573"/>
      <c r="S414" s="5573"/>
      <c r="T414" s="5573"/>
      <c r="U414" s="5573"/>
      <c r="V414" s="5573"/>
      <c r="W414" s="5573"/>
      <c r="X414" s="5573"/>
      <c r="Y414" s="5573"/>
      <c r="Z414" s="5573"/>
      <c r="AA414" s="5573"/>
      <c r="AB414" s="5573"/>
      <c r="AC414" s="3083">
        <v>6</v>
      </c>
      <c r="AD414" s="5544" t="s">
        <v>986</v>
      </c>
      <c r="AE414" s="5678">
        <v>0.15</v>
      </c>
      <c r="AF414" s="3083">
        <f>M409*AE414</f>
        <v>292725.027</v>
      </c>
      <c r="AG414" s="3083">
        <f t="shared" si="84"/>
        <v>0</v>
      </c>
      <c r="AH414" s="3083"/>
      <c r="AI414" s="3083"/>
      <c r="AJ414" s="3083"/>
      <c r="AK414" s="5629"/>
      <c r="AL414" s="5630"/>
      <c r="AM414" s="3083"/>
      <c r="AN414" s="3083">
        <f t="shared" si="85"/>
        <v>0</v>
      </c>
      <c r="AO414" s="3083"/>
      <c r="AP414" s="3083">
        <f t="shared" si="83"/>
        <v>0</v>
      </c>
      <c r="AQ414" s="5629"/>
      <c r="AR414" s="3083"/>
      <c r="AS414" s="5637"/>
      <c r="AT414" s="5629"/>
      <c r="AU414" s="2973"/>
      <c r="AV414" s="2973"/>
      <c r="AW414" s="2973"/>
      <c r="AX414" s="2973"/>
      <c r="AY414" s="2973"/>
      <c r="AZ414" s="2973"/>
      <c r="BA414" s="5629"/>
      <c r="BB414" s="3083"/>
      <c r="BC414" s="3083"/>
      <c r="BD414" s="5629"/>
      <c r="BE414" s="5629"/>
      <c r="BF414" s="5629"/>
      <c r="BG414" s="5629"/>
      <c r="BH414" s="3083"/>
      <c r="BI414" s="3083"/>
      <c r="BJ414" s="3083"/>
      <c r="BK414" s="3083"/>
      <c r="BL414" s="3083"/>
      <c r="BM414" s="3083"/>
      <c r="BN414" s="3083"/>
      <c r="BO414" s="5629"/>
      <c r="BP414" s="5629"/>
      <c r="BQ414" s="5629"/>
      <c r="BR414" s="5629"/>
      <c r="BS414" s="5629"/>
      <c r="BT414" s="5629"/>
      <c r="BU414" s="5629"/>
      <c r="BV414" s="5629"/>
      <c r="BW414" s="5629"/>
      <c r="BX414" s="5629"/>
      <c r="BY414" s="5629"/>
      <c r="BZ414" s="5629"/>
      <c r="CA414" s="5629"/>
      <c r="CB414" s="5629"/>
      <c r="CC414" s="3083"/>
      <c r="CD414" s="3083"/>
      <c r="CE414" s="5039"/>
      <c r="CF414" s="5039"/>
      <c r="CG414" s="5039"/>
      <c r="CH414" s="5039"/>
    </row>
    <row r="415" s="4971" customFormat="1" ht="61" spans="1:86">
      <c r="A415" s="3662"/>
      <c r="B415" s="5482" t="s">
        <v>888</v>
      </c>
      <c r="C415" s="4048">
        <v>45839</v>
      </c>
      <c r="D415" s="5440" t="s">
        <v>977</v>
      </c>
      <c r="E415" s="5674"/>
      <c r="F415" s="5440" t="s">
        <v>987</v>
      </c>
      <c r="G415" s="5440" t="s">
        <v>988</v>
      </c>
      <c r="H415" s="5440" t="s">
        <v>338</v>
      </c>
      <c r="I415" s="5661"/>
      <c r="J415" s="5440" t="s">
        <v>921</v>
      </c>
      <c r="K415" s="5440" t="s">
        <v>989</v>
      </c>
      <c r="L415" s="5440" t="s">
        <v>990</v>
      </c>
      <c r="M415" s="5661">
        <f>SUM(N415:AA420)</f>
        <v>664970.56</v>
      </c>
      <c r="N415" s="5675"/>
      <c r="O415" s="5675"/>
      <c r="P415" s="5675"/>
      <c r="Q415" s="5675"/>
      <c r="R415" s="5675"/>
      <c r="S415" s="5675"/>
      <c r="T415" s="5675"/>
      <c r="U415" s="5675"/>
      <c r="V415" s="5675"/>
      <c r="W415" s="5675"/>
      <c r="X415" s="5675"/>
      <c r="Y415" s="5675"/>
      <c r="Z415" s="5675"/>
      <c r="AA415" s="5675">
        <v>664970.56</v>
      </c>
      <c r="AB415" s="5674" t="s">
        <v>991</v>
      </c>
      <c r="AC415" s="4048">
        <v>1</v>
      </c>
      <c r="AD415" s="5440" t="s">
        <v>922</v>
      </c>
      <c r="AE415" s="5661">
        <v>0.2</v>
      </c>
      <c r="AF415" s="4048">
        <f>M415*AE415</f>
        <v>132994.112</v>
      </c>
      <c r="AG415" s="4048">
        <f t="shared" si="84"/>
        <v>132994.112</v>
      </c>
      <c r="AH415" s="5482" t="s">
        <v>122</v>
      </c>
      <c r="AI415" s="4048">
        <v>45848</v>
      </c>
      <c r="AJ415" s="4048">
        <v>132994.112</v>
      </c>
      <c r="AK415" s="4048">
        <v>45848</v>
      </c>
      <c r="AL415" s="4048">
        <v>132994.112</v>
      </c>
      <c r="AM415" s="4048">
        <v>45849</v>
      </c>
      <c r="AN415" s="4048">
        <f t="shared" ref="AN415:AN430" si="86">SUM(BO415:CB415)</f>
        <v>132994.112</v>
      </c>
      <c r="AO415" s="4048"/>
      <c r="AP415" s="4048">
        <f t="shared" si="83"/>
        <v>0</v>
      </c>
      <c r="AQ415" s="5487"/>
      <c r="AR415" s="4048"/>
      <c r="AS415" s="5494"/>
      <c r="AT415" s="5487"/>
      <c r="AU415" s="2973"/>
      <c r="AV415" s="2973"/>
      <c r="AW415" s="2973"/>
      <c r="AX415" s="2973"/>
      <c r="AY415" s="2973"/>
      <c r="AZ415" s="2973"/>
      <c r="BA415" s="5487"/>
      <c r="BB415" s="4048"/>
      <c r="BC415" s="4048"/>
      <c r="BD415" s="5487"/>
      <c r="BE415" s="5487"/>
      <c r="BF415" s="5487"/>
      <c r="BG415" s="5487"/>
      <c r="BH415" s="4048"/>
      <c r="BI415" s="4048"/>
      <c r="BJ415" s="4048"/>
      <c r="BK415" s="4048"/>
      <c r="BL415" s="4048"/>
      <c r="BM415" s="4048"/>
      <c r="BN415" s="4048">
        <v>132994.112</v>
      </c>
      <c r="BO415" s="5487"/>
      <c r="BP415" s="5487"/>
      <c r="BQ415" s="5487"/>
      <c r="BR415" s="5487"/>
      <c r="BS415" s="5487"/>
      <c r="BT415" s="5487"/>
      <c r="BU415" s="5487"/>
      <c r="BV415" s="5487"/>
      <c r="BW415" s="5487"/>
      <c r="BX415" s="5487"/>
      <c r="BY415" s="5487"/>
      <c r="BZ415" s="5487"/>
      <c r="CA415" s="5487"/>
      <c r="CB415" s="5487">
        <v>132994.112</v>
      </c>
      <c r="CC415" s="4048"/>
      <c r="CD415" s="4048"/>
      <c r="CE415" s="5039"/>
      <c r="CF415" s="5039"/>
      <c r="CG415" s="5039"/>
      <c r="CH415" s="5039"/>
    </row>
    <row r="416" s="4971" customFormat="1" ht="76" spans="1:86">
      <c r="A416" s="3662"/>
      <c r="B416" s="5482"/>
      <c r="C416" s="4048"/>
      <c r="D416" s="5661"/>
      <c r="E416" s="5675"/>
      <c r="F416" s="5661"/>
      <c r="G416" s="5661"/>
      <c r="H416" s="5661"/>
      <c r="I416" s="5661"/>
      <c r="J416" s="5661"/>
      <c r="K416" s="5661"/>
      <c r="L416" s="5661"/>
      <c r="M416" s="5661"/>
      <c r="N416" s="5675"/>
      <c r="O416" s="5675"/>
      <c r="P416" s="5675"/>
      <c r="Q416" s="5675"/>
      <c r="R416" s="5675"/>
      <c r="S416" s="5675"/>
      <c r="T416" s="5675"/>
      <c r="U416" s="5675"/>
      <c r="V416" s="5675"/>
      <c r="W416" s="5675"/>
      <c r="X416" s="5675"/>
      <c r="Y416" s="5675"/>
      <c r="Z416" s="5675"/>
      <c r="AA416" s="5675"/>
      <c r="AB416" s="5675"/>
      <c r="AC416" s="4048">
        <v>2</v>
      </c>
      <c r="AD416" s="5440" t="s">
        <v>923</v>
      </c>
      <c r="AE416" s="5661">
        <v>0.2</v>
      </c>
      <c r="AF416" s="4048">
        <f>M415*AE416</f>
        <v>132994.112</v>
      </c>
      <c r="AG416" s="4048">
        <f t="shared" ref="AG416:AG430" si="87">SUM(BA416:BN416)</f>
        <v>132994.112</v>
      </c>
      <c r="AH416" s="5482" t="s">
        <v>122</v>
      </c>
      <c r="AI416" s="4048">
        <v>45848</v>
      </c>
      <c r="AJ416" s="4048">
        <v>132994.112</v>
      </c>
      <c r="AK416" s="4048">
        <v>45848</v>
      </c>
      <c r="AL416" s="4048">
        <v>132994.112</v>
      </c>
      <c r="AM416" s="4048">
        <v>45849</v>
      </c>
      <c r="AN416" s="4048">
        <f t="shared" si="86"/>
        <v>132994.112</v>
      </c>
      <c r="AO416" s="4048"/>
      <c r="AP416" s="4048">
        <f t="shared" si="83"/>
        <v>0</v>
      </c>
      <c r="AQ416" s="5487"/>
      <c r="AR416" s="4048"/>
      <c r="AS416" s="5494"/>
      <c r="AT416" s="5487"/>
      <c r="AU416" s="2973"/>
      <c r="AV416" s="2973"/>
      <c r="AW416" s="2973"/>
      <c r="AX416" s="2973"/>
      <c r="AY416" s="2973"/>
      <c r="AZ416" s="2973"/>
      <c r="BA416" s="5487"/>
      <c r="BB416" s="4048"/>
      <c r="BC416" s="4048"/>
      <c r="BD416" s="5487"/>
      <c r="BE416" s="5487"/>
      <c r="BF416" s="5487"/>
      <c r="BG416" s="5487"/>
      <c r="BH416" s="4048"/>
      <c r="BI416" s="4048"/>
      <c r="BJ416" s="4048"/>
      <c r="BK416" s="4048"/>
      <c r="BL416" s="4048"/>
      <c r="BM416" s="4048"/>
      <c r="BN416" s="4048">
        <v>132994.112</v>
      </c>
      <c r="BO416" s="5487"/>
      <c r="BP416" s="5487"/>
      <c r="BQ416" s="5487"/>
      <c r="BR416" s="5487"/>
      <c r="BS416" s="5487"/>
      <c r="BT416" s="5487"/>
      <c r="BU416" s="5487"/>
      <c r="BV416" s="5487"/>
      <c r="BW416" s="5487"/>
      <c r="BX416" s="5487"/>
      <c r="BY416" s="5487"/>
      <c r="BZ416" s="5487"/>
      <c r="CA416" s="5487"/>
      <c r="CB416" s="5487">
        <v>132994.112</v>
      </c>
      <c r="CC416" s="4048"/>
      <c r="CD416" s="4048"/>
      <c r="CE416" s="5039"/>
      <c r="CF416" s="5039"/>
      <c r="CG416" s="5039"/>
      <c r="CH416" s="5039"/>
    </row>
    <row r="417" s="4971" customFormat="1" ht="76" spans="1:86">
      <c r="A417" s="3662"/>
      <c r="B417" s="5482"/>
      <c r="C417" s="4048"/>
      <c r="D417" s="5661"/>
      <c r="E417" s="5675"/>
      <c r="F417" s="5661"/>
      <c r="G417" s="5661"/>
      <c r="H417" s="5661"/>
      <c r="I417" s="5661"/>
      <c r="J417" s="5661"/>
      <c r="K417" s="5661"/>
      <c r="L417" s="5661"/>
      <c r="M417" s="5661"/>
      <c r="N417" s="5675"/>
      <c r="O417" s="5675"/>
      <c r="P417" s="5675"/>
      <c r="Q417" s="5675"/>
      <c r="R417" s="5675"/>
      <c r="S417" s="5675"/>
      <c r="T417" s="5675"/>
      <c r="U417" s="5675"/>
      <c r="V417" s="5675"/>
      <c r="W417" s="5675"/>
      <c r="X417" s="5675"/>
      <c r="Y417" s="5675"/>
      <c r="Z417" s="5675"/>
      <c r="AA417" s="5675"/>
      <c r="AB417" s="5675"/>
      <c r="AC417" s="4048">
        <v>3</v>
      </c>
      <c r="AD417" s="5440" t="s">
        <v>924</v>
      </c>
      <c r="AE417" s="5661">
        <v>0.2</v>
      </c>
      <c r="AF417" s="4048">
        <f>M415*AE417</f>
        <v>132994.112</v>
      </c>
      <c r="AG417" s="4048">
        <f t="shared" si="87"/>
        <v>0</v>
      </c>
      <c r="AH417" s="4048"/>
      <c r="AI417" s="4048"/>
      <c r="AJ417" s="4048"/>
      <c r="AK417" s="5487"/>
      <c r="AL417" s="5200"/>
      <c r="AM417" s="4048"/>
      <c r="AN417" s="4048">
        <f t="shared" si="86"/>
        <v>0</v>
      </c>
      <c r="AO417" s="4048"/>
      <c r="AP417" s="4048">
        <f t="shared" si="83"/>
        <v>0</v>
      </c>
      <c r="AQ417" s="5487"/>
      <c r="AR417" s="4048"/>
      <c r="AS417" s="5494"/>
      <c r="AT417" s="5487"/>
      <c r="AU417" s="2973"/>
      <c r="AV417" s="2973"/>
      <c r="AW417" s="2973"/>
      <c r="AX417" s="2973"/>
      <c r="AY417" s="2973"/>
      <c r="AZ417" s="2973"/>
      <c r="BA417" s="5487"/>
      <c r="BB417" s="4048"/>
      <c r="BC417" s="4048"/>
      <c r="BD417" s="5487"/>
      <c r="BE417" s="5487"/>
      <c r="BF417" s="5487"/>
      <c r="BG417" s="5487"/>
      <c r="BH417" s="4048"/>
      <c r="BI417" s="4048"/>
      <c r="BJ417" s="4048"/>
      <c r="BK417" s="4048"/>
      <c r="BL417" s="4048"/>
      <c r="BM417" s="4048"/>
      <c r="BN417" s="4048"/>
      <c r="BO417" s="5487"/>
      <c r="BP417" s="5487"/>
      <c r="BQ417" s="5487"/>
      <c r="BR417" s="5487"/>
      <c r="BS417" s="5487"/>
      <c r="BT417" s="5487"/>
      <c r="BU417" s="5487"/>
      <c r="BV417" s="5487"/>
      <c r="BW417" s="5487"/>
      <c r="BX417" s="5487"/>
      <c r="BY417" s="5487"/>
      <c r="BZ417" s="5487"/>
      <c r="CA417" s="5487"/>
      <c r="CB417" s="5487"/>
      <c r="CC417" s="4048"/>
      <c r="CD417" s="4048"/>
      <c r="CE417" s="5039"/>
      <c r="CF417" s="5039"/>
      <c r="CG417" s="5039"/>
      <c r="CH417" s="5039"/>
    </row>
    <row r="418" s="4971" customFormat="1" ht="92" spans="1:86">
      <c r="A418" s="3662"/>
      <c r="B418" s="5482"/>
      <c r="C418" s="4048"/>
      <c r="D418" s="5661"/>
      <c r="E418" s="5675"/>
      <c r="F418" s="5661"/>
      <c r="G418" s="5661"/>
      <c r="H418" s="5661"/>
      <c r="I418" s="5661"/>
      <c r="J418" s="5661"/>
      <c r="K418" s="5661"/>
      <c r="L418" s="5661"/>
      <c r="M418" s="5661"/>
      <c r="N418" s="5675"/>
      <c r="O418" s="5675"/>
      <c r="P418" s="5675"/>
      <c r="Q418" s="5675"/>
      <c r="R418" s="5675"/>
      <c r="S418" s="5675"/>
      <c r="T418" s="5675"/>
      <c r="U418" s="5675"/>
      <c r="V418" s="5675"/>
      <c r="W418" s="5675"/>
      <c r="X418" s="5675"/>
      <c r="Y418" s="5675"/>
      <c r="Z418" s="5675"/>
      <c r="AA418" s="5675"/>
      <c r="AB418" s="5675"/>
      <c r="AC418" s="4048">
        <v>4</v>
      </c>
      <c r="AD418" s="5440" t="s">
        <v>925</v>
      </c>
      <c r="AE418" s="5661">
        <v>0.2</v>
      </c>
      <c r="AF418" s="4048">
        <f>M415*AE418</f>
        <v>132994.112</v>
      </c>
      <c r="AG418" s="4048">
        <f t="shared" si="87"/>
        <v>0</v>
      </c>
      <c r="AH418" s="4048"/>
      <c r="AI418" s="4048"/>
      <c r="AJ418" s="4048"/>
      <c r="AK418" s="5487"/>
      <c r="AL418" s="5200"/>
      <c r="AM418" s="4048"/>
      <c r="AN418" s="4048">
        <f t="shared" si="86"/>
        <v>0</v>
      </c>
      <c r="AO418" s="4048"/>
      <c r="AP418" s="4048">
        <f t="shared" si="83"/>
        <v>0</v>
      </c>
      <c r="AQ418" s="5487"/>
      <c r="AR418" s="4048"/>
      <c r="AS418" s="5494"/>
      <c r="AT418" s="5487"/>
      <c r="AU418" s="2973"/>
      <c r="AV418" s="2973"/>
      <c r="AW418" s="2973"/>
      <c r="AX418" s="2973"/>
      <c r="AY418" s="2973"/>
      <c r="AZ418" s="2973"/>
      <c r="BA418" s="5487"/>
      <c r="BB418" s="4048"/>
      <c r="BC418" s="4048"/>
      <c r="BD418" s="5487"/>
      <c r="BE418" s="5487"/>
      <c r="BF418" s="5487"/>
      <c r="BG418" s="5487"/>
      <c r="BH418" s="4048"/>
      <c r="BI418" s="4048"/>
      <c r="BJ418" s="4048"/>
      <c r="BK418" s="4048"/>
      <c r="BL418" s="4048"/>
      <c r="BM418" s="4048"/>
      <c r="BN418" s="4048"/>
      <c r="BO418" s="5487"/>
      <c r="BP418" s="5487"/>
      <c r="BQ418" s="5487"/>
      <c r="BR418" s="5487"/>
      <c r="BS418" s="5487"/>
      <c r="BT418" s="5487"/>
      <c r="BU418" s="5487"/>
      <c r="BV418" s="5487"/>
      <c r="BW418" s="5487"/>
      <c r="BX418" s="5487"/>
      <c r="BY418" s="5487"/>
      <c r="BZ418" s="5487"/>
      <c r="CA418" s="5487"/>
      <c r="CB418" s="5487"/>
      <c r="CC418" s="4048"/>
      <c r="CD418" s="4048"/>
      <c r="CE418" s="5039"/>
      <c r="CF418" s="5039"/>
      <c r="CG418" s="5039"/>
      <c r="CH418" s="5039"/>
    </row>
    <row r="419" s="4971" customFormat="1" ht="76" spans="1:86">
      <c r="A419" s="3662"/>
      <c r="B419" s="5482"/>
      <c r="C419" s="4048"/>
      <c r="D419" s="5661"/>
      <c r="E419" s="5675"/>
      <c r="F419" s="5661"/>
      <c r="G419" s="5661"/>
      <c r="H419" s="5661"/>
      <c r="I419" s="5661"/>
      <c r="J419" s="5661"/>
      <c r="K419" s="5661"/>
      <c r="L419" s="5661"/>
      <c r="M419" s="5661"/>
      <c r="N419" s="5675"/>
      <c r="O419" s="5675"/>
      <c r="P419" s="5675"/>
      <c r="Q419" s="5675"/>
      <c r="R419" s="5675"/>
      <c r="S419" s="5675"/>
      <c r="T419" s="5675"/>
      <c r="U419" s="5675"/>
      <c r="V419" s="5675"/>
      <c r="W419" s="5675"/>
      <c r="X419" s="5675"/>
      <c r="Y419" s="5675"/>
      <c r="Z419" s="5675"/>
      <c r="AA419" s="5675"/>
      <c r="AB419" s="5675"/>
      <c r="AC419" s="4048">
        <v>5</v>
      </c>
      <c r="AD419" s="5440" t="s">
        <v>926</v>
      </c>
      <c r="AE419" s="5661">
        <v>0.1</v>
      </c>
      <c r="AF419" s="4048">
        <f>M415*AE419</f>
        <v>66497.056</v>
      </c>
      <c r="AG419" s="4048">
        <f t="shared" si="87"/>
        <v>0</v>
      </c>
      <c r="AH419" s="4048"/>
      <c r="AI419" s="4048"/>
      <c r="AJ419" s="4048"/>
      <c r="AK419" s="5487"/>
      <c r="AL419" s="5200"/>
      <c r="AM419" s="4048"/>
      <c r="AN419" s="4048">
        <f t="shared" si="86"/>
        <v>0</v>
      </c>
      <c r="AO419" s="4048"/>
      <c r="AP419" s="4048">
        <f t="shared" si="83"/>
        <v>0</v>
      </c>
      <c r="AQ419" s="5487"/>
      <c r="AR419" s="4048"/>
      <c r="AS419" s="5494"/>
      <c r="AT419" s="5487"/>
      <c r="AU419" s="2973"/>
      <c r="AV419" s="2973"/>
      <c r="AW419" s="2973"/>
      <c r="AX419" s="2973"/>
      <c r="AY419" s="2973"/>
      <c r="AZ419" s="2973"/>
      <c r="BA419" s="5487"/>
      <c r="BB419" s="4048"/>
      <c r="BC419" s="4048"/>
      <c r="BD419" s="5487"/>
      <c r="BE419" s="5487"/>
      <c r="BF419" s="5487"/>
      <c r="BG419" s="5487"/>
      <c r="BH419" s="4048"/>
      <c r="BI419" s="4048"/>
      <c r="BJ419" s="4048"/>
      <c r="BK419" s="4048"/>
      <c r="BL419" s="4048"/>
      <c r="BM419" s="4048"/>
      <c r="BN419" s="4048"/>
      <c r="BO419" s="5487"/>
      <c r="BP419" s="5487"/>
      <c r="BQ419" s="5487"/>
      <c r="BR419" s="5487"/>
      <c r="BS419" s="5487"/>
      <c r="BT419" s="5487"/>
      <c r="BU419" s="5487"/>
      <c r="BV419" s="5487"/>
      <c r="BW419" s="5487"/>
      <c r="BX419" s="5487"/>
      <c r="BY419" s="5487"/>
      <c r="BZ419" s="5487"/>
      <c r="CA419" s="5487"/>
      <c r="CB419" s="5487"/>
      <c r="CC419" s="4048"/>
      <c r="CD419" s="4048"/>
      <c r="CE419" s="5039"/>
      <c r="CF419" s="5039"/>
      <c r="CG419" s="5039"/>
      <c r="CH419" s="5039"/>
    </row>
    <row r="420" s="4971" customFormat="1" ht="61" spans="1:86">
      <c r="A420" s="3662"/>
      <c r="B420" s="5482"/>
      <c r="C420" s="4048"/>
      <c r="D420" s="5661"/>
      <c r="E420" s="5676"/>
      <c r="F420" s="5661"/>
      <c r="G420" s="5661"/>
      <c r="H420" s="5661"/>
      <c r="I420" s="5661"/>
      <c r="J420" s="5661"/>
      <c r="K420" s="5661"/>
      <c r="L420" s="5661"/>
      <c r="M420" s="5661"/>
      <c r="N420" s="5676"/>
      <c r="O420" s="5676"/>
      <c r="P420" s="5676"/>
      <c r="Q420" s="5676"/>
      <c r="R420" s="5676"/>
      <c r="S420" s="5676"/>
      <c r="T420" s="5676"/>
      <c r="U420" s="5676"/>
      <c r="V420" s="5676"/>
      <c r="W420" s="5676"/>
      <c r="X420" s="5676"/>
      <c r="Y420" s="5676"/>
      <c r="Z420" s="5676"/>
      <c r="AA420" s="5676"/>
      <c r="AB420" s="5676"/>
      <c r="AC420" s="4048">
        <v>6</v>
      </c>
      <c r="AD420" s="5440" t="s">
        <v>927</v>
      </c>
      <c r="AE420" s="5661">
        <v>0.1</v>
      </c>
      <c r="AF420" s="4048">
        <f>M415*AE420</f>
        <v>66497.056</v>
      </c>
      <c r="AG420" s="4048">
        <f t="shared" si="87"/>
        <v>0</v>
      </c>
      <c r="AH420" s="4048"/>
      <c r="AI420" s="4048"/>
      <c r="AJ420" s="4048"/>
      <c r="AK420" s="5487"/>
      <c r="AL420" s="5200"/>
      <c r="AM420" s="4048"/>
      <c r="AN420" s="4048">
        <f t="shared" si="86"/>
        <v>0</v>
      </c>
      <c r="AO420" s="4048"/>
      <c r="AP420" s="4048">
        <f t="shared" si="83"/>
        <v>0</v>
      </c>
      <c r="AQ420" s="5487"/>
      <c r="AR420" s="4048"/>
      <c r="AS420" s="5494"/>
      <c r="AT420" s="5487"/>
      <c r="AU420" s="2973"/>
      <c r="AV420" s="2973"/>
      <c r="AW420" s="2973"/>
      <c r="AX420" s="2973"/>
      <c r="AY420" s="2973"/>
      <c r="AZ420" s="2973"/>
      <c r="BA420" s="5487"/>
      <c r="BB420" s="4048"/>
      <c r="BC420" s="4048"/>
      <c r="BD420" s="5487"/>
      <c r="BE420" s="5487"/>
      <c r="BF420" s="5487"/>
      <c r="BG420" s="5487"/>
      <c r="BH420" s="4048"/>
      <c r="BI420" s="4048"/>
      <c r="BJ420" s="4048"/>
      <c r="BK420" s="4048"/>
      <c r="BL420" s="4048"/>
      <c r="BM420" s="4048"/>
      <c r="BN420" s="4048"/>
      <c r="BO420" s="5487"/>
      <c r="BP420" s="5487"/>
      <c r="BQ420" s="5487"/>
      <c r="BR420" s="5487"/>
      <c r="BS420" s="5487"/>
      <c r="BT420" s="5487"/>
      <c r="BU420" s="5487"/>
      <c r="BV420" s="5487"/>
      <c r="BW420" s="5487"/>
      <c r="BX420" s="5487"/>
      <c r="BY420" s="5487"/>
      <c r="BZ420" s="5487"/>
      <c r="CA420" s="5487"/>
      <c r="CB420" s="5487"/>
      <c r="CC420" s="4048"/>
      <c r="CD420" s="4048"/>
      <c r="CE420" s="5039"/>
      <c r="CF420" s="5039"/>
      <c r="CG420" s="5039"/>
      <c r="CH420" s="5039"/>
    </row>
    <row r="421" s="4971" customFormat="1" ht="76" spans="1:86">
      <c r="A421" s="3662"/>
      <c r="B421" s="5482"/>
      <c r="C421" s="4048"/>
      <c r="D421" s="5661"/>
      <c r="E421" s="5674"/>
      <c r="F421" s="5440" t="s">
        <v>992</v>
      </c>
      <c r="G421" s="5440" t="s">
        <v>988</v>
      </c>
      <c r="H421" s="5440" t="s">
        <v>993</v>
      </c>
      <c r="I421" s="5661"/>
      <c r="J421" s="5440" t="s">
        <v>921</v>
      </c>
      <c r="K421" s="5661"/>
      <c r="L421" s="5661"/>
      <c r="M421" s="5661">
        <f>SUM(N421:AA426)</f>
        <v>116760</v>
      </c>
      <c r="N421" s="5675"/>
      <c r="O421" s="5675"/>
      <c r="P421" s="5675"/>
      <c r="Q421" s="5675"/>
      <c r="R421" s="5675"/>
      <c r="S421" s="5675"/>
      <c r="T421" s="5675"/>
      <c r="U421" s="5675"/>
      <c r="V421" s="5675"/>
      <c r="W421" s="5675"/>
      <c r="X421" s="5675"/>
      <c r="Y421" s="5675"/>
      <c r="Z421" s="5675"/>
      <c r="AA421" s="5675">
        <v>116760</v>
      </c>
      <c r="AB421" s="5674" t="s">
        <v>126</v>
      </c>
      <c r="AC421" s="4048">
        <v>1</v>
      </c>
      <c r="AD421" s="5440" t="s">
        <v>933</v>
      </c>
      <c r="AE421" s="5661">
        <v>0.15</v>
      </c>
      <c r="AF421" s="4048">
        <f>M421*AE421</f>
        <v>17514</v>
      </c>
      <c r="AG421" s="4048">
        <f t="shared" si="87"/>
        <v>0</v>
      </c>
      <c r="AH421" s="4048"/>
      <c r="AI421" s="4048"/>
      <c r="AJ421" s="4048"/>
      <c r="AK421" s="5487"/>
      <c r="AL421" s="5200"/>
      <c r="AM421" s="4048"/>
      <c r="AN421" s="4048">
        <f t="shared" si="86"/>
        <v>0</v>
      </c>
      <c r="AO421" s="4048"/>
      <c r="AP421" s="4048">
        <f t="shared" si="83"/>
        <v>0</v>
      </c>
      <c r="AQ421" s="5487"/>
      <c r="AR421" s="4048"/>
      <c r="AS421" s="5494"/>
      <c r="AT421" s="5487"/>
      <c r="AU421" s="2973"/>
      <c r="AV421" s="2973"/>
      <c r="AW421" s="2973"/>
      <c r="AX421" s="2973"/>
      <c r="AY421" s="2973"/>
      <c r="AZ421" s="2973"/>
      <c r="BA421" s="5487"/>
      <c r="BB421" s="4048"/>
      <c r="BC421" s="4048"/>
      <c r="BD421" s="5487"/>
      <c r="BE421" s="5487"/>
      <c r="BF421" s="5487"/>
      <c r="BG421" s="5487"/>
      <c r="BH421" s="4048"/>
      <c r="BI421" s="4048"/>
      <c r="BJ421" s="4048"/>
      <c r="BK421" s="4048"/>
      <c r="BL421" s="4048"/>
      <c r="BM421" s="4048"/>
      <c r="BN421" s="4048"/>
      <c r="BO421" s="5487"/>
      <c r="BP421" s="5487"/>
      <c r="BQ421" s="5487"/>
      <c r="BR421" s="5487"/>
      <c r="BS421" s="5487"/>
      <c r="BT421" s="5487"/>
      <c r="BU421" s="5487"/>
      <c r="BV421" s="5487"/>
      <c r="BW421" s="5487"/>
      <c r="BX421" s="5487"/>
      <c r="BY421" s="5487"/>
      <c r="BZ421" s="5487"/>
      <c r="CA421" s="5487"/>
      <c r="CB421" s="5487"/>
      <c r="CC421" s="4048"/>
      <c r="CD421" s="4048"/>
      <c r="CE421" s="5039"/>
      <c r="CF421" s="5039"/>
      <c r="CG421" s="5039"/>
      <c r="CH421" s="5039"/>
    </row>
    <row r="422" s="4971" customFormat="1" ht="76" spans="1:86">
      <c r="A422" s="3662"/>
      <c r="B422" s="5482"/>
      <c r="C422" s="4048"/>
      <c r="D422" s="5661"/>
      <c r="E422" s="5675"/>
      <c r="F422" s="5661"/>
      <c r="G422" s="5661"/>
      <c r="H422" s="5661"/>
      <c r="I422" s="5661"/>
      <c r="J422" s="5661"/>
      <c r="K422" s="5661"/>
      <c r="L422" s="5661"/>
      <c r="M422" s="5661"/>
      <c r="N422" s="5675"/>
      <c r="O422" s="5675"/>
      <c r="P422" s="5675"/>
      <c r="Q422" s="5675"/>
      <c r="R422" s="5675"/>
      <c r="S422" s="5675"/>
      <c r="T422" s="5675"/>
      <c r="U422" s="5675"/>
      <c r="V422" s="5675"/>
      <c r="W422" s="5675"/>
      <c r="X422" s="5675"/>
      <c r="Y422" s="5675"/>
      <c r="Z422" s="5675"/>
      <c r="AA422" s="5675"/>
      <c r="AB422" s="5675"/>
      <c r="AC422" s="4048">
        <v>2</v>
      </c>
      <c r="AD422" s="5440" t="s">
        <v>934</v>
      </c>
      <c r="AE422" s="5661">
        <v>0.25</v>
      </c>
      <c r="AF422" s="4048">
        <f>M421*AE422</f>
        <v>29190</v>
      </c>
      <c r="AG422" s="4048">
        <f t="shared" si="87"/>
        <v>0</v>
      </c>
      <c r="AH422" s="4048"/>
      <c r="AI422" s="4048"/>
      <c r="AJ422" s="4048"/>
      <c r="AK422" s="5487"/>
      <c r="AL422" s="5200"/>
      <c r="AM422" s="4048"/>
      <c r="AN422" s="4048">
        <f t="shared" si="86"/>
        <v>0</v>
      </c>
      <c r="AO422" s="4048"/>
      <c r="AP422" s="4048">
        <f t="shared" si="83"/>
        <v>0</v>
      </c>
      <c r="AQ422" s="5487"/>
      <c r="AR422" s="4048"/>
      <c r="AS422" s="5494"/>
      <c r="AT422" s="5487"/>
      <c r="AU422" s="2973"/>
      <c r="AV422" s="2973"/>
      <c r="AW422" s="2973"/>
      <c r="AX422" s="2973"/>
      <c r="AY422" s="2973"/>
      <c r="AZ422" s="2973"/>
      <c r="BA422" s="5487"/>
      <c r="BB422" s="4048"/>
      <c r="BC422" s="4048"/>
      <c r="BD422" s="5487"/>
      <c r="BE422" s="5487"/>
      <c r="BF422" s="5487"/>
      <c r="BG422" s="5487"/>
      <c r="BH422" s="4048"/>
      <c r="BI422" s="4048"/>
      <c r="BJ422" s="4048"/>
      <c r="BK422" s="4048"/>
      <c r="BL422" s="4048"/>
      <c r="BM422" s="4048"/>
      <c r="BN422" s="4048"/>
      <c r="BO422" s="5487"/>
      <c r="BP422" s="5487"/>
      <c r="BQ422" s="5487"/>
      <c r="BR422" s="5487"/>
      <c r="BS422" s="5487"/>
      <c r="BT422" s="5487"/>
      <c r="BU422" s="5487"/>
      <c r="BV422" s="5487"/>
      <c r="BW422" s="5487"/>
      <c r="BX422" s="5487"/>
      <c r="BY422" s="5487"/>
      <c r="BZ422" s="5487"/>
      <c r="CA422" s="5487"/>
      <c r="CB422" s="5487"/>
      <c r="CC422" s="4048"/>
      <c r="CD422" s="4048"/>
      <c r="CE422" s="5039"/>
      <c r="CF422" s="5039"/>
      <c r="CG422" s="5039"/>
      <c r="CH422" s="5039"/>
    </row>
    <row r="423" s="4971" customFormat="1" ht="76" spans="1:86">
      <c r="A423" s="3662"/>
      <c r="B423" s="5482"/>
      <c r="C423" s="4048"/>
      <c r="D423" s="5661"/>
      <c r="E423" s="5675"/>
      <c r="F423" s="5661"/>
      <c r="G423" s="5661"/>
      <c r="H423" s="5661"/>
      <c r="I423" s="5661"/>
      <c r="J423" s="5661"/>
      <c r="K423" s="5661"/>
      <c r="L423" s="5661"/>
      <c r="M423" s="5661"/>
      <c r="N423" s="5675"/>
      <c r="O423" s="5675"/>
      <c r="P423" s="5675"/>
      <c r="Q423" s="5675"/>
      <c r="R423" s="5675"/>
      <c r="S423" s="5675"/>
      <c r="T423" s="5675"/>
      <c r="U423" s="5675"/>
      <c r="V423" s="5675"/>
      <c r="W423" s="5675"/>
      <c r="X423" s="5675"/>
      <c r="Y423" s="5675"/>
      <c r="Z423" s="5675"/>
      <c r="AA423" s="5675"/>
      <c r="AB423" s="5675"/>
      <c r="AC423" s="4048">
        <v>3</v>
      </c>
      <c r="AD423" s="5440" t="s">
        <v>936</v>
      </c>
      <c r="AE423" s="5661">
        <v>0.1</v>
      </c>
      <c r="AF423" s="4048">
        <f>M421*AE423</f>
        <v>11676</v>
      </c>
      <c r="AG423" s="4048">
        <f t="shared" si="87"/>
        <v>0</v>
      </c>
      <c r="AH423" s="4048"/>
      <c r="AI423" s="4048"/>
      <c r="AJ423" s="4048"/>
      <c r="AK423" s="5487"/>
      <c r="AL423" s="5200"/>
      <c r="AM423" s="4048"/>
      <c r="AN423" s="4048">
        <f t="shared" si="86"/>
        <v>0</v>
      </c>
      <c r="AO423" s="4048"/>
      <c r="AP423" s="4048">
        <f t="shared" si="83"/>
        <v>0</v>
      </c>
      <c r="AQ423" s="5487"/>
      <c r="AR423" s="4048"/>
      <c r="AS423" s="5494"/>
      <c r="AT423" s="5487"/>
      <c r="AU423" s="2973"/>
      <c r="AV423" s="2973"/>
      <c r="AW423" s="2973"/>
      <c r="AX423" s="2973"/>
      <c r="AY423" s="2973"/>
      <c r="AZ423" s="2973"/>
      <c r="BA423" s="5487"/>
      <c r="BB423" s="4048"/>
      <c r="BC423" s="4048"/>
      <c r="BD423" s="5487"/>
      <c r="BE423" s="5487"/>
      <c r="BF423" s="5487"/>
      <c r="BG423" s="5487"/>
      <c r="BH423" s="4048"/>
      <c r="BI423" s="4048"/>
      <c r="BJ423" s="4048"/>
      <c r="BK423" s="4048"/>
      <c r="BL423" s="4048"/>
      <c r="BM423" s="4048"/>
      <c r="BN423" s="4048"/>
      <c r="BO423" s="5487"/>
      <c r="BP423" s="5487"/>
      <c r="BQ423" s="5487"/>
      <c r="BR423" s="5487"/>
      <c r="BS423" s="5487"/>
      <c r="BT423" s="5487"/>
      <c r="BU423" s="5487"/>
      <c r="BV423" s="5487"/>
      <c r="BW423" s="5487"/>
      <c r="BX423" s="5487"/>
      <c r="BY423" s="5487"/>
      <c r="BZ423" s="5487"/>
      <c r="CA423" s="5487"/>
      <c r="CB423" s="5487"/>
      <c r="CC423" s="4048"/>
      <c r="CD423" s="4048"/>
      <c r="CE423" s="5039"/>
      <c r="CF423" s="5039"/>
      <c r="CG423" s="5039"/>
      <c r="CH423" s="5039"/>
    </row>
    <row r="424" s="4971" customFormat="1" ht="76" spans="1:86">
      <c r="A424" s="3662"/>
      <c r="B424" s="5482"/>
      <c r="C424" s="4048"/>
      <c r="D424" s="5661"/>
      <c r="E424" s="5675"/>
      <c r="F424" s="5661"/>
      <c r="G424" s="5661"/>
      <c r="H424" s="5661"/>
      <c r="I424" s="5661"/>
      <c r="J424" s="5661"/>
      <c r="K424" s="5661"/>
      <c r="L424" s="5661"/>
      <c r="M424" s="5661"/>
      <c r="N424" s="5675"/>
      <c r="O424" s="5675"/>
      <c r="P424" s="5675"/>
      <c r="Q424" s="5675"/>
      <c r="R424" s="5675"/>
      <c r="S424" s="5675"/>
      <c r="T424" s="5675"/>
      <c r="U424" s="5675"/>
      <c r="V424" s="5675"/>
      <c r="W424" s="5675"/>
      <c r="X424" s="5675"/>
      <c r="Y424" s="5675"/>
      <c r="Z424" s="5675"/>
      <c r="AA424" s="5675"/>
      <c r="AB424" s="5675"/>
      <c r="AC424" s="4048">
        <v>4</v>
      </c>
      <c r="AD424" s="5440" t="s">
        <v>946</v>
      </c>
      <c r="AE424" s="5661">
        <v>0.3</v>
      </c>
      <c r="AF424" s="4048">
        <f>M421*AE424</f>
        <v>35028</v>
      </c>
      <c r="AG424" s="4048">
        <f t="shared" si="87"/>
        <v>0</v>
      </c>
      <c r="AH424" s="4048"/>
      <c r="AI424" s="4048"/>
      <c r="AJ424" s="4048"/>
      <c r="AK424" s="5487"/>
      <c r="AL424" s="5200"/>
      <c r="AM424" s="4048"/>
      <c r="AN424" s="4048">
        <f t="shared" si="86"/>
        <v>0</v>
      </c>
      <c r="AO424" s="4048"/>
      <c r="AP424" s="4048">
        <f t="shared" si="83"/>
        <v>0</v>
      </c>
      <c r="AQ424" s="5487"/>
      <c r="AR424" s="4048"/>
      <c r="AS424" s="5494"/>
      <c r="AT424" s="5487"/>
      <c r="AU424" s="2973"/>
      <c r="AV424" s="2973"/>
      <c r="AW424" s="2973"/>
      <c r="AX424" s="2973"/>
      <c r="AY424" s="2973"/>
      <c r="AZ424" s="2973"/>
      <c r="BA424" s="5487"/>
      <c r="BB424" s="4048"/>
      <c r="BC424" s="4048"/>
      <c r="BD424" s="5487"/>
      <c r="BE424" s="5487"/>
      <c r="BF424" s="5487"/>
      <c r="BG424" s="5487"/>
      <c r="BH424" s="4048"/>
      <c r="BI424" s="4048"/>
      <c r="BJ424" s="4048"/>
      <c r="BK424" s="4048"/>
      <c r="BL424" s="4048"/>
      <c r="BM424" s="4048"/>
      <c r="BN424" s="4048"/>
      <c r="BO424" s="5487"/>
      <c r="BP424" s="5487"/>
      <c r="BQ424" s="5487"/>
      <c r="BR424" s="5487"/>
      <c r="BS424" s="5487"/>
      <c r="BT424" s="5487"/>
      <c r="BU424" s="5487"/>
      <c r="BV424" s="5487"/>
      <c r="BW424" s="5487"/>
      <c r="BX424" s="5487"/>
      <c r="BY424" s="5487"/>
      <c r="BZ424" s="5487"/>
      <c r="CA424" s="5487"/>
      <c r="CB424" s="5487"/>
      <c r="CC424" s="4048"/>
      <c r="CD424" s="4048"/>
      <c r="CE424" s="5039"/>
      <c r="CF424" s="5039"/>
      <c r="CG424" s="5039"/>
      <c r="CH424" s="5039"/>
    </row>
    <row r="425" s="4971" customFormat="1" ht="76" spans="1:86">
      <c r="A425" s="3662"/>
      <c r="B425" s="5482"/>
      <c r="C425" s="4048"/>
      <c r="D425" s="5661"/>
      <c r="E425" s="5675"/>
      <c r="F425" s="5661"/>
      <c r="G425" s="5661"/>
      <c r="H425" s="5661"/>
      <c r="I425" s="5661"/>
      <c r="J425" s="5661"/>
      <c r="K425" s="5661"/>
      <c r="L425" s="5661"/>
      <c r="M425" s="5661"/>
      <c r="N425" s="5675"/>
      <c r="O425" s="5675"/>
      <c r="P425" s="5675"/>
      <c r="Q425" s="5675"/>
      <c r="R425" s="5675"/>
      <c r="S425" s="5675"/>
      <c r="T425" s="5675"/>
      <c r="U425" s="5675"/>
      <c r="V425" s="5675"/>
      <c r="W425" s="5675"/>
      <c r="X425" s="5675"/>
      <c r="Y425" s="5675"/>
      <c r="Z425" s="5675"/>
      <c r="AA425" s="5675"/>
      <c r="AB425" s="5675"/>
      <c r="AC425" s="4048">
        <v>5</v>
      </c>
      <c r="AD425" s="5440" t="s">
        <v>940</v>
      </c>
      <c r="AE425" s="5661">
        <v>0.15</v>
      </c>
      <c r="AF425" s="4048">
        <f>M421*AE425</f>
        <v>17514</v>
      </c>
      <c r="AG425" s="4048">
        <f t="shared" si="87"/>
        <v>0</v>
      </c>
      <c r="AH425" s="4048"/>
      <c r="AI425" s="4048"/>
      <c r="AJ425" s="4048"/>
      <c r="AK425" s="5487"/>
      <c r="AL425" s="5200"/>
      <c r="AM425" s="4048"/>
      <c r="AN425" s="4048">
        <f t="shared" si="86"/>
        <v>0</v>
      </c>
      <c r="AO425" s="4048"/>
      <c r="AP425" s="4048">
        <f t="shared" si="83"/>
        <v>0</v>
      </c>
      <c r="AQ425" s="5487"/>
      <c r="AR425" s="4048"/>
      <c r="AS425" s="5494"/>
      <c r="AT425" s="5487"/>
      <c r="AU425" s="2973"/>
      <c r="AV425" s="2973"/>
      <c r="AW425" s="2973"/>
      <c r="AX425" s="2973"/>
      <c r="AY425" s="2973"/>
      <c r="AZ425" s="2973"/>
      <c r="BA425" s="5487"/>
      <c r="BB425" s="4048"/>
      <c r="BC425" s="4048"/>
      <c r="BD425" s="5487"/>
      <c r="BE425" s="5487"/>
      <c r="BF425" s="5487"/>
      <c r="BG425" s="5487"/>
      <c r="BH425" s="4048"/>
      <c r="BI425" s="4048"/>
      <c r="BJ425" s="4048"/>
      <c r="BK425" s="4048"/>
      <c r="BL425" s="4048"/>
      <c r="BM425" s="4048"/>
      <c r="BN425" s="4048"/>
      <c r="BO425" s="5487"/>
      <c r="BP425" s="5487"/>
      <c r="BQ425" s="5487"/>
      <c r="BR425" s="5487"/>
      <c r="BS425" s="5487"/>
      <c r="BT425" s="5487"/>
      <c r="BU425" s="5487"/>
      <c r="BV425" s="5487"/>
      <c r="BW425" s="5487"/>
      <c r="BX425" s="5487"/>
      <c r="BY425" s="5487"/>
      <c r="BZ425" s="5487"/>
      <c r="CA425" s="5487"/>
      <c r="CB425" s="5487"/>
      <c r="CC425" s="4048"/>
      <c r="CD425" s="4048"/>
      <c r="CE425" s="5039"/>
      <c r="CF425" s="5039"/>
      <c r="CG425" s="5039"/>
      <c r="CH425" s="5039"/>
    </row>
    <row r="426" s="4971" customFormat="1" ht="76" spans="1:86">
      <c r="A426" s="3662"/>
      <c r="B426" s="5482"/>
      <c r="C426" s="4048"/>
      <c r="D426" s="5661"/>
      <c r="E426" s="5676"/>
      <c r="F426" s="5661"/>
      <c r="G426" s="5661"/>
      <c r="H426" s="5661"/>
      <c r="I426" s="5661"/>
      <c r="J426" s="5661"/>
      <c r="K426" s="5661"/>
      <c r="L426" s="5661"/>
      <c r="M426" s="5661"/>
      <c r="N426" s="5676"/>
      <c r="O426" s="5676"/>
      <c r="P426" s="5676"/>
      <c r="Q426" s="5676"/>
      <c r="R426" s="5676"/>
      <c r="S426" s="5676"/>
      <c r="T426" s="5676"/>
      <c r="U426" s="5676"/>
      <c r="V426" s="5676"/>
      <c r="W426" s="5676"/>
      <c r="X426" s="5676"/>
      <c r="Y426" s="5676"/>
      <c r="Z426" s="5676"/>
      <c r="AA426" s="5676"/>
      <c r="AB426" s="5676"/>
      <c r="AC426" s="4048">
        <v>6</v>
      </c>
      <c r="AD426" s="5440" t="s">
        <v>941</v>
      </c>
      <c r="AE426" s="5661">
        <v>0.05</v>
      </c>
      <c r="AF426" s="4048">
        <f>M421*AE426</f>
        <v>5838</v>
      </c>
      <c r="AG426" s="4048">
        <f t="shared" si="87"/>
        <v>0</v>
      </c>
      <c r="AH426" s="4048"/>
      <c r="AI426" s="4048"/>
      <c r="AJ426" s="4048"/>
      <c r="AK426" s="5487"/>
      <c r="AL426" s="5200"/>
      <c r="AM426" s="4048"/>
      <c r="AN426" s="4048">
        <f t="shared" si="86"/>
        <v>0</v>
      </c>
      <c r="AO426" s="4048"/>
      <c r="AP426" s="4048">
        <f t="shared" si="83"/>
        <v>0</v>
      </c>
      <c r="AQ426" s="5487"/>
      <c r="AR426" s="4048"/>
      <c r="AS426" s="5494"/>
      <c r="AT426" s="5487"/>
      <c r="AU426" s="2973"/>
      <c r="AV426" s="2973"/>
      <c r="AW426" s="2973"/>
      <c r="AX426" s="2973"/>
      <c r="AY426" s="2973"/>
      <c r="AZ426" s="2973"/>
      <c r="BA426" s="5487"/>
      <c r="BB426" s="4048"/>
      <c r="BC426" s="4048"/>
      <c r="BD426" s="5487"/>
      <c r="BE426" s="5487"/>
      <c r="BF426" s="5487"/>
      <c r="BG426" s="5487"/>
      <c r="BH426" s="4048"/>
      <c r="BI426" s="4048"/>
      <c r="BJ426" s="4048"/>
      <c r="BK426" s="4048"/>
      <c r="BL426" s="4048"/>
      <c r="BM426" s="4048"/>
      <c r="BN426" s="4048"/>
      <c r="BO426" s="5487"/>
      <c r="BP426" s="5487"/>
      <c r="BQ426" s="5487"/>
      <c r="BR426" s="5487"/>
      <c r="BS426" s="5487"/>
      <c r="BT426" s="5487"/>
      <c r="BU426" s="5487"/>
      <c r="BV426" s="5487"/>
      <c r="BW426" s="5487"/>
      <c r="BX426" s="5487"/>
      <c r="BY426" s="5487"/>
      <c r="BZ426" s="5487"/>
      <c r="CA426" s="5487"/>
      <c r="CB426" s="5487"/>
      <c r="CC426" s="4048"/>
      <c r="CD426" s="4048"/>
      <c r="CE426" s="5039"/>
      <c r="CF426" s="5039"/>
      <c r="CG426" s="5039"/>
      <c r="CH426" s="5039"/>
    </row>
    <row r="427" s="4971" customFormat="1" ht="70.85" customHeight="1" spans="1:86">
      <c r="A427" s="3662"/>
      <c r="B427" s="5663" t="s">
        <v>888</v>
      </c>
      <c r="C427" s="5664">
        <v>45736</v>
      </c>
      <c r="D427" s="5663" t="s">
        <v>918</v>
      </c>
      <c r="E427" s="5662"/>
      <c r="F427" s="5663" t="s">
        <v>994</v>
      </c>
      <c r="G427" s="5663" t="s">
        <v>995</v>
      </c>
      <c r="H427" s="5663" t="s">
        <v>996</v>
      </c>
      <c r="I427" s="5663"/>
      <c r="J427" s="5663" t="s">
        <v>921</v>
      </c>
      <c r="K427" s="5663"/>
      <c r="L427" s="5663" t="s">
        <v>997</v>
      </c>
      <c r="M427" s="5664">
        <f>SUM(N427:AA429)</f>
        <v>320000</v>
      </c>
      <c r="N427" s="4902"/>
      <c r="O427" s="4902"/>
      <c r="P427" s="4902"/>
      <c r="Q427" s="4902"/>
      <c r="R427" s="4902"/>
      <c r="S427" s="4902"/>
      <c r="T427" s="4902"/>
      <c r="U427" s="4902">
        <v>320000</v>
      </c>
      <c r="V427" s="4902"/>
      <c r="W427" s="4902"/>
      <c r="X427" s="4902"/>
      <c r="Y427" s="4902"/>
      <c r="Z427" s="4902"/>
      <c r="AA427" s="4902"/>
      <c r="AB427" s="4902"/>
      <c r="AC427" s="3083">
        <v>1</v>
      </c>
      <c r="AD427" s="5679" t="s">
        <v>908</v>
      </c>
      <c r="AE427" s="5589">
        <v>0.2</v>
      </c>
      <c r="AF427" s="3083">
        <f>M427*AE427</f>
        <v>64000</v>
      </c>
      <c r="AG427" s="5688">
        <f t="shared" si="87"/>
        <v>64000</v>
      </c>
      <c r="AH427" s="5689" t="s">
        <v>349</v>
      </c>
      <c r="AI427" s="5688">
        <v>46111</v>
      </c>
      <c r="AJ427" s="3083"/>
      <c r="AK427" s="5629"/>
      <c r="AL427" s="5630"/>
      <c r="AM427" s="3083"/>
      <c r="AN427" s="5688">
        <f t="shared" si="86"/>
        <v>64000</v>
      </c>
      <c r="AO427" s="5688">
        <v>46142</v>
      </c>
      <c r="AP427" s="3083">
        <f t="shared" si="83"/>
        <v>0</v>
      </c>
      <c r="AQ427" s="5629"/>
      <c r="AR427" s="3083"/>
      <c r="AS427" s="5637"/>
      <c r="AT427" s="5629"/>
      <c r="AU427" s="3662"/>
      <c r="AV427" s="3662"/>
      <c r="AW427" s="3662"/>
      <c r="AX427" s="3662"/>
      <c r="AY427" s="3662"/>
      <c r="AZ427" s="3662"/>
      <c r="BA427" s="5629"/>
      <c r="BB427" s="3083"/>
      <c r="BC427" s="3083"/>
      <c r="BD427" s="5629"/>
      <c r="BE427" s="5629"/>
      <c r="BF427" s="5629"/>
      <c r="BG427" s="5629"/>
      <c r="BH427" s="3083">
        <v>64000</v>
      </c>
      <c r="BI427" s="3083"/>
      <c r="BJ427" s="3083"/>
      <c r="BK427" s="3083"/>
      <c r="BL427" s="3083"/>
      <c r="BM427" s="3083"/>
      <c r="BN427" s="3083"/>
      <c r="BO427" s="5629"/>
      <c r="BP427" s="5629"/>
      <c r="BQ427" s="5629"/>
      <c r="BR427" s="5629"/>
      <c r="BS427" s="5629"/>
      <c r="BT427" s="5629"/>
      <c r="BU427" s="5629"/>
      <c r="BV427" s="5629"/>
      <c r="BW427" s="5629"/>
      <c r="BX427" s="5629"/>
      <c r="BY427" s="5629"/>
      <c r="BZ427" s="5629"/>
      <c r="CA427" s="5629"/>
      <c r="CB427" s="5629">
        <v>64000</v>
      </c>
      <c r="CC427" s="3083"/>
      <c r="CD427" s="3083"/>
      <c r="CE427" s="5039"/>
      <c r="CF427" s="5039"/>
      <c r="CG427" s="5039"/>
      <c r="CH427" s="5039"/>
    </row>
    <row r="428" s="4971" customFormat="1" ht="70.85" customHeight="1" spans="1:86">
      <c r="A428" s="3662"/>
      <c r="B428" s="5664"/>
      <c r="C428" s="5664"/>
      <c r="D428" s="5664"/>
      <c r="E428" s="4902"/>
      <c r="F428" s="5664"/>
      <c r="G428" s="5664"/>
      <c r="H428" s="5664"/>
      <c r="I428" s="5664"/>
      <c r="J428" s="5664"/>
      <c r="K428" s="5664"/>
      <c r="L428" s="5664"/>
      <c r="M428" s="5664"/>
      <c r="N428" s="4902"/>
      <c r="O428" s="4902"/>
      <c r="P428" s="4902"/>
      <c r="Q428" s="4902"/>
      <c r="R428" s="4902"/>
      <c r="S428" s="4902"/>
      <c r="T428" s="4902"/>
      <c r="U428" s="4902"/>
      <c r="V428" s="4902"/>
      <c r="W428" s="4902"/>
      <c r="X428" s="4902"/>
      <c r="Y428" s="4902"/>
      <c r="Z428" s="4902"/>
      <c r="AA428" s="4902"/>
      <c r="AB428" s="4902"/>
      <c r="AC428" s="5638">
        <v>2</v>
      </c>
      <c r="AD428" s="5679" t="s">
        <v>910</v>
      </c>
      <c r="AE428" s="5589">
        <v>0.65</v>
      </c>
      <c r="AF428" s="3083">
        <f>M427*AE428</f>
        <v>208000</v>
      </c>
      <c r="AG428" s="5688">
        <f t="shared" si="87"/>
        <v>208000</v>
      </c>
      <c r="AH428" s="5689" t="s">
        <v>349</v>
      </c>
      <c r="AI428" s="5688">
        <v>46111</v>
      </c>
      <c r="AJ428" s="3083"/>
      <c r="AK428" s="5629"/>
      <c r="AL428" s="5630"/>
      <c r="AM428" s="3083"/>
      <c r="AN428" s="5688">
        <f t="shared" si="86"/>
        <v>208000</v>
      </c>
      <c r="AO428" s="5688">
        <v>46142</v>
      </c>
      <c r="AP428" s="3083">
        <f t="shared" si="83"/>
        <v>0</v>
      </c>
      <c r="AQ428" s="5629"/>
      <c r="AR428" s="3083"/>
      <c r="AS428" s="5637"/>
      <c r="AT428" s="5629"/>
      <c r="AU428" s="3662"/>
      <c r="AV428" s="3662"/>
      <c r="AW428" s="3662"/>
      <c r="AX428" s="3662"/>
      <c r="AY428" s="3662"/>
      <c r="AZ428" s="3662"/>
      <c r="BA428" s="5629"/>
      <c r="BB428" s="3083"/>
      <c r="BC428" s="3083"/>
      <c r="BD428" s="5629"/>
      <c r="BE428" s="5629"/>
      <c r="BF428" s="5629"/>
      <c r="BG428" s="5629"/>
      <c r="BH428" s="3083">
        <v>208000</v>
      </c>
      <c r="BI428" s="3083"/>
      <c r="BJ428" s="3083"/>
      <c r="BK428" s="3083"/>
      <c r="BL428" s="3083"/>
      <c r="BM428" s="3083"/>
      <c r="BN428" s="3083"/>
      <c r="BO428" s="5629"/>
      <c r="BP428" s="5629"/>
      <c r="BQ428" s="5629"/>
      <c r="BR428" s="5629"/>
      <c r="BS428" s="5629"/>
      <c r="BT428" s="5629"/>
      <c r="BU428" s="5629"/>
      <c r="BV428" s="5629"/>
      <c r="BW428" s="5629"/>
      <c r="BX428" s="5629"/>
      <c r="BY428" s="5629"/>
      <c r="BZ428" s="5629"/>
      <c r="CA428" s="5629"/>
      <c r="CB428" s="5629">
        <v>208000</v>
      </c>
      <c r="CC428" s="3083"/>
      <c r="CD428" s="3083"/>
      <c r="CE428" s="5039"/>
      <c r="CF428" s="5039"/>
      <c r="CG428" s="5039"/>
      <c r="CH428" s="5039"/>
    </row>
    <row r="429" s="4971" customFormat="1" ht="70.85" customHeight="1" spans="1:86">
      <c r="A429" s="3662"/>
      <c r="B429" s="5665"/>
      <c r="C429" s="5665"/>
      <c r="D429" s="5665"/>
      <c r="E429" s="5573"/>
      <c r="F429" s="5665"/>
      <c r="G429" s="5665"/>
      <c r="H429" s="5665"/>
      <c r="I429" s="5665"/>
      <c r="J429" s="5665"/>
      <c r="K429" s="5665"/>
      <c r="L429" s="5665"/>
      <c r="M429" s="5665"/>
      <c r="N429" s="5573"/>
      <c r="O429" s="5573"/>
      <c r="P429" s="5573"/>
      <c r="Q429" s="5573"/>
      <c r="R429" s="5573"/>
      <c r="S429" s="5573"/>
      <c r="T429" s="5573"/>
      <c r="U429" s="5573"/>
      <c r="V429" s="5573"/>
      <c r="W429" s="5573"/>
      <c r="X429" s="5573"/>
      <c r="Y429" s="5573"/>
      <c r="Z429" s="5573"/>
      <c r="AA429" s="5573"/>
      <c r="AB429" s="5573"/>
      <c r="AC429" s="3083">
        <v>3</v>
      </c>
      <c r="AD429" s="5679" t="s">
        <v>912</v>
      </c>
      <c r="AE429" s="5589">
        <v>0.15</v>
      </c>
      <c r="AF429" s="3083">
        <f>M427*AE429</f>
        <v>48000</v>
      </c>
      <c r="AG429" s="3083">
        <f t="shared" si="87"/>
        <v>0</v>
      </c>
      <c r="AH429" s="3083"/>
      <c r="AI429" s="3083"/>
      <c r="AJ429" s="3083"/>
      <c r="AK429" s="5629"/>
      <c r="AL429" s="5630"/>
      <c r="AM429" s="3083"/>
      <c r="AN429" s="3083">
        <f t="shared" si="86"/>
        <v>0</v>
      </c>
      <c r="AO429" s="3083"/>
      <c r="AP429" s="3083">
        <f t="shared" si="83"/>
        <v>0</v>
      </c>
      <c r="AQ429" s="5629"/>
      <c r="AR429" s="3083"/>
      <c r="AS429" s="5637"/>
      <c r="AT429" s="5629"/>
      <c r="AU429" s="3662"/>
      <c r="AV429" s="3662"/>
      <c r="AW429" s="3662"/>
      <c r="AX429" s="3662"/>
      <c r="AY429" s="3662"/>
      <c r="AZ429" s="3662"/>
      <c r="BA429" s="5629"/>
      <c r="BB429" s="3083"/>
      <c r="BC429" s="3083"/>
      <c r="BD429" s="5629"/>
      <c r="BE429" s="5629"/>
      <c r="BF429" s="5629"/>
      <c r="BG429" s="5629"/>
      <c r="BH429" s="3083"/>
      <c r="BI429" s="3083"/>
      <c r="BJ429" s="3083"/>
      <c r="BK429" s="3083"/>
      <c r="BL429" s="3083"/>
      <c r="BM429" s="3083"/>
      <c r="BN429" s="3083"/>
      <c r="BO429" s="5629"/>
      <c r="BP429" s="5629"/>
      <c r="BQ429" s="5629"/>
      <c r="BR429" s="5629"/>
      <c r="BS429" s="5629"/>
      <c r="BT429" s="5629"/>
      <c r="BU429" s="5629"/>
      <c r="BV429" s="5629"/>
      <c r="BW429" s="5629"/>
      <c r="BX429" s="5629"/>
      <c r="BY429" s="5629"/>
      <c r="BZ429" s="5629"/>
      <c r="CA429" s="5629"/>
      <c r="CB429" s="5629"/>
      <c r="CC429" s="3083"/>
      <c r="CD429" s="3083"/>
      <c r="CE429" s="5039"/>
      <c r="CF429" s="5039"/>
      <c r="CG429" s="5039"/>
      <c r="CH429" s="5039"/>
    </row>
    <row r="430" s="4971" customFormat="1" ht="70.85" customHeight="1" spans="1:86">
      <c r="A430" s="3662">
        <v>71</v>
      </c>
      <c r="B430" s="3524" t="s">
        <v>690</v>
      </c>
      <c r="C430" s="3524">
        <v>44196</v>
      </c>
      <c r="D430" s="3742" t="s">
        <v>998</v>
      </c>
      <c r="E430" s="3742" t="s">
        <v>171</v>
      </c>
      <c r="F430" s="5129" t="s">
        <v>999</v>
      </c>
      <c r="G430" s="3742" t="s">
        <v>1000</v>
      </c>
      <c r="H430" s="3742" t="s">
        <v>240</v>
      </c>
      <c r="I430" s="3742"/>
      <c r="J430" s="3742" t="s">
        <v>1001</v>
      </c>
      <c r="K430" s="3524"/>
      <c r="L430" s="3742"/>
      <c r="M430" s="3524">
        <v>80000</v>
      </c>
      <c r="N430" s="3662"/>
      <c r="O430" s="3662"/>
      <c r="P430" s="3662"/>
      <c r="Q430" s="3662"/>
      <c r="R430" s="3662"/>
      <c r="S430" s="3662"/>
      <c r="T430" s="3662"/>
      <c r="U430" s="3662"/>
      <c r="V430" s="3662"/>
      <c r="W430" s="3662"/>
      <c r="X430" s="3662">
        <v>0</v>
      </c>
      <c r="Y430" s="3662"/>
      <c r="Z430" s="3662"/>
      <c r="AA430" s="3662">
        <v>80000</v>
      </c>
      <c r="AB430" s="3662"/>
      <c r="AC430" s="3524">
        <v>1</v>
      </c>
      <c r="AD430" s="5680" t="s">
        <v>1002</v>
      </c>
      <c r="AE430" s="5117">
        <v>1</v>
      </c>
      <c r="AF430" s="3524">
        <v>80000</v>
      </c>
      <c r="AG430" s="3524">
        <f t="shared" ref="AG430:AG449" si="88">SUM(BA430:BN430)</f>
        <v>0</v>
      </c>
      <c r="AH430" s="3524"/>
      <c r="AI430" s="3524"/>
      <c r="AJ430" s="3524"/>
      <c r="AK430" s="5122"/>
      <c r="AL430" s="3812"/>
      <c r="AM430" s="3524"/>
      <c r="AN430" s="3524">
        <f t="shared" ref="AN430:AN449" si="89">SUM(BO430:CB430)</f>
        <v>0</v>
      </c>
      <c r="AO430" s="3524"/>
      <c r="AP430" s="3524">
        <f t="shared" ref="AP430:AP440" si="90">AG430-AN430</f>
        <v>0</v>
      </c>
      <c r="AQ430" s="5122"/>
      <c r="AR430" s="3524"/>
      <c r="AS430" s="5137"/>
      <c r="AT430" s="5122"/>
      <c r="AU430" s="3662">
        <f>SUM(AG430)</f>
        <v>0</v>
      </c>
      <c r="AV430" s="3662">
        <f>SUM(AL430)</f>
        <v>0</v>
      </c>
      <c r="AW430" s="3662">
        <f>SUM(AN430)</f>
        <v>0</v>
      </c>
      <c r="AX430" s="3662">
        <f>M430-AU430</f>
        <v>80000</v>
      </c>
      <c r="AY430" s="3662">
        <f>AU430-AV430</f>
        <v>0</v>
      </c>
      <c r="AZ430" s="3662">
        <f>AV430-AW430</f>
        <v>0</v>
      </c>
      <c r="BA430" s="5122"/>
      <c r="BB430" s="3524"/>
      <c r="BC430" s="3524"/>
      <c r="BD430" s="5122"/>
      <c r="BE430" s="5122"/>
      <c r="BF430" s="5122"/>
      <c r="BG430" s="5122"/>
      <c r="BH430" s="3524"/>
      <c r="BI430" s="3524"/>
      <c r="BJ430" s="3524"/>
      <c r="BK430" s="3524"/>
      <c r="BL430" s="3524"/>
      <c r="BM430" s="3524"/>
      <c r="BN430" s="3524"/>
      <c r="BO430" s="5122"/>
      <c r="BP430" s="5122"/>
      <c r="BQ430" s="5122"/>
      <c r="BR430" s="5122"/>
      <c r="BS430" s="5122"/>
      <c r="BT430" s="5122"/>
      <c r="BU430" s="5122"/>
      <c r="BV430" s="5122"/>
      <c r="BW430" s="5122"/>
      <c r="BX430" s="5122"/>
      <c r="BY430" s="5122"/>
      <c r="BZ430" s="5122"/>
      <c r="CA430" s="5122"/>
      <c r="CB430" s="5122"/>
      <c r="CC430" s="3524" t="s">
        <v>166</v>
      </c>
      <c r="CD430" s="3524" t="s">
        <v>154</v>
      </c>
      <c r="CE430" s="5039"/>
      <c r="CF430" s="5039"/>
      <c r="CG430" s="5039"/>
      <c r="CH430" s="5039"/>
    </row>
    <row r="431" s="4971" customFormat="1" ht="47.5" customHeight="1" spans="1:86">
      <c r="A431" s="2963">
        <v>72</v>
      </c>
      <c r="B431" s="2963" t="s">
        <v>1003</v>
      </c>
      <c r="C431" s="2963">
        <v>44203</v>
      </c>
      <c r="D431" s="5666" t="s">
        <v>1004</v>
      </c>
      <c r="E431" s="5666" t="s">
        <v>1005</v>
      </c>
      <c r="F431" s="5666" t="s">
        <v>1006</v>
      </c>
      <c r="G431" s="5666" t="s">
        <v>1007</v>
      </c>
      <c r="H431" s="5666" t="s">
        <v>31</v>
      </c>
      <c r="I431" s="5666"/>
      <c r="J431" s="5666" t="s">
        <v>1008</v>
      </c>
      <c r="K431" s="5666" t="s">
        <v>1009</v>
      </c>
      <c r="L431" s="2963" t="s">
        <v>1010</v>
      </c>
      <c r="M431" s="2963">
        <v>540354.18</v>
      </c>
      <c r="N431" s="2963"/>
      <c r="O431" s="2963"/>
      <c r="P431" s="2963"/>
      <c r="Q431" s="2963"/>
      <c r="R431" s="2963"/>
      <c r="S431" s="2963"/>
      <c r="T431" s="2963"/>
      <c r="U431" s="2963">
        <v>540354.18</v>
      </c>
      <c r="V431" s="2963"/>
      <c r="W431" s="2963"/>
      <c r="X431" s="2963">
        <v>0</v>
      </c>
      <c r="Y431" s="2963"/>
      <c r="Z431" s="2963"/>
      <c r="AA431" s="2963"/>
      <c r="AB431" s="2963"/>
      <c r="AC431" s="2963">
        <v>1</v>
      </c>
      <c r="AD431" s="5681" t="s">
        <v>1011</v>
      </c>
      <c r="AE431" s="5605">
        <v>0.2</v>
      </c>
      <c r="AF431" s="2963">
        <v>108070.84</v>
      </c>
      <c r="AG431" s="2963">
        <f t="shared" si="88"/>
        <v>108070.84</v>
      </c>
      <c r="AH431" s="2963" t="s">
        <v>122</v>
      </c>
      <c r="AI431" s="2963">
        <v>44229</v>
      </c>
      <c r="AJ431" s="2963">
        <f>SUM(BD431:BQ431)</f>
        <v>108070.84</v>
      </c>
      <c r="AK431" s="2963">
        <v>44229</v>
      </c>
      <c r="AL431" s="2963">
        <f>SUM(BF431:BS431)</f>
        <v>108070.84</v>
      </c>
      <c r="AM431" s="2963">
        <v>44229</v>
      </c>
      <c r="AN431" s="2963">
        <f t="shared" si="89"/>
        <v>108070.84</v>
      </c>
      <c r="AO431" s="2963">
        <v>44266</v>
      </c>
      <c r="AP431" s="2963">
        <f t="shared" si="90"/>
        <v>0</v>
      </c>
      <c r="AQ431" s="5634"/>
      <c r="AR431" s="5694" t="s">
        <v>128</v>
      </c>
      <c r="AS431" s="5699"/>
      <c r="AT431" s="5700"/>
      <c r="AU431" s="2963">
        <f>SUM(AG431:AG433)</f>
        <v>540354.18</v>
      </c>
      <c r="AV431" s="2963">
        <f>SUM(AL431:AL433)</f>
        <v>540354.18</v>
      </c>
      <c r="AW431" s="2963">
        <f>SUM(AN431:AN433)</f>
        <v>540354.18</v>
      </c>
      <c r="AX431" s="2963">
        <f>M431-AU431</f>
        <v>0</v>
      </c>
      <c r="AY431" s="2963">
        <f>AU431-AV431</f>
        <v>0</v>
      </c>
      <c r="AZ431" s="2963">
        <f>AV431-AW431</f>
        <v>0</v>
      </c>
      <c r="BA431" s="5703"/>
      <c r="BB431" s="2960"/>
      <c r="BC431" s="2960"/>
      <c r="BD431" s="5703"/>
      <c r="BE431" s="5703"/>
      <c r="BF431" s="5703"/>
      <c r="BG431" s="5703"/>
      <c r="BH431" s="5705">
        <v>108070.84</v>
      </c>
      <c r="BI431" s="2960"/>
      <c r="BJ431" s="2960"/>
      <c r="BK431" s="2960"/>
      <c r="BL431" s="2960"/>
      <c r="BM431" s="2960"/>
      <c r="BN431" s="2960"/>
      <c r="BO431" s="5703"/>
      <c r="BP431" s="5703"/>
      <c r="BQ431" s="5703"/>
      <c r="BR431" s="5703"/>
      <c r="BS431" s="5703"/>
      <c r="BT431" s="5703"/>
      <c r="BU431" s="5703"/>
      <c r="BV431" s="5707">
        <v>108070.84</v>
      </c>
      <c r="BW431" s="5703"/>
      <c r="BX431" s="5703"/>
      <c r="BY431" s="5703"/>
      <c r="BZ431" s="5703"/>
      <c r="CA431" s="5703"/>
      <c r="CB431" s="5703"/>
      <c r="CC431" s="2963" t="s">
        <v>166</v>
      </c>
      <c r="CD431" s="2963" t="s">
        <v>154</v>
      </c>
      <c r="CE431" s="5039"/>
      <c r="CF431" s="5039"/>
      <c r="CG431" s="5039"/>
      <c r="CH431" s="5039"/>
    </row>
    <row r="432" s="4971" customFormat="1" ht="65.25" customHeight="1" spans="1:86">
      <c r="A432" s="2963"/>
      <c r="B432" s="2963"/>
      <c r="C432" s="2963"/>
      <c r="D432" s="5666"/>
      <c r="E432" s="5666"/>
      <c r="F432" s="5666"/>
      <c r="G432" s="5666"/>
      <c r="H432" s="5666"/>
      <c r="I432" s="5666"/>
      <c r="J432" s="5666"/>
      <c r="K432" s="5666"/>
      <c r="L432" s="2963"/>
      <c r="M432" s="2963"/>
      <c r="N432" s="2963"/>
      <c r="O432" s="2963"/>
      <c r="P432" s="2963"/>
      <c r="Q432" s="2963"/>
      <c r="R432" s="2963"/>
      <c r="S432" s="2963"/>
      <c r="T432" s="2963"/>
      <c r="U432" s="2963"/>
      <c r="V432" s="2963"/>
      <c r="W432" s="2963"/>
      <c r="X432" s="2963"/>
      <c r="Y432" s="2963"/>
      <c r="Z432" s="2963"/>
      <c r="AA432" s="2963"/>
      <c r="AB432" s="2963"/>
      <c r="AC432" s="2963">
        <v>2</v>
      </c>
      <c r="AD432" s="5681" t="s">
        <v>1012</v>
      </c>
      <c r="AE432" s="5605">
        <v>0.6</v>
      </c>
      <c r="AF432" s="2963">
        <v>324212.5</v>
      </c>
      <c r="AG432" s="2963">
        <f t="shared" si="88"/>
        <v>324212.5</v>
      </c>
      <c r="AH432" s="2963" t="s">
        <v>122</v>
      </c>
      <c r="AI432" s="2963">
        <v>44229</v>
      </c>
      <c r="AJ432" s="2963">
        <f>SUM(BD432:BQ432)</f>
        <v>324212.5</v>
      </c>
      <c r="AK432" s="2963">
        <v>44229</v>
      </c>
      <c r="AL432" s="2963">
        <f>SUM(BF432:BS432)</f>
        <v>324212.5</v>
      </c>
      <c r="AM432" s="2963">
        <v>44229</v>
      </c>
      <c r="AN432" s="2963">
        <f t="shared" si="89"/>
        <v>324212.5</v>
      </c>
      <c r="AO432" s="2963">
        <v>44266</v>
      </c>
      <c r="AP432" s="2963">
        <f t="shared" si="90"/>
        <v>0</v>
      </c>
      <c r="AQ432" s="5634"/>
      <c r="AR432" s="5695"/>
      <c r="AS432" s="5699"/>
      <c r="AT432" s="5700"/>
      <c r="AU432" s="2963"/>
      <c r="AV432" s="2963"/>
      <c r="AW432" s="2963"/>
      <c r="AX432" s="2963"/>
      <c r="AY432" s="2963"/>
      <c r="AZ432" s="2963"/>
      <c r="BA432" s="5703"/>
      <c r="BB432" s="2960"/>
      <c r="BC432" s="2960"/>
      <c r="BD432" s="5703"/>
      <c r="BE432" s="5703"/>
      <c r="BF432" s="5703"/>
      <c r="BG432" s="5703"/>
      <c r="BH432" s="2960">
        <v>324212.5</v>
      </c>
      <c r="BI432" s="2960"/>
      <c r="BJ432" s="2960"/>
      <c r="BK432" s="2960"/>
      <c r="BL432" s="2960"/>
      <c r="BM432" s="2960"/>
      <c r="BN432" s="2960"/>
      <c r="BO432" s="5703"/>
      <c r="BP432" s="5703"/>
      <c r="BQ432" s="5703"/>
      <c r="BR432" s="5703"/>
      <c r="BS432" s="5703"/>
      <c r="BT432" s="5703"/>
      <c r="BU432" s="5703"/>
      <c r="BV432" s="5703">
        <v>324212.5</v>
      </c>
      <c r="BW432" s="5703"/>
      <c r="BX432" s="5703"/>
      <c r="BY432" s="5703"/>
      <c r="BZ432" s="5703"/>
      <c r="CA432" s="5703"/>
      <c r="CB432" s="5703"/>
      <c r="CC432" s="2963"/>
      <c r="CD432" s="2963"/>
      <c r="CE432" s="5039"/>
      <c r="CF432" s="5039"/>
      <c r="CG432" s="5039"/>
      <c r="CH432" s="5039"/>
    </row>
    <row r="433" s="4971" customFormat="1" ht="58.5" customHeight="1" spans="1:86">
      <c r="A433" s="2963"/>
      <c r="B433" s="2963"/>
      <c r="C433" s="2963"/>
      <c r="D433" s="5666"/>
      <c r="E433" s="5666"/>
      <c r="F433" s="5666"/>
      <c r="G433" s="5666"/>
      <c r="H433" s="5666"/>
      <c r="I433" s="5666"/>
      <c r="J433" s="5666"/>
      <c r="K433" s="5666"/>
      <c r="L433" s="2963"/>
      <c r="M433" s="2963"/>
      <c r="N433" s="2963"/>
      <c r="O433" s="2963"/>
      <c r="P433" s="2963"/>
      <c r="Q433" s="2963"/>
      <c r="R433" s="2963"/>
      <c r="S433" s="2963"/>
      <c r="T433" s="2963"/>
      <c r="U433" s="2963"/>
      <c r="V433" s="2963"/>
      <c r="W433" s="2963"/>
      <c r="X433" s="2963"/>
      <c r="Y433" s="2963"/>
      <c r="Z433" s="2963"/>
      <c r="AA433" s="2963"/>
      <c r="AB433" s="2963"/>
      <c r="AC433" s="2963">
        <v>3</v>
      </c>
      <c r="AD433" s="5681" t="s">
        <v>1013</v>
      </c>
      <c r="AE433" s="5605">
        <v>0.2</v>
      </c>
      <c r="AF433" s="2963">
        <v>108070.84</v>
      </c>
      <c r="AG433" s="2963">
        <f t="shared" si="88"/>
        <v>108070.84</v>
      </c>
      <c r="AH433" s="2963" t="s">
        <v>122</v>
      </c>
      <c r="AI433" s="2963">
        <v>44229</v>
      </c>
      <c r="AJ433" s="2963">
        <f>SUM(BD433:BQ433)</f>
        <v>108070.84</v>
      </c>
      <c r="AK433" s="2963">
        <v>44229</v>
      </c>
      <c r="AL433" s="2963">
        <f>SUM(BF433:BS433)</f>
        <v>108070.84</v>
      </c>
      <c r="AM433" s="2963">
        <v>44229</v>
      </c>
      <c r="AN433" s="2963">
        <f t="shared" si="89"/>
        <v>108070.84</v>
      </c>
      <c r="AO433" s="2963">
        <v>44266</v>
      </c>
      <c r="AP433" s="2963">
        <f t="shared" si="90"/>
        <v>0</v>
      </c>
      <c r="AQ433" s="5634"/>
      <c r="AR433" s="5695"/>
      <c r="AS433" s="5699"/>
      <c r="AT433" s="5700"/>
      <c r="AU433" s="2963"/>
      <c r="AV433" s="2963"/>
      <c r="AW433" s="2963"/>
      <c r="AX433" s="2963"/>
      <c r="AY433" s="2963"/>
      <c r="AZ433" s="2963"/>
      <c r="BA433" s="5703"/>
      <c r="BB433" s="2960"/>
      <c r="BC433" s="2960"/>
      <c r="BD433" s="5703"/>
      <c r="BE433" s="5703"/>
      <c r="BF433" s="5703"/>
      <c r="BG433" s="5703"/>
      <c r="BH433" s="2960">
        <v>108070.84</v>
      </c>
      <c r="BI433" s="2960"/>
      <c r="BJ433" s="2960"/>
      <c r="BK433" s="2960"/>
      <c r="BL433" s="2960"/>
      <c r="BM433" s="2960"/>
      <c r="BN433" s="2960"/>
      <c r="BO433" s="5703"/>
      <c r="BP433" s="5703"/>
      <c r="BQ433" s="5703"/>
      <c r="BR433" s="5703"/>
      <c r="BS433" s="5703"/>
      <c r="BT433" s="5703"/>
      <c r="BU433" s="5703"/>
      <c r="BV433" s="5703">
        <v>108070.84</v>
      </c>
      <c r="BW433" s="5703"/>
      <c r="BX433" s="5703"/>
      <c r="BY433" s="5703"/>
      <c r="BZ433" s="5703"/>
      <c r="CA433" s="5703"/>
      <c r="CB433" s="5703"/>
      <c r="CC433" s="2963"/>
      <c r="CD433" s="2963"/>
      <c r="CE433" s="5039"/>
      <c r="CF433" s="5039"/>
      <c r="CG433" s="5039"/>
      <c r="CH433" s="5039"/>
    </row>
    <row r="434" s="4971" customFormat="1" ht="40.5" customHeight="1" spans="1:86">
      <c r="A434" s="4046">
        <v>73</v>
      </c>
      <c r="B434" s="4046" t="s">
        <v>1003</v>
      </c>
      <c r="C434" s="4046">
        <v>44216</v>
      </c>
      <c r="D434" s="4127" t="s">
        <v>1014</v>
      </c>
      <c r="E434" s="4128" t="s">
        <v>1015</v>
      </c>
      <c r="F434" s="4128" t="s">
        <v>1016</v>
      </c>
      <c r="G434" s="4128" t="s">
        <v>1017</v>
      </c>
      <c r="H434" s="4128" t="s">
        <v>193</v>
      </c>
      <c r="I434" s="4128"/>
      <c r="J434" s="4128" t="s">
        <v>1018</v>
      </c>
      <c r="K434" s="4128" t="s">
        <v>1019</v>
      </c>
      <c r="L434" s="4128" t="s">
        <v>774</v>
      </c>
      <c r="M434" s="4046">
        <v>263346.83</v>
      </c>
      <c r="N434" s="4046"/>
      <c r="O434" s="4046"/>
      <c r="P434" s="4046"/>
      <c r="Q434" s="4046"/>
      <c r="R434" s="4046"/>
      <c r="S434" s="4046"/>
      <c r="T434" s="4046"/>
      <c r="U434" s="4046"/>
      <c r="V434" s="4046">
        <v>263346.83</v>
      </c>
      <c r="W434" s="4046"/>
      <c r="X434" s="4046">
        <v>0</v>
      </c>
      <c r="Y434" s="4046"/>
      <c r="Z434" s="4046"/>
      <c r="AA434" s="4046"/>
      <c r="AB434" s="4046"/>
      <c r="AC434" s="4046">
        <v>1</v>
      </c>
      <c r="AD434" s="5682" t="s">
        <v>1020</v>
      </c>
      <c r="AE434" s="5683">
        <v>0.2</v>
      </c>
      <c r="AF434" s="4046">
        <v>52669.37</v>
      </c>
      <c r="AG434" s="4045">
        <f t="shared" si="88"/>
        <v>52669.37</v>
      </c>
      <c r="AH434" s="4045" t="s">
        <v>122</v>
      </c>
      <c r="AI434" s="4045">
        <v>44336</v>
      </c>
      <c r="AJ434" s="4045">
        <v>52669.37</v>
      </c>
      <c r="AK434" s="4045">
        <v>44336</v>
      </c>
      <c r="AL434" s="4045">
        <v>52669.37</v>
      </c>
      <c r="AM434" s="4045">
        <v>44336</v>
      </c>
      <c r="AN434" s="4045">
        <f t="shared" si="89"/>
        <v>52669.37</v>
      </c>
      <c r="AO434" s="4045">
        <v>44400</v>
      </c>
      <c r="AP434" s="4046">
        <f t="shared" si="90"/>
        <v>0</v>
      </c>
      <c r="AQ434" s="5696"/>
      <c r="AR434" s="4364" t="s">
        <v>128</v>
      </c>
      <c r="AS434" s="5701"/>
      <c r="AT434" s="5696"/>
      <c r="AU434" s="4046">
        <f>SUM(AG434:AG436)</f>
        <v>237012.153</v>
      </c>
      <c r="AV434" s="4046">
        <f>SUM(AL434:AL436)</f>
        <v>237012.153</v>
      </c>
      <c r="AW434" s="4046">
        <f>SUM(AN434:AN436)</f>
        <v>237012.153</v>
      </c>
      <c r="AX434" s="4046">
        <f>M434-AU434</f>
        <v>26334.677</v>
      </c>
      <c r="AY434" s="4046">
        <f>AU434-AV434</f>
        <v>0</v>
      </c>
      <c r="AZ434" s="4046">
        <f>AV434-AW434</f>
        <v>0</v>
      </c>
      <c r="BA434" s="5704"/>
      <c r="BB434" s="4045"/>
      <c r="BC434" s="4045"/>
      <c r="BD434" s="5704"/>
      <c r="BE434" s="5704"/>
      <c r="BF434" s="5704"/>
      <c r="BG434" s="5704"/>
      <c r="BH434" s="4045"/>
      <c r="BI434" s="4045">
        <v>52669.37</v>
      </c>
      <c r="BJ434" s="4045"/>
      <c r="BK434" s="4045"/>
      <c r="BL434" s="4045"/>
      <c r="BM434" s="4045"/>
      <c r="BN434" s="4045"/>
      <c r="BO434" s="5706"/>
      <c r="BP434" s="5706"/>
      <c r="BQ434" s="5706"/>
      <c r="BR434" s="5706"/>
      <c r="BS434" s="5706"/>
      <c r="BT434" s="5706"/>
      <c r="BU434" s="5706"/>
      <c r="BV434" s="5706"/>
      <c r="BW434" s="4045">
        <v>52669.37</v>
      </c>
      <c r="BX434" s="5706"/>
      <c r="BY434" s="5706"/>
      <c r="BZ434" s="5706"/>
      <c r="CA434" s="5706"/>
      <c r="CB434" s="5706"/>
      <c r="CC434" s="4046" t="s">
        <v>166</v>
      </c>
      <c r="CD434" s="4046" t="s">
        <v>154</v>
      </c>
      <c r="CE434" s="5039"/>
      <c r="CF434" s="5039"/>
      <c r="CG434" s="5039"/>
      <c r="CH434" s="5039"/>
    </row>
    <row r="435" s="4971" customFormat="1" ht="45" customHeight="1" spans="1:86">
      <c r="A435" s="4046"/>
      <c r="B435" s="4046"/>
      <c r="C435" s="4046"/>
      <c r="D435" s="4128"/>
      <c r="E435" s="4128"/>
      <c r="F435" s="4128"/>
      <c r="G435" s="4128"/>
      <c r="H435" s="4128"/>
      <c r="I435" s="4128"/>
      <c r="J435" s="4128"/>
      <c r="K435" s="4128"/>
      <c r="L435" s="4128"/>
      <c r="M435" s="4046"/>
      <c r="N435" s="4046"/>
      <c r="O435" s="4046"/>
      <c r="P435" s="4046"/>
      <c r="Q435" s="4046"/>
      <c r="R435" s="4046"/>
      <c r="S435" s="4046"/>
      <c r="T435" s="4046"/>
      <c r="U435" s="4046"/>
      <c r="V435" s="4046"/>
      <c r="W435" s="4046"/>
      <c r="X435" s="4046"/>
      <c r="Y435" s="4046"/>
      <c r="Z435" s="4046"/>
      <c r="AA435" s="4046"/>
      <c r="AB435" s="4046"/>
      <c r="AC435" s="4046">
        <v>2</v>
      </c>
      <c r="AD435" s="5682" t="s">
        <v>1021</v>
      </c>
      <c r="AE435" s="5683">
        <v>0.6</v>
      </c>
      <c r="AF435" s="4046">
        <v>158008.1</v>
      </c>
      <c r="AG435" s="4045">
        <f t="shared" si="88"/>
        <v>158008.1</v>
      </c>
      <c r="AH435" s="4045" t="s">
        <v>122</v>
      </c>
      <c r="AI435" s="4045">
        <v>44336</v>
      </c>
      <c r="AJ435" s="4045">
        <v>158008.1</v>
      </c>
      <c r="AK435" s="4045">
        <v>44336</v>
      </c>
      <c r="AL435" s="4045">
        <v>158008.1</v>
      </c>
      <c r="AM435" s="4045">
        <v>44336</v>
      </c>
      <c r="AN435" s="4045">
        <f t="shared" si="89"/>
        <v>158008.1</v>
      </c>
      <c r="AO435" s="4045">
        <v>44400</v>
      </c>
      <c r="AP435" s="4046">
        <f t="shared" si="90"/>
        <v>0</v>
      </c>
      <c r="AQ435" s="5696"/>
      <c r="AR435" s="4046"/>
      <c r="AS435" s="5701"/>
      <c r="AT435" s="5696"/>
      <c r="AU435" s="4046"/>
      <c r="AV435" s="4046"/>
      <c r="AW435" s="4046"/>
      <c r="AX435" s="4046"/>
      <c r="AY435" s="4046"/>
      <c r="AZ435" s="4046"/>
      <c r="BA435" s="5704"/>
      <c r="BB435" s="4045"/>
      <c r="BC435" s="4045"/>
      <c r="BD435" s="5704"/>
      <c r="BE435" s="5704"/>
      <c r="BF435" s="5704"/>
      <c r="BG435" s="5704"/>
      <c r="BH435" s="4045"/>
      <c r="BI435" s="4045">
        <v>158008.1</v>
      </c>
      <c r="BJ435" s="4045"/>
      <c r="BK435" s="4045"/>
      <c r="BL435" s="4045"/>
      <c r="BM435" s="4045"/>
      <c r="BN435" s="4045"/>
      <c r="BO435" s="5706"/>
      <c r="BP435" s="5706"/>
      <c r="BQ435" s="5706"/>
      <c r="BR435" s="5706"/>
      <c r="BS435" s="5706"/>
      <c r="BT435" s="5706"/>
      <c r="BU435" s="5706"/>
      <c r="BV435" s="5706"/>
      <c r="BW435" s="4045">
        <v>158008.1</v>
      </c>
      <c r="BX435" s="5706"/>
      <c r="BY435" s="5706"/>
      <c r="BZ435" s="5706"/>
      <c r="CA435" s="5706"/>
      <c r="CB435" s="5706"/>
      <c r="CC435" s="4046"/>
      <c r="CD435" s="4046"/>
      <c r="CE435" s="5039"/>
      <c r="CF435" s="5039"/>
      <c r="CG435" s="5039"/>
      <c r="CH435" s="5039"/>
    </row>
    <row r="436" s="4971" customFormat="1" ht="57.75" customHeight="1" spans="1:86">
      <c r="A436" s="4046"/>
      <c r="B436" s="4046"/>
      <c r="C436" s="4046"/>
      <c r="D436" s="4128"/>
      <c r="E436" s="4128"/>
      <c r="F436" s="4128"/>
      <c r="G436" s="4128"/>
      <c r="H436" s="4128"/>
      <c r="I436" s="4128"/>
      <c r="J436" s="4128"/>
      <c r="K436" s="4128"/>
      <c r="L436" s="4128"/>
      <c r="M436" s="4046"/>
      <c r="N436" s="4046"/>
      <c r="O436" s="4046"/>
      <c r="P436" s="4046"/>
      <c r="Q436" s="4046"/>
      <c r="R436" s="4046"/>
      <c r="S436" s="4046"/>
      <c r="T436" s="4046"/>
      <c r="U436" s="4046"/>
      <c r="V436" s="4046"/>
      <c r="W436" s="4046"/>
      <c r="X436" s="4046"/>
      <c r="Y436" s="4046"/>
      <c r="Z436" s="4046"/>
      <c r="AA436" s="4046"/>
      <c r="AB436" s="4046"/>
      <c r="AC436" s="4046">
        <v>3</v>
      </c>
      <c r="AD436" s="5682" t="s">
        <v>1022</v>
      </c>
      <c r="AE436" s="5683" t="s">
        <v>1023</v>
      </c>
      <c r="AF436" s="4046">
        <f>263346.83*0.2</f>
        <v>52669.366</v>
      </c>
      <c r="AG436" s="4045">
        <f t="shared" si="88"/>
        <v>26334.683</v>
      </c>
      <c r="AH436" s="4045" t="s">
        <v>122</v>
      </c>
      <c r="AI436" s="4045">
        <v>44336</v>
      </c>
      <c r="AJ436" s="4045">
        <f>52669.366/2</f>
        <v>26334.683</v>
      </c>
      <c r="AK436" s="4045">
        <v>44336</v>
      </c>
      <c r="AL436" s="4045">
        <f>52669.366/2</f>
        <v>26334.683</v>
      </c>
      <c r="AM436" s="4045">
        <v>44336</v>
      </c>
      <c r="AN436" s="4045">
        <f t="shared" si="89"/>
        <v>26334.683</v>
      </c>
      <c r="AO436" s="4045">
        <v>44400</v>
      </c>
      <c r="AP436" s="4046">
        <f t="shared" si="90"/>
        <v>0</v>
      </c>
      <c r="AQ436" s="5696"/>
      <c r="AR436" s="4046"/>
      <c r="AS436" s="5701"/>
      <c r="AT436" s="5696"/>
      <c r="AU436" s="4046"/>
      <c r="AV436" s="4046"/>
      <c r="AW436" s="4046"/>
      <c r="AX436" s="4046"/>
      <c r="AY436" s="4046"/>
      <c r="AZ436" s="4046"/>
      <c r="BA436" s="5704"/>
      <c r="BB436" s="4045"/>
      <c r="BC436" s="4045"/>
      <c r="BD436" s="5704"/>
      <c r="BE436" s="5704"/>
      <c r="BF436" s="5704"/>
      <c r="BG436" s="5704"/>
      <c r="BH436" s="4045"/>
      <c r="BI436" s="4045">
        <f>52669.366/2</f>
        <v>26334.683</v>
      </c>
      <c r="BJ436" s="4045"/>
      <c r="BK436" s="4045"/>
      <c r="BL436" s="4045"/>
      <c r="BM436" s="4045"/>
      <c r="BN436" s="4045"/>
      <c r="BO436" s="5706"/>
      <c r="BP436" s="5706"/>
      <c r="BQ436" s="5706"/>
      <c r="BR436" s="5706"/>
      <c r="BS436" s="5706"/>
      <c r="BT436" s="5706"/>
      <c r="BU436" s="5706"/>
      <c r="BV436" s="5706"/>
      <c r="BW436" s="4045">
        <f>263346.83*0.2/2</f>
        <v>26334.683</v>
      </c>
      <c r="BX436" s="5706"/>
      <c r="BY436" s="5706"/>
      <c r="BZ436" s="5706"/>
      <c r="CA436" s="5706"/>
      <c r="CB436" s="5706"/>
      <c r="CC436" s="4046"/>
      <c r="CD436" s="4046"/>
      <c r="CE436" s="5039"/>
      <c r="CF436" s="5039"/>
      <c r="CG436" s="5039"/>
      <c r="CH436" s="5039"/>
    </row>
    <row r="437" s="4972" customFormat="1" ht="31.5" customHeight="1" spans="1:86">
      <c r="A437" s="3662">
        <v>73</v>
      </c>
      <c r="B437" s="3662" t="s">
        <v>173</v>
      </c>
      <c r="C437" s="3662">
        <v>44226</v>
      </c>
      <c r="D437" s="5055" t="s">
        <v>1024</v>
      </c>
      <c r="E437" s="3742" t="s">
        <v>1025</v>
      </c>
      <c r="F437" s="5053" t="s">
        <v>1026</v>
      </c>
      <c r="G437" s="5053" t="s">
        <v>1027</v>
      </c>
      <c r="H437" s="5053" t="s">
        <v>31</v>
      </c>
      <c r="I437" s="3909" t="s">
        <v>1028</v>
      </c>
      <c r="J437" s="5053" t="s">
        <v>215</v>
      </c>
      <c r="K437" s="5053">
        <v>114182.39</v>
      </c>
      <c r="L437" s="5053" t="s">
        <v>678</v>
      </c>
      <c r="M437" s="3662">
        <v>799276.73</v>
      </c>
      <c r="N437" s="5677"/>
      <c r="O437" s="5677"/>
      <c r="P437" s="5677"/>
      <c r="Q437" s="5677"/>
      <c r="R437" s="5677"/>
      <c r="S437" s="5677"/>
      <c r="T437" s="5677"/>
      <c r="U437" s="5677">
        <v>799276.73</v>
      </c>
      <c r="V437" s="5677"/>
      <c r="W437" s="5677"/>
      <c r="X437" s="5677">
        <v>0</v>
      </c>
      <c r="Y437" s="5677"/>
      <c r="Z437" s="5677"/>
      <c r="AA437" s="5677"/>
      <c r="AB437" s="5677"/>
      <c r="AC437" s="3662">
        <v>1</v>
      </c>
      <c r="AD437" s="5684" t="s">
        <v>679</v>
      </c>
      <c r="AE437" s="5115">
        <v>0.2</v>
      </c>
      <c r="AF437" s="3662">
        <f>AE437*U437</f>
        <v>159855.346</v>
      </c>
      <c r="AG437" s="3662">
        <f t="shared" si="88"/>
        <v>159855.346</v>
      </c>
      <c r="AH437" s="3684" t="s">
        <v>122</v>
      </c>
      <c r="AI437" s="3684">
        <v>44452</v>
      </c>
      <c r="AJ437" s="3662">
        <v>159855.35</v>
      </c>
      <c r="AK437" s="3684">
        <v>44452</v>
      </c>
      <c r="AL437" s="3662">
        <v>159855.35</v>
      </c>
      <c r="AM437" s="3684">
        <v>44452</v>
      </c>
      <c r="AN437" s="3662">
        <f t="shared" si="89"/>
        <v>159855.346</v>
      </c>
      <c r="AO437" s="3662">
        <v>44468</v>
      </c>
      <c r="AP437" s="3662">
        <f t="shared" si="90"/>
        <v>0</v>
      </c>
      <c r="AQ437" s="5127" t="s">
        <v>661</v>
      </c>
      <c r="AR437" s="3662"/>
      <c r="AS437" s="5134"/>
      <c r="AT437" s="5127"/>
      <c r="AU437" s="3662">
        <f>SUM(AG437:AG440)</f>
        <v>799276.7254</v>
      </c>
      <c r="AV437" s="3662">
        <f>SUM(AL437:AL440)</f>
        <v>799276.73</v>
      </c>
      <c r="AW437" s="3662">
        <f>SUM(AN437:AN440)</f>
        <v>799276.7254</v>
      </c>
      <c r="AX437" s="3662">
        <f>M437-AU437</f>
        <v>0.00459999998565763</v>
      </c>
      <c r="AY437" s="3662">
        <f>AU437-AV437</f>
        <v>-0.00459999998565763</v>
      </c>
      <c r="AZ437" s="3662">
        <f>AV437-AW437</f>
        <v>0.00459999998565763</v>
      </c>
      <c r="BA437" s="5148"/>
      <c r="BB437" s="3684"/>
      <c r="BC437" s="3684"/>
      <c r="BD437" s="5148"/>
      <c r="BE437" s="5148"/>
      <c r="BF437" s="5148"/>
      <c r="BG437" s="5148"/>
      <c r="BH437" s="3684">
        <v>159855.346</v>
      </c>
      <c r="BI437" s="3684"/>
      <c r="BJ437" s="3684"/>
      <c r="BK437" s="3684"/>
      <c r="BL437" s="3684"/>
      <c r="BM437" s="3684"/>
      <c r="BN437" s="3684"/>
      <c r="BO437" s="5127"/>
      <c r="BP437" s="5127"/>
      <c r="BQ437" s="5127"/>
      <c r="BR437" s="5127"/>
      <c r="BS437" s="5127"/>
      <c r="BT437" s="5127"/>
      <c r="BU437" s="5127"/>
      <c r="BV437" s="3684">
        <v>159855.346</v>
      </c>
      <c r="BW437" s="5127"/>
      <c r="BX437" s="5127"/>
      <c r="BY437" s="5127"/>
      <c r="BZ437" s="5127"/>
      <c r="CA437" s="5127"/>
      <c r="CB437" s="5127"/>
      <c r="CC437" s="3662" t="s">
        <v>166</v>
      </c>
      <c r="CD437" s="3662" t="s">
        <v>154</v>
      </c>
      <c r="CE437" s="5170"/>
      <c r="CF437" s="5170"/>
      <c r="CG437" s="5170"/>
      <c r="CH437" s="5170"/>
    </row>
    <row r="438" s="4972" customFormat="1" ht="88.5" customHeight="1" spans="1:86">
      <c r="A438" s="3662"/>
      <c r="B438" s="3662"/>
      <c r="C438" s="3662"/>
      <c r="D438" s="5053"/>
      <c r="E438" s="3742"/>
      <c r="F438" s="5053"/>
      <c r="G438" s="5053"/>
      <c r="H438" s="5053"/>
      <c r="I438" s="5065"/>
      <c r="J438" s="5053"/>
      <c r="K438" s="5053"/>
      <c r="L438" s="5053"/>
      <c r="M438" s="3662"/>
      <c r="N438" s="5677"/>
      <c r="O438" s="5677"/>
      <c r="P438" s="5677"/>
      <c r="Q438" s="5677"/>
      <c r="R438" s="5677"/>
      <c r="S438" s="5677"/>
      <c r="T438" s="5677"/>
      <c r="U438" s="5677"/>
      <c r="V438" s="5677"/>
      <c r="W438" s="5677"/>
      <c r="X438" s="5677"/>
      <c r="Y438" s="5677"/>
      <c r="Z438" s="5677"/>
      <c r="AA438" s="5677"/>
      <c r="AB438" s="5677"/>
      <c r="AC438" s="3662">
        <v>2</v>
      </c>
      <c r="AD438" s="5684" t="s">
        <v>680</v>
      </c>
      <c r="AE438" s="5115">
        <v>0.2</v>
      </c>
      <c r="AF438" s="3662">
        <f>AE438*U437</f>
        <v>159855.346</v>
      </c>
      <c r="AG438" s="3662">
        <f t="shared" si="88"/>
        <v>159855.346</v>
      </c>
      <c r="AH438" s="3684" t="s">
        <v>122</v>
      </c>
      <c r="AI438" s="3684">
        <v>44452</v>
      </c>
      <c r="AJ438" s="3662">
        <v>159855.35</v>
      </c>
      <c r="AK438" s="3684">
        <v>44452</v>
      </c>
      <c r="AL438" s="3662">
        <v>159855.35</v>
      </c>
      <c r="AM438" s="3684">
        <v>44452</v>
      </c>
      <c r="AN438" s="3662">
        <f t="shared" si="89"/>
        <v>159855.346</v>
      </c>
      <c r="AO438" s="3662">
        <v>44468</v>
      </c>
      <c r="AP438" s="3662">
        <f t="shared" si="90"/>
        <v>0</v>
      </c>
      <c r="AQ438" s="5127" t="s">
        <v>661</v>
      </c>
      <c r="AR438" s="3662"/>
      <c r="AS438" s="5134"/>
      <c r="AT438" s="5127"/>
      <c r="AU438" s="3662"/>
      <c r="AV438" s="3662"/>
      <c r="AW438" s="3662"/>
      <c r="AX438" s="3662"/>
      <c r="AY438" s="3662"/>
      <c r="AZ438" s="3662"/>
      <c r="BA438" s="5148"/>
      <c r="BB438" s="3684"/>
      <c r="BC438" s="3684"/>
      <c r="BD438" s="5148"/>
      <c r="BE438" s="5148"/>
      <c r="BF438" s="5148"/>
      <c r="BG438" s="5148"/>
      <c r="BH438" s="3684">
        <v>159855.346</v>
      </c>
      <c r="BI438" s="3684"/>
      <c r="BJ438" s="3684"/>
      <c r="BK438" s="3684"/>
      <c r="BL438" s="3684"/>
      <c r="BM438" s="3684"/>
      <c r="BN438" s="3684"/>
      <c r="BO438" s="5127"/>
      <c r="BP438" s="5127"/>
      <c r="BQ438" s="5127"/>
      <c r="BR438" s="5127"/>
      <c r="BS438" s="5127"/>
      <c r="BT438" s="5127"/>
      <c r="BU438" s="5127"/>
      <c r="BV438" s="3684">
        <v>159855.346</v>
      </c>
      <c r="BW438" s="5127"/>
      <c r="BX438" s="5127"/>
      <c r="BY438" s="5127"/>
      <c r="BZ438" s="5127"/>
      <c r="CA438" s="5127"/>
      <c r="CB438" s="5127"/>
      <c r="CC438" s="3662"/>
      <c r="CD438" s="3662"/>
      <c r="CE438" s="5170"/>
      <c r="CF438" s="5170"/>
      <c r="CG438" s="5170"/>
      <c r="CH438" s="5170"/>
    </row>
    <row r="439" s="4972" customFormat="1" ht="103.5" customHeight="1" spans="1:86">
      <c r="A439" s="3662"/>
      <c r="B439" s="3662"/>
      <c r="C439" s="3662"/>
      <c r="D439" s="5053"/>
      <c r="E439" s="3742"/>
      <c r="F439" s="5053"/>
      <c r="G439" s="5053"/>
      <c r="H439" s="5053"/>
      <c r="I439" s="5065"/>
      <c r="J439" s="5053"/>
      <c r="K439" s="5053"/>
      <c r="L439" s="5053"/>
      <c r="M439" s="3662"/>
      <c r="N439" s="5677"/>
      <c r="O439" s="5677"/>
      <c r="P439" s="5677"/>
      <c r="Q439" s="5677"/>
      <c r="R439" s="5677"/>
      <c r="S439" s="5677"/>
      <c r="T439" s="5677"/>
      <c r="U439" s="5677"/>
      <c r="V439" s="5677"/>
      <c r="W439" s="5677"/>
      <c r="X439" s="5677"/>
      <c r="Y439" s="5677"/>
      <c r="Z439" s="5677"/>
      <c r="AA439" s="5677"/>
      <c r="AB439" s="5677"/>
      <c r="AC439" s="3662">
        <v>3</v>
      </c>
      <c r="AD439" s="5684" t="s">
        <v>1029</v>
      </c>
      <c r="AE439" s="5115">
        <v>0.58</v>
      </c>
      <c r="AF439" s="3662">
        <f>AE439*U437</f>
        <v>463580.5034</v>
      </c>
      <c r="AG439" s="3662">
        <f t="shared" si="88"/>
        <v>463580.5034</v>
      </c>
      <c r="AH439" s="3684" t="s">
        <v>122</v>
      </c>
      <c r="AI439" s="3684">
        <v>44452</v>
      </c>
      <c r="AJ439" s="3662">
        <v>463580.5</v>
      </c>
      <c r="AK439" s="3684">
        <v>44452</v>
      </c>
      <c r="AL439" s="3662">
        <v>463580.5</v>
      </c>
      <c r="AM439" s="3684">
        <v>44452</v>
      </c>
      <c r="AN439" s="3662">
        <f t="shared" si="89"/>
        <v>463580.5034</v>
      </c>
      <c r="AO439" s="3662">
        <v>44468</v>
      </c>
      <c r="AP439" s="3662">
        <f t="shared" si="90"/>
        <v>0</v>
      </c>
      <c r="AQ439" s="5127" t="s">
        <v>661</v>
      </c>
      <c r="AR439" s="3662"/>
      <c r="AS439" s="5134"/>
      <c r="AT439" s="5127"/>
      <c r="AU439" s="3662"/>
      <c r="AV439" s="3662"/>
      <c r="AW439" s="3662"/>
      <c r="AX439" s="3662"/>
      <c r="AY439" s="3662"/>
      <c r="AZ439" s="3662"/>
      <c r="BA439" s="5148"/>
      <c r="BB439" s="3684"/>
      <c r="BC439" s="3684"/>
      <c r="BD439" s="5148"/>
      <c r="BE439" s="5148"/>
      <c r="BF439" s="5148"/>
      <c r="BG439" s="5148"/>
      <c r="BH439" s="3684">
        <v>463580.5034</v>
      </c>
      <c r="BI439" s="3684"/>
      <c r="BJ439" s="3684"/>
      <c r="BK439" s="3684"/>
      <c r="BL439" s="3684"/>
      <c r="BM439" s="3684"/>
      <c r="BN439" s="3684"/>
      <c r="BO439" s="5127"/>
      <c r="BP439" s="5127"/>
      <c r="BQ439" s="5127"/>
      <c r="BR439" s="5127"/>
      <c r="BS439" s="5127"/>
      <c r="BT439" s="5127"/>
      <c r="BU439" s="5127"/>
      <c r="BV439" s="3684">
        <v>463580.5034</v>
      </c>
      <c r="BW439" s="5127"/>
      <c r="BX439" s="5127"/>
      <c r="BY439" s="5127"/>
      <c r="BZ439" s="5127"/>
      <c r="CA439" s="5127"/>
      <c r="CB439" s="5127"/>
      <c r="CC439" s="3662"/>
      <c r="CD439" s="3662"/>
      <c r="CE439" s="5170"/>
      <c r="CF439" s="5170"/>
      <c r="CG439" s="5170"/>
      <c r="CH439" s="5170"/>
    </row>
    <row r="440" s="4972" customFormat="1" ht="27.2" customHeight="1" spans="1:86">
      <c r="A440" s="3662"/>
      <c r="B440" s="3662"/>
      <c r="C440" s="3662"/>
      <c r="D440" s="5053"/>
      <c r="E440" s="3742"/>
      <c r="F440" s="5053"/>
      <c r="G440" s="5053"/>
      <c r="H440" s="5053"/>
      <c r="I440" s="5062"/>
      <c r="J440" s="5053"/>
      <c r="K440" s="5053"/>
      <c r="L440" s="5053"/>
      <c r="M440" s="3662"/>
      <c r="N440" s="5677"/>
      <c r="O440" s="5677"/>
      <c r="P440" s="5677"/>
      <c r="Q440" s="5677"/>
      <c r="R440" s="5677"/>
      <c r="S440" s="5677"/>
      <c r="T440" s="5677"/>
      <c r="U440" s="5677"/>
      <c r="V440" s="5677"/>
      <c r="W440" s="5677"/>
      <c r="X440" s="5677"/>
      <c r="Y440" s="5677"/>
      <c r="Z440" s="5677"/>
      <c r="AA440" s="5677"/>
      <c r="AB440" s="5677"/>
      <c r="AC440" s="3662">
        <v>4</v>
      </c>
      <c r="AD440" s="5684" t="s">
        <v>682</v>
      </c>
      <c r="AE440" s="5115">
        <v>0.02</v>
      </c>
      <c r="AF440" s="3662">
        <f>AE440*U437</f>
        <v>15985.5346</v>
      </c>
      <c r="AG440" s="3684">
        <f t="shared" si="88"/>
        <v>15985.53</v>
      </c>
      <c r="AH440" s="3814" t="s">
        <v>122</v>
      </c>
      <c r="AI440" s="3684">
        <v>44858</v>
      </c>
      <c r="AJ440" s="3662">
        <v>15985.53</v>
      </c>
      <c r="AK440" s="3684">
        <v>44859</v>
      </c>
      <c r="AL440" s="5162">
        <v>15985.53</v>
      </c>
      <c r="AM440" s="5162">
        <v>45663</v>
      </c>
      <c r="AN440" s="3662">
        <f t="shared" si="89"/>
        <v>15985.53</v>
      </c>
      <c r="AO440" s="3684">
        <v>45680</v>
      </c>
      <c r="AP440" s="3662">
        <f t="shared" si="90"/>
        <v>0</v>
      </c>
      <c r="AQ440" s="5127"/>
      <c r="AR440" s="3662"/>
      <c r="AS440" s="5134"/>
      <c r="AT440" s="5127"/>
      <c r="AU440" s="3662"/>
      <c r="AV440" s="3662"/>
      <c r="AW440" s="3662"/>
      <c r="AX440" s="3662"/>
      <c r="AY440" s="3662"/>
      <c r="AZ440" s="3662"/>
      <c r="BA440" s="5517"/>
      <c r="BB440" s="5162"/>
      <c r="BC440" s="5162"/>
      <c r="BD440" s="5517"/>
      <c r="BE440" s="5517"/>
      <c r="BF440" s="5517"/>
      <c r="BG440" s="5517"/>
      <c r="BH440" s="3684">
        <v>15985.53</v>
      </c>
      <c r="BI440" s="5162"/>
      <c r="BJ440" s="5162"/>
      <c r="BK440" s="5162"/>
      <c r="BL440" s="5162"/>
      <c r="BM440" s="5162"/>
      <c r="BN440" s="5162"/>
      <c r="BO440" s="5127"/>
      <c r="BP440" s="5127"/>
      <c r="BQ440" s="5127"/>
      <c r="BR440" s="5127"/>
      <c r="BS440" s="5127"/>
      <c r="BT440" s="5127"/>
      <c r="BU440" s="5127"/>
      <c r="BV440" s="5517">
        <v>15985.53</v>
      </c>
      <c r="BW440" s="5127"/>
      <c r="BX440" s="5127"/>
      <c r="BY440" s="5127"/>
      <c r="BZ440" s="5127"/>
      <c r="CA440" s="5127"/>
      <c r="CB440" s="5127"/>
      <c r="CC440" s="3662"/>
      <c r="CD440" s="3662"/>
      <c r="CE440" s="5170"/>
      <c r="CF440" s="5170"/>
      <c r="CG440" s="5170"/>
      <c r="CH440" s="5170"/>
    </row>
    <row r="441" s="4971" customFormat="1" ht="37.5" customHeight="1" spans="1:86">
      <c r="A441" s="2678">
        <v>74</v>
      </c>
      <c r="B441" s="2678" t="s">
        <v>888</v>
      </c>
      <c r="C441" s="2678">
        <v>43837</v>
      </c>
      <c r="D441" s="5667" t="s">
        <v>1030</v>
      </c>
      <c r="E441" s="2678" t="s">
        <v>171</v>
      </c>
      <c r="F441" s="5667" t="s">
        <v>1031</v>
      </c>
      <c r="G441" s="5667" t="s">
        <v>1032</v>
      </c>
      <c r="H441" s="2678" t="s">
        <v>286</v>
      </c>
      <c r="I441" s="2678"/>
      <c r="J441" s="5667" t="s">
        <v>893</v>
      </c>
      <c r="K441" s="2678" t="s">
        <v>171</v>
      </c>
      <c r="L441" s="5667" t="s">
        <v>1033</v>
      </c>
      <c r="M441" s="2678">
        <f>SUM(N441:AA441)</f>
        <v>500000</v>
      </c>
      <c r="N441" s="2678">
        <v>0</v>
      </c>
      <c r="O441" s="2678">
        <v>0</v>
      </c>
      <c r="P441" s="2678">
        <v>167000</v>
      </c>
      <c r="Q441" s="2678">
        <v>166000</v>
      </c>
      <c r="R441" s="2678">
        <v>167000</v>
      </c>
      <c r="S441" s="2678">
        <v>0</v>
      </c>
      <c r="T441" s="2678"/>
      <c r="U441" s="2678">
        <v>0</v>
      </c>
      <c r="V441" s="2678">
        <v>0</v>
      </c>
      <c r="W441" s="2678">
        <v>0</v>
      </c>
      <c r="X441" s="2678">
        <v>0</v>
      </c>
      <c r="Y441" s="2678"/>
      <c r="Z441" s="2678"/>
      <c r="AA441" s="2678">
        <v>0</v>
      </c>
      <c r="AB441" s="2678" t="s">
        <v>171</v>
      </c>
      <c r="AC441" s="859" t="s">
        <v>1034</v>
      </c>
      <c r="AD441" s="5667" t="s">
        <v>1035</v>
      </c>
      <c r="AE441" s="5667">
        <f>AF441/M441</f>
        <v>0.2</v>
      </c>
      <c r="AF441" s="2678">
        <v>100000</v>
      </c>
      <c r="AG441" s="5349">
        <f t="shared" si="88"/>
        <v>100000</v>
      </c>
      <c r="AH441" s="2678" t="s">
        <v>206</v>
      </c>
      <c r="AI441" s="5690">
        <v>44300</v>
      </c>
      <c r="AJ441" s="2678" t="s">
        <v>171</v>
      </c>
      <c r="AK441" s="2678" t="s">
        <v>171</v>
      </c>
      <c r="AL441" s="2678">
        <v>100000</v>
      </c>
      <c r="AM441" s="2678">
        <v>44300</v>
      </c>
      <c r="AN441" s="3812">
        <f t="shared" si="89"/>
        <v>100000</v>
      </c>
      <c r="AO441" s="2678">
        <v>44312</v>
      </c>
      <c r="AP441" s="2678">
        <v>0</v>
      </c>
      <c r="AQ441" s="1035" t="s">
        <v>1036</v>
      </c>
      <c r="AR441" s="2678" t="s">
        <v>1037</v>
      </c>
      <c r="AS441" s="5667"/>
      <c r="AT441" s="2678" t="s">
        <v>171</v>
      </c>
      <c r="AU441" s="2678">
        <f>SUM(AG441:AG441)</f>
        <v>100000</v>
      </c>
      <c r="AV441" s="2678">
        <f>SUBTOTAL(9,AL441:AL441)</f>
        <v>100000</v>
      </c>
      <c r="AW441" s="2678">
        <f>SUM(AN441:AN441)</f>
        <v>100000</v>
      </c>
      <c r="AX441" s="2678">
        <f>M441-AU441</f>
        <v>400000</v>
      </c>
      <c r="AY441" s="2678">
        <f>AU441-AV441</f>
        <v>0</v>
      </c>
      <c r="AZ441" s="2678">
        <f>AV441-AW441</f>
        <v>0</v>
      </c>
      <c r="BA441" s="2678"/>
      <c r="BB441" s="2678"/>
      <c r="BC441" s="2678"/>
      <c r="BD441" s="2678">
        <v>75000</v>
      </c>
      <c r="BE441" s="2678">
        <v>25000</v>
      </c>
      <c r="BF441" s="2678"/>
      <c r="BG441" s="2678"/>
      <c r="BH441" s="2678"/>
      <c r="BI441" s="2678"/>
      <c r="BJ441" s="2678"/>
      <c r="BK441" s="2678"/>
      <c r="BL441" s="2678"/>
      <c r="BM441" s="2678"/>
      <c r="BN441" s="2678"/>
      <c r="BO441" s="2678"/>
      <c r="BP441" s="2678"/>
      <c r="BQ441" s="2678">
        <v>0</v>
      </c>
      <c r="BR441" s="2678">
        <v>75000</v>
      </c>
      <c r="BS441" s="2678">
        <v>25000</v>
      </c>
      <c r="BT441" s="2678"/>
      <c r="BU441" s="2678"/>
      <c r="BV441" s="2678"/>
      <c r="BW441" s="2678"/>
      <c r="BX441" s="2678"/>
      <c r="BY441" s="2678"/>
      <c r="BZ441" s="2678"/>
      <c r="CA441" s="2678"/>
      <c r="CB441" s="2678"/>
      <c r="CC441" s="2680" t="s">
        <v>1038</v>
      </c>
      <c r="CD441" s="2680" t="s">
        <v>154</v>
      </c>
      <c r="CE441" s="5039"/>
      <c r="CF441" s="5039"/>
      <c r="CG441" s="5039"/>
      <c r="CH441" s="5039"/>
    </row>
    <row r="442" s="4971" customFormat="1" ht="398.45" customHeight="1" spans="1:86">
      <c r="A442" s="2678"/>
      <c r="B442" s="2678"/>
      <c r="C442" s="2678"/>
      <c r="D442" s="5667"/>
      <c r="E442" s="2678"/>
      <c r="F442" s="5667"/>
      <c r="G442" s="5667"/>
      <c r="H442" s="2678"/>
      <c r="I442" s="2678"/>
      <c r="J442" s="5667"/>
      <c r="K442" s="2678"/>
      <c r="L442" s="5667"/>
      <c r="M442" s="2678"/>
      <c r="N442" s="2678"/>
      <c r="O442" s="2678"/>
      <c r="P442" s="2678"/>
      <c r="Q442" s="2678"/>
      <c r="R442" s="2678"/>
      <c r="S442" s="2678"/>
      <c r="T442" s="2678"/>
      <c r="U442" s="2678"/>
      <c r="V442" s="2678"/>
      <c r="W442" s="2678"/>
      <c r="X442" s="2678"/>
      <c r="Y442" s="2678"/>
      <c r="Z442" s="2678"/>
      <c r="AA442" s="2678"/>
      <c r="AB442" s="5667"/>
      <c r="AC442" s="859" t="s">
        <v>1039</v>
      </c>
      <c r="AD442" s="5685" t="s">
        <v>1035</v>
      </c>
      <c r="AE442" s="791">
        <f>AF442/M441</f>
        <v>1.06</v>
      </c>
      <c r="AF442" s="2678">
        <v>530000</v>
      </c>
      <c r="AG442" s="5349">
        <f t="shared" si="88"/>
        <v>530000</v>
      </c>
      <c r="AH442" s="859" t="s">
        <v>122</v>
      </c>
      <c r="AI442" s="2678">
        <v>44921</v>
      </c>
      <c r="AJ442" s="859">
        <v>530000</v>
      </c>
      <c r="AK442" s="859">
        <v>44921</v>
      </c>
      <c r="AL442" s="2678">
        <v>530000</v>
      </c>
      <c r="AM442" s="2678">
        <v>45280</v>
      </c>
      <c r="AN442" s="3812">
        <f t="shared" si="89"/>
        <v>530000</v>
      </c>
      <c r="AO442" s="2678">
        <v>45288</v>
      </c>
      <c r="AP442" s="2678">
        <v>0</v>
      </c>
      <c r="AQ442" s="5685" t="s">
        <v>1040</v>
      </c>
      <c r="AR442" s="2678"/>
      <c r="AS442" s="5667"/>
      <c r="AT442" s="2678"/>
      <c r="AU442" s="2678"/>
      <c r="AV442" s="2678"/>
      <c r="AW442" s="2678"/>
      <c r="AX442" s="2678"/>
      <c r="AY442" s="2678"/>
      <c r="AZ442" s="2678"/>
      <c r="BA442" s="2678"/>
      <c r="BB442" s="2678"/>
      <c r="BC442" s="2678">
        <v>150000</v>
      </c>
      <c r="BD442" s="2678">
        <v>380000</v>
      </c>
      <c r="BE442" s="2678"/>
      <c r="BF442" s="2678"/>
      <c r="BG442" s="2678"/>
      <c r="BH442" s="2678"/>
      <c r="BI442" s="2678"/>
      <c r="BJ442" s="2678"/>
      <c r="BK442" s="2678"/>
      <c r="BL442" s="2678"/>
      <c r="BM442" s="2678"/>
      <c r="BN442" s="2678"/>
      <c r="BO442" s="2678"/>
      <c r="BP442" s="2678"/>
      <c r="BQ442" s="2678">
        <v>150000</v>
      </c>
      <c r="BR442" s="2678">
        <v>380000</v>
      </c>
      <c r="BS442" s="2678"/>
      <c r="BT442" s="2678"/>
      <c r="BU442" s="2678"/>
      <c r="BV442" s="2678"/>
      <c r="BW442" s="2678"/>
      <c r="BX442" s="2678"/>
      <c r="BY442" s="2678"/>
      <c r="BZ442" s="2678"/>
      <c r="CA442" s="2678"/>
      <c r="CB442" s="2678"/>
      <c r="CC442" s="2680"/>
      <c r="CD442" s="2680"/>
      <c r="CE442" s="5039"/>
      <c r="CF442" s="5039"/>
      <c r="CG442" s="5039"/>
      <c r="CH442" s="5039"/>
    </row>
    <row r="443" s="4971" customFormat="1" ht="122" spans="1:86">
      <c r="A443" s="2678"/>
      <c r="B443" s="5668" t="s">
        <v>888</v>
      </c>
      <c r="C443" s="5669">
        <v>44589</v>
      </c>
      <c r="D443" s="5670" t="s">
        <v>1041</v>
      </c>
      <c r="E443" s="5669"/>
      <c r="F443" s="5670" t="s">
        <v>1042</v>
      </c>
      <c r="G443" s="5670" t="s">
        <v>1043</v>
      </c>
      <c r="H443" s="5668" t="s">
        <v>286</v>
      </c>
      <c r="I443" s="5668"/>
      <c r="J443" s="5670" t="s">
        <v>1044</v>
      </c>
      <c r="K443" s="5668" t="s">
        <v>171</v>
      </c>
      <c r="L443" s="5670" t="s">
        <v>1045</v>
      </c>
      <c r="M443" s="5668">
        <f>SUM(N443:AB443)</f>
        <v>1000000</v>
      </c>
      <c r="N443" s="2678"/>
      <c r="O443" s="2678"/>
      <c r="P443" s="2678">
        <v>500000</v>
      </c>
      <c r="Q443" s="2678">
        <v>500000</v>
      </c>
      <c r="R443" s="2678"/>
      <c r="S443" s="2678"/>
      <c r="T443" s="2678"/>
      <c r="U443" s="2678"/>
      <c r="V443" s="2678"/>
      <c r="W443" s="2678"/>
      <c r="X443" s="2678"/>
      <c r="Y443" s="2678"/>
      <c r="Z443" s="2678"/>
      <c r="AA443" s="2678"/>
      <c r="AB443" s="5667"/>
      <c r="AC443" s="5668" t="s">
        <v>286</v>
      </c>
      <c r="AD443" s="5670" t="s">
        <v>1046</v>
      </c>
      <c r="AE443" s="5670" t="s">
        <v>171</v>
      </c>
      <c r="AF443" s="5668" t="s">
        <v>171</v>
      </c>
      <c r="AG443" s="5669">
        <f t="shared" si="88"/>
        <v>190000</v>
      </c>
      <c r="AH443" s="5668" t="s">
        <v>122</v>
      </c>
      <c r="AI443" s="5669">
        <v>44921</v>
      </c>
      <c r="AJ443" s="5669">
        <v>190000</v>
      </c>
      <c r="AK443" s="5472">
        <v>44921</v>
      </c>
      <c r="AL443" s="5472"/>
      <c r="AM443" s="5472"/>
      <c r="AN443" s="5693">
        <f t="shared" si="89"/>
        <v>0</v>
      </c>
      <c r="AO443" s="5693"/>
      <c r="AP443" s="5472"/>
      <c r="AQ443" s="5697" t="s">
        <v>1047</v>
      </c>
      <c r="AR443" s="5472"/>
      <c r="AS443" s="5702"/>
      <c r="AT443" s="5472"/>
      <c r="AU443" s="2678"/>
      <c r="AV443" s="2678"/>
      <c r="AW443" s="2678"/>
      <c r="AX443" s="2678"/>
      <c r="AY443" s="2678"/>
      <c r="AZ443" s="2678"/>
      <c r="BA443" s="5472"/>
      <c r="BB443" s="5472"/>
      <c r="BC443" s="5472">
        <v>140000</v>
      </c>
      <c r="BD443" s="5472">
        <v>50000</v>
      </c>
      <c r="BE443" s="5472"/>
      <c r="BF443" s="5472"/>
      <c r="BG443" s="5472"/>
      <c r="BH443" s="5472"/>
      <c r="BI443" s="5472"/>
      <c r="BJ443" s="5472"/>
      <c r="BK443" s="5472"/>
      <c r="BL443" s="5472"/>
      <c r="BM443" s="5472"/>
      <c r="BN443" s="5472"/>
      <c r="BO443" s="5472"/>
      <c r="BP443" s="5472"/>
      <c r="BQ443" s="5472"/>
      <c r="BR443" s="5472"/>
      <c r="BS443" s="5472"/>
      <c r="BT443" s="5472"/>
      <c r="BU443" s="5472"/>
      <c r="BV443" s="5472"/>
      <c r="BW443" s="5472"/>
      <c r="BX443" s="5472"/>
      <c r="BY443" s="5472"/>
      <c r="BZ443" s="5472"/>
      <c r="CA443" s="5472"/>
      <c r="CB443" s="5472"/>
      <c r="CC443" s="3077"/>
      <c r="CD443" s="3077"/>
      <c r="CE443" s="5039"/>
      <c r="CF443" s="5039"/>
      <c r="CG443" s="5039"/>
      <c r="CH443" s="5039"/>
    </row>
    <row r="444" s="4971" customFormat="1" ht="122" spans="1:86">
      <c r="A444" s="2678"/>
      <c r="B444" s="5671"/>
      <c r="C444" s="5672"/>
      <c r="D444" s="5673"/>
      <c r="E444" s="5672"/>
      <c r="F444" s="5673"/>
      <c r="G444" s="5673"/>
      <c r="H444" s="5671"/>
      <c r="I444" s="5671"/>
      <c r="J444" s="5673"/>
      <c r="K444" s="5671"/>
      <c r="L444" s="5673"/>
      <c r="M444" s="5671"/>
      <c r="N444" s="2678"/>
      <c r="O444" s="2678"/>
      <c r="P444" s="2678"/>
      <c r="Q444" s="2678"/>
      <c r="R444" s="2678"/>
      <c r="S444" s="2678"/>
      <c r="T444" s="2678"/>
      <c r="U444" s="2678"/>
      <c r="V444" s="2678"/>
      <c r="W444" s="2678"/>
      <c r="X444" s="2678"/>
      <c r="Y444" s="2678"/>
      <c r="Z444" s="2678"/>
      <c r="AA444" s="2678"/>
      <c r="AB444" s="5667"/>
      <c r="AC444" s="5671"/>
      <c r="AD444" s="5673"/>
      <c r="AE444" s="5673"/>
      <c r="AF444" s="5671"/>
      <c r="AG444" s="5669">
        <f t="shared" si="88"/>
        <v>500000</v>
      </c>
      <c r="AH444" s="5671" t="s">
        <v>122</v>
      </c>
      <c r="AI444" s="5672">
        <v>45287</v>
      </c>
      <c r="AJ444" s="5672">
        <v>500000</v>
      </c>
      <c r="AK444" s="5472">
        <v>45287</v>
      </c>
      <c r="AL444" s="5472"/>
      <c r="AM444" s="5472"/>
      <c r="AN444" s="5693">
        <f t="shared" si="89"/>
        <v>0</v>
      </c>
      <c r="AO444" s="5472"/>
      <c r="AP444" s="5472"/>
      <c r="AQ444" s="5698" t="s">
        <v>1048</v>
      </c>
      <c r="AR444" s="5472"/>
      <c r="AS444" s="5702"/>
      <c r="AT444" s="5472"/>
      <c r="AU444" s="2678"/>
      <c r="AV444" s="2678"/>
      <c r="AW444" s="2678"/>
      <c r="AX444" s="2678"/>
      <c r="AY444" s="2678"/>
      <c r="AZ444" s="2678"/>
      <c r="BA444" s="5472"/>
      <c r="BB444" s="5472"/>
      <c r="BC444" s="5472">
        <v>50000</v>
      </c>
      <c r="BD444" s="5472">
        <v>450000</v>
      </c>
      <c r="BE444" s="5472"/>
      <c r="BF444" s="5472"/>
      <c r="BG444" s="5472"/>
      <c r="BH444" s="5472"/>
      <c r="BI444" s="5472"/>
      <c r="BJ444" s="5472"/>
      <c r="BK444" s="5472"/>
      <c r="BL444" s="5472"/>
      <c r="BM444" s="5472"/>
      <c r="BN444" s="5472"/>
      <c r="BO444" s="5472"/>
      <c r="BP444" s="5472"/>
      <c r="BQ444" s="5472"/>
      <c r="BR444" s="5472"/>
      <c r="BS444" s="5472"/>
      <c r="BT444" s="5472"/>
      <c r="BU444" s="5472"/>
      <c r="BV444" s="5472"/>
      <c r="BW444" s="5472"/>
      <c r="BX444" s="5472"/>
      <c r="BY444" s="5472"/>
      <c r="BZ444" s="5472"/>
      <c r="CA444" s="5472"/>
      <c r="CB444" s="5472"/>
      <c r="CC444" s="3077"/>
      <c r="CD444" s="3077"/>
      <c r="CE444" s="5039"/>
      <c r="CF444" s="5039"/>
      <c r="CG444" s="5039"/>
      <c r="CH444" s="5039"/>
    </row>
    <row r="445" s="4971" customFormat="1" ht="47.5" customHeight="1" spans="1:86">
      <c r="A445" s="2678">
        <v>75</v>
      </c>
      <c r="B445" s="2678" t="s">
        <v>888</v>
      </c>
      <c r="C445" s="2678">
        <v>43662</v>
      </c>
      <c r="D445" s="1035" t="s">
        <v>1049</v>
      </c>
      <c r="E445" s="2678" t="s">
        <v>113</v>
      </c>
      <c r="F445" s="5667" t="s">
        <v>1050</v>
      </c>
      <c r="G445" s="5667" t="s">
        <v>1051</v>
      </c>
      <c r="H445" s="2678" t="s">
        <v>214</v>
      </c>
      <c r="I445" s="3912"/>
      <c r="J445" s="5667" t="s">
        <v>1052</v>
      </c>
      <c r="K445" s="2678" t="s">
        <v>171</v>
      </c>
      <c r="L445" s="5667" t="s">
        <v>1053</v>
      </c>
      <c r="M445" s="2678">
        <f>SUM(N445:AA449)</f>
        <v>5929000</v>
      </c>
      <c r="N445" s="2678">
        <v>0</v>
      </c>
      <c r="O445" s="2678">
        <v>5929000</v>
      </c>
      <c r="P445" s="2678">
        <v>0</v>
      </c>
      <c r="Q445" s="2678">
        <v>0</v>
      </c>
      <c r="R445" s="2678">
        <v>0</v>
      </c>
      <c r="S445" s="2678">
        <v>0</v>
      </c>
      <c r="T445" s="2678"/>
      <c r="U445" s="2678">
        <v>0</v>
      </c>
      <c r="V445" s="2678">
        <v>0</v>
      </c>
      <c r="W445" s="2678">
        <v>0</v>
      </c>
      <c r="X445" s="2678">
        <v>0</v>
      </c>
      <c r="Y445" s="2678"/>
      <c r="Z445" s="2678"/>
      <c r="AA445" s="2678">
        <v>0</v>
      </c>
      <c r="AB445" s="5667" t="s">
        <v>1054</v>
      </c>
      <c r="AC445" s="2678" t="s">
        <v>1055</v>
      </c>
      <c r="AD445" s="5686" t="s">
        <v>1056</v>
      </c>
      <c r="AE445" s="791">
        <v>0.2</v>
      </c>
      <c r="AF445" s="2678">
        <f>AE445*M445</f>
        <v>1185800</v>
      </c>
      <c r="AG445" s="5349">
        <f t="shared" si="88"/>
        <v>1185800</v>
      </c>
      <c r="AH445" s="2678" t="s">
        <v>206</v>
      </c>
      <c r="AI445" s="2678">
        <v>43691</v>
      </c>
      <c r="AJ445" s="2678">
        <v>1185800</v>
      </c>
      <c r="AK445" s="2678" t="s">
        <v>171</v>
      </c>
      <c r="AL445" s="2678">
        <v>1185800</v>
      </c>
      <c r="AM445" s="2678">
        <v>43691</v>
      </c>
      <c r="AN445" s="5349">
        <f t="shared" si="89"/>
        <v>1185800</v>
      </c>
      <c r="AO445" s="2678">
        <v>43762</v>
      </c>
      <c r="AP445" s="2678">
        <v>0</v>
      </c>
      <c r="AQ445" s="2678"/>
      <c r="AR445" s="2678" t="s">
        <v>1037</v>
      </c>
      <c r="AS445" s="5667"/>
      <c r="AT445" s="2678" t="s">
        <v>171</v>
      </c>
      <c r="AU445" s="2678">
        <f>SUM(AG445:AG449)</f>
        <v>5902643.29</v>
      </c>
      <c r="AV445" s="2678">
        <f>SUM(AL445:AL449)</f>
        <v>5902643.29</v>
      </c>
      <c r="AW445" s="2678">
        <f>SUM(AN445:AN449)</f>
        <v>5902643.29</v>
      </c>
      <c r="AX445" s="2678">
        <f>M445-AU445</f>
        <v>26356.71</v>
      </c>
      <c r="AY445" s="2678">
        <f>AU445-AV445</f>
        <v>0</v>
      </c>
      <c r="AZ445" s="2678">
        <f>AV445-AW445</f>
        <v>0</v>
      </c>
      <c r="BA445" s="2678"/>
      <c r="BB445" s="2678">
        <v>1185800</v>
      </c>
      <c r="BC445" s="2678"/>
      <c r="BD445" s="2678"/>
      <c r="BE445" s="2678"/>
      <c r="BF445" s="2678"/>
      <c r="BG445" s="2678"/>
      <c r="BH445" s="2678"/>
      <c r="BI445" s="2678"/>
      <c r="BJ445" s="2678"/>
      <c r="BK445" s="2678"/>
      <c r="BL445" s="2678"/>
      <c r="BM445" s="2678"/>
      <c r="BN445" s="2678"/>
      <c r="BO445" s="2678"/>
      <c r="BP445" s="2678">
        <v>1185800</v>
      </c>
      <c r="BQ445" s="2678"/>
      <c r="BR445" s="2678"/>
      <c r="BS445" s="2678"/>
      <c r="BT445" s="2678"/>
      <c r="BU445" s="2678"/>
      <c r="BV445" s="2678"/>
      <c r="BW445" s="2678"/>
      <c r="BX445" s="2678"/>
      <c r="BY445" s="2678"/>
      <c r="BZ445" s="2678"/>
      <c r="CA445" s="2678"/>
      <c r="CB445" s="2678"/>
      <c r="CC445" s="2680" t="s">
        <v>247</v>
      </c>
      <c r="CD445" s="2680" t="s">
        <v>154</v>
      </c>
      <c r="CE445" s="5039"/>
      <c r="CF445" s="5039"/>
      <c r="CG445" s="5039"/>
      <c r="CH445" s="5039"/>
    </row>
    <row r="446" s="4971" customFormat="1" ht="61.65" customHeight="1" spans="1:86">
      <c r="A446" s="2678"/>
      <c r="B446" s="2678"/>
      <c r="C446" s="2678"/>
      <c r="D446" s="5667"/>
      <c r="E446" s="2678"/>
      <c r="F446" s="5667"/>
      <c r="G446" s="5667"/>
      <c r="H446" s="2678"/>
      <c r="I446" s="3913"/>
      <c r="J446" s="5667"/>
      <c r="K446" s="2678"/>
      <c r="L446" s="5667"/>
      <c r="M446" s="2678"/>
      <c r="N446" s="2678"/>
      <c r="O446" s="2678"/>
      <c r="P446" s="2678"/>
      <c r="Q446" s="2678"/>
      <c r="R446" s="2678"/>
      <c r="S446" s="2678"/>
      <c r="T446" s="2678"/>
      <c r="U446" s="2678"/>
      <c r="V446" s="2678"/>
      <c r="W446" s="2678"/>
      <c r="X446" s="2678"/>
      <c r="Y446" s="2678"/>
      <c r="Z446" s="2678"/>
      <c r="AA446" s="2678"/>
      <c r="AB446" s="5667"/>
      <c r="AC446" s="2678" t="s">
        <v>1057</v>
      </c>
      <c r="AD446" s="5686" t="s">
        <v>1058</v>
      </c>
      <c r="AE446" s="791">
        <v>0.3</v>
      </c>
      <c r="AF446" s="2678">
        <f>AE446*M445</f>
        <v>1778700</v>
      </c>
      <c r="AG446" s="5349">
        <f t="shared" si="88"/>
        <v>1778700</v>
      </c>
      <c r="AH446" s="2678" t="s">
        <v>206</v>
      </c>
      <c r="AI446" s="2678">
        <v>43719</v>
      </c>
      <c r="AJ446" s="2678">
        <v>1778700</v>
      </c>
      <c r="AK446" s="2678" t="s">
        <v>171</v>
      </c>
      <c r="AL446" s="2678">
        <v>1778700</v>
      </c>
      <c r="AM446" s="2678">
        <v>43719</v>
      </c>
      <c r="AN446" s="5349">
        <f t="shared" si="89"/>
        <v>1778700</v>
      </c>
      <c r="AO446" s="2678">
        <v>43787</v>
      </c>
      <c r="AP446" s="2678">
        <v>0</v>
      </c>
      <c r="AQ446" s="2678"/>
      <c r="AR446" s="2678" t="s">
        <v>1037</v>
      </c>
      <c r="AS446" s="5667"/>
      <c r="AT446" s="2678" t="s">
        <v>171</v>
      </c>
      <c r="AU446" s="2678"/>
      <c r="AV446" s="2678"/>
      <c r="AW446" s="2678"/>
      <c r="AX446" s="2678"/>
      <c r="AY446" s="2678"/>
      <c r="AZ446" s="2678"/>
      <c r="BA446" s="2678"/>
      <c r="BB446" s="2678">
        <v>1778700</v>
      </c>
      <c r="BC446" s="2678"/>
      <c r="BD446" s="2678"/>
      <c r="BE446" s="2678"/>
      <c r="BF446" s="2678"/>
      <c r="BG446" s="2678"/>
      <c r="BH446" s="2678"/>
      <c r="BI446" s="2678"/>
      <c r="BJ446" s="2678"/>
      <c r="BK446" s="2678"/>
      <c r="BL446" s="2678"/>
      <c r="BM446" s="2678"/>
      <c r="BN446" s="2678"/>
      <c r="BO446" s="2678"/>
      <c r="BP446" s="2678">
        <v>1778700</v>
      </c>
      <c r="BQ446" s="2678"/>
      <c r="BR446" s="2678"/>
      <c r="BS446" s="2678"/>
      <c r="BT446" s="2678"/>
      <c r="BU446" s="2678"/>
      <c r="BV446" s="2678"/>
      <c r="BW446" s="2678"/>
      <c r="BX446" s="2678"/>
      <c r="BY446" s="2678"/>
      <c r="BZ446" s="2678"/>
      <c r="CA446" s="2678"/>
      <c r="CB446" s="2678"/>
      <c r="CC446" s="2680"/>
      <c r="CD446" s="2680"/>
      <c r="CE446" s="5039"/>
      <c r="CF446" s="5039"/>
      <c r="CG446" s="5039"/>
      <c r="CH446" s="5039"/>
    </row>
    <row r="447" s="4971" customFormat="1" ht="65.85" customHeight="1" spans="1:86">
      <c r="A447" s="2678"/>
      <c r="B447" s="2678"/>
      <c r="C447" s="2678"/>
      <c r="D447" s="5667"/>
      <c r="E447" s="2678"/>
      <c r="F447" s="5667"/>
      <c r="G447" s="5667"/>
      <c r="H447" s="2678"/>
      <c r="I447" s="3913"/>
      <c r="J447" s="5667"/>
      <c r="K447" s="2678"/>
      <c r="L447" s="5667"/>
      <c r="M447" s="2678"/>
      <c r="N447" s="2678"/>
      <c r="O447" s="2678"/>
      <c r="P447" s="2678"/>
      <c r="Q447" s="2678"/>
      <c r="R447" s="2678"/>
      <c r="S447" s="2678"/>
      <c r="T447" s="2678"/>
      <c r="U447" s="2678"/>
      <c r="V447" s="2678"/>
      <c r="W447" s="2678"/>
      <c r="X447" s="2678"/>
      <c r="Y447" s="2678"/>
      <c r="Z447" s="2678"/>
      <c r="AA447" s="2678"/>
      <c r="AB447" s="5667"/>
      <c r="AC447" s="2678" t="s">
        <v>1059</v>
      </c>
      <c r="AD447" s="5686" t="s">
        <v>1060</v>
      </c>
      <c r="AE447" s="791">
        <v>0.2</v>
      </c>
      <c r="AF447" s="2678">
        <f>AE447*M445</f>
        <v>1185800</v>
      </c>
      <c r="AG447" s="5349">
        <f t="shared" si="88"/>
        <v>1185800</v>
      </c>
      <c r="AH447" s="2678" t="s">
        <v>206</v>
      </c>
      <c r="AI447" s="2678">
        <v>43752</v>
      </c>
      <c r="AJ447" s="2678">
        <v>1185800</v>
      </c>
      <c r="AK447" s="2678" t="s">
        <v>171</v>
      </c>
      <c r="AL447" s="2678">
        <v>1185800</v>
      </c>
      <c r="AM447" s="2678">
        <v>43752</v>
      </c>
      <c r="AN447" s="5349">
        <f t="shared" si="89"/>
        <v>1185800</v>
      </c>
      <c r="AO447" s="2678">
        <v>43811</v>
      </c>
      <c r="AP447" s="2678">
        <v>0</v>
      </c>
      <c r="AQ447" s="2678"/>
      <c r="AR447" s="2678" t="s">
        <v>1037</v>
      </c>
      <c r="AS447" s="5667"/>
      <c r="AT447" s="2678" t="s">
        <v>171</v>
      </c>
      <c r="AU447" s="2678"/>
      <c r="AV447" s="2678"/>
      <c r="AW447" s="2678"/>
      <c r="AX447" s="2678"/>
      <c r="AY447" s="2678"/>
      <c r="AZ447" s="2678"/>
      <c r="BA447" s="2678"/>
      <c r="BB447" s="2678">
        <v>1185800</v>
      </c>
      <c r="BC447" s="2678"/>
      <c r="BD447" s="2678"/>
      <c r="BE447" s="2678"/>
      <c r="BF447" s="2678"/>
      <c r="BG447" s="2678"/>
      <c r="BH447" s="2678"/>
      <c r="BI447" s="2678"/>
      <c r="BJ447" s="2678"/>
      <c r="BK447" s="2678"/>
      <c r="BL447" s="2678"/>
      <c r="BM447" s="2678"/>
      <c r="BN447" s="2678"/>
      <c r="BO447" s="2678"/>
      <c r="BP447" s="2678">
        <v>1185800</v>
      </c>
      <c r="BQ447" s="2678"/>
      <c r="BR447" s="2678"/>
      <c r="BS447" s="2678"/>
      <c r="BT447" s="2678"/>
      <c r="BU447" s="2678"/>
      <c r="BV447" s="2678"/>
      <c r="BW447" s="2678"/>
      <c r="BX447" s="2678"/>
      <c r="BY447" s="2678"/>
      <c r="BZ447" s="2678"/>
      <c r="CA447" s="2678"/>
      <c r="CB447" s="2678"/>
      <c r="CC447" s="2680"/>
      <c r="CD447" s="2680"/>
      <c r="CE447" s="5039"/>
      <c r="CF447" s="5039"/>
      <c r="CG447" s="5039"/>
      <c r="CH447" s="5039"/>
    </row>
    <row r="448" s="4971" customFormat="1" ht="50.85" customHeight="1" spans="1:86">
      <c r="A448" s="2678"/>
      <c r="B448" s="2678"/>
      <c r="C448" s="2678"/>
      <c r="D448" s="5667"/>
      <c r="E448" s="2678"/>
      <c r="F448" s="5667"/>
      <c r="G448" s="5667"/>
      <c r="H448" s="2678"/>
      <c r="I448" s="3913"/>
      <c r="J448" s="5667"/>
      <c r="K448" s="2678"/>
      <c r="L448" s="5667"/>
      <c r="M448" s="2678"/>
      <c r="N448" s="2678"/>
      <c r="O448" s="2678"/>
      <c r="P448" s="2678"/>
      <c r="Q448" s="2678"/>
      <c r="R448" s="2678"/>
      <c r="S448" s="2678"/>
      <c r="T448" s="2678"/>
      <c r="U448" s="2678"/>
      <c r="V448" s="2678"/>
      <c r="W448" s="2678"/>
      <c r="X448" s="2678"/>
      <c r="Y448" s="2678"/>
      <c r="Z448" s="2678"/>
      <c r="AA448" s="2678"/>
      <c r="AB448" s="5667"/>
      <c r="AC448" s="2678" t="s">
        <v>1061</v>
      </c>
      <c r="AD448" s="5686" t="s">
        <v>1062</v>
      </c>
      <c r="AE448" s="791">
        <v>0.25</v>
      </c>
      <c r="AF448" s="2678">
        <f>AE448*M445</f>
        <v>1482250</v>
      </c>
      <c r="AG448" s="5349">
        <f t="shared" si="88"/>
        <v>1482250</v>
      </c>
      <c r="AH448" s="2678" t="s">
        <v>206</v>
      </c>
      <c r="AI448" s="2678">
        <v>43804</v>
      </c>
      <c r="AJ448" s="2678">
        <v>1482250</v>
      </c>
      <c r="AK448" s="2678" t="s">
        <v>171</v>
      </c>
      <c r="AL448" s="2678">
        <v>1482250</v>
      </c>
      <c r="AM448" s="2678">
        <v>43804</v>
      </c>
      <c r="AN448" s="5349">
        <f t="shared" si="89"/>
        <v>1482250</v>
      </c>
      <c r="AO448" s="2678">
        <v>43853</v>
      </c>
      <c r="AP448" s="2678">
        <v>0</v>
      </c>
      <c r="AQ448" s="2678"/>
      <c r="AR448" s="2678" t="s">
        <v>1037</v>
      </c>
      <c r="AS448" s="5667"/>
      <c r="AT448" s="2678" t="s">
        <v>171</v>
      </c>
      <c r="AU448" s="2678"/>
      <c r="AV448" s="2678"/>
      <c r="AW448" s="2678"/>
      <c r="AX448" s="2678"/>
      <c r="AY448" s="2678"/>
      <c r="AZ448" s="2678"/>
      <c r="BA448" s="2678"/>
      <c r="BB448" s="2678">
        <v>1482250</v>
      </c>
      <c r="BC448" s="2678"/>
      <c r="BD448" s="2678"/>
      <c r="BE448" s="2678"/>
      <c r="BF448" s="2678"/>
      <c r="BG448" s="2678"/>
      <c r="BH448" s="2678"/>
      <c r="BI448" s="2678"/>
      <c r="BJ448" s="2678"/>
      <c r="BK448" s="2678"/>
      <c r="BL448" s="2678"/>
      <c r="BM448" s="2678"/>
      <c r="BN448" s="2678"/>
      <c r="BO448" s="2678"/>
      <c r="BP448" s="2678">
        <v>1482250</v>
      </c>
      <c r="BQ448" s="2678"/>
      <c r="BR448" s="2678"/>
      <c r="BS448" s="2678"/>
      <c r="BT448" s="2678"/>
      <c r="BU448" s="2678"/>
      <c r="BV448" s="2678"/>
      <c r="BW448" s="2678"/>
      <c r="BX448" s="2678"/>
      <c r="BY448" s="2678"/>
      <c r="BZ448" s="2678"/>
      <c r="CA448" s="2678"/>
      <c r="CB448" s="2678"/>
      <c r="CC448" s="2680"/>
      <c r="CD448" s="2680"/>
      <c r="CE448" s="5039"/>
      <c r="CF448" s="5039"/>
      <c r="CG448" s="5039"/>
      <c r="CH448" s="5039"/>
    </row>
    <row r="449" s="4971" customFormat="1" ht="44.15" customHeight="1" spans="1:86">
      <c r="A449" s="2678"/>
      <c r="B449" s="2678"/>
      <c r="C449" s="2678"/>
      <c r="D449" s="5667"/>
      <c r="E449" s="2678"/>
      <c r="F449" s="5667"/>
      <c r="G449" s="5667"/>
      <c r="H449" s="2678"/>
      <c r="I449" s="3914"/>
      <c r="J449" s="5667"/>
      <c r="K449" s="2678"/>
      <c r="L449" s="5667"/>
      <c r="M449" s="2678"/>
      <c r="N449" s="2678"/>
      <c r="O449" s="2678"/>
      <c r="P449" s="2678"/>
      <c r="Q449" s="2678"/>
      <c r="R449" s="2678"/>
      <c r="S449" s="2678"/>
      <c r="T449" s="2678"/>
      <c r="U449" s="2678"/>
      <c r="V449" s="2678"/>
      <c r="W449" s="2678"/>
      <c r="X449" s="2678"/>
      <c r="Y449" s="2678"/>
      <c r="Z449" s="2678"/>
      <c r="AA449" s="2678"/>
      <c r="AB449" s="5667"/>
      <c r="AC449" s="2678" t="s">
        <v>1063</v>
      </c>
      <c r="AD449" s="5686" t="s">
        <v>1064</v>
      </c>
      <c r="AE449" s="791">
        <v>0.05</v>
      </c>
      <c r="AF449" s="2678">
        <f>AE449*M445</f>
        <v>296450</v>
      </c>
      <c r="AG449" s="5349">
        <f t="shared" si="88"/>
        <v>270093.29</v>
      </c>
      <c r="AH449" s="859" t="s">
        <v>122</v>
      </c>
      <c r="AI449" s="2678">
        <v>45440</v>
      </c>
      <c r="AJ449" s="2678">
        <v>270093.29</v>
      </c>
      <c r="AK449" s="2678">
        <v>45440</v>
      </c>
      <c r="AL449" s="5733">
        <v>270093.29</v>
      </c>
      <c r="AM449" s="2678">
        <v>45440</v>
      </c>
      <c r="AN449" s="5349">
        <f t="shared" si="89"/>
        <v>270093.29</v>
      </c>
      <c r="AO449" s="2678">
        <v>45468</v>
      </c>
      <c r="AP449" s="2678">
        <v>0</v>
      </c>
      <c r="AQ449" s="2678"/>
      <c r="AR449" s="2678"/>
      <c r="AS449" s="5667"/>
      <c r="AT449" s="2678"/>
      <c r="AU449" s="2678"/>
      <c r="AV449" s="2678"/>
      <c r="AW449" s="2678"/>
      <c r="AX449" s="2678"/>
      <c r="AY449" s="2678"/>
      <c r="AZ449" s="2678"/>
      <c r="BA449" s="2678"/>
      <c r="BB449" s="2678"/>
      <c r="BC449" s="2678"/>
      <c r="BD449" s="2678"/>
      <c r="BE449" s="2678"/>
      <c r="BF449" s="2678"/>
      <c r="BG449" s="2678"/>
      <c r="BH449" s="2678"/>
      <c r="BI449" s="2678"/>
      <c r="BJ449" s="2678"/>
      <c r="BK449" s="2678"/>
      <c r="BL449" s="2678"/>
      <c r="BM449" s="2678"/>
      <c r="BN449" s="5733">
        <v>270093.29</v>
      </c>
      <c r="BO449" s="2678"/>
      <c r="BP449" s="2678"/>
      <c r="BQ449" s="2678"/>
      <c r="BR449" s="2678"/>
      <c r="BS449" s="2678"/>
      <c r="BT449" s="2678"/>
      <c r="BU449" s="2678"/>
      <c r="BV449" s="2678"/>
      <c r="BW449" s="2678"/>
      <c r="BX449" s="2678"/>
      <c r="BY449" s="2678"/>
      <c r="BZ449" s="2678"/>
      <c r="CA449" s="2678"/>
      <c r="CB449" s="2678">
        <v>270093.29</v>
      </c>
      <c r="CC449" s="2680"/>
      <c r="CD449" s="2680"/>
      <c r="CE449" s="5039"/>
      <c r="CF449" s="5039"/>
      <c r="CG449" s="5039"/>
      <c r="CH449" s="5039"/>
    </row>
    <row r="450" s="4971" customFormat="1" ht="52.5" customHeight="1" spans="1:86">
      <c r="A450" s="5201">
        <v>76</v>
      </c>
      <c r="B450" s="5201" t="s">
        <v>1003</v>
      </c>
      <c r="C450" s="5201">
        <v>43593</v>
      </c>
      <c r="D450" s="5708" t="s">
        <v>1065</v>
      </c>
      <c r="E450" s="5201" t="s">
        <v>113</v>
      </c>
      <c r="F450" s="5714" t="s">
        <v>1066</v>
      </c>
      <c r="G450" s="5708" t="s">
        <v>1067</v>
      </c>
      <c r="H450" s="5708" t="s">
        <v>286</v>
      </c>
      <c r="I450" s="5708"/>
      <c r="J450" s="5708" t="s">
        <v>1068</v>
      </c>
      <c r="K450" s="5201"/>
      <c r="L450" s="5708" t="s">
        <v>1069</v>
      </c>
      <c r="M450" s="5201">
        <f>SUM(N450:AA451)</f>
        <v>298000</v>
      </c>
      <c r="N450" s="5201">
        <v>149000</v>
      </c>
      <c r="O450" s="5201">
        <v>0</v>
      </c>
      <c r="P450" s="5201">
        <v>149000</v>
      </c>
      <c r="Q450" s="5201">
        <v>0</v>
      </c>
      <c r="R450" s="5201">
        <v>0</v>
      </c>
      <c r="S450" s="5201">
        <v>0</v>
      </c>
      <c r="T450" s="5201"/>
      <c r="U450" s="5201">
        <v>0</v>
      </c>
      <c r="V450" s="5201">
        <v>0</v>
      </c>
      <c r="W450" s="5201">
        <v>0</v>
      </c>
      <c r="X450" s="5201">
        <v>0</v>
      </c>
      <c r="Y450" s="5201"/>
      <c r="Z450" s="5201"/>
      <c r="AA450" s="5201">
        <v>0</v>
      </c>
      <c r="AB450" s="5201" t="s">
        <v>171</v>
      </c>
      <c r="AC450" s="5201" t="s">
        <v>1070</v>
      </c>
      <c r="AD450" s="5715" t="s">
        <v>1071</v>
      </c>
      <c r="AE450" s="5716">
        <v>0.85</v>
      </c>
      <c r="AF450" s="5201">
        <f>M450*AE450</f>
        <v>253300</v>
      </c>
      <c r="AG450" s="5201">
        <f t="shared" ref="AG450:AG473" si="91">SUM(BA450:BN450)</f>
        <v>253300</v>
      </c>
      <c r="AH450" s="5708" t="s">
        <v>122</v>
      </c>
      <c r="AI450" s="5201">
        <v>43654</v>
      </c>
      <c r="AJ450" s="5201">
        <v>253300</v>
      </c>
      <c r="AK450" s="5201">
        <v>43654</v>
      </c>
      <c r="AL450" s="5201">
        <v>253300</v>
      </c>
      <c r="AM450" s="5201">
        <v>43692</v>
      </c>
      <c r="AN450" s="5201">
        <f t="shared" ref="AN450:AN460" si="92">SUM(BO450:CB450)</f>
        <v>253300</v>
      </c>
      <c r="AO450" s="5201">
        <v>43709</v>
      </c>
      <c r="AP450" s="5201">
        <v>0</v>
      </c>
      <c r="AQ450" s="5201"/>
      <c r="AR450" s="5201" t="s">
        <v>1037</v>
      </c>
      <c r="AS450" s="5708"/>
      <c r="AT450" s="5201">
        <v>43692</v>
      </c>
      <c r="AU450" s="5201">
        <f t="shared" ref="AU450:AU454" si="93">SUM(AG450:AG451)</f>
        <v>298000</v>
      </c>
      <c r="AV450" s="5201">
        <f t="shared" ref="AV450:AV454" si="94">SUM(AL450:AL451)</f>
        <v>253300</v>
      </c>
      <c r="AW450" s="5201">
        <f t="shared" ref="AW450:AW454" si="95">SUM(AN450:AN451)</f>
        <v>298000</v>
      </c>
      <c r="AX450" s="5201">
        <f t="shared" ref="AX450:AX454" si="96">M450-AU450</f>
        <v>0</v>
      </c>
      <c r="AY450" s="5201">
        <f t="shared" ref="AY450:AY454" si="97">AU450-AV450</f>
        <v>44700</v>
      </c>
      <c r="AZ450" s="5201">
        <f t="shared" ref="AZ450:AZ454" si="98">AV450-AW450</f>
        <v>-44700</v>
      </c>
      <c r="BA450" s="5201">
        <v>126650</v>
      </c>
      <c r="BB450" s="5201"/>
      <c r="BC450" s="5201">
        <v>126650</v>
      </c>
      <c r="BD450" s="5201"/>
      <c r="BE450" s="5201"/>
      <c r="BF450" s="5201"/>
      <c r="BG450" s="5201"/>
      <c r="BH450" s="5201"/>
      <c r="BI450" s="5201"/>
      <c r="BJ450" s="5201"/>
      <c r="BK450" s="5201"/>
      <c r="BL450" s="5201"/>
      <c r="BM450" s="5201"/>
      <c r="BN450" s="5201"/>
      <c r="BO450" s="5201">
        <v>126650</v>
      </c>
      <c r="BP450" s="5201"/>
      <c r="BQ450" s="5201">
        <v>126650</v>
      </c>
      <c r="BR450" s="5201"/>
      <c r="BS450" s="5201"/>
      <c r="BT450" s="5201"/>
      <c r="BU450" s="5201"/>
      <c r="BV450" s="5201"/>
      <c r="BW450" s="5201"/>
      <c r="BX450" s="5201"/>
      <c r="BY450" s="5201"/>
      <c r="BZ450" s="5201"/>
      <c r="CA450" s="5201"/>
      <c r="CB450" s="5201"/>
      <c r="CC450" s="5748" t="s">
        <v>1038</v>
      </c>
      <c r="CD450" s="5748" t="s">
        <v>154</v>
      </c>
      <c r="CE450" s="5039"/>
      <c r="CF450" s="5039"/>
      <c r="CG450" s="5039"/>
      <c r="CH450" s="5039"/>
    </row>
    <row r="451" s="4971" customFormat="1" ht="45" customHeight="1" spans="1:86">
      <c r="A451" s="5201"/>
      <c r="B451" s="5201"/>
      <c r="C451" s="5201"/>
      <c r="D451" s="5708"/>
      <c r="E451" s="5201"/>
      <c r="F451" s="5708"/>
      <c r="G451" s="5708"/>
      <c r="H451" s="5708"/>
      <c r="I451" s="5708"/>
      <c r="J451" s="5708"/>
      <c r="K451" s="5201"/>
      <c r="L451" s="5708"/>
      <c r="M451" s="5201"/>
      <c r="N451" s="5201"/>
      <c r="O451" s="5201"/>
      <c r="P451" s="5201"/>
      <c r="Q451" s="5201"/>
      <c r="R451" s="5201"/>
      <c r="S451" s="5201"/>
      <c r="T451" s="5201"/>
      <c r="U451" s="5201"/>
      <c r="V451" s="5201"/>
      <c r="W451" s="5201"/>
      <c r="X451" s="5201"/>
      <c r="Y451" s="5201"/>
      <c r="Z451" s="5201"/>
      <c r="AA451" s="5201"/>
      <c r="AB451" s="5201"/>
      <c r="AC451" s="5201" t="s">
        <v>1072</v>
      </c>
      <c r="AD451" s="5715" t="s">
        <v>1073</v>
      </c>
      <c r="AE451" s="5716">
        <v>0.15</v>
      </c>
      <c r="AF451" s="5201">
        <f>AE451*M450</f>
        <v>44700</v>
      </c>
      <c r="AG451" s="5201">
        <f t="shared" si="91"/>
        <v>44700</v>
      </c>
      <c r="AH451" s="5201" t="s">
        <v>122</v>
      </c>
      <c r="AI451" s="5201">
        <v>43654</v>
      </c>
      <c r="AJ451" s="5201">
        <v>44700</v>
      </c>
      <c r="AK451" s="5201">
        <v>43654</v>
      </c>
      <c r="AL451" s="5201">
        <v>0</v>
      </c>
      <c r="AM451" s="5201"/>
      <c r="AN451" s="5734">
        <f t="shared" si="92"/>
        <v>44700</v>
      </c>
      <c r="AO451" s="5734"/>
      <c r="AP451" s="5734">
        <f>AN451-AG451</f>
        <v>0</v>
      </c>
      <c r="AQ451" s="5201"/>
      <c r="AR451" s="5201" t="s">
        <v>1037</v>
      </c>
      <c r="AS451" s="5708"/>
      <c r="AT451" s="5201">
        <v>43692</v>
      </c>
      <c r="AU451" s="5201"/>
      <c r="AV451" s="5201"/>
      <c r="AW451" s="5201"/>
      <c r="AX451" s="5201"/>
      <c r="AY451" s="5201"/>
      <c r="AZ451" s="5201"/>
      <c r="BA451" s="5201">
        <v>22350</v>
      </c>
      <c r="BB451" s="5201"/>
      <c r="BC451" s="5201">
        <v>22350</v>
      </c>
      <c r="BD451" s="5201"/>
      <c r="BE451" s="5201"/>
      <c r="BF451" s="5201"/>
      <c r="BG451" s="5201"/>
      <c r="BH451" s="5201"/>
      <c r="BI451" s="5201"/>
      <c r="BJ451" s="5201"/>
      <c r="BK451" s="5201"/>
      <c r="BL451" s="5201"/>
      <c r="BM451" s="5201"/>
      <c r="BN451" s="5201"/>
      <c r="BO451" s="5734">
        <v>22350</v>
      </c>
      <c r="BP451" s="5734"/>
      <c r="BQ451" s="5734">
        <v>22350</v>
      </c>
      <c r="BR451" s="5734"/>
      <c r="BS451" s="5734"/>
      <c r="BT451" s="5734"/>
      <c r="BU451" s="5734"/>
      <c r="BV451" s="5734"/>
      <c r="BW451" s="5734"/>
      <c r="BX451" s="5734"/>
      <c r="BY451" s="5734"/>
      <c r="BZ451" s="5734"/>
      <c r="CA451" s="5734"/>
      <c r="CB451" s="5734"/>
      <c r="CC451" s="5748"/>
      <c r="CD451" s="5748"/>
      <c r="CE451" s="5039"/>
      <c r="CF451" s="5039"/>
      <c r="CG451" s="5039"/>
      <c r="CH451" s="5039"/>
    </row>
    <row r="452" s="4971" customFormat="1" ht="51.65" customHeight="1" spans="1:86">
      <c r="A452" s="5201">
        <v>77</v>
      </c>
      <c r="B452" s="5201" t="s">
        <v>1003</v>
      </c>
      <c r="C452" s="5201">
        <v>43706</v>
      </c>
      <c r="D452" s="5708" t="s">
        <v>1074</v>
      </c>
      <c r="E452" s="5201" t="s">
        <v>113</v>
      </c>
      <c r="F452" s="5708" t="s">
        <v>1075</v>
      </c>
      <c r="G452" s="5708" t="s">
        <v>1076</v>
      </c>
      <c r="H452" s="5708" t="s">
        <v>286</v>
      </c>
      <c r="I452" s="5708"/>
      <c r="J452" s="5708" t="s">
        <v>1068</v>
      </c>
      <c r="K452" s="5201" t="s">
        <v>171</v>
      </c>
      <c r="L452" s="5708" t="s">
        <v>1077</v>
      </c>
      <c r="M452" s="5201">
        <f>SUM(N452:AA453)</f>
        <v>210000</v>
      </c>
      <c r="N452" s="5201">
        <v>110000</v>
      </c>
      <c r="O452" s="5201">
        <v>0</v>
      </c>
      <c r="P452" s="5201">
        <v>100000</v>
      </c>
      <c r="Q452" s="5201">
        <v>0</v>
      </c>
      <c r="R452" s="5201">
        <v>0</v>
      </c>
      <c r="S452" s="5201">
        <v>0</v>
      </c>
      <c r="T452" s="5201"/>
      <c r="U452" s="5201">
        <v>0</v>
      </c>
      <c r="V452" s="5201">
        <v>0</v>
      </c>
      <c r="W452" s="5201">
        <v>0</v>
      </c>
      <c r="X452" s="5201">
        <v>0</v>
      </c>
      <c r="Y452" s="5201"/>
      <c r="Z452" s="5201"/>
      <c r="AA452" s="5201">
        <v>0</v>
      </c>
      <c r="AB452" s="5201" t="s">
        <v>171</v>
      </c>
      <c r="AC452" s="5201" t="s">
        <v>1070</v>
      </c>
      <c r="AD452" s="5715" t="s">
        <v>1071</v>
      </c>
      <c r="AE452" s="5716">
        <v>0.85</v>
      </c>
      <c r="AF452" s="5201">
        <f t="shared" ref="AF451:AF456" si="99">M452*AE452</f>
        <v>178500</v>
      </c>
      <c r="AG452" s="5201">
        <f t="shared" si="91"/>
        <v>178500</v>
      </c>
      <c r="AH452" s="5201" t="s">
        <v>122</v>
      </c>
      <c r="AI452" s="5201">
        <v>43814</v>
      </c>
      <c r="AJ452" s="5201">
        <v>178500</v>
      </c>
      <c r="AK452" s="5201">
        <v>43814</v>
      </c>
      <c r="AL452" s="5201">
        <v>178500</v>
      </c>
      <c r="AM452" s="5201">
        <v>43922</v>
      </c>
      <c r="AN452" s="5201">
        <f t="shared" si="92"/>
        <v>178500</v>
      </c>
      <c r="AO452" s="5201">
        <v>43979</v>
      </c>
      <c r="AP452" s="5201">
        <v>0</v>
      </c>
      <c r="AQ452" s="5708" t="s">
        <v>1078</v>
      </c>
      <c r="AR452" s="5201" t="s">
        <v>1037</v>
      </c>
      <c r="AS452" s="5708"/>
      <c r="AT452" s="5201">
        <v>43814</v>
      </c>
      <c r="AU452" s="5201">
        <f t="shared" si="93"/>
        <v>210000</v>
      </c>
      <c r="AV452" s="5201">
        <f t="shared" si="94"/>
        <v>178500</v>
      </c>
      <c r="AW452" s="5201">
        <f t="shared" si="95"/>
        <v>210000</v>
      </c>
      <c r="AX452" s="5201">
        <f t="shared" si="96"/>
        <v>0</v>
      </c>
      <c r="AY452" s="5201">
        <f t="shared" si="97"/>
        <v>31500</v>
      </c>
      <c r="AZ452" s="5201">
        <f t="shared" si="98"/>
        <v>-31500</v>
      </c>
      <c r="BA452" s="5201">
        <v>93500</v>
      </c>
      <c r="BB452" s="5201"/>
      <c r="BC452" s="5201">
        <v>85000</v>
      </c>
      <c r="BD452" s="5201"/>
      <c r="BE452" s="5201"/>
      <c r="BF452" s="5201"/>
      <c r="BG452" s="5201"/>
      <c r="BH452" s="5201"/>
      <c r="BI452" s="5201"/>
      <c r="BJ452" s="5201"/>
      <c r="BK452" s="5201"/>
      <c r="BL452" s="5201"/>
      <c r="BM452" s="5201"/>
      <c r="BN452" s="5201"/>
      <c r="BO452" s="5201">
        <v>93500</v>
      </c>
      <c r="BP452" s="5201"/>
      <c r="BQ452" s="5201">
        <v>85000</v>
      </c>
      <c r="BR452" s="5201"/>
      <c r="BS452" s="5201"/>
      <c r="BT452" s="5201"/>
      <c r="BU452" s="5201"/>
      <c r="BV452" s="5201"/>
      <c r="BW452" s="5201"/>
      <c r="BX452" s="5201"/>
      <c r="BY452" s="5201"/>
      <c r="BZ452" s="5201"/>
      <c r="CA452" s="5201"/>
      <c r="CB452" s="5201"/>
      <c r="CC452" s="5748" t="s">
        <v>1038</v>
      </c>
      <c r="CD452" s="5748" t="s">
        <v>154</v>
      </c>
      <c r="CE452" s="5039"/>
      <c r="CF452" s="5039"/>
      <c r="CG452" s="5039"/>
      <c r="CH452" s="5039"/>
    </row>
    <row r="453" s="4971" customFormat="1" ht="48.35" customHeight="1" spans="1:86">
      <c r="A453" s="5201"/>
      <c r="B453" s="5201"/>
      <c r="C453" s="5201"/>
      <c r="D453" s="5708"/>
      <c r="E453" s="5201"/>
      <c r="F453" s="5708"/>
      <c r="G453" s="5708"/>
      <c r="H453" s="5708"/>
      <c r="I453" s="5708"/>
      <c r="J453" s="5708"/>
      <c r="K453" s="5201"/>
      <c r="L453" s="5708"/>
      <c r="M453" s="5201"/>
      <c r="N453" s="5201"/>
      <c r="O453" s="5201"/>
      <c r="P453" s="5201"/>
      <c r="Q453" s="5201"/>
      <c r="R453" s="5201"/>
      <c r="S453" s="5201"/>
      <c r="T453" s="5201"/>
      <c r="U453" s="5201"/>
      <c r="V453" s="5201"/>
      <c r="W453" s="5201"/>
      <c r="X453" s="5201"/>
      <c r="Y453" s="5201"/>
      <c r="Z453" s="5201"/>
      <c r="AA453" s="5201"/>
      <c r="AB453" s="5201"/>
      <c r="AC453" s="5201" t="s">
        <v>1072</v>
      </c>
      <c r="AD453" s="5715" t="s">
        <v>1073</v>
      </c>
      <c r="AE453" s="5716">
        <v>0.15</v>
      </c>
      <c r="AF453" s="5201">
        <f>AE453*M452</f>
        <v>31500</v>
      </c>
      <c r="AG453" s="5201">
        <f t="shared" si="91"/>
        <v>31500</v>
      </c>
      <c r="AH453" s="5201" t="s">
        <v>122</v>
      </c>
      <c r="AI453" s="5201">
        <v>43814</v>
      </c>
      <c r="AJ453" s="5201">
        <v>31500</v>
      </c>
      <c r="AK453" s="5201">
        <v>43814</v>
      </c>
      <c r="AL453" s="5201">
        <v>0</v>
      </c>
      <c r="AM453" s="5201"/>
      <c r="AN453" s="5734">
        <f t="shared" si="92"/>
        <v>31500</v>
      </c>
      <c r="AO453" s="5734"/>
      <c r="AP453" s="5201">
        <f>AN453-AG453</f>
        <v>0</v>
      </c>
      <c r="AQ453" s="5201"/>
      <c r="AR453" s="5201" t="s">
        <v>1037</v>
      </c>
      <c r="AS453" s="5708"/>
      <c r="AT453" s="5201">
        <v>43814</v>
      </c>
      <c r="AU453" s="5201"/>
      <c r="AV453" s="5201"/>
      <c r="AW453" s="5201"/>
      <c r="AX453" s="5201"/>
      <c r="AY453" s="5201"/>
      <c r="AZ453" s="5201"/>
      <c r="BA453" s="5201">
        <v>16500</v>
      </c>
      <c r="BB453" s="5201"/>
      <c r="BC453" s="5201">
        <v>15000</v>
      </c>
      <c r="BD453" s="5201"/>
      <c r="BE453" s="5201"/>
      <c r="BF453" s="5201"/>
      <c r="BG453" s="5201"/>
      <c r="BH453" s="5201"/>
      <c r="BI453" s="5201"/>
      <c r="BJ453" s="5201"/>
      <c r="BK453" s="5201"/>
      <c r="BL453" s="5201"/>
      <c r="BM453" s="5201"/>
      <c r="BN453" s="5201"/>
      <c r="BO453" s="5734">
        <v>16500</v>
      </c>
      <c r="BP453" s="5734"/>
      <c r="BQ453" s="5734">
        <v>15000</v>
      </c>
      <c r="BR453" s="5734"/>
      <c r="BS453" s="5734"/>
      <c r="BT453" s="5734"/>
      <c r="BU453" s="5734"/>
      <c r="BV453" s="5734"/>
      <c r="BW453" s="5734"/>
      <c r="BX453" s="5734"/>
      <c r="BY453" s="5734"/>
      <c r="BZ453" s="5734"/>
      <c r="CA453" s="5734"/>
      <c r="CB453" s="5734"/>
      <c r="CC453" s="5748"/>
      <c r="CD453" s="5748"/>
      <c r="CE453" s="5039"/>
      <c r="CF453" s="5039"/>
      <c r="CG453" s="5039"/>
      <c r="CH453" s="5039"/>
    </row>
    <row r="454" s="4971" customFormat="1" ht="53.35" customHeight="1" spans="1:86">
      <c r="A454" s="5201">
        <v>78</v>
      </c>
      <c r="B454" s="5201" t="s">
        <v>1003</v>
      </c>
      <c r="C454" s="5201">
        <v>43791</v>
      </c>
      <c r="D454" s="5708" t="s">
        <v>1079</v>
      </c>
      <c r="E454" s="5201" t="s">
        <v>113</v>
      </c>
      <c r="F454" s="5708" t="s">
        <v>1080</v>
      </c>
      <c r="G454" s="5708" t="s">
        <v>1081</v>
      </c>
      <c r="H454" s="5708" t="s">
        <v>286</v>
      </c>
      <c r="I454" s="5708"/>
      <c r="J454" s="5708" t="s">
        <v>1068</v>
      </c>
      <c r="K454" s="5201" t="s">
        <v>171</v>
      </c>
      <c r="L454" s="5708" t="s">
        <v>1077</v>
      </c>
      <c r="M454" s="5201">
        <f>SUM(N454:AA455)</f>
        <v>210000</v>
      </c>
      <c r="N454" s="5201">
        <v>110000</v>
      </c>
      <c r="O454" s="5201">
        <v>0</v>
      </c>
      <c r="P454" s="5201">
        <v>100000</v>
      </c>
      <c r="Q454" s="5201">
        <v>0</v>
      </c>
      <c r="R454" s="5201">
        <v>0</v>
      </c>
      <c r="S454" s="5201">
        <v>0</v>
      </c>
      <c r="T454" s="5201"/>
      <c r="U454" s="5201">
        <v>0</v>
      </c>
      <c r="V454" s="5201">
        <v>0</v>
      </c>
      <c r="W454" s="5201">
        <v>0</v>
      </c>
      <c r="X454" s="5201">
        <v>0</v>
      </c>
      <c r="Y454" s="5201"/>
      <c r="Z454" s="5201"/>
      <c r="AA454" s="5201">
        <v>0</v>
      </c>
      <c r="AB454" s="5201" t="s">
        <v>171</v>
      </c>
      <c r="AC454" s="5201" t="s">
        <v>1070</v>
      </c>
      <c r="AD454" s="5715" t="s">
        <v>1071</v>
      </c>
      <c r="AE454" s="5716">
        <v>0.85</v>
      </c>
      <c r="AF454" s="5201">
        <f t="shared" si="99"/>
        <v>178500</v>
      </c>
      <c r="AG454" s="5201">
        <f t="shared" si="91"/>
        <v>178500</v>
      </c>
      <c r="AH454" s="5201" t="s">
        <v>122</v>
      </c>
      <c r="AI454" s="5201">
        <v>43814</v>
      </c>
      <c r="AJ454" s="5201">
        <v>178500</v>
      </c>
      <c r="AK454" s="5201">
        <v>43814</v>
      </c>
      <c r="AL454" s="5201">
        <v>178500</v>
      </c>
      <c r="AM454" s="5201">
        <v>43922</v>
      </c>
      <c r="AN454" s="5201">
        <f t="shared" si="92"/>
        <v>178500</v>
      </c>
      <c r="AO454" s="5201">
        <v>43997</v>
      </c>
      <c r="AP454" s="5201">
        <v>0</v>
      </c>
      <c r="AQ454" s="5708"/>
      <c r="AR454" s="5201" t="s">
        <v>1037</v>
      </c>
      <c r="AS454" s="5708" t="s">
        <v>1082</v>
      </c>
      <c r="AT454" s="5201">
        <v>43814</v>
      </c>
      <c r="AU454" s="5201">
        <f t="shared" si="93"/>
        <v>210000</v>
      </c>
      <c r="AV454" s="5201">
        <f t="shared" si="94"/>
        <v>178500</v>
      </c>
      <c r="AW454" s="5201">
        <f t="shared" si="95"/>
        <v>210000</v>
      </c>
      <c r="AX454" s="5201">
        <f t="shared" si="96"/>
        <v>0</v>
      </c>
      <c r="AY454" s="5201">
        <f t="shared" si="97"/>
        <v>31500</v>
      </c>
      <c r="AZ454" s="5201">
        <f t="shared" si="98"/>
        <v>-31500</v>
      </c>
      <c r="BA454" s="5201">
        <v>93500</v>
      </c>
      <c r="BB454" s="5201"/>
      <c r="BC454" s="5201">
        <v>85000</v>
      </c>
      <c r="BD454" s="5201"/>
      <c r="BE454" s="5201"/>
      <c r="BF454" s="5201"/>
      <c r="BG454" s="5201"/>
      <c r="BH454" s="5201"/>
      <c r="BI454" s="5201"/>
      <c r="BJ454" s="5201"/>
      <c r="BK454" s="5201"/>
      <c r="BL454" s="5201"/>
      <c r="BM454" s="5201"/>
      <c r="BN454" s="5201"/>
      <c r="BO454" s="5201">
        <v>93500</v>
      </c>
      <c r="BP454" s="5201"/>
      <c r="BQ454" s="5201">
        <v>85000</v>
      </c>
      <c r="BR454" s="5201"/>
      <c r="BS454" s="5201"/>
      <c r="BT454" s="5201"/>
      <c r="BU454" s="5201"/>
      <c r="BV454" s="5201"/>
      <c r="BW454" s="5201"/>
      <c r="BX454" s="5201"/>
      <c r="BY454" s="5201"/>
      <c r="BZ454" s="5201"/>
      <c r="CA454" s="5201"/>
      <c r="CB454" s="5201"/>
      <c r="CC454" s="5748" t="s">
        <v>1038</v>
      </c>
      <c r="CD454" s="5748" t="s">
        <v>154</v>
      </c>
      <c r="CE454" s="5039"/>
      <c r="CF454" s="5039"/>
      <c r="CG454" s="5039"/>
      <c r="CH454" s="5039"/>
    </row>
    <row r="455" s="4971" customFormat="1" ht="42.5" customHeight="1" spans="1:86">
      <c r="A455" s="5201"/>
      <c r="B455" s="5201"/>
      <c r="C455" s="5201"/>
      <c r="D455" s="5708"/>
      <c r="E455" s="5201"/>
      <c r="F455" s="5708"/>
      <c r="G455" s="5708"/>
      <c r="H455" s="5708"/>
      <c r="I455" s="5708"/>
      <c r="J455" s="5708"/>
      <c r="K455" s="5201"/>
      <c r="L455" s="5708"/>
      <c r="M455" s="5201"/>
      <c r="N455" s="5201"/>
      <c r="O455" s="5201"/>
      <c r="P455" s="5201"/>
      <c r="Q455" s="5201"/>
      <c r="R455" s="5201"/>
      <c r="S455" s="5201"/>
      <c r="T455" s="5201"/>
      <c r="U455" s="5201"/>
      <c r="V455" s="5201"/>
      <c r="W455" s="5201"/>
      <c r="X455" s="5201"/>
      <c r="Y455" s="5201"/>
      <c r="Z455" s="5201"/>
      <c r="AA455" s="5201"/>
      <c r="AB455" s="5201"/>
      <c r="AC455" s="5201" t="s">
        <v>1072</v>
      </c>
      <c r="AD455" s="5715" t="s">
        <v>1073</v>
      </c>
      <c r="AE455" s="5716">
        <v>0.15</v>
      </c>
      <c r="AF455" s="5201">
        <f>AE455*M454</f>
        <v>31500</v>
      </c>
      <c r="AG455" s="5201">
        <f t="shared" si="91"/>
        <v>31500</v>
      </c>
      <c r="AH455" s="5201" t="s">
        <v>122</v>
      </c>
      <c r="AI455" s="5201">
        <v>43814</v>
      </c>
      <c r="AJ455" s="5201">
        <v>31500</v>
      </c>
      <c r="AK455" s="5201">
        <v>43814</v>
      </c>
      <c r="AL455" s="5201">
        <v>0</v>
      </c>
      <c r="AM455" s="5201"/>
      <c r="AN455" s="5734">
        <f t="shared" si="92"/>
        <v>31500</v>
      </c>
      <c r="AO455" s="5734"/>
      <c r="AP455" s="5201">
        <f>AG455-AN455</f>
        <v>0</v>
      </c>
      <c r="AQ455" s="5201"/>
      <c r="AR455" s="5201" t="s">
        <v>1037</v>
      </c>
      <c r="AS455" s="5708"/>
      <c r="AT455" s="5201">
        <v>43814</v>
      </c>
      <c r="AU455" s="5201"/>
      <c r="AV455" s="5201"/>
      <c r="AW455" s="5201"/>
      <c r="AX455" s="5201"/>
      <c r="AY455" s="5201"/>
      <c r="AZ455" s="5201"/>
      <c r="BA455" s="5201">
        <v>16500</v>
      </c>
      <c r="BB455" s="5201"/>
      <c r="BC455" s="5201">
        <v>15000</v>
      </c>
      <c r="BD455" s="5201"/>
      <c r="BE455" s="5201"/>
      <c r="BF455" s="5201"/>
      <c r="BG455" s="5201"/>
      <c r="BH455" s="5201"/>
      <c r="BI455" s="5201"/>
      <c r="BJ455" s="5201"/>
      <c r="BK455" s="5201"/>
      <c r="BL455" s="5201"/>
      <c r="BM455" s="5201"/>
      <c r="BN455" s="5201"/>
      <c r="BO455" s="5734">
        <v>16500</v>
      </c>
      <c r="BP455" s="5734"/>
      <c r="BQ455" s="5734">
        <v>15000</v>
      </c>
      <c r="BR455" s="5734"/>
      <c r="BS455" s="5734"/>
      <c r="BT455" s="5734"/>
      <c r="BU455" s="5734"/>
      <c r="BV455" s="5734"/>
      <c r="BW455" s="5734"/>
      <c r="BX455" s="5734"/>
      <c r="BY455" s="5734"/>
      <c r="BZ455" s="5734"/>
      <c r="CA455" s="5734"/>
      <c r="CB455" s="5734"/>
      <c r="CC455" s="5748"/>
      <c r="CD455" s="5748"/>
      <c r="CE455" s="5039"/>
      <c r="CF455" s="5039"/>
      <c r="CG455" s="5039"/>
      <c r="CH455" s="5039"/>
    </row>
    <row r="456" s="4971" customFormat="1" ht="57.5" customHeight="1" spans="1:86">
      <c r="A456" s="5201">
        <v>79</v>
      </c>
      <c r="B456" s="5201" t="s">
        <v>1003</v>
      </c>
      <c r="C456" s="5201">
        <v>43760</v>
      </c>
      <c r="D456" s="5708" t="s">
        <v>1083</v>
      </c>
      <c r="E456" s="5201" t="s">
        <v>113</v>
      </c>
      <c r="F456" s="5708" t="s">
        <v>1084</v>
      </c>
      <c r="G456" s="5708" t="s">
        <v>1085</v>
      </c>
      <c r="H456" s="5201" t="s">
        <v>286</v>
      </c>
      <c r="I456" s="5201"/>
      <c r="J456" s="5708" t="s">
        <v>1068</v>
      </c>
      <c r="K456" s="5201" t="s">
        <v>171</v>
      </c>
      <c r="L456" s="5708" t="s">
        <v>1086</v>
      </c>
      <c r="M456" s="5201">
        <f>SUM(N456:AA457)</f>
        <v>280000</v>
      </c>
      <c r="N456" s="5201">
        <v>180000</v>
      </c>
      <c r="O456" s="5201">
        <v>0</v>
      </c>
      <c r="P456" s="5201">
        <v>100000</v>
      </c>
      <c r="Q456" s="5201">
        <v>0</v>
      </c>
      <c r="R456" s="5201">
        <v>0</v>
      </c>
      <c r="S456" s="5201">
        <v>0</v>
      </c>
      <c r="T456" s="5201"/>
      <c r="U456" s="5201">
        <v>0</v>
      </c>
      <c r="V456" s="5201">
        <v>0</v>
      </c>
      <c r="W456" s="5201">
        <v>0</v>
      </c>
      <c r="X456" s="5201">
        <v>0</v>
      </c>
      <c r="Y456" s="5201"/>
      <c r="Z456" s="5201"/>
      <c r="AA456" s="5201">
        <v>0</v>
      </c>
      <c r="AB456" s="5201" t="s">
        <v>171</v>
      </c>
      <c r="AC456" s="5201" t="s">
        <v>1070</v>
      </c>
      <c r="AD456" s="5715" t="s">
        <v>1071</v>
      </c>
      <c r="AE456" s="5716">
        <v>0.85</v>
      </c>
      <c r="AF456" s="5201">
        <f t="shared" si="99"/>
        <v>238000</v>
      </c>
      <c r="AG456" s="5201">
        <f t="shared" si="91"/>
        <v>238000</v>
      </c>
      <c r="AH456" s="5201" t="s">
        <v>122</v>
      </c>
      <c r="AI456" s="5201">
        <v>43814</v>
      </c>
      <c r="AJ456" s="5201">
        <v>238000</v>
      </c>
      <c r="AK456" s="5201">
        <v>43814</v>
      </c>
      <c r="AL456" s="5201">
        <v>238000</v>
      </c>
      <c r="AM456" s="5201">
        <v>43922</v>
      </c>
      <c r="AN456" s="5201">
        <f t="shared" si="92"/>
        <v>238000</v>
      </c>
      <c r="AO456" s="5201">
        <v>43979</v>
      </c>
      <c r="AP456" s="5201">
        <f>AG456-AN456</f>
        <v>0</v>
      </c>
      <c r="AQ456" s="5708"/>
      <c r="AR456" s="5201" t="s">
        <v>1037</v>
      </c>
      <c r="AS456" s="5708"/>
      <c r="AT456" s="5201">
        <v>43814</v>
      </c>
      <c r="AU456" s="5201">
        <f>SUM(AG456:AG457)</f>
        <v>280000</v>
      </c>
      <c r="AV456" s="5201">
        <f>SUM(AL456:AL457)</f>
        <v>238000</v>
      </c>
      <c r="AW456" s="5201">
        <f>SUM(AN456:AN457)</f>
        <v>280000</v>
      </c>
      <c r="AX456" s="5201">
        <f>M456-AU456</f>
        <v>0</v>
      </c>
      <c r="AY456" s="5201">
        <f>AU456-AV456</f>
        <v>42000</v>
      </c>
      <c r="AZ456" s="5201">
        <f>AV456-AW456</f>
        <v>-42000</v>
      </c>
      <c r="BA456" s="5201">
        <v>153000</v>
      </c>
      <c r="BB456" s="5201"/>
      <c r="BC456" s="5201">
        <v>85000</v>
      </c>
      <c r="BD456" s="5201"/>
      <c r="BE456" s="5201"/>
      <c r="BF456" s="5201"/>
      <c r="BG456" s="5201"/>
      <c r="BH456" s="5201"/>
      <c r="BI456" s="5201"/>
      <c r="BJ456" s="5201"/>
      <c r="BK456" s="5201"/>
      <c r="BL456" s="5201"/>
      <c r="BM456" s="5201"/>
      <c r="BN456" s="5201"/>
      <c r="BO456" s="5201">
        <v>153000</v>
      </c>
      <c r="BP456" s="5201"/>
      <c r="BQ456" s="5201">
        <v>85000</v>
      </c>
      <c r="BR456" s="5201"/>
      <c r="BS456" s="5201"/>
      <c r="BT456" s="5201"/>
      <c r="BU456" s="5201"/>
      <c r="BV456" s="5201"/>
      <c r="BW456" s="5201"/>
      <c r="BX456" s="5201"/>
      <c r="BY456" s="5201"/>
      <c r="BZ456" s="5201"/>
      <c r="CA456" s="5201"/>
      <c r="CB456" s="5201"/>
      <c r="CC456" s="5748" t="s">
        <v>1038</v>
      </c>
      <c r="CD456" s="5748" t="s">
        <v>154</v>
      </c>
      <c r="CE456" s="5039"/>
      <c r="CF456" s="5039"/>
      <c r="CG456" s="5039"/>
      <c r="CH456" s="5039"/>
    </row>
    <row r="457" s="4971" customFormat="1" ht="51.65" customHeight="1" spans="1:86">
      <c r="A457" s="5201"/>
      <c r="B457" s="5201"/>
      <c r="C457" s="5201"/>
      <c r="D457" s="5708"/>
      <c r="E457" s="5201"/>
      <c r="F457" s="5708"/>
      <c r="G457" s="5708"/>
      <c r="H457" s="5201"/>
      <c r="I457" s="5201"/>
      <c r="J457" s="5708"/>
      <c r="K457" s="5201"/>
      <c r="L457" s="5708"/>
      <c r="M457" s="5201"/>
      <c r="N457" s="5201"/>
      <c r="O457" s="5201"/>
      <c r="P457" s="5201"/>
      <c r="Q457" s="5201"/>
      <c r="R457" s="5201"/>
      <c r="S457" s="5201"/>
      <c r="T457" s="5201"/>
      <c r="U457" s="5201"/>
      <c r="V457" s="5201"/>
      <c r="W457" s="5201"/>
      <c r="X457" s="5201"/>
      <c r="Y457" s="5201"/>
      <c r="Z457" s="5201"/>
      <c r="AA457" s="5201"/>
      <c r="AB457" s="5201"/>
      <c r="AC457" s="5201" t="s">
        <v>1072</v>
      </c>
      <c r="AD457" s="5715" t="s">
        <v>1073</v>
      </c>
      <c r="AE457" s="5716">
        <v>0.15</v>
      </c>
      <c r="AF457" s="5201">
        <f>M456*AE457</f>
        <v>42000</v>
      </c>
      <c r="AG457" s="5201">
        <f t="shared" si="91"/>
        <v>42000</v>
      </c>
      <c r="AH457" s="5201" t="s">
        <v>122</v>
      </c>
      <c r="AI457" s="5201">
        <v>43814</v>
      </c>
      <c r="AJ457" s="5201">
        <v>42000</v>
      </c>
      <c r="AK457" s="5201">
        <v>43814</v>
      </c>
      <c r="AL457" s="5201">
        <v>0</v>
      </c>
      <c r="AM457" s="5201"/>
      <c r="AN457" s="5734">
        <f t="shared" si="92"/>
        <v>42000</v>
      </c>
      <c r="AO457" s="5734"/>
      <c r="AP457" s="5201">
        <f>AG457-AN457</f>
        <v>0</v>
      </c>
      <c r="AQ457" s="5708" t="s">
        <v>1087</v>
      </c>
      <c r="AR457" s="5201" t="s">
        <v>1037</v>
      </c>
      <c r="AS457" s="5708"/>
      <c r="AT457" s="5201">
        <v>43814</v>
      </c>
      <c r="AU457" s="5201"/>
      <c r="AV457" s="5201"/>
      <c r="AW457" s="5201"/>
      <c r="AX457" s="5201"/>
      <c r="AY457" s="5201"/>
      <c r="AZ457" s="5201"/>
      <c r="BA457" s="5201">
        <v>27000</v>
      </c>
      <c r="BB457" s="5201"/>
      <c r="BC457" s="5201">
        <v>15000</v>
      </c>
      <c r="BD457" s="5201"/>
      <c r="BE457" s="5201"/>
      <c r="BF457" s="5201"/>
      <c r="BG457" s="5201"/>
      <c r="BH457" s="5201"/>
      <c r="BI457" s="5201"/>
      <c r="BJ457" s="5201"/>
      <c r="BK457" s="5201"/>
      <c r="BL457" s="5201"/>
      <c r="BM457" s="5201"/>
      <c r="BN457" s="5201"/>
      <c r="BO457" s="5734">
        <v>27000</v>
      </c>
      <c r="BP457" s="5734"/>
      <c r="BQ457" s="5734">
        <v>15000</v>
      </c>
      <c r="BR457" s="5734"/>
      <c r="BS457" s="5734"/>
      <c r="BT457" s="5734"/>
      <c r="BU457" s="5734"/>
      <c r="BV457" s="5734"/>
      <c r="BW457" s="5734"/>
      <c r="BX457" s="5734"/>
      <c r="BY457" s="5734"/>
      <c r="BZ457" s="5734"/>
      <c r="CA457" s="5734"/>
      <c r="CB457" s="5734"/>
      <c r="CC457" s="5748"/>
      <c r="CD457" s="5748"/>
      <c r="CE457" s="5039"/>
      <c r="CF457" s="5039"/>
      <c r="CG457" s="5039"/>
      <c r="CH457" s="5039"/>
    </row>
    <row r="458" ht="76" spans="1:86">
      <c r="A458" s="2678">
        <v>80</v>
      </c>
      <c r="B458" s="1035" t="s">
        <v>1003</v>
      </c>
      <c r="C458" s="2678">
        <v>43644</v>
      </c>
      <c r="D458" s="1035" t="s">
        <v>1088</v>
      </c>
      <c r="E458" s="2678" t="s">
        <v>113</v>
      </c>
      <c r="F458" s="5667" t="s">
        <v>1089</v>
      </c>
      <c r="G458" s="5059" t="s">
        <v>1090</v>
      </c>
      <c r="H458" s="2678" t="s">
        <v>286</v>
      </c>
      <c r="I458" s="2678"/>
      <c r="J458" s="1035" t="s">
        <v>1091</v>
      </c>
      <c r="K458" s="2678" t="s">
        <v>171</v>
      </c>
      <c r="L458" s="5667" t="s">
        <v>1092</v>
      </c>
      <c r="M458" s="2678">
        <f>SUM(N458:AB460)</f>
        <v>1000000</v>
      </c>
      <c r="N458" s="2678">
        <v>500000</v>
      </c>
      <c r="O458" s="2678">
        <v>0</v>
      </c>
      <c r="P458" s="2678">
        <v>166000</v>
      </c>
      <c r="Q458" s="2678">
        <v>167000</v>
      </c>
      <c r="R458" s="2678">
        <v>167000</v>
      </c>
      <c r="S458" s="2678">
        <v>0</v>
      </c>
      <c r="T458" s="2678"/>
      <c r="U458" s="2678">
        <v>0</v>
      </c>
      <c r="V458" s="2678">
        <v>0</v>
      </c>
      <c r="W458" s="2678">
        <v>0</v>
      </c>
      <c r="X458" s="2678">
        <v>0</v>
      </c>
      <c r="Y458" s="2678"/>
      <c r="Z458" s="2678"/>
      <c r="AA458" s="2678">
        <v>0</v>
      </c>
      <c r="AB458" s="2678" t="s">
        <v>171</v>
      </c>
      <c r="AC458" s="5667" t="s">
        <v>1093</v>
      </c>
      <c r="AD458" s="5667" t="s">
        <v>1094</v>
      </c>
      <c r="AE458" s="5717">
        <v>0.4</v>
      </c>
      <c r="AF458" s="2678">
        <f>AE458*M458</f>
        <v>400000</v>
      </c>
      <c r="AG458" s="5349">
        <f t="shared" si="91"/>
        <v>400000</v>
      </c>
      <c r="AH458" s="5667" t="s">
        <v>206</v>
      </c>
      <c r="AI458" s="2678">
        <v>43770</v>
      </c>
      <c r="AJ458" s="2678">
        <v>400000</v>
      </c>
      <c r="AK458" s="2678">
        <v>43770</v>
      </c>
      <c r="AL458" s="2678">
        <v>400000</v>
      </c>
      <c r="AM458" s="2678">
        <v>43795</v>
      </c>
      <c r="AN458" s="5349">
        <f t="shared" si="92"/>
        <v>400000</v>
      </c>
      <c r="AO458" s="2678">
        <v>43800</v>
      </c>
      <c r="AP458" s="2678">
        <f>AG458-AL458</f>
        <v>0</v>
      </c>
      <c r="AQ458" s="5735"/>
      <c r="AR458" s="2678" t="s">
        <v>1037</v>
      </c>
      <c r="AS458" s="5667"/>
      <c r="AT458" s="2678" t="s">
        <v>171</v>
      </c>
      <c r="AU458" s="2678">
        <f>SUM(AG458:AG460)</f>
        <v>700000</v>
      </c>
      <c r="AV458" s="2678">
        <f>SUM(AL458:AL460)</f>
        <v>400000</v>
      </c>
      <c r="AW458" s="2678">
        <f>SUBTOTAL(9,AN458:AN460)</f>
        <v>400000</v>
      </c>
      <c r="AX458" s="2678">
        <f>M458-AU458</f>
        <v>300000</v>
      </c>
      <c r="AY458" s="2678">
        <f>AU458-AV458</f>
        <v>300000</v>
      </c>
      <c r="AZ458" s="2678">
        <f>AV458-AW458</f>
        <v>0</v>
      </c>
      <c r="BA458" s="2678">
        <v>200000</v>
      </c>
      <c r="BB458" s="2678"/>
      <c r="BC458" s="2678"/>
      <c r="BD458" s="2678"/>
      <c r="BE458" s="2678">
        <v>200000</v>
      </c>
      <c r="BF458" s="2678"/>
      <c r="BG458" s="2678"/>
      <c r="BH458" s="2678"/>
      <c r="BI458" s="2678"/>
      <c r="BJ458" s="2678"/>
      <c r="BK458" s="2678"/>
      <c r="BL458" s="2678"/>
      <c r="BM458" s="2678"/>
      <c r="BN458" s="2678"/>
      <c r="BO458" s="2678">
        <v>200000</v>
      </c>
      <c r="BP458" s="2678"/>
      <c r="BQ458" s="2678"/>
      <c r="BR458" s="2678"/>
      <c r="BS458" s="2678">
        <v>200000</v>
      </c>
      <c r="BT458" s="2678"/>
      <c r="BU458" s="2678"/>
      <c r="BV458" s="2678"/>
      <c r="BW458" s="2678"/>
      <c r="BX458" s="2678"/>
      <c r="BY458" s="2678"/>
      <c r="BZ458" s="2678"/>
      <c r="CA458" s="2678"/>
      <c r="CB458" s="2678"/>
      <c r="CC458" s="2680" t="s">
        <v>1038</v>
      </c>
      <c r="CD458" s="2680" t="s">
        <v>154</v>
      </c>
      <c r="CE458" s="5168"/>
      <c r="CF458" s="5168"/>
      <c r="CG458" s="5750"/>
      <c r="CH458" s="5750"/>
    </row>
    <row r="459" ht="76" spans="1:86">
      <c r="A459" s="2678"/>
      <c r="B459" s="5667"/>
      <c r="C459" s="2678"/>
      <c r="D459" s="5667"/>
      <c r="E459" s="2678"/>
      <c r="F459" s="5667"/>
      <c r="G459" s="5059"/>
      <c r="H459" s="2678"/>
      <c r="I459" s="2678"/>
      <c r="J459" s="5667"/>
      <c r="K459" s="2678"/>
      <c r="L459" s="5667"/>
      <c r="M459" s="2678"/>
      <c r="N459" s="2678"/>
      <c r="O459" s="2678"/>
      <c r="P459" s="2678"/>
      <c r="Q459" s="2678"/>
      <c r="R459" s="2678"/>
      <c r="S459" s="2678"/>
      <c r="T459" s="2678"/>
      <c r="U459" s="2678"/>
      <c r="V459" s="2678"/>
      <c r="W459" s="2678"/>
      <c r="X459" s="2678"/>
      <c r="Y459" s="2678"/>
      <c r="Z459" s="2678"/>
      <c r="AA459" s="2678"/>
      <c r="AB459" s="2678"/>
      <c r="AC459" s="5718" t="s">
        <v>1095</v>
      </c>
      <c r="AD459" s="5718" t="s">
        <v>1096</v>
      </c>
      <c r="AE459" s="5719">
        <v>0.3</v>
      </c>
      <c r="AF459" s="5720">
        <f>AE459*M458</f>
        <v>300000</v>
      </c>
      <c r="AG459" s="5720">
        <f t="shared" si="91"/>
        <v>300000</v>
      </c>
      <c r="AH459" s="5718" t="s">
        <v>122</v>
      </c>
      <c r="AI459" s="5720">
        <v>43809</v>
      </c>
      <c r="AJ459" s="5720">
        <v>300000</v>
      </c>
      <c r="AK459" s="5720">
        <v>43809</v>
      </c>
      <c r="AL459" s="5720"/>
      <c r="AM459" s="5720"/>
      <c r="AN459" s="5720">
        <f t="shared" si="92"/>
        <v>0</v>
      </c>
      <c r="AO459" s="5720"/>
      <c r="AP459" s="2678">
        <f>AG459-AL459</f>
        <v>300000</v>
      </c>
      <c r="AQ459" s="5718"/>
      <c r="AR459" s="5720" t="s">
        <v>1037</v>
      </c>
      <c r="AS459" s="5718" t="s">
        <v>1097</v>
      </c>
      <c r="AT459" s="5720" t="s">
        <v>171</v>
      </c>
      <c r="AU459" s="2678"/>
      <c r="AV459" s="2678"/>
      <c r="AW459" s="2678"/>
      <c r="AX459" s="2678"/>
      <c r="AY459" s="2678"/>
      <c r="AZ459" s="2678"/>
      <c r="BA459" s="2678">
        <v>200000</v>
      </c>
      <c r="BB459" s="2678"/>
      <c r="BC459" s="2678"/>
      <c r="BD459" s="2678">
        <v>100000</v>
      </c>
      <c r="BE459" s="2678"/>
      <c r="BF459" s="2678"/>
      <c r="BG459" s="2678"/>
      <c r="BH459" s="2678"/>
      <c r="BI459" s="2678"/>
      <c r="BJ459" s="2678"/>
      <c r="BK459" s="2678"/>
      <c r="BL459" s="2678"/>
      <c r="BM459" s="2678"/>
      <c r="BN459" s="2678"/>
      <c r="BO459" s="2678"/>
      <c r="BP459" s="2678"/>
      <c r="BQ459" s="2678"/>
      <c r="BR459" s="2678"/>
      <c r="BS459" s="2678"/>
      <c r="BT459" s="2678"/>
      <c r="BU459" s="2678"/>
      <c r="BV459" s="2678"/>
      <c r="BW459" s="2678"/>
      <c r="BX459" s="2678"/>
      <c r="BY459" s="2678"/>
      <c r="BZ459" s="2678"/>
      <c r="CA459" s="2678"/>
      <c r="CB459" s="2678"/>
      <c r="CC459" s="2680"/>
      <c r="CD459" s="2680"/>
      <c r="CE459" s="5168"/>
      <c r="CF459" s="5168"/>
      <c r="CG459" s="5750"/>
      <c r="CH459" s="5750"/>
    </row>
    <row r="460" ht="31" spans="1:86">
      <c r="A460" s="2678"/>
      <c r="B460" s="5667"/>
      <c r="C460" s="2678"/>
      <c r="D460" s="5667"/>
      <c r="E460" s="2678"/>
      <c r="F460" s="5667"/>
      <c r="G460" s="5059"/>
      <c r="H460" s="2678"/>
      <c r="I460" s="2678"/>
      <c r="J460" s="5667"/>
      <c r="K460" s="2678"/>
      <c r="L460" s="5667"/>
      <c r="M460" s="2678"/>
      <c r="N460" s="2678"/>
      <c r="O460" s="2678"/>
      <c r="P460" s="2678"/>
      <c r="Q460" s="2678"/>
      <c r="R460" s="2678"/>
      <c r="S460" s="2678"/>
      <c r="T460" s="2678"/>
      <c r="U460" s="2678"/>
      <c r="V460" s="2678"/>
      <c r="W460" s="2678"/>
      <c r="X460" s="2678"/>
      <c r="Y460" s="2678"/>
      <c r="Z460" s="2678"/>
      <c r="AA460" s="2678"/>
      <c r="AB460" s="2678"/>
      <c r="AC460" s="5667" t="s">
        <v>1098</v>
      </c>
      <c r="AD460" s="5667"/>
      <c r="AE460" s="5717">
        <v>0.3</v>
      </c>
      <c r="AF460" s="2678">
        <f>AE460*M458</f>
        <v>300000</v>
      </c>
      <c r="AG460" s="5720">
        <f t="shared" si="91"/>
        <v>0</v>
      </c>
      <c r="AH460" s="5667"/>
      <c r="AI460" s="2678"/>
      <c r="AJ460" s="2678"/>
      <c r="AK460" s="2678"/>
      <c r="AL460" s="2678"/>
      <c r="AM460" s="2678"/>
      <c r="AN460" s="5349">
        <f t="shared" si="92"/>
        <v>0</v>
      </c>
      <c r="AO460" s="2678"/>
      <c r="AP460" s="2678">
        <f>AG460-AL460</f>
        <v>0</v>
      </c>
      <c r="AQ460" s="5735"/>
      <c r="AR460" s="2678"/>
      <c r="AS460" s="5667"/>
      <c r="AT460" s="2678"/>
      <c r="AU460" s="2678"/>
      <c r="AV460" s="2678"/>
      <c r="AW460" s="2678"/>
      <c r="AX460" s="2678"/>
      <c r="AY460" s="2678"/>
      <c r="AZ460" s="2678"/>
      <c r="BA460" s="2678"/>
      <c r="BB460" s="2678"/>
      <c r="BC460" s="2678"/>
      <c r="BD460" s="2678"/>
      <c r="BE460" s="2678"/>
      <c r="BF460" s="2678"/>
      <c r="BG460" s="2678"/>
      <c r="BH460" s="2678"/>
      <c r="BI460" s="2678"/>
      <c r="BJ460" s="2678"/>
      <c r="BK460" s="2678"/>
      <c r="BL460" s="2678"/>
      <c r="BM460" s="2678"/>
      <c r="BN460" s="2678"/>
      <c r="BO460" s="2678"/>
      <c r="BP460" s="2678"/>
      <c r="BQ460" s="2678"/>
      <c r="BR460" s="2678"/>
      <c r="BS460" s="2678"/>
      <c r="BT460" s="2678"/>
      <c r="BU460" s="2678"/>
      <c r="BV460" s="2678"/>
      <c r="BW460" s="2678"/>
      <c r="BX460" s="2678"/>
      <c r="BY460" s="2678"/>
      <c r="BZ460" s="2678"/>
      <c r="CA460" s="2678"/>
      <c r="CB460" s="2678"/>
      <c r="CC460" s="2680"/>
      <c r="CD460" s="2680"/>
      <c r="CE460" s="5168"/>
      <c r="CF460" s="5168"/>
      <c r="CG460" s="5750"/>
      <c r="CH460" s="5750"/>
    </row>
    <row r="461" s="4978" customFormat="1" ht="33.75" customHeight="1" spans="1:86">
      <c r="A461" s="5709">
        <v>81</v>
      </c>
      <c r="B461" s="5710" t="s">
        <v>1003</v>
      </c>
      <c r="C461" s="5709">
        <v>43115</v>
      </c>
      <c r="D461" s="5710" t="s">
        <v>1099</v>
      </c>
      <c r="E461" s="5709" t="s">
        <v>113</v>
      </c>
      <c r="F461" s="5710" t="s">
        <v>1100</v>
      </c>
      <c r="G461" s="5710" t="s">
        <v>1101</v>
      </c>
      <c r="H461" s="5709" t="s">
        <v>1102</v>
      </c>
      <c r="I461" s="5709"/>
      <c r="J461" s="5710" t="s">
        <v>1091</v>
      </c>
      <c r="K461" s="5709">
        <v>297478</v>
      </c>
      <c r="L461" s="5710" t="s">
        <v>1103</v>
      </c>
      <c r="M461" s="5709">
        <v>7436950</v>
      </c>
      <c r="N461" s="5709">
        <v>0</v>
      </c>
      <c r="O461" s="5709">
        <v>0</v>
      </c>
      <c r="P461" s="5709">
        <v>5949560</v>
      </c>
      <c r="Q461" s="5709">
        <v>0</v>
      </c>
      <c r="R461" s="5709">
        <v>0</v>
      </c>
      <c r="S461" s="5709">
        <v>0</v>
      </c>
      <c r="T461" s="5709"/>
      <c r="U461" s="5709">
        <v>1487390</v>
      </c>
      <c r="V461" s="5709">
        <v>0</v>
      </c>
      <c r="W461" s="5709">
        <v>0</v>
      </c>
      <c r="X461" s="5709">
        <v>0</v>
      </c>
      <c r="Y461" s="5709"/>
      <c r="Z461" s="5709"/>
      <c r="AA461" s="5709">
        <v>0</v>
      </c>
      <c r="AB461" s="5710" t="s">
        <v>1104</v>
      </c>
      <c r="AC461" s="5710" t="s">
        <v>1055</v>
      </c>
      <c r="AD461" s="5710" t="s">
        <v>1105</v>
      </c>
      <c r="AE461" s="5721">
        <v>0.2</v>
      </c>
      <c r="AF461" s="5709">
        <v>1189912</v>
      </c>
      <c r="AG461" s="5709">
        <f t="shared" si="91"/>
        <v>1189912</v>
      </c>
      <c r="AH461" s="5710" t="s">
        <v>206</v>
      </c>
      <c r="AI461" s="5709">
        <v>43175</v>
      </c>
      <c r="AJ461" s="5709">
        <v>1189912</v>
      </c>
      <c r="AK461" s="5709" t="s">
        <v>171</v>
      </c>
      <c r="AL461" s="5709">
        <v>1189912</v>
      </c>
      <c r="AM461" s="5709">
        <v>43175</v>
      </c>
      <c r="AN461" s="5709">
        <v>1189912</v>
      </c>
      <c r="AO461" s="5709">
        <v>43207</v>
      </c>
      <c r="AP461" s="5709">
        <v>0</v>
      </c>
      <c r="AQ461" s="5710" t="s">
        <v>1106</v>
      </c>
      <c r="AR461" s="5736" t="s">
        <v>128</v>
      </c>
      <c r="AS461" s="5710"/>
      <c r="AT461" s="5709"/>
      <c r="AU461" s="5709">
        <f>SUM(AG461:AG468)</f>
        <v>7511739.25</v>
      </c>
      <c r="AV461" s="5709">
        <f>SUM(AL461:AL468)</f>
        <v>7511739.25</v>
      </c>
      <c r="AW461" s="5709">
        <f>SUBTOTAL(9,AN461:AN468)</f>
        <v>7511739.25</v>
      </c>
      <c r="AX461" s="5709">
        <v>0</v>
      </c>
      <c r="AY461" s="5709">
        <f>AU461-AV461</f>
        <v>0</v>
      </c>
      <c r="AZ461" s="5709">
        <f>AV461-AW461</f>
        <v>0</v>
      </c>
      <c r="BA461" s="5709"/>
      <c r="BB461" s="5709"/>
      <c r="BC461" s="5709">
        <v>1189912</v>
      </c>
      <c r="BD461" s="5709"/>
      <c r="BE461" s="5709"/>
      <c r="BF461" s="5709"/>
      <c r="BG461" s="5709"/>
      <c r="BH461" s="5709"/>
      <c r="BI461" s="5709"/>
      <c r="BJ461" s="5709"/>
      <c r="BK461" s="5709"/>
      <c r="BL461" s="5709"/>
      <c r="BM461" s="5709"/>
      <c r="BN461" s="5709"/>
      <c r="BO461" s="5709"/>
      <c r="BP461" s="5709"/>
      <c r="BQ461" s="5709">
        <v>1189912</v>
      </c>
      <c r="BR461" s="5709"/>
      <c r="BS461" s="5709"/>
      <c r="BT461" s="5709"/>
      <c r="BU461" s="5709"/>
      <c r="BV461" s="5709"/>
      <c r="BW461" s="5709"/>
      <c r="BX461" s="5709"/>
      <c r="BY461" s="5709"/>
      <c r="BZ461" s="5709"/>
      <c r="CA461" s="5709"/>
      <c r="CB461" s="5709"/>
      <c r="CC461" s="5749" t="s">
        <v>247</v>
      </c>
      <c r="CD461" s="5749" t="s">
        <v>154</v>
      </c>
      <c r="CE461" s="5750"/>
      <c r="CF461" s="5750"/>
      <c r="CG461" s="5750"/>
      <c r="CH461" s="5750"/>
    </row>
    <row r="462" s="4978" customFormat="1" ht="61" spans="1:86">
      <c r="A462" s="5709"/>
      <c r="B462" s="5710"/>
      <c r="C462" s="5709"/>
      <c r="D462" s="5710"/>
      <c r="E462" s="5709"/>
      <c r="F462" s="5710"/>
      <c r="G462" s="5710"/>
      <c r="H462" s="5709"/>
      <c r="I462" s="5709"/>
      <c r="J462" s="5710"/>
      <c r="K462" s="5709"/>
      <c r="L462" s="5710"/>
      <c r="M462" s="5709"/>
      <c r="N462" s="5709"/>
      <c r="O462" s="5709"/>
      <c r="P462" s="5709"/>
      <c r="Q462" s="5709"/>
      <c r="R462" s="5709"/>
      <c r="S462" s="5709"/>
      <c r="T462" s="5709"/>
      <c r="U462" s="5709"/>
      <c r="V462" s="5709"/>
      <c r="W462" s="5709"/>
      <c r="X462" s="5709"/>
      <c r="Y462" s="5709"/>
      <c r="Z462" s="5709"/>
      <c r="AA462" s="5709"/>
      <c r="AB462" s="5710"/>
      <c r="AC462" s="5710" t="s">
        <v>1057</v>
      </c>
      <c r="AD462" s="5710" t="s">
        <v>1107</v>
      </c>
      <c r="AE462" s="5721">
        <v>0.5</v>
      </c>
      <c r="AF462" s="5709">
        <v>2974780</v>
      </c>
      <c r="AG462" s="5709">
        <f t="shared" si="91"/>
        <v>2974780</v>
      </c>
      <c r="AH462" s="5710" t="s">
        <v>206</v>
      </c>
      <c r="AI462" s="5709">
        <v>43285</v>
      </c>
      <c r="AJ462" s="5709">
        <v>2974780</v>
      </c>
      <c r="AK462" s="5709" t="s">
        <v>171</v>
      </c>
      <c r="AL462" s="5709">
        <v>2974780</v>
      </c>
      <c r="AM462" s="5709">
        <v>43285</v>
      </c>
      <c r="AN462" s="5709">
        <v>2974780</v>
      </c>
      <c r="AO462" s="5709">
        <v>43318</v>
      </c>
      <c r="AP462" s="5709">
        <v>0</v>
      </c>
      <c r="AQ462" s="5710"/>
      <c r="AR462" s="5709"/>
      <c r="AS462" s="5710"/>
      <c r="AT462" s="5709"/>
      <c r="AU462" s="5709"/>
      <c r="AV462" s="5709"/>
      <c r="AW462" s="5709"/>
      <c r="AX462" s="5709"/>
      <c r="AY462" s="5709"/>
      <c r="AZ462" s="5709"/>
      <c r="BA462" s="5709"/>
      <c r="BB462" s="5709"/>
      <c r="BC462" s="5709">
        <v>2974780</v>
      </c>
      <c r="BD462" s="5709"/>
      <c r="BE462" s="5709"/>
      <c r="BF462" s="5709"/>
      <c r="BG462" s="5709"/>
      <c r="BH462" s="5709"/>
      <c r="BI462" s="5709"/>
      <c r="BJ462" s="5709"/>
      <c r="BK462" s="5709"/>
      <c r="BL462" s="5709"/>
      <c r="BM462" s="5709"/>
      <c r="BN462" s="5709"/>
      <c r="BO462" s="5709"/>
      <c r="BP462" s="5709"/>
      <c r="BQ462" s="5709">
        <v>2974780</v>
      </c>
      <c r="BR462" s="5709"/>
      <c r="BS462" s="5709"/>
      <c r="BT462" s="5709"/>
      <c r="BU462" s="5709"/>
      <c r="BV462" s="5709"/>
      <c r="BW462" s="5709"/>
      <c r="BX462" s="5709"/>
      <c r="BY462" s="5709"/>
      <c r="BZ462" s="5709"/>
      <c r="CA462" s="5709"/>
      <c r="CB462" s="5709"/>
      <c r="CC462" s="5749"/>
      <c r="CD462" s="5749"/>
      <c r="CE462" s="5750"/>
      <c r="CF462" s="5750"/>
      <c r="CG462" s="5750"/>
      <c r="CH462" s="5750"/>
    </row>
    <row r="463" s="4978" customFormat="1" ht="46" spans="1:86">
      <c r="A463" s="5709"/>
      <c r="B463" s="5710"/>
      <c r="C463" s="5709"/>
      <c r="D463" s="5710"/>
      <c r="E463" s="5709"/>
      <c r="F463" s="5710"/>
      <c r="G463" s="5710"/>
      <c r="H463" s="5709"/>
      <c r="I463" s="5709"/>
      <c r="J463" s="5710"/>
      <c r="K463" s="5709"/>
      <c r="L463" s="5710"/>
      <c r="M463" s="5709"/>
      <c r="N463" s="5709"/>
      <c r="O463" s="5709"/>
      <c r="P463" s="5709"/>
      <c r="Q463" s="5709"/>
      <c r="R463" s="5709"/>
      <c r="S463" s="5709"/>
      <c r="T463" s="5709"/>
      <c r="U463" s="5709"/>
      <c r="V463" s="5709"/>
      <c r="W463" s="5709"/>
      <c r="X463" s="5709"/>
      <c r="Y463" s="5709"/>
      <c r="Z463" s="5709"/>
      <c r="AA463" s="5709"/>
      <c r="AB463" s="5710"/>
      <c r="AC463" s="5710" t="s">
        <v>1059</v>
      </c>
      <c r="AD463" s="5710" t="s">
        <v>1108</v>
      </c>
      <c r="AE463" s="5721">
        <v>0.25</v>
      </c>
      <c r="AF463" s="5709">
        <v>1487390</v>
      </c>
      <c r="AG463" s="5709">
        <f t="shared" si="91"/>
        <v>1487390</v>
      </c>
      <c r="AH463" s="5710" t="s">
        <v>206</v>
      </c>
      <c r="AI463" s="5709">
        <v>43348</v>
      </c>
      <c r="AJ463" s="5709">
        <v>1487390</v>
      </c>
      <c r="AK463" s="5709" t="s">
        <v>171</v>
      </c>
      <c r="AL463" s="5709">
        <v>1487390</v>
      </c>
      <c r="AM463" s="5709">
        <v>43348</v>
      </c>
      <c r="AN463" s="5709">
        <v>1487390</v>
      </c>
      <c r="AO463" s="5709">
        <v>43419</v>
      </c>
      <c r="AP463" s="5709">
        <v>0</v>
      </c>
      <c r="AQ463" s="5710"/>
      <c r="AR463" s="5709"/>
      <c r="AS463" s="5710"/>
      <c r="AT463" s="5709"/>
      <c r="AU463" s="5709"/>
      <c r="AV463" s="5709"/>
      <c r="AW463" s="5709"/>
      <c r="AX463" s="5709"/>
      <c r="AY463" s="5709"/>
      <c r="AZ463" s="5709"/>
      <c r="BA463" s="5709"/>
      <c r="BB463" s="5709"/>
      <c r="BC463" s="5709">
        <v>1487390</v>
      </c>
      <c r="BD463" s="5709"/>
      <c r="BE463" s="5709"/>
      <c r="BF463" s="5709"/>
      <c r="BG463" s="5709"/>
      <c r="BH463" s="5709"/>
      <c r="BI463" s="5709"/>
      <c r="BJ463" s="5709"/>
      <c r="BK463" s="5709"/>
      <c r="BL463" s="5709"/>
      <c r="BM463" s="5709"/>
      <c r="BN463" s="5709"/>
      <c r="BO463" s="5709"/>
      <c r="BP463" s="5709"/>
      <c r="BQ463" s="5709">
        <v>1487390</v>
      </c>
      <c r="BR463" s="5709"/>
      <c r="BS463" s="5709"/>
      <c r="BT463" s="5709"/>
      <c r="BU463" s="5709"/>
      <c r="BV463" s="5709"/>
      <c r="BW463" s="5709"/>
      <c r="BX463" s="5709"/>
      <c r="BY463" s="5709"/>
      <c r="BZ463" s="5709"/>
      <c r="CA463" s="5709"/>
      <c r="CB463" s="5709"/>
      <c r="CC463" s="5749"/>
      <c r="CD463" s="5749"/>
      <c r="CE463" s="5750"/>
      <c r="CF463" s="5750"/>
      <c r="CG463" s="5750"/>
      <c r="CH463" s="5750"/>
    </row>
    <row r="464" s="4978" customFormat="1" ht="31" spans="1:86">
      <c r="A464" s="5709"/>
      <c r="B464" s="5710"/>
      <c r="C464" s="5709"/>
      <c r="D464" s="5710"/>
      <c r="E464" s="5709"/>
      <c r="F464" s="5710"/>
      <c r="G464" s="5710"/>
      <c r="H464" s="5709"/>
      <c r="I464" s="5709"/>
      <c r="J464" s="5710"/>
      <c r="K464" s="5709"/>
      <c r="L464" s="5710"/>
      <c r="M464" s="5709"/>
      <c r="N464" s="5709"/>
      <c r="O464" s="5709"/>
      <c r="P464" s="5709"/>
      <c r="Q464" s="5709"/>
      <c r="R464" s="5709"/>
      <c r="S464" s="5709"/>
      <c r="T464" s="5709"/>
      <c r="U464" s="5709"/>
      <c r="V464" s="5709"/>
      <c r="W464" s="5709"/>
      <c r="X464" s="5709"/>
      <c r="Y464" s="5709"/>
      <c r="Z464" s="5709"/>
      <c r="AA464" s="5709"/>
      <c r="AB464" s="5710"/>
      <c r="AC464" s="5710" t="s">
        <v>1061</v>
      </c>
      <c r="AD464" s="5710" t="s">
        <v>1109</v>
      </c>
      <c r="AE464" s="5721">
        <v>0.05</v>
      </c>
      <c r="AF464" s="5709">
        <v>297478</v>
      </c>
      <c r="AG464" s="5709">
        <f t="shared" si="91"/>
        <v>357309.4</v>
      </c>
      <c r="AH464" s="5710" t="s">
        <v>122</v>
      </c>
      <c r="AI464" s="5709">
        <v>44383</v>
      </c>
      <c r="AJ464" s="5709">
        <v>357309.4</v>
      </c>
      <c r="AK464" s="5709">
        <v>44382</v>
      </c>
      <c r="AL464" s="5709">
        <v>357309.4</v>
      </c>
      <c r="AM464" s="5709">
        <v>44383</v>
      </c>
      <c r="AN464" s="5709">
        <v>357309.4</v>
      </c>
      <c r="AO464" s="5709">
        <v>44405</v>
      </c>
      <c r="AP464" s="5709">
        <v>0</v>
      </c>
      <c r="AQ464" s="5710"/>
      <c r="AR464" s="5709"/>
      <c r="AS464" s="5710"/>
      <c r="AT464" s="5709"/>
      <c r="AU464" s="5709"/>
      <c r="AV464" s="5709"/>
      <c r="AW464" s="5709"/>
      <c r="AX464" s="5709"/>
      <c r="AY464" s="5709"/>
      <c r="AZ464" s="5709"/>
      <c r="BA464" s="5709"/>
      <c r="BB464" s="5709"/>
      <c r="BC464" s="5709">
        <v>357309.4</v>
      </c>
      <c r="BD464" s="5709"/>
      <c r="BE464" s="5709"/>
      <c r="BF464" s="5709"/>
      <c r="BG464" s="5709"/>
      <c r="BH464" s="5709"/>
      <c r="BI464" s="5709"/>
      <c r="BJ464" s="5709"/>
      <c r="BK464" s="5709"/>
      <c r="BL464" s="5709"/>
      <c r="BM464" s="5709"/>
      <c r="BN464" s="5709"/>
      <c r="BO464" s="5746"/>
      <c r="BP464" s="5746"/>
      <c r="BQ464" s="5709">
        <v>357309.4</v>
      </c>
      <c r="BR464" s="5746"/>
      <c r="BS464" s="5746"/>
      <c r="BT464" s="5746"/>
      <c r="BU464" s="5746"/>
      <c r="BV464" s="5746"/>
      <c r="BW464" s="5746"/>
      <c r="BX464" s="5746"/>
      <c r="BY464" s="5746"/>
      <c r="BZ464" s="5746"/>
      <c r="CA464" s="5746"/>
      <c r="CB464" s="5746"/>
      <c r="CC464" s="5749"/>
      <c r="CD464" s="5749"/>
      <c r="CE464" s="5750"/>
      <c r="CF464" s="5750"/>
      <c r="CG464" s="5750"/>
      <c r="CH464" s="5750"/>
    </row>
    <row r="465" s="4978" customFormat="1" ht="31" spans="1:86">
      <c r="A465" s="5709"/>
      <c r="B465" s="5710"/>
      <c r="C465" s="5709"/>
      <c r="D465" s="5710"/>
      <c r="E465" s="5709"/>
      <c r="F465" s="5710"/>
      <c r="G465" s="5710"/>
      <c r="H465" s="5709"/>
      <c r="I465" s="5709"/>
      <c r="J465" s="5710"/>
      <c r="K465" s="5709"/>
      <c r="L465" s="5710"/>
      <c r="M465" s="5709"/>
      <c r="N465" s="5709"/>
      <c r="O465" s="5709"/>
      <c r="P465" s="5709"/>
      <c r="Q465" s="5709"/>
      <c r="R465" s="5709"/>
      <c r="S465" s="5709"/>
      <c r="T465" s="5709"/>
      <c r="U465" s="5709"/>
      <c r="V465" s="5709"/>
      <c r="W465" s="5709"/>
      <c r="X465" s="5709"/>
      <c r="Y465" s="5709"/>
      <c r="Z465" s="5709"/>
      <c r="AA465" s="5709"/>
      <c r="AB465" s="5710"/>
      <c r="AC465" s="5710" t="s">
        <v>1110</v>
      </c>
      <c r="AD465" s="5710" t="s">
        <v>1111</v>
      </c>
      <c r="AE465" s="5721">
        <v>0.2</v>
      </c>
      <c r="AF465" s="5709">
        <v>297478</v>
      </c>
      <c r="AG465" s="5709">
        <f t="shared" si="91"/>
        <v>297478</v>
      </c>
      <c r="AH465" s="5710" t="s">
        <v>206</v>
      </c>
      <c r="AI465" s="5709">
        <v>43175</v>
      </c>
      <c r="AJ465" s="5709">
        <v>297478</v>
      </c>
      <c r="AK465" s="5709" t="s">
        <v>171</v>
      </c>
      <c r="AL465" s="5709">
        <v>297478</v>
      </c>
      <c r="AM465" s="5709">
        <v>43175</v>
      </c>
      <c r="AN465" s="5709">
        <v>297478</v>
      </c>
      <c r="AO465" s="5709">
        <v>43207</v>
      </c>
      <c r="AP465" s="5709">
        <v>0</v>
      </c>
      <c r="AQ465" s="5710"/>
      <c r="AR465" s="5709"/>
      <c r="AS465" s="5710"/>
      <c r="AT465" s="5709" t="s">
        <v>171</v>
      </c>
      <c r="AU465" s="5709"/>
      <c r="AV465" s="5709"/>
      <c r="AW465" s="5709"/>
      <c r="AX465" s="5709"/>
      <c r="AY465" s="5709"/>
      <c r="AZ465" s="5709"/>
      <c r="BA465" s="5709"/>
      <c r="BB465" s="5709"/>
      <c r="BC465" s="5709"/>
      <c r="BD465" s="5709"/>
      <c r="BE465" s="5709"/>
      <c r="BF465" s="5709"/>
      <c r="BG465" s="5709"/>
      <c r="BH465" s="5709">
        <v>297478</v>
      </c>
      <c r="BI465" s="5709"/>
      <c r="BJ465" s="5709"/>
      <c r="BK465" s="5709"/>
      <c r="BL465" s="5709"/>
      <c r="BM465" s="5709"/>
      <c r="BN465" s="5709"/>
      <c r="BO465" s="5709"/>
      <c r="BP465" s="5709"/>
      <c r="BQ465" s="5709"/>
      <c r="BR465" s="5709"/>
      <c r="BS465" s="5709"/>
      <c r="BT465" s="5709"/>
      <c r="BU465" s="5709"/>
      <c r="BV465" s="5709">
        <v>297478</v>
      </c>
      <c r="BW465" s="5709"/>
      <c r="BX465" s="5709"/>
      <c r="BY465" s="5709"/>
      <c r="BZ465" s="5709"/>
      <c r="CA465" s="5709"/>
      <c r="CB465" s="5709"/>
      <c r="CC465" s="5749" t="s">
        <v>1112</v>
      </c>
      <c r="CD465" s="5749" t="s">
        <v>154</v>
      </c>
      <c r="CE465" s="5750"/>
      <c r="CF465" s="5750"/>
      <c r="CG465" s="5750"/>
      <c r="CH465" s="5750"/>
    </row>
    <row r="466" s="4978" customFormat="1" ht="31" spans="1:86">
      <c r="A466" s="5709"/>
      <c r="B466" s="5710"/>
      <c r="C466" s="5709"/>
      <c r="D466" s="5710"/>
      <c r="E466" s="5709"/>
      <c r="F466" s="5710"/>
      <c r="G466" s="5710"/>
      <c r="H466" s="5709"/>
      <c r="I466" s="5709"/>
      <c r="J466" s="5710"/>
      <c r="K466" s="5709"/>
      <c r="L466" s="5710"/>
      <c r="M466" s="5709"/>
      <c r="N466" s="5709"/>
      <c r="O466" s="5709"/>
      <c r="P466" s="5709"/>
      <c r="Q466" s="5709"/>
      <c r="R466" s="5709"/>
      <c r="S466" s="5709"/>
      <c r="T466" s="5709"/>
      <c r="U466" s="5709"/>
      <c r="V466" s="5709"/>
      <c r="W466" s="5709"/>
      <c r="X466" s="5709"/>
      <c r="Y466" s="5709"/>
      <c r="Z466" s="5709"/>
      <c r="AA466" s="5709"/>
      <c r="AB466" s="5710"/>
      <c r="AC466" s="5710" t="s">
        <v>1113</v>
      </c>
      <c r="AD466" s="5710" t="s">
        <v>1114</v>
      </c>
      <c r="AE466" s="5721">
        <v>0.3</v>
      </c>
      <c r="AF466" s="5709">
        <v>446217</v>
      </c>
      <c r="AG466" s="5709">
        <f t="shared" si="91"/>
        <v>446217</v>
      </c>
      <c r="AH466" s="5710" t="s">
        <v>206</v>
      </c>
      <c r="AI466" s="5709">
        <v>43285</v>
      </c>
      <c r="AJ466" s="5709">
        <v>446217</v>
      </c>
      <c r="AK466" s="5709" t="s">
        <v>171</v>
      </c>
      <c r="AL466" s="5709">
        <v>446217</v>
      </c>
      <c r="AM466" s="5709">
        <v>43285</v>
      </c>
      <c r="AN466" s="5709">
        <v>446217</v>
      </c>
      <c r="AO466" s="5709">
        <v>43318</v>
      </c>
      <c r="AP466" s="5709">
        <v>0</v>
      </c>
      <c r="AQ466" s="5710"/>
      <c r="AR466" s="5709"/>
      <c r="AS466" s="5710"/>
      <c r="AT466" s="5709" t="s">
        <v>171</v>
      </c>
      <c r="AU466" s="5709"/>
      <c r="AV466" s="5709"/>
      <c r="AW466" s="5709"/>
      <c r="AX466" s="5709"/>
      <c r="AY466" s="5709"/>
      <c r="AZ466" s="5709"/>
      <c r="BA466" s="5709"/>
      <c r="BB466" s="5709"/>
      <c r="BC466" s="5709"/>
      <c r="BD466" s="5709"/>
      <c r="BE466" s="5709"/>
      <c r="BF466" s="5709"/>
      <c r="BG466" s="5709"/>
      <c r="BH466" s="5709">
        <v>446217</v>
      </c>
      <c r="BI466" s="5709"/>
      <c r="BJ466" s="5709"/>
      <c r="BK466" s="5709"/>
      <c r="BL466" s="5709"/>
      <c r="BM466" s="5709"/>
      <c r="BN466" s="5709"/>
      <c r="BO466" s="5709"/>
      <c r="BP466" s="5709"/>
      <c r="BQ466" s="5709"/>
      <c r="BR466" s="5709"/>
      <c r="BS466" s="5709"/>
      <c r="BT466" s="5709"/>
      <c r="BU466" s="5709"/>
      <c r="BV466" s="5709">
        <v>446217</v>
      </c>
      <c r="BW466" s="5709"/>
      <c r="BX466" s="5709"/>
      <c r="BY466" s="5709"/>
      <c r="BZ466" s="5709"/>
      <c r="CA466" s="5709"/>
      <c r="CB466" s="5709"/>
      <c r="CC466" s="5749"/>
      <c r="CD466" s="5749"/>
      <c r="CE466" s="5750"/>
      <c r="CF466" s="5750"/>
      <c r="CG466" s="5750"/>
      <c r="CH466" s="5750"/>
    </row>
    <row r="467" s="4978" customFormat="1" spans="1:86">
      <c r="A467" s="5709"/>
      <c r="B467" s="5710"/>
      <c r="C467" s="5709"/>
      <c r="D467" s="5710"/>
      <c r="E467" s="5709"/>
      <c r="F467" s="5710"/>
      <c r="G467" s="5710"/>
      <c r="H467" s="5709"/>
      <c r="I467" s="5709"/>
      <c r="J467" s="5710"/>
      <c r="K467" s="5709"/>
      <c r="L467" s="5710"/>
      <c r="M467" s="5709"/>
      <c r="N467" s="5709"/>
      <c r="O467" s="5709"/>
      <c r="P467" s="5709"/>
      <c r="Q467" s="5709"/>
      <c r="R467" s="5709"/>
      <c r="S467" s="5709"/>
      <c r="T467" s="5709"/>
      <c r="U467" s="5709"/>
      <c r="V467" s="5709"/>
      <c r="W467" s="5709"/>
      <c r="X467" s="5709"/>
      <c r="Y467" s="5709"/>
      <c r="Z467" s="5709"/>
      <c r="AA467" s="5709"/>
      <c r="AB467" s="5710"/>
      <c r="AC467" s="5710" t="s">
        <v>1115</v>
      </c>
      <c r="AD467" s="5710" t="s">
        <v>1116</v>
      </c>
      <c r="AE467" s="5722">
        <v>0.5</v>
      </c>
      <c r="AF467" s="5709">
        <v>743695</v>
      </c>
      <c r="AG467" s="5709">
        <f t="shared" si="91"/>
        <v>743695</v>
      </c>
      <c r="AH467" s="5710" t="s">
        <v>206</v>
      </c>
      <c r="AI467" s="5709">
        <v>43348</v>
      </c>
      <c r="AJ467" s="5709">
        <v>743695</v>
      </c>
      <c r="AK467" s="5709" t="s">
        <v>171</v>
      </c>
      <c r="AL467" s="5709">
        <v>743695</v>
      </c>
      <c r="AM467" s="5709">
        <v>43348</v>
      </c>
      <c r="AN467" s="5709">
        <v>743695</v>
      </c>
      <c r="AO467" s="5709">
        <v>43419</v>
      </c>
      <c r="AP467" s="5709">
        <v>0</v>
      </c>
      <c r="AQ467" s="5710"/>
      <c r="AR467" s="5709"/>
      <c r="AS467" s="5710"/>
      <c r="AT467" s="5709" t="s">
        <v>171</v>
      </c>
      <c r="AU467" s="5709"/>
      <c r="AV467" s="5709"/>
      <c r="AW467" s="5709"/>
      <c r="AX467" s="5709"/>
      <c r="AY467" s="5709"/>
      <c r="AZ467" s="5709"/>
      <c r="BA467" s="5709"/>
      <c r="BB467" s="5709"/>
      <c r="BC467" s="5709"/>
      <c r="BD467" s="5709"/>
      <c r="BE467" s="5709"/>
      <c r="BF467" s="5709"/>
      <c r="BG467" s="5709"/>
      <c r="BH467" s="5709">
        <v>743695</v>
      </c>
      <c r="BI467" s="5709"/>
      <c r="BJ467" s="5709"/>
      <c r="BK467" s="5709"/>
      <c r="BL467" s="5709"/>
      <c r="BM467" s="5709"/>
      <c r="BN467" s="5709"/>
      <c r="BO467" s="5709"/>
      <c r="BP467" s="5709"/>
      <c r="BQ467" s="5709"/>
      <c r="BR467" s="5709"/>
      <c r="BS467" s="5709"/>
      <c r="BT467" s="5709"/>
      <c r="BU467" s="5709"/>
      <c r="BV467" s="5709">
        <v>743695</v>
      </c>
      <c r="BW467" s="5709"/>
      <c r="BX467" s="5709"/>
      <c r="BY467" s="5709"/>
      <c r="BZ467" s="5709"/>
      <c r="CA467" s="5709"/>
      <c r="CB467" s="5709"/>
      <c r="CC467" s="5749"/>
      <c r="CD467" s="5749"/>
      <c r="CE467" s="5750"/>
      <c r="CF467" s="5750"/>
      <c r="CG467" s="5750"/>
      <c r="CH467" s="5750"/>
    </row>
    <row r="468" s="4978" customFormat="1" ht="33.75" customHeight="1" spans="1:86">
      <c r="A468" s="5709"/>
      <c r="B468" s="5710"/>
      <c r="C468" s="5709"/>
      <c r="D468" s="5710"/>
      <c r="E468" s="5709"/>
      <c r="F468" s="5710"/>
      <c r="G468" s="5710"/>
      <c r="H468" s="5709"/>
      <c r="I468" s="5709"/>
      <c r="J468" s="5710"/>
      <c r="K468" s="5709"/>
      <c r="L468" s="5710"/>
      <c r="M468" s="5709"/>
      <c r="N468" s="5709"/>
      <c r="O468" s="5709"/>
      <c r="P468" s="5709"/>
      <c r="Q468" s="5709"/>
      <c r="R468" s="5709"/>
      <c r="S468" s="5709"/>
      <c r="T468" s="5709"/>
      <c r="U468" s="5709"/>
      <c r="V468" s="5709"/>
      <c r="W468" s="5709"/>
      <c r="X468" s="5709"/>
      <c r="Y468" s="5709"/>
      <c r="Z468" s="5709"/>
      <c r="AA468" s="5709"/>
      <c r="AB468" s="5710"/>
      <c r="AC468" s="5710"/>
      <c r="AD468" s="5710"/>
      <c r="AE468" s="5722"/>
      <c r="AF468" s="5709"/>
      <c r="AG468" s="5709">
        <f t="shared" si="91"/>
        <v>14957.85</v>
      </c>
      <c r="AH468" s="5710" t="s">
        <v>122</v>
      </c>
      <c r="AI468" s="5709">
        <v>44383</v>
      </c>
      <c r="AJ468" s="5709">
        <v>14957.85</v>
      </c>
      <c r="AK468" s="5709">
        <v>44382</v>
      </c>
      <c r="AL468" s="5709">
        <v>14957.85</v>
      </c>
      <c r="AM468" s="5709">
        <v>44383</v>
      </c>
      <c r="AN468" s="5709">
        <v>14957.85</v>
      </c>
      <c r="AO468" s="5709">
        <v>44405</v>
      </c>
      <c r="AP468" s="5709">
        <v>0</v>
      </c>
      <c r="AQ468" s="5710"/>
      <c r="AR468" s="5709"/>
      <c r="AS468" s="5710"/>
      <c r="AT468" s="5709"/>
      <c r="AU468" s="5709"/>
      <c r="AV468" s="5709"/>
      <c r="AW468" s="5709"/>
      <c r="AX468" s="5709"/>
      <c r="AY468" s="5709"/>
      <c r="AZ468" s="5709"/>
      <c r="BA468" s="5709"/>
      <c r="BB468" s="5709"/>
      <c r="BC468" s="5709"/>
      <c r="BD468" s="5709"/>
      <c r="BE468" s="5709"/>
      <c r="BF468" s="5709"/>
      <c r="BG468" s="5709"/>
      <c r="BH468" s="5709">
        <v>14957.85</v>
      </c>
      <c r="BI468" s="5709"/>
      <c r="BJ468" s="5709"/>
      <c r="BK468" s="5709"/>
      <c r="BL468" s="5709"/>
      <c r="BM468" s="5709"/>
      <c r="BN468" s="5709"/>
      <c r="BO468" s="5746"/>
      <c r="BP468" s="5746"/>
      <c r="BQ468" s="5746"/>
      <c r="BR468" s="5746"/>
      <c r="BS468" s="5746"/>
      <c r="BT468" s="5746"/>
      <c r="BU468" s="5746"/>
      <c r="BV468" s="5709">
        <v>14957.85</v>
      </c>
      <c r="BW468" s="5746"/>
      <c r="BX468" s="5746"/>
      <c r="BY468" s="5746"/>
      <c r="BZ468" s="5746"/>
      <c r="CA468" s="5746"/>
      <c r="CB468" s="5746"/>
      <c r="CC468" s="5749"/>
      <c r="CD468" s="5749"/>
      <c r="CE468" s="5750"/>
      <c r="CF468" s="5750"/>
      <c r="CG468" s="5750"/>
      <c r="CH468" s="5750"/>
    </row>
    <row r="469" s="4978" customFormat="1" ht="31" spans="1:86">
      <c r="A469" s="2957">
        <v>82</v>
      </c>
      <c r="B469" s="5196" t="s">
        <v>1003</v>
      </c>
      <c r="C469" s="2957">
        <v>43138</v>
      </c>
      <c r="D469" s="440" t="s">
        <v>1117</v>
      </c>
      <c r="E469" s="2957" t="s">
        <v>113</v>
      </c>
      <c r="F469" s="5196" t="s">
        <v>1118</v>
      </c>
      <c r="G469" s="5196" t="s">
        <v>1119</v>
      </c>
      <c r="H469" s="2957" t="s">
        <v>1120</v>
      </c>
      <c r="I469" s="2957"/>
      <c r="J469" s="5196" t="s">
        <v>1121</v>
      </c>
      <c r="K469" s="2957">
        <v>229638</v>
      </c>
      <c r="L469" s="5196" t="s">
        <v>1122</v>
      </c>
      <c r="M469" s="2957">
        <v>5970588</v>
      </c>
      <c r="N469" s="2957">
        <v>0</v>
      </c>
      <c r="O469" s="2957">
        <v>4363122</v>
      </c>
      <c r="P469" s="2957">
        <v>0</v>
      </c>
      <c r="Q469" s="2957">
        <v>0</v>
      </c>
      <c r="R469" s="2957">
        <v>0</v>
      </c>
      <c r="S469" s="2957">
        <v>0</v>
      </c>
      <c r="T469" s="2957"/>
      <c r="U469" s="2957">
        <v>1607466</v>
      </c>
      <c r="V469" s="2957">
        <v>0</v>
      </c>
      <c r="W469" s="2957">
        <v>0</v>
      </c>
      <c r="X469" s="2957">
        <v>0</v>
      </c>
      <c r="Y469" s="2957"/>
      <c r="Z469" s="2957"/>
      <c r="AA469" s="2957">
        <v>0</v>
      </c>
      <c r="AB469" s="2957" t="s">
        <v>171</v>
      </c>
      <c r="AC469" s="5196" t="s">
        <v>1123</v>
      </c>
      <c r="AD469" s="5196" t="s">
        <v>1124</v>
      </c>
      <c r="AE469" s="5723">
        <v>0.2</v>
      </c>
      <c r="AF469" s="2957">
        <v>1194117.6</v>
      </c>
      <c r="AG469" s="2957">
        <f t="shared" si="91"/>
        <v>1194117.6</v>
      </c>
      <c r="AH469" s="5196" t="s">
        <v>206</v>
      </c>
      <c r="AI469" s="2957">
        <v>43175</v>
      </c>
      <c r="AJ469" s="2957">
        <v>1194117.6</v>
      </c>
      <c r="AK469" s="2957" t="s">
        <v>171</v>
      </c>
      <c r="AL469" s="2957">
        <v>1194117.6</v>
      </c>
      <c r="AM469" s="2957">
        <v>43175</v>
      </c>
      <c r="AN469" s="2957">
        <v>1194117.6</v>
      </c>
      <c r="AO469" s="2957">
        <v>43207</v>
      </c>
      <c r="AP469" s="2957">
        <v>0</v>
      </c>
      <c r="AQ469" s="5737"/>
      <c r="AR469" s="2957" t="s">
        <v>1037</v>
      </c>
      <c r="AS469" s="5196"/>
      <c r="AT469" s="2957">
        <v>43237</v>
      </c>
      <c r="AU469" s="2957">
        <f>SUM(AG469:AG472)</f>
        <v>6068898.68</v>
      </c>
      <c r="AV469" s="2957">
        <f>SUM(AL469:AL472)</f>
        <v>6068898.68</v>
      </c>
      <c r="AW469" s="2957">
        <f>SUM(AN469:AN472)</f>
        <v>6068898.68</v>
      </c>
      <c r="AX469" s="2957">
        <f>M469-AU469</f>
        <v>-98310.6799999997</v>
      </c>
      <c r="AY469" s="2957">
        <f>AU469-AV469</f>
        <v>0</v>
      </c>
      <c r="AZ469" s="2957">
        <f>AV469-AW469</f>
        <v>0</v>
      </c>
      <c r="BA469" s="2957"/>
      <c r="BB469" s="2957">
        <v>872624.4</v>
      </c>
      <c r="BC469" s="2957"/>
      <c r="BD469" s="2957"/>
      <c r="BE469" s="2957"/>
      <c r="BF469" s="2957"/>
      <c r="BG469" s="2957"/>
      <c r="BH469" s="2957">
        <v>321493.2</v>
      </c>
      <c r="BI469" s="2957"/>
      <c r="BJ469" s="2957"/>
      <c r="BK469" s="2957"/>
      <c r="BL469" s="2957"/>
      <c r="BM469" s="2957"/>
      <c r="BN469" s="2957"/>
      <c r="BO469" s="2957"/>
      <c r="BP469" s="2957">
        <v>872624.4</v>
      </c>
      <c r="BQ469" s="2957"/>
      <c r="BR469" s="2957"/>
      <c r="BS469" s="2957"/>
      <c r="BT469" s="2957"/>
      <c r="BU469" s="2957"/>
      <c r="BV469" s="2957">
        <v>321493.2</v>
      </c>
      <c r="BW469" s="2957"/>
      <c r="BX469" s="2957"/>
      <c r="BY469" s="2957"/>
      <c r="BZ469" s="2957"/>
      <c r="CA469" s="2957"/>
      <c r="CB469" s="2957"/>
      <c r="CC469" s="2682" t="s">
        <v>1112</v>
      </c>
      <c r="CD469" s="2682" t="s">
        <v>154</v>
      </c>
      <c r="CE469" s="5750"/>
      <c r="CF469" s="5750"/>
      <c r="CG469" s="5750"/>
      <c r="CH469" s="5750"/>
    </row>
    <row r="470" s="4978" customFormat="1" ht="46" spans="1:86">
      <c r="A470" s="2957"/>
      <c r="B470" s="5196"/>
      <c r="C470" s="2957"/>
      <c r="D470" s="5196"/>
      <c r="E470" s="2957"/>
      <c r="F470" s="5196"/>
      <c r="G470" s="5196"/>
      <c r="H470" s="2957"/>
      <c r="I470" s="2957"/>
      <c r="J470" s="5196"/>
      <c r="K470" s="2957"/>
      <c r="L470" s="5196"/>
      <c r="M470" s="2957"/>
      <c r="N470" s="2957"/>
      <c r="O470" s="2957"/>
      <c r="P470" s="2957"/>
      <c r="Q470" s="2957"/>
      <c r="R470" s="2957"/>
      <c r="S470" s="2957"/>
      <c r="T470" s="2957"/>
      <c r="U470" s="2957"/>
      <c r="V470" s="2957"/>
      <c r="W470" s="2957"/>
      <c r="X470" s="2957"/>
      <c r="Y470" s="2957"/>
      <c r="Z470" s="2957"/>
      <c r="AA470" s="2957"/>
      <c r="AB470" s="2957"/>
      <c r="AC470" s="5196" t="s">
        <v>1125</v>
      </c>
      <c r="AD470" s="5196" t="s">
        <v>1126</v>
      </c>
      <c r="AE470" s="5723">
        <v>0.5</v>
      </c>
      <c r="AF470" s="2957">
        <v>2985294</v>
      </c>
      <c r="AG470" s="2957">
        <f t="shared" si="91"/>
        <v>2985294</v>
      </c>
      <c r="AH470" s="5196" t="s">
        <v>206</v>
      </c>
      <c r="AI470" s="2957">
        <v>43285</v>
      </c>
      <c r="AJ470" s="2957">
        <v>2985294</v>
      </c>
      <c r="AK470" s="2957" t="s">
        <v>171</v>
      </c>
      <c r="AL470" s="2957">
        <v>2985294</v>
      </c>
      <c r="AM470" s="2957">
        <v>43285</v>
      </c>
      <c r="AN470" s="2957">
        <v>2985294</v>
      </c>
      <c r="AO470" s="2957">
        <v>43307</v>
      </c>
      <c r="AP470" s="2957">
        <v>0</v>
      </c>
      <c r="AQ470" s="5737"/>
      <c r="AR470" s="2957" t="s">
        <v>1037</v>
      </c>
      <c r="AS470" s="5196"/>
      <c r="AT470" s="2957">
        <v>43655</v>
      </c>
      <c r="AU470" s="2957"/>
      <c r="AV470" s="2957"/>
      <c r="AW470" s="2957"/>
      <c r="AX470" s="2957"/>
      <c r="AY470" s="2957"/>
      <c r="AZ470" s="2957"/>
      <c r="BA470" s="2957"/>
      <c r="BB470" s="2957">
        <v>2181561</v>
      </c>
      <c r="BC470" s="2957"/>
      <c r="BD470" s="2957"/>
      <c r="BE470" s="2957"/>
      <c r="BF470" s="2957"/>
      <c r="BG470" s="2957"/>
      <c r="BH470" s="2957">
        <v>803733</v>
      </c>
      <c r="BI470" s="2957"/>
      <c r="BJ470" s="2957"/>
      <c r="BK470" s="2957"/>
      <c r="BL470" s="2957"/>
      <c r="BM470" s="2957"/>
      <c r="BN470" s="2957"/>
      <c r="BO470" s="2957"/>
      <c r="BP470" s="2957">
        <v>2181561</v>
      </c>
      <c r="BQ470" s="2957"/>
      <c r="BR470" s="2957"/>
      <c r="BS470" s="2957"/>
      <c r="BT470" s="2957"/>
      <c r="BU470" s="2957"/>
      <c r="BV470" s="2957">
        <v>803733</v>
      </c>
      <c r="BW470" s="2957"/>
      <c r="BX470" s="2957"/>
      <c r="BY470" s="2957"/>
      <c r="BZ470" s="2957"/>
      <c r="CA470" s="2957"/>
      <c r="CB470" s="2957"/>
      <c r="CC470" s="2682"/>
      <c r="CD470" s="2682"/>
      <c r="CE470" s="5750"/>
      <c r="CF470" s="5750"/>
      <c r="CG470" s="5750"/>
      <c r="CH470" s="5750"/>
    </row>
    <row r="471" s="4978" customFormat="1" ht="46" spans="1:86">
      <c r="A471" s="2957"/>
      <c r="B471" s="5196"/>
      <c r="C471" s="2957"/>
      <c r="D471" s="5196"/>
      <c r="E471" s="2957"/>
      <c r="F471" s="5196"/>
      <c r="G471" s="5196"/>
      <c r="H471" s="2957"/>
      <c r="I471" s="2957"/>
      <c r="J471" s="5196"/>
      <c r="K471" s="2957"/>
      <c r="L471" s="5196"/>
      <c r="M471" s="2957"/>
      <c r="N471" s="2957"/>
      <c r="O471" s="2957"/>
      <c r="P471" s="2957"/>
      <c r="Q471" s="2957"/>
      <c r="R471" s="2957"/>
      <c r="S471" s="2957"/>
      <c r="T471" s="2957"/>
      <c r="U471" s="2957"/>
      <c r="V471" s="2957"/>
      <c r="W471" s="2957"/>
      <c r="X471" s="2957"/>
      <c r="Y471" s="2957"/>
      <c r="Z471" s="2957"/>
      <c r="AA471" s="2957"/>
      <c r="AB471" s="2957"/>
      <c r="AC471" s="5196" t="s">
        <v>1127</v>
      </c>
      <c r="AD471" s="5196" t="s">
        <v>1108</v>
      </c>
      <c r="AE471" s="5723">
        <v>0.25</v>
      </c>
      <c r="AF471" s="2957">
        <v>1492647</v>
      </c>
      <c r="AG471" s="2957">
        <f t="shared" si="91"/>
        <v>1492647</v>
      </c>
      <c r="AH471" s="5196" t="s">
        <v>206</v>
      </c>
      <c r="AI471" s="2957">
        <v>43447</v>
      </c>
      <c r="AJ471" s="2957">
        <v>1492647</v>
      </c>
      <c r="AK471" s="2957" t="s">
        <v>171</v>
      </c>
      <c r="AL471" s="2957">
        <v>1492647</v>
      </c>
      <c r="AM471" s="2957">
        <v>43447</v>
      </c>
      <c r="AN471" s="2957">
        <v>1492647</v>
      </c>
      <c r="AO471" s="2957">
        <v>43493</v>
      </c>
      <c r="AP471" s="2957">
        <v>0</v>
      </c>
      <c r="AQ471" s="5737"/>
      <c r="AR471" s="2957"/>
      <c r="AS471" s="5196"/>
      <c r="AT471" s="2957"/>
      <c r="AU471" s="2957"/>
      <c r="AV471" s="2957"/>
      <c r="AW471" s="2957"/>
      <c r="AX471" s="2957"/>
      <c r="AY471" s="2957"/>
      <c r="AZ471" s="2957"/>
      <c r="BA471" s="2957"/>
      <c r="BB471" s="2957">
        <v>1090780.5</v>
      </c>
      <c r="BC471" s="2957"/>
      <c r="BD471" s="2957"/>
      <c r="BE471" s="2957"/>
      <c r="BF471" s="2957"/>
      <c r="BG471" s="2957"/>
      <c r="BH471" s="2957">
        <v>401866.5</v>
      </c>
      <c r="BI471" s="2957"/>
      <c r="BJ471" s="2957"/>
      <c r="BK471" s="2957"/>
      <c r="BL471" s="2957"/>
      <c r="BM471" s="2957"/>
      <c r="BN471" s="2957"/>
      <c r="BO471" s="2957"/>
      <c r="BP471" s="2957">
        <v>1090780.5</v>
      </c>
      <c r="BQ471" s="2957"/>
      <c r="BR471" s="2957"/>
      <c r="BS471" s="2957"/>
      <c r="BT471" s="2957"/>
      <c r="BU471" s="2957"/>
      <c r="BV471" s="2957">
        <v>401866.5</v>
      </c>
      <c r="BW471" s="2957"/>
      <c r="BX471" s="2957"/>
      <c r="BY471" s="2957"/>
      <c r="BZ471" s="2957"/>
      <c r="CA471" s="2957"/>
      <c r="CB471" s="2957"/>
      <c r="CC471" s="2682"/>
      <c r="CD471" s="2682"/>
      <c r="CE471" s="5750"/>
      <c r="CF471" s="5750"/>
      <c r="CG471" s="5750"/>
      <c r="CH471" s="5750"/>
    </row>
    <row r="472" s="4971" customFormat="1" ht="53.35" customHeight="1" spans="1:86">
      <c r="A472" s="2957"/>
      <c r="B472" s="5196"/>
      <c r="C472" s="2957"/>
      <c r="D472" s="5196"/>
      <c r="E472" s="2957"/>
      <c r="F472" s="5196"/>
      <c r="G472" s="5196"/>
      <c r="H472" s="2957"/>
      <c r="I472" s="2957"/>
      <c r="J472" s="5196"/>
      <c r="K472" s="2957"/>
      <c r="L472" s="5196"/>
      <c r="M472" s="2957"/>
      <c r="N472" s="2957"/>
      <c r="O472" s="2957"/>
      <c r="P472" s="2957"/>
      <c r="Q472" s="2957"/>
      <c r="R472" s="2957"/>
      <c r="S472" s="2957"/>
      <c r="T472" s="2957"/>
      <c r="U472" s="2957"/>
      <c r="V472" s="2957"/>
      <c r="W472" s="2957"/>
      <c r="X472" s="2957"/>
      <c r="Y472" s="2957"/>
      <c r="Z472" s="2957"/>
      <c r="AA472" s="2957"/>
      <c r="AB472" s="2957"/>
      <c r="AC472" s="3181" t="s">
        <v>1128</v>
      </c>
      <c r="AD472" s="5724" t="s">
        <v>1109</v>
      </c>
      <c r="AE472" s="5611">
        <v>0.05</v>
      </c>
      <c r="AF472" s="2682">
        <v>298529.4</v>
      </c>
      <c r="AG472" s="2957">
        <f t="shared" si="91"/>
        <v>396840.08</v>
      </c>
      <c r="AH472" s="600" t="s">
        <v>122</v>
      </c>
      <c r="AI472" s="2957">
        <v>45001</v>
      </c>
      <c r="AJ472" s="2957">
        <v>396840.08</v>
      </c>
      <c r="AK472" s="2682">
        <v>45001</v>
      </c>
      <c r="AL472" s="2957">
        <v>396840.08</v>
      </c>
      <c r="AM472" s="2682">
        <v>45001</v>
      </c>
      <c r="AN472" s="2682">
        <f>BO472+BP472+BQ472+BR472+BS472+BT472+BU472+BV472+BW472+BX472+CB472</f>
        <v>396840.08</v>
      </c>
      <c r="AO472" s="2682">
        <v>45071</v>
      </c>
      <c r="AP472" s="2682">
        <v>0</v>
      </c>
      <c r="AQ472" s="5738" t="s">
        <v>1129</v>
      </c>
      <c r="AR472" s="440" t="s">
        <v>1130</v>
      </c>
      <c r="AS472" s="5496"/>
      <c r="AT472" s="5410"/>
      <c r="AU472" s="2957"/>
      <c r="AV472" s="2957"/>
      <c r="AW472" s="2957"/>
      <c r="AX472" s="2957"/>
      <c r="AY472" s="2957"/>
      <c r="AZ472" s="2957"/>
      <c r="BA472" s="5410"/>
      <c r="BB472" s="2682"/>
      <c r="BC472" s="2682"/>
      <c r="BD472" s="5410"/>
      <c r="BE472" s="5410"/>
      <c r="BF472" s="5410"/>
      <c r="BG472" s="5410"/>
      <c r="BH472" s="2957">
        <v>106841.56</v>
      </c>
      <c r="BI472" s="2957"/>
      <c r="BJ472" s="2957"/>
      <c r="BK472" s="2957"/>
      <c r="BL472" s="2957"/>
      <c r="BM472" s="2957"/>
      <c r="BN472" s="2957">
        <v>289998.52</v>
      </c>
      <c r="BO472" s="5410"/>
      <c r="BP472" s="5410"/>
      <c r="BQ472" s="5410"/>
      <c r="BR472" s="5410"/>
      <c r="BS472" s="5410"/>
      <c r="BT472" s="5410"/>
      <c r="BU472" s="5410"/>
      <c r="BV472" s="2957">
        <v>106841.56</v>
      </c>
      <c r="BW472" s="2957"/>
      <c r="BX472" s="2957"/>
      <c r="BY472" s="2957"/>
      <c r="BZ472" s="2957"/>
      <c r="CA472" s="2957"/>
      <c r="CB472" s="2957">
        <v>289998.52</v>
      </c>
      <c r="CC472" s="2682"/>
      <c r="CD472" s="2682"/>
      <c r="CE472" s="5039"/>
      <c r="CF472" s="5039"/>
      <c r="CG472" s="5039"/>
      <c r="CH472" s="5039"/>
    </row>
    <row r="473" s="4971" customFormat="1" ht="37.5" customHeight="1" spans="1:86">
      <c r="A473" s="3812">
        <v>83</v>
      </c>
      <c r="B473" s="3812" t="s">
        <v>888</v>
      </c>
      <c r="C473" s="3812">
        <v>43116</v>
      </c>
      <c r="D473" s="1032" t="s">
        <v>1131</v>
      </c>
      <c r="E473" s="3812" t="s">
        <v>113</v>
      </c>
      <c r="F473" s="5059" t="s">
        <v>1132</v>
      </c>
      <c r="G473" s="5059" t="s">
        <v>1133</v>
      </c>
      <c r="H473" s="3812" t="s">
        <v>240</v>
      </c>
      <c r="I473" s="4840"/>
      <c r="J473" s="1032" t="s">
        <v>893</v>
      </c>
      <c r="K473" s="3812">
        <v>490000</v>
      </c>
      <c r="L473" s="5059" t="s">
        <v>1134</v>
      </c>
      <c r="M473" s="3812">
        <f>SUM(N473:AA476)</f>
        <v>10780000</v>
      </c>
      <c r="N473" s="3812">
        <v>0</v>
      </c>
      <c r="O473" s="3812">
        <v>0</v>
      </c>
      <c r="P473" s="3812">
        <f>K473*22</f>
        <v>10780000</v>
      </c>
      <c r="Q473" s="3812">
        <v>0</v>
      </c>
      <c r="R473" s="3812">
        <v>0</v>
      </c>
      <c r="S473" s="3812">
        <v>0</v>
      </c>
      <c r="T473" s="3812"/>
      <c r="U473" s="3812">
        <v>0</v>
      </c>
      <c r="V473" s="3812">
        <v>0</v>
      </c>
      <c r="W473" s="3812">
        <v>0</v>
      </c>
      <c r="X473" s="3812">
        <v>0</v>
      </c>
      <c r="Y473" s="3812"/>
      <c r="Z473" s="3812"/>
      <c r="AA473" s="3812">
        <v>0</v>
      </c>
      <c r="AB473" s="3812" t="s">
        <v>113</v>
      </c>
      <c r="AC473" s="3812" t="s">
        <v>1055</v>
      </c>
      <c r="AD473" s="5105" t="s">
        <v>1135</v>
      </c>
      <c r="AE473" s="1095">
        <v>0.2</v>
      </c>
      <c r="AF473" s="3812">
        <f>10780000*AE473</f>
        <v>2156000</v>
      </c>
      <c r="AG473" s="3812">
        <f t="shared" si="91"/>
        <v>2156000</v>
      </c>
      <c r="AH473" s="3812" t="s">
        <v>206</v>
      </c>
      <c r="AI473" s="3812">
        <v>43116</v>
      </c>
      <c r="AJ473" s="3812" t="s">
        <v>171</v>
      </c>
      <c r="AK473" s="3812" t="s">
        <v>171</v>
      </c>
      <c r="AL473" s="3812">
        <v>2156000</v>
      </c>
      <c r="AM473" s="3812">
        <v>43116</v>
      </c>
      <c r="AN473" s="3812">
        <f t="shared" ref="AN473:AN497" si="100">SUM(BO473:CB473)</f>
        <v>2156000</v>
      </c>
      <c r="AO473" s="3812"/>
      <c r="AP473" s="3812">
        <f t="shared" ref="AP473:AP480" si="101">AG473-AN473</f>
        <v>0</v>
      </c>
      <c r="AQ473" s="3812"/>
      <c r="AR473" s="3812" t="s">
        <v>1037</v>
      </c>
      <c r="AS473" s="5059"/>
      <c r="AT473" s="3812"/>
      <c r="AU473" s="3812">
        <f>SUM(AG473:AG476)</f>
        <v>11502346.68</v>
      </c>
      <c r="AV473" s="3812">
        <f>SUM(AL473:AL476)</f>
        <v>11502346.68</v>
      </c>
      <c r="AW473" s="3812">
        <f>SUM(AN473:AN476)</f>
        <v>11502346.68</v>
      </c>
      <c r="AX473" s="3812">
        <f>M473-AU473</f>
        <v>-722346.68</v>
      </c>
      <c r="AY473" s="3812">
        <f>AU473-AV473</f>
        <v>0</v>
      </c>
      <c r="AZ473" s="3812">
        <f>AV473-AW473</f>
        <v>0</v>
      </c>
      <c r="BA473" s="3812"/>
      <c r="BB473" s="3812"/>
      <c r="BC473" s="3812">
        <v>2156000</v>
      </c>
      <c r="BD473" s="3812"/>
      <c r="BE473" s="3812"/>
      <c r="BF473" s="3812"/>
      <c r="BG473" s="3812"/>
      <c r="BH473" s="3812"/>
      <c r="BI473" s="3812"/>
      <c r="BJ473" s="3812"/>
      <c r="BK473" s="3812"/>
      <c r="BL473" s="3812"/>
      <c r="BM473" s="3812"/>
      <c r="BN473" s="3812"/>
      <c r="BO473" s="3812"/>
      <c r="BP473" s="3812"/>
      <c r="BQ473" s="3812">
        <v>2156000</v>
      </c>
      <c r="BR473" s="3812"/>
      <c r="BS473" s="3812"/>
      <c r="BT473" s="3812"/>
      <c r="BU473" s="3812"/>
      <c r="BV473" s="3812"/>
      <c r="BW473" s="3812"/>
      <c r="BX473" s="3812"/>
      <c r="BY473" s="3812"/>
      <c r="BZ473" s="3812"/>
      <c r="CA473" s="3812"/>
      <c r="CB473" s="3812"/>
      <c r="CC473" s="3524" t="s">
        <v>1112</v>
      </c>
      <c r="CD473" s="3524" t="s">
        <v>154</v>
      </c>
      <c r="CE473" s="5039"/>
      <c r="CF473" s="5039"/>
      <c r="CG473" s="5039"/>
      <c r="CH473" s="5039"/>
    </row>
    <row r="474" s="4971" customFormat="1" ht="58.35" customHeight="1" spans="1:86">
      <c r="A474" s="3812"/>
      <c r="B474" s="3812"/>
      <c r="C474" s="3812"/>
      <c r="D474" s="5059"/>
      <c r="E474" s="3812"/>
      <c r="F474" s="5059"/>
      <c r="G474" s="5059"/>
      <c r="H474" s="3812"/>
      <c r="I474" s="4841"/>
      <c r="J474" s="5059"/>
      <c r="K474" s="3812"/>
      <c r="L474" s="5059"/>
      <c r="M474" s="3812"/>
      <c r="N474" s="3812"/>
      <c r="O474" s="3812"/>
      <c r="P474" s="3812"/>
      <c r="Q474" s="3812"/>
      <c r="R474" s="3812"/>
      <c r="S474" s="3812"/>
      <c r="T474" s="3812"/>
      <c r="U474" s="3812"/>
      <c r="V474" s="3812"/>
      <c r="W474" s="3812"/>
      <c r="X474" s="3812"/>
      <c r="Y474" s="3812"/>
      <c r="Z474" s="3812"/>
      <c r="AA474" s="3812"/>
      <c r="AB474" s="3812"/>
      <c r="AC474" s="3812" t="s">
        <v>1057</v>
      </c>
      <c r="AD474" s="5105" t="s">
        <v>1136</v>
      </c>
      <c r="AE474" s="1095">
        <v>0.5</v>
      </c>
      <c r="AF474" s="3812">
        <f>10780000*AE474</f>
        <v>5390000</v>
      </c>
      <c r="AG474" s="3812">
        <v>5390000</v>
      </c>
      <c r="AH474" s="3812" t="s">
        <v>206</v>
      </c>
      <c r="AI474" s="3812">
        <v>43629</v>
      </c>
      <c r="AJ474" s="3812" t="s">
        <v>171</v>
      </c>
      <c r="AK474" s="3812" t="s">
        <v>171</v>
      </c>
      <c r="AL474" s="3812">
        <v>5390000</v>
      </c>
      <c r="AM474" s="3812">
        <v>43629</v>
      </c>
      <c r="AN474" s="3812">
        <f t="shared" si="100"/>
        <v>5390000</v>
      </c>
      <c r="AO474" s="3812">
        <v>43675</v>
      </c>
      <c r="AP474" s="3812">
        <f t="shared" si="101"/>
        <v>0</v>
      </c>
      <c r="AQ474" s="3812"/>
      <c r="AR474" s="3812" t="s">
        <v>1037</v>
      </c>
      <c r="AS474" s="5059"/>
      <c r="AT474" s="3812" t="s">
        <v>171</v>
      </c>
      <c r="AU474" s="3812"/>
      <c r="AV474" s="3812"/>
      <c r="AW474" s="3812"/>
      <c r="AX474" s="3812"/>
      <c r="AY474" s="3812"/>
      <c r="AZ474" s="3812"/>
      <c r="BA474" s="3812"/>
      <c r="BB474" s="3812"/>
      <c r="BC474" s="3812">
        <v>5390000</v>
      </c>
      <c r="BD474" s="3812"/>
      <c r="BE474" s="3812"/>
      <c r="BF474" s="3812"/>
      <c r="BG474" s="3812"/>
      <c r="BH474" s="3812"/>
      <c r="BI474" s="3812"/>
      <c r="BJ474" s="3812"/>
      <c r="BK474" s="3812"/>
      <c r="BL474" s="3812"/>
      <c r="BM474" s="3812"/>
      <c r="BN474" s="3812"/>
      <c r="BO474" s="3812"/>
      <c r="BP474" s="3812"/>
      <c r="BQ474" s="3812">
        <v>5390000</v>
      </c>
      <c r="BR474" s="3812"/>
      <c r="BS474" s="3812"/>
      <c r="BT474" s="3812"/>
      <c r="BU474" s="3812"/>
      <c r="BV474" s="3812"/>
      <c r="BW474" s="3812"/>
      <c r="BX474" s="3812"/>
      <c r="BY474" s="3812"/>
      <c r="BZ474" s="3812"/>
      <c r="CA474" s="3812"/>
      <c r="CB474" s="3812"/>
      <c r="CC474" s="3524"/>
      <c r="CD474" s="3524"/>
      <c r="CE474" s="5039"/>
      <c r="CF474" s="5039"/>
      <c r="CG474" s="5039"/>
      <c r="CH474" s="5039"/>
    </row>
    <row r="475" s="4977" customFormat="1" ht="54.15" customHeight="1" spans="1:86">
      <c r="A475" s="3812"/>
      <c r="B475" s="3812"/>
      <c r="C475" s="3812"/>
      <c r="D475" s="5059"/>
      <c r="E475" s="3812"/>
      <c r="F475" s="5059"/>
      <c r="G475" s="5059"/>
      <c r="H475" s="3812"/>
      <c r="I475" s="4841"/>
      <c r="J475" s="5059"/>
      <c r="K475" s="3812"/>
      <c r="L475" s="5059"/>
      <c r="M475" s="3812"/>
      <c r="N475" s="3812"/>
      <c r="O475" s="3812"/>
      <c r="P475" s="3812"/>
      <c r="Q475" s="3812"/>
      <c r="R475" s="3812"/>
      <c r="S475" s="3812"/>
      <c r="T475" s="3812"/>
      <c r="U475" s="3812"/>
      <c r="V475" s="3812"/>
      <c r="W475" s="3812"/>
      <c r="X475" s="3812"/>
      <c r="Y475" s="3812"/>
      <c r="Z475" s="3812"/>
      <c r="AA475" s="3812"/>
      <c r="AB475" s="3812"/>
      <c r="AC475" s="3812" t="s">
        <v>1059</v>
      </c>
      <c r="AD475" s="5241" t="s">
        <v>1137</v>
      </c>
      <c r="AE475" s="1032">
        <v>0.25</v>
      </c>
      <c r="AF475" s="3812">
        <f>10780000*AE475</f>
        <v>2695000</v>
      </c>
      <c r="AG475" s="5730">
        <f t="shared" ref="AG475:AG491" si="102">SUM(BA475:BN475)</f>
        <v>2695000</v>
      </c>
      <c r="AH475" s="5731" t="s">
        <v>122</v>
      </c>
      <c r="AI475" s="5730">
        <v>45652</v>
      </c>
      <c r="AJ475" s="3812">
        <v>2695000</v>
      </c>
      <c r="AK475" s="3812">
        <v>45651</v>
      </c>
      <c r="AL475" s="3812">
        <v>2695000</v>
      </c>
      <c r="AM475" s="3812">
        <v>45847</v>
      </c>
      <c r="AN475" s="3812">
        <f t="shared" si="100"/>
        <v>2695000</v>
      </c>
      <c r="AO475" s="3812">
        <v>45869</v>
      </c>
      <c r="AP475" s="3812">
        <f t="shared" si="101"/>
        <v>0</v>
      </c>
      <c r="AQ475" s="5708" t="s">
        <v>1138</v>
      </c>
      <c r="AR475" s="3812" t="s">
        <v>1037</v>
      </c>
      <c r="AS475" s="5059"/>
      <c r="AT475" s="3812" t="s">
        <v>171</v>
      </c>
      <c r="AU475" s="3812"/>
      <c r="AV475" s="3812"/>
      <c r="AW475" s="3812"/>
      <c r="AX475" s="3812"/>
      <c r="AY475" s="3812"/>
      <c r="AZ475" s="3812"/>
      <c r="BA475" s="3812"/>
      <c r="BB475" s="3812"/>
      <c r="BC475" s="3812">
        <v>393426.66</v>
      </c>
      <c r="BD475" s="3812">
        <v>1978173.34</v>
      </c>
      <c r="BE475" s="3812"/>
      <c r="BF475" s="3812"/>
      <c r="BG475" s="3812"/>
      <c r="BH475" s="3812">
        <v>323400</v>
      </c>
      <c r="BI475" s="3812"/>
      <c r="BJ475" s="3812"/>
      <c r="BK475" s="3812"/>
      <c r="BL475" s="3812"/>
      <c r="BM475" s="3812"/>
      <c r="BN475" s="3812"/>
      <c r="BO475" s="3812"/>
      <c r="BP475" s="3812"/>
      <c r="BQ475" s="3812">
        <v>393426.66</v>
      </c>
      <c r="BR475" s="3812">
        <v>1978173.34</v>
      </c>
      <c r="BS475" s="3812"/>
      <c r="BT475" s="3812"/>
      <c r="BU475" s="3812"/>
      <c r="BV475" s="3812">
        <v>323400</v>
      </c>
      <c r="BW475" s="3812"/>
      <c r="BX475" s="3812"/>
      <c r="BY475" s="3812"/>
      <c r="BZ475" s="3812"/>
      <c r="CA475" s="3812"/>
      <c r="CB475" s="3812"/>
      <c r="CC475" s="3812"/>
      <c r="CD475" s="3812"/>
      <c r="CE475" s="5040"/>
      <c r="CF475" s="5040"/>
      <c r="CG475" s="5040"/>
      <c r="CH475" s="5040"/>
    </row>
    <row r="476" s="4977" customFormat="1" ht="40.85" customHeight="1" spans="1:86">
      <c r="A476" s="3812"/>
      <c r="B476" s="3812"/>
      <c r="C476" s="3812"/>
      <c r="D476" s="5059"/>
      <c r="E476" s="3812"/>
      <c r="F476" s="5059"/>
      <c r="G476" s="5059"/>
      <c r="H476" s="3812"/>
      <c r="I476" s="4842"/>
      <c r="J476" s="5059"/>
      <c r="K476" s="3812"/>
      <c r="L476" s="5059"/>
      <c r="M476" s="3812"/>
      <c r="N476" s="3812"/>
      <c r="O476" s="3812"/>
      <c r="P476" s="3812"/>
      <c r="Q476" s="3812"/>
      <c r="R476" s="3812"/>
      <c r="S476" s="3812"/>
      <c r="T476" s="3812"/>
      <c r="U476" s="3812"/>
      <c r="V476" s="3812"/>
      <c r="W476" s="3812"/>
      <c r="X476" s="3812"/>
      <c r="Y476" s="3812"/>
      <c r="Z476" s="3812"/>
      <c r="AA476" s="3812"/>
      <c r="AB476" s="3812"/>
      <c r="AC476" s="3812" t="s">
        <v>1061</v>
      </c>
      <c r="AD476" s="5241" t="s">
        <v>1139</v>
      </c>
      <c r="AE476" s="1032">
        <v>0.05</v>
      </c>
      <c r="AF476" s="3812">
        <f>10780000*AE476</f>
        <v>539000</v>
      </c>
      <c r="AG476" s="5730">
        <f t="shared" si="102"/>
        <v>1261346.68</v>
      </c>
      <c r="AH476" s="5731" t="s">
        <v>122</v>
      </c>
      <c r="AI476" s="5730">
        <v>45652</v>
      </c>
      <c r="AJ476" s="3812">
        <v>1261346.68</v>
      </c>
      <c r="AK476" s="3812">
        <v>45651</v>
      </c>
      <c r="AL476" s="3812">
        <v>1261346.68</v>
      </c>
      <c r="AM476" s="3812">
        <v>45847</v>
      </c>
      <c r="AN476" s="3812">
        <f t="shared" si="100"/>
        <v>1261346.68</v>
      </c>
      <c r="AO476" s="3812">
        <v>45869</v>
      </c>
      <c r="AP476" s="3812">
        <f t="shared" si="101"/>
        <v>0</v>
      </c>
      <c r="AQ476" s="5708"/>
      <c r="AR476" s="3812" t="s">
        <v>1037</v>
      </c>
      <c r="AS476" s="5059"/>
      <c r="AT476" s="3812" t="s">
        <v>171</v>
      </c>
      <c r="AU476" s="3812"/>
      <c r="AV476" s="3812"/>
      <c r="AW476" s="3812"/>
      <c r="AX476" s="3812"/>
      <c r="AY476" s="3812"/>
      <c r="AZ476" s="3812"/>
      <c r="BA476" s="3812"/>
      <c r="BB476" s="3812"/>
      <c r="BC476" s="3812">
        <v>1261346.68</v>
      </c>
      <c r="BD476" s="3812"/>
      <c r="BE476" s="3812"/>
      <c r="BF476" s="3812"/>
      <c r="BG476" s="3812"/>
      <c r="BH476" s="3812"/>
      <c r="BI476" s="3812"/>
      <c r="BJ476" s="3812"/>
      <c r="BK476" s="3812"/>
      <c r="BL476" s="3812"/>
      <c r="BM476" s="3812"/>
      <c r="BN476" s="3812"/>
      <c r="BO476" s="3812"/>
      <c r="BP476" s="3812"/>
      <c r="BQ476" s="3812">
        <v>1261346.68</v>
      </c>
      <c r="BR476" s="3812"/>
      <c r="BS476" s="3812"/>
      <c r="BT476" s="3812"/>
      <c r="BU476" s="3812"/>
      <c r="BV476" s="3812"/>
      <c r="BW476" s="3812"/>
      <c r="BX476" s="3812"/>
      <c r="BY476" s="3812"/>
      <c r="BZ476" s="3812"/>
      <c r="CA476" s="3812"/>
      <c r="CB476" s="3812"/>
      <c r="CC476" s="3812"/>
      <c r="CD476" s="3812"/>
      <c r="CE476" s="5040"/>
      <c r="CF476" s="5040"/>
      <c r="CG476" s="5040"/>
      <c r="CH476" s="5040"/>
    </row>
    <row r="477" s="4971" customFormat="1" ht="44.15" customHeight="1" spans="1:86">
      <c r="A477" s="4045">
        <v>84</v>
      </c>
      <c r="B477" s="4045" t="s">
        <v>1003</v>
      </c>
      <c r="C477" s="4045">
        <v>43336</v>
      </c>
      <c r="D477" s="4127" t="s">
        <v>1140</v>
      </c>
      <c r="E477" s="4045" t="s">
        <v>113</v>
      </c>
      <c r="F477" s="5711" t="s">
        <v>1141</v>
      </c>
      <c r="G477" s="5711" t="s">
        <v>1142</v>
      </c>
      <c r="H477" s="4045" t="s">
        <v>193</v>
      </c>
      <c r="I477" s="4045"/>
      <c r="J477" s="5711" t="s">
        <v>1091</v>
      </c>
      <c r="K477" s="4045">
        <v>296485.9</v>
      </c>
      <c r="L477" s="5711" t="s">
        <v>1143</v>
      </c>
      <c r="M477" s="4046">
        <f>SUM(N477:AA480)</f>
        <v>478013</v>
      </c>
      <c r="N477" s="4045">
        <v>0</v>
      </c>
      <c r="O477" s="4045">
        <v>0</v>
      </c>
      <c r="P477" s="4045">
        <v>0</v>
      </c>
      <c r="Q477" s="4045">
        <v>0</v>
      </c>
      <c r="R477" s="4045">
        <v>0</v>
      </c>
      <c r="S477" s="4045">
        <v>0</v>
      </c>
      <c r="T477" s="4045"/>
      <c r="U477" s="4045">
        <v>0</v>
      </c>
      <c r="V477" s="4045">
        <v>478013</v>
      </c>
      <c r="W477" s="4045">
        <v>0</v>
      </c>
      <c r="X477" s="4045">
        <v>0</v>
      </c>
      <c r="Y477" s="4045"/>
      <c r="Z477" s="4045"/>
      <c r="AA477" s="4045">
        <v>0</v>
      </c>
      <c r="AB477" s="5711" t="s">
        <v>171</v>
      </c>
      <c r="AC477" s="4045" t="s">
        <v>1144</v>
      </c>
      <c r="AD477" s="5725" t="s">
        <v>1145</v>
      </c>
      <c r="AE477" s="5726">
        <v>0.2</v>
      </c>
      <c r="AF477" s="4045">
        <f>V477*AE477</f>
        <v>95602.6</v>
      </c>
      <c r="AG477" s="4045">
        <f t="shared" si="102"/>
        <v>95600</v>
      </c>
      <c r="AH477" s="4045" t="s">
        <v>206</v>
      </c>
      <c r="AI477" s="4045">
        <v>43467</v>
      </c>
      <c r="AJ477" s="4045">
        <v>95600</v>
      </c>
      <c r="AK477" s="4045" t="s">
        <v>171</v>
      </c>
      <c r="AL477" s="4045">
        <v>95600</v>
      </c>
      <c r="AM477" s="4045">
        <v>43467</v>
      </c>
      <c r="AN477" s="4045">
        <f t="shared" si="100"/>
        <v>95600</v>
      </c>
      <c r="AO477" s="4045">
        <v>43498</v>
      </c>
      <c r="AP477" s="4045">
        <f t="shared" si="101"/>
        <v>0</v>
      </c>
      <c r="AQ477" s="4045"/>
      <c r="AR477" s="4364" t="s">
        <v>128</v>
      </c>
      <c r="AS477" s="5711"/>
      <c r="AT477" s="4045"/>
      <c r="AU477" s="4045">
        <f>SUM(AG477:AG480)</f>
        <v>430200</v>
      </c>
      <c r="AV477" s="4045">
        <f>SUM(AL477:AL480)</f>
        <v>430200</v>
      </c>
      <c r="AW477" s="4045">
        <f>SUM(AN477:AN480)</f>
        <v>430200</v>
      </c>
      <c r="AX477" s="4045">
        <f>M477-AU477</f>
        <v>47813</v>
      </c>
      <c r="AY477" s="4045">
        <f>AU477-AV477</f>
        <v>0</v>
      </c>
      <c r="AZ477" s="4045">
        <f>AV477-AW477</f>
        <v>0</v>
      </c>
      <c r="BA477" s="4045"/>
      <c r="BB477" s="4045"/>
      <c r="BC477" s="4045"/>
      <c r="BD477" s="4045"/>
      <c r="BE477" s="4045"/>
      <c r="BF477" s="4045"/>
      <c r="BG477" s="4045"/>
      <c r="BH477" s="4045"/>
      <c r="BI477" s="4045">
        <v>95600</v>
      </c>
      <c r="BJ477" s="4045"/>
      <c r="BK477" s="4045"/>
      <c r="BL477" s="4045"/>
      <c r="BM477" s="4045"/>
      <c r="BN477" s="4045"/>
      <c r="BO477" s="4045"/>
      <c r="BP477" s="4045"/>
      <c r="BQ477" s="4045"/>
      <c r="BR477" s="4045"/>
      <c r="BS477" s="4045"/>
      <c r="BT477" s="4045"/>
      <c r="BU477" s="4045"/>
      <c r="BV477" s="4045"/>
      <c r="BW477" s="4045">
        <v>95600</v>
      </c>
      <c r="BX477" s="4045"/>
      <c r="BY477" s="4045"/>
      <c r="BZ477" s="4045"/>
      <c r="CA477" s="4045"/>
      <c r="CB477" s="4045"/>
      <c r="CC477" s="4046" t="s">
        <v>1112</v>
      </c>
      <c r="CD477" s="4046" t="s">
        <v>154</v>
      </c>
      <c r="CE477" s="5039"/>
      <c r="CF477" s="5039"/>
      <c r="CG477" s="5039"/>
      <c r="CH477" s="5039"/>
    </row>
    <row r="478" s="4971" customFormat="1" ht="43.35" customHeight="1" spans="1:86">
      <c r="A478" s="4045"/>
      <c r="B478" s="4045"/>
      <c r="C478" s="4045"/>
      <c r="D478" s="5711"/>
      <c r="E478" s="4045"/>
      <c r="F478" s="5711"/>
      <c r="G478" s="5711"/>
      <c r="H478" s="4045"/>
      <c r="I478" s="4045"/>
      <c r="J478" s="5711"/>
      <c r="K478" s="4045"/>
      <c r="L478" s="5711"/>
      <c r="M478" s="4046"/>
      <c r="N478" s="4045"/>
      <c r="O478" s="4045"/>
      <c r="P478" s="4045"/>
      <c r="Q478" s="4045"/>
      <c r="R478" s="4045"/>
      <c r="S478" s="4045"/>
      <c r="T478" s="4045"/>
      <c r="U478" s="4045"/>
      <c r="V478" s="4045"/>
      <c r="W478" s="4045"/>
      <c r="X478" s="4045"/>
      <c r="Y478" s="4045"/>
      <c r="Z478" s="4045"/>
      <c r="AA478" s="4045"/>
      <c r="AB478" s="5711"/>
      <c r="AC478" s="4045" t="s">
        <v>1146</v>
      </c>
      <c r="AD478" s="5725" t="s">
        <v>1147</v>
      </c>
      <c r="AE478" s="5726">
        <v>0.4</v>
      </c>
      <c r="AF478" s="4045">
        <f>V477*AE478</f>
        <v>191205.2</v>
      </c>
      <c r="AG478" s="4045">
        <f t="shared" si="102"/>
        <v>191200</v>
      </c>
      <c r="AH478" s="4045" t="s">
        <v>206</v>
      </c>
      <c r="AI478" s="4045">
        <v>43651</v>
      </c>
      <c r="AJ478" s="4045">
        <v>191200</v>
      </c>
      <c r="AK478" s="4045" t="s">
        <v>171</v>
      </c>
      <c r="AL478" s="4045">
        <v>191200</v>
      </c>
      <c r="AM478" s="4045">
        <v>43651</v>
      </c>
      <c r="AN478" s="4045">
        <f t="shared" si="100"/>
        <v>191200</v>
      </c>
      <c r="AO478" s="4045">
        <v>43682</v>
      </c>
      <c r="AP478" s="4045">
        <f t="shared" si="101"/>
        <v>0</v>
      </c>
      <c r="AQ478" s="4045"/>
      <c r="AR478" s="4045"/>
      <c r="AS478" s="5711"/>
      <c r="AT478" s="4045" t="s">
        <v>171</v>
      </c>
      <c r="AU478" s="4045"/>
      <c r="AV478" s="4045"/>
      <c r="AW478" s="4045"/>
      <c r="AX478" s="4045"/>
      <c r="AY478" s="4045"/>
      <c r="AZ478" s="4045"/>
      <c r="BA478" s="4045"/>
      <c r="BB478" s="4045"/>
      <c r="BC478" s="4045"/>
      <c r="BD478" s="4045"/>
      <c r="BE478" s="4045"/>
      <c r="BF478" s="4045"/>
      <c r="BG478" s="4045"/>
      <c r="BH478" s="4045"/>
      <c r="BI478" s="4045">
        <v>191200</v>
      </c>
      <c r="BJ478" s="4045"/>
      <c r="BK478" s="4045"/>
      <c r="BL478" s="4045"/>
      <c r="BM478" s="4045"/>
      <c r="BN478" s="4045"/>
      <c r="BO478" s="4045"/>
      <c r="BP478" s="4045"/>
      <c r="BQ478" s="4045"/>
      <c r="BR478" s="4045"/>
      <c r="BS478" s="4045"/>
      <c r="BT478" s="4045"/>
      <c r="BU478" s="4045"/>
      <c r="BV478" s="4045"/>
      <c r="BW478" s="4045">
        <v>191200</v>
      </c>
      <c r="BX478" s="4045"/>
      <c r="BY478" s="4045"/>
      <c r="BZ478" s="4045"/>
      <c r="CA478" s="4045"/>
      <c r="CB478" s="4045"/>
      <c r="CC478" s="4046"/>
      <c r="CD478" s="4046"/>
      <c r="CE478" s="5039"/>
      <c r="CF478" s="5039"/>
      <c r="CG478" s="5039"/>
      <c r="CH478" s="5039"/>
    </row>
    <row r="479" s="4971" customFormat="1" ht="44.15" customHeight="1" spans="1:86">
      <c r="A479" s="4045"/>
      <c r="B479" s="4045"/>
      <c r="C479" s="4045"/>
      <c r="D479" s="5711"/>
      <c r="E479" s="4045"/>
      <c r="F479" s="5711"/>
      <c r="G479" s="5711"/>
      <c r="H479" s="4045"/>
      <c r="I479" s="4045"/>
      <c r="J479" s="5711"/>
      <c r="K479" s="4045"/>
      <c r="L479" s="5711"/>
      <c r="M479" s="4046"/>
      <c r="N479" s="4045"/>
      <c r="O479" s="4045"/>
      <c r="P479" s="4045"/>
      <c r="Q479" s="4045"/>
      <c r="R479" s="4045"/>
      <c r="S479" s="4045"/>
      <c r="T479" s="4045"/>
      <c r="U479" s="4045"/>
      <c r="V479" s="4045"/>
      <c r="W479" s="4045"/>
      <c r="X479" s="4045"/>
      <c r="Y479" s="4045"/>
      <c r="Z479" s="4045"/>
      <c r="AA479" s="4045"/>
      <c r="AB479" s="5711"/>
      <c r="AC479" s="4045" t="s">
        <v>1148</v>
      </c>
      <c r="AD479" s="5725" t="s">
        <v>1149</v>
      </c>
      <c r="AE479" s="5726">
        <v>0.3</v>
      </c>
      <c r="AF479" s="4045">
        <f>V477*AE479</f>
        <v>143403.9</v>
      </c>
      <c r="AG479" s="4045">
        <f t="shared" si="102"/>
        <v>143400</v>
      </c>
      <c r="AH479" s="4045" t="s">
        <v>206</v>
      </c>
      <c r="AI479" s="4045">
        <v>43651</v>
      </c>
      <c r="AJ479" s="4045">
        <v>143400</v>
      </c>
      <c r="AK479" s="4045" t="s">
        <v>171</v>
      </c>
      <c r="AL479" s="4045">
        <v>143400</v>
      </c>
      <c r="AM479" s="4045">
        <v>43651</v>
      </c>
      <c r="AN479" s="4045">
        <f t="shared" si="100"/>
        <v>143400</v>
      </c>
      <c r="AO479" s="4045">
        <v>43682</v>
      </c>
      <c r="AP479" s="4045">
        <f t="shared" si="101"/>
        <v>0</v>
      </c>
      <c r="AQ479" s="4045"/>
      <c r="AR479" s="4045"/>
      <c r="AS479" s="5711"/>
      <c r="AT479" s="4045" t="s">
        <v>171</v>
      </c>
      <c r="AU479" s="4045"/>
      <c r="AV479" s="4045"/>
      <c r="AW479" s="4045"/>
      <c r="AX479" s="4045"/>
      <c r="AY479" s="4045"/>
      <c r="AZ479" s="4045"/>
      <c r="BA479" s="4045"/>
      <c r="BB479" s="4045"/>
      <c r="BC479" s="4045"/>
      <c r="BD479" s="4045"/>
      <c r="BE479" s="4045"/>
      <c r="BF479" s="4045"/>
      <c r="BG479" s="4045"/>
      <c r="BH479" s="4045"/>
      <c r="BI479" s="4045">
        <v>143400</v>
      </c>
      <c r="BJ479" s="4045"/>
      <c r="BK479" s="4045"/>
      <c r="BL479" s="4045"/>
      <c r="BM479" s="4045"/>
      <c r="BN479" s="4045"/>
      <c r="BO479" s="4045"/>
      <c r="BP479" s="4045"/>
      <c r="BQ479" s="4045"/>
      <c r="BR479" s="4045"/>
      <c r="BS479" s="4045"/>
      <c r="BT479" s="4045"/>
      <c r="BU479" s="4045"/>
      <c r="BV479" s="4045"/>
      <c r="BW479" s="4045">
        <v>143400</v>
      </c>
      <c r="BX479" s="4045"/>
      <c r="BY479" s="4045"/>
      <c r="BZ479" s="4045"/>
      <c r="CA479" s="4045"/>
      <c r="CB479" s="4045"/>
      <c r="CC479" s="4046"/>
      <c r="CD479" s="4046"/>
      <c r="CE479" s="5039"/>
      <c r="CF479" s="5039"/>
      <c r="CG479" s="5039"/>
      <c r="CH479" s="5039"/>
    </row>
    <row r="480" s="4971" customFormat="1" ht="61.65" customHeight="1" spans="1:86">
      <c r="A480" s="4045"/>
      <c r="B480" s="4045"/>
      <c r="C480" s="4045"/>
      <c r="D480" s="5711"/>
      <c r="E480" s="4045"/>
      <c r="F480" s="5711"/>
      <c r="G480" s="5711"/>
      <c r="H480" s="4045"/>
      <c r="I480" s="4045"/>
      <c r="J480" s="5711"/>
      <c r="K480" s="4045"/>
      <c r="L480" s="5711"/>
      <c r="M480" s="4046"/>
      <c r="N480" s="4045"/>
      <c r="O480" s="4045"/>
      <c r="P480" s="4045"/>
      <c r="Q480" s="4045"/>
      <c r="R480" s="4045"/>
      <c r="S480" s="4045"/>
      <c r="T480" s="4045"/>
      <c r="U480" s="4045"/>
      <c r="V480" s="4045"/>
      <c r="W480" s="4045"/>
      <c r="X480" s="4045"/>
      <c r="Y480" s="4045"/>
      <c r="Z480" s="4045"/>
      <c r="AA480" s="4045"/>
      <c r="AB480" s="5711"/>
      <c r="AC480" s="4045" t="s">
        <v>1150</v>
      </c>
      <c r="AD480" s="5725" t="s">
        <v>1151</v>
      </c>
      <c r="AE480" s="5726">
        <v>0.1</v>
      </c>
      <c r="AF480" s="4045">
        <f>V477*AE480</f>
        <v>47801.3</v>
      </c>
      <c r="AG480" s="5732"/>
      <c r="AH480" s="5732"/>
      <c r="AI480" s="5732"/>
      <c r="AJ480" s="4045"/>
      <c r="AK480" s="4045"/>
      <c r="AL480" s="4045"/>
      <c r="AM480" s="4045"/>
      <c r="AN480" s="5732"/>
      <c r="AO480" s="5732"/>
      <c r="AP480" s="4045">
        <f t="shared" si="101"/>
        <v>0</v>
      </c>
      <c r="AQ480" s="5711"/>
      <c r="AR480" s="4045"/>
      <c r="AS480" s="5711"/>
      <c r="AT480" s="4045"/>
      <c r="AU480" s="4045"/>
      <c r="AV480" s="4045"/>
      <c r="AW480" s="4045"/>
      <c r="AX480" s="4045"/>
      <c r="AY480" s="4045"/>
      <c r="AZ480" s="4045"/>
      <c r="BA480" s="4045"/>
      <c r="BB480" s="4045"/>
      <c r="BC480" s="4045"/>
      <c r="BD480" s="4045"/>
      <c r="BE480" s="4045"/>
      <c r="BF480" s="4045"/>
      <c r="BG480" s="4045"/>
      <c r="BH480" s="4045"/>
      <c r="BI480" s="5732">
        <v>47801.3</v>
      </c>
      <c r="BJ480" s="4045"/>
      <c r="BK480" s="4045"/>
      <c r="BL480" s="4045"/>
      <c r="BM480" s="4045"/>
      <c r="BN480" s="4045"/>
      <c r="BO480" s="4045"/>
      <c r="BP480" s="4045"/>
      <c r="BQ480" s="4045"/>
      <c r="BR480" s="4045"/>
      <c r="BS480" s="4045"/>
      <c r="BT480" s="4045"/>
      <c r="BU480" s="4045"/>
      <c r="BV480" s="4045"/>
      <c r="BW480" s="5732">
        <v>47801.3</v>
      </c>
      <c r="BX480" s="4045"/>
      <c r="BY480" s="4045"/>
      <c r="BZ480" s="4045"/>
      <c r="CA480" s="4045"/>
      <c r="CB480" s="4045"/>
      <c r="CC480" s="4046"/>
      <c r="CD480" s="4046"/>
      <c r="CE480" s="5039"/>
      <c r="CF480" s="5039"/>
      <c r="CG480" s="5039"/>
      <c r="CH480" s="5039"/>
    </row>
    <row r="481" s="4971" customFormat="1" ht="31.65" customHeight="1" spans="1:86">
      <c r="A481" s="4045">
        <v>85</v>
      </c>
      <c r="B481" s="4045" t="s">
        <v>1003</v>
      </c>
      <c r="C481" s="4045">
        <v>43336</v>
      </c>
      <c r="D481" s="4127" t="s">
        <v>1152</v>
      </c>
      <c r="E481" s="4045" t="s">
        <v>113</v>
      </c>
      <c r="F481" s="5711" t="s">
        <v>1153</v>
      </c>
      <c r="G481" s="5711" t="s">
        <v>1154</v>
      </c>
      <c r="H481" s="4045" t="s">
        <v>193</v>
      </c>
      <c r="I481" s="4045"/>
      <c r="J481" s="5711" t="s">
        <v>1091</v>
      </c>
      <c r="K481" s="4045">
        <v>203776.55</v>
      </c>
      <c r="L481" s="5711" t="s">
        <v>1155</v>
      </c>
      <c r="M481" s="4045">
        <f>SUM(N481:AA484)</f>
        <v>329145</v>
      </c>
      <c r="N481" s="4045">
        <v>0</v>
      </c>
      <c r="O481" s="4045">
        <v>0</v>
      </c>
      <c r="P481" s="4045">
        <v>0</v>
      </c>
      <c r="Q481" s="4045">
        <v>0</v>
      </c>
      <c r="R481" s="4045">
        <v>0</v>
      </c>
      <c r="S481" s="4045">
        <v>0</v>
      </c>
      <c r="T481" s="4045"/>
      <c r="U481" s="4045">
        <v>0</v>
      </c>
      <c r="V481" s="4045">
        <v>329145</v>
      </c>
      <c r="W481" s="4045">
        <v>0</v>
      </c>
      <c r="X481" s="4045">
        <v>0</v>
      </c>
      <c r="Y481" s="4045"/>
      <c r="Z481" s="4045"/>
      <c r="AA481" s="4045">
        <v>0</v>
      </c>
      <c r="AB481" s="5711" t="s">
        <v>171</v>
      </c>
      <c r="AC481" s="4045" t="s">
        <v>1144</v>
      </c>
      <c r="AD481" s="5725" t="s">
        <v>1145</v>
      </c>
      <c r="AE481" s="5726">
        <v>0.2</v>
      </c>
      <c r="AF481" s="4045">
        <f>V481*AE481</f>
        <v>65829</v>
      </c>
      <c r="AG481" s="4045">
        <f t="shared" si="102"/>
        <v>65829</v>
      </c>
      <c r="AH481" s="4045" t="s">
        <v>206</v>
      </c>
      <c r="AI481" s="4045">
        <v>43340</v>
      </c>
      <c r="AJ481" s="4045">
        <v>65829</v>
      </c>
      <c r="AK481" s="4045" t="s">
        <v>171</v>
      </c>
      <c r="AL481" s="4045">
        <v>65829</v>
      </c>
      <c r="AM481" s="4045">
        <v>43340</v>
      </c>
      <c r="AN481" s="4045">
        <f t="shared" si="100"/>
        <v>65829</v>
      </c>
      <c r="AO481" s="4045">
        <v>43371</v>
      </c>
      <c r="AP481" s="4045">
        <f t="shared" ref="AP481:AP491" si="103">AG481-AN481</f>
        <v>0</v>
      </c>
      <c r="AQ481" s="4045"/>
      <c r="AR481" s="4364" t="s">
        <v>128</v>
      </c>
      <c r="AS481" s="5711"/>
      <c r="AT481" s="4045"/>
      <c r="AU481" s="4045">
        <f>SUM(AG481:AG484)</f>
        <v>329145</v>
      </c>
      <c r="AV481" s="4045">
        <f>SUM(AL481:AL484)</f>
        <v>296230.5</v>
      </c>
      <c r="AW481" s="4045">
        <f>SUM(AN481:AN484)</f>
        <v>329145</v>
      </c>
      <c r="AX481" s="4045">
        <f>M481-AU481</f>
        <v>0</v>
      </c>
      <c r="AY481" s="4045">
        <f>AU481-AV481</f>
        <v>32914.5</v>
      </c>
      <c r="AZ481" s="4045">
        <f>AV481-AW481</f>
        <v>-32914.5</v>
      </c>
      <c r="BA481" s="4045"/>
      <c r="BB481" s="4045"/>
      <c r="BC481" s="4045"/>
      <c r="BD481" s="4045"/>
      <c r="BE481" s="4045"/>
      <c r="BF481" s="4045"/>
      <c r="BG481" s="4045"/>
      <c r="BH481" s="4045"/>
      <c r="BI481" s="4045">
        <v>65829</v>
      </c>
      <c r="BJ481" s="4045"/>
      <c r="BK481" s="4045"/>
      <c r="BL481" s="4045"/>
      <c r="BM481" s="4045"/>
      <c r="BN481" s="4045"/>
      <c r="BO481" s="4045"/>
      <c r="BP481" s="4045"/>
      <c r="BQ481" s="4045"/>
      <c r="BR481" s="4045"/>
      <c r="BS481" s="4045"/>
      <c r="BT481" s="4045"/>
      <c r="BU481" s="4045"/>
      <c r="BV481" s="4045"/>
      <c r="BW481" s="4045">
        <v>65829</v>
      </c>
      <c r="BX481" s="4045"/>
      <c r="BY481" s="4045"/>
      <c r="BZ481" s="4045"/>
      <c r="CA481" s="4045"/>
      <c r="CB481" s="4045"/>
      <c r="CC481" s="4046" t="s">
        <v>1112</v>
      </c>
      <c r="CD481" s="4046" t="s">
        <v>154</v>
      </c>
      <c r="CE481" s="5039"/>
      <c r="CF481" s="5039"/>
      <c r="CG481" s="5039"/>
      <c r="CH481" s="5039"/>
    </row>
    <row r="482" s="4971" customFormat="1" ht="40.85" customHeight="1" spans="1:86">
      <c r="A482" s="4045"/>
      <c r="B482" s="4045"/>
      <c r="C482" s="4045"/>
      <c r="D482" s="5711"/>
      <c r="E482" s="4045"/>
      <c r="F482" s="5711"/>
      <c r="G482" s="5711"/>
      <c r="H482" s="4045"/>
      <c r="I482" s="4045"/>
      <c r="J482" s="5711"/>
      <c r="K482" s="4045"/>
      <c r="L482" s="5711"/>
      <c r="M482" s="4045"/>
      <c r="N482" s="4045"/>
      <c r="O482" s="4045"/>
      <c r="P482" s="4045"/>
      <c r="Q482" s="4045"/>
      <c r="R482" s="4045"/>
      <c r="S482" s="4045"/>
      <c r="T482" s="4045"/>
      <c r="U482" s="4045"/>
      <c r="V482" s="4045"/>
      <c r="W482" s="4045"/>
      <c r="X482" s="4045"/>
      <c r="Y482" s="4045"/>
      <c r="Z482" s="4045"/>
      <c r="AA482" s="4045"/>
      <c r="AB482" s="5711"/>
      <c r="AC482" s="4045" t="s">
        <v>1146</v>
      </c>
      <c r="AD482" s="5725" t="s">
        <v>1147</v>
      </c>
      <c r="AE482" s="5726">
        <v>0.4</v>
      </c>
      <c r="AF482" s="4045">
        <f>V481*AE482</f>
        <v>131658</v>
      </c>
      <c r="AG482" s="4045">
        <f t="shared" si="102"/>
        <v>131658</v>
      </c>
      <c r="AH482" s="4045" t="s">
        <v>206</v>
      </c>
      <c r="AI482" s="4045">
        <v>43570</v>
      </c>
      <c r="AJ482" s="4045">
        <v>131658</v>
      </c>
      <c r="AK482" s="4045" t="s">
        <v>171</v>
      </c>
      <c r="AL482" s="4045">
        <v>131658</v>
      </c>
      <c r="AM482" s="4045">
        <v>43570</v>
      </c>
      <c r="AN482" s="4045">
        <f t="shared" si="100"/>
        <v>131658</v>
      </c>
      <c r="AO482" s="4045">
        <v>43602</v>
      </c>
      <c r="AP482" s="4045">
        <f t="shared" si="103"/>
        <v>0</v>
      </c>
      <c r="AQ482" s="4045"/>
      <c r="AR482" s="4045"/>
      <c r="AS482" s="5711"/>
      <c r="AT482" s="4045" t="s">
        <v>171</v>
      </c>
      <c r="AU482" s="4045"/>
      <c r="AV482" s="4045"/>
      <c r="AW482" s="4045"/>
      <c r="AX482" s="4045"/>
      <c r="AY482" s="4045"/>
      <c r="AZ482" s="4045"/>
      <c r="BA482" s="4045"/>
      <c r="BB482" s="4045"/>
      <c r="BC482" s="4045"/>
      <c r="BD482" s="4045"/>
      <c r="BE482" s="4045"/>
      <c r="BF482" s="4045"/>
      <c r="BG482" s="4045"/>
      <c r="BH482" s="4045"/>
      <c r="BI482" s="4045">
        <v>131658</v>
      </c>
      <c r="BJ482" s="4045"/>
      <c r="BK482" s="4045"/>
      <c r="BL482" s="4045"/>
      <c r="BM482" s="4045"/>
      <c r="BN482" s="4045"/>
      <c r="BO482" s="4045"/>
      <c r="BP482" s="4045"/>
      <c r="BQ482" s="4045"/>
      <c r="BR482" s="4045"/>
      <c r="BS482" s="4045"/>
      <c r="BT482" s="4045"/>
      <c r="BU482" s="4045"/>
      <c r="BV482" s="4045"/>
      <c r="BW482" s="4045">
        <v>131658</v>
      </c>
      <c r="BX482" s="4045"/>
      <c r="BY482" s="4045"/>
      <c r="BZ482" s="4045"/>
      <c r="CA482" s="4045"/>
      <c r="CB482" s="4045"/>
      <c r="CC482" s="4046"/>
      <c r="CD482" s="4046"/>
      <c r="CE482" s="5039"/>
      <c r="CF482" s="5039"/>
      <c r="CG482" s="5039"/>
      <c r="CH482" s="5039"/>
    </row>
    <row r="483" s="4971" customFormat="1" ht="47.5" customHeight="1" spans="1:86">
      <c r="A483" s="4045"/>
      <c r="B483" s="4045"/>
      <c r="C483" s="4045"/>
      <c r="D483" s="5711"/>
      <c r="E483" s="4045"/>
      <c r="F483" s="5711"/>
      <c r="G483" s="5711"/>
      <c r="H483" s="4045"/>
      <c r="I483" s="4045"/>
      <c r="J483" s="5711"/>
      <c r="K483" s="4045"/>
      <c r="L483" s="5711"/>
      <c r="M483" s="4045"/>
      <c r="N483" s="4045"/>
      <c r="O483" s="4045"/>
      <c r="P483" s="4045"/>
      <c r="Q483" s="4045"/>
      <c r="R483" s="4045"/>
      <c r="S483" s="4045"/>
      <c r="T483" s="4045"/>
      <c r="U483" s="4045"/>
      <c r="V483" s="4045"/>
      <c r="W483" s="4045"/>
      <c r="X483" s="4045"/>
      <c r="Y483" s="4045"/>
      <c r="Z483" s="4045"/>
      <c r="AA483" s="4045"/>
      <c r="AB483" s="5711"/>
      <c r="AC483" s="4045" t="s">
        <v>1148</v>
      </c>
      <c r="AD483" s="5725" t="s">
        <v>1149</v>
      </c>
      <c r="AE483" s="5726">
        <v>0.3</v>
      </c>
      <c r="AF483" s="4045">
        <f>V481*AE483</f>
        <v>98743.5</v>
      </c>
      <c r="AG483" s="4045">
        <f t="shared" si="102"/>
        <v>98743.5</v>
      </c>
      <c r="AH483" s="4045" t="s">
        <v>206</v>
      </c>
      <c r="AI483" s="4045">
        <v>43651</v>
      </c>
      <c r="AJ483" s="4045">
        <v>98743.5</v>
      </c>
      <c r="AK483" s="4045" t="s">
        <v>171</v>
      </c>
      <c r="AL483" s="4045">
        <v>98743.5</v>
      </c>
      <c r="AM483" s="4045">
        <v>43651</v>
      </c>
      <c r="AN483" s="4045">
        <f t="shared" si="100"/>
        <v>98743.5</v>
      </c>
      <c r="AO483" s="4045">
        <v>43682</v>
      </c>
      <c r="AP483" s="4045">
        <f t="shared" si="103"/>
        <v>0</v>
      </c>
      <c r="AQ483" s="4045"/>
      <c r="AR483" s="4045"/>
      <c r="AS483" s="5711"/>
      <c r="AT483" s="4045" t="s">
        <v>171</v>
      </c>
      <c r="AU483" s="4045"/>
      <c r="AV483" s="4045"/>
      <c r="AW483" s="4045"/>
      <c r="AX483" s="4045"/>
      <c r="AY483" s="4045"/>
      <c r="AZ483" s="4045"/>
      <c r="BA483" s="4045"/>
      <c r="BB483" s="4045"/>
      <c r="BC483" s="4045"/>
      <c r="BD483" s="4045"/>
      <c r="BE483" s="4045"/>
      <c r="BF483" s="4045"/>
      <c r="BG483" s="4045"/>
      <c r="BH483" s="4045"/>
      <c r="BI483" s="4045">
        <v>98743.5</v>
      </c>
      <c r="BJ483" s="4045"/>
      <c r="BK483" s="4045"/>
      <c r="BL483" s="4045"/>
      <c r="BM483" s="4045"/>
      <c r="BN483" s="4045"/>
      <c r="BO483" s="4045"/>
      <c r="BP483" s="4045"/>
      <c r="BQ483" s="4045"/>
      <c r="BR483" s="4045"/>
      <c r="BS483" s="4045"/>
      <c r="BT483" s="4045"/>
      <c r="BU483" s="4045"/>
      <c r="BV483" s="4045"/>
      <c r="BW483" s="4045">
        <v>98743.5</v>
      </c>
      <c r="BX483" s="4045"/>
      <c r="BY483" s="4045"/>
      <c r="BZ483" s="4045"/>
      <c r="CA483" s="4045"/>
      <c r="CB483" s="4045"/>
      <c r="CC483" s="4046"/>
      <c r="CD483" s="4046"/>
      <c r="CE483" s="5039"/>
      <c r="CF483" s="5039"/>
      <c r="CG483" s="5039"/>
      <c r="CH483" s="5039"/>
    </row>
    <row r="484" s="4971" customFormat="1" ht="64.15" customHeight="1" spans="1:86">
      <c r="A484" s="4045"/>
      <c r="B484" s="4045"/>
      <c r="C484" s="4045"/>
      <c r="D484" s="5711"/>
      <c r="E484" s="4045"/>
      <c r="F484" s="5711"/>
      <c r="G484" s="5711"/>
      <c r="H484" s="4045"/>
      <c r="I484" s="4045"/>
      <c r="J484" s="5711"/>
      <c r="K484" s="4045"/>
      <c r="L484" s="5711"/>
      <c r="M484" s="4045"/>
      <c r="N484" s="4045"/>
      <c r="O484" s="4045"/>
      <c r="P484" s="4045"/>
      <c r="Q484" s="4045"/>
      <c r="R484" s="4045"/>
      <c r="S484" s="4045"/>
      <c r="T484" s="4045"/>
      <c r="U484" s="4045"/>
      <c r="V484" s="4045"/>
      <c r="W484" s="4045"/>
      <c r="X484" s="4045"/>
      <c r="Y484" s="4045"/>
      <c r="Z484" s="4045"/>
      <c r="AA484" s="4045"/>
      <c r="AB484" s="5711"/>
      <c r="AC484" s="4045" t="s">
        <v>1150</v>
      </c>
      <c r="AD484" s="5725" t="s">
        <v>1151</v>
      </c>
      <c r="AE484" s="5726">
        <v>0.1</v>
      </c>
      <c r="AF484" s="4045">
        <f>V481*AE484</f>
        <v>32914.5</v>
      </c>
      <c r="AG484" s="4045">
        <f t="shared" si="102"/>
        <v>32914.5</v>
      </c>
      <c r="AH484" s="5732"/>
      <c r="AI484" s="5732"/>
      <c r="AJ484" s="4045"/>
      <c r="AK484" s="4045"/>
      <c r="AL484" s="4045"/>
      <c r="AM484" s="4045"/>
      <c r="AN484" s="5732">
        <f t="shared" si="100"/>
        <v>32914.5</v>
      </c>
      <c r="AO484" s="5732"/>
      <c r="AP484" s="4045">
        <f t="shared" si="103"/>
        <v>0</v>
      </c>
      <c r="AQ484" s="5711"/>
      <c r="AR484" s="4045"/>
      <c r="AS484" s="5711"/>
      <c r="AT484" s="4045"/>
      <c r="AU484" s="4045"/>
      <c r="AV484" s="4045"/>
      <c r="AW484" s="4045"/>
      <c r="AX484" s="4045"/>
      <c r="AY484" s="4045"/>
      <c r="AZ484" s="4045"/>
      <c r="BA484" s="4045"/>
      <c r="BB484" s="4045"/>
      <c r="BC484" s="4045"/>
      <c r="BD484" s="4045"/>
      <c r="BE484" s="4045"/>
      <c r="BF484" s="4045"/>
      <c r="BG484" s="4045"/>
      <c r="BH484" s="4045"/>
      <c r="BI484" s="5732">
        <v>32914.5</v>
      </c>
      <c r="BJ484" s="4045"/>
      <c r="BK484" s="4045"/>
      <c r="BL484" s="4045"/>
      <c r="BM484" s="4045"/>
      <c r="BN484" s="4045"/>
      <c r="BO484" s="4045"/>
      <c r="BP484" s="4045"/>
      <c r="BQ484" s="4045"/>
      <c r="BR484" s="4045"/>
      <c r="BS484" s="4045"/>
      <c r="BT484" s="4045"/>
      <c r="BU484" s="4045"/>
      <c r="BV484" s="4045"/>
      <c r="BW484" s="5732">
        <v>32914.5</v>
      </c>
      <c r="BX484" s="4045"/>
      <c r="BY484" s="4045"/>
      <c r="BZ484" s="4045"/>
      <c r="CA484" s="4045"/>
      <c r="CB484" s="4045"/>
      <c r="CC484" s="4046"/>
      <c r="CD484" s="4046"/>
      <c r="CE484" s="5039"/>
      <c r="CF484" s="5039"/>
      <c r="CG484" s="5039"/>
      <c r="CH484" s="5039"/>
    </row>
    <row r="485" s="4971" customFormat="1" ht="39.15" customHeight="1" spans="1:86">
      <c r="A485" s="2678">
        <v>86</v>
      </c>
      <c r="B485" s="2678" t="s">
        <v>1003</v>
      </c>
      <c r="C485" s="2678">
        <v>43336</v>
      </c>
      <c r="D485" s="5712" t="s">
        <v>1156</v>
      </c>
      <c r="E485" s="2678" t="s">
        <v>113</v>
      </c>
      <c r="F485" s="5667" t="s">
        <v>1157</v>
      </c>
      <c r="G485" s="5667" t="s">
        <v>1158</v>
      </c>
      <c r="H485" s="2678" t="s">
        <v>193</v>
      </c>
      <c r="I485" s="2678"/>
      <c r="J485" s="5667" t="s">
        <v>1121</v>
      </c>
      <c r="K485" s="2678">
        <v>228916</v>
      </c>
      <c r="L485" s="5667" t="s">
        <v>1159</v>
      </c>
      <c r="M485" s="2678">
        <f>SUM(N485:AA488)</f>
        <v>709898</v>
      </c>
      <c r="N485" s="2678">
        <v>0</v>
      </c>
      <c r="O485" s="2678">
        <v>0</v>
      </c>
      <c r="P485" s="2678">
        <v>0</v>
      </c>
      <c r="Q485" s="2678">
        <v>0</v>
      </c>
      <c r="R485" s="2678">
        <v>0</v>
      </c>
      <c r="S485" s="2678">
        <v>0</v>
      </c>
      <c r="T485" s="2678"/>
      <c r="U485" s="2678">
        <v>0</v>
      </c>
      <c r="V485" s="2678">
        <v>709898</v>
      </c>
      <c r="W485" s="2678">
        <v>0</v>
      </c>
      <c r="X485" s="2678">
        <v>0</v>
      </c>
      <c r="Y485" s="2678"/>
      <c r="Z485" s="2678"/>
      <c r="AA485" s="2678">
        <v>0</v>
      </c>
      <c r="AB485" s="5667" t="s">
        <v>171</v>
      </c>
      <c r="AC485" s="2678" t="s">
        <v>1144</v>
      </c>
      <c r="AD485" s="5686" t="s">
        <v>1145</v>
      </c>
      <c r="AE485" s="791">
        <v>0.2</v>
      </c>
      <c r="AF485" s="2678">
        <f>V485*AE485</f>
        <v>141979.6</v>
      </c>
      <c r="AG485" s="5349">
        <f t="shared" si="102"/>
        <v>141979.6</v>
      </c>
      <c r="AH485" s="2678" t="s">
        <v>206</v>
      </c>
      <c r="AI485" s="2678">
        <v>43340</v>
      </c>
      <c r="AJ485" s="2678">
        <v>141979.6</v>
      </c>
      <c r="AK485" s="2678" t="s">
        <v>171</v>
      </c>
      <c r="AL485" s="2678">
        <v>141979.6</v>
      </c>
      <c r="AM485" s="2678">
        <v>43354</v>
      </c>
      <c r="AN485" s="5349">
        <f t="shared" si="100"/>
        <v>141979.6</v>
      </c>
      <c r="AO485" s="2678">
        <v>43405</v>
      </c>
      <c r="AP485" s="2678">
        <f t="shared" si="103"/>
        <v>0</v>
      </c>
      <c r="AQ485" s="2678"/>
      <c r="AR485" s="859" t="s">
        <v>128</v>
      </c>
      <c r="AS485" s="5667"/>
      <c r="AT485" s="2678"/>
      <c r="AU485" s="2678">
        <f>SUM(AG485:AG488)</f>
        <v>679441.7</v>
      </c>
      <c r="AV485" s="2678">
        <f>SUM(AL485:AL488)</f>
        <v>679441.7</v>
      </c>
      <c r="AW485" s="2678">
        <f>SUM(AN485:AN488)</f>
        <v>679441.7</v>
      </c>
      <c r="AX485" s="2678">
        <f>M485-AU485</f>
        <v>30456.2999999999</v>
      </c>
      <c r="AY485" s="2678">
        <f>AU485-AV485</f>
        <v>0</v>
      </c>
      <c r="AZ485" s="2678">
        <f>AV485-AW485</f>
        <v>0</v>
      </c>
      <c r="BA485" s="2678"/>
      <c r="BB485" s="2678"/>
      <c r="BC485" s="2678"/>
      <c r="BD485" s="2678"/>
      <c r="BE485" s="2678"/>
      <c r="BF485" s="2678"/>
      <c r="BG485" s="2678"/>
      <c r="BH485" s="2678"/>
      <c r="BI485" s="2678">
        <v>141979.6</v>
      </c>
      <c r="BJ485" s="2678"/>
      <c r="BK485" s="2678"/>
      <c r="BL485" s="2678"/>
      <c r="BM485" s="2678"/>
      <c r="BN485" s="2678"/>
      <c r="BO485" s="2678"/>
      <c r="BP485" s="2678"/>
      <c r="BQ485" s="2678"/>
      <c r="BR485" s="2678"/>
      <c r="BS485" s="2678"/>
      <c r="BT485" s="2678"/>
      <c r="BU485" s="2678"/>
      <c r="BV485" s="2678"/>
      <c r="BW485" s="2678">
        <v>141979.6</v>
      </c>
      <c r="BX485" s="2678"/>
      <c r="BY485" s="2678"/>
      <c r="BZ485" s="2678"/>
      <c r="CA485" s="2678"/>
      <c r="CB485" s="2678"/>
      <c r="CC485" s="2680" t="s">
        <v>1112</v>
      </c>
      <c r="CD485" s="2680" t="s">
        <v>154</v>
      </c>
      <c r="CE485" s="5039"/>
      <c r="CF485" s="5039"/>
      <c r="CG485" s="5039"/>
      <c r="CH485" s="5039"/>
    </row>
    <row r="486" s="4971" customFormat="1" ht="44.15" customHeight="1" spans="1:86">
      <c r="A486" s="2678"/>
      <c r="B486" s="2678"/>
      <c r="C486" s="2678"/>
      <c r="D486" s="5713"/>
      <c r="E486" s="2678"/>
      <c r="F486" s="5667"/>
      <c r="G486" s="5667"/>
      <c r="H486" s="2678"/>
      <c r="I486" s="2678"/>
      <c r="J486" s="5667"/>
      <c r="K486" s="2678"/>
      <c r="L486" s="5667"/>
      <c r="M486" s="2678"/>
      <c r="N486" s="2678"/>
      <c r="O486" s="2678"/>
      <c r="P486" s="2678"/>
      <c r="Q486" s="2678"/>
      <c r="R486" s="2678"/>
      <c r="S486" s="2678"/>
      <c r="T486" s="2678"/>
      <c r="U486" s="2678"/>
      <c r="V486" s="2678"/>
      <c r="W486" s="2678"/>
      <c r="X486" s="2678"/>
      <c r="Y486" s="2678"/>
      <c r="Z486" s="2678"/>
      <c r="AA486" s="2678"/>
      <c r="AB486" s="5667"/>
      <c r="AC486" s="2678" t="s">
        <v>1146</v>
      </c>
      <c r="AD486" s="5686" t="s">
        <v>1147</v>
      </c>
      <c r="AE486" s="791">
        <v>0.4</v>
      </c>
      <c r="AF486" s="2678">
        <f>V485*AE486</f>
        <v>283959.2</v>
      </c>
      <c r="AG486" s="5349">
        <f t="shared" si="102"/>
        <v>283959.2</v>
      </c>
      <c r="AH486" s="2678" t="s">
        <v>206</v>
      </c>
      <c r="AI486" s="2678">
        <v>44033</v>
      </c>
      <c r="AJ486" s="2678" t="s">
        <v>171</v>
      </c>
      <c r="AK486" s="2678" t="s">
        <v>171</v>
      </c>
      <c r="AL486" s="2678">
        <v>283959.2</v>
      </c>
      <c r="AM486" s="2678">
        <v>44033</v>
      </c>
      <c r="AN486" s="5349">
        <f t="shared" si="100"/>
        <v>283959.2</v>
      </c>
      <c r="AO486" s="2678">
        <v>44103</v>
      </c>
      <c r="AP486" s="2678">
        <f t="shared" si="103"/>
        <v>0</v>
      </c>
      <c r="AQ486" s="2678"/>
      <c r="AR486" s="2678"/>
      <c r="AS486" s="5667"/>
      <c r="AT486" s="2678" t="s">
        <v>171</v>
      </c>
      <c r="AU486" s="2678"/>
      <c r="AV486" s="2678"/>
      <c r="AW486" s="2678"/>
      <c r="AX486" s="2678"/>
      <c r="AY486" s="2678"/>
      <c r="AZ486" s="2678"/>
      <c r="BA486" s="2678"/>
      <c r="BB486" s="2678"/>
      <c r="BC486" s="2678"/>
      <c r="BD486" s="2678"/>
      <c r="BE486" s="2678"/>
      <c r="BF486" s="2678"/>
      <c r="BG486" s="2678"/>
      <c r="BH486" s="2678"/>
      <c r="BI486" s="2678">
        <v>283959.2</v>
      </c>
      <c r="BJ486" s="2678"/>
      <c r="BK486" s="2678"/>
      <c r="BL486" s="2678"/>
      <c r="BM486" s="2678"/>
      <c r="BN486" s="2678"/>
      <c r="BO486" s="2678"/>
      <c r="BP486" s="2678"/>
      <c r="BQ486" s="2678"/>
      <c r="BR486" s="2678"/>
      <c r="BS486" s="2678"/>
      <c r="BT486" s="2678"/>
      <c r="BU486" s="2678"/>
      <c r="BV486" s="2678"/>
      <c r="BW486" s="3932">
        <v>283959.2</v>
      </c>
      <c r="BX486" s="2678"/>
      <c r="BY486" s="2678"/>
      <c r="BZ486" s="2678"/>
      <c r="CA486" s="2678"/>
      <c r="CB486" s="2678"/>
      <c r="CC486" s="2680"/>
      <c r="CD486" s="2680"/>
      <c r="CE486" s="5039"/>
      <c r="CF486" s="5039"/>
      <c r="CG486" s="5039"/>
      <c r="CH486" s="5039"/>
    </row>
    <row r="487" s="4971" customFormat="1" ht="48.35" customHeight="1" spans="1:86">
      <c r="A487" s="2678"/>
      <c r="B487" s="2678"/>
      <c r="C487" s="2678"/>
      <c r="D487" s="5713"/>
      <c r="E487" s="2678"/>
      <c r="F487" s="5667"/>
      <c r="G487" s="5667"/>
      <c r="H487" s="2678"/>
      <c r="I487" s="2678"/>
      <c r="J487" s="5667"/>
      <c r="K487" s="2678"/>
      <c r="L487" s="5667"/>
      <c r="M487" s="2678"/>
      <c r="N487" s="2678"/>
      <c r="O487" s="2678"/>
      <c r="P487" s="2678"/>
      <c r="Q487" s="2678"/>
      <c r="R487" s="2678"/>
      <c r="S487" s="2678"/>
      <c r="T487" s="2678"/>
      <c r="U487" s="2678"/>
      <c r="V487" s="2678"/>
      <c r="W487" s="2678"/>
      <c r="X487" s="2678"/>
      <c r="Y487" s="2678"/>
      <c r="Z487" s="2678"/>
      <c r="AA487" s="2678"/>
      <c r="AB487" s="5667"/>
      <c r="AC487" s="2678" t="s">
        <v>1148</v>
      </c>
      <c r="AD487" s="5686" t="s">
        <v>1149</v>
      </c>
      <c r="AE487" s="791">
        <v>0.3</v>
      </c>
      <c r="AF487" s="2678">
        <f>V485*AE487</f>
        <v>212969.4</v>
      </c>
      <c r="AG487" s="5349">
        <f t="shared" si="102"/>
        <v>212969.4</v>
      </c>
      <c r="AH487" s="2678" t="s">
        <v>122</v>
      </c>
      <c r="AI487" s="2678">
        <v>44184</v>
      </c>
      <c r="AJ487" s="2678">
        <v>212969.4</v>
      </c>
      <c r="AK487" s="2678">
        <v>44184</v>
      </c>
      <c r="AL487" s="2678">
        <v>212969.4</v>
      </c>
      <c r="AM487" s="2678">
        <v>44214</v>
      </c>
      <c r="AN487" s="5349">
        <f t="shared" si="100"/>
        <v>212969.4</v>
      </c>
      <c r="AO487" s="2678">
        <v>44372</v>
      </c>
      <c r="AP487" s="2678">
        <f t="shared" si="103"/>
        <v>0</v>
      </c>
      <c r="AQ487" s="2678"/>
      <c r="AR487" s="2678"/>
      <c r="AS487" s="5667"/>
      <c r="AT487" s="2678" t="s">
        <v>171</v>
      </c>
      <c r="AU487" s="2678"/>
      <c r="AV487" s="2678"/>
      <c r="AW487" s="2678"/>
      <c r="AX487" s="2678"/>
      <c r="AY487" s="2678"/>
      <c r="AZ487" s="2678"/>
      <c r="BA487" s="2678"/>
      <c r="BB487" s="2678"/>
      <c r="BC487" s="2678"/>
      <c r="BD487" s="2678"/>
      <c r="BE487" s="2678"/>
      <c r="BF487" s="2678"/>
      <c r="BG487" s="2678"/>
      <c r="BH487" s="2678"/>
      <c r="BI487" s="2678">
        <v>212969.4</v>
      </c>
      <c r="BJ487" s="2678"/>
      <c r="BK487" s="2678"/>
      <c r="BL487" s="2678"/>
      <c r="BM487" s="2678"/>
      <c r="BN487" s="2678"/>
      <c r="BO487" s="2678"/>
      <c r="BP487" s="2678"/>
      <c r="BQ487" s="2678"/>
      <c r="BR487" s="2678"/>
      <c r="BS487" s="2678"/>
      <c r="BT487" s="2678"/>
      <c r="BU487" s="2678"/>
      <c r="BV487" s="2678"/>
      <c r="BW487" s="2678">
        <v>212969.4</v>
      </c>
      <c r="BX487" s="2678"/>
      <c r="BY487" s="2678"/>
      <c r="BZ487" s="2678"/>
      <c r="CA487" s="2678"/>
      <c r="CB487" s="2678"/>
      <c r="CC487" s="2680"/>
      <c r="CD487" s="2680"/>
      <c r="CE487" s="5039"/>
      <c r="CF487" s="5039"/>
      <c r="CG487" s="5039"/>
      <c r="CH487" s="5039"/>
    </row>
    <row r="488" s="4971" customFormat="1" ht="70.85" customHeight="1" spans="1:86">
      <c r="A488" s="2678"/>
      <c r="B488" s="2678"/>
      <c r="C488" s="2678"/>
      <c r="D488" s="5713"/>
      <c r="E488" s="2678"/>
      <c r="F488" s="5667"/>
      <c r="G488" s="5667"/>
      <c r="H488" s="2678"/>
      <c r="I488" s="2678"/>
      <c r="J488" s="5667"/>
      <c r="K488" s="2678"/>
      <c r="L488" s="5667"/>
      <c r="M488" s="2678"/>
      <c r="N488" s="2678"/>
      <c r="O488" s="2678"/>
      <c r="P488" s="2678"/>
      <c r="Q488" s="2678"/>
      <c r="R488" s="2678"/>
      <c r="S488" s="2678"/>
      <c r="T488" s="2678"/>
      <c r="U488" s="2678"/>
      <c r="V488" s="2678"/>
      <c r="W488" s="2678"/>
      <c r="X488" s="2678"/>
      <c r="Y488" s="2678"/>
      <c r="Z488" s="2678"/>
      <c r="AA488" s="2678"/>
      <c r="AB488" s="5667"/>
      <c r="AC488" s="2678" t="s">
        <v>1150</v>
      </c>
      <c r="AD488" s="5686" t="s">
        <v>1151</v>
      </c>
      <c r="AE488" s="791">
        <v>0.1</v>
      </c>
      <c r="AF488" s="2678">
        <f>V485*AE488</f>
        <v>70989.8</v>
      </c>
      <c r="AG488" s="5349">
        <f t="shared" si="102"/>
        <v>40533.5</v>
      </c>
      <c r="AH488" s="859" t="s">
        <v>122</v>
      </c>
      <c r="AI488" s="859">
        <v>45915</v>
      </c>
      <c r="AJ488" s="2678">
        <v>40533.5</v>
      </c>
      <c r="AK488" s="859">
        <v>45915</v>
      </c>
      <c r="AL488" s="2678">
        <v>40533.5</v>
      </c>
      <c r="AM488" s="2678">
        <v>45916</v>
      </c>
      <c r="AN488" s="5349">
        <f t="shared" si="100"/>
        <v>40533.5</v>
      </c>
      <c r="AO488" s="3932"/>
      <c r="AP488" s="2678">
        <f t="shared" si="103"/>
        <v>0</v>
      </c>
      <c r="AQ488" s="2678"/>
      <c r="AR488" s="2678"/>
      <c r="AS488" s="5667"/>
      <c r="AT488" s="2678"/>
      <c r="AU488" s="2678"/>
      <c r="AV488" s="2678"/>
      <c r="AW488" s="2678"/>
      <c r="AX488" s="2678"/>
      <c r="AY488" s="2678"/>
      <c r="AZ488" s="2678"/>
      <c r="BA488" s="2678"/>
      <c r="BB488" s="2678"/>
      <c r="BC488" s="2678"/>
      <c r="BD488" s="2678"/>
      <c r="BE488" s="2678"/>
      <c r="BF488" s="2678"/>
      <c r="BG488" s="2678"/>
      <c r="BH488" s="2678"/>
      <c r="BI488" s="2678">
        <v>40533.5</v>
      </c>
      <c r="BJ488" s="2678"/>
      <c r="BK488" s="2678"/>
      <c r="BL488" s="2678"/>
      <c r="BM488" s="2678"/>
      <c r="BN488" s="2678"/>
      <c r="BO488" s="2678"/>
      <c r="BP488" s="2678"/>
      <c r="BQ488" s="2678"/>
      <c r="BR488" s="2678"/>
      <c r="BS488" s="2678"/>
      <c r="BT488" s="2678"/>
      <c r="BU488" s="2678"/>
      <c r="BV488" s="2678"/>
      <c r="BW488" s="2678">
        <v>40533.5</v>
      </c>
      <c r="BX488" s="2678"/>
      <c r="BY488" s="2678"/>
      <c r="BZ488" s="2678"/>
      <c r="CA488" s="2678"/>
      <c r="CB488" s="2678"/>
      <c r="CC488" s="2680"/>
      <c r="CD488" s="2680"/>
      <c r="CE488" s="5039"/>
      <c r="CF488" s="5039"/>
      <c r="CG488" s="5039"/>
      <c r="CH488" s="5039"/>
    </row>
    <row r="489" s="4971" customFormat="1" ht="48" customHeight="1" spans="1:86">
      <c r="A489" s="5177">
        <v>88</v>
      </c>
      <c r="B489" s="3524" t="s">
        <v>690</v>
      </c>
      <c r="C489" s="3524">
        <v>44280</v>
      </c>
      <c r="D489" s="3742" t="s">
        <v>1160</v>
      </c>
      <c r="E489" s="3742" t="s">
        <v>1161</v>
      </c>
      <c r="F489" s="1032" t="s">
        <v>1162</v>
      </c>
      <c r="G489" s="3742" t="s">
        <v>1163</v>
      </c>
      <c r="H489" s="3742" t="s">
        <v>31</v>
      </c>
      <c r="I489" s="3740"/>
      <c r="J489" s="3742" t="s">
        <v>1164</v>
      </c>
      <c r="K489" s="3742">
        <v>220000</v>
      </c>
      <c r="L489" s="3742" t="s">
        <v>164</v>
      </c>
      <c r="M489" s="3524">
        <v>1100000</v>
      </c>
      <c r="N489" s="5177"/>
      <c r="O489" s="5177"/>
      <c r="P489" s="5177"/>
      <c r="Q489" s="5177"/>
      <c r="R489" s="5177"/>
      <c r="S489" s="5177"/>
      <c r="T489" s="5177"/>
      <c r="U489" s="5177">
        <v>1100000</v>
      </c>
      <c r="V489" s="5177"/>
      <c r="W489" s="5177"/>
      <c r="X489" s="5177">
        <v>0</v>
      </c>
      <c r="Y489" s="5177"/>
      <c r="Z489" s="5177"/>
      <c r="AA489" s="5177"/>
      <c r="AB489" s="5177"/>
      <c r="AC489" s="3524">
        <v>1</v>
      </c>
      <c r="AD489" s="3742" t="s">
        <v>1165</v>
      </c>
      <c r="AE489" s="5117">
        <v>0.2</v>
      </c>
      <c r="AF489" s="3524">
        <f>AE489*M489</f>
        <v>220000</v>
      </c>
      <c r="AG489" s="3812">
        <f t="shared" si="102"/>
        <v>220000</v>
      </c>
      <c r="AH489" s="3524" t="s">
        <v>122</v>
      </c>
      <c r="AI489" s="3524">
        <v>44287</v>
      </c>
      <c r="AJ489" s="3524">
        <v>220000</v>
      </c>
      <c r="AK489" s="3524">
        <v>44287</v>
      </c>
      <c r="AL489" s="3812">
        <v>220000</v>
      </c>
      <c r="AM489" s="3524">
        <v>44288</v>
      </c>
      <c r="AN489" s="3812">
        <f t="shared" si="100"/>
        <v>220000</v>
      </c>
      <c r="AO489" s="3524">
        <v>44372</v>
      </c>
      <c r="AP489" s="3812">
        <f t="shared" si="103"/>
        <v>0</v>
      </c>
      <c r="AQ489" s="5122"/>
      <c r="AR489" s="3524"/>
      <c r="AS489" s="5137"/>
      <c r="AT489" s="5122"/>
      <c r="AU489" s="5479">
        <f>SUM(AG489:AG491)</f>
        <v>1100000</v>
      </c>
      <c r="AV489" s="5479">
        <f>SUM(AL489:AL491)</f>
        <v>220000</v>
      </c>
      <c r="AW489" s="5479">
        <f>SUM(AN489:AN491)</f>
        <v>1100000</v>
      </c>
      <c r="AX489" s="5479">
        <f>M489-AU489</f>
        <v>0</v>
      </c>
      <c r="AY489" s="5479">
        <f>AU489-AV489</f>
        <v>880000</v>
      </c>
      <c r="AZ489" s="5479">
        <f>AV489-AW489</f>
        <v>-880000</v>
      </c>
      <c r="BA489" s="5146"/>
      <c r="BB489" s="3812"/>
      <c r="BC489" s="3812"/>
      <c r="BD489" s="5146"/>
      <c r="BE489" s="5146"/>
      <c r="BF489" s="5146"/>
      <c r="BG489" s="5146"/>
      <c r="BH489" s="3812">
        <v>220000</v>
      </c>
      <c r="BI489" s="3812"/>
      <c r="BJ489" s="3812"/>
      <c r="BK489" s="3812"/>
      <c r="BL489" s="3812"/>
      <c r="BM489" s="3812"/>
      <c r="BN489" s="3812"/>
      <c r="BO489" s="5146"/>
      <c r="BP489" s="5146"/>
      <c r="BQ489" s="5146"/>
      <c r="BR489" s="5146"/>
      <c r="BS489" s="5146"/>
      <c r="BT489" s="5146"/>
      <c r="BU489" s="5146"/>
      <c r="BV489" s="5146">
        <v>220000</v>
      </c>
      <c r="BW489" s="5146"/>
      <c r="BX489" s="5146"/>
      <c r="BY489" s="5146"/>
      <c r="BZ489" s="5146"/>
      <c r="CA489" s="5146"/>
      <c r="CB489" s="5146"/>
      <c r="CC489" s="3524" t="s">
        <v>124</v>
      </c>
      <c r="CD489" s="3524" t="s">
        <v>154</v>
      </c>
      <c r="CE489" s="5039"/>
      <c r="CF489" s="5039"/>
      <c r="CG489" s="5039"/>
      <c r="CH489" s="5039"/>
    </row>
    <row r="490" s="4971" customFormat="1" ht="84" customHeight="1" spans="1:86">
      <c r="A490" s="5177"/>
      <c r="B490" s="3524"/>
      <c r="C490" s="3524"/>
      <c r="D490" s="3742"/>
      <c r="E490" s="3742"/>
      <c r="F490" s="3742"/>
      <c r="G490" s="3742"/>
      <c r="H490" s="3742"/>
      <c r="I490" s="3669"/>
      <c r="J490" s="3742"/>
      <c r="K490" s="3742"/>
      <c r="L490" s="3742"/>
      <c r="M490" s="3524"/>
      <c r="N490" s="5177"/>
      <c r="O490" s="5177"/>
      <c r="P490" s="5177"/>
      <c r="Q490" s="5177"/>
      <c r="R490" s="5177"/>
      <c r="S490" s="5177"/>
      <c r="T490" s="5177"/>
      <c r="U490" s="5177"/>
      <c r="V490" s="5177"/>
      <c r="W490" s="5177"/>
      <c r="X490" s="5177"/>
      <c r="Y490" s="5177"/>
      <c r="Z490" s="5177"/>
      <c r="AA490" s="5177"/>
      <c r="AB490" s="5177"/>
      <c r="AC490" s="3524">
        <v>2</v>
      </c>
      <c r="AD490" s="3742" t="s">
        <v>1166</v>
      </c>
      <c r="AE490" s="5117">
        <v>0.6</v>
      </c>
      <c r="AF490" s="3524">
        <f>AE490*M489</f>
        <v>660000</v>
      </c>
      <c r="AG490" s="3812">
        <f t="shared" si="102"/>
        <v>660000</v>
      </c>
      <c r="AH490" s="857" t="s">
        <v>122</v>
      </c>
      <c r="AI490" s="3812">
        <v>44551</v>
      </c>
      <c r="AJ490" s="3812">
        <v>660000</v>
      </c>
      <c r="AK490" s="5122">
        <v>44551</v>
      </c>
      <c r="AL490" s="3812"/>
      <c r="AM490" s="3524"/>
      <c r="AN490" s="5123">
        <f t="shared" si="100"/>
        <v>660000</v>
      </c>
      <c r="AO490" s="5123"/>
      <c r="AP490" s="3812">
        <f t="shared" si="103"/>
        <v>0</v>
      </c>
      <c r="AQ490" s="5122"/>
      <c r="AR490" s="3524"/>
      <c r="AS490" s="5137"/>
      <c r="AT490" s="5122"/>
      <c r="AU490" s="5479"/>
      <c r="AV490" s="5479"/>
      <c r="AW490" s="5479"/>
      <c r="AX490" s="5479"/>
      <c r="AY490" s="5479"/>
      <c r="AZ490" s="5479"/>
      <c r="BA490" s="5146"/>
      <c r="BB490" s="3812"/>
      <c r="BC490" s="3812"/>
      <c r="BD490" s="5146"/>
      <c r="BE490" s="5146"/>
      <c r="BF490" s="5146"/>
      <c r="BG490" s="5146"/>
      <c r="BH490" s="3812">
        <v>660000</v>
      </c>
      <c r="BI490" s="3812"/>
      <c r="BJ490" s="3812"/>
      <c r="BK490" s="3812"/>
      <c r="BL490" s="3812"/>
      <c r="BM490" s="3812"/>
      <c r="BN490" s="3812"/>
      <c r="BO490" s="5160"/>
      <c r="BP490" s="5160"/>
      <c r="BQ490" s="5160"/>
      <c r="BR490" s="5160"/>
      <c r="BS490" s="5160"/>
      <c r="BT490" s="5160"/>
      <c r="BU490" s="5160"/>
      <c r="BV490" s="5160">
        <v>660000</v>
      </c>
      <c r="BW490" s="5160"/>
      <c r="BX490" s="5160"/>
      <c r="BY490" s="5160"/>
      <c r="BZ490" s="5160"/>
      <c r="CA490" s="5160"/>
      <c r="CB490" s="5160"/>
      <c r="CC490" s="3524"/>
      <c r="CD490" s="3524"/>
      <c r="CE490" s="5039"/>
      <c r="CF490" s="5039"/>
      <c r="CG490" s="5039"/>
      <c r="CH490" s="5039"/>
    </row>
    <row r="491" s="4971" customFormat="1" ht="94.5" customHeight="1" spans="1:86">
      <c r="A491" s="5177"/>
      <c r="B491" s="3524"/>
      <c r="C491" s="3524"/>
      <c r="D491" s="3742"/>
      <c r="E491" s="3742"/>
      <c r="F491" s="3742"/>
      <c r="G491" s="3742"/>
      <c r="H491" s="3742"/>
      <c r="I491" s="3741"/>
      <c r="J491" s="3742"/>
      <c r="K491" s="3742"/>
      <c r="L491" s="3742"/>
      <c r="M491" s="3524"/>
      <c r="N491" s="5177"/>
      <c r="O491" s="5177"/>
      <c r="P491" s="5177"/>
      <c r="Q491" s="5177"/>
      <c r="R491" s="5177"/>
      <c r="S491" s="5177"/>
      <c r="T491" s="5177"/>
      <c r="U491" s="5177"/>
      <c r="V491" s="5177"/>
      <c r="W491" s="5177"/>
      <c r="X491" s="5177"/>
      <c r="Y491" s="5177"/>
      <c r="Z491" s="5177"/>
      <c r="AA491" s="5177"/>
      <c r="AB491" s="5177"/>
      <c r="AC491" s="3524">
        <v>3</v>
      </c>
      <c r="AD491" s="3742" t="s">
        <v>1167</v>
      </c>
      <c r="AE491" s="5117">
        <v>0.2</v>
      </c>
      <c r="AF491" s="3524">
        <f>AE491*M489</f>
        <v>220000</v>
      </c>
      <c r="AG491" s="3812">
        <f t="shared" si="102"/>
        <v>220000</v>
      </c>
      <c r="AH491" s="857" t="s">
        <v>122</v>
      </c>
      <c r="AI491" s="3812">
        <v>44908</v>
      </c>
      <c r="AJ491" s="3812">
        <v>220000</v>
      </c>
      <c r="AK491" s="5122">
        <v>44908</v>
      </c>
      <c r="AL491" s="3812"/>
      <c r="AM491" s="3524"/>
      <c r="AN491" s="5123">
        <f t="shared" si="100"/>
        <v>220000</v>
      </c>
      <c r="AO491" s="5123"/>
      <c r="AP491" s="3812">
        <f t="shared" si="103"/>
        <v>0</v>
      </c>
      <c r="AQ491" s="5122"/>
      <c r="AR491" s="3524"/>
      <c r="AS491" s="5137"/>
      <c r="AT491" s="5122"/>
      <c r="AU491" s="5479"/>
      <c r="AV491" s="5479"/>
      <c r="AW491" s="5479"/>
      <c r="AX491" s="5479"/>
      <c r="AY491" s="5479"/>
      <c r="AZ491" s="5479"/>
      <c r="BA491" s="5146"/>
      <c r="BB491" s="3812"/>
      <c r="BC491" s="3812"/>
      <c r="BD491" s="5146"/>
      <c r="BE491" s="5146"/>
      <c r="BF491" s="5146"/>
      <c r="BG491" s="5146"/>
      <c r="BH491" s="3812">
        <v>220000</v>
      </c>
      <c r="BI491" s="3812"/>
      <c r="BJ491" s="3812"/>
      <c r="BK491" s="3812"/>
      <c r="BL491" s="3812"/>
      <c r="BM491" s="3812"/>
      <c r="BN491" s="3812"/>
      <c r="BO491" s="5122"/>
      <c r="BP491" s="5122"/>
      <c r="BQ491" s="5122"/>
      <c r="BR491" s="5122"/>
      <c r="BS491" s="5122"/>
      <c r="BT491" s="5122"/>
      <c r="BU491" s="5122"/>
      <c r="BV491" s="5160">
        <v>220000</v>
      </c>
      <c r="BW491" s="5122"/>
      <c r="BX491" s="5122"/>
      <c r="BY491" s="5122"/>
      <c r="BZ491" s="5122"/>
      <c r="CA491" s="5122"/>
      <c r="CB491" s="5122"/>
      <c r="CC491" s="3524"/>
      <c r="CD491" s="3524"/>
      <c r="CE491" s="5039"/>
      <c r="CF491" s="5039"/>
      <c r="CG491" s="5039"/>
      <c r="CH491" s="5039"/>
    </row>
    <row r="492" s="4972" customFormat="1" ht="45" customHeight="1" spans="1:86">
      <c r="A492" s="3662">
        <v>89</v>
      </c>
      <c r="B492" s="3662" t="s">
        <v>159</v>
      </c>
      <c r="C492" s="3662">
        <v>44284</v>
      </c>
      <c r="D492" s="5055" t="s">
        <v>1168</v>
      </c>
      <c r="E492" s="5053" t="s">
        <v>1169</v>
      </c>
      <c r="F492" s="5055" t="s">
        <v>1170</v>
      </c>
      <c r="G492" s="5053"/>
      <c r="H492" s="5053" t="s">
        <v>240</v>
      </c>
      <c r="I492" s="5053"/>
      <c r="J492" s="5053" t="s">
        <v>1171</v>
      </c>
      <c r="K492" s="5053">
        <v>108533.57</v>
      </c>
      <c r="L492" s="5053" t="s">
        <v>1172</v>
      </c>
      <c r="M492" s="3662">
        <v>1791889</v>
      </c>
      <c r="N492" s="3662"/>
      <c r="O492" s="3662"/>
      <c r="P492" s="3662">
        <v>1655705.44</v>
      </c>
      <c r="Q492" s="3662"/>
      <c r="R492" s="3662"/>
      <c r="S492" s="3662"/>
      <c r="T492" s="3662"/>
      <c r="U492" s="3662">
        <v>82426.89</v>
      </c>
      <c r="V492" s="3662"/>
      <c r="W492" s="3662"/>
      <c r="X492" s="3662"/>
      <c r="Y492" s="3744"/>
      <c r="Z492" s="3744"/>
      <c r="AA492" s="3662">
        <v>53756.67</v>
      </c>
      <c r="AB492" s="3662"/>
      <c r="AC492" s="3662">
        <v>1</v>
      </c>
      <c r="AD492" s="5053" t="s">
        <v>1173</v>
      </c>
      <c r="AE492" s="5115">
        <v>0.2</v>
      </c>
      <c r="AF492" s="3662">
        <f>AE492*M492</f>
        <v>358377.8</v>
      </c>
      <c r="AG492" s="3684">
        <f t="shared" ref="AG492:AG509" si="104">SUM(BA492:BN492)</f>
        <v>358377.8</v>
      </c>
      <c r="AH492" s="3684" t="s">
        <v>122</v>
      </c>
      <c r="AI492" s="3684">
        <v>44424</v>
      </c>
      <c r="AJ492" s="3684">
        <v>358377.8</v>
      </c>
      <c r="AK492" s="3684">
        <v>44424</v>
      </c>
      <c r="AL492" s="3684">
        <v>358377.8</v>
      </c>
      <c r="AM492" s="3684">
        <v>44424</v>
      </c>
      <c r="AN492" s="3684">
        <f t="shared" si="100"/>
        <v>358377.8</v>
      </c>
      <c r="AO492" s="3684">
        <v>45196</v>
      </c>
      <c r="AP492" s="3684">
        <f t="shared" ref="AP492:AP522" si="105">AG492-AN492</f>
        <v>0</v>
      </c>
      <c r="AQ492" s="3909" t="s">
        <v>1174</v>
      </c>
      <c r="AR492" s="3662"/>
      <c r="AS492" s="5134"/>
      <c r="AT492" s="5127"/>
      <c r="AU492" s="3684">
        <f>SUM(AG492:AG497)</f>
        <v>400000</v>
      </c>
      <c r="AV492" s="3684">
        <f>SUM(AL492:AL497)</f>
        <v>400000</v>
      </c>
      <c r="AW492" s="3684">
        <f>SUM(AN492:AN497)</f>
        <v>400000</v>
      </c>
      <c r="AX492" s="3684">
        <f>M492-AU492</f>
        <v>1391889</v>
      </c>
      <c r="AY492" s="3684">
        <f>AU492-AV492</f>
        <v>0</v>
      </c>
      <c r="AZ492" s="3684">
        <f>AV492-AW492</f>
        <v>0</v>
      </c>
      <c r="BA492" s="5148"/>
      <c r="BB492" s="3684"/>
      <c r="BC492" s="3684">
        <v>331141.09</v>
      </c>
      <c r="BD492" s="5148"/>
      <c r="BE492" s="5148"/>
      <c r="BF492" s="5148"/>
      <c r="BG492" s="5148"/>
      <c r="BH492" s="3684">
        <v>16485.38</v>
      </c>
      <c r="BI492" s="3684"/>
      <c r="BJ492" s="3684"/>
      <c r="BK492" s="3684"/>
      <c r="BL492" s="3684"/>
      <c r="BM492" s="3684"/>
      <c r="BN492" s="3684">
        <v>10751.33</v>
      </c>
      <c r="BO492" s="5164"/>
      <c r="BP492" s="5164"/>
      <c r="BQ492" s="3684">
        <v>331141.09</v>
      </c>
      <c r="BR492" s="5148"/>
      <c r="BS492" s="5148"/>
      <c r="BT492" s="5148"/>
      <c r="BU492" s="5148"/>
      <c r="BV492" s="3684">
        <v>16485.38</v>
      </c>
      <c r="BW492" s="3684"/>
      <c r="BX492" s="3684"/>
      <c r="BY492" s="3684"/>
      <c r="BZ492" s="3684"/>
      <c r="CA492" s="3684"/>
      <c r="CB492" s="3684">
        <v>10751.33</v>
      </c>
      <c r="CC492" s="3662" t="s">
        <v>124</v>
      </c>
      <c r="CD492" s="3662" t="s">
        <v>154</v>
      </c>
      <c r="CE492" s="5170"/>
      <c r="CF492" s="5170"/>
      <c r="CG492" s="5170"/>
      <c r="CH492" s="5170"/>
    </row>
    <row r="493" s="4972" customFormat="1" ht="36.65" customHeight="1" spans="1:86">
      <c r="A493" s="3662"/>
      <c r="B493" s="3662"/>
      <c r="C493" s="3662"/>
      <c r="D493" s="5053"/>
      <c r="E493" s="5053"/>
      <c r="F493" s="5053"/>
      <c r="G493" s="5053"/>
      <c r="H493" s="5053"/>
      <c r="I493" s="5053"/>
      <c r="J493" s="5053"/>
      <c r="K493" s="5053"/>
      <c r="L493" s="5053"/>
      <c r="M493" s="3662"/>
      <c r="N493" s="3662"/>
      <c r="O493" s="3662"/>
      <c r="P493" s="3662"/>
      <c r="Q493" s="3662"/>
      <c r="R493" s="3662"/>
      <c r="S493" s="3662"/>
      <c r="T493" s="3662"/>
      <c r="U493" s="3662"/>
      <c r="V493" s="3662"/>
      <c r="W493" s="3662"/>
      <c r="X493" s="3662"/>
      <c r="Y493" s="3666"/>
      <c r="Z493" s="3666"/>
      <c r="AA493" s="3662"/>
      <c r="AB493" s="3662"/>
      <c r="AC493" s="3662">
        <v>2</v>
      </c>
      <c r="AD493" s="5053" t="s">
        <v>1175</v>
      </c>
      <c r="AE493" s="5115">
        <v>0.1</v>
      </c>
      <c r="AF493" s="3662">
        <f>AE493*M492</f>
        <v>179188.9</v>
      </c>
      <c r="AG493" s="3684">
        <f t="shared" si="104"/>
        <v>41622.2</v>
      </c>
      <c r="AH493" s="3684" t="s">
        <v>122</v>
      </c>
      <c r="AI493" s="3684">
        <v>45134</v>
      </c>
      <c r="AJ493" s="3684">
        <v>41622.2</v>
      </c>
      <c r="AK493" s="3684">
        <v>45134</v>
      </c>
      <c r="AL493" s="3684">
        <v>41622.2</v>
      </c>
      <c r="AM493" s="3684">
        <v>45134</v>
      </c>
      <c r="AN493" s="3684">
        <f t="shared" si="100"/>
        <v>41622.2</v>
      </c>
      <c r="AO493" s="3684">
        <v>45196</v>
      </c>
      <c r="AP493" s="3684">
        <f t="shared" si="105"/>
        <v>0</v>
      </c>
      <c r="AQ493" s="5065"/>
      <c r="AR493" s="3662"/>
      <c r="AS493" s="5134"/>
      <c r="AT493" s="5127"/>
      <c r="AU493" s="3684"/>
      <c r="AV493" s="3684"/>
      <c r="AW493" s="3684"/>
      <c r="AX493" s="3684"/>
      <c r="AY493" s="3684"/>
      <c r="AZ493" s="3684"/>
      <c r="BA493" s="5127"/>
      <c r="BB493" s="3662"/>
      <c r="BC493" s="3684">
        <v>41622.2</v>
      </c>
      <c r="BD493" s="5127"/>
      <c r="BE493" s="5127"/>
      <c r="BF493" s="5127"/>
      <c r="BG493" s="5127"/>
      <c r="BH493" s="5164"/>
      <c r="BI493" s="3662"/>
      <c r="BJ493" s="3662"/>
      <c r="BK493" s="3662"/>
      <c r="BL493" s="3662"/>
      <c r="BM493" s="3662"/>
      <c r="BN493" s="3708"/>
      <c r="BO493" s="5127"/>
      <c r="BP493" s="5127"/>
      <c r="BQ493" s="3684">
        <v>41622.2</v>
      </c>
      <c r="BR493" s="5148"/>
      <c r="BS493" s="5148"/>
      <c r="BT493" s="5148"/>
      <c r="BU493" s="5148"/>
      <c r="BV493" s="5148"/>
      <c r="BW493" s="5148"/>
      <c r="BX493" s="5148"/>
      <c r="BY493" s="5148"/>
      <c r="BZ493" s="5148"/>
      <c r="CA493" s="5148"/>
      <c r="CB493" s="3684"/>
      <c r="CC493" s="3662"/>
      <c r="CD493" s="3662"/>
      <c r="CE493" s="5170"/>
      <c r="CF493" s="5170"/>
      <c r="CG493" s="5170"/>
      <c r="CH493" s="5170"/>
    </row>
    <row r="494" s="4972" customFormat="1" ht="40.5" customHeight="1" spans="1:86">
      <c r="A494" s="3662"/>
      <c r="B494" s="3662"/>
      <c r="C494" s="3662"/>
      <c r="D494" s="5053"/>
      <c r="E494" s="5053"/>
      <c r="F494" s="5053"/>
      <c r="G494" s="5053"/>
      <c r="H494" s="5053"/>
      <c r="I494" s="5053"/>
      <c r="J494" s="5053"/>
      <c r="K494" s="5053"/>
      <c r="L494" s="5053"/>
      <c r="M494" s="3662"/>
      <c r="N494" s="3662"/>
      <c r="O494" s="3662"/>
      <c r="P494" s="3662"/>
      <c r="Q494" s="3662"/>
      <c r="R494" s="3662"/>
      <c r="S494" s="3662"/>
      <c r="T494" s="3662"/>
      <c r="U494" s="3662"/>
      <c r="V494" s="3662"/>
      <c r="W494" s="3662"/>
      <c r="X494" s="3662"/>
      <c r="Y494" s="3666"/>
      <c r="Z494" s="3666"/>
      <c r="AA494" s="3662"/>
      <c r="AB494" s="3662"/>
      <c r="AC494" s="3662">
        <v>3</v>
      </c>
      <c r="AD494" s="5053" t="s">
        <v>1176</v>
      </c>
      <c r="AE494" s="5115">
        <v>0.3</v>
      </c>
      <c r="AF494" s="3662">
        <f>AE494*M492</f>
        <v>537566.7</v>
      </c>
      <c r="AG494" s="3684"/>
      <c r="AH494" s="3823"/>
      <c r="AI494" s="3708"/>
      <c r="AJ494" s="3662"/>
      <c r="AK494" s="5127"/>
      <c r="AL494" s="3684"/>
      <c r="AM494" s="3662"/>
      <c r="AN494" s="3708"/>
      <c r="AO494" s="3708"/>
      <c r="AP494" s="3684"/>
      <c r="AQ494" s="5065"/>
      <c r="AR494" s="3662"/>
      <c r="AS494" s="5134"/>
      <c r="AT494" s="5127"/>
      <c r="AU494" s="3684"/>
      <c r="AV494" s="3684"/>
      <c r="AW494" s="3684"/>
      <c r="AX494" s="3684"/>
      <c r="AY494" s="3684"/>
      <c r="AZ494" s="3684"/>
      <c r="BA494" s="5127"/>
      <c r="BB494" s="3662"/>
      <c r="BC494" s="3708"/>
      <c r="BD494" s="5127"/>
      <c r="BE494" s="5127"/>
      <c r="BF494" s="5127"/>
      <c r="BG494" s="5127"/>
      <c r="BH494" s="5164"/>
      <c r="BI494" s="3662"/>
      <c r="BJ494" s="3662"/>
      <c r="BK494" s="3662"/>
      <c r="BL494" s="3662"/>
      <c r="BM494" s="3662"/>
      <c r="BN494" s="3708"/>
      <c r="BO494" s="5127"/>
      <c r="BP494" s="5127"/>
      <c r="BQ494" s="3708"/>
      <c r="BR494" s="5127"/>
      <c r="BS494" s="5127"/>
      <c r="BT494" s="5127"/>
      <c r="BU494" s="5127"/>
      <c r="BV494" s="5164"/>
      <c r="BW494" s="5127"/>
      <c r="BX494" s="5127"/>
      <c r="BY494" s="5127"/>
      <c r="BZ494" s="5127"/>
      <c r="CA494" s="5127"/>
      <c r="CB494" s="3708"/>
      <c r="CC494" s="3662"/>
      <c r="CD494" s="3662"/>
      <c r="CE494" s="5170"/>
      <c r="CF494" s="5170"/>
      <c r="CG494" s="5170"/>
      <c r="CH494" s="5170"/>
    </row>
    <row r="495" s="4972" customFormat="1" ht="40.5" customHeight="1" spans="1:86">
      <c r="A495" s="3662"/>
      <c r="B495" s="3662"/>
      <c r="C495" s="3662"/>
      <c r="D495" s="5053"/>
      <c r="E495" s="5053"/>
      <c r="F495" s="5053"/>
      <c r="G495" s="5053"/>
      <c r="H495" s="5053"/>
      <c r="I495" s="5053"/>
      <c r="J495" s="5053"/>
      <c r="K495" s="5053"/>
      <c r="L495" s="5053"/>
      <c r="M495" s="3662"/>
      <c r="N495" s="3662"/>
      <c r="O495" s="3662"/>
      <c r="P495" s="3662"/>
      <c r="Q495" s="3662"/>
      <c r="R495" s="3662"/>
      <c r="S495" s="3662"/>
      <c r="T495" s="3662"/>
      <c r="U495" s="3662"/>
      <c r="V495" s="3662"/>
      <c r="W495" s="3662"/>
      <c r="X495" s="3662"/>
      <c r="Y495" s="3666"/>
      <c r="Z495" s="3666"/>
      <c r="AA495" s="3662"/>
      <c r="AB495" s="3662"/>
      <c r="AC495" s="3662">
        <v>4</v>
      </c>
      <c r="AD495" s="5684" t="s">
        <v>1177</v>
      </c>
      <c r="AE495" s="5115">
        <v>0.2</v>
      </c>
      <c r="AF495" s="3662">
        <f>AE495*M492</f>
        <v>358377.8</v>
      </c>
      <c r="AG495" s="3684"/>
      <c r="AH495" s="3823"/>
      <c r="AI495" s="3708"/>
      <c r="AJ495" s="3662"/>
      <c r="AK495" s="5127"/>
      <c r="AL495" s="3684"/>
      <c r="AM495" s="3662"/>
      <c r="AN495" s="3708"/>
      <c r="AO495" s="3708"/>
      <c r="AP495" s="3684"/>
      <c r="AQ495" s="5065"/>
      <c r="AR495" s="3662"/>
      <c r="AS495" s="5134"/>
      <c r="AT495" s="5127"/>
      <c r="AU495" s="3684"/>
      <c r="AV495" s="3684"/>
      <c r="AW495" s="3684"/>
      <c r="AX495" s="3684"/>
      <c r="AY495" s="3684"/>
      <c r="AZ495" s="3684"/>
      <c r="BA495" s="5127"/>
      <c r="BB495" s="3662"/>
      <c r="BC495" s="5164"/>
      <c r="BD495" s="5127"/>
      <c r="BE495" s="5127"/>
      <c r="BF495" s="5127"/>
      <c r="BG495" s="5127"/>
      <c r="BH495" s="5164"/>
      <c r="BI495" s="3662"/>
      <c r="BJ495" s="3662"/>
      <c r="BK495" s="3662"/>
      <c r="BL495" s="3662"/>
      <c r="BM495" s="3662"/>
      <c r="BN495" s="3708"/>
      <c r="BO495" s="5127"/>
      <c r="BP495" s="5127"/>
      <c r="BQ495" s="5164"/>
      <c r="BR495" s="5127"/>
      <c r="BS495" s="5127"/>
      <c r="BT495" s="5127"/>
      <c r="BU495" s="5127"/>
      <c r="BV495" s="5164"/>
      <c r="BW495" s="5127"/>
      <c r="BX495" s="5127"/>
      <c r="BY495" s="5127"/>
      <c r="BZ495" s="5127"/>
      <c r="CA495" s="5127"/>
      <c r="CB495" s="3708"/>
      <c r="CC495" s="3662"/>
      <c r="CD495" s="3662"/>
      <c r="CE495" s="5170"/>
      <c r="CF495" s="5170"/>
      <c r="CG495" s="5170"/>
      <c r="CH495" s="5170"/>
    </row>
    <row r="496" s="4972" customFormat="1" ht="40.5" customHeight="1" spans="1:86">
      <c r="A496" s="3662"/>
      <c r="B496" s="3662"/>
      <c r="C496" s="3662"/>
      <c r="D496" s="5053"/>
      <c r="E496" s="5053"/>
      <c r="F496" s="5053"/>
      <c r="G496" s="5053"/>
      <c r="H496" s="5053"/>
      <c r="I496" s="5053"/>
      <c r="J496" s="5053"/>
      <c r="K496" s="5053"/>
      <c r="L496" s="5053"/>
      <c r="M496" s="3662"/>
      <c r="N496" s="3662"/>
      <c r="O496" s="3662"/>
      <c r="P496" s="3662"/>
      <c r="Q496" s="3662"/>
      <c r="R496" s="3662"/>
      <c r="S496" s="3662"/>
      <c r="T496" s="3662"/>
      <c r="U496" s="3662"/>
      <c r="V496" s="3662"/>
      <c r="W496" s="3662"/>
      <c r="X496" s="3662"/>
      <c r="Y496" s="3666"/>
      <c r="Z496" s="3666"/>
      <c r="AA496" s="3662"/>
      <c r="AB496" s="3662"/>
      <c r="AC496" s="3662">
        <v>5</v>
      </c>
      <c r="AD496" s="5684" t="s">
        <v>1178</v>
      </c>
      <c r="AE496" s="5115">
        <v>0.1</v>
      </c>
      <c r="AF496" s="3662">
        <f>AE496*M492</f>
        <v>179188.9</v>
      </c>
      <c r="AG496" s="3684"/>
      <c r="AH496" s="3823"/>
      <c r="AI496" s="3823"/>
      <c r="AJ496" s="3662"/>
      <c r="AK496" s="5127"/>
      <c r="AL496" s="3684"/>
      <c r="AM496" s="3662"/>
      <c r="AN496" s="3708"/>
      <c r="AO496" s="3662"/>
      <c r="AP496" s="3684"/>
      <c r="AQ496" s="5065"/>
      <c r="AR496" s="3662"/>
      <c r="AS496" s="5134"/>
      <c r="AT496" s="5127"/>
      <c r="AU496" s="3684"/>
      <c r="AV496" s="3684"/>
      <c r="AW496" s="3684"/>
      <c r="AX496" s="3684"/>
      <c r="AY496" s="3684"/>
      <c r="AZ496" s="3684"/>
      <c r="BA496" s="5127"/>
      <c r="BB496" s="3662"/>
      <c r="BC496" s="5164"/>
      <c r="BD496" s="5127"/>
      <c r="BE496" s="5127"/>
      <c r="BF496" s="5127"/>
      <c r="BG496" s="5127"/>
      <c r="BH496" s="5164"/>
      <c r="BI496" s="3662"/>
      <c r="BJ496" s="3662"/>
      <c r="BK496" s="3662"/>
      <c r="BL496" s="3662"/>
      <c r="BM496" s="3662"/>
      <c r="BN496" s="3708"/>
      <c r="BO496" s="5127"/>
      <c r="BP496" s="5127"/>
      <c r="BQ496" s="5164"/>
      <c r="BR496" s="5127"/>
      <c r="BS496" s="5127"/>
      <c r="BT496" s="5127"/>
      <c r="BU496" s="5127"/>
      <c r="BV496" s="5164"/>
      <c r="BW496" s="5127"/>
      <c r="BX496" s="5127"/>
      <c r="BY496" s="5127"/>
      <c r="BZ496" s="5127"/>
      <c r="CA496" s="5127"/>
      <c r="CB496" s="3708"/>
      <c r="CC496" s="3662"/>
      <c r="CD496" s="3662"/>
      <c r="CE496" s="5170"/>
      <c r="CF496" s="5170"/>
      <c r="CG496" s="5170"/>
      <c r="CH496" s="5170"/>
    </row>
    <row r="497" s="4972" customFormat="1" ht="40.5" customHeight="1" spans="1:86">
      <c r="A497" s="3662"/>
      <c r="B497" s="3662"/>
      <c r="C497" s="3662"/>
      <c r="D497" s="5053"/>
      <c r="E497" s="5053"/>
      <c r="F497" s="5053"/>
      <c r="G497" s="5053"/>
      <c r="H497" s="5053"/>
      <c r="I497" s="5053"/>
      <c r="J497" s="5053"/>
      <c r="K497" s="5053"/>
      <c r="L497" s="5053"/>
      <c r="M497" s="3662"/>
      <c r="N497" s="3662"/>
      <c r="O497" s="3662"/>
      <c r="P497" s="3662"/>
      <c r="Q497" s="3662"/>
      <c r="R497" s="3662"/>
      <c r="S497" s="3662"/>
      <c r="T497" s="3662"/>
      <c r="U497" s="3662"/>
      <c r="V497" s="3662"/>
      <c r="W497" s="3662"/>
      <c r="X497" s="3662"/>
      <c r="Y497" s="3667"/>
      <c r="Z497" s="3667"/>
      <c r="AA497" s="3662"/>
      <c r="AB497" s="3662"/>
      <c r="AC497" s="3662">
        <v>6</v>
      </c>
      <c r="AD497" s="5684" t="s">
        <v>1179</v>
      </c>
      <c r="AE497" s="5115">
        <v>0.1</v>
      </c>
      <c r="AF497" s="3662">
        <f>AE497*M492</f>
        <v>179188.9</v>
      </c>
      <c r="AG497" s="3684"/>
      <c r="AH497" s="3662"/>
      <c r="AI497" s="3662"/>
      <c r="AJ497" s="3662"/>
      <c r="AK497" s="5127"/>
      <c r="AL497" s="3684"/>
      <c r="AM497" s="3662"/>
      <c r="AN497" s="3708"/>
      <c r="AO497" s="3662"/>
      <c r="AP497" s="3684"/>
      <c r="AQ497" s="5062"/>
      <c r="AR497" s="3662"/>
      <c r="AS497" s="5134"/>
      <c r="AT497" s="5127"/>
      <c r="AU497" s="3684"/>
      <c r="AV497" s="3684"/>
      <c r="AW497" s="3684"/>
      <c r="AX497" s="3684"/>
      <c r="AY497" s="3684"/>
      <c r="AZ497" s="3684"/>
      <c r="BA497" s="5127"/>
      <c r="BB497" s="3662"/>
      <c r="BC497" s="3662"/>
      <c r="BD497" s="5127"/>
      <c r="BE497" s="5127"/>
      <c r="BF497" s="5127"/>
      <c r="BG497" s="5127"/>
      <c r="BH497" s="3662"/>
      <c r="BI497" s="3662"/>
      <c r="BJ497" s="3662"/>
      <c r="BK497" s="3662"/>
      <c r="BL497" s="3662"/>
      <c r="BM497" s="3662"/>
      <c r="BN497" s="3662"/>
      <c r="BO497" s="5127"/>
      <c r="BP497" s="5127"/>
      <c r="BQ497" s="5127"/>
      <c r="BR497" s="5127"/>
      <c r="BS497" s="5127"/>
      <c r="BT497" s="5127"/>
      <c r="BU497" s="5127"/>
      <c r="BV497" s="5127"/>
      <c r="BW497" s="5127"/>
      <c r="BX497" s="5127"/>
      <c r="BY497" s="5127"/>
      <c r="BZ497" s="5127"/>
      <c r="CA497" s="5127"/>
      <c r="CB497" s="5127"/>
      <c r="CC497" s="3662"/>
      <c r="CD497" s="3662"/>
      <c r="CE497" s="5170"/>
      <c r="CF497" s="5170"/>
      <c r="CG497" s="5170"/>
      <c r="CH497" s="5170"/>
    </row>
    <row r="498" s="4971" customFormat="1" ht="125" customHeight="1" spans="1:86">
      <c r="A498" s="2963">
        <v>90</v>
      </c>
      <c r="B498" s="3524" t="s">
        <v>690</v>
      </c>
      <c r="C498" s="3524">
        <v>44283</v>
      </c>
      <c r="D498" s="3742" t="s">
        <v>1180</v>
      </c>
      <c r="E498" s="3742" t="s">
        <v>1181</v>
      </c>
      <c r="F498" s="3742" t="s">
        <v>1182</v>
      </c>
      <c r="G498" s="3742" t="s">
        <v>1183</v>
      </c>
      <c r="H498" s="3742" t="s">
        <v>31</v>
      </c>
      <c r="I498" s="3742"/>
      <c r="J498" s="3742" t="s">
        <v>1184</v>
      </c>
      <c r="K498" s="3742">
        <v>21922</v>
      </c>
      <c r="L498" s="3742">
        <v>100000</v>
      </c>
      <c r="M498" s="3524">
        <v>100000</v>
      </c>
      <c r="N498" s="2963"/>
      <c r="O498" s="2963"/>
      <c r="P498" s="2963"/>
      <c r="Q498" s="2963"/>
      <c r="R498" s="2963"/>
      <c r="S498" s="2963"/>
      <c r="T498" s="2963"/>
      <c r="U498" s="2963">
        <v>100000</v>
      </c>
      <c r="V498" s="2963"/>
      <c r="W498" s="2963"/>
      <c r="X498" s="2963">
        <v>0</v>
      </c>
      <c r="Y498" s="2963"/>
      <c r="Z498" s="2963"/>
      <c r="AA498" s="2963"/>
      <c r="AB498" s="2963"/>
      <c r="AC498" s="3524">
        <v>1</v>
      </c>
      <c r="AD498" s="5680" t="s">
        <v>1185</v>
      </c>
      <c r="AE498" s="5117">
        <v>1</v>
      </c>
      <c r="AF498" s="3524">
        <v>100000</v>
      </c>
      <c r="AG498" s="3812">
        <f t="shared" si="104"/>
        <v>100000</v>
      </c>
      <c r="AH498" s="3812" t="s">
        <v>409</v>
      </c>
      <c r="AI498" s="3812">
        <v>44551</v>
      </c>
      <c r="AJ498" s="3524">
        <v>100000</v>
      </c>
      <c r="AK498" s="3524">
        <v>44551</v>
      </c>
      <c r="AL498" s="3812">
        <v>100000</v>
      </c>
      <c r="AM498" s="3812">
        <v>45119</v>
      </c>
      <c r="AN498" s="5123">
        <f t="shared" ref="AN498:AN505" si="106">SUM(BO498:CB498)</f>
        <v>100000</v>
      </c>
      <c r="AO498" s="5123"/>
      <c r="AP498" s="3812">
        <f t="shared" si="105"/>
        <v>0</v>
      </c>
      <c r="AQ498" s="5122"/>
      <c r="AR498" s="3524"/>
      <c r="AS498" s="5137"/>
      <c r="AT498" s="5122"/>
      <c r="AU498" s="2960">
        <f t="shared" ref="AU498:AU503" si="107">SUM(AG498)</f>
        <v>100000</v>
      </c>
      <c r="AV498" s="2960">
        <f>SUM(AL498)</f>
        <v>100000</v>
      </c>
      <c r="AW498" s="2960">
        <f>SUM(AN498)</f>
        <v>100000</v>
      </c>
      <c r="AX498" s="2960">
        <f t="shared" ref="AX498:AX503" si="108">M498-AU498</f>
        <v>0</v>
      </c>
      <c r="AY498" s="2960">
        <f t="shared" ref="AY498:AY503" si="109">AU498-AV498</f>
        <v>0</v>
      </c>
      <c r="AZ498" s="2960">
        <f t="shared" ref="AZ498:AZ503" si="110">AV498-AW498</f>
        <v>0</v>
      </c>
      <c r="BA498" s="5146"/>
      <c r="BB498" s="3812"/>
      <c r="BC498" s="3812"/>
      <c r="BD498" s="5146"/>
      <c r="BE498" s="5146"/>
      <c r="BF498" s="5146"/>
      <c r="BG498" s="5146"/>
      <c r="BH498" s="3812">
        <v>100000</v>
      </c>
      <c r="BI498" s="3812"/>
      <c r="BJ498" s="3812"/>
      <c r="BK498" s="3812"/>
      <c r="BL498" s="3812"/>
      <c r="BM498" s="3812"/>
      <c r="BN498" s="3812"/>
      <c r="BO498" s="5122"/>
      <c r="BP498" s="5122"/>
      <c r="BQ498" s="5122"/>
      <c r="BR498" s="5122"/>
      <c r="BS498" s="5122"/>
      <c r="BT498" s="5122"/>
      <c r="BU498" s="5122"/>
      <c r="BV498" s="5160">
        <v>100000</v>
      </c>
      <c r="BW498" s="5122"/>
      <c r="BX498" s="5122"/>
      <c r="BY498" s="5122"/>
      <c r="BZ498" s="5122"/>
      <c r="CA498" s="5122"/>
      <c r="CB498" s="5122"/>
      <c r="CC498" s="3524" t="s">
        <v>124</v>
      </c>
      <c r="CD498" s="3524" t="s">
        <v>154</v>
      </c>
      <c r="CE498" s="5039"/>
      <c r="CF498" s="5039"/>
      <c r="CG498" s="5039"/>
      <c r="CH498" s="5039"/>
    </row>
    <row r="499" s="4965" customFormat="1" ht="30.85" customHeight="1" spans="1:86">
      <c r="A499" s="2824">
        <v>91</v>
      </c>
      <c r="B499" s="2824" t="s">
        <v>1186</v>
      </c>
      <c r="C499" s="2824">
        <v>43160</v>
      </c>
      <c r="D499" s="5316" t="s">
        <v>1187</v>
      </c>
      <c r="E499" s="5317" t="s">
        <v>171</v>
      </c>
      <c r="F499" s="5317" t="s">
        <v>1188</v>
      </c>
      <c r="G499" s="5317" t="s">
        <v>171</v>
      </c>
      <c r="H499" s="5317" t="s">
        <v>1189</v>
      </c>
      <c r="I499" s="5317"/>
      <c r="J499" s="5317" t="s">
        <v>1190</v>
      </c>
      <c r="K499" s="5317">
        <v>93728</v>
      </c>
      <c r="L499" s="5317" t="s">
        <v>1191</v>
      </c>
      <c r="M499" s="2824">
        <v>1874560</v>
      </c>
      <c r="N499" s="2824"/>
      <c r="O499" s="2824"/>
      <c r="P499" s="2824"/>
      <c r="Q499" s="2824"/>
      <c r="R499" s="2824"/>
      <c r="S499" s="2824">
        <v>189505.8</v>
      </c>
      <c r="T499" s="2824"/>
      <c r="U499" s="2824"/>
      <c r="V499" s="2824"/>
      <c r="W499" s="2824"/>
      <c r="X499" s="2824">
        <v>0</v>
      </c>
      <c r="Y499" s="2824"/>
      <c r="Z499" s="2824"/>
      <c r="AA499" s="2824"/>
      <c r="AB499" s="2824"/>
      <c r="AC499" s="2824">
        <v>1</v>
      </c>
      <c r="AD499" s="5727" t="s">
        <v>1192</v>
      </c>
      <c r="AE499" s="5344">
        <v>0.1</v>
      </c>
      <c r="AF499" s="2824">
        <v>188948.8</v>
      </c>
      <c r="AG499" s="5347">
        <f t="shared" si="104"/>
        <v>188948.8</v>
      </c>
      <c r="AH499" s="5347" t="s">
        <v>122</v>
      </c>
      <c r="AI499" s="5347">
        <v>44567</v>
      </c>
      <c r="AJ499" s="2824">
        <v>188948.8</v>
      </c>
      <c r="AK499" s="5356">
        <v>44567</v>
      </c>
      <c r="AL499" s="5347">
        <v>188948.8</v>
      </c>
      <c r="AM499" s="2824">
        <v>44567</v>
      </c>
      <c r="AN499" s="5347">
        <f t="shared" si="106"/>
        <v>188948.8</v>
      </c>
      <c r="AO499" s="5347">
        <v>45044</v>
      </c>
      <c r="AP499" s="5347">
        <f t="shared" si="105"/>
        <v>0</v>
      </c>
      <c r="AQ499" s="5739"/>
      <c r="AR499" s="2824"/>
      <c r="AS499" s="5361"/>
      <c r="AT499" s="5356"/>
      <c r="AU499" s="5347">
        <f t="shared" si="107"/>
        <v>188948.8</v>
      </c>
      <c r="AV499" s="5347">
        <f>SUM(AL499)</f>
        <v>188948.8</v>
      </c>
      <c r="AW499" s="5347">
        <f>SUM(AN499)</f>
        <v>188948.8</v>
      </c>
      <c r="AX499" s="5347">
        <f t="shared" si="108"/>
        <v>1685611.2</v>
      </c>
      <c r="AY499" s="5347">
        <f t="shared" si="109"/>
        <v>0</v>
      </c>
      <c r="AZ499" s="5347">
        <f t="shared" si="110"/>
        <v>0</v>
      </c>
      <c r="BA499" s="5363"/>
      <c r="BB499" s="5347"/>
      <c r="BC499" s="5347"/>
      <c r="BD499" s="5363"/>
      <c r="BE499" s="5363"/>
      <c r="BF499" s="5363">
        <v>188948.8</v>
      </c>
      <c r="BG499" s="5363"/>
      <c r="BH499" s="5347"/>
      <c r="BI499" s="5347"/>
      <c r="BJ499" s="5347"/>
      <c r="BK499" s="5347"/>
      <c r="BL499" s="5347"/>
      <c r="BM499" s="5347"/>
      <c r="BN499" s="5347"/>
      <c r="BO499" s="5508"/>
      <c r="BP499" s="5508"/>
      <c r="BQ499" s="5508"/>
      <c r="BR499" s="5508"/>
      <c r="BS499" s="5508"/>
      <c r="BT499" s="5347">
        <v>188948.8</v>
      </c>
      <c r="BU499" s="5508"/>
      <c r="BV499" s="5508"/>
      <c r="BW499" s="5508"/>
      <c r="BX499" s="5508"/>
      <c r="BY499" s="5508"/>
      <c r="BZ499" s="5508"/>
      <c r="CA499" s="5508"/>
      <c r="CB499" s="5508"/>
      <c r="CC499" s="2824"/>
      <c r="CD499" s="2824"/>
      <c r="CE499" s="5169"/>
      <c r="CF499" s="5169"/>
      <c r="CG499" s="5169"/>
      <c r="CH499" s="5169"/>
    </row>
    <row r="500" s="4965" customFormat="1" ht="76" spans="1:86">
      <c r="A500" s="3524">
        <v>92</v>
      </c>
      <c r="B500" s="3524" t="s">
        <v>173</v>
      </c>
      <c r="C500" s="3524">
        <v>44322</v>
      </c>
      <c r="D500" s="3742" t="s">
        <v>1193</v>
      </c>
      <c r="E500" s="3742" t="s">
        <v>1194</v>
      </c>
      <c r="F500" s="3742" t="s">
        <v>1195</v>
      </c>
      <c r="G500" s="3742" t="s">
        <v>1196</v>
      </c>
      <c r="H500" s="3742" t="s">
        <v>193</v>
      </c>
      <c r="I500" s="5073" t="s">
        <v>1197</v>
      </c>
      <c r="J500" s="3742" t="s">
        <v>215</v>
      </c>
      <c r="K500" s="3742">
        <v>33112.9</v>
      </c>
      <c r="L500" s="3742" t="s">
        <v>1198</v>
      </c>
      <c r="M500" s="3524">
        <v>248346.75</v>
      </c>
      <c r="N500" s="4046"/>
      <c r="O500" s="4046"/>
      <c r="P500" s="4046"/>
      <c r="Q500" s="4046"/>
      <c r="R500" s="4046"/>
      <c r="S500" s="4046"/>
      <c r="T500" s="4046"/>
      <c r="U500" s="4046"/>
      <c r="V500" s="4046">
        <v>248346.75</v>
      </c>
      <c r="W500" s="4046"/>
      <c r="X500" s="4046">
        <v>0</v>
      </c>
      <c r="Y500" s="4046"/>
      <c r="Z500" s="4046"/>
      <c r="AA500" s="4046"/>
      <c r="AB500" s="4046"/>
      <c r="AC500" s="3524">
        <v>1</v>
      </c>
      <c r="AD500" s="5680" t="s">
        <v>1199</v>
      </c>
      <c r="AE500" s="5117">
        <v>0.4</v>
      </c>
      <c r="AF500" s="3524">
        <f>AE500*V500</f>
        <v>99338.7</v>
      </c>
      <c r="AG500" s="3812">
        <f t="shared" si="104"/>
        <v>99338.7</v>
      </c>
      <c r="AH500" s="3812" t="s">
        <v>122</v>
      </c>
      <c r="AI500" s="3812">
        <v>44452</v>
      </c>
      <c r="AJ500" s="3524">
        <v>99338.7</v>
      </c>
      <c r="AK500" s="3524">
        <v>44452</v>
      </c>
      <c r="AL500" s="3524">
        <v>99338.7</v>
      </c>
      <c r="AM500" s="3524">
        <v>44452</v>
      </c>
      <c r="AN500" s="3812">
        <f t="shared" si="106"/>
        <v>99338.7</v>
      </c>
      <c r="AO500" s="3524">
        <v>44554</v>
      </c>
      <c r="AP500" s="3812">
        <f t="shared" si="105"/>
        <v>0</v>
      </c>
      <c r="AQ500" s="5256" t="s">
        <v>663</v>
      </c>
      <c r="AR500" s="4046"/>
      <c r="AS500" s="5701"/>
      <c r="AT500" s="5696"/>
      <c r="AU500" s="4045">
        <f t="shared" si="107"/>
        <v>99338.7</v>
      </c>
      <c r="AV500" s="4045">
        <f>SUM(AL500:AL502)</f>
        <v>243379.82</v>
      </c>
      <c r="AW500" s="4045">
        <f>SUM(AN500:AN502)</f>
        <v>248346.76</v>
      </c>
      <c r="AX500" s="4045">
        <f t="shared" si="108"/>
        <v>149008.05</v>
      </c>
      <c r="AY500" s="4045">
        <f t="shared" si="109"/>
        <v>-144041.12</v>
      </c>
      <c r="AZ500" s="4045">
        <f t="shared" si="110"/>
        <v>-4966.94</v>
      </c>
      <c r="BA500" s="5146"/>
      <c r="BB500" s="3812"/>
      <c r="BC500" s="3812"/>
      <c r="BD500" s="5146"/>
      <c r="BE500" s="5146"/>
      <c r="BF500" s="5146"/>
      <c r="BG500" s="5146"/>
      <c r="BH500" s="3812"/>
      <c r="BI500" s="3812">
        <v>99338.7</v>
      </c>
      <c r="BJ500" s="3812"/>
      <c r="BK500" s="3812"/>
      <c r="BL500" s="3812"/>
      <c r="BM500" s="3812"/>
      <c r="BN500" s="3812"/>
      <c r="BO500" s="5122"/>
      <c r="BP500" s="5122"/>
      <c r="BQ500" s="5122"/>
      <c r="BR500" s="5122"/>
      <c r="BS500" s="5122"/>
      <c r="BT500" s="5122"/>
      <c r="BU500" s="5122"/>
      <c r="BV500" s="5122"/>
      <c r="BW500" s="5122">
        <v>99338.7</v>
      </c>
      <c r="BX500" s="5122"/>
      <c r="BY500" s="5122"/>
      <c r="BZ500" s="5122"/>
      <c r="CA500" s="5122"/>
      <c r="CB500" s="5122"/>
      <c r="CC500" s="3524" t="s">
        <v>1112</v>
      </c>
      <c r="CD500" s="3524" t="s">
        <v>154</v>
      </c>
      <c r="CE500" s="5169"/>
      <c r="CF500" s="5169"/>
      <c r="CG500" s="5169"/>
      <c r="CH500" s="5169"/>
    </row>
    <row r="501" s="4965" customFormat="1" ht="92" spans="1:86">
      <c r="A501" s="3524"/>
      <c r="B501" s="3524"/>
      <c r="C501" s="3524"/>
      <c r="D501" s="3742"/>
      <c r="E501" s="3742"/>
      <c r="F501" s="3742"/>
      <c r="G501" s="3742"/>
      <c r="H501" s="3742"/>
      <c r="I501" s="5074"/>
      <c r="J501" s="3742"/>
      <c r="K501" s="3742"/>
      <c r="L501" s="3742"/>
      <c r="M501" s="3524"/>
      <c r="N501" s="4046"/>
      <c r="O501" s="4046"/>
      <c r="P501" s="4046"/>
      <c r="Q501" s="4046"/>
      <c r="R501" s="4046"/>
      <c r="S501" s="4046"/>
      <c r="T501" s="4046"/>
      <c r="U501" s="4046"/>
      <c r="V501" s="4046"/>
      <c r="W501" s="4046"/>
      <c r="X501" s="4046"/>
      <c r="Y501" s="4046"/>
      <c r="Z501" s="4046"/>
      <c r="AA501" s="4046"/>
      <c r="AB501" s="4046"/>
      <c r="AC501" s="3524">
        <v>2</v>
      </c>
      <c r="AD501" s="5680" t="s">
        <v>1200</v>
      </c>
      <c r="AE501" s="5117">
        <v>0.58</v>
      </c>
      <c r="AF501" s="3524">
        <f>AE501*V500</f>
        <v>144041.115</v>
      </c>
      <c r="AG501" s="3812">
        <f t="shared" si="104"/>
        <v>144041.12</v>
      </c>
      <c r="AH501" s="857" t="s">
        <v>122</v>
      </c>
      <c r="AI501" s="3812">
        <v>44536</v>
      </c>
      <c r="AJ501" s="3524">
        <v>144041.12</v>
      </c>
      <c r="AK501" s="3812">
        <v>44536</v>
      </c>
      <c r="AL501" s="3812">
        <v>144041.12</v>
      </c>
      <c r="AM501" s="3524">
        <v>45216</v>
      </c>
      <c r="AN501" s="3812">
        <f t="shared" si="106"/>
        <v>144041.12</v>
      </c>
      <c r="AO501" s="3812">
        <v>45253</v>
      </c>
      <c r="AP501" s="3812">
        <f t="shared" si="105"/>
        <v>0</v>
      </c>
      <c r="AQ501" s="5252"/>
      <c r="AR501" s="4046"/>
      <c r="AS501" s="5701"/>
      <c r="AT501" s="5696"/>
      <c r="AU501" s="4045"/>
      <c r="AV501" s="4045"/>
      <c r="AW501" s="4045"/>
      <c r="AX501" s="4045"/>
      <c r="AY501" s="4045"/>
      <c r="AZ501" s="4045"/>
      <c r="BA501" s="5146"/>
      <c r="BB501" s="3812"/>
      <c r="BC501" s="3812"/>
      <c r="BD501" s="5146"/>
      <c r="BE501" s="5146"/>
      <c r="BF501" s="5146"/>
      <c r="BG501" s="5146"/>
      <c r="BH501" s="3812"/>
      <c r="BI501" s="3812">
        <v>144041.12</v>
      </c>
      <c r="BJ501" s="3812"/>
      <c r="BK501" s="3812"/>
      <c r="BL501" s="3812"/>
      <c r="BM501" s="3812"/>
      <c r="BN501" s="3812"/>
      <c r="BO501" s="5122"/>
      <c r="BP501" s="5122"/>
      <c r="BQ501" s="5122"/>
      <c r="BR501" s="5122"/>
      <c r="BS501" s="5122"/>
      <c r="BT501" s="5122"/>
      <c r="BU501" s="5122"/>
      <c r="BV501" s="5122"/>
      <c r="BW501" s="3812">
        <v>144041.12</v>
      </c>
      <c r="BX501" s="5122"/>
      <c r="BY501" s="5122"/>
      <c r="BZ501" s="5122"/>
      <c r="CA501" s="5122"/>
      <c r="CB501" s="5122"/>
      <c r="CC501" s="3524"/>
      <c r="CD501" s="3524"/>
      <c r="CE501" s="5169"/>
      <c r="CF501" s="5169"/>
      <c r="CG501" s="5169"/>
      <c r="CH501" s="5169"/>
    </row>
    <row r="502" s="4965" customFormat="1" ht="76" spans="1:86">
      <c r="A502" s="3524"/>
      <c r="B502" s="3524"/>
      <c r="C502" s="3524"/>
      <c r="D502" s="3742"/>
      <c r="E502" s="3742"/>
      <c r="F502" s="3742"/>
      <c r="G502" s="3742"/>
      <c r="H502" s="3742"/>
      <c r="I502" s="5075"/>
      <c r="J502" s="3742"/>
      <c r="K502" s="3742"/>
      <c r="L502" s="3742"/>
      <c r="M502" s="3524"/>
      <c r="N502" s="4046"/>
      <c r="O502" s="4046"/>
      <c r="P502" s="4046"/>
      <c r="Q502" s="4046"/>
      <c r="R502" s="4046"/>
      <c r="S502" s="4046"/>
      <c r="T502" s="4046"/>
      <c r="U502" s="4046"/>
      <c r="V502" s="4046"/>
      <c r="W502" s="4046"/>
      <c r="X502" s="4046"/>
      <c r="Y502" s="4046"/>
      <c r="Z502" s="4046"/>
      <c r="AA502" s="4046"/>
      <c r="AB502" s="4046"/>
      <c r="AC502" s="3524">
        <v>3</v>
      </c>
      <c r="AD502" s="5680" t="s">
        <v>746</v>
      </c>
      <c r="AE502" s="5117">
        <v>0.02</v>
      </c>
      <c r="AF502" s="3524">
        <f>AE502*V500</f>
        <v>4966.935</v>
      </c>
      <c r="AG502" s="5123">
        <f t="shared" si="104"/>
        <v>4966.935</v>
      </c>
      <c r="AH502" s="3406" t="s">
        <v>349</v>
      </c>
      <c r="AI502" s="5123"/>
      <c r="AJ502" s="5123">
        <v>4966.94</v>
      </c>
      <c r="AK502" s="3524"/>
      <c r="AL502" s="3812"/>
      <c r="AM502" s="3524"/>
      <c r="AN502" s="5123">
        <f t="shared" si="106"/>
        <v>4966.94</v>
      </c>
      <c r="AO502" s="3524"/>
      <c r="AP502" s="3812">
        <f t="shared" si="105"/>
        <v>-0.00499999999919964</v>
      </c>
      <c r="AQ502" s="5122"/>
      <c r="AR502" s="4046"/>
      <c r="AS502" s="5701"/>
      <c r="AT502" s="5696"/>
      <c r="AU502" s="4045"/>
      <c r="AV502" s="4045"/>
      <c r="AW502" s="4045"/>
      <c r="AX502" s="4045"/>
      <c r="AY502" s="4045"/>
      <c r="AZ502" s="4045"/>
      <c r="BA502" s="5122"/>
      <c r="BB502" s="3524"/>
      <c r="BC502" s="3524"/>
      <c r="BD502" s="5122"/>
      <c r="BE502" s="5122"/>
      <c r="BF502" s="5122"/>
      <c r="BG502" s="5122"/>
      <c r="BH502" s="3524"/>
      <c r="BI502" s="3524">
        <v>4966.935</v>
      </c>
      <c r="BJ502" s="3524"/>
      <c r="BK502" s="3524"/>
      <c r="BL502" s="3524"/>
      <c r="BM502" s="3524"/>
      <c r="BN502" s="3524"/>
      <c r="BO502" s="5122"/>
      <c r="BP502" s="5122"/>
      <c r="BQ502" s="5122"/>
      <c r="BR502" s="5122"/>
      <c r="BS502" s="5122"/>
      <c r="BT502" s="5122"/>
      <c r="BU502" s="5122"/>
      <c r="BV502" s="5122"/>
      <c r="BW502" s="5122">
        <v>4966.94</v>
      </c>
      <c r="BX502" s="5122"/>
      <c r="BY502" s="5122"/>
      <c r="BZ502" s="5122"/>
      <c r="CA502" s="5122"/>
      <c r="CB502" s="5122"/>
      <c r="CC502" s="3524"/>
      <c r="CD502" s="3524"/>
      <c r="CE502" s="5169"/>
      <c r="CF502" s="5169"/>
      <c r="CG502" s="5169"/>
      <c r="CH502" s="5169"/>
    </row>
    <row r="503" s="4965" customFormat="1" ht="60" customHeight="1" spans="1:86">
      <c r="A503" s="3524">
        <v>92</v>
      </c>
      <c r="B503" s="3524" t="s">
        <v>173</v>
      </c>
      <c r="C503" s="3524">
        <v>44783</v>
      </c>
      <c r="D503" s="1032" t="s">
        <v>1201</v>
      </c>
      <c r="E503" s="1032" t="s">
        <v>1202</v>
      </c>
      <c r="F503" s="1032" t="s">
        <v>1203</v>
      </c>
      <c r="G503" s="1032" t="s">
        <v>1204</v>
      </c>
      <c r="H503" s="3742" t="s">
        <v>193</v>
      </c>
      <c r="I503" s="5073" t="s">
        <v>1205</v>
      </c>
      <c r="J503" s="3742" t="s">
        <v>215</v>
      </c>
      <c r="K503" s="3742">
        <v>42740.72</v>
      </c>
      <c r="L503" s="3742" t="s">
        <v>1198</v>
      </c>
      <c r="M503" s="3524">
        <v>320555.4</v>
      </c>
      <c r="N503" s="4046"/>
      <c r="O503" s="4046"/>
      <c r="P503" s="4046"/>
      <c r="Q503" s="4046"/>
      <c r="R503" s="4046"/>
      <c r="S503" s="4046"/>
      <c r="T503" s="4046"/>
      <c r="U503" s="4046"/>
      <c r="V503" s="4046">
        <v>320555.4</v>
      </c>
      <c r="W503" s="4046"/>
      <c r="X503" s="4046"/>
      <c r="Y503" s="4046"/>
      <c r="Z503" s="4046"/>
      <c r="AA503" s="4046"/>
      <c r="AB503" s="4046"/>
      <c r="AC503" s="3524">
        <v>1</v>
      </c>
      <c r="AD503" s="5728" t="s">
        <v>1199</v>
      </c>
      <c r="AE503" s="5117">
        <v>0.4</v>
      </c>
      <c r="AF503" s="3524">
        <f>M503*AE503</f>
        <v>128222.16</v>
      </c>
      <c r="AG503" s="3812">
        <f t="shared" si="104"/>
        <v>128222.16</v>
      </c>
      <c r="AH503" s="857" t="s">
        <v>122</v>
      </c>
      <c r="AI503" s="3812">
        <v>44865</v>
      </c>
      <c r="AJ503" s="3812">
        <v>128222.16</v>
      </c>
      <c r="AK503" s="3812">
        <v>44865</v>
      </c>
      <c r="AL503" s="3524">
        <v>128222.16</v>
      </c>
      <c r="AM503" s="3812">
        <v>45237</v>
      </c>
      <c r="AN503" s="3812">
        <f t="shared" si="106"/>
        <v>128222.16</v>
      </c>
      <c r="AO503" s="3524">
        <v>45406</v>
      </c>
      <c r="AP503" s="3812">
        <f t="shared" si="105"/>
        <v>0</v>
      </c>
      <c r="AQ503" s="5256"/>
      <c r="AR503" s="4046"/>
      <c r="AS503" s="5701"/>
      <c r="AT503" s="5696"/>
      <c r="AU503" s="4045">
        <f t="shared" si="107"/>
        <v>128222.16</v>
      </c>
      <c r="AV503" s="4045">
        <f>SUM(AL503:AL505)</f>
        <v>314144.29</v>
      </c>
      <c r="AW503" s="4045">
        <f>SUM(AN503:AN505)</f>
        <v>314144.29</v>
      </c>
      <c r="AX503" s="4045">
        <f t="shared" si="108"/>
        <v>192333.24</v>
      </c>
      <c r="AY503" s="4045">
        <f t="shared" si="109"/>
        <v>-185922.13</v>
      </c>
      <c r="AZ503" s="4045">
        <f t="shared" si="110"/>
        <v>0</v>
      </c>
      <c r="BA503" s="5741"/>
      <c r="BB503" s="4813"/>
      <c r="BC503" s="4813"/>
      <c r="BD503" s="5741"/>
      <c r="BE503" s="5741"/>
      <c r="BF503" s="5741"/>
      <c r="BG503" s="5741"/>
      <c r="BH503" s="4813"/>
      <c r="BI503" s="3812">
        <v>128222.16</v>
      </c>
      <c r="BJ503" s="4813"/>
      <c r="BK503" s="4813"/>
      <c r="BL503" s="4813"/>
      <c r="BM503" s="4813"/>
      <c r="BN503" s="4813"/>
      <c r="BO503" s="5122"/>
      <c r="BP503" s="5122"/>
      <c r="BQ503" s="5122"/>
      <c r="BR503" s="5122"/>
      <c r="BS503" s="5122"/>
      <c r="BT503" s="5122"/>
      <c r="BU503" s="5122"/>
      <c r="BV503" s="5122"/>
      <c r="BW503" s="5122">
        <v>128222.16</v>
      </c>
      <c r="BX503" s="5122"/>
      <c r="BY503" s="5122"/>
      <c r="BZ503" s="5122"/>
      <c r="CA503" s="5122"/>
      <c r="CB503" s="5122"/>
      <c r="CC503" s="3524" t="s">
        <v>1112</v>
      </c>
      <c r="CD503" s="3524" t="s">
        <v>154</v>
      </c>
      <c r="CE503" s="5169"/>
      <c r="CF503" s="5169"/>
      <c r="CG503" s="5169"/>
      <c r="CH503" s="5169"/>
    </row>
    <row r="504" s="4965" customFormat="1" ht="65" customHeight="1" spans="1:86">
      <c r="A504" s="3524"/>
      <c r="B504" s="3524"/>
      <c r="C504" s="3524"/>
      <c r="D504" s="3742"/>
      <c r="E504" s="3742"/>
      <c r="F504" s="3742"/>
      <c r="G504" s="3742"/>
      <c r="H504" s="3742"/>
      <c r="I504" s="5074"/>
      <c r="J504" s="3742"/>
      <c r="K504" s="3742"/>
      <c r="L504" s="3742"/>
      <c r="M504" s="3524"/>
      <c r="N504" s="4046"/>
      <c r="O504" s="4046"/>
      <c r="P504" s="4046"/>
      <c r="Q504" s="4046"/>
      <c r="R504" s="4046"/>
      <c r="S504" s="4046"/>
      <c r="T504" s="4046"/>
      <c r="U504" s="4046"/>
      <c r="V504" s="4046"/>
      <c r="W504" s="4046"/>
      <c r="X504" s="4046"/>
      <c r="Y504" s="4046"/>
      <c r="Z504" s="4046"/>
      <c r="AA504" s="4046"/>
      <c r="AB504" s="4046"/>
      <c r="AC504" s="3524">
        <v>2</v>
      </c>
      <c r="AD504" s="5728" t="s">
        <v>1200</v>
      </c>
      <c r="AE504" s="5117">
        <v>0.58</v>
      </c>
      <c r="AF504" s="3524">
        <f>M503*AE504</f>
        <v>185922.132</v>
      </c>
      <c r="AG504" s="3812">
        <f t="shared" si="104"/>
        <v>185922.13</v>
      </c>
      <c r="AH504" s="857" t="s">
        <v>122</v>
      </c>
      <c r="AI504" s="3812">
        <v>44865</v>
      </c>
      <c r="AJ504" s="3812">
        <v>185922.132</v>
      </c>
      <c r="AK504" s="3812">
        <v>44865</v>
      </c>
      <c r="AL504" s="3812">
        <v>185922.13</v>
      </c>
      <c r="AM504" s="3812">
        <v>45663</v>
      </c>
      <c r="AN504" s="3812">
        <f t="shared" si="106"/>
        <v>185922.13</v>
      </c>
      <c r="AO504" s="3812">
        <v>45680</v>
      </c>
      <c r="AP504" s="3812">
        <f t="shared" si="105"/>
        <v>0</v>
      </c>
      <c r="AQ504" s="5252"/>
      <c r="AR504" s="4046"/>
      <c r="AS504" s="5701"/>
      <c r="AT504" s="5696"/>
      <c r="AU504" s="4045"/>
      <c r="AV504" s="4045"/>
      <c r="AW504" s="4045"/>
      <c r="AX504" s="4045"/>
      <c r="AY504" s="4045"/>
      <c r="AZ504" s="4045"/>
      <c r="BA504" s="5741"/>
      <c r="BB504" s="4813"/>
      <c r="BC504" s="4813"/>
      <c r="BD504" s="5741"/>
      <c r="BE504" s="5741"/>
      <c r="BF504" s="5741"/>
      <c r="BG504" s="5741"/>
      <c r="BH504" s="4813"/>
      <c r="BI504" s="3812">
        <v>185922.13</v>
      </c>
      <c r="BJ504" s="4813"/>
      <c r="BK504" s="4813"/>
      <c r="BL504" s="4813"/>
      <c r="BM504" s="4813"/>
      <c r="BN504" s="4813"/>
      <c r="BO504" s="5122"/>
      <c r="BP504" s="5122"/>
      <c r="BQ504" s="5122"/>
      <c r="BR504" s="5122"/>
      <c r="BS504" s="5122"/>
      <c r="BT504" s="5122"/>
      <c r="BU504" s="5122"/>
      <c r="BV504" s="5146"/>
      <c r="BW504" s="5741">
        <v>185922.13</v>
      </c>
      <c r="BX504" s="5122"/>
      <c r="BY504" s="5122"/>
      <c r="BZ504" s="5122"/>
      <c r="CA504" s="5122"/>
      <c r="CB504" s="5122"/>
      <c r="CC504" s="3524"/>
      <c r="CD504" s="3524"/>
      <c r="CE504" s="5169"/>
      <c r="CF504" s="5169"/>
      <c r="CG504" s="5169"/>
      <c r="CH504" s="5169"/>
    </row>
    <row r="505" s="4965" customFormat="1" ht="57.5" customHeight="1" spans="1:86">
      <c r="A505" s="3524"/>
      <c r="B505" s="3524"/>
      <c r="C505" s="3524"/>
      <c r="D505" s="3742"/>
      <c r="E505" s="3742"/>
      <c r="F505" s="3742"/>
      <c r="G505" s="3742"/>
      <c r="H505" s="3742"/>
      <c r="I505" s="5075"/>
      <c r="J505" s="3742"/>
      <c r="K505" s="3742"/>
      <c r="L505" s="3742"/>
      <c r="M505" s="3524"/>
      <c r="N505" s="4046"/>
      <c r="O505" s="4046"/>
      <c r="P505" s="4046"/>
      <c r="Q505" s="4046"/>
      <c r="R505" s="4046"/>
      <c r="S505" s="4046"/>
      <c r="T505" s="4046"/>
      <c r="U505" s="4046"/>
      <c r="V505" s="4046"/>
      <c r="W505" s="4046"/>
      <c r="X505" s="4046"/>
      <c r="Y505" s="4046"/>
      <c r="Z505" s="4046"/>
      <c r="AA505" s="4046"/>
      <c r="AB505" s="4046"/>
      <c r="AC505" s="3524">
        <v>3</v>
      </c>
      <c r="AD505" s="5728" t="s">
        <v>746</v>
      </c>
      <c r="AE505" s="5117">
        <v>0.02</v>
      </c>
      <c r="AF505" s="3524">
        <f>M503*AE505</f>
        <v>6411.108</v>
      </c>
      <c r="AG505" s="5123">
        <f t="shared" si="104"/>
        <v>6411.108</v>
      </c>
      <c r="AH505" s="3406" t="s">
        <v>349</v>
      </c>
      <c r="AI505" s="5123">
        <v>46326</v>
      </c>
      <c r="AJ505" s="3524"/>
      <c r="AK505" s="3524"/>
      <c r="AL505" s="3812"/>
      <c r="AM505" s="3524"/>
      <c r="AN505" s="5123">
        <v>0</v>
      </c>
      <c r="AO505" s="3524"/>
      <c r="AP505" s="3812">
        <f t="shared" si="105"/>
        <v>6411.108</v>
      </c>
      <c r="AQ505" s="5122"/>
      <c r="AR505" s="4046"/>
      <c r="AS505" s="5701"/>
      <c r="AT505" s="5696"/>
      <c r="AU505" s="4045"/>
      <c r="AV505" s="4045"/>
      <c r="AW505" s="4045"/>
      <c r="AX505" s="4045"/>
      <c r="AY505" s="4045"/>
      <c r="AZ505" s="4045"/>
      <c r="BA505" s="5122"/>
      <c r="BB505" s="3524"/>
      <c r="BC505" s="3524"/>
      <c r="BD505" s="5122"/>
      <c r="BE505" s="5122"/>
      <c r="BF505" s="5122"/>
      <c r="BG505" s="5122"/>
      <c r="BH505" s="3524"/>
      <c r="BI505" s="5123">
        <v>6411.108</v>
      </c>
      <c r="BJ505" s="3524"/>
      <c r="BK505" s="3524"/>
      <c r="BL505" s="3524"/>
      <c r="BM505" s="3524"/>
      <c r="BN505" s="3524"/>
      <c r="BO505" s="5122"/>
      <c r="BP505" s="5122"/>
      <c r="BQ505" s="5122"/>
      <c r="BR505" s="5122"/>
      <c r="BS505" s="5122"/>
      <c r="BT505" s="5122"/>
      <c r="BU505" s="5122"/>
      <c r="BV505" s="5122"/>
      <c r="BW505" s="5122"/>
      <c r="BX505" s="5122"/>
      <c r="BY505" s="5122"/>
      <c r="BZ505" s="5122"/>
      <c r="CA505" s="5122"/>
      <c r="CB505" s="5122"/>
      <c r="CC505" s="3524"/>
      <c r="CD505" s="3524"/>
      <c r="CE505" s="5169"/>
      <c r="CF505" s="5169"/>
      <c r="CG505" s="5169"/>
      <c r="CH505" s="5169"/>
    </row>
    <row r="506" s="4979" customFormat="1" ht="76" spans="1:86">
      <c r="A506" s="3524">
        <v>93</v>
      </c>
      <c r="B506" s="3812" t="s">
        <v>173</v>
      </c>
      <c r="C506" s="3812">
        <v>44908</v>
      </c>
      <c r="D506" s="1032" t="s">
        <v>1206</v>
      </c>
      <c r="E506" s="1032" t="s">
        <v>1207</v>
      </c>
      <c r="F506" s="1032" t="s">
        <v>1208</v>
      </c>
      <c r="G506" s="1032" t="s">
        <v>1209</v>
      </c>
      <c r="H506" s="5059" t="s">
        <v>193</v>
      </c>
      <c r="I506" s="5214"/>
      <c r="J506" s="5059" t="s">
        <v>215</v>
      </c>
      <c r="K506" s="5059">
        <v>51990.42</v>
      </c>
      <c r="L506" s="5059" t="s">
        <v>1198</v>
      </c>
      <c r="M506" s="3812">
        <v>389928.15</v>
      </c>
      <c r="N506" s="4046"/>
      <c r="O506" s="4046"/>
      <c r="P506" s="4046"/>
      <c r="Q506" s="4046"/>
      <c r="R506" s="4046"/>
      <c r="S506" s="4046"/>
      <c r="T506" s="4046"/>
      <c r="U506" s="4046"/>
      <c r="V506" s="4046">
        <v>389928.15</v>
      </c>
      <c r="W506" s="4046"/>
      <c r="X506" s="4046">
        <v>0</v>
      </c>
      <c r="Y506" s="4046">
        <v>0</v>
      </c>
      <c r="Z506" s="4046"/>
      <c r="AA506" s="4046"/>
      <c r="AB506" s="4046"/>
      <c r="AC506" s="3812">
        <v>1</v>
      </c>
      <c r="AD506" s="5728" t="s">
        <v>1199</v>
      </c>
      <c r="AE506" s="5729">
        <v>0.4</v>
      </c>
      <c r="AF506" s="3812">
        <f>M506*AE506</f>
        <v>155971.26</v>
      </c>
      <c r="AG506" s="3812">
        <f t="shared" si="104"/>
        <v>93582.76</v>
      </c>
      <c r="AH506" s="857" t="s">
        <v>122</v>
      </c>
      <c r="AI506" s="3812">
        <v>44917</v>
      </c>
      <c r="AJ506" s="3812">
        <v>155971.26</v>
      </c>
      <c r="AK506" s="3812">
        <v>44917</v>
      </c>
      <c r="AL506" s="3812">
        <v>155971.26</v>
      </c>
      <c r="AM506" s="3812">
        <v>45882</v>
      </c>
      <c r="AN506" s="5690">
        <f>SUM(BO506:CB506)</f>
        <v>155971.26</v>
      </c>
      <c r="AO506" s="3812">
        <v>45897</v>
      </c>
      <c r="AP506" s="5123">
        <f t="shared" si="105"/>
        <v>-62388.5</v>
      </c>
      <c r="AQ506" s="1131" t="s">
        <v>1210</v>
      </c>
      <c r="AR506" s="4046"/>
      <c r="AS506" s="5701"/>
      <c r="AT506" s="5696"/>
      <c r="AU506" s="4045">
        <f>SUM(AG506)</f>
        <v>93582.76</v>
      </c>
      <c r="AV506" s="4045">
        <f>SUM(AL506:AL508)</f>
        <v>155971.26</v>
      </c>
      <c r="AW506" s="4045">
        <f>SUM(AN506:AN508)</f>
        <v>155971.26</v>
      </c>
      <c r="AX506" s="4045">
        <f>M506-AU506</f>
        <v>296345.39</v>
      </c>
      <c r="AY506" s="4045">
        <f>AU506-AV506</f>
        <v>-62388.5</v>
      </c>
      <c r="AZ506" s="4045">
        <f>AV506-AW506</f>
        <v>0</v>
      </c>
      <c r="BA506" s="5146"/>
      <c r="BB506" s="3812"/>
      <c r="BC506" s="3812"/>
      <c r="BD506" s="5146"/>
      <c r="BE506" s="5146"/>
      <c r="BF506" s="5146"/>
      <c r="BG506" s="5146"/>
      <c r="BH506" s="3812"/>
      <c r="BI506" s="3812">
        <v>93582.76</v>
      </c>
      <c r="BJ506" s="3812"/>
      <c r="BK506" s="3812"/>
      <c r="BL506" s="3812"/>
      <c r="BM506" s="3812"/>
      <c r="BN506" s="3812"/>
      <c r="BO506" s="5160"/>
      <c r="BP506" s="5160"/>
      <c r="BQ506" s="5160"/>
      <c r="BR506" s="5160"/>
      <c r="BS506" s="5160"/>
      <c r="BT506" s="5160"/>
      <c r="BU506" s="5160"/>
      <c r="BV506" s="5160"/>
      <c r="BW506" s="5146">
        <v>155971.26</v>
      </c>
      <c r="BX506" s="5160"/>
      <c r="BY506" s="5160"/>
      <c r="BZ506" s="5160"/>
      <c r="CA506" s="5160"/>
      <c r="CB506" s="5160"/>
      <c r="CC506" s="5123" t="s">
        <v>1112</v>
      </c>
      <c r="CD506" s="5123" t="s">
        <v>154</v>
      </c>
      <c r="CE506" s="5751"/>
      <c r="CF506" s="5751"/>
      <c r="CG506" s="5751"/>
      <c r="CH506" s="5751"/>
    </row>
    <row r="507" s="4979" customFormat="1" ht="65" customHeight="1" spans="1:86">
      <c r="A507" s="3524"/>
      <c r="B507" s="3812"/>
      <c r="C507" s="3812"/>
      <c r="D507" s="5059"/>
      <c r="E507" s="5059"/>
      <c r="F507" s="5059"/>
      <c r="G507" s="5059"/>
      <c r="H507" s="5059"/>
      <c r="I507" s="5074"/>
      <c r="J507" s="5059"/>
      <c r="K507" s="5059"/>
      <c r="L507" s="5059"/>
      <c r="M507" s="3812"/>
      <c r="N507" s="4046"/>
      <c r="O507" s="4046"/>
      <c r="P507" s="4046"/>
      <c r="Q507" s="4046"/>
      <c r="R507" s="4046"/>
      <c r="S507" s="4046"/>
      <c r="T507" s="4046"/>
      <c r="U507" s="4046"/>
      <c r="V507" s="4046"/>
      <c r="W507" s="4046"/>
      <c r="X507" s="4046"/>
      <c r="Y507" s="4046"/>
      <c r="Z507" s="4046"/>
      <c r="AA507" s="4046"/>
      <c r="AB507" s="4046"/>
      <c r="AC507" s="3812">
        <v>2</v>
      </c>
      <c r="AD507" s="5728" t="s">
        <v>1200</v>
      </c>
      <c r="AE507" s="5729">
        <v>0.58</v>
      </c>
      <c r="AF507" s="3812">
        <f>M506*AE507</f>
        <v>226158.327</v>
      </c>
      <c r="AG507" s="3812">
        <f t="shared" si="104"/>
        <v>135695</v>
      </c>
      <c r="AH507" s="857" t="s">
        <v>122</v>
      </c>
      <c r="AI507" s="3812">
        <v>44917</v>
      </c>
      <c r="AJ507" s="5123"/>
      <c r="AK507" s="5123"/>
      <c r="AL507" s="5123"/>
      <c r="AM507" s="5123"/>
      <c r="AN507" s="5123">
        <f>SUM(BO507:CB507)</f>
        <v>0</v>
      </c>
      <c r="AO507" s="5123"/>
      <c r="AP507" s="5123">
        <f t="shared" si="105"/>
        <v>135695</v>
      </c>
      <c r="AQ507" s="1131"/>
      <c r="AR507" s="4046"/>
      <c r="AS507" s="5701"/>
      <c r="AT507" s="5696"/>
      <c r="AU507" s="4045"/>
      <c r="AV507" s="4045"/>
      <c r="AW507" s="4045"/>
      <c r="AX507" s="4045"/>
      <c r="AY507" s="4045"/>
      <c r="AZ507" s="4045"/>
      <c r="BA507" s="5146"/>
      <c r="BB507" s="3812"/>
      <c r="BC507" s="3812"/>
      <c r="BD507" s="5146"/>
      <c r="BE507" s="5146"/>
      <c r="BF507" s="5146"/>
      <c r="BG507" s="5146"/>
      <c r="BH507" s="3812"/>
      <c r="BI507" s="3812">
        <v>135695</v>
      </c>
      <c r="BJ507" s="3812"/>
      <c r="BK507" s="3812"/>
      <c r="BL507" s="3812"/>
      <c r="BM507" s="3812"/>
      <c r="BN507" s="3812"/>
      <c r="BO507" s="5160"/>
      <c r="BP507" s="5160"/>
      <c r="BQ507" s="5160"/>
      <c r="BR507" s="5160"/>
      <c r="BS507" s="5160"/>
      <c r="BT507" s="5160"/>
      <c r="BU507" s="5160"/>
      <c r="BV507" s="5160"/>
      <c r="BW507" s="5160"/>
      <c r="BX507" s="5160"/>
      <c r="BY507" s="5160"/>
      <c r="BZ507" s="5160"/>
      <c r="CA507" s="5160"/>
      <c r="CB507" s="5160"/>
      <c r="CC507" s="5123"/>
      <c r="CD507" s="5123"/>
      <c r="CE507" s="5751"/>
      <c r="CF507" s="5751"/>
      <c r="CG507" s="5751"/>
      <c r="CH507" s="5751"/>
    </row>
    <row r="508" s="4979" customFormat="1" ht="57.5" customHeight="1" spans="1:86">
      <c r="A508" s="3524"/>
      <c r="B508" s="3812"/>
      <c r="C508" s="3812"/>
      <c r="D508" s="5059"/>
      <c r="E508" s="5059"/>
      <c r="F508" s="5059"/>
      <c r="G508" s="5059"/>
      <c r="H508" s="5059"/>
      <c r="I508" s="5075"/>
      <c r="J508" s="5059"/>
      <c r="K508" s="5059"/>
      <c r="L508" s="5059"/>
      <c r="M508" s="3812"/>
      <c r="N508" s="4046"/>
      <c r="O508" s="4046"/>
      <c r="P508" s="4046"/>
      <c r="Q508" s="4046"/>
      <c r="R508" s="4046"/>
      <c r="S508" s="4046"/>
      <c r="T508" s="4046"/>
      <c r="U508" s="4046"/>
      <c r="V508" s="4046"/>
      <c r="W508" s="4046"/>
      <c r="X508" s="4046"/>
      <c r="Y508" s="4046"/>
      <c r="Z508" s="4046"/>
      <c r="AA508" s="4046"/>
      <c r="AB508" s="4046"/>
      <c r="AC508" s="3812">
        <v>3</v>
      </c>
      <c r="AD508" s="5728" t="s">
        <v>746</v>
      </c>
      <c r="AE508" s="5729">
        <v>0.02</v>
      </c>
      <c r="AF508" s="3812">
        <f>M506*AE508</f>
        <v>7798.563</v>
      </c>
      <c r="AG508" s="5123">
        <f t="shared" si="104"/>
        <v>7798.563</v>
      </c>
      <c r="AH508" s="3406"/>
      <c r="AI508" s="5123"/>
      <c r="AJ508" s="5123"/>
      <c r="AK508" s="5123"/>
      <c r="AL508" s="5123"/>
      <c r="AM508" s="5123"/>
      <c r="AN508" s="5123">
        <v>0</v>
      </c>
      <c r="AO508" s="5123"/>
      <c r="AP508" s="5123">
        <f t="shared" si="105"/>
        <v>7798.563</v>
      </c>
      <c r="AQ508" s="5160"/>
      <c r="AR508" s="4046"/>
      <c r="AS508" s="5701"/>
      <c r="AT508" s="5696"/>
      <c r="AU508" s="4045"/>
      <c r="AV508" s="4045"/>
      <c r="AW508" s="4045"/>
      <c r="AX508" s="4045"/>
      <c r="AY508" s="4045"/>
      <c r="AZ508" s="4045"/>
      <c r="BA508" s="5742"/>
      <c r="BB508" s="5302"/>
      <c r="BC508" s="5302"/>
      <c r="BD508" s="5742"/>
      <c r="BE508" s="5742"/>
      <c r="BF508" s="5742"/>
      <c r="BG508" s="5742"/>
      <c r="BH508" s="5302"/>
      <c r="BI508" s="5302">
        <v>7798.563</v>
      </c>
      <c r="BJ508" s="5302"/>
      <c r="BK508" s="5302"/>
      <c r="BL508" s="5302"/>
      <c r="BM508" s="5302"/>
      <c r="BN508" s="5302"/>
      <c r="BO508" s="5742"/>
      <c r="BP508" s="5742"/>
      <c r="BQ508" s="5742"/>
      <c r="BR508" s="5742"/>
      <c r="BS508" s="5742"/>
      <c r="BT508" s="5742"/>
      <c r="BU508" s="5742"/>
      <c r="BV508" s="5742"/>
      <c r="BW508" s="5742"/>
      <c r="BX508" s="5742"/>
      <c r="BY508" s="5742"/>
      <c r="BZ508" s="5742"/>
      <c r="CA508" s="5742"/>
      <c r="CB508" s="5742"/>
      <c r="CC508" s="5123"/>
      <c r="CD508" s="5123"/>
      <c r="CE508" s="5751"/>
      <c r="CF508" s="5751"/>
      <c r="CG508" s="5751"/>
      <c r="CH508" s="5751"/>
    </row>
    <row r="509" s="4980" customFormat="1" ht="40" customHeight="1" spans="1:86">
      <c r="A509" s="3524"/>
      <c r="B509" s="857" t="s">
        <v>173</v>
      </c>
      <c r="C509" s="3812">
        <v>44917</v>
      </c>
      <c r="D509" s="1032" t="s">
        <v>1211</v>
      </c>
      <c r="E509" s="1032" t="s">
        <v>1212</v>
      </c>
      <c r="F509" s="1032" t="s">
        <v>1213</v>
      </c>
      <c r="G509" s="1032" t="s">
        <v>1214</v>
      </c>
      <c r="H509" s="1032" t="s">
        <v>31</v>
      </c>
      <c r="I509" s="5073" t="s">
        <v>1215</v>
      </c>
      <c r="J509" s="1032" t="s">
        <v>215</v>
      </c>
      <c r="K509" s="5059">
        <v>333655.15</v>
      </c>
      <c r="L509" s="1032" t="s">
        <v>1216</v>
      </c>
      <c r="M509" s="3812">
        <f>SUBTOTAL(9,N509:AB524)</f>
        <v>2335586.05</v>
      </c>
      <c r="N509" s="4046"/>
      <c r="O509" s="4046"/>
      <c r="P509" s="4046"/>
      <c r="Q509" s="4046"/>
      <c r="R509" s="4046"/>
      <c r="S509" s="4046"/>
      <c r="T509" s="4046"/>
      <c r="U509" s="4046">
        <v>1234524.05</v>
      </c>
      <c r="V509" s="4046"/>
      <c r="W509" s="4046"/>
      <c r="X509" s="4046"/>
      <c r="Y509" s="4046"/>
      <c r="Z509" s="4046"/>
      <c r="AA509" s="4046">
        <v>1101062</v>
      </c>
      <c r="AB509" s="4046"/>
      <c r="AC509" s="857">
        <v>1</v>
      </c>
      <c r="AD509" s="1032" t="s">
        <v>1217</v>
      </c>
      <c r="AE509" s="5729">
        <v>0.2</v>
      </c>
      <c r="AF509" s="3812">
        <f>M509*AE509</f>
        <v>467117.21</v>
      </c>
      <c r="AG509" s="3812">
        <f>SUBTOTAL(9,BA509:BN509)</f>
        <v>246904.81</v>
      </c>
      <c r="AH509" s="857" t="s">
        <v>122</v>
      </c>
      <c r="AI509" s="3812">
        <v>44918</v>
      </c>
      <c r="AJ509" s="3812">
        <v>246904.81</v>
      </c>
      <c r="AK509" s="3812">
        <v>44918</v>
      </c>
      <c r="AL509" s="3812">
        <v>1868468.84</v>
      </c>
      <c r="AM509" s="3812">
        <v>44995</v>
      </c>
      <c r="AN509" s="3812">
        <f t="shared" ref="AN509:AN524" si="111">SUM(BV509:CB509)</f>
        <v>246904.81</v>
      </c>
      <c r="AO509" s="3812">
        <v>45008</v>
      </c>
      <c r="AP509" s="3812">
        <f t="shared" si="105"/>
        <v>0</v>
      </c>
      <c r="AQ509" s="1032" t="s">
        <v>1218</v>
      </c>
      <c r="AR509" s="4046"/>
      <c r="AS509" s="4090" t="s">
        <v>1219</v>
      </c>
      <c r="AT509" s="5696"/>
      <c r="AU509" s="4045"/>
      <c r="AV509" s="4045"/>
      <c r="AW509" s="4045"/>
      <c r="AX509" s="4045"/>
      <c r="AY509" s="4045"/>
      <c r="AZ509" s="5740"/>
      <c r="BA509" s="5743"/>
      <c r="BB509" s="5142"/>
      <c r="BC509" s="5142"/>
      <c r="BD509" s="5744"/>
      <c r="BE509" s="5744"/>
      <c r="BF509" s="5744"/>
      <c r="BG509" s="5744"/>
      <c r="BH509" s="5745">
        <v>246904.81</v>
      </c>
      <c r="BI509" s="5142"/>
      <c r="BJ509" s="5142"/>
      <c r="BK509" s="5142"/>
      <c r="BL509" s="5142"/>
      <c r="BM509" s="5155"/>
      <c r="BN509" s="5156"/>
      <c r="BO509" s="5743"/>
      <c r="BP509" s="5744"/>
      <c r="BQ509" s="5744"/>
      <c r="BR509" s="5744"/>
      <c r="BS509" s="5744"/>
      <c r="BT509" s="5744"/>
      <c r="BU509" s="5744"/>
      <c r="BV509" s="5744">
        <v>246904.81</v>
      </c>
      <c r="BW509" s="5142"/>
      <c r="BX509" s="5142"/>
      <c r="BY509" s="5142"/>
      <c r="BZ509" s="5142"/>
      <c r="CA509" s="5155"/>
      <c r="CB509" s="5156"/>
      <c r="CC509" s="5309"/>
      <c r="CD509" s="3812"/>
      <c r="CE509" s="5154"/>
      <c r="CF509" s="5154"/>
      <c r="CG509" s="5154"/>
      <c r="CH509" s="5154"/>
    </row>
    <row r="510" s="4980" customFormat="1" ht="40" customHeight="1" spans="1:86">
      <c r="A510" s="3524"/>
      <c r="B510" s="857"/>
      <c r="C510" s="3812"/>
      <c r="D510" s="1032"/>
      <c r="E510" s="1032"/>
      <c r="F510" s="1032"/>
      <c r="G510" s="5059"/>
      <c r="H510" s="1032"/>
      <c r="I510" s="5205"/>
      <c r="J510" s="1032"/>
      <c r="K510" s="5059"/>
      <c r="L510" s="1032"/>
      <c r="M510" s="3812"/>
      <c r="N510" s="4046"/>
      <c r="O510" s="4046"/>
      <c r="P510" s="4046"/>
      <c r="Q510" s="4046"/>
      <c r="R510" s="4046"/>
      <c r="S510" s="4046"/>
      <c r="T510" s="4046"/>
      <c r="U510" s="4046"/>
      <c r="V510" s="4046"/>
      <c r="W510" s="4046"/>
      <c r="X510" s="4046"/>
      <c r="Y510" s="4046"/>
      <c r="Z510" s="4046"/>
      <c r="AA510" s="4046"/>
      <c r="AB510" s="4046"/>
      <c r="AC510" s="857"/>
      <c r="AD510" s="1032"/>
      <c r="AE510" s="5729"/>
      <c r="AF510" s="3812"/>
      <c r="AG510" s="3812">
        <f>SUBTOTAL(9,BA510:BN510)</f>
        <v>220212.4</v>
      </c>
      <c r="AH510" s="857" t="s">
        <v>122</v>
      </c>
      <c r="AI510" s="3812">
        <v>44995</v>
      </c>
      <c r="AJ510" s="3812">
        <v>220212.4</v>
      </c>
      <c r="AK510" s="3812">
        <v>44995</v>
      </c>
      <c r="AL510" s="3812"/>
      <c r="AM510" s="3812"/>
      <c r="AN510" s="3812">
        <f t="shared" si="111"/>
        <v>220212.4</v>
      </c>
      <c r="AO510" s="3812">
        <v>45008</v>
      </c>
      <c r="AP510" s="3812">
        <f t="shared" si="105"/>
        <v>0</v>
      </c>
      <c r="AQ510" s="1032" t="s">
        <v>1218</v>
      </c>
      <c r="AR510" s="4046"/>
      <c r="AS510" s="4092"/>
      <c r="AT510" s="5696"/>
      <c r="AU510" s="4045"/>
      <c r="AV510" s="4045"/>
      <c r="AW510" s="4045"/>
      <c r="AX510" s="4045"/>
      <c r="AY510" s="4045"/>
      <c r="AZ510" s="5740"/>
      <c r="BA510" s="5273"/>
      <c r="BB510" s="3812"/>
      <c r="BC510" s="3812"/>
      <c r="BD510" s="5146"/>
      <c r="BE510" s="5146"/>
      <c r="BF510" s="5146"/>
      <c r="BG510" s="5146"/>
      <c r="BH510" s="3812"/>
      <c r="BI510" s="3812"/>
      <c r="BJ510" s="3812"/>
      <c r="BK510" s="3812"/>
      <c r="BL510" s="3812"/>
      <c r="BM510" s="5263"/>
      <c r="BN510" s="5747">
        <v>220212.4</v>
      </c>
      <c r="BO510" s="5273"/>
      <c r="BP510" s="5146"/>
      <c r="BQ510" s="5146"/>
      <c r="BR510" s="5146"/>
      <c r="BS510" s="5146"/>
      <c r="BT510" s="5146"/>
      <c r="BU510" s="5146"/>
      <c r="BV510" s="3812"/>
      <c r="BW510" s="3812"/>
      <c r="BX510" s="3812"/>
      <c r="BY510" s="3812"/>
      <c r="BZ510" s="3812"/>
      <c r="CA510" s="5263"/>
      <c r="CB510" s="5747">
        <v>220212.4</v>
      </c>
      <c r="CC510" s="5309"/>
      <c r="CD510" s="3812"/>
      <c r="CE510" s="5154"/>
      <c r="CF510" s="5154"/>
      <c r="CG510" s="5154"/>
      <c r="CH510" s="5154"/>
    </row>
    <row r="511" s="4980" customFormat="1" ht="40" customHeight="1" spans="1:86">
      <c r="A511" s="3524"/>
      <c r="B511" s="857"/>
      <c r="C511" s="3812"/>
      <c r="D511" s="1032"/>
      <c r="E511" s="1032"/>
      <c r="F511" s="1032"/>
      <c r="G511" s="5059"/>
      <c r="H511" s="1032"/>
      <c r="I511" s="5205"/>
      <c r="J511" s="1032"/>
      <c r="K511" s="5059"/>
      <c r="L511" s="1032"/>
      <c r="M511" s="3812"/>
      <c r="N511" s="4046"/>
      <c r="O511" s="4046"/>
      <c r="P511" s="4046"/>
      <c r="Q511" s="4046"/>
      <c r="R511" s="4046"/>
      <c r="S511" s="4046"/>
      <c r="T511" s="4046"/>
      <c r="U511" s="4046"/>
      <c r="V511" s="4046"/>
      <c r="W511" s="4046"/>
      <c r="X511" s="4046"/>
      <c r="Y511" s="4046"/>
      <c r="Z511" s="4046"/>
      <c r="AA511" s="4046"/>
      <c r="AB511" s="4046"/>
      <c r="AC511" s="857">
        <v>2</v>
      </c>
      <c r="AD511" s="1032" t="s">
        <v>1220</v>
      </c>
      <c r="AE511" s="5729">
        <v>0.3</v>
      </c>
      <c r="AF511" s="3812">
        <f>M509*AE511</f>
        <v>700675.815</v>
      </c>
      <c r="AG511" s="3812">
        <f>SUBTOTAL(9,BA511:BN511)</f>
        <v>370357.215</v>
      </c>
      <c r="AH511" s="857" t="s">
        <v>122</v>
      </c>
      <c r="AI511" s="3812">
        <v>44918</v>
      </c>
      <c r="AJ511" s="3812">
        <v>370357.215</v>
      </c>
      <c r="AK511" s="3812">
        <v>44918</v>
      </c>
      <c r="AL511" s="3812"/>
      <c r="AM511" s="3812"/>
      <c r="AN511" s="3812">
        <f t="shared" si="111"/>
        <v>281695.19</v>
      </c>
      <c r="AO511" s="3812">
        <v>45008</v>
      </c>
      <c r="AP511" s="3812">
        <f t="shared" si="105"/>
        <v>88662.025</v>
      </c>
      <c r="AQ511" s="1032" t="s">
        <v>1218</v>
      </c>
      <c r="AR511" s="4046"/>
      <c r="AS511" s="4092"/>
      <c r="AT511" s="5696"/>
      <c r="AU511" s="4045"/>
      <c r="AV511" s="4045"/>
      <c r="AW511" s="4045"/>
      <c r="AX511" s="4045"/>
      <c r="AY511" s="4045"/>
      <c r="AZ511" s="5740"/>
      <c r="BA511" s="5273"/>
      <c r="BB511" s="3812"/>
      <c r="BC511" s="3812"/>
      <c r="BD511" s="5146"/>
      <c r="BE511" s="5146"/>
      <c r="BF511" s="5146"/>
      <c r="BG511" s="5146"/>
      <c r="BH511" s="3912">
        <v>370357.215</v>
      </c>
      <c r="BI511" s="3812"/>
      <c r="BJ511" s="3812"/>
      <c r="BK511" s="3812"/>
      <c r="BL511" s="3812"/>
      <c r="BM511" s="5263"/>
      <c r="BN511" s="5282"/>
      <c r="BO511" s="5273"/>
      <c r="BP511" s="5146"/>
      <c r="BQ511" s="5146"/>
      <c r="BR511" s="5146"/>
      <c r="BS511" s="5146"/>
      <c r="BT511" s="5146"/>
      <c r="BU511" s="5146"/>
      <c r="BV511" s="5146">
        <v>281695.19</v>
      </c>
      <c r="BW511" s="3812"/>
      <c r="BX511" s="3812"/>
      <c r="BY511" s="3812"/>
      <c r="BZ511" s="3812"/>
      <c r="CA511" s="5263"/>
      <c r="CB511" s="5282"/>
      <c r="CC511" s="5309"/>
      <c r="CD511" s="3812"/>
      <c r="CE511" s="5154"/>
      <c r="CF511" s="5154"/>
      <c r="CG511" s="5154"/>
      <c r="CH511" s="5154"/>
    </row>
    <row r="512" s="4980" customFormat="1" ht="40" customHeight="1" spans="1:86">
      <c r="A512" s="3524"/>
      <c r="B512" s="857"/>
      <c r="C512" s="3812"/>
      <c r="D512" s="1032"/>
      <c r="E512" s="1032"/>
      <c r="F512" s="1032"/>
      <c r="G512" s="5059"/>
      <c r="H512" s="1032"/>
      <c r="I512" s="5205"/>
      <c r="J512" s="1032"/>
      <c r="K512" s="5059"/>
      <c r="L512" s="1032"/>
      <c r="M512" s="3812"/>
      <c r="N512" s="4046"/>
      <c r="O512" s="4046"/>
      <c r="P512" s="4046"/>
      <c r="Q512" s="4046"/>
      <c r="R512" s="4046"/>
      <c r="S512" s="4046"/>
      <c r="T512" s="4046"/>
      <c r="U512" s="4046"/>
      <c r="V512" s="4046"/>
      <c r="W512" s="4046"/>
      <c r="X512" s="4046"/>
      <c r="Y512" s="4046"/>
      <c r="Z512" s="4046"/>
      <c r="AA512" s="4046"/>
      <c r="AB512" s="4046"/>
      <c r="AC512" s="857"/>
      <c r="AD512" s="1032"/>
      <c r="AE512" s="5729"/>
      <c r="AF512" s="3812"/>
      <c r="AG512" s="3812"/>
      <c r="AH512" s="857"/>
      <c r="AI512" s="3812"/>
      <c r="AJ512" s="3812"/>
      <c r="AK512" s="3812"/>
      <c r="AL512" s="3812"/>
      <c r="AM512" s="3812"/>
      <c r="AN512" s="3812">
        <f t="shared" si="111"/>
        <v>88662.03</v>
      </c>
      <c r="AO512" s="3812">
        <v>45069</v>
      </c>
      <c r="AP512" s="3812">
        <f>AG511-AN511-AN512</f>
        <v>-0.00499999997555278</v>
      </c>
      <c r="AQ512" s="1032" t="s">
        <v>1221</v>
      </c>
      <c r="AR512" s="4046"/>
      <c r="AS512" s="4092"/>
      <c r="AT512" s="5696"/>
      <c r="AU512" s="4045"/>
      <c r="AV512" s="4045"/>
      <c r="AW512" s="4045"/>
      <c r="AX512" s="4045"/>
      <c r="AY512" s="4045"/>
      <c r="AZ512" s="5740"/>
      <c r="BA512" s="5273"/>
      <c r="BB512" s="3812"/>
      <c r="BC512" s="3812"/>
      <c r="BD512" s="5146"/>
      <c r="BE512" s="5146"/>
      <c r="BF512" s="5146"/>
      <c r="BG512" s="5146"/>
      <c r="BH512" s="3914"/>
      <c r="BI512" s="3812"/>
      <c r="BJ512" s="3812"/>
      <c r="BK512" s="3812"/>
      <c r="BL512" s="3812"/>
      <c r="BM512" s="5263"/>
      <c r="BN512" s="5282"/>
      <c r="BO512" s="5273"/>
      <c r="BP512" s="5146"/>
      <c r="BQ512" s="5146"/>
      <c r="BR512" s="5146"/>
      <c r="BS512" s="5146"/>
      <c r="BT512" s="5146"/>
      <c r="BU512" s="5146"/>
      <c r="BV512" s="5146">
        <v>88662.03</v>
      </c>
      <c r="BW512" s="3812"/>
      <c r="BX512" s="3812"/>
      <c r="BY512" s="3812"/>
      <c r="BZ512" s="3812"/>
      <c r="CA512" s="5263"/>
      <c r="CB512" s="5282"/>
      <c r="CC512" s="5309"/>
      <c r="CD512" s="3812"/>
      <c r="CE512" s="5154"/>
      <c r="CF512" s="5154"/>
      <c r="CG512" s="5154"/>
      <c r="CH512" s="5154"/>
    </row>
    <row r="513" s="4980" customFormat="1" ht="40" customHeight="1" spans="1:86">
      <c r="A513" s="3524"/>
      <c r="B513" s="857"/>
      <c r="C513" s="3812"/>
      <c r="D513" s="1032"/>
      <c r="E513" s="1032"/>
      <c r="F513" s="1032"/>
      <c r="G513" s="5059"/>
      <c r="H513" s="1032"/>
      <c r="I513" s="5205"/>
      <c r="J513" s="1032"/>
      <c r="K513" s="5059"/>
      <c r="L513" s="1032"/>
      <c r="M513" s="3812"/>
      <c r="N513" s="4046"/>
      <c r="O513" s="4046"/>
      <c r="P513" s="4046"/>
      <c r="Q513" s="4046"/>
      <c r="R513" s="4046"/>
      <c r="S513" s="4046"/>
      <c r="T513" s="4046"/>
      <c r="U513" s="4046"/>
      <c r="V513" s="4046"/>
      <c r="W513" s="4046"/>
      <c r="X513" s="4046"/>
      <c r="Y513" s="4046"/>
      <c r="Z513" s="4046"/>
      <c r="AA513" s="4046"/>
      <c r="AB513" s="4046"/>
      <c r="AC513" s="857"/>
      <c r="AD513" s="1032"/>
      <c r="AE513" s="5729"/>
      <c r="AF513" s="3812"/>
      <c r="AG513" s="3812">
        <f>SUBTOTAL(9,BA513:BN513)</f>
        <v>330318.6</v>
      </c>
      <c r="AH513" s="857" t="s">
        <v>122</v>
      </c>
      <c r="AI513" s="3812">
        <v>44995</v>
      </c>
      <c r="AJ513" s="3812">
        <v>330318.6</v>
      </c>
      <c r="AK513" s="3812">
        <v>44995</v>
      </c>
      <c r="AL513" s="3812"/>
      <c r="AM513" s="3812"/>
      <c r="AN513" s="3812">
        <f t="shared" si="111"/>
        <v>251187.6</v>
      </c>
      <c r="AO513" s="3812">
        <v>45008</v>
      </c>
      <c r="AP513" s="3812">
        <f t="shared" ref="AP513:AP518" si="112">AG513-AN513</f>
        <v>79131</v>
      </c>
      <c r="AQ513" s="1032" t="s">
        <v>1218</v>
      </c>
      <c r="AR513" s="4046"/>
      <c r="AS513" s="4092"/>
      <c r="AT513" s="5696"/>
      <c r="AU513" s="4045"/>
      <c r="AV513" s="4045"/>
      <c r="AW513" s="4045"/>
      <c r="AX513" s="4045"/>
      <c r="AY513" s="4045"/>
      <c r="AZ513" s="5740"/>
      <c r="BA513" s="5273"/>
      <c r="BB513" s="3812"/>
      <c r="BC513" s="3812"/>
      <c r="BD513" s="5146"/>
      <c r="BE513" s="5146"/>
      <c r="BF513" s="5146"/>
      <c r="BG513" s="5146"/>
      <c r="BH513" s="3812"/>
      <c r="BI513" s="3812"/>
      <c r="BJ513" s="3812"/>
      <c r="BK513" s="3812"/>
      <c r="BL513" s="3812"/>
      <c r="BM513" s="5280"/>
      <c r="BN513" s="5799">
        <v>330318.6</v>
      </c>
      <c r="BO513" s="5273"/>
      <c r="BP513" s="5146"/>
      <c r="BQ513" s="5146"/>
      <c r="BR513" s="5146"/>
      <c r="BS513" s="5146"/>
      <c r="BT513" s="5146"/>
      <c r="BU513" s="5146"/>
      <c r="BV513" s="3812"/>
      <c r="BW513" s="3812"/>
      <c r="BX513" s="3812"/>
      <c r="BY513" s="3812"/>
      <c r="BZ513" s="3812"/>
      <c r="CA513" s="5263"/>
      <c r="CB513" s="5747">
        <v>251187.6</v>
      </c>
      <c r="CC513" s="5309"/>
      <c r="CD513" s="3812"/>
      <c r="CE513" s="5154"/>
      <c r="CF513" s="5154"/>
      <c r="CG513" s="5154"/>
      <c r="CH513" s="5154"/>
    </row>
    <row r="514" s="4980" customFormat="1" ht="40" customHeight="1" spans="1:86">
      <c r="A514" s="3524"/>
      <c r="B514" s="857"/>
      <c r="C514" s="3812"/>
      <c r="D514" s="1032"/>
      <c r="E514" s="1032"/>
      <c r="F514" s="1032"/>
      <c r="G514" s="5059"/>
      <c r="H514" s="1032"/>
      <c r="I514" s="5205"/>
      <c r="J514" s="1032"/>
      <c r="K514" s="5059"/>
      <c r="L514" s="1032"/>
      <c r="M514" s="3812"/>
      <c r="N514" s="4046"/>
      <c r="O514" s="4046"/>
      <c r="P514" s="4046"/>
      <c r="Q514" s="4046"/>
      <c r="R514" s="4046"/>
      <c r="S514" s="4046"/>
      <c r="T514" s="4046"/>
      <c r="U514" s="4046"/>
      <c r="V514" s="4046"/>
      <c r="W514" s="4046"/>
      <c r="X514" s="4046"/>
      <c r="Y514" s="4046"/>
      <c r="Z514" s="4046"/>
      <c r="AA514" s="4046"/>
      <c r="AB514" s="4046"/>
      <c r="AC514" s="857"/>
      <c r="AD514" s="1032"/>
      <c r="AE514" s="5729"/>
      <c r="AF514" s="3812"/>
      <c r="AG514" s="3812"/>
      <c r="AH514" s="857"/>
      <c r="AI514" s="3812"/>
      <c r="AJ514" s="3812"/>
      <c r="AK514" s="3812"/>
      <c r="AL514" s="3812"/>
      <c r="AM514" s="3812"/>
      <c r="AN514" s="3812">
        <f t="shared" si="111"/>
        <v>79131</v>
      </c>
      <c r="AO514" s="3812">
        <v>45069</v>
      </c>
      <c r="AP514" s="3812">
        <f t="shared" ref="AP514:AP519" si="113">AG513-AN513-AN514</f>
        <v>0</v>
      </c>
      <c r="AQ514" s="1032" t="s">
        <v>1221</v>
      </c>
      <c r="AR514" s="4046"/>
      <c r="AS514" s="4125"/>
      <c r="AT514" s="5696"/>
      <c r="AU514" s="4045"/>
      <c r="AV514" s="4045"/>
      <c r="AW514" s="4045"/>
      <c r="AX514" s="4045"/>
      <c r="AY514" s="4045"/>
      <c r="AZ514" s="5740"/>
      <c r="BA514" s="5273"/>
      <c r="BB514" s="3812"/>
      <c r="BC514" s="3812"/>
      <c r="BD514" s="5146"/>
      <c r="BE514" s="5146"/>
      <c r="BF514" s="5146"/>
      <c r="BG514" s="5146"/>
      <c r="BH514" s="5796"/>
      <c r="BI514" s="3812"/>
      <c r="BJ514" s="3812"/>
      <c r="BK514" s="3812"/>
      <c r="BL514" s="3812"/>
      <c r="BM514" s="5800"/>
      <c r="BN514" s="5801"/>
      <c r="BO514" s="5273"/>
      <c r="BP514" s="5146"/>
      <c r="BQ514" s="5146"/>
      <c r="BR514" s="5146"/>
      <c r="BS514" s="5146"/>
      <c r="BT514" s="5146"/>
      <c r="BU514" s="5146"/>
      <c r="BV514" s="5146"/>
      <c r="BW514" s="3812"/>
      <c r="BX514" s="3812"/>
      <c r="BY514" s="3812"/>
      <c r="BZ514" s="3812"/>
      <c r="CA514" s="5263"/>
      <c r="CB514" s="5747">
        <v>79131</v>
      </c>
      <c r="CC514" s="5309"/>
      <c r="CD514" s="3812"/>
      <c r="CE514" s="5154"/>
      <c r="CF514" s="5154"/>
      <c r="CG514" s="5154"/>
      <c r="CH514" s="5154"/>
    </row>
    <row r="515" s="4980" customFormat="1" ht="40" customHeight="1" spans="1:86">
      <c r="A515" s="3524"/>
      <c r="B515" s="857"/>
      <c r="C515" s="3812"/>
      <c r="D515" s="1032"/>
      <c r="E515" s="1032"/>
      <c r="F515" s="1032"/>
      <c r="G515" s="5059"/>
      <c r="H515" s="1032"/>
      <c r="I515" s="5205"/>
      <c r="J515" s="1032"/>
      <c r="K515" s="5059"/>
      <c r="L515" s="1032"/>
      <c r="M515" s="3812"/>
      <c r="N515" s="4046"/>
      <c r="O515" s="4046"/>
      <c r="P515" s="4046"/>
      <c r="Q515" s="4046"/>
      <c r="R515" s="4046"/>
      <c r="S515" s="4046"/>
      <c r="T515" s="4046"/>
      <c r="U515" s="4046"/>
      <c r="V515" s="4046"/>
      <c r="W515" s="4046"/>
      <c r="X515" s="4046"/>
      <c r="Y515" s="4046"/>
      <c r="Z515" s="4046"/>
      <c r="AA515" s="4046"/>
      <c r="AB515" s="4046"/>
      <c r="AC515" s="857">
        <v>3</v>
      </c>
      <c r="AD515" s="1032" t="s">
        <v>1222</v>
      </c>
      <c r="AE515" s="5729">
        <v>0.3</v>
      </c>
      <c r="AF515" s="3812">
        <f>M509*AE515</f>
        <v>700675.815</v>
      </c>
      <c r="AG515" s="3812">
        <f>SUBTOTAL(9,BA515:BN517)</f>
        <v>370357.215</v>
      </c>
      <c r="AH515" s="857" t="s">
        <v>122</v>
      </c>
      <c r="AI515" s="3812">
        <v>44918</v>
      </c>
      <c r="AJ515" s="3812">
        <v>370357.22</v>
      </c>
      <c r="AK515" s="3812">
        <v>44918</v>
      </c>
      <c r="AL515" s="3812"/>
      <c r="AM515" s="3812"/>
      <c r="AN515" s="3812">
        <f t="shared" si="111"/>
        <v>158580</v>
      </c>
      <c r="AO515" s="3812">
        <v>45039</v>
      </c>
      <c r="AP515" s="3812">
        <f t="shared" si="112"/>
        <v>211777.215</v>
      </c>
      <c r="AQ515" s="857" t="s">
        <v>1223</v>
      </c>
      <c r="AR515" s="4046"/>
      <c r="AS515" s="5701"/>
      <c r="AT515" s="5696"/>
      <c r="AU515" s="4045"/>
      <c r="AV515" s="4045"/>
      <c r="AW515" s="4045"/>
      <c r="AX515" s="4045"/>
      <c r="AY515" s="4045"/>
      <c r="AZ515" s="5740"/>
      <c r="BA515" s="5273"/>
      <c r="BB515" s="3812"/>
      <c r="BC515" s="3812"/>
      <c r="BD515" s="5146"/>
      <c r="BE515" s="5146"/>
      <c r="BF515" s="5146"/>
      <c r="BG515" s="5146"/>
      <c r="BH515" s="3912">
        <v>370357.215</v>
      </c>
      <c r="BI515" s="3812"/>
      <c r="BJ515" s="3812"/>
      <c r="BK515" s="3812"/>
      <c r="BL515" s="3812"/>
      <c r="BM515" s="5263"/>
      <c r="BN515" s="5282"/>
      <c r="BO515" s="5273"/>
      <c r="BP515" s="5146"/>
      <c r="BQ515" s="5146"/>
      <c r="BR515" s="5146"/>
      <c r="BS515" s="5146"/>
      <c r="BT515" s="5146"/>
      <c r="BU515" s="5146"/>
      <c r="BV515" s="5146">
        <v>158580</v>
      </c>
      <c r="BW515" s="3812"/>
      <c r="BX515" s="3812"/>
      <c r="BY515" s="3812"/>
      <c r="BZ515" s="3812"/>
      <c r="CA515" s="5263"/>
      <c r="CB515" s="5282"/>
      <c r="CC515" s="5309"/>
      <c r="CD515" s="3812"/>
      <c r="CE515" s="5154"/>
      <c r="CF515" s="5154"/>
      <c r="CG515" s="5154"/>
      <c r="CH515" s="5154"/>
    </row>
    <row r="516" s="4980" customFormat="1" ht="40" customHeight="1" spans="1:86">
      <c r="A516" s="3524"/>
      <c r="B516" s="857"/>
      <c r="C516" s="3812"/>
      <c r="D516" s="1032"/>
      <c r="E516" s="1032"/>
      <c r="F516" s="1032"/>
      <c r="G516" s="5059"/>
      <c r="H516" s="1032"/>
      <c r="I516" s="5205"/>
      <c r="J516" s="1032"/>
      <c r="K516" s="5059"/>
      <c r="L516" s="1032"/>
      <c r="M516" s="3812"/>
      <c r="N516" s="4046"/>
      <c r="O516" s="4046"/>
      <c r="P516" s="4046"/>
      <c r="Q516" s="4046"/>
      <c r="R516" s="4046"/>
      <c r="S516" s="4046"/>
      <c r="T516" s="4046"/>
      <c r="U516" s="4046"/>
      <c r="V516" s="4046"/>
      <c r="W516" s="4046"/>
      <c r="X516" s="4046"/>
      <c r="Y516" s="4046"/>
      <c r="Z516" s="4046"/>
      <c r="AA516" s="4046"/>
      <c r="AB516" s="4046"/>
      <c r="AC516" s="857"/>
      <c r="AD516" s="1032"/>
      <c r="AE516" s="5729"/>
      <c r="AF516" s="3812"/>
      <c r="AG516" s="3812"/>
      <c r="AH516" s="857"/>
      <c r="AI516" s="3812"/>
      <c r="AJ516" s="3812"/>
      <c r="AK516" s="3812"/>
      <c r="AL516" s="3812"/>
      <c r="AM516" s="3812"/>
      <c r="AN516" s="3812">
        <f t="shared" si="111"/>
        <v>17057.97</v>
      </c>
      <c r="AO516" s="3812">
        <v>45069</v>
      </c>
      <c r="AP516" s="3812">
        <f t="shared" si="113"/>
        <v>194719.245</v>
      </c>
      <c r="AQ516" s="1032" t="s">
        <v>1221</v>
      </c>
      <c r="AR516" s="4046"/>
      <c r="AS516" s="5701"/>
      <c r="AT516" s="5696"/>
      <c r="AU516" s="4045"/>
      <c r="AV516" s="4045"/>
      <c r="AW516" s="4045"/>
      <c r="AX516" s="4045"/>
      <c r="AY516" s="4045"/>
      <c r="AZ516" s="5740"/>
      <c r="BA516" s="5273"/>
      <c r="BB516" s="3812"/>
      <c r="BC516" s="3812"/>
      <c r="BD516" s="5146"/>
      <c r="BE516" s="5146"/>
      <c r="BF516" s="5146"/>
      <c r="BG516" s="5146"/>
      <c r="BH516" s="3913"/>
      <c r="BI516" s="3812"/>
      <c r="BJ516" s="3812"/>
      <c r="BK516" s="3812"/>
      <c r="BL516" s="3812"/>
      <c r="BM516" s="5263"/>
      <c r="BN516" s="5282"/>
      <c r="BO516" s="5273"/>
      <c r="BP516" s="5146"/>
      <c r="BQ516" s="5146"/>
      <c r="BR516" s="5146"/>
      <c r="BS516" s="5146"/>
      <c r="BT516" s="5146"/>
      <c r="BU516" s="5146"/>
      <c r="BV516" s="5146">
        <v>17057.97</v>
      </c>
      <c r="BW516" s="3812"/>
      <c r="BX516" s="3812"/>
      <c r="BY516" s="3812"/>
      <c r="BZ516" s="3812"/>
      <c r="CA516" s="5263"/>
      <c r="CB516" s="5282"/>
      <c r="CC516" s="5309"/>
      <c r="CD516" s="3812"/>
      <c r="CE516" s="5154"/>
      <c r="CF516" s="5154"/>
      <c r="CG516" s="5154"/>
      <c r="CH516" s="5154"/>
    </row>
    <row r="517" s="4980" customFormat="1" ht="40" customHeight="1" spans="1:86">
      <c r="A517" s="3524"/>
      <c r="B517" s="857"/>
      <c r="C517" s="3812"/>
      <c r="D517" s="1032"/>
      <c r="E517" s="1032"/>
      <c r="F517" s="1032"/>
      <c r="G517" s="5059"/>
      <c r="H517" s="1032"/>
      <c r="I517" s="5205"/>
      <c r="J517" s="1032"/>
      <c r="K517" s="5059"/>
      <c r="L517" s="5059"/>
      <c r="M517" s="3812"/>
      <c r="N517" s="4046"/>
      <c r="O517" s="4046"/>
      <c r="P517" s="4046"/>
      <c r="Q517" s="4046"/>
      <c r="R517" s="4046"/>
      <c r="S517" s="4046"/>
      <c r="T517" s="4046"/>
      <c r="U517" s="4046"/>
      <c r="V517" s="4046"/>
      <c r="W517" s="4046"/>
      <c r="X517" s="4046"/>
      <c r="Y517" s="4046"/>
      <c r="Z517" s="4046"/>
      <c r="AA517" s="4046"/>
      <c r="AB517" s="4046"/>
      <c r="AC517" s="857"/>
      <c r="AD517" s="1032"/>
      <c r="AE517" s="5729"/>
      <c r="AF517" s="3812"/>
      <c r="AG517" s="3812"/>
      <c r="AH517" s="857"/>
      <c r="AI517" s="3812"/>
      <c r="AJ517" s="3812"/>
      <c r="AK517" s="3812"/>
      <c r="AL517" s="3812"/>
      <c r="AM517" s="3812"/>
      <c r="AN517" s="3812">
        <f t="shared" si="111"/>
        <v>176250.4</v>
      </c>
      <c r="AO517" s="3812">
        <v>45225</v>
      </c>
      <c r="AP517" s="3812">
        <f>AG515-AN515-AN516-AN517</f>
        <v>18468.845</v>
      </c>
      <c r="AQ517" s="857" t="s">
        <v>1224</v>
      </c>
      <c r="AR517" s="4046"/>
      <c r="AS517" s="5783" t="s">
        <v>1225</v>
      </c>
      <c r="AT517" s="5696"/>
      <c r="AU517" s="4045"/>
      <c r="AV517" s="4045"/>
      <c r="AW517" s="4045"/>
      <c r="AX517" s="4045"/>
      <c r="AY517" s="4045"/>
      <c r="AZ517" s="5740"/>
      <c r="BA517" s="5273"/>
      <c r="BB517" s="3812"/>
      <c r="BC517" s="3812"/>
      <c r="BD517" s="5146"/>
      <c r="BE517" s="5146"/>
      <c r="BF517" s="5146"/>
      <c r="BG517" s="5146"/>
      <c r="BH517" s="3914"/>
      <c r="BI517" s="3812"/>
      <c r="BJ517" s="3812"/>
      <c r="BK517" s="3812"/>
      <c r="BL517" s="3812"/>
      <c r="BM517" s="5263"/>
      <c r="BN517" s="5747"/>
      <c r="BO517" s="5273"/>
      <c r="BP517" s="5146"/>
      <c r="BQ517" s="5146"/>
      <c r="BR517" s="5146"/>
      <c r="BS517" s="5146"/>
      <c r="BT517" s="5146"/>
      <c r="BU517" s="5146"/>
      <c r="BV517" s="2678">
        <v>176250.4</v>
      </c>
      <c r="BW517" s="3812"/>
      <c r="BX517" s="3812"/>
      <c r="BY517" s="3812"/>
      <c r="BZ517" s="3812"/>
      <c r="CA517" s="5263"/>
      <c r="CB517" s="5747"/>
      <c r="CC517" s="5309"/>
      <c r="CD517" s="3812"/>
      <c r="CE517" s="5154"/>
      <c r="CF517" s="5154"/>
      <c r="CG517" s="5154"/>
      <c r="CH517" s="5154"/>
    </row>
    <row r="518" s="4980" customFormat="1" ht="40" customHeight="1" spans="1:86">
      <c r="A518" s="3524"/>
      <c r="B518" s="857"/>
      <c r="C518" s="3812"/>
      <c r="D518" s="1032"/>
      <c r="E518" s="1032"/>
      <c r="F518" s="1032"/>
      <c r="G518" s="5059"/>
      <c r="H518" s="1032"/>
      <c r="I518" s="5205"/>
      <c r="J518" s="1032"/>
      <c r="K518" s="5059"/>
      <c r="L518" s="5059"/>
      <c r="M518" s="3812"/>
      <c r="N518" s="4046"/>
      <c r="O518" s="4046"/>
      <c r="P518" s="4046"/>
      <c r="Q518" s="4046"/>
      <c r="R518" s="4046"/>
      <c r="S518" s="4046"/>
      <c r="T518" s="4046"/>
      <c r="U518" s="4046"/>
      <c r="V518" s="4046"/>
      <c r="W518" s="4046"/>
      <c r="X518" s="4046"/>
      <c r="Y518" s="4046"/>
      <c r="Z518" s="4046"/>
      <c r="AA518" s="4046"/>
      <c r="AB518" s="4046"/>
      <c r="AC518" s="857"/>
      <c r="AD518" s="1032"/>
      <c r="AE518" s="5729"/>
      <c r="AF518" s="3812"/>
      <c r="AG518" s="3812">
        <f>SUBTOTAL(9,BA518:BN521)</f>
        <v>330318.6</v>
      </c>
      <c r="AH518" s="857" t="s">
        <v>122</v>
      </c>
      <c r="AI518" s="3812">
        <v>44995</v>
      </c>
      <c r="AJ518" s="3812">
        <v>330318.6</v>
      </c>
      <c r="AK518" s="3812">
        <v>44995</v>
      </c>
      <c r="AL518" s="3812"/>
      <c r="AM518" s="3812"/>
      <c r="AN518" s="3812">
        <f t="shared" si="111"/>
        <v>141420</v>
      </c>
      <c r="AO518" s="3812">
        <v>45039</v>
      </c>
      <c r="AP518" s="3812">
        <f t="shared" si="112"/>
        <v>188898.6</v>
      </c>
      <c r="AQ518" s="857" t="s">
        <v>1223</v>
      </c>
      <c r="AR518" s="4046"/>
      <c r="AS518" s="5701"/>
      <c r="AT518" s="5696"/>
      <c r="AU518" s="4045"/>
      <c r="AV518" s="4045"/>
      <c r="AW518" s="4045"/>
      <c r="AX518" s="4045"/>
      <c r="AY518" s="4045"/>
      <c r="AZ518" s="5740"/>
      <c r="BA518" s="5273"/>
      <c r="BB518" s="3812"/>
      <c r="BC518" s="3812"/>
      <c r="BD518" s="5146"/>
      <c r="BE518" s="5146"/>
      <c r="BF518" s="5146"/>
      <c r="BG518" s="5146"/>
      <c r="BH518" s="3812"/>
      <c r="BI518" s="3812"/>
      <c r="BJ518" s="3812"/>
      <c r="BK518" s="3812"/>
      <c r="BL518" s="3812"/>
      <c r="BM518" s="5280"/>
      <c r="BN518" s="5802">
        <v>330318.6</v>
      </c>
      <c r="BO518" s="5273"/>
      <c r="BP518" s="5146"/>
      <c r="BQ518" s="5146"/>
      <c r="BR518" s="5146"/>
      <c r="BS518" s="5146"/>
      <c r="BT518" s="5146"/>
      <c r="BU518" s="5146"/>
      <c r="BV518" s="3812"/>
      <c r="BW518" s="3812"/>
      <c r="BX518" s="3812"/>
      <c r="BY518" s="3812"/>
      <c r="BZ518" s="3812"/>
      <c r="CA518" s="5263"/>
      <c r="CB518" s="5747">
        <v>141420</v>
      </c>
      <c r="CC518" s="5309"/>
      <c r="CD518" s="3812"/>
      <c r="CE518" s="5154"/>
      <c r="CF518" s="5154"/>
      <c r="CG518" s="5154"/>
      <c r="CH518" s="5154"/>
    </row>
    <row r="519" s="4980" customFormat="1" ht="40" customHeight="1" spans="1:86">
      <c r="A519" s="3524"/>
      <c r="B519" s="857"/>
      <c r="C519" s="3812"/>
      <c r="D519" s="1032"/>
      <c r="E519" s="1032"/>
      <c r="F519" s="1032"/>
      <c r="G519" s="5059"/>
      <c r="H519" s="1032"/>
      <c r="I519" s="5205"/>
      <c r="J519" s="1032"/>
      <c r="K519" s="5059"/>
      <c r="L519" s="5059"/>
      <c r="M519" s="3812"/>
      <c r="N519" s="4046"/>
      <c r="O519" s="4046"/>
      <c r="P519" s="4046"/>
      <c r="Q519" s="4046"/>
      <c r="R519" s="4046"/>
      <c r="S519" s="4046"/>
      <c r="T519" s="4046"/>
      <c r="U519" s="4046"/>
      <c r="V519" s="4046"/>
      <c r="W519" s="4046"/>
      <c r="X519" s="4046"/>
      <c r="Y519" s="4046"/>
      <c r="Z519" s="4046"/>
      <c r="AA519" s="4046"/>
      <c r="AB519" s="4046"/>
      <c r="AC519" s="857"/>
      <c r="AD519" s="1032"/>
      <c r="AE519" s="5729"/>
      <c r="AF519" s="3812"/>
      <c r="AG519" s="3812"/>
      <c r="AH519" s="857"/>
      <c r="AI519" s="3812"/>
      <c r="AJ519" s="3812"/>
      <c r="AK519" s="3812"/>
      <c r="AL519" s="3812"/>
      <c r="AM519" s="3812"/>
      <c r="AN519" s="3812">
        <f t="shared" si="111"/>
        <v>15149</v>
      </c>
      <c r="AO519" s="3812">
        <v>45069</v>
      </c>
      <c r="AP519" s="3812">
        <f t="shared" si="113"/>
        <v>173749.6</v>
      </c>
      <c r="AQ519" s="1032" t="s">
        <v>1221</v>
      </c>
      <c r="AR519" s="4046"/>
      <c r="AS519" s="5701"/>
      <c r="AT519" s="5696"/>
      <c r="AU519" s="4045"/>
      <c r="AV519" s="4045"/>
      <c r="AW519" s="4045"/>
      <c r="AX519" s="4045"/>
      <c r="AY519" s="4045"/>
      <c r="AZ519" s="5740"/>
      <c r="BA519" s="5273"/>
      <c r="BB519" s="3812"/>
      <c r="BC519" s="3812"/>
      <c r="BD519" s="5146"/>
      <c r="BE519" s="5146"/>
      <c r="BF519" s="5146"/>
      <c r="BG519" s="5146"/>
      <c r="BH519" s="3812"/>
      <c r="BI519" s="3812"/>
      <c r="BJ519" s="3812"/>
      <c r="BK519" s="3812"/>
      <c r="BL519" s="3812"/>
      <c r="BM519" s="5803"/>
      <c r="BN519" s="5804"/>
      <c r="BO519" s="5273"/>
      <c r="BP519" s="5146"/>
      <c r="BQ519" s="5146"/>
      <c r="BR519" s="5146"/>
      <c r="BS519" s="5146"/>
      <c r="BT519" s="5146"/>
      <c r="BU519" s="5146"/>
      <c r="BV519" s="3812"/>
      <c r="BW519" s="3812"/>
      <c r="BX519" s="3812"/>
      <c r="BY519" s="3812"/>
      <c r="BZ519" s="3812"/>
      <c r="CA519" s="5263"/>
      <c r="CB519" s="5747">
        <v>15149</v>
      </c>
      <c r="CC519" s="5309"/>
      <c r="CD519" s="3812"/>
      <c r="CE519" s="5154"/>
      <c r="CF519" s="5154"/>
      <c r="CG519" s="5154"/>
      <c r="CH519" s="5154"/>
    </row>
    <row r="520" s="4980" customFormat="1" ht="40" customHeight="1" spans="1:86">
      <c r="A520" s="3524"/>
      <c r="B520" s="857"/>
      <c r="C520" s="3812"/>
      <c r="D520" s="1032"/>
      <c r="E520" s="1032"/>
      <c r="F520" s="1032"/>
      <c r="G520" s="5059"/>
      <c r="H520" s="1032"/>
      <c r="I520" s="5205"/>
      <c r="J520" s="1032"/>
      <c r="K520" s="5059"/>
      <c r="L520" s="5059"/>
      <c r="M520" s="3812"/>
      <c r="N520" s="4046"/>
      <c r="O520" s="4046"/>
      <c r="P520" s="4046"/>
      <c r="Q520" s="4046"/>
      <c r="R520" s="4046"/>
      <c r="S520" s="4046"/>
      <c r="T520" s="4046"/>
      <c r="U520" s="4046"/>
      <c r="V520" s="4046"/>
      <c r="W520" s="4046"/>
      <c r="X520" s="4046"/>
      <c r="Y520" s="4046"/>
      <c r="Z520" s="4046"/>
      <c r="AA520" s="4046"/>
      <c r="AB520" s="4046"/>
      <c r="AC520" s="857"/>
      <c r="AD520" s="1032"/>
      <c r="AE520" s="5729"/>
      <c r="AF520" s="3812"/>
      <c r="AG520" s="3812"/>
      <c r="AH520" s="857"/>
      <c r="AI520" s="3812"/>
      <c r="AJ520" s="3812"/>
      <c r="AK520" s="3812"/>
      <c r="AL520" s="3812"/>
      <c r="AM520" s="3812"/>
      <c r="AN520" s="4813">
        <f t="shared" si="111"/>
        <v>18468.84</v>
      </c>
      <c r="AO520" s="4815">
        <v>46172</v>
      </c>
      <c r="AP520" s="3812"/>
      <c r="AQ520" s="5241"/>
      <c r="AR520" s="4046"/>
      <c r="AS520" s="5701"/>
      <c r="AT520" s="5696"/>
      <c r="AU520" s="4045"/>
      <c r="AV520" s="4045"/>
      <c r="AW520" s="4045"/>
      <c r="AX520" s="4045"/>
      <c r="AY520" s="4045"/>
      <c r="AZ520" s="5740"/>
      <c r="BA520" s="5273"/>
      <c r="BB520" s="3812"/>
      <c r="BC520" s="3812"/>
      <c r="BD520" s="5146"/>
      <c r="BE520" s="5146"/>
      <c r="BF520" s="5146"/>
      <c r="BG520" s="5146"/>
      <c r="BH520" s="3812"/>
      <c r="BI520" s="3812"/>
      <c r="BJ520" s="3812"/>
      <c r="BK520" s="3812"/>
      <c r="BL520" s="3812"/>
      <c r="BM520" s="5803"/>
      <c r="BN520" s="5804"/>
      <c r="BO520" s="5273"/>
      <c r="BP520" s="5146"/>
      <c r="BQ520" s="5146"/>
      <c r="BR520" s="5146"/>
      <c r="BS520" s="5146"/>
      <c r="BT520" s="5146"/>
      <c r="BU520" s="5146"/>
      <c r="BV520" s="3812">
        <v>18468.84</v>
      </c>
      <c r="BW520" s="3812"/>
      <c r="BX520" s="3812"/>
      <c r="BY520" s="3812"/>
      <c r="BZ520" s="3812"/>
      <c r="CA520" s="5263"/>
      <c r="CB520" s="5747"/>
      <c r="CC520" s="5309"/>
      <c r="CD520" s="3812"/>
      <c r="CE520" s="5154"/>
      <c r="CF520" s="5154"/>
      <c r="CG520" s="5154"/>
      <c r="CH520" s="5154"/>
    </row>
    <row r="521" s="4980" customFormat="1" ht="40" customHeight="1" spans="1:86">
      <c r="A521" s="3524"/>
      <c r="B521" s="857"/>
      <c r="C521" s="3812"/>
      <c r="D521" s="1032"/>
      <c r="E521" s="1032"/>
      <c r="F521" s="1032"/>
      <c r="G521" s="5059"/>
      <c r="H521" s="1032"/>
      <c r="I521" s="5205"/>
      <c r="J521" s="1032"/>
      <c r="K521" s="5059"/>
      <c r="L521" s="5059"/>
      <c r="M521" s="3812"/>
      <c r="N521" s="4046"/>
      <c r="O521" s="4046"/>
      <c r="P521" s="4046"/>
      <c r="Q521" s="4046"/>
      <c r="R521" s="4046"/>
      <c r="S521" s="4046"/>
      <c r="T521" s="4046"/>
      <c r="U521" s="4046"/>
      <c r="V521" s="4046"/>
      <c r="W521" s="4046"/>
      <c r="X521" s="4046"/>
      <c r="Y521" s="4046"/>
      <c r="Z521" s="4046"/>
      <c r="AA521" s="4046"/>
      <c r="AB521" s="4046"/>
      <c r="AC521" s="857"/>
      <c r="AD521" s="1032"/>
      <c r="AE521" s="5729"/>
      <c r="AF521" s="3812"/>
      <c r="AG521" s="3812"/>
      <c r="AH521" s="857"/>
      <c r="AI521" s="3812"/>
      <c r="AJ521" s="3812"/>
      <c r="AK521" s="3812"/>
      <c r="AL521" s="3812"/>
      <c r="AM521" s="3812"/>
      <c r="AN521" s="3812">
        <f t="shared" si="111"/>
        <v>173749.6</v>
      </c>
      <c r="AO521" s="3812">
        <v>45225</v>
      </c>
      <c r="AP521" s="3812">
        <f>AG518-AN518-AN519-AN521</f>
        <v>0</v>
      </c>
      <c r="AQ521" s="857" t="s">
        <v>1224</v>
      </c>
      <c r="AR521" s="4046"/>
      <c r="AS521" s="5701"/>
      <c r="AT521" s="5696"/>
      <c r="AU521" s="4045"/>
      <c r="AV521" s="4045"/>
      <c r="AW521" s="4045"/>
      <c r="AX521" s="4045"/>
      <c r="AY521" s="4045"/>
      <c r="AZ521" s="5740"/>
      <c r="BA521" s="5273"/>
      <c r="BB521" s="3812"/>
      <c r="BC521" s="3812"/>
      <c r="BD521" s="5146"/>
      <c r="BE521" s="5146"/>
      <c r="BF521" s="5146"/>
      <c r="BG521" s="5146"/>
      <c r="BH521" s="3812"/>
      <c r="BI521" s="3812"/>
      <c r="BJ521" s="3812"/>
      <c r="BK521" s="3812"/>
      <c r="BL521" s="3812"/>
      <c r="BM521" s="5800"/>
      <c r="BN521" s="5805"/>
      <c r="BO521" s="5273"/>
      <c r="BP521" s="5146"/>
      <c r="BQ521" s="5146"/>
      <c r="BR521" s="5146"/>
      <c r="BS521" s="5146"/>
      <c r="BT521" s="5146"/>
      <c r="BU521" s="5146"/>
      <c r="BV521" s="3812"/>
      <c r="BW521" s="3812"/>
      <c r="BX521" s="3812"/>
      <c r="BY521" s="3812"/>
      <c r="BZ521" s="3812"/>
      <c r="CA521" s="5263"/>
      <c r="CB521" s="5747">
        <v>173749.6</v>
      </c>
      <c r="CC521" s="5309"/>
      <c r="CD521" s="3812"/>
      <c r="CE521" s="5154"/>
      <c r="CF521" s="5154"/>
      <c r="CG521" s="5154"/>
      <c r="CH521" s="5154"/>
    </row>
    <row r="522" s="4980" customFormat="1" ht="40" customHeight="1" spans="1:86">
      <c r="A522" s="3524"/>
      <c r="B522" s="857"/>
      <c r="C522" s="3812"/>
      <c r="D522" s="1032"/>
      <c r="E522" s="1032"/>
      <c r="F522" s="1032"/>
      <c r="G522" s="5059"/>
      <c r="H522" s="1032"/>
      <c r="I522" s="5205"/>
      <c r="J522" s="1032"/>
      <c r="K522" s="5059"/>
      <c r="L522" s="5059"/>
      <c r="M522" s="3812"/>
      <c r="N522" s="4046"/>
      <c r="O522" s="4046"/>
      <c r="P522" s="4046"/>
      <c r="Q522" s="4046"/>
      <c r="R522" s="4046"/>
      <c r="S522" s="4046"/>
      <c r="T522" s="4046"/>
      <c r="U522" s="4046"/>
      <c r="V522" s="4046"/>
      <c r="W522" s="4046"/>
      <c r="X522" s="4046"/>
      <c r="Y522" s="4046"/>
      <c r="Z522" s="4046"/>
      <c r="AA522" s="4046"/>
      <c r="AB522" s="4046"/>
      <c r="AC522" s="3812">
        <v>4</v>
      </c>
      <c r="AD522" s="1032" t="s">
        <v>1226</v>
      </c>
      <c r="AE522" s="5729">
        <v>0.2</v>
      </c>
      <c r="AF522" s="3812">
        <f>M509*AE522</f>
        <v>467117.21</v>
      </c>
      <c r="AG522" s="4840">
        <f>SUBTOTAL(9,BA522:BN523)</f>
        <v>467117.21</v>
      </c>
      <c r="AH522" s="3366" t="s">
        <v>122</v>
      </c>
      <c r="AI522" s="3812">
        <v>45267</v>
      </c>
      <c r="AJ522" s="4840">
        <v>467117.21</v>
      </c>
      <c r="AK522" s="4840">
        <v>45239</v>
      </c>
      <c r="AL522" s="5248">
        <v>459508.21</v>
      </c>
      <c r="AM522" s="5248">
        <v>45965</v>
      </c>
      <c r="AN522" s="4815">
        <f t="shared" si="111"/>
        <v>242882.91</v>
      </c>
      <c r="AO522" s="4815">
        <v>46172</v>
      </c>
      <c r="AP522" s="3812">
        <f>AG522-AN522</f>
        <v>224234.3</v>
      </c>
      <c r="AQ522" s="857"/>
      <c r="AR522" s="4046"/>
      <c r="AS522" s="4090" t="s">
        <v>1227</v>
      </c>
      <c r="AT522" s="5696"/>
      <c r="AU522" s="4045"/>
      <c r="AV522" s="4045"/>
      <c r="AW522" s="4045"/>
      <c r="AX522" s="4045"/>
      <c r="AY522" s="4045"/>
      <c r="AZ522" s="5740"/>
      <c r="BA522" s="5273"/>
      <c r="BB522" s="3812"/>
      <c r="BC522" s="3812"/>
      <c r="BD522" s="5146"/>
      <c r="BE522" s="5146"/>
      <c r="BF522" s="5146"/>
      <c r="BG522" s="5146"/>
      <c r="BH522" s="3812">
        <v>246900</v>
      </c>
      <c r="BI522" s="3812"/>
      <c r="BJ522" s="3812"/>
      <c r="BK522" s="3812"/>
      <c r="BL522" s="3812"/>
      <c r="BM522" s="3812"/>
      <c r="BN522" s="3812"/>
      <c r="BO522" s="5273"/>
      <c r="BP522" s="5146"/>
      <c r="BQ522" s="5146"/>
      <c r="BR522" s="5146"/>
      <c r="BS522" s="5146"/>
      <c r="BT522" s="5146"/>
      <c r="BU522" s="5146"/>
      <c r="BV522" s="5123">
        <v>242882.91</v>
      </c>
      <c r="BW522" s="3812"/>
      <c r="BX522" s="3812"/>
      <c r="BY522" s="3812"/>
      <c r="BZ522" s="3812"/>
      <c r="CA522" s="5263"/>
      <c r="CB522" s="5809"/>
      <c r="CC522" s="5309"/>
      <c r="CD522" s="3812"/>
      <c r="CE522" s="5154"/>
      <c r="CF522" s="5154"/>
      <c r="CG522" s="5154"/>
      <c r="CH522" s="5154"/>
    </row>
    <row r="523" s="4980" customFormat="1" ht="40" customHeight="1" spans="1:86">
      <c r="A523" s="3524"/>
      <c r="B523" s="857"/>
      <c r="C523" s="3812"/>
      <c r="D523" s="1032"/>
      <c r="E523" s="1032"/>
      <c r="F523" s="1032"/>
      <c r="G523" s="5059"/>
      <c r="H523" s="1032"/>
      <c r="I523" s="5206"/>
      <c r="J523" s="1032"/>
      <c r="K523" s="5059"/>
      <c r="L523" s="5059"/>
      <c r="M523" s="3812"/>
      <c r="N523" s="4046"/>
      <c r="O523" s="4046"/>
      <c r="P523" s="4046"/>
      <c r="Q523" s="4046"/>
      <c r="R523" s="4046"/>
      <c r="S523" s="4046"/>
      <c r="T523" s="4046"/>
      <c r="U523" s="4046"/>
      <c r="V523" s="4046"/>
      <c r="W523" s="4046"/>
      <c r="X523" s="4046"/>
      <c r="Y523" s="4046"/>
      <c r="Z523" s="4046"/>
      <c r="AA523" s="4046"/>
      <c r="AB523" s="4046"/>
      <c r="AC523" s="3812"/>
      <c r="AD523" s="5767"/>
      <c r="AE523" s="5729"/>
      <c r="AF523" s="3812"/>
      <c r="AG523" s="4842"/>
      <c r="AH523" s="3409"/>
      <c r="AI523" s="3812">
        <v>45267</v>
      </c>
      <c r="AJ523" s="4842"/>
      <c r="AK523" s="4842"/>
      <c r="AL523" s="5350"/>
      <c r="AM523" s="5350"/>
      <c r="AN523" s="4815">
        <f t="shared" si="111"/>
        <v>216625.3</v>
      </c>
      <c r="AO523" s="4815">
        <v>46172</v>
      </c>
      <c r="AP523" s="3812">
        <f>AG523-AN523</f>
        <v>-216625.3</v>
      </c>
      <c r="AQ523" s="5146"/>
      <c r="AR523" s="4046"/>
      <c r="AS523" s="5222"/>
      <c r="AT523" s="5696"/>
      <c r="AU523" s="4045"/>
      <c r="AV523" s="4045"/>
      <c r="AW523" s="4045"/>
      <c r="AX523" s="4045"/>
      <c r="AY523" s="4045"/>
      <c r="AZ523" s="5740"/>
      <c r="BA523" s="5790"/>
      <c r="BB523" s="5144"/>
      <c r="BC523" s="5144"/>
      <c r="BD523" s="5791"/>
      <c r="BE523" s="5791"/>
      <c r="BF523" s="5791"/>
      <c r="BG523" s="5791"/>
      <c r="BH523" s="3812"/>
      <c r="BI523" s="3812"/>
      <c r="BJ523" s="3812"/>
      <c r="BK523" s="3812"/>
      <c r="BL523" s="3812"/>
      <c r="BM523" s="3812"/>
      <c r="BN523" s="3812">
        <v>220217.21</v>
      </c>
      <c r="BO523" s="5790"/>
      <c r="BP523" s="5791"/>
      <c r="BQ523" s="5791"/>
      <c r="BR523" s="5791"/>
      <c r="BS523" s="5791"/>
      <c r="BT523" s="5791"/>
      <c r="BU523" s="5791"/>
      <c r="BV523" s="5808"/>
      <c r="BW523" s="5144"/>
      <c r="BX523" s="5144"/>
      <c r="BY523" s="5144"/>
      <c r="BZ523" s="5144"/>
      <c r="CA523" s="5810"/>
      <c r="CB523" s="5811">
        <v>216625.3</v>
      </c>
      <c r="CC523" s="5309"/>
      <c r="CD523" s="3812"/>
      <c r="CE523" s="5154"/>
      <c r="CF523" s="5154"/>
      <c r="CG523" s="5154"/>
      <c r="CH523" s="5154"/>
    </row>
    <row r="524" s="4980" customFormat="1" ht="40" customHeight="1" spans="1:86">
      <c r="A524" s="3524"/>
      <c r="B524" s="857"/>
      <c r="C524" s="3812"/>
      <c r="D524" s="1032"/>
      <c r="E524" s="1032"/>
      <c r="F524" s="1032"/>
      <c r="G524" s="5059"/>
      <c r="H524" s="1032"/>
      <c r="I524" s="5206"/>
      <c r="J524" s="1032"/>
      <c r="K524" s="5059"/>
      <c r="L524" s="5059"/>
      <c r="M524" s="3812"/>
      <c r="N524" s="4046"/>
      <c r="O524" s="4046"/>
      <c r="P524" s="4046"/>
      <c r="Q524" s="4046"/>
      <c r="R524" s="4046"/>
      <c r="S524" s="4046"/>
      <c r="T524" s="4046"/>
      <c r="U524" s="4046"/>
      <c r="V524" s="4046"/>
      <c r="W524" s="4046"/>
      <c r="X524" s="4046"/>
      <c r="Y524" s="4046"/>
      <c r="Z524" s="4046"/>
      <c r="AA524" s="4046"/>
      <c r="AB524" s="4046"/>
      <c r="AC524" s="3812"/>
      <c r="AD524" s="5767"/>
      <c r="AE524" s="5729"/>
      <c r="AF524" s="3812"/>
      <c r="AG524" s="4813">
        <f>SUBTOTAL(9,BA524:BN524)</f>
        <v>-7609</v>
      </c>
      <c r="AH524" s="1015" t="s">
        <v>122</v>
      </c>
      <c r="AI524" s="4813">
        <v>46007</v>
      </c>
      <c r="AJ524" s="4813">
        <v>-7609</v>
      </c>
      <c r="AK524" s="4813">
        <v>46007</v>
      </c>
      <c r="AL524" s="4815"/>
      <c r="AM524" s="4842"/>
      <c r="AN524" s="3812">
        <f t="shared" si="111"/>
        <v>0</v>
      </c>
      <c r="AO524" s="3812"/>
      <c r="AP524" s="3812">
        <f>AG524-AN524</f>
        <v>-7609</v>
      </c>
      <c r="AQ524" s="5146"/>
      <c r="AR524" s="4046"/>
      <c r="AS524" s="5222"/>
      <c r="AT524" s="5696"/>
      <c r="AU524" s="4045"/>
      <c r="AV524" s="4045"/>
      <c r="AW524" s="4045"/>
      <c r="AX524" s="4045"/>
      <c r="AY524" s="4045"/>
      <c r="AZ524" s="5740"/>
      <c r="BA524" s="5790"/>
      <c r="BB524" s="5144"/>
      <c r="BC524" s="5144"/>
      <c r="BD524" s="5791"/>
      <c r="BE524" s="5791"/>
      <c r="BF524" s="5791"/>
      <c r="BG524" s="5791"/>
      <c r="BH524" s="3812">
        <v>-4021.9</v>
      </c>
      <c r="BI524" s="3812"/>
      <c r="BJ524" s="3812"/>
      <c r="BK524" s="3812"/>
      <c r="BL524" s="3812"/>
      <c r="BM524" s="3812"/>
      <c r="BN524" s="3812">
        <v>-3587.1</v>
      </c>
      <c r="BO524" s="5790"/>
      <c r="BP524" s="5791"/>
      <c r="BQ524" s="5791"/>
      <c r="BR524" s="5791"/>
      <c r="BS524" s="5791"/>
      <c r="BT524" s="5791"/>
      <c r="BU524" s="5791"/>
      <c r="BV524" s="5808"/>
      <c r="BW524" s="5144"/>
      <c r="BX524" s="5144"/>
      <c r="BY524" s="5144"/>
      <c r="BZ524" s="5144"/>
      <c r="CA524" s="5810"/>
      <c r="CB524" s="5812"/>
      <c r="CC524" s="5309"/>
      <c r="CD524" s="3812"/>
      <c r="CE524" s="5154"/>
      <c r="CF524" s="5154"/>
      <c r="CG524" s="5154"/>
      <c r="CH524" s="5154"/>
    </row>
    <row r="525" s="4965" customFormat="1" ht="53.35" customHeight="1" spans="1:86">
      <c r="A525" s="3524">
        <v>94</v>
      </c>
      <c r="B525" s="3524" t="s">
        <v>173</v>
      </c>
      <c r="C525" s="3524">
        <v>44336</v>
      </c>
      <c r="D525" s="3742" t="s">
        <v>201</v>
      </c>
      <c r="E525" s="3742" t="s">
        <v>1228</v>
      </c>
      <c r="F525" s="1032" t="s">
        <v>1229</v>
      </c>
      <c r="G525" s="3742" t="s">
        <v>1230</v>
      </c>
      <c r="H525" s="3742" t="s">
        <v>813</v>
      </c>
      <c r="I525" s="5073" t="s">
        <v>1231</v>
      </c>
      <c r="J525" s="3742" t="s">
        <v>194</v>
      </c>
      <c r="K525" s="3742" t="s">
        <v>1232</v>
      </c>
      <c r="L525" s="3742"/>
      <c r="M525" s="5130">
        <f>SUM(N525:AA528)</f>
        <v>201650</v>
      </c>
      <c r="N525" s="3083"/>
      <c r="O525" s="3083"/>
      <c r="P525" s="3083"/>
      <c r="Q525" s="3083"/>
      <c r="R525" s="3083"/>
      <c r="S525" s="3083"/>
      <c r="T525" s="5762">
        <v>201650</v>
      </c>
      <c r="U525" s="3083"/>
      <c r="V525" s="3083"/>
      <c r="W525" s="3083"/>
      <c r="X525" s="3083">
        <v>0</v>
      </c>
      <c r="Y525" s="3083"/>
      <c r="Z525" s="3083"/>
      <c r="AA525" s="3083"/>
      <c r="AB525" s="3083"/>
      <c r="AC525" s="3524">
        <v>1</v>
      </c>
      <c r="AD525" s="5680" t="s">
        <v>1233</v>
      </c>
      <c r="AE525" s="5117">
        <v>0.2</v>
      </c>
      <c r="AF525" s="3524">
        <v>40330</v>
      </c>
      <c r="AG525" s="3812">
        <f>SUM(BA525:BN525)</f>
        <v>161320</v>
      </c>
      <c r="AH525" s="857" t="s">
        <v>122</v>
      </c>
      <c r="AI525" s="3812">
        <v>44478</v>
      </c>
      <c r="AJ525" s="3524">
        <v>161320</v>
      </c>
      <c r="AK525" s="3524">
        <v>44478</v>
      </c>
      <c r="AL525" s="3524">
        <v>161320</v>
      </c>
      <c r="AM525" s="3524">
        <v>44478</v>
      </c>
      <c r="AN525" s="3812">
        <f>SUM(BO525:CB525)</f>
        <v>161320</v>
      </c>
      <c r="AO525" s="3812">
        <v>44530</v>
      </c>
      <c r="AP525" s="3812">
        <f t="shared" ref="AP525:AP531" si="114">AG525-AN525</f>
        <v>0</v>
      </c>
      <c r="AQ525" s="5122"/>
      <c r="AR525" s="3083"/>
      <c r="AS525" s="5637"/>
      <c r="AT525" s="5629"/>
      <c r="AU525" s="5630">
        <f>SUM(AG525:AG528)</f>
        <v>201650</v>
      </c>
      <c r="AV525" s="5630">
        <f>SUM(AL525:AL528)</f>
        <v>201650</v>
      </c>
      <c r="AW525" s="5630">
        <f>SUM(AN525:AN528)</f>
        <v>201650</v>
      </c>
      <c r="AX525" s="5630">
        <f>M525-AU525</f>
        <v>0</v>
      </c>
      <c r="AY525" s="5630">
        <f>AU525-AV525</f>
        <v>0</v>
      </c>
      <c r="AZ525" s="5630">
        <f>AV525-AW525</f>
        <v>0</v>
      </c>
      <c r="BA525" s="5792"/>
      <c r="BB525" s="4842"/>
      <c r="BC525" s="4842"/>
      <c r="BD525" s="5792"/>
      <c r="BE525" s="5792"/>
      <c r="BF525" s="4842">
        <v>34177.2</v>
      </c>
      <c r="BG525" s="4842">
        <v>127142.8</v>
      </c>
      <c r="BH525" s="4842"/>
      <c r="BI525" s="4842"/>
      <c r="BJ525" s="4842"/>
      <c r="BK525" s="4842"/>
      <c r="BL525" s="4842"/>
      <c r="BM525" s="4842"/>
      <c r="BN525" s="4842"/>
      <c r="BO525" s="5806"/>
      <c r="BP525" s="5806"/>
      <c r="BQ525" s="5806"/>
      <c r="BR525" s="5806"/>
      <c r="BS525" s="5806"/>
      <c r="BT525" s="4842">
        <v>34177.2</v>
      </c>
      <c r="BU525" s="4842">
        <v>127142.8</v>
      </c>
      <c r="BV525" s="5806"/>
      <c r="BW525" s="5806"/>
      <c r="BX525" s="5806"/>
      <c r="BY525" s="5806"/>
      <c r="BZ525" s="4903"/>
      <c r="CA525" s="4903"/>
      <c r="CB525" s="5806"/>
      <c r="CC525" s="3524" t="s">
        <v>197</v>
      </c>
      <c r="CD525" s="3524" t="s">
        <v>154</v>
      </c>
      <c r="CE525" s="5169"/>
      <c r="CF525" s="5169"/>
      <c r="CG525" s="5169"/>
      <c r="CH525" s="5169"/>
    </row>
    <row r="526" s="4965" customFormat="1" ht="45" customHeight="1" spans="1:86">
      <c r="A526" s="3524"/>
      <c r="B526" s="3524"/>
      <c r="C526" s="3524"/>
      <c r="D526" s="3742"/>
      <c r="E526" s="3742"/>
      <c r="F526" s="3742"/>
      <c r="G526" s="3742"/>
      <c r="H526" s="3742"/>
      <c r="I526" s="5074"/>
      <c r="J526" s="3742"/>
      <c r="K526" s="3742"/>
      <c r="L526" s="3742"/>
      <c r="M526" s="5130"/>
      <c r="N526" s="3083"/>
      <c r="O526" s="3083"/>
      <c r="P526" s="3083"/>
      <c r="Q526" s="3083"/>
      <c r="R526" s="3083"/>
      <c r="S526" s="3083"/>
      <c r="T526" s="3083"/>
      <c r="U526" s="3083"/>
      <c r="V526" s="3083"/>
      <c r="W526" s="3083"/>
      <c r="X526" s="3083"/>
      <c r="Y526" s="3083"/>
      <c r="Z526" s="3083"/>
      <c r="AA526" s="3083"/>
      <c r="AB526" s="3083"/>
      <c r="AC526" s="3524">
        <v>2</v>
      </c>
      <c r="AD526" s="5680" t="s">
        <v>1234</v>
      </c>
      <c r="AE526" s="5117">
        <v>0.2</v>
      </c>
      <c r="AF526" s="3524">
        <v>40330</v>
      </c>
      <c r="AG526" s="3812"/>
      <c r="AH526" s="3812"/>
      <c r="AI526" s="3812"/>
      <c r="AJ526" s="3524"/>
      <c r="AK526" s="3524"/>
      <c r="AL526" s="3524"/>
      <c r="AM526" s="3524"/>
      <c r="AN526" s="3812"/>
      <c r="AO526" s="3812"/>
      <c r="AP526" s="3812">
        <f t="shared" si="114"/>
        <v>0</v>
      </c>
      <c r="AQ526" s="5122"/>
      <c r="AR526" s="3083"/>
      <c r="AS526" s="5637"/>
      <c r="AT526" s="5629"/>
      <c r="AU526" s="5630"/>
      <c r="AV526" s="5630"/>
      <c r="AW526" s="5630"/>
      <c r="AX526" s="5630"/>
      <c r="AY526" s="5630"/>
      <c r="AZ526" s="5630"/>
      <c r="BA526" s="5146"/>
      <c r="BB526" s="3812"/>
      <c r="BC526" s="3812"/>
      <c r="BD526" s="5146"/>
      <c r="BE526" s="5146"/>
      <c r="BF526" s="3812"/>
      <c r="BG526" s="3812"/>
      <c r="BH526" s="3812"/>
      <c r="BI526" s="3812"/>
      <c r="BJ526" s="3812"/>
      <c r="BK526" s="3812"/>
      <c r="BL526" s="3812"/>
      <c r="BM526" s="3812"/>
      <c r="BN526" s="3812"/>
      <c r="BO526" s="5122"/>
      <c r="BP526" s="5122"/>
      <c r="BQ526" s="5122"/>
      <c r="BR526" s="5122"/>
      <c r="BS526" s="5122"/>
      <c r="BT526" s="3812"/>
      <c r="BU526" s="3812"/>
      <c r="BV526" s="5122"/>
      <c r="BW526" s="5122"/>
      <c r="BX526" s="5122"/>
      <c r="BY526" s="5122"/>
      <c r="BZ526" s="3524"/>
      <c r="CA526" s="3524"/>
      <c r="CB526" s="5122"/>
      <c r="CC526" s="3524"/>
      <c r="CD526" s="3524"/>
      <c r="CE526" s="5169"/>
      <c r="CF526" s="5169"/>
      <c r="CG526" s="5169"/>
      <c r="CH526" s="5169"/>
    </row>
    <row r="527" s="4965" customFormat="1" ht="47.5" customHeight="1" spans="1:86">
      <c r="A527" s="3524"/>
      <c r="B527" s="3524"/>
      <c r="C527" s="3524"/>
      <c r="D527" s="3742"/>
      <c r="E527" s="3742"/>
      <c r="F527" s="3742"/>
      <c r="G527" s="3742"/>
      <c r="H527" s="3742"/>
      <c r="I527" s="5074"/>
      <c r="J527" s="3742"/>
      <c r="K527" s="3742"/>
      <c r="L527" s="3742"/>
      <c r="M527" s="5130"/>
      <c r="N527" s="3083"/>
      <c r="O527" s="3083"/>
      <c r="P527" s="3083"/>
      <c r="Q527" s="3083"/>
      <c r="R527" s="3083"/>
      <c r="S527" s="3083"/>
      <c r="T527" s="3083"/>
      <c r="U527" s="3083"/>
      <c r="V527" s="3083"/>
      <c r="W527" s="3083"/>
      <c r="X527" s="3083"/>
      <c r="Y527" s="3083"/>
      <c r="Z527" s="3083"/>
      <c r="AA527" s="3083"/>
      <c r="AB527" s="3083"/>
      <c r="AC527" s="3524">
        <v>3</v>
      </c>
      <c r="AD527" s="5680" t="s">
        <v>1235</v>
      </c>
      <c r="AE527" s="5117">
        <v>0.4</v>
      </c>
      <c r="AF527" s="3524">
        <v>80660</v>
      </c>
      <c r="AG527" s="3812"/>
      <c r="AH527" s="3812"/>
      <c r="AI527" s="3812"/>
      <c r="AJ527" s="3524"/>
      <c r="AK527" s="3524"/>
      <c r="AL527" s="3524"/>
      <c r="AM527" s="3524"/>
      <c r="AN527" s="3812"/>
      <c r="AO527" s="3812"/>
      <c r="AP527" s="3812">
        <f t="shared" si="114"/>
        <v>0</v>
      </c>
      <c r="AQ527" s="5122"/>
      <c r="AR527" s="3083"/>
      <c r="AS527" s="5637"/>
      <c r="AT527" s="5629"/>
      <c r="AU527" s="5630"/>
      <c r="AV527" s="5630"/>
      <c r="AW527" s="5630"/>
      <c r="AX527" s="5630"/>
      <c r="AY527" s="5630"/>
      <c r="AZ527" s="5630"/>
      <c r="BA527" s="5146"/>
      <c r="BB527" s="3812"/>
      <c r="BC527" s="3812"/>
      <c r="BD527" s="5146"/>
      <c r="BE527" s="5146"/>
      <c r="BF527" s="3812"/>
      <c r="BG527" s="3812"/>
      <c r="BH527" s="3812"/>
      <c r="BI527" s="3812"/>
      <c r="BJ527" s="3812"/>
      <c r="BK527" s="3812"/>
      <c r="BL527" s="3812"/>
      <c r="BM527" s="3812"/>
      <c r="BN527" s="3812"/>
      <c r="BO527" s="5122"/>
      <c r="BP527" s="5122"/>
      <c r="BQ527" s="5122"/>
      <c r="BR527" s="5122"/>
      <c r="BS527" s="5122"/>
      <c r="BT527" s="3812"/>
      <c r="BU527" s="3812"/>
      <c r="BV527" s="5122"/>
      <c r="BW527" s="5122"/>
      <c r="BX527" s="5122"/>
      <c r="BY527" s="5122"/>
      <c r="BZ527" s="3524"/>
      <c r="CA527" s="3524"/>
      <c r="CB527" s="5122"/>
      <c r="CC527" s="3524"/>
      <c r="CD527" s="3524"/>
      <c r="CE527" s="5169"/>
      <c r="CF527" s="5169"/>
      <c r="CG527" s="5169"/>
      <c r="CH527" s="5169"/>
    </row>
    <row r="528" s="4965" customFormat="1" ht="78" customHeight="1" spans="1:86">
      <c r="A528" s="3524"/>
      <c r="B528" s="3524"/>
      <c r="C528" s="3524"/>
      <c r="D528" s="3742"/>
      <c r="E528" s="3742"/>
      <c r="F528" s="3742"/>
      <c r="G528" s="3742"/>
      <c r="H528" s="3742"/>
      <c r="I528" s="5075"/>
      <c r="J528" s="3742"/>
      <c r="K528" s="3742"/>
      <c r="L528" s="3742"/>
      <c r="M528" s="5130"/>
      <c r="N528" s="3083"/>
      <c r="O528" s="3083"/>
      <c r="P528" s="3083"/>
      <c r="Q528" s="3083"/>
      <c r="R528" s="3083"/>
      <c r="S528" s="3083"/>
      <c r="T528" s="3083"/>
      <c r="U528" s="3083"/>
      <c r="V528" s="3083"/>
      <c r="W528" s="3083"/>
      <c r="X528" s="3083"/>
      <c r="Y528" s="3083"/>
      <c r="Z528" s="3083"/>
      <c r="AA528" s="3083"/>
      <c r="AB528" s="3083"/>
      <c r="AC528" s="3524">
        <v>4</v>
      </c>
      <c r="AD528" s="5680" t="s">
        <v>1236</v>
      </c>
      <c r="AE528" s="5117">
        <v>0.2</v>
      </c>
      <c r="AF528" s="3524">
        <v>40330</v>
      </c>
      <c r="AG528" s="3812">
        <f>SUM(BA528:BN528)</f>
        <v>40330</v>
      </c>
      <c r="AH528" s="857" t="s">
        <v>122</v>
      </c>
      <c r="AI528" s="3812">
        <v>45282</v>
      </c>
      <c r="AJ528" s="3812">
        <v>40330</v>
      </c>
      <c r="AK528" s="3812">
        <v>45282</v>
      </c>
      <c r="AL528" s="3812">
        <v>40330</v>
      </c>
      <c r="AM528" s="3812">
        <v>45664</v>
      </c>
      <c r="AN528" s="4813">
        <f>SUM(BO528:CB528)</f>
        <v>40330</v>
      </c>
      <c r="AO528" s="4813">
        <v>46021</v>
      </c>
      <c r="AP528" s="3812">
        <f t="shared" si="114"/>
        <v>0</v>
      </c>
      <c r="AQ528" s="5135" t="s">
        <v>209</v>
      </c>
      <c r="AR528" s="3083"/>
      <c r="AS528" s="5637"/>
      <c r="AT528" s="5629"/>
      <c r="AU528" s="5630"/>
      <c r="AV528" s="5630"/>
      <c r="AW528" s="5630"/>
      <c r="AX528" s="5630"/>
      <c r="AY528" s="5630"/>
      <c r="AZ528" s="5630"/>
      <c r="BA528" s="5122"/>
      <c r="BB528" s="3524"/>
      <c r="BC528" s="3524"/>
      <c r="BD528" s="5122"/>
      <c r="BE528" s="5122"/>
      <c r="BF528" s="5146">
        <v>8544.3</v>
      </c>
      <c r="BG528" s="3812">
        <v>31785.7</v>
      </c>
      <c r="BH528" s="3524"/>
      <c r="BI528" s="3524"/>
      <c r="BJ528" s="3524"/>
      <c r="BK528" s="3524"/>
      <c r="BL528" s="3524"/>
      <c r="BM528" s="3524"/>
      <c r="BN528" s="3524"/>
      <c r="BO528" s="5122"/>
      <c r="BP528" s="5122"/>
      <c r="BQ528" s="5122"/>
      <c r="BR528" s="5122"/>
      <c r="BS528" s="5122"/>
      <c r="BT528" s="3812">
        <v>8544.3</v>
      </c>
      <c r="BU528" s="5169"/>
      <c r="BV528" s="5122"/>
      <c r="BW528" s="5122"/>
      <c r="BX528" s="5122"/>
      <c r="BY528" s="5122"/>
      <c r="BZ528" s="3812">
        <v>31785.7</v>
      </c>
      <c r="CA528" s="3812"/>
      <c r="CB528" s="5122"/>
      <c r="CC528" s="3524"/>
      <c r="CD528" s="3524"/>
      <c r="CE528" s="5169"/>
      <c r="CF528" s="5169"/>
      <c r="CG528" s="5169"/>
      <c r="CH528" s="5169"/>
    </row>
    <row r="529" s="4971" customFormat="1" ht="80" customHeight="1" spans="1:86">
      <c r="A529" s="5488">
        <v>94</v>
      </c>
      <c r="B529" s="3524" t="s">
        <v>690</v>
      </c>
      <c r="C529" s="3524">
        <v>44348</v>
      </c>
      <c r="D529" s="1032" t="s">
        <v>1237</v>
      </c>
      <c r="E529" s="3742" t="s">
        <v>1238</v>
      </c>
      <c r="F529" s="3742" t="s">
        <v>1239</v>
      </c>
      <c r="G529" s="3742" t="s">
        <v>1240</v>
      </c>
      <c r="H529" s="3742" t="s">
        <v>1241</v>
      </c>
      <c r="I529" s="3742"/>
      <c r="J529" s="3742" t="s">
        <v>1242</v>
      </c>
      <c r="K529" s="3742" t="s">
        <v>1243</v>
      </c>
      <c r="L529" s="3742">
        <v>30000</v>
      </c>
      <c r="M529" s="3524">
        <f>SUBTOTAL(9,N529:AA529)</f>
        <v>30000</v>
      </c>
      <c r="N529" s="5488"/>
      <c r="O529" s="5488"/>
      <c r="P529" s="5488"/>
      <c r="Q529" s="5488"/>
      <c r="R529" s="5488"/>
      <c r="S529" s="5488"/>
      <c r="T529" s="5488"/>
      <c r="U529" s="5488"/>
      <c r="V529" s="5488"/>
      <c r="W529" s="5488">
        <v>30000</v>
      </c>
      <c r="X529" s="5488">
        <v>0</v>
      </c>
      <c r="Y529" s="5488"/>
      <c r="Z529" s="5488"/>
      <c r="AA529" s="5488"/>
      <c r="AB529" s="5488"/>
      <c r="AC529" s="3524">
        <v>1</v>
      </c>
      <c r="AD529" s="5680" t="s">
        <v>1244</v>
      </c>
      <c r="AE529" s="5117">
        <v>1</v>
      </c>
      <c r="AF529" s="3524">
        <v>30000</v>
      </c>
      <c r="AG529" s="3812">
        <f>SUM(BA529:BN529)</f>
        <v>15000</v>
      </c>
      <c r="AH529" s="857" t="s">
        <v>409</v>
      </c>
      <c r="AI529" s="3524">
        <v>44551</v>
      </c>
      <c r="AJ529" s="3524"/>
      <c r="AK529" s="5122"/>
      <c r="AL529" s="3812"/>
      <c r="AM529" s="3524"/>
      <c r="AN529" s="5123">
        <f>SUM(BO529:CB529)</f>
        <v>0</v>
      </c>
      <c r="AO529" s="3524"/>
      <c r="AP529" s="3812">
        <f t="shared" si="114"/>
        <v>15000</v>
      </c>
      <c r="AQ529" s="5122"/>
      <c r="AR529" s="3524"/>
      <c r="AS529" s="5137"/>
      <c r="AT529" s="5122"/>
      <c r="AU529" s="5483">
        <f>SUM(AG529)</f>
        <v>15000</v>
      </c>
      <c r="AV529" s="5483">
        <f>SUM(AL529)</f>
        <v>0</v>
      </c>
      <c r="AW529" s="5483">
        <f>SUM(AN529)</f>
        <v>0</v>
      </c>
      <c r="AX529" s="5483">
        <f>M529-AU529</f>
        <v>15000</v>
      </c>
      <c r="AY529" s="5483">
        <f>AU529-AV529</f>
        <v>15000</v>
      </c>
      <c r="AZ529" s="5483">
        <f>AV529-AW529</f>
        <v>0</v>
      </c>
      <c r="BA529" s="5146"/>
      <c r="BB529" s="3812"/>
      <c r="BC529" s="3812"/>
      <c r="BD529" s="5146"/>
      <c r="BE529" s="5146"/>
      <c r="BF529" s="5146"/>
      <c r="BG529" s="5146"/>
      <c r="BH529" s="3812"/>
      <c r="BI529" s="3812"/>
      <c r="BJ529" s="3812">
        <v>15000</v>
      </c>
      <c r="BK529" s="3812"/>
      <c r="BL529" s="3812"/>
      <c r="BM529" s="3812"/>
      <c r="BN529" s="3812"/>
      <c r="BO529" s="5122"/>
      <c r="BP529" s="5122"/>
      <c r="BQ529" s="5122"/>
      <c r="BR529" s="5122"/>
      <c r="BS529" s="5122"/>
      <c r="BT529" s="5122"/>
      <c r="BU529" s="5039"/>
      <c r="BV529" s="5122"/>
      <c r="BW529" s="5122"/>
      <c r="BX529" s="5122"/>
      <c r="BY529" s="5122"/>
      <c r="BZ529" s="5122"/>
      <c r="CA529" s="5122"/>
      <c r="CB529" s="5122"/>
      <c r="CC529" s="3524" t="s">
        <v>166</v>
      </c>
      <c r="CD529" s="3524" t="s">
        <v>154</v>
      </c>
      <c r="CE529" s="5039"/>
      <c r="CF529" s="5039"/>
      <c r="CG529" s="5039"/>
      <c r="CH529" s="5039"/>
    </row>
    <row r="530" s="4972" customFormat="1" ht="75" customHeight="1" spans="1:86">
      <c r="A530" s="3066">
        <v>95</v>
      </c>
      <c r="B530" s="3662" t="s">
        <v>159</v>
      </c>
      <c r="C530" s="3662">
        <v>44382</v>
      </c>
      <c r="D530" s="5055" t="s">
        <v>1245</v>
      </c>
      <c r="E530" s="5053" t="s">
        <v>1246</v>
      </c>
      <c r="F530" s="5053" t="s">
        <v>1247</v>
      </c>
      <c r="G530" s="5053" t="s">
        <v>1248</v>
      </c>
      <c r="H530" s="5053" t="s">
        <v>193</v>
      </c>
      <c r="I530" s="5053"/>
      <c r="J530" s="5053" t="s">
        <v>1171</v>
      </c>
      <c r="K530" s="5055" t="s">
        <v>1249</v>
      </c>
      <c r="L530" s="5053" t="s">
        <v>1250</v>
      </c>
      <c r="M530" s="3662">
        <f>SUM(N530:AB530)</f>
        <v>148345.43</v>
      </c>
      <c r="N530" s="3066"/>
      <c r="O530" s="3066"/>
      <c r="P530" s="3066"/>
      <c r="Q530" s="3066"/>
      <c r="R530" s="3066"/>
      <c r="S530" s="3066"/>
      <c r="T530" s="3066"/>
      <c r="U530" s="3066"/>
      <c r="V530" s="3066">
        <v>148345.43</v>
      </c>
      <c r="W530" s="3066"/>
      <c r="X530" s="3066">
        <v>0</v>
      </c>
      <c r="Y530" s="3066"/>
      <c r="Z530" s="3066"/>
      <c r="AA530" s="3066"/>
      <c r="AB530" s="3066"/>
      <c r="AC530" s="3662">
        <v>1</v>
      </c>
      <c r="AD530" s="5684" t="s">
        <v>1251</v>
      </c>
      <c r="AE530" s="5115">
        <v>1</v>
      </c>
      <c r="AF530" s="3662">
        <v>148345.43</v>
      </c>
      <c r="AG530" s="3708"/>
      <c r="AH530" s="3823"/>
      <c r="AI530" s="3662"/>
      <c r="AJ530" s="3662"/>
      <c r="AK530" s="5127"/>
      <c r="AL530" s="3684"/>
      <c r="AM530" s="3662"/>
      <c r="AN530" s="3708"/>
      <c r="AO530" s="3662"/>
      <c r="AP530" s="3684"/>
      <c r="AQ530" s="5127"/>
      <c r="AR530" s="3662"/>
      <c r="AS530" s="5134"/>
      <c r="AT530" s="5127"/>
      <c r="AU530" s="3684">
        <f>SUM(AG530)</f>
        <v>0</v>
      </c>
      <c r="AV530" s="3684">
        <f>SUM(AL530)</f>
        <v>0</v>
      </c>
      <c r="AW530" s="3684">
        <f>SUM(AN530)</f>
        <v>0</v>
      </c>
      <c r="AX530" s="3684">
        <f>M530-AU530</f>
        <v>148345.43</v>
      </c>
      <c r="AY530" s="3684">
        <f>AU530-AV530</f>
        <v>0</v>
      </c>
      <c r="AZ530" s="3684">
        <f>AV530-AW530</f>
        <v>0</v>
      </c>
      <c r="BA530" s="5127"/>
      <c r="BB530" s="3662"/>
      <c r="BC530" s="3662"/>
      <c r="BD530" s="5127"/>
      <c r="BE530" s="5127"/>
      <c r="BF530" s="5127"/>
      <c r="BG530" s="5127"/>
      <c r="BH530" s="3662"/>
      <c r="BI530" s="3708">
        <v>148345.43</v>
      </c>
      <c r="BJ530" s="3662"/>
      <c r="BK530" s="3662"/>
      <c r="BL530" s="3662"/>
      <c r="BM530" s="3662"/>
      <c r="BN530" s="3662"/>
      <c r="BO530" s="5127"/>
      <c r="BP530" s="5127"/>
      <c r="BQ530" s="5127"/>
      <c r="BR530" s="5127"/>
      <c r="BS530" s="5127"/>
      <c r="BT530" s="5127"/>
      <c r="BU530" s="5170"/>
      <c r="BV530" s="5127"/>
      <c r="BW530" s="5127"/>
      <c r="BX530" s="5127"/>
      <c r="BY530" s="5127"/>
      <c r="BZ530" s="5127"/>
      <c r="CA530" s="5127"/>
      <c r="CB530" s="5127"/>
      <c r="CC530" s="3662" t="s">
        <v>197</v>
      </c>
      <c r="CD530" s="3662" t="s">
        <v>154</v>
      </c>
      <c r="CE530" s="5170"/>
      <c r="CF530" s="5170"/>
      <c r="CG530" s="5170"/>
      <c r="CH530" s="5170"/>
    </row>
    <row r="531" s="4972" customFormat="1" ht="60" customHeight="1" spans="1:86">
      <c r="A531" s="2682">
        <v>96</v>
      </c>
      <c r="B531" s="3662" t="s">
        <v>159</v>
      </c>
      <c r="C531" s="3662">
        <v>44382</v>
      </c>
      <c r="D531" s="5055" t="s">
        <v>1252</v>
      </c>
      <c r="E531" s="5055" t="s">
        <v>1253</v>
      </c>
      <c r="F531" s="5053" t="s">
        <v>1254</v>
      </c>
      <c r="G531" s="5053" t="s">
        <v>1255</v>
      </c>
      <c r="H531" s="5053" t="s">
        <v>31</v>
      </c>
      <c r="I531" s="5053"/>
      <c r="J531" s="5055" t="s">
        <v>1171</v>
      </c>
      <c r="K531" s="5053">
        <v>108533.57</v>
      </c>
      <c r="L531" s="5053" t="s">
        <v>1256</v>
      </c>
      <c r="M531" s="3662">
        <f>SUM(N531:AB531)</f>
        <v>542667.85</v>
      </c>
      <c r="N531" s="2682"/>
      <c r="O531" s="2682"/>
      <c r="P531" s="2682"/>
      <c r="Q531" s="2682"/>
      <c r="R531" s="2682"/>
      <c r="S531" s="2682"/>
      <c r="T531" s="2682"/>
      <c r="U531" s="2682">
        <v>542667.85</v>
      </c>
      <c r="V531" s="2682"/>
      <c r="W531" s="2682"/>
      <c r="X531" s="2682">
        <v>0</v>
      </c>
      <c r="Y531" s="2682"/>
      <c r="Z531" s="2682"/>
      <c r="AA531" s="2682"/>
      <c r="AB531" s="2682"/>
      <c r="AC531" s="3662">
        <v>1</v>
      </c>
      <c r="AD531" s="5684" t="s">
        <v>1257</v>
      </c>
      <c r="AE531" s="5115">
        <v>1</v>
      </c>
      <c r="AF531" s="3662">
        <v>542667.85</v>
      </c>
      <c r="AG531" s="3708"/>
      <c r="AH531" s="3823"/>
      <c r="AI531" s="3708"/>
      <c r="AJ531" s="3662"/>
      <c r="AK531" s="5127"/>
      <c r="AL531" s="3684"/>
      <c r="AM531" s="3662"/>
      <c r="AN531" s="3708"/>
      <c r="AO531" s="3662"/>
      <c r="AP531" s="3684"/>
      <c r="AQ531" s="5127"/>
      <c r="AR531" s="3662"/>
      <c r="AS531" s="5134"/>
      <c r="AT531" s="5127"/>
      <c r="AU531" s="3684">
        <f>SUM(AG531)</f>
        <v>0</v>
      </c>
      <c r="AV531" s="3684">
        <f>SUM(AL531)</f>
        <v>0</v>
      </c>
      <c r="AW531" s="3684">
        <f>SUM(AN531)</f>
        <v>0</v>
      </c>
      <c r="AX531" s="3684">
        <f>M531-AU531</f>
        <v>542667.85</v>
      </c>
      <c r="AY531" s="3684">
        <f>AU531-AV531</f>
        <v>0</v>
      </c>
      <c r="AZ531" s="3684">
        <f>AV531-AW531</f>
        <v>0</v>
      </c>
      <c r="BA531" s="5127"/>
      <c r="BB531" s="3662"/>
      <c r="BC531" s="3662"/>
      <c r="BD531" s="5127"/>
      <c r="BE531" s="5127"/>
      <c r="BF531" s="5127"/>
      <c r="BG531" s="5127"/>
      <c r="BH531" s="3708">
        <v>542667.85</v>
      </c>
      <c r="BI531" s="3662"/>
      <c r="BJ531" s="3662"/>
      <c r="BK531" s="3662"/>
      <c r="BL531" s="3662"/>
      <c r="BM531" s="3662"/>
      <c r="BN531" s="3662"/>
      <c r="BO531" s="5127"/>
      <c r="BP531" s="5127"/>
      <c r="BQ531" s="5127"/>
      <c r="BR531" s="5127"/>
      <c r="BS531" s="5127"/>
      <c r="BT531" s="5127"/>
      <c r="BU531" s="5170"/>
      <c r="BV531" s="5127"/>
      <c r="BW531" s="5127"/>
      <c r="BX531" s="5127"/>
      <c r="BY531" s="5127"/>
      <c r="BZ531" s="5127"/>
      <c r="CA531" s="5127"/>
      <c r="CB531" s="5127"/>
      <c r="CC531" s="3662" t="s">
        <v>197</v>
      </c>
      <c r="CD531" s="3662" t="s">
        <v>154</v>
      </c>
      <c r="CE531" s="5170"/>
      <c r="CF531" s="5170"/>
      <c r="CG531" s="5170"/>
      <c r="CH531" s="5170"/>
    </row>
    <row r="532" s="4965" customFormat="1" ht="38.35" customHeight="1" spans="1:86">
      <c r="A532" s="3524">
        <v>97</v>
      </c>
      <c r="B532" s="4087" t="s">
        <v>173</v>
      </c>
      <c r="C532" s="4087">
        <v>44400</v>
      </c>
      <c r="D532" s="3740" t="s">
        <v>201</v>
      </c>
      <c r="E532" s="3740"/>
      <c r="F532" s="5073" t="s">
        <v>1258</v>
      </c>
      <c r="G532" s="3740" t="s">
        <v>1259</v>
      </c>
      <c r="H532" s="3740" t="s">
        <v>813</v>
      </c>
      <c r="I532" s="5073" t="s">
        <v>1260</v>
      </c>
      <c r="J532" s="3742" t="s">
        <v>194</v>
      </c>
      <c r="K532" s="3740" t="s">
        <v>1261</v>
      </c>
      <c r="L532" s="3740">
        <v>81.93</v>
      </c>
      <c r="M532" s="5109">
        <f>SUM(N532:AA535)</f>
        <v>400000</v>
      </c>
      <c r="N532" s="2978"/>
      <c r="O532" s="2978"/>
      <c r="P532" s="2978"/>
      <c r="Q532" s="2978"/>
      <c r="R532" s="2978"/>
      <c r="S532" s="2978">
        <v>88120.1</v>
      </c>
      <c r="T532" s="5763">
        <v>292879.9</v>
      </c>
      <c r="U532" s="2978">
        <v>19000</v>
      </c>
      <c r="V532" s="2978"/>
      <c r="W532" s="2978"/>
      <c r="X532" s="2978">
        <v>0</v>
      </c>
      <c r="Y532" s="2978"/>
      <c r="Z532" s="2978"/>
      <c r="AA532" s="2978"/>
      <c r="AB532" s="2978"/>
      <c r="AC532" s="3524">
        <v>1</v>
      </c>
      <c r="AD532" s="5680" t="s">
        <v>1262</v>
      </c>
      <c r="AE532" s="5117">
        <v>0.2</v>
      </c>
      <c r="AF532" s="3524">
        <f>AE532*M532</f>
        <v>80000</v>
      </c>
      <c r="AG532" s="3812">
        <f>SUM(BA532:BN532)</f>
        <v>80000</v>
      </c>
      <c r="AH532" s="857" t="s">
        <v>122</v>
      </c>
      <c r="AI532" s="3812">
        <v>44551</v>
      </c>
      <c r="AJ532" s="3524">
        <v>80000</v>
      </c>
      <c r="AK532" s="3812">
        <v>44551</v>
      </c>
      <c r="AL532" s="4840">
        <v>160000</v>
      </c>
      <c r="AM532" s="4840">
        <v>45231</v>
      </c>
      <c r="AN532" s="3812">
        <f>SUM(BO532:CB532)</f>
        <v>80000</v>
      </c>
      <c r="AO532" s="4840">
        <v>45257</v>
      </c>
      <c r="AP532" s="3812">
        <f>AG532-AN532</f>
        <v>0</v>
      </c>
      <c r="AQ532" s="5252" t="s">
        <v>1263</v>
      </c>
      <c r="AR532" s="2978"/>
      <c r="AS532" s="5784"/>
      <c r="AT532" s="5785"/>
      <c r="AU532" s="2977">
        <f>SUM(AG532:AG535)</f>
        <v>480000</v>
      </c>
      <c r="AV532" s="2977">
        <f>SUM(AL532:AL535)</f>
        <v>387990.28</v>
      </c>
      <c r="AW532" s="2977">
        <f>SUM(AN532:AN535)</f>
        <v>387990.28</v>
      </c>
      <c r="AX532" s="2977">
        <f>M532-AU532</f>
        <v>-80000</v>
      </c>
      <c r="AY532" s="2977">
        <f>AU532-AV532</f>
        <v>92009.72</v>
      </c>
      <c r="AZ532" s="2977">
        <f>AV532-AW532</f>
        <v>0</v>
      </c>
      <c r="BA532" s="5146"/>
      <c r="BB532" s="3812"/>
      <c r="BC532" s="3812"/>
      <c r="BD532" s="5146"/>
      <c r="BE532" s="5146"/>
      <c r="BF532" s="5146"/>
      <c r="BG532" s="5146">
        <v>80000</v>
      </c>
      <c r="BH532" s="3812"/>
      <c r="BI532" s="3812"/>
      <c r="BJ532" s="3812"/>
      <c r="BK532" s="3812"/>
      <c r="BL532" s="3812"/>
      <c r="BM532" s="3812"/>
      <c r="BN532" s="3812"/>
      <c r="BO532" s="5122"/>
      <c r="BP532" s="5122"/>
      <c r="BQ532" s="5122"/>
      <c r="BR532" s="5122"/>
      <c r="BS532" s="5122"/>
      <c r="BT532" s="3812"/>
      <c r="BU532" s="5169"/>
      <c r="BV532" s="5122"/>
      <c r="BW532" s="5122"/>
      <c r="BX532" s="5122"/>
      <c r="BY532" s="5122"/>
      <c r="BZ532" s="3812">
        <v>80000</v>
      </c>
      <c r="CA532" s="3812"/>
      <c r="CB532" s="5122"/>
      <c r="CC532" s="3524" t="s">
        <v>197</v>
      </c>
      <c r="CD532" s="3524" t="s">
        <v>154</v>
      </c>
      <c r="CE532" s="5169"/>
      <c r="CF532" s="5169"/>
      <c r="CG532" s="5169"/>
      <c r="CH532" s="5169"/>
    </row>
    <row r="533" s="4965" customFormat="1" ht="35.85" customHeight="1" spans="1:86">
      <c r="A533" s="3524"/>
      <c r="B533" s="4088"/>
      <c r="C533" s="4088"/>
      <c r="D533" s="3669"/>
      <c r="E533" s="3669"/>
      <c r="F533" s="5205"/>
      <c r="G533" s="3669"/>
      <c r="H533" s="3669"/>
      <c r="I533" s="5074"/>
      <c r="J533" s="3742"/>
      <c r="K533" s="3669"/>
      <c r="L533" s="3669"/>
      <c r="M533" s="5760"/>
      <c r="N533" s="2978"/>
      <c r="O533" s="2978"/>
      <c r="P533" s="2978"/>
      <c r="Q533" s="2978"/>
      <c r="R533" s="2978"/>
      <c r="S533" s="2978"/>
      <c r="T533" s="2978"/>
      <c r="U533" s="2978"/>
      <c r="V533" s="2978"/>
      <c r="W533" s="2978"/>
      <c r="X533" s="2978"/>
      <c r="Y533" s="2978"/>
      <c r="Z533" s="2978"/>
      <c r="AA533" s="2978"/>
      <c r="AB533" s="2978"/>
      <c r="AC533" s="3524">
        <v>2</v>
      </c>
      <c r="AD533" s="5680" t="s">
        <v>1234</v>
      </c>
      <c r="AE533" s="5117">
        <v>0.2</v>
      </c>
      <c r="AF533" s="3524">
        <f>AE533*M532</f>
        <v>80000</v>
      </c>
      <c r="AG533" s="3812">
        <f>SUM(BA533:BN533)</f>
        <v>80000</v>
      </c>
      <c r="AH533" s="857" t="s">
        <v>122</v>
      </c>
      <c r="AI533" s="3812">
        <v>44551</v>
      </c>
      <c r="AJ533" s="3524">
        <v>80000</v>
      </c>
      <c r="AK533" s="3812">
        <v>44551</v>
      </c>
      <c r="AL533" s="4842"/>
      <c r="AM533" s="4842"/>
      <c r="AN533" s="3812">
        <f>SUM(BO533:CB533)</f>
        <v>80000</v>
      </c>
      <c r="AO533" s="4842">
        <v>45257</v>
      </c>
      <c r="AP533" s="3812">
        <f>AG533-AN533</f>
        <v>0</v>
      </c>
      <c r="AQ533" s="5252" t="s">
        <v>1263</v>
      </c>
      <c r="AR533" s="2978"/>
      <c r="AS533" s="5784"/>
      <c r="AT533" s="5785"/>
      <c r="AU533" s="2977"/>
      <c r="AV533" s="2977"/>
      <c r="AW533" s="2977"/>
      <c r="AX533" s="2977"/>
      <c r="AY533" s="2977"/>
      <c r="AZ533" s="2977"/>
      <c r="BA533" s="5146"/>
      <c r="BB533" s="3812"/>
      <c r="BC533" s="3812"/>
      <c r="BD533" s="5146"/>
      <c r="BE533" s="5146"/>
      <c r="BF533" s="5146">
        <v>35248.04</v>
      </c>
      <c r="BG533" s="5146">
        <v>44751.96</v>
      </c>
      <c r="BH533" s="3812"/>
      <c r="BI533" s="3812"/>
      <c r="BJ533" s="3812"/>
      <c r="BK533" s="3812"/>
      <c r="BL533" s="3812"/>
      <c r="BM533" s="3812"/>
      <c r="BN533" s="3812"/>
      <c r="BO533" s="5122"/>
      <c r="BP533" s="5122"/>
      <c r="BQ533" s="5122"/>
      <c r="BR533" s="5122"/>
      <c r="BS533" s="5122"/>
      <c r="BT533" s="3812">
        <v>35248.04</v>
      </c>
      <c r="BU533" s="5169"/>
      <c r="BV533" s="5122"/>
      <c r="BW533" s="5122"/>
      <c r="BX533" s="5122"/>
      <c r="BY533" s="5122"/>
      <c r="BZ533" s="3812">
        <v>44751.96</v>
      </c>
      <c r="CA533" s="3812"/>
      <c r="CB533" s="5122"/>
      <c r="CC533" s="3524"/>
      <c r="CD533" s="3524"/>
      <c r="CE533" s="5169"/>
      <c r="CF533" s="5169"/>
      <c r="CG533" s="5169"/>
      <c r="CH533" s="5169"/>
    </row>
    <row r="534" s="4965" customFormat="1" ht="37.5" customHeight="1" spans="1:86">
      <c r="A534" s="3524"/>
      <c r="B534" s="4088"/>
      <c r="C534" s="4088"/>
      <c r="D534" s="3669"/>
      <c r="E534" s="3669"/>
      <c r="F534" s="5205"/>
      <c r="G534" s="3669"/>
      <c r="H534" s="3669"/>
      <c r="I534" s="5074"/>
      <c r="J534" s="3742"/>
      <c r="K534" s="3669"/>
      <c r="L534" s="3669"/>
      <c r="M534" s="5760"/>
      <c r="N534" s="2978"/>
      <c r="O534" s="2978"/>
      <c r="P534" s="2978"/>
      <c r="Q534" s="2978"/>
      <c r="R534" s="2978"/>
      <c r="S534" s="2978"/>
      <c r="T534" s="2978"/>
      <c r="U534" s="2978"/>
      <c r="V534" s="2978"/>
      <c r="W534" s="2978"/>
      <c r="X534" s="2978"/>
      <c r="Y534" s="2978"/>
      <c r="Z534" s="2978"/>
      <c r="AA534" s="2978"/>
      <c r="AB534" s="2978"/>
      <c r="AC534" s="3524">
        <v>3</v>
      </c>
      <c r="AD534" s="5680" t="s">
        <v>1235</v>
      </c>
      <c r="AE534" s="5117">
        <v>0.4</v>
      </c>
      <c r="AF534" s="3524">
        <f>AE534*M532</f>
        <v>160000</v>
      </c>
      <c r="AG534" s="3812">
        <f>SUM(BA534:BN534)</f>
        <v>160000</v>
      </c>
      <c r="AH534" s="857" t="s">
        <v>122</v>
      </c>
      <c r="AI534" s="3812">
        <v>44879</v>
      </c>
      <c r="AJ534" s="3812">
        <v>160000</v>
      </c>
      <c r="AK534" s="3812">
        <v>44879</v>
      </c>
      <c r="AL534" s="4813">
        <v>160000</v>
      </c>
      <c r="AM534" s="5777">
        <v>45799</v>
      </c>
      <c r="AN534" s="4813">
        <f>SUM(BO534:CB534)</f>
        <v>160000</v>
      </c>
      <c r="AO534" s="4813">
        <v>46021</v>
      </c>
      <c r="AP534" s="3812">
        <f>AG534-AN534</f>
        <v>0</v>
      </c>
      <c r="AQ534" s="5135" t="s">
        <v>209</v>
      </c>
      <c r="AR534" s="2978"/>
      <c r="AS534" s="5784"/>
      <c r="AT534" s="5785"/>
      <c r="AU534" s="2977"/>
      <c r="AV534" s="2977"/>
      <c r="AW534" s="2977"/>
      <c r="AX534" s="2977"/>
      <c r="AY534" s="2977"/>
      <c r="AZ534" s="2977"/>
      <c r="BA534" s="5146"/>
      <c r="BB534" s="3812"/>
      <c r="BC534" s="3812"/>
      <c r="BD534" s="5146"/>
      <c r="BE534" s="5146"/>
      <c r="BF534" s="5797">
        <v>35248.04</v>
      </c>
      <c r="BG534" s="5797">
        <v>109551.96</v>
      </c>
      <c r="BH534" s="5201">
        <v>15200</v>
      </c>
      <c r="BI534" s="3812"/>
      <c r="BJ534" s="3812"/>
      <c r="BK534" s="3812"/>
      <c r="BL534" s="3812"/>
      <c r="BM534" s="3812"/>
      <c r="BN534" s="3812"/>
      <c r="BO534" s="5122"/>
      <c r="BP534" s="5122"/>
      <c r="BQ534" s="5122"/>
      <c r="BR534" s="5122"/>
      <c r="BS534" s="5122"/>
      <c r="BT534" s="5123">
        <v>35248.04</v>
      </c>
      <c r="BU534" s="5751"/>
      <c r="BV534" s="5123">
        <v>15200</v>
      </c>
      <c r="BW534" s="5160"/>
      <c r="BX534" s="5160"/>
      <c r="BY534" s="5160"/>
      <c r="BZ534" s="5123">
        <v>109551.96</v>
      </c>
      <c r="CA534" s="3812"/>
      <c r="CB534" s="5122"/>
      <c r="CC534" s="3524"/>
      <c r="CD534" s="3524"/>
      <c r="CE534" s="5169"/>
      <c r="CF534" s="5169"/>
      <c r="CG534" s="5169"/>
      <c r="CH534" s="5169"/>
    </row>
    <row r="535" s="4965" customFormat="1" ht="37.5" customHeight="1" spans="1:86">
      <c r="A535" s="3524"/>
      <c r="B535" s="4088"/>
      <c r="C535" s="4088"/>
      <c r="D535" s="3669"/>
      <c r="E535" s="3669"/>
      <c r="F535" s="5205"/>
      <c r="G535" s="3669"/>
      <c r="H535" s="3669"/>
      <c r="I535" s="5074"/>
      <c r="J535" s="3742"/>
      <c r="K535" s="3669"/>
      <c r="L535" s="3669"/>
      <c r="M535" s="5760"/>
      <c r="N535" s="2978"/>
      <c r="O535" s="2978"/>
      <c r="P535" s="2978"/>
      <c r="Q535" s="2978"/>
      <c r="R535" s="2978"/>
      <c r="S535" s="2978"/>
      <c r="T535" s="2978"/>
      <c r="U535" s="2978"/>
      <c r="V535" s="2978"/>
      <c r="W535" s="2978"/>
      <c r="X535" s="2978"/>
      <c r="Y535" s="2978"/>
      <c r="Z535" s="2978"/>
      <c r="AA535" s="2978"/>
      <c r="AB535" s="2978"/>
      <c r="AC535" s="3524">
        <v>4</v>
      </c>
      <c r="AD535" s="5680" t="s">
        <v>1264</v>
      </c>
      <c r="AE535" s="5117">
        <v>0.2</v>
      </c>
      <c r="AF535" s="3524">
        <f>AE535*M532</f>
        <v>80000</v>
      </c>
      <c r="AG535" s="3812">
        <f>SUM(BA535:BN535)</f>
        <v>160000</v>
      </c>
      <c r="AH535" s="857" t="s">
        <v>122</v>
      </c>
      <c r="AI535" s="3524">
        <v>45287</v>
      </c>
      <c r="AJ535" s="3524">
        <v>160000</v>
      </c>
      <c r="AK535" s="3524">
        <v>45287</v>
      </c>
      <c r="AL535" s="4813">
        <v>67990.28</v>
      </c>
      <c r="AM535" s="5777">
        <v>45799</v>
      </c>
      <c r="AN535" s="4813">
        <f>SUM(BO535:CB535)</f>
        <v>67990.28</v>
      </c>
      <c r="AO535" s="4813">
        <v>46021</v>
      </c>
      <c r="AP535" s="3812">
        <f>AG535-AN535</f>
        <v>92009.72</v>
      </c>
      <c r="AQ535" s="5135" t="s">
        <v>209</v>
      </c>
      <c r="AR535" s="2978"/>
      <c r="AS535" s="5784"/>
      <c r="AT535" s="5785"/>
      <c r="AU535" s="2977"/>
      <c r="AV535" s="2977"/>
      <c r="AW535" s="2977"/>
      <c r="AX535" s="2977"/>
      <c r="AY535" s="2977"/>
      <c r="AZ535" s="2977"/>
      <c r="BA535" s="5122"/>
      <c r="BB535" s="3524"/>
      <c r="BC535" s="3524"/>
      <c r="BD535" s="5122"/>
      <c r="BE535" s="5122"/>
      <c r="BF535" s="3524">
        <v>68800</v>
      </c>
      <c r="BG535" s="3524">
        <v>91200</v>
      </c>
      <c r="BH535" s="3524"/>
      <c r="BI535" s="3524"/>
      <c r="BJ535" s="3524"/>
      <c r="BK535" s="3524"/>
      <c r="BL535" s="3524"/>
      <c r="BM535" s="3524"/>
      <c r="BN535" s="3524"/>
      <c r="BO535" s="5122"/>
      <c r="BP535" s="5122"/>
      <c r="BQ535" s="5122"/>
      <c r="BR535" s="5122"/>
      <c r="BS535" s="5122"/>
      <c r="BT535" s="5123">
        <v>29235.82</v>
      </c>
      <c r="BU535" s="5751"/>
      <c r="BV535" s="5160"/>
      <c r="BW535" s="5160"/>
      <c r="BX535" s="5160"/>
      <c r="BY535" s="5160"/>
      <c r="BZ535" s="5123">
        <v>38754.46</v>
      </c>
      <c r="CA535" s="3524"/>
      <c r="CB535" s="5122"/>
      <c r="CC535" s="3524"/>
      <c r="CD535" s="3524"/>
      <c r="CE535" s="5169"/>
      <c r="CF535" s="5169"/>
      <c r="CG535" s="5169"/>
      <c r="CH535" s="5169"/>
    </row>
    <row r="536" s="4965" customFormat="1" ht="37.5" customHeight="1" spans="1:86">
      <c r="A536" s="3524"/>
      <c r="B536" s="4088"/>
      <c r="C536" s="4088"/>
      <c r="D536" s="3669"/>
      <c r="E536" s="3669"/>
      <c r="F536" s="5205"/>
      <c r="G536" s="3669"/>
      <c r="H536" s="3669"/>
      <c r="I536" s="5074"/>
      <c r="J536" s="3742"/>
      <c r="K536" s="3669"/>
      <c r="L536" s="3669"/>
      <c r="M536" s="5760"/>
      <c r="N536" s="2978"/>
      <c r="O536" s="2978"/>
      <c r="P536" s="2978"/>
      <c r="Q536" s="2978"/>
      <c r="R536" s="2978"/>
      <c r="S536" s="2978"/>
      <c r="T536" s="2978"/>
      <c r="U536" s="2978"/>
      <c r="V536" s="2978"/>
      <c r="W536" s="2978"/>
      <c r="X536" s="2978"/>
      <c r="Y536" s="2978"/>
      <c r="Z536" s="2978"/>
      <c r="AA536" s="2978"/>
      <c r="AB536" s="2978"/>
      <c r="AC536" s="3524">
        <v>5</v>
      </c>
      <c r="AD536" s="5680"/>
      <c r="AE536" s="5117"/>
      <c r="AF536" s="3524"/>
      <c r="AG536" s="3812">
        <f>SUM(BA536:BN536)</f>
        <v>-80000</v>
      </c>
      <c r="AH536" s="857"/>
      <c r="AI536" s="3524"/>
      <c r="AJ536" s="3812">
        <f>SUM(BD536:BQ536)</f>
        <v>-80000</v>
      </c>
      <c r="AK536" s="3524"/>
      <c r="AL536" s="4813"/>
      <c r="AM536" s="4813"/>
      <c r="AN536" s="4813"/>
      <c r="AO536" s="3524"/>
      <c r="AP536" s="3812"/>
      <c r="AQ536" s="5122"/>
      <c r="AR536" s="2978"/>
      <c r="AS536" s="5784"/>
      <c r="AT536" s="5785"/>
      <c r="AU536" s="2977"/>
      <c r="AV536" s="2977"/>
      <c r="AW536" s="2977"/>
      <c r="AX536" s="2977"/>
      <c r="AY536" s="2977"/>
      <c r="AZ536" s="2977"/>
      <c r="BA536" s="5122"/>
      <c r="BB536" s="3524"/>
      <c r="BC536" s="3524"/>
      <c r="BD536" s="5122"/>
      <c r="BE536" s="5122"/>
      <c r="BF536" s="3812">
        <v>-34400</v>
      </c>
      <c r="BG536" s="3812">
        <v>-45600</v>
      </c>
      <c r="BH536" s="3524"/>
      <c r="BI536" s="3524"/>
      <c r="BJ536" s="3524"/>
      <c r="BK536" s="3524"/>
      <c r="BL536" s="3524"/>
      <c r="BM536" s="3524"/>
      <c r="BN536" s="3524"/>
      <c r="BO536" s="5122"/>
      <c r="BP536" s="5122"/>
      <c r="BQ536" s="5122"/>
      <c r="BR536" s="5122"/>
      <c r="BS536" s="5122"/>
      <c r="BT536" s="5123"/>
      <c r="BU536" s="5160"/>
      <c r="BV536" s="5160"/>
      <c r="BW536" s="5160"/>
      <c r="BX536" s="5160"/>
      <c r="BY536" s="5160"/>
      <c r="BZ536" s="5123"/>
      <c r="CA536" s="3524"/>
      <c r="CB536" s="5122"/>
      <c r="CC536" s="3524"/>
      <c r="CD536" s="3524"/>
      <c r="CE536" s="5169"/>
      <c r="CF536" s="5169"/>
      <c r="CG536" s="5169"/>
      <c r="CH536" s="5169"/>
    </row>
    <row r="537" s="4965" customFormat="1" ht="49.7" customHeight="1" spans="1:86">
      <c r="A537" s="3524"/>
      <c r="B537" s="4903"/>
      <c r="C537" s="4903"/>
      <c r="D537" s="3741"/>
      <c r="E537" s="3741"/>
      <c r="F537" s="5206"/>
      <c r="G537" s="3741"/>
      <c r="H537" s="3741"/>
      <c r="I537" s="5075"/>
      <c r="J537" s="3742"/>
      <c r="K537" s="3741"/>
      <c r="L537" s="3741"/>
      <c r="M537" s="5111"/>
      <c r="N537" s="2967"/>
      <c r="O537" s="2967"/>
      <c r="P537" s="2967"/>
      <c r="Q537" s="2967"/>
      <c r="R537" s="2967"/>
      <c r="S537" s="2967"/>
      <c r="T537" s="2967"/>
      <c r="U537" s="2967"/>
      <c r="V537" s="2967"/>
      <c r="W537" s="2967"/>
      <c r="X537" s="2967"/>
      <c r="Y537" s="2967"/>
      <c r="Z537" s="2967"/>
      <c r="AA537" s="2967"/>
      <c r="AB537" s="2967"/>
      <c r="AC537" s="3524">
        <v>6</v>
      </c>
      <c r="AD537" s="5680"/>
      <c r="AE537" s="5117"/>
      <c r="AF537" s="3524"/>
      <c r="AG537" s="3812">
        <f t="shared" ref="AG537:AG542" si="115">SUM(BA537:BN537)</f>
        <v>-12009.72</v>
      </c>
      <c r="AH537" s="3812"/>
      <c r="AI537" s="3812"/>
      <c r="AJ537" s="3812">
        <f>SUM(BD537:BQ537)</f>
        <v>-12009.72</v>
      </c>
      <c r="AK537" s="3812"/>
      <c r="AL537" s="4813"/>
      <c r="AM537" s="4813"/>
      <c r="AN537" s="3812"/>
      <c r="AO537" s="3524"/>
      <c r="AP537" s="3812"/>
      <c r="AQ537" s="5137"/>
      <c r="AR537" s="857"/>
      <c r="AS537" s="5137"/>
      <c r="AT537" s="5122"/>
      <c r="AU537" s="3684"/>
      <c r="AV537" s="3684"/>
      <c r="AW537" s="3684"/>
      <c r="AX537" s="3684"/>
      <c r="AY537" s="3684"/>
      <c r="AZ537" s="3684"/>
      <c r="BA537" s="5146"/>
      <c r="BB537" s="3812"/>
      <c r="BC537" s="3812"/>
      <c r="BD537" s="5146"/>
      <c r="BE537" s="5146"/>
      <c r="BF537" s="3812">
        <v>-5164.18</v>
      </c>
      <c r="BG537" s="3812">
        <v>-6845.54</v>
      </c>
      <c r="BH537" s="3812"/>
      <c r="BI537" s="3812"/>
      <c r="BJ537" s="3812"/>
      <c r="BK537" s="3812"/>
      <c r="BL537" s="3812"/>
      <c r="BM537" s="3812"/>
      <c r="BN537" s="3812"/>
      <c r="BO537" s="5122"/>
      <c r="BP537" s="5122"/>
      <c r="BQ537" s="5122"/>
      <c r="BR537" s="5122"/>
      <c r="BS537" s="5122"/>
      <c r="BT537" s="5123"/>
      <c r="BU537" s="5123"/>
      <c r="BV537" s="5160"/>
      <c r="BW537" s="5160"/>
      <c r="BX537" s="5160"/>
      <c r="BY537" s="5160"/>
      <c r="BZ537" s="5123"/>
      <c r="CA537" s="3524"/>
      <c r="CB537" s="5122"/>
      <c r="CC537" s="3524"/>
      <c r="CD537" s="3524"/>
      <c r="CE537" s="5169"/>
      <c r="CF537" s="5169"/>
      <c r="CG537" s="5169"/>
      <c r="CH537" s="5169"/>
    </row>
    <row r="538" s="4972" customFormat="1" ht="49.7" customHeight="1" spans="1:86">
      <c r="A538" s="3662">
        <v>98</v>
      </c>
      <c r="B538" s="3662" t="s">
        <v>173</v>
      </c>
      <c r="C538" s="3662">
        <v>43203</v>
      </c>
      <c r="D538" s="5053" t="s">
        <v>1265</v>
      </c>
      <c r="E538" s="5053"/>
      <c r="F538" s="5053" t="s">
        <v>1266</v>
      </c>
      <c r="G538" s="5053" t="s">
        <v>1267</v>
      </c>
      <c r="H538" s="5053" t="s">
        <v>286</v>
      </c>
      <c r="I538" s="5053"/>
      <c r="J538" s="5053" t="s">
        <v>1268</v>
      </c>
      <c r="K538" s="5053"/>
      <c r="L538" s="5053"/>
      <c r="M538" s="3662">
        <v>440000</v>
      </c>
      <c r="N538" s="2967"/>
      <c r="O538" s="2967"/>
      <c r="P538" s="2967">
        <v>440000</v>
      </c>
      <c r="Q538" s="2967"/>
      <c r="R538" s="2967"/>
      <c r="S538" s="2967"/>
      <c r="T538" s="2967"/>
      <c r="U538" s="2967"/>
      <c r="V538" s="2967"/>
      <c r="W538" s="2967"/>
      <c r="X538" s="2967">
        <v>0</v>
      </c>
      <c r="Y538" s="2967"/>
      <c r="Z538" s="2967"/>
      <c r="AA538" s="2967"/>
      <c r="AB538" s="2967"/>
      <c r="AC538" s="3662">
        <v>1</v>
      </c>
      <c r="AD538" s="5684" t="s">
        <v>1269</v>
      </c>
      <c r="AE538" s="5115">
        <v>1</v>
      </c>
      <c r="AF538" s="3662">
        <v>150000</v>
      </c>
      <c r="AG538" s="3684">
        <f t="shared" si="115"/>
        <v>300000</v>
      </c>
      <c r="AH538" s="3684" t="s">
        <v>409</v>
      </c>
      <c r="AI538" s="3684">
        <v>44418</v>
      </c>
      <c r="AJ538" s="3684">
        <v>300000</v>
      </c>
      <c r="AK538" s="3684">
        <v>44418</v>
      </c>
      <c r="AL538" s="3684">
        <v>300000</v>
      </c>
      <c r="AM538" s="3684">
        <v>44418</v>
      </c>
      <c r="AN538" s="3684">
        <f t="shared" ref="AN538:AN569" si="116">SUM(BO538:CB538)</f>
        <v>300000</v>
      </c>
      <c r="AO538" s="3662">
        <v>44428</v>
      </c>
      <c r="AP538" s="3684">
        <f t="shared" ref="AP538:AP547" si="117">AG538-AN538</f>
        <v>0</v>
      </c>
      <c r="AQ538" s="5134"/>
      <c r="AR538" s="3814" t="s">
        <v>128</v>
      </c>
      <c r="AS538" s="5134"/>
      <c r="AT538" s="5127"/>
      <c r="AU538" s="3684">
        <f>SUM(AG538:AG540)</f>
        <v>300000</v>
      </c>
      <c r="AV538" s="3684">
        <f>SUM(AL538:AL540)</f>
        <v>300000</v>
      </c>
      <c r="AW538" s="3684">
        <f>SUM(AN538:AN540)</f>
        <v>300000</v>
      </c>
      <c r="AX538" s="3684">
        <f>M538-AU538</f>
        <v>140000</v>
      </c>
      <c r="AY538" s="3684">
        <f>AU538-AV538</f>
        <v>0</v>
      </c>
      <c r="AZ538" s="3684">
        <f>AV538-AW538</f>
        <v>0</v>
      </c>
      <c r="BA538" s="5148"/>
      <c r="BB538" s="3684"/>
      <c r="BC538" s="3684">
        <v>150000</v>
      </c>
      <c r="BD538" s="5148"/>
      <c r="BE538" s="5148">
        <v>150000</v>
      </c>
      <c r="BF538" s="5148"/>
      <c r="BG538" s="5148"/>
      <c r="BH538" s="3684"/>
      <c r="BI538" s="3684"/>
      <c r="BJ538" s="3684"/>
      <c r="BK538" s="3684"/>
      <c r="BL538" s="3684"/>
      <c r="BM538" s="3684"/>
      <c r="BN538" s="3684"/>
      <c r="BO538" s="5127"/>
      <c r="BP538" s="5127"/>
      <c r="BQ538" s="5127">
        <v>150000</v>
      </c>
      <c r="BR538" s="5127"/>
      <c r="BS538" s="5127">
        <v>150000</v>
      </c>
      <c r="BT538" s="5127"/>
      <c r="BU538" s="5127"/>
      <c r="BV538" s="5127"/>
      <c r="BW538" s="5127"/>
      <c r="BX538" s="5127"/>
      <c r="BY538" s="5127"/>
      <c r="BZ538" s="5127"/>
      <c r="CA538" s="5127"/>
      <c r="CB538" s="5127"/>
      <c r="CC538" s="3662"/>
      <c r="CD538" s="3662"/>
      <c r="CE538" s="5170"/>
      <c r="CF538" s="5170"/>
      <c r="CG538" s="5170"/>
      <c r="CH538" s="5170"/>
    </row>
    <row r="539" s="4972" customFormat="1" ht="47.8" customHeight="1" spans="1:86">
      <c r="A539" s="3662"/>
      <c r="B539" s="3662"/>
      <c r="C539" s="3662"/>
      <c r="D539" s="5053"/>
      <c r="E539" s="5053"/>
      <c r="F539" s="5053"/>
      <c r="G539" s="5053"/>
      <c r="H539" s="5053"/>
      <c r="I539" s="5053"/>
      <c r="J539" s="5053"/>
      <c r="K539" s="5053"/>
      <c r="L539" s="5053"/>
      <c r="M539" s="3662"/>
      <c r="N539" s="2967"/>
      <c r="O539" s="2967"/>
      <c r="P539" s="2967"/>
      <c r="Q539" s="2967"/>
      <c r="R539" s="2967"/>
      <c r="S539" s="2967"/>
      <c r="T539" s="2967"/>
      <c r="U539" s="2967"/>
      <c r="V539" s="2967"/>
      <c r="W539" s="2967"/>
      <c r="X539" s="2967"/>
      <c r="Y539" s="2967"/>
      <c r="Z539" s="2967"/>
      <c r="AA539" s="2967"/>
      <c r="AB539" s="2967"/>
      <c r="AC539" s="3662">
        <v>2</v>
      </c>
      <c r="AD539" s="5684" t="s">
        <v>1270</v>
      </c>
      <c r="AE539" s="5115">
        <v>0.5</v>
      </c>
      <c r="AF539" s="3662">
        <v>145000</v>
      </c>
      <c r="AG539" s="3708">
        <f t="shared" si="115"/>
        <v>0</v>
      </c>
      <c r="AH539" s="3662"/>
      <c r="AI539" s="3662"/>
      <c r="AJ539" s="3662"/>
      <c r="AK539" s="5127"/>
      <c r="AL539" s="3684"/>
      <c r="AM539" s="3662"/>
      <c r="AN539" s="3708">
        <f t="shared" si="116"/>
        <v>0</v>
      </c>
      <c r="AO539" s="3662"/>
      <c r="AP539" s="3684">
        <f t="shared" si="117"/>
        <v>0</v>
      </c>
      <c r="AQ539" s="5127"/>
      <c r="AR539" s="3662"/>
      <c r="AS539" s="5134"/>
      <c r="AT539" s="5127"/>
      <c r="AU539" s="3684"/>
      <c r="AV539" s="3684"/>
      <c r="AW539" s="3684"/>
      <c r="AX539" s="3684"/>
      <c r="AY539" s="3684"/>
      <c r="AZ539" s="3684"/>
      <c r="BA539" s="5127"/>
      <c r="BB539" s="3662"/>
      <c r="BC539" s="3662"/>
      <c r="BD539" s="5127"/>
      <c r="BE539" s="5127"/>
      <c r="BF539" s="5127"/>
      <c r="BG539" s="5127"/>
      <c r="BH539" s="3662"/>
      <c r="BI539" s="3662"/>
      <c r="BJ539" s="3662"/>
      <c r="BK539" s="3662"/>
      <c r="BL539" s="3662"/>
      <c r="BM539" s="3662"/>
      <c r="BN539" s="3662"/>
      <c r="BO539" s="5127"/>
      <c r="BP539" s="5127"/>
      <c r="BQ539" s="5127"/>
      <c r="BR539" s="5127"/>
      <c r="BS539" s="5127"/>
      <c r="BT539" s="5127"/>
      <c r="BU539" s="5127"/>
      <c r="BV539" s="5127"/>
      <c r="BW539" s="5127"/>
      <c r="BX539" s="5127"/>
      <c r="BY539" s="5127"/>
      <c r="BZ539" s="5127"/>
      <c r="CA539" s="5127"/>
      <c r="CB539" s="5127"/>
      <c r="CC539" s="3662"/>
      <c r="CD539" s="3662"/>
      <c r="CE539" s="5170"/>
      <c r="CF539" s="5170"/>
      <c r="CG539" s="5170"/>
      <c r="CH539" s="5170"/>
    </row>
    <row r="540" s="4972" customFormat="1" ht="43.15" customHeight="1" spans="1:86">
      <c r="A540" s="3662"/>
      <c r="B540" s="3662"/>
      <c r="C540" s="3662"/>
      <c r="D540" s="5053"/>
      <c r="E540" s="5053"/>
      <c r="F540" s="5053"/>
      <c r="G540" s="5053"/>
      <c r="H540" s="5053"/>
      <c r="I540" s="5053"/>
      <c r="J540" s="5053"/>
      <c r="K540" s="5053"/>
      <c r="L540" s="5053"/>
      <c r="M540" s="3662"/>
      <c r="N540" s="2967"/>
      <c r="O540" s="2967"/>
      <c r="P540" s="2967"/>
      <c r="Q540" s="2967"/>
      <c r="R540" s="2967"/>
      <c r="S540" s="2967"/>
      <c r="T540" s="2967"/>
      <c r="U540" s="2967"/>
      <c r="V540" s="2967"/>
      <c r="W540" s="2967"/>
      <c r="X540" s="2967"/>
      <c r="Y540" s="2967"/>
      <c r="Z540" s="2967"/>
      <c r="AA540" s="2967"/>
      <c r="AB540" s="2967"/>
      <c r="AC540" s="3662"/>
      <c r="AD540" s="5768" t="s">
        <v>1271</v>
      </c>
      <c r="AE540" s="5115">
        <v>0.5</v>
      </c>
      <c r="AF540" s="3662">
        <v>145000</v>
      </c>
      <c r="AG540" s="3708">
        <f t="shared" si="115"/>
        <v>0</v>
      </c>
      <c r="AH540" s="3662"/>
      <c r="AI540" s="3662"/>
      <c r="AJ540" s="3662"/>
      <c r="AK540" s="5127"/>
      <c r="AL540" s="3684"/>
      <c r="AM540" s="3662"/>
      <c r="AN540" s="3708">
        <f t="shared" si="116"/>
        <v>0</v>
      </c>
      <c r="AO540" s="3662"/>
      <c r="AP540" s="3684">
        <f t="shared" si="117"/>
        <v>0</v>
      </c>
      <c r="AQ540" s="5127"/>
      <c r="AR540" s="3662"/>
      <c r="AS540" s="5134"/>
      <c r="AT540" s="5127"/>
      <c r="AU540" s="3684"/>
      <c r="AV540" s="3684"/>
      <c r="AW540" s="3684"/>
      <c r="AX540" s="3684"/>
      <c r="AY540" s="3684"/>
      <c r="AZ540" s="3684"/>
      <c r="BA540" s="5127"/>
      <c r="BB540" s="3662"/>
      <c r="BC540" s="3662"/>
      <c r="BD540" s="5127"/>
      <c r="BE540" s="5127"/>
      <c r="BF540" s="5127"/>
      <c r="BG540" s="5127"/>
      <c r="BH540" s="3662"/>
      <c r="BI540" s="3662"/>
      <c r="BJ540" s="3662"/>
      <c r="BK540" s="3662"/>
      <c r="BL540" s="3662"/>
      <c r="BM540" s="3662"/>
      <c r="BN540" s="3662"/>
      <c r="BO540" s="5127"/>
      <c r="BP540" s="5127"/>
      <c r="BQ540" s="5127"/>
      <c r="BR540" s="5127"/>
      <c r="BS540" s="5127"/>
      <c r="BT540" s="5127"/>
      <c r="BU540" s="5127"/>
      <c r="BV540" s="5127"/>
      <c r="BW540" s="5127"/>
      <c r="BX540" s="5127"/>
      <c r="BY540" s="5127"/>
      <c r="BZ540" s="5127"/>
      <c r="CA540" s="5127"/>
      <c r="CB540" s="5127"/>
      <c r="CC540" s="3662"/>
      <c r="CD540" s="3662"/>
      <c r="CE540" s="5170"/>
      <c r="CF540" s="5170"/>
      <c r="CG540" s="5170"/>
      <c r="CH540" s="5170"/>
    </row>
    <row r="541" s="4965" customFormat="1" ht="31.65" customHeight="1" spans="1:86">
      <c r="A541" s="3524">
        <v>99</v>
      </c>
      <c r="B541" s="3524" t="s">
        <v>173</v>
      </c>
      <c r="C541" s="3524">
        <v>44441</v>
      </c>
      <c r="D541" s="1032" t="s">
        <v>1272</v>
      </c>
      <c r="E541" s="3742" t="s">
        <v>1273</v>
      </c>
      <c r="F541" s="1032" t="s">
        <v>1274</v>
      </c>
      <c r="G541" s="3742" t="s">
        <v>1275</v>
      </c>
      <c r="H541" s="3742" t="s">
        <v>1102</v>
      </c>
      <c r="I541" s="5214"/>
      <c r="J541" s="3742" t="s">
        <v>185</v>
      </c>
      <c r="K541" s="1032" t="s">
        <v>1276</v>
      </c>
      <c r="L541" s="3742" t="s">
        <v>1277</v>
      </c>
      <c r="M541" s="3524">
        <f>P541+U541+AA541</f>
        <v>3414035.14</v>
      </c>
      <c r="N541" s="5761"/>
      <c r="O541" s="5761"/>
      <c r="P541" s="5761">
        <v>2519557.93</v>
      </c>
      <c r="Q541" s="5761"/>
      <c r="R541" s="5761"/>
      <c r="S541" s="5761"/>
      <c r="T541" s="5761"/>
      <c r="U541" s="5761">
        <v>867758.67</v>
      </c>
      <c r="V541" s="5761"/>
      <c r="W541" s="5761"/>
      <c r="X541" s="5761">
        <v>0</v>
      </c>
      <c r="Y541" s="5764"/>
      <c r="Z541" s="5764"/>
      <c r="AA541" s="5761">
        <v>26718.54</v>
      </c>
      <c r="AB541" s="5761"/>
      <c r="AC541" s="3524" t="s">
        <v>1055</v>
      </c>
      <c r="AD541" s="5680" t="s">
        <v>1278</v>
      </c>
      <c r="AE541" s="5117">
        <v>0.2</v>
      </c>
      <c r="AF541" s="3524">
        <f>AE541*2708676</f>
        <v>541735.2</v>
      </c>
      <c r="AG541" s="3812">
        <f t="shared" si="115"/>
        <v>541735.2</v>
      </c>
      <c r="AH541" s="3812" t="s">
        <v>122</v>
      </c>
      <c r="AI541" s="3812">
        <v>44523</v>
      </c>
      <c r="AJ541" s="3524">
        <v>541735.2</v>
      </c>
      <c r="AK541" s="3812">
        <v>44523</v>
      </c>
      <c r="AL541" s="3812">
        <v>541735.2</v>
      </c>
      <c r="AM541" s="3812">
        <v>44523</v>
      </c>
      <c r="AN541" s="3812">
        <f t="shared" si="116"/>
        <v>541735.2</v>
      </c>
      <c r="AO541" s="3812">
        <v>44554</v>
      </c>
      <c r="AP541" s="3812">
        <f t="shared" si="117"/>
        <v>0</v>
      </c>
      <c r="AQ541" s="1032" t="s">
        <v>1279</v>
      </c>
      <c r="AR541" s="5761"/>
      <c r="AS541" s="5786"/>
      <c r="AT541" s="5787"/>
      <c r="AU541" s="5788">
        <f>SUM(AG541:AG547)</f>
        <v>3414035.13</v>
      </c>
      <c r="AV541" s="5788">
        <f>SUM(AL541:AL547)</f>
        <v>3173124.51</v>
      </c>
      <c r="AW541" s="5788">
        <f>SUM(AN541:AN547)</f>
        <v>3313378.06</v>
      </c>
      <c r="AX541" s="5788">
        <f>M541-AU541</f>
        <v>0.0100000007078052</v>
      </c>
      <c r="AY541" s="5788">
        <f>AU541-AV541</f>
        <v>240910.62</v>
      </c>
      <c r="AZ541" s="5788">
        <f>AV541-AW541</f>
        <v>-140253.55</v>
      </c>
      <c r="BA541" s="5146"/>
      <c r="BB541" s="3812"/>
      <c r="BC541" s="3812">
        <v>500563.32</v>
      </c>
      <c r="BD541" s="5146"/>
      <c r="BE541" s="5146"/>
      <c r="BF541" s="5146"/>
      <c r="BG541" s="5146"/>
      <c r="BH541" s="3812">
        <v>24919.82</v>
      </c>
      <c r="BI541" s="3812"/>
      <c r="BJ541" s="3812"/>
      <c r="BK541" s="3812"/>
      <c r="BL541" s="3812"/>
      <c r="BM541" s="3812"/>
      <c r="BN541" s="3812">
        <v>16252.06</v>
      </c>
      <c r="BO541" s="5122"/>
      <c r="BP541" s="5122"/>
      <c r="BQ541" s="3812">
        <v>500563.32</v>
      </c>
      <c r="BR541" s="5122"/>
      <c r="BS541" s="5122"/>
      <c r="BT541" s="5122"/>
      <c r="BU541" s="5122"/>
      <c r="BV541" s="3812">
        <v>24919.82</v>
      </c>
      <c r="BW541" s="3524"/>
      <c r="BX541" s="3524"/>
      <c r="BY541" s="3524"/>
      <c r="BZ541" s="3524"/>
      <c r="CA541" s="3524"/>
      <c r="CB541" s="3812">
        <v>16252.06</v>
      </c>
      <c r="CC541" s="3524" t="s">
        <v>166</v>
      </c>
      <c r="CD541" s="3524" t="s">
        <v>154</v>
      </c>
      <c r="CE541" s="5169"/>
      <c r="CF541" s="5169"/>
      <c r="CG541" s="5169"/>
      <c r="CH541" s="5169"/>
    </row>
    <row r="542" s="4965" customFormat="1" ht="46.65" customHeight="1" spans="1:86">
      <c r="A542" s="3524"/>
      <c r="B542" s="3524"/>
      <c r="C542" s="3524"/>
      <c r="D542" s="3742"/>
      <c r="E542" s="3742"/>
      <c r="F542" s="3742"/>
      <c r="G542" s="3742"/>
      <c r="H542" s="3742"/>
      <c r="I542" s="5074"/>
      <c r="J542" s="3742"/>
      <c r="K542" s="3742"/>
      <c r="L542" s="3742"/>
      <c r="M542" s="3524"/>
      <c r="N542" s="5761"/>
      <c r="O542" s="5761"/>
      <c r="P542" s="5761"/>
      <c r="Q542" s="5761"/>
      <c r="R542" s="5761"/>
      <c r="S542" s="5761"/>
      <c r="T542" s="5761"/>
      <c r="U542" s="5761"/>
      <c r="V542" s="5761"/>
      <c r="W542" s="5761"/>
      <c r="X542" s="5761"/>
      <c r="Y542" s="5765"/>
      <c r="Z542" s="5765"/>
      <c r="AA542" s="5761"/>
      <c r="AB542" s="5761"/>
      <c r="AC542" s="3524" t="s">
        <v>1057</v>
      </c>
      <c r="AD542" s="5680" t="s">
        <v>1280</v>
      </c>
      <c r="AE542" s="5117">
        <v>0.4</v>
      </c>
      <c r="AF542" s="3524">
        <f>AE542*2708676</f>
        <v>1083470.4</v>
      </c>
      <c r="AG542" s="3812">
        <f t="shared" si="115"/>
        <v>1083470.4</v>
      </c>
      <c r="AH542" s="3812" t="s">
        <v>122</v>
      </c>
      <c r="AI542" s="3812">
        <v>44523</v>
      </c>
      <c r="AJ542" s="3524">
        <v>1083470.4</v>
      </c>
      <c r="AK542" s="3812">
        <v>44523</v>
      </c>
      <c r="AL542" s="3812">
        <v>1083470.4</v>
      </c>
      <c r="AM542" s="3812">
        <v>44523</v>
      </c>
      <c r="AN542" s="3812">
        <f t="shared" si="116"/>
        <v>1083470.4</v>
      </c>
      <c r="AO542" s="3812">
        <v>44554</v>
      </c>
      <c r="AP542" s="3812">
        <f t="shared" si="117"/>
        <v>0</v>
      </c>
      <c r="AQ542" s="3742"/>
      <c r="AR542" s="5761"/>
      <c r="AS542" s="5786"/>
      <c r="AT542" s="5787"/>
      <c r="AU542" s="5788"/>
      <c r="AV542" s="5788"/>
      <c r="AW542" s="5788"/>
      <c r="AX542" s="5788"/>
      <c r="AY542" s="5788"/>
      <c r="AZ542" s="5788"/>
      <c r="BA542" s="5146"/>
      <c r="BB542" s="3812"/>
      <c r="BC542" s="3812">
        <v>1001126.65</v>
      </c>
      <c r="BD542" s="5146"/>
      <c r="BE542" s="5146"/>
      <c r="BF542" s="5146"/>
      <c r="BG542" s="5146"/>
      <c r="BH542" s="3812">
        <v>49839.64</v>
      </c>
      <c r="BI542" s="3812"/>
      <c r="BJ542" s="3812"/>
      <c r="BK542" s="3812"/>
      <c r="BL542" s="3812"/>
      <c r="BM542" s="3812"/>
      <c r="BN542" s="3812">
        <v>32504.11</v>
      </c>
      <c r="BO542" s="5122"/>
      <c r="BP542" s="5122"/>
      <c r="BQ542" s="3812">
        <v>1001126.65</v>
      </c>
      <c r="BR542" s="5122"/>
      <c r="BS542" s="5122"/>
      <c r="BT542" s="5122"/>
      <c r="BU542" s="5122"/>
      <c r="BV542" s="3812">
        <v>49839.64</v>
      </c>
      <c r="BW542" s="3524"/>
      <c r="BX542" s="3524"/>
      <c r="BY542" s="3524"/>
      <c r="BZ542" s="3524"/>
      <c r="CA542" s="3524"/>
      <c r="CB542" s="3812">
        <v>32504.11</v>
      </c>
      <c r="CC542" s="3524"/>
      <c r="CD542" s="3524"/>
      <c r="CE542" s="5169"/>
      <c r="CF542" s="5169"/>
      <c r="CG542" s="5169"/>
      <c r="CH542" s="5169"/>
    </row>
    <row r="543" s="4965" customFormat="1" ht="42.5" customHeight="1" spans="1:86">
      <c r="A543" s="3524"/>
      <c r="B543" s="3524"/>
      <c r="C543" s="3524"/>
      <c r="D543" s="3742"/>
      <c r="E543" s="3742"/>
      <c r="F543" s="3742"/>
      <c r="G543" s="3742"/>
      <c r="H543" s="3742"/>
      <c r="I543" s="5074"/>
      <c r="J543" s="3742"/>
      <c r="K543" s="3742"/>
      <c r="L543" s="3742"/>
      <c r="M543" s="3524"/>
      <c r="N543" s="5761"/>
      <c r="O543" s="5761"/>
      <c r="P543" s="5761"/>
      <c r="Q543" s="5761"/>
      <c r="R543" s="5761"/>
      <c r="S543" s="5761"/>
      <c r="T543" s="5761"/>
      <c r="U543" s="5761"/>
      <c r="V543" s="5761"/>
      <c r="W543" s="5761"/>
      <c r="X543" s="5761"/>
      <c r="Y543" s="5765"/>
      <c r="Z543" s="5765"/>
      <c r="AA543" s="5761"/>
      <c r="AB543" s="5761"/>
      <c r="AC543" s="3524" t="s">
        <v>1059</v>
      </c>
      <c r="AD543" s="5680" t="s">
        <v>1281</v>
      </c>
      <c r="AE543" s="5117">
        <v>0.35</v>
      </c>
      <c r="AF543" s="3524">
        <f>AE543*2708676</f>
        <v>948036.6</v>
      </c>
      <c r="AG543" s="3812">
        <f t="shared" ref="AG543:AG561" si="118">SUM(BA543:BN543)</f>
        <v>948036.6</v>
      </c>
      <c r="AH543" s="3812" t="s">
        <v>122</v>
      </c>
      <c r="AI543" s="3812">
        <v>44523</v>
      </c>
      <c r="AJ543" s="3524">
        <v>948036.6</v>
      </c>
      <c r="AK543" s="3812">
        <v>44523</v>
      </c>
      <c r="AL543" s="3812">
        <v>948036.6</v>
      </c>
      <c r="AM543" s="3812">
        <v>44523</v>
      </c>
      <c r="AN543" s="3812">
        <f t="shared" si="116"/>
        <v>948036.6</v>
      </c>
      <c r="AO543" s="3812">
        <v>44554</v>
      </c>
      <c r="AP543" s="3812">
        <f t="shared" si="117"/>
        <v>0</v>
      </c>
      <c r="AQ543" s="3742"/>
      <c r="AR543" s="5761"/>
      <c r="AS543" s="5786"/>
      <c r="AT543" s="5787"/>
      <c r="AU543" s="5788"/>
      <c r="AV543" s="5788"/>
      <c r="AW543" s="5788"/>
      <c r="AX543" s="5788"/>
      <c r="AY543" s="5788"/>
      <c r="AZ543" s="5788"/>
      <c r="BA543" s="5146"/>
      <c r="BB543" s="3812"/>
      <c r="BC543" s="3812">
        <v>875985.82</v>
      </c>
      <c r="BD543" s="5146"/>
      <c r="BE543" s="5146"/>
      <c r="BF543" s="5146"/>
      <c r="BG543" s="5146"/>
      <c r="BH543" s="3812">
        <v>43609.68</v>
      </c>
      <c r="BI543" s="3812"/>
      <c r="BJ543" s="3812"/>
      <c r="BK543" s="3812"/>
      <c r="BL543" s="3812"/>
      <c r="BM543" s="3812"/>
      <c r="BN543" s="3812">
        <v>28441.1</v>
      </c>
      <c r="BO543" s="5122"/>
      <c r="BP543" s="5122"/>
      <c r="BQ543" s="3812">
        <v>875985.82</v>
      </c>
      <c r="BR543" s="5122"/>
      <c r="BS543" s="5122"/>
      <c r="BT543" s="5122"/>
      <c r="BU543" s="5122"/>
      <c r="BV543" s="3812">
        <v>43609.68</v>
      </c>
      <c r="BW543" s="3524"/>
      <c r="BX543" s="3524"/>
      <c r="BY543" s="3524"/>
      <c r="BZ543" s="3524"/>
      <c r="CA543" s="3524"/>
      <c r="CB543" s="3812">
        <v>28441.1</v>
      </c>
      <c r="CC543" s="3524"/>
      <c r="CD543" s="3524"/>
      <c r="CE543" s="5169"/>
      <c r="CF543" s="5169"/>
      <c r="CG543" s="5169"/>
      <c r="CH543" s="5169"/>
    </row>
    <row r="544" s="4965" customFormat="1" ht="52.5" customHeight="1" spans="1:86">
      <c r="A544" s="3524"/>
      <c r="B544" s="3524"/>
      <c r="C544" s="3524"/>
      <c r="D544" s="3742"/>
      <c r="E544" s="3742"/>
      <c r="F544" s="3742"/>
      <c r="G544" s="3742"/>
      <c r="H544" s="3742"/>
      <c r="I544" s="5074"/>
      <c r="J544" s="3742"/>
      <c r="K544" s="3742"/>
      <c r="L544" s="3742"/>
      <c r="M544" s="3524"/>
      <c r="N544" s="5761"/>
      <c r="O544" s="5761"/>
      <c r="P544" s="5761"/>
      <c r="Q544" s="5761"/>
      <c r="R544" s="5761"/>
      <c r="S544" s="5761"/>
      <c r="T544" s="5761"/>
      <c r="U544" s="5761"/>
      <c r="V544" s="5761"/>
      <c r="W544" s="5761"/>
      <c r="X544" s="5761"/>
      <c r="Y544" s="5765"/>
      <c r="Z544" s="5765"/>
      <c r="AA544" s="5761"/>
      <c r="AB544" s="5761"/>
      <c r="AC544" s="3524" t="s">
        <v>1061</v>
      </c>
      <c r="AD544" s="5680" t="s">
        <v>1282</v>
      </c>
      <c r="AE544" s="5117">
        <v>0.05</v>
      </c>
      <c r="AF544" s="3524">
        <f>AE544*2708676</f>
        <v>135433.8</v>
      </c>
      <c r="AG544" s="5123">
        <f t="shared" si="118"/>
        <v>98611.38</v>
      </c>
      <c r="AH544" s="1131" t="s">
        <v>349</v>
      </c>
      <c r="AI544" s="5123"/>
      <c r="AJ544" s="3524"/>
      <c r="AK544" s="5122"/>
      <c r="AL544" s="3812"/>
      <c r="AM544" s="3524"/>
      <c r="AN544" s="5123">
        <f t="shared" si="116"/>
        <v>0</v>
      </c>
      <c r="AO544" s="3524"/>
      <c r="AP544" s="3812">
        <f t="shared" si="117"/>
        <v>98611.38</v>
      </c>
      <c r="AQ544" s="5122"/>
      <c r="AR544" s="5761"/>
      <c r="AS544" s="5786"/>
      <c r="AT544" s="5787"/>
      <c r="AU544" s="5788"/>
      <c r="AV544" s="5788"/>
      <c r="AW544" s="5788"/>
      <c r="AX544" s="5788"/>
      <c r="AY544" s="5788"/>
      <c r="AZ544" s="5788"/>
      <c r="BA544" s="5122"/>
      <c r="BB544" s="3524"/>
      <c r="BC544" s="5123">
        <v>91403.4</v>
      </c>
      <c r="BD544" s="5122"/>
      <c r="BE544" s="5122"/>
      <c r="BF544" s="5122"/>
      <c r="BG544" s="5122"/>
      <c r="BH544" s="5123">
        <v>7207.98</v>
      </c>
      <c r="BI544" s="3524"/>
      <c r="BJ544" s="3524"/>
      <c r="BK544" s="3524"/>
      <c r="BL544" s="3524"/>
      <c r="BM544" s="3524"/>
      <c r="BN544" s="3524"/>
      <c r="BO544" s="5122"/>
      <c r="BP544" s="5122"/>
      <c r="BQ544" s="5122"/>
      <c r="BR544" s="5122"/>
      <c r="BS544" s="5122"/>
      <c r="BT544" s="5122"/>
      <c r="BU544" s="5122"/>
      <c r="BV544" s="5122"/>
      <c r="BW544" s="5122"/>
      <c r="BX544" s="5122"/>
      <c r="BY544" s="5122"/>
      <c r="BZ544" s="5122"/>
      <c r="CA544" s="5122"/>
      <c r="CB544" s="5122"/>
      <c r="CC544" s="3524"/>
      <c r="CD544" s="3524"/>
      <c r="CE544" s="5169"/>
      <c r="CF544" s="5169"/>
      <c r="CG544" s="5169"/>
      <c r="CH544" s="5169"/>
    </row>
    <row r="545" s="4965" customFormat="1" ht="43.5" customHeight="1" spans="1:86">
      <c r="A545" s="3524"/>
      <c r="B545" s="3524"/>
      <c r="C545" s="3524"/>
      <c r="D545" s="3742"/>
      <c r="E545" s="3742"/>
      <c r="F545" s="3742"/>
      <c r="G545" s="3742"/>
      <c r="H545" s="3742"/>
      <c r="I545" s="5074"/>
      <c r="J545" s="3742"/>
      <c r="K545" s="3742"/>
      <c r="L545" s="3742"/>
      <c r="M545" s="3524"/>
      <c r="N545" s="5761"/>
      <c r="O545" s="5761"/>
      <c r="P545" s="5761"/>
      <c r="Q545" s="5761"/>
      <c r="R545" s="5761"/>
      <c r="S545" s="5761"/>
      <c r="T545" s="5761"/>
      <c r="U545" s="5761"/>
      <c r="V545" s="5761"/>
      <c r="W545" s="5761"/>
      <c r="X545" s="5761"/>
      <c r="Y545" s="5765"/>
      <c r="Z545" s="5765"/>
      <c r="AA545" s="5761"/>
      <c r="AB545" s="5761"/>
      <c r="AC545" s="3524" t="s">
        <v>1110</v>
      </c>
      <c r="AD545" s="5680" t="s">
        <v>1283</v>
      </c>
      <c r="AE545" s="5117">
        <v>0.2</v>
      </c>
      <c r="AF545" s="3524">
        <v>150482</v>
      </c>
      <c r="AG545" s="3812">
        <f>SUBTOTAL(9,BA545:BN545)</f>
        <v>150482</v>
      </c>
      <c r="AH545" s="3812" t="s">
        <v>122</v>
      </c>
      <c r="AI545" s="3812">
        <v>44550</v>
      </c>
      <c r="AJ545" s="3524">
        <v>150482</v>
      </c>
      <c r="AK545" s="3524">
        <v>44550</v>
      </c>
      <c r="AL545" s="3812">
        <v>148436.31</v>
      </c>
      <c r="AM545" s="3524">
        <v>44673</v>
      </c>
      <c r="AN545" s="3812">
        <f t="shared" si="116"/>
        <v>148436.31</v>
      </c>
      <c r="AO545" s="3812">
        <v>44679</v>
      </c>
      <c r="AP545" s="3812">
        <f t="shared" si="117"/>
        <v>2045.69</v>
      </c>
      <c r="AQ545" s="5252"/>
      <c r="AR545" s="5761"/>
      <c r="AS545" s="5786"/>
      <c r="AT545" s="5787"/>
      <c r="AU545" s="5788"/>
      <c r="AV545" s="5788"/>
      <c r="AW545" s="5788"/>
      <c r="AX545" s="5788"/>
      <c r="AY545" s="5788"/>
      <c r="AZ545" s="5788"/>
      <c r="BA545" s="5146"/>
      <c r="BB545" s="3812"/>
      <c r="BC545" s="3812"/>
      <c r="BD545" s="5146"/>
      <c r="BE545" s="5146"/>
      <c r="BF545" s="5146"/>
      <c r="BG545" s="5146"/>
      <c r="BH545" s="3812">
        <v>150482</v>
      </c>
      <c r="BI545" s="3812"/>
      <c r="BJ545" s="3812"/>
      <c r="BK545" s="3812"/>
      <c r="BL545" s="3812"/>
      <c r="BM545" s="3812"/>
      <c r="BN545" s="3812"/>
      <c r="BO545" s="5146"/>
      <c r="BP545" s="5146"/>
      <c r="BQ545" s="5146"/>
      <c r="BR545" s="5146"/>
      <c r="BS545" s="5146"/>
      <c r="BT545" s="5146"/>
      <c r="BU545" s="5146"/>
      <c r="BV545" s="3812">
        <v>148436.31</v>
      </c>
      <c r="BW545" s="5146"/>
      <c r="BX545" s="5146"/>
      <c r="BY545" s="5146"/>
      <c r="BZ545" s="5146"/>
      <c r="CA545" s="5146"/>
      <c r="CB545" s="5146"/>
      <c r="CC545" s="3524"/>
      <c r="CD545" s="3524"/>
      <c r="CE545" s="5169"/>
      <c r="CF545" s="5169"/>
      <c r="CG545" s="5169"/>
      <c r="CH545" s="5169"/>
    </row>
    <row r="546" s="4965" customFormat="1" ht="51.75" customHeight="1" spans="1:86">
      <c r="A546" s="3524"/>
      <c r="B546" s="3524"/>
      <c r="C546" s="3524"/>
      <c r="D546" s="3742"/>
      <c r="E546" s="3742"/>
      <c r="F546" s="3742"/>
      <c r="G546" s="3742"/>
      <c r="H546" s="3742"/>
      <c r="I546" s="5074"/>
      <c r="J546" s="3742"/>
      <c r="K546" s="3742"/>
      <c r="L546" s="3742"/>
      <c r="M546" s="3524"/>
      <c r="N546" s="5761"/>
      <c r="O546" s="5761"/>
      <c r="P546" s="5761"/>
      <c r="Q546" s="5761"/>
      <c r="R546" s="5761"/>
      <c r="S546" s="5761"/>
      <c r="T546" s="5761"/>
      <c r="U546" s="5761"/>
      <c r="V546" s="5761"/>
      <c r="W546" s="5761"/>
      <c r="X546" s="5761"/>
      <c r="Y546" s="5765"/>
      <c r="Z546" s="5765"/>
      <c r="AA546" s="5761"/>
      <c r="AB546" s="5761"/>
      <c r="AC546" s="3524" t="s">
        <v>1113</v>
      </c>
      <c r="AD546" s="5680" t="s">
        <v>1284</v>
      </c>
      <c r="AE546" s="5117">
        <v>0.6</v>
      </c>
      <c r="AF546" s="3524">
        <f>AE546*752410</f>
        <v>451446</v>
      </c>
      <c r="AG546" s="3812">
        <f>SUBTOTAL(9,BA546:BN546)</f>
        <v>451446</v>
      </c>
      <c r="AH546" s="3812" t="s">
        <v>122</v>
      </c>
      <c r="AI546" s="3812">
        <v>44550</v>
      </c>
      <c r="AJ546" s="3524">
        <v>451446</v>
      </c>
      <c r="AK546" s="5122">
        <f>AI546</f>
        <v>44550</v>
      </c>
      <c r="AL546" s="3812">
        <v>451446</v>
      </c>
      <c r="AM546" s="3812">
        <v>44886</v>
      </c>
      <c r="AN546" s="3812">
        <f t="shared" si="116"/>
        <v>451446</v>
      </c>
      <c r="AO546" s="3812">
        <v>44924</v>
      </c>
      <c r="AP546" s="3812">
        <f t="shared" si="117"/>
        <v>0</v>
      </c>
      <c r="AQ546" s="5252"/>
      <c r="AR546" s="5761"/>
      <c r="AS546" s="5786"/>
      <c r="AT546" s="5787"/>
      <c r="AU546" s="5788"/>
      <c r="AV546" s="5788"/>
      <c r="AW546" s="5788"/>
      <c r="AX546" s="5788"/>
      <c r="AY546" s="5788"/>
      <c r="AZ546" s="5788"/>
      <c r="BA546" s="5146"/>
      <c r="BB546" s="3812"/>
      <c r="BC546" s="3812"/>
      <c r="BD546" s="5146"/>
      <c r="BE546" s="5146"/>
      <c r="BF546" s="5146"/>
      <c r="BG546" s="5146"/>
      <c r="BH546" s="3812">
        <v>451446</v>
      </c>
      <c r="BI546" s="3812"/>
      <c r="BJ546" s="3812"/>
      <c r="BK546" s="3812"/>
      <c r="BL546" s="3812"/>
      <c r="BM546" s="3812"/>
      <c r="BN546" s="3812"/>
      <c r="BO546" s="5122"/>
      <c r="BP546" s="5122"/>
      <c r="BQ546" s="5122"/>
      <c r="BR546" s="5122"/>
      <c r="BS546" s="5122"/>
      <c r="BT546" s="5122"/>
      <c r="BU546" s="5122"/>
      <c r="BV546" s="5123">
        <v>451446</v>
      </c>
      <c r="BW546" s="5122"/>
      <c r="BX546" s="5122"/>
      <c r="BY546" s="5122"/>
      <c r="BZ546" s="5122"/>
      <c r="CA546" s="5122"/>
      <c r="CB546" s="5122"/>
      <c r="CC546" s="3524"/>
      <c r="CD546" s="3524"/>
      <c r="CE546" s="5169"/>
      <c r="CF546" s="5169"/>
      <c r="CG546" s="5169"/>
      <c r="CH546" s="5169"/>
    </row>
    <row r="547" s="4965" customFormat="1" ht="54.15" customHeight="1" spans="1:86">
      <c r="A547" s="3524"/>
      <c r="B547" s="3524"/>
      <c r="C547" s="3524"/>
      <c r="D547" s="3742"/>
      <c r="E547" s="3742"/>
      <c r="F547" s="3742"/>
      <c r="G547" s="3742"/>
      <c r="H547" s="3742"/>
      <c r="I547" s="5075"/>
      <c r="J547" s="3742"/>
      <c r="K547" s="3742"/>
      <c r="L547" s="3742"/>
      <c r="M547" s="3524"/>
      <c r="N547" s="5761"/>
      <c r="O547" s="5761"/>
      <c r="P547" s="5761"/>
      <c r="Q547" s="5761"/>
      <c r="R547" s="5761"/>
      <c r="S547" s="5761"/>
      <c r="T547" s="5761"/>
      <c r="U547" s="5761"/>
      <c r="V547" s="5761"/>
      <c r="W547" s="5761"/>
      <c r="X547" s="5761"/>
      <c r="Y547" s="5766"/>
      <c r="Z547" s="5766"/>
      <c r="AA547" s="5761"/>
      <c r="AB547" s="5761"/>
      <c r="AC547" s="3524" t="s">
        <v>1115</v>
      </c>
      <c r="AD547" s="5680" t="s">
        <v>1285</v>
      </c>
      <c r="AE547" s="5117">
        <v>0.2</v>
      </c>
      <c r="AF547" s="3524">
        <f>AE547*752410</f>
        <v>150482</v>
      </c>
      <c r="AG547" s="3812">
        <f t="shared" si="118"/>
        <v>140253.55</v>
      </c>
      <c r="AH547" s="3812" t="s">
        <v>122</v>
      </c>
      <c r="AI547" s="3812">
        <v>44852</v>
      </c>
      <c r="AJ547" s="3524">
        <v>140253.55</v>
      </c>
      <c r="AK547" s="5122"/>
      <c r="AL547" s="3812"/>
      <c r="AM547" s="3524"/>
      <c r="AN547" s="5123">
        <f t="shared" si="116"/>
        <v>140253.55</v>
      </c>
      <c r="AO547" s="5123"/>
      <c r="AP547" s="5123">
        <f t="shared" si="117"/>
        <v>0</v>
      </c>
      <c r="AQ547" s="5252" t="s">
        <v>1286</v>
      </c>
      <c r="AR547" s="5761"/>
      <c r="AS547" s="5786"/>
      <c r="AT547" s="5787"/>
      <c r="AU547" s="5788"/>
      <c r="AV547" s="5788"/>
      <c r="AW547" s="5788"/>
      <c r="AX547" s="5788"/>
      <c r="AY547" s="5788"/>
      <c r="AZ547" s="5788"/>
      <c r="BA547" s="5741"/>
      <c r="BB547" s="4813"/>
      <c r="BC547" s="4813"/>
      <c r="BD547" s="5741"/>
      <c r="BE547" s="5741"/>
      <c r="BF547" s="5741"/>
      <c r="BG547" s="5741"/>
      <c r="BH547" s="3812">
        <v>140253.55</v>
      </c>
      <c r="BI547" s="4813"/>
      <c r="BJ547" s="4813"/>
      <c r="BK547" s="4813"/>
      <c r="BL547" s="4813"/>
      <c r="BM547" s="4813"/>
      <c r="BN547" s="4813"/>
      <c r="BO547" s="5122"/>
      <c r="BP547" s="5122"/>
      <c r="BQ547" s="5122"/>
      <c r="BR547" s="5122"/>
      <c r="BS547" s="5122"/>
      <c r="BT547" s="5122"/>
      <c r="BU547" s="5122"/>
      <c r="BV547" s="5123">
        <v>140253.55</v>
      </c>
      <c r="BW547" s="5122"/>
      <c r="BX547" s="5122"/>
      <c r="BY547" s="5122"/>
      <c r="BZ547" s="5122"/>
      <c r="CA547" s="5122"/>
      <c r="CB547" s="5122"/>
      <c r="CC547" s="3524"/>
      <c r="CD547" s="3524"/>
      <c r="CE547" s="5169"/>
      <c r="CF547" s="5169"/>
      <c r="CG547" s="5169"/>
      <c r="CH547" s="5169"/>
    </row>
    <row r="548" s="4971" customFormat="1" ht="78.35" customHeight="1" spans="1:86">
      <c r="A548" s="3662">
        <v>100</v>
      </c>
      <c r="B548" s="3662" t="s">
        <v>1003</v>
      </c>
      <c r="C548" s="3662">
        <v>44480</v>
      </c>
      <c r="D548" s="5055" t="s">
        <v>1287</v>
      </c>
      <c r="E548" s="5053"/>
      <c r="F548" s="5055" t="s">
        <v>1288</v>
      </c>
      <c r="G548" s="5053" t="s">
        <v>1289</v>
      </c>
      <c r="H548" s="5053" t="s">
        <v>1290</v>
      </c>
      <c r="I548" s="5053"/>
      <c r="J548" s="5053" t="s">
        <v>1091</v>
      </c>
      <c r="K548" s="5053"/>
      <c r="L548" s="5053"/>
      <c r="M548" s="3662">
        <v>2200000</v>
      </c>
      <c r="N548" s="3662"/>
      <c r="O548" s="3662"/>
      <c r="P548" s="3662"/>
      <c r="Q548" s="3662"/>
      <c r="R548" s="3662"/>
      <c r="S548" s="3662"/>
      <c r="T548" s="3662"/>
      <c r="U548" s="3662"/>
      <c r="V548" s="3662"/>
      <c r="W548" s="3662"/>
      <c r="X548" s="3662">
        <v>2200000</v>
      </c>
      <c r="Y548" s="3662"/>
      <c r="Z548" s="3662"/>
      <c r="AA548" s="3662"/>
      <c r="AB548" s="3662"/>
      <c r="AC548" s="3662">
        <v>1</v>
      </c>
      <c r="AD548" s="5684" t="s">
        <v>1291</v>
      </c>
      <c r="AE548" s="5115">
        <v>0.4</v>
      </c>
      <c r="AF548" s="3662">
        <v>880000</v>
      </c>
      <c r="AG548" s="3684">
        <f t="shared" si="118"/>
        <v>880000</v>
      </c>
      <c r="AH548" s="3662" t="s">
        <v>122</v>
      </c>
      <c r="AI548" s="3662">
        <v>44491</v>
      </c>
      <c r="AJ548" s="3684">
        <v>880000</v>
      </c>
      <c r="AK548" s="3662">
        <v>44491</v>
      </c>
      <c r="AL548" s="3684">
        <v>880000</v>
      </c>
      <c r="AM548" s="3662">
        <v>44491</v>
      </c>
      <c r="AN548" s="3684">
        <f t="shared" si="116"/>
        <v>880000</v>
      </c>
      <c r="AO548" s="3662">
        <v>44558</v>
      </c>
      <c r="AP548" s="3684">
        <f t="shared" ref="AP548:AP561" si="119">AG548-AN548</f>
        <v>0</v>
      </c>
      <c r="AQ548" s="5127"/>
      <c r="AR548" s="3662"/>
      <c r="AS548" s="5134"/>
      <c r="AT548" s="5127"/>
      <c r="AU548" s="3684">
        <f>SUM(AG548:AG550)</f>
        <v>1760000</v>
      </c>
      <c r="AV548" s="3684">
        <f>SUM(AL548:AL550)</f>
        <v>1760000</v>
      </c>
      <c r="AW548" s="3684">
        <f>SUM(AN548:AN550)</f>
        <v>1760000</v>
      </c>
      <c r="AX548" s="3684">
        <f>M548-AU548</f>
        <v>440000</v>
      </c>
      <c r="AY548" s="3684">
        <f>AU548-AV548</f>
        <v>0</v>
      </c>
      <c r="AZ548" s="3684">
        <f>AV548-AW548</f>
        <v>0</v>
      </c>
      <c r="BA548" s="5148"/>
      <c r="BB548" s="3684"/>
      <c r="BC548" s="3684"/>
      <c r="BD548" s="5148"/>
      <c r="BE548" s="5148"/>
      <c r="BF548" s="5148"/>
      <c r="BG548" s="5148"/>
      <c r="BH548" s="3684"/>
      <c r="BI548" s="3684"/>
      <c r="BJ548" s="3684"/>
      <c r="BK548" s="3684">
        <v>880000</v>
      </c>
      <c r="BL548" s="3684"/>
      <c r="BM548" s="3684"/>
      <c r="BN548" s="3684"/>
      <c r="BO548" s="5127"/>
      <c r="BP548" s="5127"/>
      <c r="BQ548" s="5127"/>
      <c r="BR548" s="5127"/>
      <c r="BS548" s="5127"/>
      <c r="BT548" s="5127"/>
      <c r="BU548" s="5127"/>
      <c r="BV548" s="5127"/>
      <c r="BW548" s="5127"/>
      <c r="BX548" s="5127"/>
      <c r="BY548" s="3684">
        <v>880000</v>
      </c>
      <c r="BZ548" s="3684"/>
      <c r="CA548" s="3684"/>
      <c r="CB548" s="5127"/>
      <c r="CC548" s="3662"/>
      <c r="CD548" s="3662"/>
      <c r="CE548" s="5039"/>
      <c r="CF548" s="5039"/>
      <c r="CG548" s="5039"/>
      <c r="CH548" s="5039"/>
    </row>
    <row r="549" s="4971" customFormat="1" ht="75.85" customHeight="1" spans="1:86">
      <c r="A549" s="3662"/>
      <c r="B549" s="3662"/>
      <c r="C549" s="3662"/>
      <c r="D549" s="5053"/>
      <c r="E549" s="5053"/>
      <c r="F549" s="5053"/>
      <c r="G549" s="5053"/>
      <c r="H549" s="5053"/>
      <c r="I549" s="5053"/>
      <c r="J549" s="5053"/>
      <c r="K549" s="5053"/>
      <c r="L549" s="5053"/>
      <c r="M549" s="3662"/>
      <c r="N549" s="3662"/>
      <c r="O549" s="3662"/>
      <c r="P549" s="3662"/>
      <c r="Q549" s="3662"/>
      <c r="R549" s="3662"/>
      <c r="S549" s="3662"/>
      <c r="T549" s="3662"/>
      <c r="U549" s="3662"/>
      <c r="V549" s="3662"/>
      <c r="W549" s="3662"/>
      <c r="X549" s="3662"/>
      <c r="Y549" s="3662"/>
      <c r="Z549" s="3662"/>
      <c r="AA549" s="3662"/>
      <c r="AB549" s="3662"/>
      <c r="AC549" s="3662">
        <v>2</v>
      </c>
      <c r="AD549" s="5684" t="s">
        <v>1292</v>
      </c>
      <c r="AE549" s="5115">
        <v>0.4</v>
      </c>
      <c r="AF549" s="3662">
        <v>880000</v>
      </c>
      <c r="AG549" s="3684">
        <f t="shared" si="118"/>
        <v>880000</v>
      </c>
      <c r="AH549" s="3662" t="s">
        <v>122</v>
      </c>
      <c r="AI549" s="3662">
        <v>44491</v>
      </c>
      <c r="AJ549" s="3684">
        <v>880000</v>
      </c>
      <c r="AK549" s="3662">
        <v>44491</v>
      </c>
      <c r="AL549" s="3684">
        <v>880000</v>
      </c>
      <c r="AM549" s="3662">
        <v>44491</v>
      </c>
      <c r="AN549" s="3684">
        <f t="shared" si="116"/>
        <v>880000</v>
      </c>
      <c r="AO549" s="3684">
        <v>44733</v>
      </c>
      <c r="AP549" s="3684">
        <f t="shared" si="119"/>
        <v>0</v>
      </c>
      <c r="AQ549" s="5127"/>
      <c r="AR549" s="3662"/>
      <c r="AS549" s="5134"/>
      <c r="AT549" s="5127"/>
      <c r="AU549" s="3684"/>
      <c r="AV549" s="3684"/>
      <c r="AW549" s="3684"/>
      <c r="AX549" s="3684"/>
      <c r="AY549" s="3684"/>
      <c r="AZ549" s="3684"/>
      <c r="BA549" s="5148"/>
      <c r="BB549" s="3684"/>
      <c r="BC549" s="3684"/>
      <c r="BD549" s="5148"/>
      <c r="BE549" s="5148"/>
      <c r="BF549" s="5148"/>
      <c r="BG549" s="5148"/>
      <c r="BH549" s="3684"/>
      <c r="BI549" s="3684"/>
      <c r="BJ549" s="3684"/>
      <c r="BK549" s="3684">
        <v>880000</v>
      </c>
      <c r="BL549" s="3684"/>
      <c r="BM549" s="3684"/>
      <c r="BN549" s="3684"/>
      <c r="BO549" s="5127"/>
      <c r="BP549" s="5127"/>
      <c r="BQ549" s="5127"/>
      <c r="BR549" s="5127"/>
      <c r="BS549" s="5127"/>
      <c r="BT549" s="5127"/>
      <c r="BU549" s="5127"/>
      <c r="BV549" s="5127"/>
      <c r="BW549" s="5127"/>
      <c r="BX549" s="5127"/>
      <c r="BY549" s="3684">
        <v>880000</v>
      </c>
      <c r="BZ549" s="3684"/>
      <c r="CA549" s="3684"/>
      <c r="CB549" s="5127"/>
      <c r="CC549" s="3662"/>
      <c r="CD549" s="3662"/>
      <c r="CE549" s="5039"/>
      <c r="CF549" s="5039"/>
      <c r="CG549" s="5039"/>
      <c r="CH549" s="5039"/>
    </row>
    <row r="550" s="4971" customFormat="1" ht="80.85" customHeight="1" spans="1:86">
      <c r="A550" s="3662"/>
      <c r="B550" s="3662"/>
      <c r="C550" s="3662"/>
      <c r="D550" s="5053"/>
      <c r="E550" s="5053"/>
      <c r="F550" s="5053"/>
      <c r="G550" s="5053"/>
      <c r="H550" s="5053"/>
      <c r="I550" s="5053"/>
      <c r="J550" s="5053"/>
      <c r="K550" s="5053"/>
      <c r="L550" s="5053"/>
      <c r="M550" s="3662"/>
      <c r="N550" s="3662"/>
      <c r="O550" s="3662"/>
      <c r="P550" s="3662"/>
      <c r="Q550" s="3662"/>
      <c r="R550" s="3662"/>
      <c r="S550" s="3662"/>
      <c r="T550" s="3662"/>
      <c r="U550" s="3662"/>
      <c r="V550" s="3662"/>
      <c r="W550" s="3662"/>
      <c r="X550" s="3662"/>
      <c r="Y550" s="3662"/>
      <c r="Z550" s="3662"/>
      <c r="AA550" s="3662"/>
      <c r="AB550" s="3662"/>
      <c r="AC550" s="3662">
        <v>3</v>
      </c>
      <c r="AD550" s="5684" t="s">
        <v>1293</v>
      </c>
      <c r="AE550" s="5115">
        <v>0.2</v>
      </c>
      <c r="AF550" s="3662">
        <v>440000</v>
      </c>
      <c r="AG550" s="3708"/>
      <c r="AH550" s="3823"/>
      <c r="AI550" s="3708"/>
      <c r="AJ550" s="3662"/>
      <c r="AK550" s="5127"/>
      <c r="AL550" s="3684"/>
      <c r="AM550" s="3662"/>
      <c r="AN550" s="3708">
        <f t="shared" si="116"/>
        <v>0</v>
      </c>
      <c r="AO550" s="3662"/>
      <c r="AP550" s="3684">
        <f t="shared" si="119"/>
        <v>0</v>
      </c>
      <c r="AQ550" s="5127"/>
      <c r="AR550" s="3662"/>
      <c r="AS550" s="5134"/>
      <c r="AT550" s="5127"/>
      <c r="AU550" s="3684"/>
      <c r="AV550" s="3684"/>
      <c r="AW550" s="3684"/>
      <c r="AX550" s="3684"/>
      <c r="AY550" s="3684"/>
      <c r="AZ550" s="3684"/>
      <c r="BA550" s="5127"/>
      <c r="BB550" s="3662"/>
      <c r="BC550" s="3662"/>
      <c r="BD550" s="5127"/>
      <c r="BE550" s="5127"/>
      <c r="BF550" s="5127"/>
      <c r="BG550" s="5127"/>
      <c r="BH550" s="3662"/>
      <c r="BI550" s="3662"/>
      <c r="BJ550" s="3662"/>
      <c r="BK550" s="3662">
        <v>440000</v>
      </c>
      <c r="BL550" s="3662"/>
      <c r="BM550" s="3662"/>
      <c r="BN550" s="3662"/>
      <c r="BO550" s="5127"/>
      <c r="BP550" s="5127"/>
      <c r="BQ550" s="5127"/>
      <c r="BR550" s="5127"/>
      <c r="BS550" s="5127"/>
      <c r="BT550" s="5127"/>
      <c r="BU550" s="5127"/>
      <c r="BV550" s="5127"/>
      <c r="BW550" s="5127"/>
      <c r="BX550" s="5127"/>
      <c r="BY550" s="5127"/>
      <c r="BZ550" s="5127"/>
      <c r="CA550" s="5127"/>
      <c r="CB550" s="5127"/>
      <c r="CC550" s="3662"/>
      <c r="CD550" s="3662"/>
      <c r="CE550" s="5039"/>
      <c r="CF550" s="5039"/>
      <c r="CG550" s="5039"/>
      <c r="CH550" s="5039"/>
    </row>
    <row r="551" s="4971" customFormat="1" ht="65.25" customHeight="1" spans="1:86">
      <c r="A551" s="5752">
        <v>101</v>
      </c>
      <c r="B551" s="5752" t="s">
        <v>1003</v>
      </c>
      <c r="C551" s="5752">
        <v>44483</v>
      </c>
      <c r="D551" s="5753" t="s">
        <v>1294</v>
      </c>
      <c r="E551" s="5754"/>
      <c r="F551" s="5754" t="s">
        <v>1295</v>
      </c>
      <c r="G551" s="5754" t="s">
        <v>1296</v>
      </c>
      <c r="H551" s="5754" t="s">
        <v>240</v>
      </c>
      <c r="I551" s="5757"/>
      <c r="J551" s="5754" t="s">
        <v>1297</v>
      </c>
      <c r="K551" s="5754" t="s">
        <v>1298</v>
      </c>
      <c r="L551" s="5754"/>
      <c r="M551" s="5752">
        <v>1800000</v>
      </c>
      <c r="N551" s="5752"/>
      <c r="O551" s="5752"/>
      <c r="P551" s="5752"/>
      <c r="Q551" s="5752"/>
      <c r="R551" s="5752"/>
      <c r="S551" s="5752"/>
      <c r="T551" s="5752"/>
      <c r="U551" s="5752"/>
      <c r="V551" s="5752"/>
      <c r="W551" s="5752"/>
      <c r="X551" s="5752"/>
      <c r="Y551" s="5752"/>
      <c r="Z551" s="5752"/>
      <c r="AA551" s="5752">
        <v>1800000</v>
      </c>
      <c r="AB551" s="5752"/>
      <c r="AC551" s="5752">
        <v>1</v>
      </c>
      <c r="AD551" s="5769" t="s">
        <v>1299</v>
      </c>
      <c r="AE551" s="5770">
        <v>0.35</v>
      </c>
      <c r="AF551" s="5752">
        <f>AA551*AE551</f>
        <v>630000</v>
      </c>
      <c r="AG551" s="5774">
        <f t="shared" si="118"/>
        <v>630000</v>
      </c>
      <c r="AH551" s="5774" t="s">
        <v>122</v>
      </c>
      <c r="AI551" s="5774">
        <v>44504</v>
      </c>
      <c r="AJ551" s="5752">
        <v>630000</v>
      </c>
      <c r="AK551" s="5752">
        <v>44504</v>
      </c>
      <c r="AL551" s="3524">
        <v>630000</v>
      </c>
      <c r="AM551" s="3524">
        <v>44504</v>
      </c>
      <c r="AN551" s="3812">
        <f t="shared" si="116"/>
        <v>630000</v>
      </c>
      <c r="AO551" s="5774">
        <v>44531</v>
      </c>
      <c r="AP551" s="5774">
        <f t="shared" si="119"/>
        <v>0</v>
      </c>
      <c r="AQ551" s="5778"/>
      <c r="AR551" s="5752"/>
      <c r="AS551" s="5789"/>
      <c r="AT551" s="5778"/>
      <c r="AU551" s="5774">
        <f>SUM(AG551:AG554)</f>
        <v>1620000</v>
      </c>
      <c r="AV551" s="5774">
        <f>SUM(AL551:AL554)</f>
        <v>1620000</v>
      </c>
      <c r="AW551" s="5774">
        <f>SUM(AN551:AN554)</f>
        <v>1620000</v>
      </c>
      <c r="AX551" s="5774">
        <f>M551-AU551</f>
        <v>180000</v>
      </c>
      <c r="AY551" s="5774">
        <f>AU551-AV551</f>
        <v>0</v>
      </c>
      <c r="AZ551" s="5774">
        <f>AV551-AW551</f>
        <v>0</v>
      </c>
      <c r="BA551" s="5793"/>
      <c r="BB551" s="5774"/>
      <c r="BC551" s="5774"/>
      <c r="BD551" s="5793"/>
      <c r="BE551" s="5793"/>
      <c r="BF551" s="5793"/>
      <c r="BG551" s="5793"/>
      <c r="BH551" s="5774"/>
      <c r="BI551" s="5774"/>
      <c r="BJ551" s="5774"/>
      <c r="BK551" s="5774"/>
      <c r="BL551" s="5774"/>
      <c r="BM551" s="5774"/>
      <c r="BN551" s="5774">
        <v>630000</v>
      </c>
      <c r="BO551" s="5778"/>
      <c r="BP551" s="5778"/>
      <c r="BQ551" s="5778"/>
      <c r="BR551" s="5778"/>
      <c r="BS551" s="5778"/>
      <c r="BT551" s="5778"/>
      <c r="BU551" s="5778"/>
      <c r="BV551" s="5778"/>
      <c r="BW551" s="5778"/>
      <c r="BX551" s="5778"/>
      <c r="BY551" s="5778"/>
      <c r="BZ551" s="5778"/>
      <c r="CA551" s="5778"/>
      <c r="CB551" s="5793">
        <v>630000</v>
      </c>
      <c r="CC551" s="5775" t="s">
        <v>166</v>
      </c>
      <c r="CD551" s="5775" t="s">
        <v>154</v>
      </c>
      <c r="CE551" s="5039"/>
      <c r="CF551" s="5039"/>
      <c r="CG551" s="5039"/>
      <c r="CH551" s="5039"/>
    </row>
    <row r="552" s="4971" customFormat="1" ht="50.85" customHeight="1" spans="1:86">
      <c r="A552" s="5752"/>
      <c r="B552" s="5752"/>
      <c r="C552" s="5752"/>
      <c r="D552" s="5754"/>
      <c r="E552" s="5754"/>
      <c r="F552" s="5754"/>
      <c r="G552" s="5754"/>
      <c r="H552" s="5754"/>
      <c r="I552" s="5758"/>
      <c r="J552" s="5754"/>
      <c r="K552" s="5754"/>
      <c r="L552" s="5754"/>
      <c r="M552" s="5752"/>
      <c r="N552" s="5752"/>
      <c r="O552" s="5752"/>
      <c r="P552" s="5752"/>
      <c r="Q552" s="5752"/>
      <c r="R552" s="5752"/>
      <c r="S552" s="5752"/>
      <c r="T552" s="5752"/>
      <c r="U552" s="5752"/>
      <c r="V552" s="5752"/>
      <c r="W552" s="5752"/>
      <c r="X552" s="5752"/>
      <c r="Y552" s="5752"/>
      <c r="Z552" s="5752"/>
      <c r="AA552" s="5752"/>
      <c r="AB552" s="5752"/>
      <c r="AC552" s="5752">
        <v>2</v>
      </c>
      <c r="AD552" s="5769" t="s">
        <v>1300</v>
      </c>
      <c r="AE552" s="5770">
        <v>0.35</v>
      </c>
      <c r="AF552" s="5752">
        <f>AA551*AE552</f>
        <v>630000</v>
      </c>
      <c r="AG552" s="5774">
        <f t="shared" si="118"/>
        <v>630000</v>
      </c>
      <c r="AH552" s="5775" t="s">
        <v>122</v>
      </c>
      <c r="AI552" s="5774">
        <v>44705</v>
      </c>
      <c r="AJ552" s="5752">
        <v>630000</v>
      </c>
      <c r="AK552" s="5752">
        <v>44705</v>
      </c>
      <c r="AL552" s="3812">
        <v>630000</v>
      </c>
      <c r="AM552" s="3524">
        <v>44701</v>
      </c>
      <c r="AN552" s="3812">
        <f t="shared" si="116"/>
        <v>630000</v>
      </c>
      <c r="AO552" s="5774">
        <v>44770</v>
      </c>
      <c r="AP552" s="5774">
        <f t="shared" si="119"/>
        <v>0</v>
      </c>
      <c r="AQ552" s="5778"/>
      <c r="AR552" s="5752"/>
      <c r="AS552" s="5789"/>
      <c r="AT552" s="5778"/>
      <c r="AU552" s="5774"/>
      <c r="AV552" s="5774"/>
      <c r="AW552" s="5774"/>
      <c r="AX552" s="5774"/>
      <c r="AY552" s="5774"/>
      <c r="AZ552" s="5774"/>
      <c r="BA552" s="5793"/>
      <c r="BB552" s="5774"/>
      <c r="BC552" s="5774"/>
      <c r="BD552" s="5793"/>
      <c r="BE552" s="5793"/>
      <c r="BF552" s="5793"/>
      <c r="BG552" s="5793"/>
      <c r="BH552" s="5774"/>
      <c r="BI552" s="5774"/>
      <c r="BJ552" s="5774"/>
      <c r="BK552" s="5774"/>
      <c r="BL552" s="5774"/>
      <c r="BM552" s="5774"/>
      <c r="BN552" s="5774">
        <v>630000</v>
      </c>
      <c r="BO552" s="5778"/>
      <c r="BP552" s="5778"/>
      <c r="BQ552" s="5778"/>
      <c r="BR552" s="5778"/>
      <c r="BS552" s="5778"/>
      <c r="BT552" s="5778"/>
      <c r="BU552" s="5778"/>
      <c r="BV552" s="5778"/>
      <c r="BW552" s="5778"/>
      <c r="BX552" s="5778"/>
      <c r="BY552" s="5778"/>
      <c r="BZ552" s="5778"/>
      <c r="CA552" s="5778"/>
      <c r="CB552" s="5774">
        <v>630000</v>
      </c>
      <c r="CC552" s="5752"/>
      <c r="CD552" s="5752"/>
      <c r="CE552" s="5039"/>
      <c r="CF552" s="5039"/>
      <c r="CG552" s="5039"/>
      <c r="CH552" s="5039"/>
    </row>
    <row r="553" s="4971" customFormat="1" ht="40" customHeight="1" spans="1:86">
      <c r="A553" s="5752"/>
      <c r="B553" s="5752"/>
      <c r="C553" s="5752"/>
      <c r="D553" s="5754"/>
      <c r="E553" s="5754"/>
      <c r="F553" s="5754"/>
      <c r="G553" s="5754"/>
      <c r="H553" s="5754"/>
      <c r="I553" s="5758"/>
      <c r="J553" s="5754"/>
      <c r="K553" s="5754"/>
      <c r="L553" s="5754"/>
      <c r="M553" s="5752"/>
      <c r="N553" s="5752"/>
      <c r="O553" s="5752"/>
      <c r="P553" s="5752"/>
      <c r="Q553" s="5752"/>
      <c r="R553" s="5752"/>
      <c r="S553" s="5752"/>
      <c r="T553" s="5752"/>
      <c r="U553" s="5752"/>
      <c r="V553" s="5752"/>
      <c r="W553" s="5752"/>
      <c r="X553" s="5752"/>
      <c r="Y553" s="5752"/>
      <c r="Z553" s="5752"/>
      <c r="AA553" s="5752"/>
      <c r="AB553" s="5752"/>
      <c r="AC553" s="5752">
        <v>3</v>
      </c>
      <c r="AD553" s="5769" t="s">
        <v>1301</v>
      </c>
      <c r="AE553" s="5770">
        <v>0.2</v>
      </c>
      <c r="AF553" s="5752">
        <f>AA551*AE553</f>
        <v>360000</v>
      </c>
      <c r="AG553" s="5774">
        <v>360000</v>
      </c>
      <c r="AH553" s="5775" t="s">
        <v>122</v>
      </c>
      <c r="AI553" s="5774">
        <v>44921</v>
      </c>
      <c r="AJ553" s="5752">
        <v>360000</v>
      </c>
      <c r="AK553" s="5752">
        <v>44921</v>
      </c>
      <c r="AL553" s="3812">
        <v>360000</v>
      </c>
      <c r="AM553" s="3524">
        <v>44965</v>
      </c>
      <c r="AN553" s="857">
        <v>360000</v>
      </c>
      <c r="AO553" s="5774">
        <v>45015</v>
      </c>
      <c r="AP553" s="5774">
        <f t="shared" si="119"/>
        <v>0</v>
      </c>
      <c r="AQ553" s="5778"/>
      <c r="AR553" s="5752"/>
      <c r="AS553" s="5789"/>
      <c r="AT553" s="5778"/>
      <c r="AU553" s="5774"/>
      <c r="AV553" s="5774"/>
      <c r="AW553" s="5774"/>
      <c r="AX553" s="5774"/>
      <c r="AY553" s="5774"/>
      <c r="AZ553" s="5774"/>
      <c r="BA553" s="5793"/>
      <c r="BB553" s="5774"/>
      <c r="BC553" s="5774"/>
      <c r="BD553" s="5793"/>
      <c r="BE553" s="5793"/>
      <c r="BF553" s="5793"/>
      <c r="BG553" s="5793"/>
      <c r="BH553" s="5774"/>
      <c r="BI553" s="5774"/>
      <c r="BJ553" s="5774"/>
      <c r="BK553" s="5774"/>
      <c r="BL553" s="5774"/>
      <c r="BM553" s="5774"/>
      <c r="BN553" s="5774">
        <v>360000</v>
      </c>
      <c r="BO553" s="5778"/>
      <c r="BP553" s="5778"/>
      <c r="BQ553" s="5778"/>
      <c r="BR553" s="5778"/>
      <c r="BS553" s="5778"/>
      <c r="BT553" s="5778"/>
      <c r="BU553" s="5778"/>
      <c r="BV553" s="5778"/>
      <c r="BW553" s="5778"/>
      <c r="BX553" s="5778"/>
      <c r="BY553" s="5778"/>
      <c r="BZ553" s="5778"/>
      <c r="CA553" s="5778"/>
      <c r="CB553" s="5774">
        <v>360000</v>
      </c>
      <c r="CC553" s="5752"/>
      <c r="CD553" s="5752"/>
      <c r="CE553" s="5039"/>
      <c r="CF553" s="5039"/>
      <c r="CG553" s="5039"/>
      <c r="CH553" s="5039"/>
    </row>
    <row r="554" s="4971" customFormat="1" ht="62.5" customHeight="1" spans="1:86">
      <c r="A554" s="5752"/>
      <c r="B554" s="5752"/>
      <c r="C554" s="5752"/>
      <c r="D554" s="5754"/>
      <c r="E554" s="5754"/>
      <c r="F554" s="5754"/>
      <c r="G554" s="5754"/>
      <c r="H554" s="5754"/>
      <c r="I554" s="5759"/>
      <c r="J554" s="5754"/>
      <c r="K554" s="5754"/>
      <c r="L554" s="5754"/>
      <c r="M554" s="5752"/>
      <c r="N554" s="5752"/>
      <c r="O554" s="5752"/>
      <c r="P554" s="5752"/>
      <c r="Q554" s="5752"/>
      <c r="R554" s="5752"/>
      <c r="S554" s="5752"/>
      <c r="T554" s="5752"/>
      <c r="U554" s="5752"/>
      <c r="V554" s="5752"/>
      <c r="W554" s="5752"/>
      <c r="X554" s="5752"/>
      <c r="Y554" s="5752"/>
      <c r="Z554" s="5752"/>
      <c r="AA554" s="5752"/>
      <c r="AB554" s="5752"/>
      <c r="AC554" s="5752">
        <v>4</v>
      </c>
      <c r="AD554" s="5769" t="s">
        <v>1302</v>
      </c>
      <c r="AE554" s="5770">
        <v>0.1</v>
      </c>
      <c r="AF554" s="5752">
        <f>AA551*AE554</f>
        <v>180000</v>
      </c>
      <c r="AG554" s="5776">
        <f t="shared" si="118"/>
        <v>0</v>
      </c>
      <c r="AH554" s="5752"/>
      <c r="AI554" s="5752"/>
      <c r="AJ554" s="5752"/>
      <c r="AK554" s="5778"/>
      <c r="AL554" s="5774"/>
      <c r="AM554" s="5752"/>
      <c r="AN554" s="5776">
        <f t="shared" si="116"/>
        <v>0</v>
      </c>
      <c r="AO554" s="5752"/>
      <c r="AP554" s="5774">
        <f t="shared" si="119"/>
        <v>0</v>
      </c>
      <c r="AQ554" s="5778"/>
      <c r="AR554" s="5752"/>
      <c r="AS554" s="5789"/>
      <c r="AT554" s="5778"/>
      <c r="AU554" s="5774"/>
      <c r="AV554" s="5774"/>
      <c r="AW554" s="5774"/>
      <c r="AX554" s="5774"/>
      <c r="AY554" s="5774"/>
      <c r="AZ554" s="5774"/>
      <c r="BA554" s="5778"/>
      <c r="BB554" s="5752"/>
      <c r="BC554" s="5752"/>
      <c r="BD554" s="5778"/>
      <c r="BE554" s="5778"/>
      <c r="BF554" s="5778"/>
      <c r="BG554" s="5778"/>
      <c r="BH554" s="5752"/>
      <c r="BI554" s="5752"/>
      <c r="BJ554" s="5752"/>
      <c r="BK554" s="5752"/>
      <c r="BL554" s="5752"/>
      <c r="BM554" s="5752"/>
      <c r="BN554" s="5752"/>
      <c r="BO554" s="5778"/>
      <c r="BP554" s="5778"/>
      <c r="BQ554" s="5778"/>
      <c r="BR554" s="5778"/>
      <c r="BS554" s="5778"/>
      <c r="BT554" s="5778"/>
      <c r="BU554" s="5778"/>
      <c r="BV554" s="5778"/>
      <c r="BW554" s="5778"/>
      <c r="BX554" s="5778"/>
      <c r="BY554" s="5778"/>
      <c r="BZ554" s="5778"/>
      <c r="CA554" s="5778"/>
      <c r="CB554" s="5778"/>
      <c r="CC554" s="5752"/>
      <c r="CD554" s="5752"/>
      <c r="CE554" s="5039"/>
      <c r="CF554" s="5039"/>
      <c r="CG554" s="5039"/>
      <c r="CH554" s="5039"/>
    </row>
    <row r="555" s="4965" customFormat="1" ht="44.25" customHeight="1" spans="1:86">
      <c r="A555" s="3524">
        <v>102</v>
      </c>
      <c r="B555" s="857" t="s">
        <v>173</v>
      </c>
      <c r="C555" s="3524">
        <v>44377</v>
      </c>
      <c r="D555" s="1032" t="s">
        <v>1303</v>
      </c>
      <c r="E555" s="3742"/>
      <c r="F555" s="1032" t="s">
        <v>1304</v>
      </c>
      <c r="G555" s="1032" t="s">
        <v>1305</v>
      </c>
      <c r="H555" s="1032" t="s">
        <v>31</v>
      </c>
      <c r="I555" s="5073"/>
      <c r="J555" s="1032" t="s">
        <v>1306</v>
      </c>
      <c r="K555" s="1032" t="s">
        <v>1307</v>
      </c>
      <c r="L555" s="1032" t="s">
        <v>393</v>
      </c>
      <c r="M555" s="3524">
        <v>1617945.77</v>
      </c>
      <c r="N555" s="5177"/>
      <c r="O555" s="5177"/>
      <c r="P555" s="5177"/>
      <c r="Q555" s="5177"/>
      <c r="R555" s="5177"/>
      <c r="S555" s="5177"/>
      <c r="T555" s="5177"/>
      <c r="U555" s="5177">
        <v>1617945.77</v>
      </c>
      <c r="V555" s="5177"/>
      <c r="W555" s="5177"/>
      <c r="X555" s="5177"/>
      <c r="Y555" s="5177"/>
      <c r="Z555" s="5177"/>
      <c r="AA555" s="5177"/>
      <c r="AB555" s="5177"/>
      <c r="AC555" s="3524">
        <v>1</v>
      </c>
      <c r="AD555" s="5241" t="s">
        <v>1308</v>
      </c>
      <c r="AE555" s="5117">
        <v>0.4</v>
      </c>
      <c r="AF555" s="3524">
        <f>AE555*1617945.77</f>
        <v>647178.308</v>
      </c>
      <c r="AG555" s="3812">
        <f t="shared" si="118"/>
        <v>647178.3</v>
      </c>
      <c r="AH555" s="857" t="s">
        <v>409</v>
      </c>
      <c r="AI555" s="857">
        <v>44502</v>
      </c>
      <c r="AJ555" s="3524">
        <v>647178.3</v>
      </c>
      <c r="AK555" s="3524">
        <v>44502</v>
      </c>
      <c r="AL555" s="3524">
        <v>647178.3</v>
      </c>
      <c r="AM555" s="3524">
        <v>44504</v>
      </c>
      <c r="AN555" s="3812">
        <f t="shared" si="116"/>
        <v>200000</v>
      </c>
      <c r="AO555" s="3812">
        <v>44550</v>
      </c>
      <c r="AP555" s="3812"/>
      <c r="AQ555" s="5122"/>
      <c r="AR555" s="5177"/>
      <c r="AS555" s="5497"/>
      <c r="AT555" s="5178"/>
      <c r="AU555" s="5479">
        <f>SUM(AG555:AG559)</f>
        <v>1621630.01</v>
      </c>
      <c r="AV555" s="5479">
        <f>SUM(AL555:AL559)</f>
        <v>1537048.47</v>
      </c>
      <c r="AW555" s="5479">
        <f>SUM(AN555:AN559)</f>
        <v>1621630.01</v>
      </c>
      <c r="AX555" s="5479">
        <f>M555-AU555</f>
        <v>-3684.23999999999</v>
      </c>
      <c r="AY555" s="5479">
        <f>AU555-AV555</f>
        <v>84581.54</v>
      </c>
      <c r="AZ555" s="5479">
        <f>AV555-AW555</f>
        <v>-84581.54</v>
      </c>
      <c r="BA555" s="5146"/>
      <c r="BB555" s="3812"/>
      <c r="BC555" s="3812"/>
      <c r="BD555" s="5146"/>
      <c r="BE555" s="5146"/>
      <c r="BF555" s="5146"/>
      <c r="BG555" s="5146"/>
      <c r="BH555" s="3812">
        <v>647178.3</v>
      </c>
      <c r="BI555" s="3812"/>
      <c r="BJ555" s="3812"/>
      <c r="BK555" s="3812"/>
      <c r="BL555" s="3812"/>
      <c r="BM555" s="3812"/>
      <c r="BN555" s="3812"/>
      <c r="BO555" s="5122"/>
      <c r="BP555" s="5122"/>
      <c r="BQ555" s="5122"/>
      <c r="BR555" s="5122"/>
      <c r="BS555" s="5122"/>
      <c r="BT555" s="5122"/>
      <c r="BU555" s="5122"/>
      <c r="BV555" s="5146">
        <v>200000</v>
      </c>
      <c r="BW555" s="5122"/>
      <c r="BX555" s="5122"/>
      <c r="BY555" s="5122"/>
      <c r="BZ555" s="5122"/>
      <c r="CA555" s="5122"/>
      <c r="CB555" s="5122"/>
      <c r="CC555" s="857" t="s">
        <v>166</v>
      </c>
      <c r="CD555" s="857" t="s">
        <v>154</v>
      </c>
      <c r="CE555" s="5169"/>
      <c r="CF555" s="5169"/>
      <c r="CG555" s="5169"/>
      <c r="CH555" s="5169"/>
    </row>
    <row r="556" s="4965" customFormat="1" ht="41.25" customHeight="1" spans="1:86">
      <c r="A556" s="3524"/>
      <c r="B556" s="857"/>
      <c r="C556" s="3524"/>
      <c r="D556" s="1032"/>
      <c r="E556" s="3742"/>
      <c r="F556" s="1032"/>
      <c r="G556" s="1032"/>
      <c r="H556" s="1032"/>
      <c r="I556" s="5205"/>
      <c r="J556" s="1032"/>
      <c r="K556" s="3742"/>
      <c r="L556" s="1032"/>
      <c r="M556" s="3524"/>
      <c r="N556" s="5177"/>
      <c r="O556" s="5177"/>
      <c r="P556" s="5177"/>
      <c r="Q556" s="5177"/>
      <c r="R556" s="5177"/>
      <c r="S556" s="5177"/>
      <c r="T556" s="5177"/>
      <c r="U556" s="5177"/>
      <c r="V556" s="5177"/>
      <c r="W556" s="5177"/>
      <c r="X556" s="5177"/>
      <c r="Y556" s="5177"/>
      <c r="Z556" s="5177"/>
      <c r="AA556" s="5177"/>
      <c r="AB556" s="5177"/>
      <c r="AC556" s="3524"/>
      <c r="AD556" s="5241"/>
      <c r="AE556" s="5117"/>
      <c r="AF556" s="3524"/>
      <c r="AG556" s="3812"/>
      <c r="AH556" s="857"/>
      <c r="AI556" s="857"/>
      <c r="AJ556" s="3524"/>
      <c r="AK556" s="3524"/>
      <c r="AL556" s="3524"/>
      <c r="AM556" s="3524"/>
      <c r="AN556" s="3812">
        <f t="shared" si="116"/>
        <v>447178.3</v>
      </c>
      <c r="AO556" s="3812">
        <v>44582</v>
      </c>
      <c r="AP556" s="3812"/>
      <c r="AQ556" s="5122"/>
      <c r="AR556" s="5177"/>
      <c r="AS556" s="5497"/>
      <c r="AT556" s="5178"/>
      <c r="AU556" s="5479"/>
      <c r="AV556" s="5479"/>
      <c r="AW556" s="5479"/>
      <c r="AX556" s="5479"/>
      <c r="AY556" s="5479"/>
      <c r="AZ556" s="5479"/>
      <c r="BA556" s="5146"/>
      <c r="BB556" s="3812"/>
      <c r="BC556" s="3812"/>
      <c r="BD556" s="5146"/>
      <c r="BE556" s="5146"/>
      <c r="BF556" s="5146"/>
      <c r="BG556" s="5146"/>
      <c r="BH556" s="3812"/>
      <c r="BI556" s="3812"/>
      <c r="BJ556" s="3812"/>
      <c r="BK556" s="3812"/>
      <c r="BL556" s="3812"/>
      <c r="BM556" s="3812"/>
      <c r="BN556" s="3812"/>
      <c r="BO556" s="5122"/>
      <c r="BP556" s="5122"/>
      <c r="BQ556" s="5122"/>
      <c r="BR556" s="5122"/>
      <c r="BS556" s="5122"/>
      <c r="BT556" s="5122"/>
      <c r="BU556" s="5122"/>
      <c r="BV556" s="5146">
        <v>447178.3</v>
      </c>
      <c r="BW556" s="5122"/>
      <c r="BX556" s="5122"/>
      <c r="BY556" s="5122"/>
      <c r="BZ556" s="5122"/>
      <c r="CA556" s="5122"/>
      <c r="CB556" s="5122"/>
      <c r="CC556" s="857"/>
      <c r="CD556" s="857"/>
      <c r="CE556" s="5169"/>
      <c r="CF556" s="5169"/>
      <c r="CG556" s="5169"/>
      <c r="CH556" s="5169"/>
    </row>
    <row r="557" s="4965" customFormat="1" ht="38.35" customHeight="1" spans="1:86">
      <c r="A557" s="3524"/>
      <c r="B557" s="3524"/>
      <c r="C557" s="3524"/>
      <c r="D557" s="3742"/>
      <c r="E557" s="3742"/>
      <c r="F557" s="3742"/>
      <c r="G557" s="3742"/>
      <c r="H557" s="3742"/>
      <c r="I557" s="5205"/>
      <c r="J557" s="3742"/>
      <c r="K557" s="3742"/>
      <c r="L557" s="3742"/>
      <c r="M557" s="3524"/>
      <c r="N557" s="5177"/>
      <c r="O557" s="5177"/>
      <c r="P557" s="5177"/>
      <c r="Q557" s="5177"/>
      <c r="R557" s="5177"/>
      <c r="S557" s="5177"/>
      <c r="T557" s="5177"/>
      <c r="U557" s="5177"/>
      <c r="V557" s="5177"/>
      <c r="W557" s="5177"/>
      <c r="X557" s="5177"/>
      <c r="Y557" s="5177"/>
      <c r="Z557" s="5177"/>
      <c r="AA557" s="5177"/>
      <c r="AB557" s="5177"/>
      <c r="AC557" s="3524">
        <v>2</v>
      </c>
      <c r="AD557" s="5241" t="s">
        <v>1309</v>
      </c>
      <c r="AE557" s="5117">
        <v>0.55</v>
      </c>
      <c r="AF557" s="3524">
        <f>AE557*1617945.77</f>
        <v>889870.1735</v>
      </c>
      <c r="AG557" s="3812">
        <f>SUM(BA557:BN557)</f>
        <v>623145.95</v>
      </c>
      <c r="AH557" s="857" t="s">
        <v>409</v>
      </c>
      <c r="AI557" s="3812">
        <v>44554</v>
      </c>
      <c r="AJ557" s="3812">
        <f>AG557</f>
        <v>623145.95</v>
      </c>
      <c r="AK557" s="3812">
        <v>44554</v>
      </c>
      <c r="AL557" s="3812">
        <v>623145.95</v>
      </c>
      <c r="AM557" s="3524">
        <v>44664</v>
      </c>
      <c r="AN557" s="3812">
        <f t="shared" si="116"/>
        <v>623145.95</v>
      </c>
      <c r="AO557" s="3812">
        <v>44894</v>
      </c>
      <c r="AP557" s="3812"/>
      <c r="AQ557" s="5256"/>
      <c r="AR557" s="5177"/>
      <c r="AS557" s="5497"/>
      <c r="AT557" s="5178"/>
      <c r="AU557" s="5479"/>
      <c r="AV557" s="5479"/>
      <c r="AW557" s="5479"/>
      <c r="AX557" s="5479"/>
      <c r="AY557" s="5479"/>
      <c r="AZ557" s="5479"/>
      <c r="BA557" s="5146"/>
      <c r="BB557" s="3812"/>
      <c r="BC557" s="3812"/>
      <c r="BD557" s="5146"/>
      <c r="BE557" s="5146"/>
      <c r="BF557" s="5146"/>
      <c r="BG557" s="5146"/>
      <c r="BH557" s="3812">
        <v>623145.95</v>
      </c>
      <c r="BI557" s="3812"/>
      <c r="BJ557" s="3812"/>
      <c r="BK557" s="3812"/>
      <c r="BL557" s="3812"/>
      <c r="BM557" s="3812"/>
      <c r="BN557" s="3812"/>
      <c r="BO557" s="5122"/>
      <c r="BP557" s="5122"/>
      <c r="BQ557" s="5122"/>
      <c r="BR557" s="5122"/>
      <c r="BS557" s="5122"/>
      <c r="BT557" s="5122"/>
      <c r="BU557" s="5122"/>
      <c r="BV557" s="3812">
        <v>623145.95</v>
      </c>
      <c r="BW557" s="5122"/>
      <c r="BX557" s="5122"/>
      <c r="BY557" s="5122"/>
      <c r="BZ557" s="5122"/>
      <c r="CA557" s="5122"/>
      <c r="CB557" s="5122"/>
      <c r="CC557" s="3524"/>
      <c r="CD557" s="3524"/>
      <c r="CE557" s="5169"/>
      <c r="CF557" s="5169"/>
      <c r="CG557" s="5169"/>
      <c r="CH557" s="5169"/>
    </row>
    <row r="558" s="4965" customFormat="1" ht="38.35" customHeight="1" spans="1:86">
      <c r="A558" s="3524"/>
      <c r="B558" s="3524"/>
      <c r="C558" s="3524"/>
      <c r="D558" s="3742"/>
      <c r="E558" s="3742"/>
      <c r="F558" s="3742"/>
      <c r="G558" s="3742"/>
      <c r="H558" s="3742"/>
      <c r="I558" s="5205"/>
      <c r="J558" s="3742"/>
      <c r="K558" s="3742"/>
      <c r="L558" s="3742"/>
      <c r="M558" s="3524"/>
      <c r="N558" s="5177"/>
      <c r="O558" s="5177"/>
      <c r="P558" s="5177"/>
      <c r="Q558" s="5177"/>
      <c r="R558" s="5177"/>
      <c r="S558" s="5177"/>
      <c r="T558" s="5177"/>
      <c r="U558" s="5177"/>
      <c r="V558" s="5177"/>
      <c r="W558" s="5177"/>
      <c r="X558" s="5177"/>
      <c r="Y558" s="5177"/>
      <c r="Z558" s="5177"/>
      <c r="AA558" s="5177"/>
      <c r="AB558" s="5177"/>
      <c r="AC558" s="3524"/>
      <c r="AD558" s="5241"/>
      <c r="AE558" s="5117"/>
      <c r="AF558" s="3524"/>
      <c r="AG558" s="3812">
        <f>SUM(BA558:BN558)</f>
        <v>266724.22</v>
      </c>
      <c r="AH558" s="857" t="s">
        <v>409</v>
      </c>
      <c r="AI558" s="3812">
        <v>44664</v>
      </c>
      <c r="AJ558" s="3812">
        <v>266724.22</v>
      </c>
      <c r="AK558" s="3812">
        <v>44664</v>
      </c>
      <c r="AL558" s="3812">
        <v>266724.22</v>
      </c>
      <c r="AM558" s="3524"/>
      <c r="AN558" s="3812">
        <f t="shared" si="116"/>
        <v>266724.22</v>
      </c>
      <c r="AO558" s="3812">
        <v>44894</v>
      </c>
      <c r="AP558" s="3812"/>
      <c r="AQ558" s="5256"/>
      <c r="AR558" s="5177"/>
      <c r="AS558" s="5497"/>
      <c r="AT558" s="5178"/>
      <c r="AU558" s="5479"/>
      <c r="AV558" s="5479"/>
      <c r="AW558" s="5479"/>
      <c r="AX558" s="5479"/>
      <c r="AY558" s="5479"/>
      <c r="AZ558" s="5479"/>
      <c r="BA558" s="5146"/>
      <c r="BB558" s="3812"/>
      <c r="BC558" s="3812"/>
      <c r="BD558" s="5146"/>
      <c r="BE558" s="5146"/>
      <c r="BF558" s="5146"/>
      <c r="BG558" s="5146"/>
      <c r="BH558" s="3812">
        <v>266724.22</v>
      </c>
      <c r="BI558" s="3812"/>
      <c r="BJ558" s="3812"/>
      <c r="BK558" s="3812"/>
      <c r="BL558" s="3812"/>
      <c r="BM558" s="3812"/>
      <c r="BN558" s="3812"/>
      <c r="BO558" s="5122"/>
      <c r="BP558" s="5122"/>
      <c r="BQ558" s="5122"/>
      <c r="BR558" s="5122"/>
      <c r="BS558" s="5122"/>
      <c r="BT558" s="5122"/>
      <c r="BU558" s="5122"/>
      <c r="BV558" s="3812">
        <v>266724.22</v>
      </c>
      <c r="BW558" s="5122"/>
      <c r="BX558" s="5122"/>
      <c r="BY558" s="5122"/>
      <c r="BZ558" s="5122"/>
      <c r="CA558" s="5122"/>
      <c r="CB558" s="5122"/>
      <c r="CC558" s="3524"/>
      <c r="CD558" s="3524"/>
      <c r="CE558" s="5169"/>
      <c r="CF558" s="5169"/>
      <c r="CG558" s="5169"/>
      <c r="CH558" s="5169"/>
    </row>
    <row r="559" s="4965" customFormat="1" ht="50.85" customHeight="1" spans="1:86">
      <c r="A559" s="3524"/>
      <c r="B559" s="3524"/>
      <c r="C559" s="3524"/>
      <c r="D559" s="3742"/>
      <c r="E559" s="3742"/>
      <c r="F559" s="3742"/>
      <c r="G559" s="3742"/>
      <c r="H559" s="3742"/>
      <c r="I559" s="5206"/>
      <c r="J559" s="3742"/>
      <c r="K559" s="3742"/>
      <c r="L559" s="3742"/>
      <c r="M559" s="3524"/>
      <c r="N559" s="5177"/>
      <c r="O559" s="5177"/>
      <c r="P559" s="5177"/>
      <c r="Q559" s="5177"/>
      <c r="R559" s="5177"/>
      <c r="S559" s="5177"/>
      <c r="T559" s="5177"/>
      <c r="U559" s="5177"/>
      <c r="V559" s="5177"/>
      <c r="W559" s="5177"/>
      <c r="X559" s="5177"/>
      <c r="Y559" s="5177"/>
      <c r="Z559" s="5177"/>
      <c r="AA559" s="5177"/>
      <c r="AB559" s="5177"/>
      <c r="AC559" s="3524">
        <v>3</v>
      </c>
      <c r="AD559" s="5771" t="s">
        <v>1310</v>
      </c>
      <c r="AE559" s="5115">
        <v>0.05</v>
      </c>
      <c r="AF559" s="3662">
        <f>AE559*1617945.77</f>
        <v>80897.2885</v>
      </c>
      <c r="AG559" s="3708">
        <f>SUM(BA559:BN559)</f>
        <v>84581.54</v>
      </c>
      <c r="AH559" s="3823" t="s">
        <v>349</v>
      </c>
      <c r="AI559" s="3708"/>
      <c r="AJ559" s="5123"/>
      <c r="AK559" s="5123"/>
      <c r="AL559" s="3812"/>
      <c r="AM559" s="3524"/>
      <c r="AN559" s="5123">
        <f t="shared" si="116"/>
        <v>84581.54</v>
      </c>
      <c r="AO559" s="3524"/>
      <c r="AP559" s="3812">
        <f>AG559-AN559</f>
        <v>0</v>
      </c>
      <c r="AQ559" s="5252" t="s">
        <v>1311</v>
      </c>
      <c r="AR559" s="5177"/>
      <c r="AS559" s="5497"/>
      <c r="AT559" s="5178"/>
      <c r="AU559" s="5479"/>
      <c r="AV559" s="5479"/>
      <c r="AW559" s="5479"/>
      <c r="AX559" s="5479"/>
      <c r="AY559" s="5479"/>
      <c r="AZ559" s="5479"/>
      <c r="BA559" s="5122"/>
      <c r="BB559" s="3524"/>
      <c r="BC559" s="3524"/>
      <c r="BD559" s="5122"/>
      <c r="BE559" s="5122"/>
      <c r="BF559" s="5122"/>
      <c r="BG559" s="5122"/>
      <c r="BH559" s="5123">
        <v>84581.54</v>
      </c>
      <c r="BI559" s="3524"/>
      <c r="BJ559" s="3524"/>
      <c r="BK559" s="3524"/>
      <c r="BL559" s="3524"/>
      <c r="BM559" s="3524"/>
      <c r="BN559" s="3524"/>
      <c r="BO559" s="5122"/>
      <c r="BP559" s="5122"/>
      <c r="BQ559" s="5122"/>
      <c r="BR559" s="5122"/>
      <c r="BS559" s="5122"/>
      <c r="BT559" s="5122"/>
      <c r="BU559" s="5122"/>
      <c r="BV559" s="5122">
        <v>84581.54</v>
      </c>
      <c r="BW559" s="5122"/>
      <c r="BX559" s="5122"/>
      <c r="BY559" s="5122"/>
      <c r="BZ559" s="5122"/>
      <c r="CA559" s="5122"/>
      <c r="CB559" s="5122"/>
      <c r="CC559" s="3524"/>
      <c r="CD559" s="3524"/>
      <c r="CE559" s="5169"/>
      <c r="CF559" s="5169"/>
      <c r="CG559" s="5169"/>
      <c r="CH559" s="5169"/>
    </row>
    <row r="560" s="4965" customFormat="1" ht="78.35" customHeight="1" spans="1:86">
      <c r="A560" s="3524">
        <v>103</v>
      </c>
      <c r="B560" s="3366" t="s">
        <v>173</v>
      </c>
      <c r="C560" s="4087">
        <v>45512</v>
      </c>
      <c r="D560" s="5073" t="s">
        <v>1312</v>
      </c>
      <c r="E560" s="3740"/>
      <c r="F560" s="5073" t="s">
        <v>1313</v>
      </c>
      <c r="G560" s="5073" t="s">
        <v>1314</v>
      </c>
      <c r="H560" s="5073" t="s">
        <v>193</v>
      </c>
      <c r="I560" s="5073" t="s">
        <v>1315</v>
      </c>
      <c r="J560" s="5073" t="s">
        <v>1306</v>
      </c>
      <c r="K560" s="3740">
        <v>7015.35</v>
      </c>
      <c r="L560" s="5073">
        <f>M560/K560</f>
        <v>8.55267377964036</v>
      </c>
      <c r="M560" s="4087">
        <v>60000</v>
      </c>
      <c r="N560" s="4046"/>
      <c r="O560" s="4046"/>
      <c r="P560" s="4046"/>
      <c r="Q560" s="4046"/>
      <c r="R560" s="4046"/>
      <c r="S560" s="4046"/>
      <c r="T560" s="4046"/>
      <c r="U560" s="4046"/>
      <c r="V560" s="4046">
        <v>60000</v>
      </c>
      <c r="W560" s="4046"/>
      <c r="X560" s="4046"/>
      <c r="Y560" s="4046"/>
      <c r="Z560" s="4046"/>
      <c r="AA560" s="4046"/>
      <c r="AB560" s="4046"/>
      <c r="AC560" s="3524">
        <v>1</v>
      </c>
      <c r="AD560" s="5728" t="s">
        <v>1316</v>
      </c>
      <c r="AE560" s="5117">
        <v>1</v>
      </c>
      <c r="AF560" s="3524">
        <f>M560*AE560</f>
        <v>60000</v>
      </c>
      <c r="AG560" s="3812">
        <f>SUM(BA560:BN560)</f>
        <v>60000</v>
      </c>
      <c r="AH560" s="857" t="s">
        <v>122</v>
      </c>
      <c r="AI560" s="3812">
        <v>45652</v>
      </c>
      <c r="AJ560" s="3524">
        <v>60000</v>
      </c>
      <c r="AK560" s="3812">
        <v>45652</v>
      </c>
      <c r="AL560" s="3812">
        <v>60000</v>
      </c>
      <c r="AM560" s="3524">
        <v>45944</v>
      </c>
      <c r="AN560" s="4813">
        <f t="shared" si="116"/>
        <v>60000</v>
      </c>
      <c r="AO560" s="4813">
        <v>46021</v>
      </c>
      <c r="AP560" s="3812">
        <f>AG560-AN560</f>
        <v>0</v>
      </c>
      <c r="AQ560" s="5252" t="s">
        <v>209</v>
      </c>
      <c r="AR560" s="4046"/>
      <c r="AS560" s="5701"/>
      <c r="AT560" s="5696"/>
      <c r="AU560" s="4045">
        <f>SUM(AG560:AG560)</f>
        <v>60000</v>
      </c>
      <c r="AV560" s="4045">
        <f>SUM(AL560:AL560)</f>
        <v>60000</v>
      </c>
      <c r="AW560" s="4045">
        <f>SUM(AN560:AN560)</f>
        <v>60000</v>
      </c>
      <c r="AX560" s="4045">
        <f>M560-AU560</f>
        <v>0</v>
      </c>
      <c r="AY560" s="4045">
        <f>AU560-AV560</f>
        <v>0</v>
      </c>
      <c r="AZ560" s="4045">
        <f>AV560-AW560</f>
        <v>0</v>
      </c>
      <c r="BA560" s="5146"/>
      <c r="BB560" s="3812"/>
      <c r="BC560" s="3812"/>
      <c r="BD560" s="5146"/>
      <c r="BE560" s="5146"/>
      <c r="BF560" s="5146"/>
      <c r="BG560" s="5146"/>
      <c r="BH560" s="3812"/>
      <c r="BI560" s="3812">
        <v>60000</v>
      </c>
      <c r="BJ560" s="3812"/>
      <c r="BK560" s="3812"/>
      <c r="BL560" s="3812"/>
      <c r="BM560" s="3812"/>
      <c r="BN560" s="3812"/>
      <c r="BO560" s="5122"/>
      <c r="BP560" s="5122"/>
      <c r="BQ560" s="5122"/>
      <c r="BR560" s="5122"/>
      <c r="BS560" s="5122"/>
      <c r="BT560" s="5122"/>
      <c r="BU560" s="5122"/>
      <c r="BV560" s="5122"/>
      <c r="BW560" s="5160">
        <v>60000</v>
      </c>
      <c r="BX560" s="5122"/>
      <c r="BY560" s="5122"/>
      <c r="BZ560" s="5122"/>
      <c r="CA560" s="5122"/>
      <c r="CB560" s="5122"/>
      <c r="CC560" s="857" t="s">
        <v>166</v>
      </c>
      <c r="CD560" s="857" t="s">
        <v>154</v>
      </c>
      <c r="CE560" s="5169"/>
      <c r="CF560" s="5169"/>
      <c r="CG560" s="5169"/>
      <c r="CH560" s="5169"/>
    </row>
    <row r="561" s="4972" customFormat="1" ht="57" customHeight="1" spans="1:86">
      <c r="A561" s="3662">
        <v>103</v>
      </c>
      <c r="B561" s="3815" t="s">
        <v>173</v>
      </c>
      <c r="C561" s="3744">
        <v>44501</v>
      </c>
      <c r="D561" s="3909" t="s">
        <v>1317</v>
      </c>
      <c r="E561" s="3740"/>
      <c r="F561" s="3909" t="s">
        <v>1318</v>
      </c>
      <c r="G561" s="3909" t="s">
        <v>1319</v>
      </c>
      <c r="H561" s="3909" t="s">
        <v>193</v>
      </c>
      <c r="I561" s="3909" t="s">
        <v>1320</v>
      </c>
      <c r="J561" s="3909" t="s">
        <v>1306</v>
      </c>
      <c r="K561" s="5069">
        <v>61647.53</v>
      </c>
      <c r="L561" s="3909" t="s">
        <v>393</v>
      </c>
      <c r="M561" s="3744">
        <v>431532.71</v>
      </c>
      <c r="N561" s="4046"/>
      <c r="O561" s="4046"/>
      <c r="P561" s="4046"/>
      <c r="Q561" s="4046"/>
      <c r="R561" s="4046"/>
      <c r="S561" s="4046"/>
      <c r="T561" s="4046"/>
      <c r="U561" s="4046"/>
      <c r="V561" s="4046">
        <v>431532.71</v>
      </c>
      <c r="W561" s="4046"/>
      <c r="X561" s="4046"/>
      <c r="Y561" s="4046"/>
      <c r="Z561" s="4046"/>
      <c r="AA561" s="4046"/>
      <c r="AB561" s="4046"/>
      <c r="AC561" s="3662">
        <v>1</v>
      </c>
      <c r="AD561" s="5772" t="s">
        <v>1321</v>
      </c>
      <c r="AE561" s="5115">
        <v>0.3</v>
      </c>
      <c r="AF561" s="3662">
        <f>AE561*431532.71</f>
        <v>129459.813</v>
      </c>
      <c r="AG561" s="3684">
        <f t="shared" ref="AG561:AG572" si="120">SUM(BA561:BN561)</f>
        <v>129459.81</v>
      </c>
      <c r="AH561" s="3814" t="s">
        <v>409</v>
      </c>
      <c r="AI561" s="3684">
        <v>44648</v>
      </c>
      <c r="AJ561" s="3662">
        <f>AG561</f>
        <v>129459.81</v>
      </c>
      <c r="AK561" s="3662">
        <v>44648</v>
      </c>
      <c r="AL561" s="3684">
        <v>129459.81</v>
      </c>
      <c r="AM561" s="3662">
        <v>44648</v>
      </c>
      <c r="AN561" s="3684">
        <f t="shared" si="116"/>
        <v>129459.81</v>
      </c>
      <c r="AO561" s="3684">
        <v>44705</v>
      </c>
      <c r="AP561" s="3684">
        <f>AG561-AN561</f>
        <v>0</v>
      </c>
      <c r="AQ561" s="5127"/>
      <c r="AR561" s="3662"/>
      <c r="AS561" s="5134"/>
      <c r="AT561" s="5127"/>
      <c r="AU561" s="4045">
        <f>SUM(AG561:AG563)</f>
        <v>431532.7</v>
      </c>
      <c r="AV561" s="4045">
        <f>SUM(AL561:AL563)</f>
        <v>431532.7</v>
      </c>
      <c r="AW561" s="4045">
        <f>SUM(AN561:AN563)</f>
        <v>431532.704</v>
      </c>
      <c r="AX561" s="4045">
        <f>M561-AU561</f>
        <v>0.0100000000093132</v>
      </c>
      <c r="AY561" s="4045">
        <f>AU561-AV561</f>
        <v>0</v>
      </c>
      <c r="AZ561" s="4045">
        <f>AV561-AW561</f>
        <v>-0.00399999995715916</v>
      </c>
      <c r="BA561" s="5148"/>
      <c r="BB561" s="3684"/>
      <c r="BC561" s="3684"/>
      <c r="BD561" s="5148"/>
      <c r="BE561" s="5148"/>
      <c r="BF561" s="5148"/>
      <c r="BG561" s="5148"/>
      <c r="BH561" s="3684"/>
      <c r="BI561" s="3684">
        <v>129459.81</v>
      </c>
      <c r="BJ561" s="3684"/>
      <c r="BK561" s="3684"/>
      <c r="BL561" s="3684"/>
      <c r="BM561" s="3684"/>
      <c r="BN561" s="3684"/>
      <c r="BO561" s="5127"/>
      <c r="BP561" s="5127"/>
      <c r="BQ561" s="5127"/>
      <c r="BR561" s="5127"/>
      <c r="BS561" s="5127"/>
      <c r="BT561" s="5127"/>
      <c r="BU561" s="5127"/>
      <c r="BV561" s="5127"/>
      <c r="BW561" s="5164">
        <v>129459.81</v>
      </c>
      <c r="BX561" s="5127"/>
      <c r="BY561" s="5127"/>
      <c r="BZ561" s="5127"/>
      <c r="CA561" s="5127"/>
      <c r="CB561" s="5127"/>
      <c r="CC561" s="3814" t="s">
        <v>166</v>
      </c>
      <c r="CD561" s="3814" t="s">
        <v>154</v>
      </c>
      <c r="CE561" s="5170"/>
      <c r="CF561" s="5170"/>
      <c r="CG561" s="5170"/>
      <c r="CH561" s="5170"/>
    </row>
    <row r="562" s="4972" customFormat="1" ht="58.5" customHeight="1" spans="1:86">
      <c r="A562" s="3662"/>
      <c r="B562" s="1837"/>
      <c r="C562" s="3666"/>
      <c r="D562" s="3910"/>
      <c r="E562" s="3669"/>
      <c r="F562" s="3910"/>
      <c r="G562" s="3910"/>
      <c r="H562" s="3910"/>
      <c r="I562" s="3910"/>
      <c r="J562" s="3910"/>
      <c r="K562" s="5065"/>
      <c r="L562" s="3910"/>
      <c r="M562" s="3666"/>
      <c r="N562" s="4046"/>
      <c r="O562" s="4046"/>
      <c r="P562" s="4046"/>
      <c r="Q562" s="4046"/>
      <c r="R562" s="4046"/>
      <c r="S562" s="4046"/>
      <c r="T562" s="4046"/>
      <c r="U562" s="4046"/>
      <c r="V562" s="4046"/>
      <c r="W562" s="4046"/>
      <c r="X562" s="4046"/>
      <c r="Y562" s="4046"/>
      <c r="Z562" s="4046"/>
      <c r="AA562" s="4046"/>
      <c r="AB562" s="4046"/>
      <c r="AC562" s="3662">
        <v>2</v>
      </c>
      <c r="AD562" s="5772" t="s">
        <v>1322</v>
      </c>
      <c r="AE562" s="5115">
        <v>0.4</v>
      </c>
      <c r="AF562" s="3662">
        <f>AE562*431532.71</f>
        <v>172613.084</v>
      </c>
      <c r="AG562" s="3684">
        <f t="shared" si="120"/>
        <v>172613.08</v>
      </c>
      <c r="AH562" s="3814" t="s">
        <v>409</v>
      </c>
      <c r="AI562" s="3684">
        <v>44720</v>
      </c>
      <c r="AJ562" s="3662">
        <v>172613.08</v>
      </c>
      <c r="AK562" s="3662">
        <v>44720</v>
      </c>
      <c r="AL562" s="3684">
        <v>172613.08</v>
      </c>
      <c r="AM562" s="3684">
        <v>45084</v>
      </c>
      <c r="AN562" s="3684">
        <f t="shared" si="116"/>
        <v>172613.084</v>
      </c>
      <c r="AO562" s="3684">
        <v>45169</v>
      </c>
      <c r="AP562" s="3684">
        <f>AG562-AN562</f>
        <v>-0.00400000001536682</v>
      </c>
      <c r="AQ562" s="5319" t="s">
        <v>1323</v>
      </c>
      <c r="AR562" s="3662"/>
      <c r="AS562" s="5134"/>
      <c r="AT562" s="5127"/>
      <c r="AU562" s="4045"/>
      <c r="AV562" s="4045"/>
      <c r="AW562" s="4045"/>
      <c r="AX562" s="4045"/>
      <c r="AY562" s="4045"/>
      <c r="AZ562" s="4045"/>
      <c r="BA562" s="5148"/>
      <c r="BB562" s="3684"/>
      <c r="BC562" s="3684"/>
      <c r="BD562" s="5148"/>
      <c r="BE562" s="5148"/>
      <c r="BF562" s="5148"/>
      <c r="BG562" s="5148"/>
      <c r="BH562" s="3684"/>
      <c r="BI562" s="3684">
        <v>172613.08</v>
      </c>
      <c r="BJ562" s="3684"/>
      <c r="BK562" s="3684"/>
      <c r="BL562" s="3684"/>
      <c r="BM562" s="3684"/>
      <c r="BN562" s="3684"/>
      <c r="BO562" s="5127"/>
      <c r="BP562" s="5127"/>
      <c r="BQ562" s="5127"/>
      <c r="BR562" s="5127"/>
      <c r="BS562" s="5127"/>
      <c r="BT562" s="5127"/>
      <c r="BU562" s="5127"/>
      <c r="BV562" s="5127"/>
      <c r="BW562" s="5148">
        <v>172613.084</v>
      </c>
      <c r="BX562" s="5127"/>
      <c r="BY562" s="5127"/>
      <c r="BZ562" s="5127"/>
      <c r="CA562" s="5127"/>
      <c r="CB562" s="5127"/>
      <c r="CC562" s="3662"/>
      <c r="CD562" s="3662"/>
      <c r="CE562" s="5170"/>
      <c r="CF562" s="5170"/>
      <c r="CG562" s="5170"/>
      <c r="CH562" s="5170"/>
    </row>
    <row r="563" s="4972" customFormat="1" ht="72" customHeight="1" spans="1:86">
      <c r="A563" s="3662"/>
      <c r="B563" s="1837"/>
      <c r="C563" s="3666"/>
      <c r="D563" s="3910"/>
      <c r="E563" s="3669"/>
      <c r="F563" s="3910"/>
      <c r="G563" s="3910"/>
      <c r="H563" s="3910"/>
      <c r="I563" s="3910"/>
      <c r="J563" s="3910"/>
      <c r="K563" s="5065"/>
      <c r="L563" s="3910"/>
      <c r="M563" s="3666"/>
      <c r="N563" s="4046"/>
      <c r="O563" s="4046"/>
      <c r="P563" s="4046"/>
      <c r="Q563" s="4046"/>
      <c r="R563" s="4046"/>
      <c r="S563" s="4046"/>
      <c r="T563" s="4046"/>
      <c r="U563" s="4046"/>
      <c r="V563" s="4046"/>
      <c r="W563" s="4046"/>
      <c r="X563" s="4046"/>
      <c r="Y563" s="4046"/>
      <c r="Z563" s="4046"/>
      <c r="AA563" s="4046"/>
      <c r="AB563" s="4046"/>
      <c r="AC563" s="3744">
        <v>3</v>
      </c>
      <c r="AD563" s="3909" t="s">
        <v>1324</v>
      </c>
      <c r="AE563" s="5115">
        <v>0.3</v>
      </c>
      <c r="AF563" s="3744">
        <f>AE563*431532.71</f>
        <v>129459.813</v>
      </c>
      <c r="AG563" s="3684">
        <f t="shared" si="120"/>
        <v>129459.81</v>
      </c>
      <c r="AH563" s="3814" t="s">
        <v>409</v>
      </c>
      <c r="AI563" s="3684">
        <v>45273</v>
      </c>
      <c r="AJ563" s="3684">
        <v>129459.81</v>
      </c>
      <c r="AK563" s="3684">
        <v>45273</v>
      </c>
      <c r="AL563" s="3684">
        <v>129459.81</v>
      </c>
      <c r="AM563" s="3662">
        <v>45492</v>
      </c>
      <c r="AN563" s="3684">
        <f t="shared" si="116"/>
        <v>129459.81</v>
      </c>
      <c r="AO563" s="3684">
        <v>45558</v>
      </c>
      <c r="AP563" s="3684">
        <f>AG563-AN563</f>
        <v>0</v>
      </c>
      <c r="AQ563" s="5781" t="s">
        <v>1325</v>
      </c>
      <c r="AR563" s="3662"/>
      <c r="AS563" s="5134"/>
      <c r="AT563" s="5127"/>
      <c r="AU563" s="4045"/>
      <c r="AV563" s="4045"/>
      <c r="AW563" s="4045"/>
      <c r="AX563" s="4045"/>
      <c r="AY563" s="4045"/>
      <c r="AZ563" s="4045"/>
      <c r="BA563" s="5127"/>
      <c r="BB563" s="3662"/>
      <c r="BC563" s="3662"/>
      <c r="BD563" s="5127"/>
      <c r="BE563" s="5127"/>
      <c r="BF563" s="5127"/>
      <c r="BG563" s="5127"/>
      <c r="BH563" s="3662"/>
      <c r="BI563" s="3684">
        <v>129459.81</v>
      </c>
      <c r="BJ563" s="3662"/>
      <c r="BK563" s="3662"/>
      <c r="BL563" s="3662"/>
      <c r="BM563" s="3662"/>
      <c r="BN563" s="3662"/>
      <c r="BO563" s="5127"/>
      <c r="BP563" s="5127"/>
      <c r="BQ563" s="5127"/>
      <c r="BR563" s="5127"/>
      <c r="BS563" s="5127"/>
      <c r="BT563" s="5127"/>
      <c r="BU563" s="5127"/>
      <c r="BV563" s="5127"/>
      <c r="BW563" s="5148">
        <v>129459.81</v>
      </c>
      <c r="BX563" s="5127"/>
      <c r="BY563" s="5127"/>
      <c r="BZ563" s="5127"/>
      <c r="CA563" s="5127"/>
      <c r="CB563" s="5127"/>
      <c r="CC563" s="3662"/>
      <c r="CD563" s="3662"/>
      <c r="CE563" s="5170"/>
      <c r="CF563" s="5170"/>
      <c r="CG563" s="5170"/>
      <c r="CH563" s="5170"/>
    </row>
    <row r="564" s="4972" customFormat="1" ht="72" customHeight="1" spans="1:86">
      <c r="A564" s="3662"/>
      <c r="B564" s="4830"/>
      <c r="C564" s="3667"/>
      <c r="D564" s="3911"/>
      <c r="E564" s="3741"/>
      <c r="F564" s="3911"/>
      <c r="G564" s="3911"/>
      <c r="H564" s="3911"/>
      <c r="I564" s="3911"/>
      <c r="J564" s="3911"/>
      <c r="K564" s="5062"/>
      <c r="L564" s="3911"/>
      <c r="M564" s="3667"/>
      <c r="N564" s="4046"/>
      <c r="O564" s="4046"/>
      <c r="P564" s="4046"/>
      <c r="Q564" s="4046"/>
      <c r="R564" s="4046"/>
      <c r="S564" s="4046"/>
      <c r="T564" s="4046"/>
      <c r="U564" s="4046"/>
      <c r="V564" s="4046"/>
      <c r="W564" s="4046"/>
      <c r="X564" s="4046"/>
      <c r="Y564" s="4046"/>
      <c r="Z564" s="4046"/>
      <c r="AA564" s="4046"/>
      <c r="AB564" s="4046"/>
      <c r="AC564" s="3667"/>
      <c r="AD564" s="3911"/>
      <c r="AE564" s="5115"/>
      <c r="AF564" s="3667"/>
      <c r="AG564" s="3684">
        <f t="shared" si="120"/>
        <v>0.01</v>
      </c>
      <c r="AH564" s="3814" t="s">
        <v>409</v>
      </c>
      <c r="AI564" s="3684">
        <v>45491</v>
      </c>
      <c r="AJ564" s="3684">
        <v>0.01</v>
      </c>
      <c r="AK564" s="3684">
        <v>45491</v>
      </c>
      <c r="AL564" s="3684">
        <v>0.01</v>
      </c>
      <c r="AM564" s="3662">
        <v>45491</v>
      </c>
      <c r="AN564" s="3684">
        <f t="shared" si="116"/>
        <v>0.01</v>
      </c>
      <c r="AO564" s="3684">
        <v>45558</v>
      </c>
      <c r="AP564" s="3684"/>
      <c r="AQ564" s="5781"/>
      <c r="AR564" s="3662"/>
      <c r="AS564" s="5134"/>
      <c r="AT564" s="5127"/>
      <c r="AU564" s="4045"/>
      <c r="AV564" s="4045"/>
      <c r="AW564" s="4045"/>
      <c r="AX564" s="4045"/>
      <c r="AY564" s="4045"/>
      <c r="AZ564" s="4045"/>
      <c r="BA564" s="5127"/>
      <c r="BB564" s="3662"/>
      <c r="BC564" s="3662"/>
      <c r="BD564" s="5127"/>
      <c r="BE564" s="5127"/>
      <c r="BF564" s="5127"/>
      <c r="BG564" s="5127"/>
      <c r="BH564" s="3662"/>
      <c r="BI564" s="3684">
        <v>0.01</v>
      </c>
      <c r="BJ564" s="3662"/>
      <c r="BK564" s="3662"/>
      <c r="BL564" s="3662"/>
      <c r="BM564" s="3662"/>
      <c r="BN564" s="3662"/>
      <c r="BO564" s="5127"/>
      <c r="BP564" s="5127"/>
      <c r="BQ564" s="5127"/>
      <c r="BR564" s="5127"/>
      <c r="BS564" s="5127"/>
      <c r="BT564" s="5127"/>
      <c r="BU564" s="5127"/>
      <c r="BV564" s="5127"/>
      <c r="BW564" s="3684">
        <v>0.01</v>
      </c>
      <c r="BX564" s="5127"/>
      <c r="BY564" s="5127"/>
      <c r="BZ564" s="5127"/>
      <c r="CA564" s="5127"/>
      <c r="CB564" s="5127"/>
      <c r="CC564" s="3662"/>
      <c r="CD564" s="3662"/>
      <c r="CE564" s="5170"/>
      <c r="CF564" s="5170"/>
      <c r="CG564" s="5170"/>
      <c r="CH564" s="5170"/>
    </row>
    <row r="565" s="4971" customFormat="1" ht="123.75" customHeight="1" spans="1:86">
      <c r="A565" s="3662">
        <v>104</v>
      </c>
      <c r="B565" s="3814" t="s">
        <v>1003</v>
      </c>
      <c r="C565" s="3662">
        <v>44508</v>
      </c>
      <c r="D565" s="5055" t="s">
        <v>1326</v>
      </c>
      <c r="E565" s="5053"/>
      <c r="F565" s="5055" t="s">
        <v>1327</v>
      </c>
      <c r="G565" s="5055" t="s">
        <v>1328</v>
      </c>
      <c r="H565" s="5055" t="s">
        <v>286</v>
      </c>
      <c r="I565" s="5055"/>
      <c r="J565" s="5055" t="s">
        <v>1329</v>
      </c>
      <c r="K565" s="5053"/>
      <c r="L565" s="5055" t="s">
        <v>886</v>
      </c>
      <c r="M565" s="3662">
        <v>200000</v>
      </c>
      <c r="N565" s="3662"/>
      <c r="O565" s="3662"/>
      <c r="P565" s="3662"/>
      <c r="Q565" s="3662">
        <v>200000</v>
      </c>
      <c r="R565" s="3662"/>
      <c r="S565" s="3662"/>
      <c r="T565" s="3662"/>
      <c r="U565" s="3662"/>
      <c r="V565" s="3662"/>
      <c r="W565" s="3662"/>
      <c r="X565" s="3662"/>
      <c r="Y565" s="3662"/>
      <c r="Z565" s="3662"/>
      <c r="AA565" s="3662"/>
      <c r="AB565" s="3662"/>
      <c r="AC565" s="3662">
        <v>1</v>
      </c>
      <c r="AD565" s="5772" t="s">
        <v>1330</v>
      </c>
      <c r="AE565" s="5115">
        <v>1</v>
      </c>
      <c r="AF565" s="3662">
        <v>200000</v>
      </c>
      <c r="AG565" s="3684">
        <f t="shared" si="120"/>
        <v>200000</v>
      </c>
      <c r="AH565" s="3814" t="s">
        <v>206</v>
      </c>
      <c r="AI565" s="3684">
        <v>44525</v>
      </c>
      <c r="AJ565" s="3684">
        <v>200000</v>
      </c>
      <c r="AK565" s="3684">
        <v>44525</v>
      </c>
      <c r="AL565" s="3684">
        <v>200000</v>
      </c>
      <c r="AM565" s="3684">
        <v>44525</v>
      </c>
      <c r="AN565" s="3684">
        <f t="shared" si="116"/>
        <v>200000</v>
      </c>
      <c r="AO565" s="3684">
        <v>44544</v>
      </c>
      <c r="AP565" s="3684"/>
      <c r="AQ565" s="5319" t="s">
        <v>1331</v>
      </c>
      <c r="AR565" s="3814" t="s">
        <v>128</v>
      </c>
      <c r="AS565" s="5134"/>
      <c r="AT565" s="5127"/>
      <c r="AU565" s="3684">
        <f>AG565</f>
        <v>200000</v>
      </c>
      <c r="AV565" s="3684">
        <f>AL565</f>
        <v>200000</v>
      </c>
      <c r="AW565" s="3684">
        <f>AN565</f>
        <v>200000</v>
      </c>
      <c r="AX565" s="3684">
        <f>M565-AU565</f>
        <v>0</v>
      </c>
      <c r="AY565" s="3684">
        <f>AU565-AV565</f>
        <v>0</v>
      </c>
      <c r="AZ565" s="3684">
        <f>AV565-AW565</f>
        <v>0</v>
      </c>
      <c r="BA565" s="5148"/>
      <c r="BB565" s="3684"/>
      <c r="BC565" s="3684"/>
      <c r="BD565" s="3684">
        <v>200000</v>
      </c>
      <c r="BE565" s="5148"/>
      <c r="BF565" s="5148"/>
      <c r="BG565" s="5148"/>
      <c r="BH565" s="3684"/>
      <c r="BI565" s="3684"/>
      <c r="BJ565" s="3684"/>
      <c r="BK565" s="3684"/>
      <c r="BL565" s="3684"/>
      <c r="BM565" s="3684"/>
      <c r="BN565" s="3684"/>
      <c r="BO565" s="5127"/>
      <c r="BP565" s="5127"/>
      <c r="BQ565" s="5127"/>
      <c r="BR565" s="5517">
        <v>200000</v>
      </c>
      <c r="BS565" s="5127"/>
      <c r="BT565" s="5127"/>
      <c r="BU565" s="5127"/>
      <c r="BV565" s="5127"/>
      <c r="BW565" s="5127"/>
      <c r="BX565" s="5127"/>
      <c r="BY565" s="5127"/>
      <c r="BZ565" s="5127"/>
      <c r="CA565" s="5127"/>
      <c r="CB565" s="5127"/>
      <c r="CC565" s="3814" t="s">
        <v>166</v>
      </c>
      <c r="CD565" s="3814" t="s">
        <v>154</v>
      </c>
      <c r="CE565" s="5039"/>
      <c r="CF565" s="5039"/>
      <c r="CG565" s="5039"/>
      <c r="CH565" s="5039"/>
    </row>
    <row r="566" s="4971" customFormat="1" ht="81.65" customHeight="1" spans="1:86">
      <c r="A566" s="2963">
        <v>105</v>
      </c>
      <c r="B566" s="5620" t="s">
        <v>809</v>
      </c>
      <c r="C566" s="2967">
        <v>44501</v>
      </c>
      <c r="D566" s="5755" t="s">
        <v>1332</v>
      </c>
      <c r="E566" s="5755" t="s">
        <v>1333</v>
      </c>
      <c r="F566" s="5755" t="s">
        <v>1334</v>
      </c>
      <c r="G566" s="5755" t="s">
        <v>1335</v>
      </c>
      <c r="H566" s="5755" t="s">
        <v>1189</v>
      </c>
      <c r="I566" s="5550"/>
      <c r="J566" s="5755" t="s">
        <v>815</v>
      </c>
      <c r="K566" s="5755" t="s">
        <v>1336</v>
      </c>
      <c r="L566" s="5755" t="s">
        <v>1337</v>
      </c>
      <c r="M566" s="2967">
        <f>SUM(N566:AB588)</f>
        <v>9231938.78</v>
      </c>
      <c r="N566" s="2967"/>
      <c r="O566" s="2967"/>
      <c r="P566" s="2967"/>
      <c r="Q566" s="2967"/>
      <c r="R566" s="2967"/>
      <c r="S566" s="2967">
        <v>8614225.21</v>
      </c>
      <c r="T566" s="2967"/>
      <c r="U566" s="2967">
        <v>562208.39</v>
      </c>
      <c r="V566" s="2967"/>
      <c r="W566" s="2967"/>
      <c r="X566" s="2967"/>
      <c r="Y566" s="5566"/>
      <c r="Z566" s="5566"/>
      <c r="AA566" s="2967">
        <v>55505.18</v>
      </c>
      <c r="AB566" s="2967"/>
      <c r="AC566" s="5620" t="s">
        <v>1338</v>
      </c>
      <c r="AD566" s="5602" t="s">
        <v>1339</v>
      </c>
      <c r="AE566" s="5603">
        <v>1</v>
      </c>
      <c r="AF566" s="2966">
        <v>600000</v>
      </c>
      <c r="AG566" s="2966">
        <f t="shared" si="120"/>
        <v>590000</v>
      </c>
      <c r="AH566" s="5620" t="s">
        <v>122</v>
      </c>
      <c r="AI566" s="2966">
        <v>44854</v>
      </c>
      <c r="AJ566" s="2966">
        <v>590000</v>
      </c>
      <c r="AK566" s="2966">
        <v>44854</v>
      </c>
      <c r="AL566" s="2966">
        <v>600000</v>
      </c>
      <c r="AM566" s="2966">
        <v>44932</v>
      </c>
      <c r="AN566" s="2966">
        <f>SUM(BO566:CB567)</f>
        <v>600000</v>
      </c>
      <c r="AO566" s="2966">
        <v>44945</v>
      </c>
      <c r="AP566" s="2966">
        <f>AN566-AG566-AG567</f>
        <v>0</v>
      </c>
      <c r="AQ566" s="2967"/>
      <c r="AR566" s="2967"/>
      <c r="AS566" s="5646"/>
      <c r="AT566" s="5633"/>
      <c r="AU566" s="2960">
        <f>SUM(AG566:AG588)</f>
        <v>7111921.2988412</v>
      </c>
      <c r="AV566" s="2960">
        <f>SUM(AL566:AL588)</f>
        <v>5611654.47</v>
      </c>
      <c r="AW566" s="2960">
        <f>SUM(AN566:AN588)</f>
        <v>6521698.0868312</v>
      </c>
      <c r="AX566" s="2960">
        <f>M566-AU566</f>
        <v>2120017.4811588</v>
      </c>
      <c r="AY566" s="2960">
        <f>AU566-AV566</f>
        <v>1500266.8288412</v>
      </c>
      <c r="AZ566" s="2960">
        <f>AV566-AW566</f>
        <v>-910043.616831198</v>
      </c>
      <c r="BA566" s="5794"/>
      <c r="BB566" s="5625"/>
      <c r="BC566" s="5625"/>
      <c r="BD566" s="5794"/>
      <c r="BE566" s="5794"/>
      <c r="BF566" s="5779">
        <v>441680</v>
      </c>
      <c r="BG566" s="5779"/>
      <c r="BH566" s="2966">
        <v>143820</v>
      </c>
      <c r="BI566" s="2966"/>
      <c r="BJ566" s="2966"/>
      <c r="BK566" s="2966"/>
      <c r="BL566" s="2966"/>
      <c r="BM566" s="2966"/>
      <c r="BN566" s="2966">
        <v>4500</v>
      </c>
      <c r="BO566" s="5633"/>
      <c r="BP566" s="5633"/>
      <c r="BQ566" s="5633"/>
      <c r="BR566" s="5807"/>
      <c r="BS566" s="5633"/>
      <c r="BT566" s="5779">
        <v>441680</v>
      </c>
      <c r="BU566" s="5779"/>
      <c r="BV566" s="2966">
        <v>143820</v>
      </c>
      <c r="BW566" s="2966"/>
      <c r="BX566" s="2966"/>
      <c r="BY566" s="2966"/>
      <c r="BZ566" s="2966"/>
      <c r="CA566" s="2966"/>
      <c r="CB566" s="2966">
        <v>4500</v>
      </c>
      <c r="CC566" s="5620"/>
      <c r="CD566" s="5620" t="s">
        <v>154</v>
      </c>
      <c r="CE566" s="5039"/>
      <c r="CF566" s="5039"/>
      <c r="CG566" s="5039"/>
      <c r="CH566" s="5039"/>
    </row>
    <row r="567" s="4971" customFormat="1" ht="81.65" customHeight="1" spans="1:86">
      <c r="A567" s="2963"/>
      <c r="B567" s="5620"/>
      <c r="C567" s="2967"/>
      <c r="D567" s="5755"/>
      <c r="E567" s="5755"/>
      <c r="F567" s="5755"/>
      <c r="G567" s="5755"/>
      <c r="H567" s="5755"/>
      <c r="I567" s="5567"/>
      <c r="J567" s="5755"/>
      <c r="K567" s="5755"/>
      <c r="L567" s="5755"/>
      <c r="M567" s="2967"/>
      <c r="N567" s="2967"/>
      <c r="O567" s="2967"/>
      <c r="P567" s="2967"/>
      <c r="Q567" s="2967"/>
      <c r="R567" s="2967"/>
      <c r="S567" s="2967"/>
      <c r="T567" s="2967"/>
      <c r="U567" s="2967"/>
      <c r="V567" s="2967"/>
      <c r="W567" s="2967"/>
      <c r="X567" s="2967"/>
      <c r="Y567" s="5568"/>
      <c r="Z567" s="5568"/>
      <c r="AA567" s="2967"/>
      <c r="AB567" s="2967"/>
      <c r="AC567" s="5620"/>
      <c r="AD567" s="5602"/>
      <c r="AE567" s="5603"/>
      <c r="AF567" s="2966"/>
      <c r="AG567" s="2966">
        <f t="shared" si="120"/>
        <v>10000</v>
      </c>
      <c r="AH567" s="5620" t="s">
        <v>122</v>
      </c>
      <c r="AI567" s="2966">
        <v>44932</v>
      </c>
      <c r="AJ567" s="2966">
        <v>10000</v>
      </c>
      <c r="AK567" s="2966">
        <v>44932</v>
      </c>
      <c r="AL567" s="2966"/>
      <c r="AM567" s="2966"/>
      <c r="AN567" s="2966"/>
      <c r="AO567" s="2966">
        <v>44945</v>
      </c>
      <c r="AP567" s="2966"/>
      <c r="AQ567" s="2967"/>
      <c r="AR567" s="2967"/>
      <c r="AS567" s="5646"/>
      <c r="AT567" s="5633"/>
      <c r="AU567" s="2960"/>
      <c r="AV567" s="2960"/>
      <c r="AW567" s="2960"/>
      <c r="AX567" s="2960"/>
      <c r="AY567" s="2960"/>
      <c r="AZ567" s="2960"/>
      <c r="BA567" s="5795"/>
      <c r="BB567" s="5653"/>
      <c r="BC567" s="5653"/>
      <c r="BD567" s="5794"/>
      <c r="BE567" s="5795"/>
      <c r="BF567" s="5779"/>
      <c r="BG567" s="5779"/>
      <c r="BH567" s="2966"/>
      <c r="BI567" s="2966"/>
      <c r="BJ567" s="2966"/>
      <c r="BK567" s="2966"/>
      <c r="BL567" s="2966"/>
      <c r="BM567" s="2966"/>
      <c r="BN567" s="2966">
        <v>10000</v>
      </c>
      <c r="BO567" s="5633"/>
      <c r="BP567" s="5633"/>
      <c r="BQ567" s="5633"/>
      <c r="BR567" s="5807"/>
      <c r="BS567" s="5633"/>
      <c r="BT567" s="5794"/>
      <c r="BU567" s="5794"/>
      <c r="BV567" s="5625"/>
      <c r="BW567" s="5625"/>
      <c r="BX567" s="5625"/>
      <c r="BY567" s="5625"/>
      <c r="BZ567" s="5625"/>
      <c r="CA567" s="5625"/>
      <c r="CB567" s="2966">
        <v>10000</v>
      </c>
      <c r="CC567" s="5620"/>
      <c r="CD567" s="5620"/>
      <c r="CE567" s="5039"/>
      <c r="CF567" s="5039"/>
      <c r="CG567" s="5039"/>
      <c r="CH567" s="5039"/>
    </row>
    <row r="568" s="4971" customFormat="1" ht="50.25" customHeight="1" spans="1:86">
      <c r="A568" s="2963"/>
      <c r="B568" s="5620"/>
      <c r="C568" s="2967"/>
      <c r="D568" s="5755"/>
      <c r="E568" s="5755"/>
      <c r="F568" s="5755"/>
      <c r="G568" s="5755"/>
      <c r="H568" s="5755"/>
      <c r="I568" s="5567"/>
      <c r="J568" s="5755"/>
      <c r="K568" s="5755"/>
      <c r="L568" s="5755"/>
      <c r="M568" s="2967"/>
      <c r="N568" s="2967"/>
      <c r="O568" s="2967"/>
      <c r="P568" s="2967"/>
      <c r="Q568" s="2967"/>
      <c r="R568" s="2967"/>
      <c r="S568" s="2967"/>
      <c r="T568" s="2967"/>
      <c r="U568" s="2967"/>
      <c r="V568" s="2967"/>
      <c r="W568" s="2967"/>
      <c r="X568" s="2967"/>
      <c r="Y568" s="5568"/>
      <c r="Z568" s="5568"/>
      <c r="AA568" s="2967"/>
      <c r="AB568" s="2967"/>
      <c r="AC568" s="5755" t="s">
        <v>1340</v>
      </c>
      <c r="AD568" s="5755" t="s">
        <v>1341</v>
      </c>
      <c r="AE568" s="5603">
        <v>0.7</v>
      </c>
      <c r="AF568" s="2966">
        <v>959706.74</v>
      </c>
      <c r="AG568" s="2966">
        <f t="shared" si="120"/>
        <v>959706.74</v>
      </c>
      <c r="AH568" s="5620" t="s">
        <v>122</v>
      </c>
      <c r="AI568" s="2966">
        <v>44864</v>
      </c>
      <c r="AJ568" s="2966">
        <v>959706.74</v>
      </c>
      <c r="AK568" s="2966">
        <v>44854</v>
      </c>
      <c r="AL568" s="2966">
        <v>959706.74</v>
      </c>
      <c r="AM568" s="2966">
        <v>44932</v>
      </c>
      <c r="AN568" s="2966">
        <f>SUM(BO568:CB568)</f>
        <v>959706.74</v>
      </c>
      <c r="AO568" s="2966">
        <v>44945</v>
      </c>
      <c r="AP568" s="2966">
        <f>AG568-AN568</f>
        <v>0</v>
      </c>
      <c r="AQ568" s="5782" t="s">
        <v>1342</v>
      </c>
      <c r="AR568" s="2967"/>
      <c r="AS568" s="5646"/>
      <c r="AT568" s="5633"/>
      <c r="AU568" s="2960"/>
      <c r="AV568" s="2960"/>
      <c r="AW568" s="2960"/>
      <c r="AX568" s="2960"/>
      <c r="AY568" s="2960"/>
      <c r="AZ568" s="2960"/>
      <c r="BA568" s="5794"/>
      <c r="BB568" s="5625"/>
      <c r="BC568" s="5625"/>
      <c r="BD568" s="5794"/>
      <c r="BE568" s="5794"/>
      <c r="BF568" s="5779">
        <v>836850.4</v>
      </c>
      <c r="BG568" s="5779"/>
      <c r="BH568" s="2966">
        <v>113259.27</v>
      </c>
      <c r="BI568" s="2966"/>
      <c r="BJ568" s="2966"/>
      <c r="BK568" s="2966"/>
      <c r="BL568" s="2966"/>
      <c r="BM568" s="2966"/>
      <c r="BN568" s="2966">
        <v>9597.07</v>
      </c>
      <c r="BO568" s="5633"/>
      <c r="BP568" s="5633"/>
      <c r="BQ568" s="5633"/>
      <c r="BR568" s="5807"/>
      <c r="BS568" s="5633"/>
      <c r="BT568" s="5779">
        <v>836850.4</v>
      </c>
      <c r="BU568" s="5779"/>
      <c r="BV568" s="2966">
        <v>113259.27</v>
      </c>
      <c r="BW568" s="5625"/>
      <c r="BX568" s="5625"/>
      <c r="BY568" s="5625"/>
      <c r="BZ568" s="5625"/>
      <c r="CA568" s="5625"/>
      <c r="CB568" s="2966">
        <v>9597.07</v>
      </c>
      <c r="CC568" s="5620"/>
      <c r="CD568" s="5620"/>
      <c r="CE568" s="5039"/>
      <c r="CF568" s="5039"/>
      <c r="CG568" s="5039"/>
      <c r="CH568" s="5039"/>
    </row>
    <row r="569" s="4971" customFormat="1" ht="36" customHeight="1" spans="1:86">
      <c r="A569" s="2963"/>
      <c r="B569" s="5620"/>
      <c r="C569" s="2967"/>
      <c r="D569" s="5755"/>
      <c r="E569" s="5755"/>
      <c r="F569" s="5755"/>
      <c r="G569" s="5755"/>
      <c r="H569" s="5755"/>
      <c r="I569" s="5567"/>
      <c r="J569" s="5755"/>
      <c r="K569" s="5755"/>
      <c r="L569" s="5755"/>
      <c r="M569" s="2967"/>
      <c r="N569" s="2967"/>
      <c r="O569" s="2967"/>
      <c r="P569" s="2967"/>
      <c r="Q569" s="2967"/>
      <c r="R569" s="2967"/>
      <c r="S569" s="2967"/>
      <c r="T569" s="2967"/>
      <c r="U569" s="2967"/>
      <c r="V569" s="2967"/>
      <c r="W569" s="2967"/>
      <c r="X569" s="2967"/>
      <c r="Y569" s="5568"/>
      <c r="Z569" s="5568"/>
      <c r="AA569" s="2967"/>
      <c r="AB569" s="2967"/>
      <c r="AC569" s="5755"/>
      <c r="AD569" s="5755" t="s">
        <v>1343</v>
      </c>
      <c r="AE569" s="5773">
        <v>0.5</v>
      </c>
      <c r="AF569" s="2966">
        <v>1154404.66</v>
      </c>
      <c r="AG569" s="2966">
        <f t="shared" si="120"/>
        <v>1154404.662334</v>
      </c>
      <c r="AH569" s="5620" t="s">
        <v>122</v>
      </c>
      <c r="AI569" s="2966">
        <v>45280</v>
      </c>
      <c r="AJ569" s="2966">
        <v>1154404.66</v>
      </c>
      <c r="AK569" s="2966">
        <v>45280</v>
      </c>
      <c r="AL569" s="2966">
        <v>1154404.66</v>
      </c>
      <c r="AM569" s="2966">
        <v>45280</v>
      </c>
      <c r="AN569" s="2966">
        <f>SUM(BO569:CB569)</f>
        <v>1154404.662334</v>
      </c>
      <c r="AO569" s="2966">
        <v>45302</v>
      </c>
      <c r="AP569" s="2966">
        <f>AG569-AN569</f>
        <v>0</v>
      </c>
      <c r="AQ569" s="5782" t="s">
        <v>1344</v>
      </c>
      <c r="AR569" s="2967"/>
      <c r="AS569" s="5646"/>
      <c r="AT569" s="5633"/>
      <c r="AU569" s="2960"/>
      <c r="AV569" s="2960"/>
      <c r="AW569" s="2960"/>
      <c r="AX569" s="2960"/>
      <c r="AY569" s="2960"/>
      <c r="AZ569" s="2960"/>
      <c r="BA569" s="5794"/>
      <c r="BB569" s="5625"/>
      <c r="BC569" s="5625"/>
      <c r="BD569" s="5794"/>
      <c r="BE569" s="5794"/>
      <c r="BF569" s="2966">
        <v>1006167.73</v>
      </c>
      <c r="BG569" s="5779"/>
      <c r="BH569" s="2966">
        <v>148236.932334</v>
      </c>
      <c r="BI569" s="5621"/>
      <c r="BJ569" s="5621"/>
      <c r="BK569" s="5621"/>
      <c r="BL569" s="5621"/>
      <c r="BM569" s="5621"/>
      <c r="BN569" s="5621"/>
      <c r="BO569" s="5807"/>
      <c r="BP569" s="5807"/>
      <c r="BQ569" s="5807"/>
      <c r="BR569" s="5807"/>
      <c r="BS569" s="5807"/>
      <c r="BT569" s="2966">
        <v>1006167.73</v>
      </c>
      <c r="BU569" s="5807"/>
      <c r="BV569" s="2966">
        <v>148236.932334</v>
      </c>
      <c r="BW569" s="5621"/>
      <c r="BX569" s="5621"/>
      <c r="BY569" s="5621"/>
      <c r="BZ569" s="5621"/>
      <c r="CA569" s="5621"/>
      <c r="CB569" s="5621"/>
      <c r="CC569" s="5620"/>
      <c r="CD569" s="5620"/>
      <c r="CE569" s="5039"/>
      <c r="CF569" s="5039"/>
      <c r="CG569" s="5039"/>
      <c r="CH569" s="5039"/>
    </row>
    <row r="570" s="4971" customFormat="1" ht="46.5" customHeight="1" spans="1:86">
      <c r="A570" s="2963"/>
      <c r="B570" s="5620"/>
      <c r="C570" s="2967"/>
      <c r="D570" s="5755"/>
      <c r="E570" s="5756"/>
      <c r="F570" s="5755"/>
      <c r="G570" s="5755"/>
      <c r="H570" s="5755"/>
      <c r="I570" s="5567"/>
      <c r="J570" s="5755"/>
      <c r="K570" s="5756"/>
      <c r="L570" s="5755"/>
      <c r="M570" s="2967"/>
      <c r="N570" s="2967"/>
      <c r="O570" s="2967"/>
      <c r="P570" s="2967"/>
      <c r="Q570" s="2967"/>
      <c r="R570" s="2967"/>
      <c r="S570" s="2967"/>
      <c r="T570" s="2967"/>
      <c r="U570" s="2967"/>
      <c r="V570" s="2967"/>
      <c r="W570" s="2967"/>
      <c r="X570" s="2967"/>
      <c r="Y570" s="5568"/>
      <c r="Z570" s="5568"/>
      <c r="AA570" s="2967"/>
      <c r="AB570" s="2967"/>
      <c r="AC570" s="5755"/>
      <c r="AD570" s="5620" t="s">
        <v>1345</v>
      </c>
      <c r="AE570" s="5773">
        <v>0.2</v>
      </c>
      <c r="AF570" s="2966">
        <v>461761.864</v>
      </c>
      <c r="AG570" s="2966">
        <f t="shared" si="120"/>
        <v>461761.8629336</v>
      </c>
      <c r="AH570" s="5620" t="s">
        <v>122</v>
      </c>
      <c r="AI570" s="2966">
        <v>45280</v>
      </c>
      <c r="AJ570" s="2966">
        <v>461761.86</v>
      </c>
      <c r="AK570" s="2966">
        <v>45280</v>
      </c>
      <c r="AL570" s="2966">
        <v>461761.86</v>
      </c>
      <c r="AM570" s="2966">
        <v>45280</v>
      </c>
      <c r="AN570" s="2966">
        <f>SUM(BO570:CB570)</f>
        <v>461761.8629336</v>
      </c>
      <c r="AO570" s="2966">
        <v>45302</v>
      </c>
      <c r="AP570" s="2966">
        <f>AG570-AN570</f>
        <v>0</v>
      </c>
      <c r="AQ570" s="5633"/>
      <c r="AR570" s="2967"/>
      <c r="AS570" s="5646"/>
      <c r="AT570" s="5633"/>
      <c r="AU570" s="2960"/>
      <c r="AV570" s="2960"/>
      <c r="AW570" s="2960"/>
      <c r="AX570" s="2960"/>
      <c r="AY570" s="2960"/>
      <c r="AZ570" s="2960"/>
      <c r="BA570" s="5633"/>
      <c r="BB570" s="2967"/>
      <c r="BC570" s="2967"/>
      <c r="BD570" s="5794"/>
      <c r="BE570" s="5633"/>
      <c r="BF570" s="2966">
        <v>424867.09</v>
      </c>
      <c r="BG570" s="2966"/>
      <c r="BH570" s="2966">
        <v>36894.7729336</v>
      </c>
      <c r="BI570" s="5621"/>
      <c r="BJ570" s="5621"/>
      <c r="BK570" s="5621"/>
      <c r="BL570" s="5621"/>
      <c r="BM570" s="5621"/>
      <c r="BN570" s="5621"/>
      <c r="BO570" s="5807"/>
      <c r="BP570" s="5807"/>
      <c r="BQ570" s="5807"/>
      <c r="BR570" s="5807"/>
      <c r="BS570" s="5807"/>
      <c r="BT570" s="2966">
        <v>424867.09</v>
      </c>
      <c r="BU570" s="5621"/>
      <c r="BV570" s="2966">
        <v>36894.7729336</v>
      </c>
      <c r="BW570" s="5621"/>
      <c r="BX570" s="5621"/>
      <c r="BY570" s="5621"/>
      <c r="BZ570" s="5621"/>
      <c r="CA570" s="5621"/>
      <c r="CB570" s="5621"/>
      <c r="CC570" s="5620"/>
      <c r="CD570" s="5620"/>
      <c r="CE570" s="5039"/>
      <c r="CF570" s="5039"/>
      <c r="CG570" s="5039"/>
      <c r="CH570" s="5039"/>
    </row>
    <row r="571" s="4971" customFormat="1" ht="36.65" customHeight="1" spans="1:86">
      <c r="A571" s="2963"/>
      <c r="B571" s="5620"/>
      <c r="C571" s="2967"/>
      <c r="D571" s="5755"/>
      <c r="E571" s="5756"/>
      <c r="F571" s="5755"/>
      <c r="G571" s="5755"/>
      <c r="H571" s="5755"/>
      <c r="I571" s="5567"/>
      <c r="J571" s="5755"/>
      <c r="K571" s="5756"/>
      <c r="L571" s="5755"/>
      <c r="M571" s="2967"/>
      <c r="N571" s="2967"/>
      <c r="O571" s="2967"/>
      <c r="P571" s="2967"/>
      <c r="Q571" s="2967"/>
      <c r="R571" s="2967"/>
      <c r="S571" s="2967"/>
      <c r="T571" s="2967"/>
      <c r="U571" s="2967"/>
      <c r="V571" s="2967"/>
      <c r="W571" s="2967"/>
      <c r="X571" s="2967"/>
      <c r="Y571" s="5568"/>
      <c r="Z571" s="5568"/>
      <c r="AA571" s="2967"/>
      <c r="AB571" s="2967"/>
      <c r="AC571" s="5755"/>
      <c r="AD571" s="5602" t="s">
        <v>1346</v>
      </c>
      <c r="AE571" s="5603">
        <v>0.2</v>
      </c>
      <c r="AF571" s="2966"/>
      <c r="AG571" s="5621">
        <f t="shared" si="120"/>
        <v>268281.75</v>
      </c>
      <c r="AH571" s="5622" t="s">
        <v>349</v>
      </c>
      <c r="AI571" s="5621">
        <v>46233</v>
      </c>
      <c r="AJ571" s="2966"/>
      <c r="AK571" s="5779"/>
      <c r="AL571" s="2966"/>
      <c r="AM571" s="2966"/>
      <c r="AN571" s="5621">
        <f>SUM(BO571:CB571)</f>
        <v>268281.75</v>
      </c>
      <c r="AO571" s="5621">
        <v>46233</v>
      </c>
      <c r="AP571" s="2966">
        <f>AG571-AN571</f>
        <v>0</v>
      </c>
      <c r="AQ571" s="5633"/>
      <c r="AR571" s="2967"/>
      <c r="AS571" s="5646"/>
      <c r="AT571" s="5633"/>
      <c r="AU571" s="2960"/>
      <c r="AV571" s="2960"/>
      <c r="AW571" s="2960"/>
      <c r="AX571" s="2960"/>
      <c r="AY571" s="2960"/>
      <c r="AZ571" s="2960"/>
      <c r="BA571" s="5633"/>
      <c r="BB571" s="2967"/>
      <c r="BC571" s="2967"/>
      <c r="BD571" s="5794"/>
      <c r="BE571" s="5633"/>
      <c r="BF571" s="2966">
        <v>244163.22</v>
      </c>
      <c r="BG571" s="2966"/>
      <c r="BH571" s="2966">
        <v>21435.71</v>
      </c>
      <c r="BI571" s="2966"/>
      <c r="BJ571" s="2966"/>
      <c r="BK571" s="2966"/>
      <c r="BL571" s="2966"/>
      <c r="BM571" s="2966"/>
      <c r="BN571" s="2966">
        <v>2682.82</v>
      </c>
      <c r="BO571" s="5633"/>
      <c r="BP571" s="5633"/>
      <c r="BQ571" s="5633"/>
      <c r="BR571" s="5807"/>
      <c r="BS571" s="5633"/>
      <c r="BT571" s="2966">
        <v>244163.22</v>
      </c>
      <c r="BU571" s="2966"/>
      <c r="BV571" s="2966">
        <v>21435.71</v>
      </c>
      <c r="BW571" s="2966"/>
      <c r="BX571" s="2966"/>
      <c r="BY571" s="2966"/>
      <c r="BZ571" s="2966"/>
      <c r="CA571" s="2966"/>
      <c r="CB571" s="2966">
        <v>2682.82</v>
      </c>
      <c r="CC571" s="5620"/>
      <c r="CD571" s="5620"/>
      <c r="CE571" s="5039"/>
      <c r="CF571" s="5039"/>
      <c r="CG571" s="5039"/>
      <c r="CH571" s="5039"/>
    </row>
    <row r="572" s="4971" customFormat="1" ht="55" customHeight="1" spans="1:86">
      <c r="A572" s="2963"/>
      <c r="B572" s="5620"/>
      <c r="C572" s="2967"/>
      <c r="D572" s="5755"/>
      <c r="E572" s="5756"/>
      <c r="F572" s="5755"/>
      <c r="G572" s="5755"/>
      <c r="H572" s="5755"/>
      <c r="I572" s="5567"/>
      <c r="J572" s="5755"/>
      <c r="K572" s="5756"/>
      <c r="L572" s="5755"/>
      <c r="M572" s="2967"/>
      <c r="N572" s="2967"/>
      <c r="O572" s="2967"/>
      <c r="P572" s="2967"/>
      <c r="Q572" s="2967"/>
      <c r="R572" s="2967"/>
      <c r="S572" s="2967"/>
      <c r="T572" s="2967"/>
      <c r="U572" s="2967"/>
      <c r="V572" s="2967"/>
      <c r="W572" s="2967"/>
      <c r="X572" s="2967"/>
      <c r="Y572" s="5568"/>
      <c r="Z572" s="5568"/>
      <c r="AA572" s="2967"/>
      <c r="AB572" s="2967"/>
      <c r="AC572" s="5755"/>
      <c r="AD572" s="5602" t="s">
        <v>1347</v>
      </c>
      <c r="AE572" s="5603">
        <v>0.2</v>
      </c>
      <c r="AF572" s="2966"/>
      <c r="AG572" s="5621">
        <f t="shared" si="120"/>
        <v>461761.8615736</v>
      </c>
      <c r="AH572" s="5622" t="s">
        <v>349</v>
      </c>
      <c r="AI572" s="5621">
        <v>46203</v>
      </c>
      <c r="AJ572" s="2966"/>
      <c r="AK572" s="5779"/>
      <c r="AL572" s="2966"/>
      <c r="AM572" s="2966"/>
      <c r="AN572" s="5780">
        <f>SUM(BO572:CB572)</f>
        <v>461761.8615736</v>
      </c>
      <c r="AO572" s="5621"/>
      <c r="AP572" s="2966">
        <f>AG572-AN572</f>
        <v>0</v>
      </c>
      <c r="AQ572" s="5633"/>
      <c r="AR572" s="2967"/>
      <c r="AS572" s="5646"/>
      <c r="AT572" s="5633"/>
      <c r="AU572" s="2960"/>
      <c r="AV572" s="2960"/>
      <c r="AW572" s="2960"/>
      <c r="AX572" s="2960"/>
      <c r="AY572" s="2960"/>
      <c r="AZ572" s="2960"/>
      <c r="BA572" s="5633"/>
      <c r="BB572" s="2967"/>
      <c r="BC572" s="2967"/>
      <c r="BD572" s="5794"/>
      <c r="BE572" s="5633"/>
      <c r="BF572" s="5798">
        <v>420249.47</v>
      </c>
      <c r="BG572" s="5798"/>
      <c r="BH572" s="5798">
        <v>36894.7729336</v>
      </c>
      <c r="BI572" s="5798"/>
      <c r="BJ572" s="5798"/>
      <c r="BK572" s="5798"/>
      <c r="BL572" s="5798"/>
      <c r="BM572" s="5798"/>
      <c r="BN572" s="5798">
        <v>4617.61864</v>
      </c>
      <c r="BO572" s="5633"/>
      <c r="BP572" s="5633"/>
      <c r="BQ572" s="5633"/>
      <c r="BR572" s="5807"/>
      <c r="BS572" s="5633"/>
      <c r="BT572" s="5798">
        <v>420249.47</v>
      </c>
      <c r="BU572" s="5798"/>
      <c r="BV572" s="5798">
        <v>36894.7729336</v>
      </c>
      <c r="BW572" s="5798"/>
      <c r="BX572" s="5798"/>
      <c r="BY572" s="5798"/>
      <c r="BZ572" s="5798"/>
      <c r="CA572" s="5798"/>
      <c r="CB572" s="5798">
        <v>4617.61864</v>
      </c>
      <c r="CC572" s="5620"/>
      <c r="CD572" s="5620"/>
      <c r="CE572" s="5039"/>
      <c r="CF572" s="5039"/>
      <c r="CG572" s="5039"/>
      <c r="CH572" s="5039"/>
    </row>
    <row r="573" s="4971" customFormat="1" ht="58.35" customHeight="1" spans="1:86">
      <c r="A573" s="2963"/>
      <c r="B573" s="5620"/>
      <c r="C573" s="2967"/>
      <c r="D573" s="5755"/>
      <c r="E573" s="5756"/>
      <c r="F573" s="5755"/>
      <c r="G573" s="5755"/>
      <c r="H573" s="5755"/>
      <c r="I573" s="5567"/>
      <c r="J573" s="5755"/>
      <c r="K573" s="5756"/>
      <c r="L573" s="5755"/>
      <c r="M573" s="2967"/>
      <c r="N573" s="2967"/>
      <c r="O573" s="2967"/>
      <c r="P573" s="2967"/>
      <c r="Q573" s="2967"/>
      <c r="R573" s="2967"/>
      <c r="S573" s="2967"/>
      <c r="T573" s="2967"/>
      <c r="U573" s="2967"/>
      <c r="V573" s="2967"/>
      <c r="W573" s="2967"/>
      <c r="X573" s="2967"/>
      <c r="Y573" s="5568"/>
      <c r="Z573" s="5568"/>
      <c r="AA573" s="2967"/>
      <c r="AB573" s="2967"/>
      <c r="AC573" s="5755"/>
      <c r="AD573" s="5602"/>
      <c r="AE573" s="5603"/>
      <c r="AF573" s="2966"/>
      <c r="AG573" s="5621"/>
      <c r="AH573" s="5620"/>
      <c r="AI573" s="2966"/>
      <c r="AJ573" s="2966"/>
      <c r="AK573" s="5779"/>
      <c r="AL573" s="2966"/>
      <c r="AM573" s="2966"/>
      <c r="AN573" s="5780"/>
      <c r="AO573" s="5621"/>
      <c r="AP573" s="2966"/>
      <c r="AQ573" s="5633"/>
      <c r="AR573" s="2967"/>
      <c r="AS573" s="5646"/>
      <c r="AT573" s="5633"/>
      <c r="AU573" s="2960"/>
      <c r="AV573" s="2960"/>
      <c r="AW573" s="2960"/>
      <c r="AX573" s="2960"/>
      <c r="AY573" s="2960"/>
      <c r="AZ573" s="2960"/>
      <c r="BA573" s="5633"/>
      <c r="BB573" s="2967"/>
      <c r="BC573" s="2967"/>
      <c r="BD573" s="5794"/>
      <c r="BE573" s="5633"/>
      <c r="BF573" s="5798"/>
      <c r="BG573" s="5633"/>
      <c r="BH573" s="5798"/>
      <c r="BI573" s="2967"/>
      <c r="BJ573" s="2967"/>
      <c r="BK573" s="2967"/>
      <c r="BL573" s="2967"/>
      <c r="BM573" s="2967"/>
      <c r="BN573" s="5798"/>
      <c r="BO573" s="5633"/>
      <c r="BP573" s="5633"/>
      <c r="BQ573" s="5633"/>
      <c r="BR573" s="5807"/>
      <c r="BS573" s="5633"/>
      <c r="BT573" s="5798"/>
      <c r="BU573" s="5633"/>
      <c r="BV573" s="5798"/>
      <c r="BW573" s="2967"/>
      <c r="BX573" s="2967"/>
      <c r="BY573" s="2967"/>
      <c r="BZ573" s="2967"/>
      <c r="CA573" s="2967"/>
      <c r="CB573" s="5798"/>
      <c r="CC573" s="5620"/>
      <c r="CD573" s="5620"/>
      <c r="CE573" s="5039"/>
      <c r="CF573" s="5039"/>
      <c r="CG573" s="5039"/>
      <c r="CH573" s="5039"/>
    </row>
    <row r="574" s="4971" customFormat="1" ht="58.35" customHeight="1" spans="1:86">
      <c r="A574" s="2963"/>
      <c r="B574" s="5620"/>
      <c r="C574" s="2967"/>
      <c r="D574" s="5755"/>
      <c r="E574" s="5756"/>
      <c r="F574" s="5755"/>
      <c r="G574" s="5755"/>
      <c r="H574" s="5755"/>
      <c r="I574" s="5567"/>
      <c r="J574" s="5755"/>
      <c r="K574" s="5756"/>
      <c r="L574" s="5755"/>
      <c r="M574" s="2967"/>
      <c r="N574" s="2967"/>
      <c r="O574" s="2967"/>
      <c r="P574" s="2967"/>
      <c r="Q574" s="2967"/>
      <c r="R574" s="2967"/>
      <c r="S574" s="2967"/>
      <c r="T574" s="2967"/>
      <c r="U574" s="2967"/>
      <c r="V574" s="2967"/>
      <c r="W574" s="2967"/>
      <c r="X574" s="2967"/>
      <c r="Y574" s="5568"/>
      <c r="Z574" s="5568"/>
      <c r="AA574" s="2967"/>
      <c r="AB574" s="2967"/>
      <c r="AC574" s="5755"/>
      <c r="AD574" s="5602" t="s">
        <v>1348</v>
      </c>
      <c r="AE574" s="5603">
        <v>0.1</v>
      </c>
      <c r="AF574" s="2966">
        <v>449051.8</v>
      </c>
      <c r="AG574" s="5621">
        <f t="shared" ref="AG574:AG584" si="121">SUM(BA574:BN574)</f>
        <v>0</v>
      </c>
      <c r="AH574" s="5620"/>
      <c r="AI574" s="2966"/>
      <c r="AJ574" s="2966"/>
      <c r="AK574" s="5779"/>
      <c r="AL574" s="2966"/>
      <c r="AM574" s="2966"/>
      <c r="AN574" s="5780">
        <f t="shared" ref="AN574:AN580" si="122">SUM(BO574:CB574)</f>
        <v>0</v>
      </c>
      <c r="AO574" s="5621"/>
      <c r="AP574" s="2966">
        <f t="shared" ref="AP574:AP595" si="123">AG574-AN574</f>
        <v>0</v>
      </c>
      <c r="AQ574" s="5633"/>
      <c r="AR574" s="2967"/>
      <c r="AS574" s="5646"/>
      <c r="AT574" s="5633"/>
      <c r="AU574" s="2960"/>
      <c r="AV574" s="2960"/>
      <c r="AW574" s="2960"/>
      <c r="AX574" s="2960"/>
      <c r="AY574" s="2960"/>
      <c r="AZ574" s="2960"/>
      <c r="BA574" s="5633"/>
      <c r="BB574" s="2967"/>
      <c r="BC574" s="2967"/>
      <c r="BD574" s="5794"/>
      <c r="BE574" s="5633"/>
      <c r="BF574" s="5798"/>
      <c r="BG574" s="5633"/>
      <c r="BH574" s="5798"/>
      <c r="BI574" s="2967"/>
      <c r="BJ574" s="2967"/>
      <c r="BK574" s="2967"/>
      <c r="BL574" s="2967"/>
      <c r="BM574" s="2967"/>
      <c r="BN574" s="5798"/>
      <c r="BO574" s="5633"/>
      <c r="BP574" s="5633"/>
      <c r="BQ574" s="5633"/>
      <c r="BR574" s="5807"/>
      <c r="BS574" s="5633"/>
      <c r="BT574" s="5798"/>
      <c r="BU574" s="5633"/>
      <c r="BV574" s="5798"/>
      <c r="BW574" s="2967"/>
      <c r="BX574" s="2967"/>
      <c r="BY574" s="2967"/>
      <c r="BZ574" s="2967"/>
      <c r="CA574" s="2967"/>
      <c r="CB574" s="5798"/>
      <c r="CC574" s="5620"/>
      <c r="CD574" s="5620"/>
      <c r="CE574" s="5039"/>
      <c r="CF574" s="5039"/>
      <c r="CG574" s="5039"/>
      <c r="CH574" s="5039"/>
    </row>
    <row r="575" s="4971" customFormat="1" ht="57.5" customHeight="1" spans="1:86">
      <c r="A575" s="2963"/>
      <c r="B575" s="5620"/>
      <c r="C575" s="2967"/>
      <c r="D575" s="5755"/>
      <c r="E575" s="5756"/>
      <c r="F575" s="5755"/>
      <c r="G575" s="5755"/>
      <c r="H575" s="5755"/>
      <c r="I575" s="5567"/>
      <c r="J575" s="5755"/>
      <c r="K575" s="5756"/>
      <c r="L575" s="5755"/>
      <c r="M575" s="2967"/>
      <c r="N575" s="2967"/>
      <c r="O575" s="2967"/>
      <c r="P575" s="2967"/>
      <c r="Q575" s="2967"/>
      <c r="R575" s="2967"/>
      <c r="S575" s="2967"/>
      <c r="T575" s="2967"/>
      <c r="U575" s="2967"/>
      <c r="V575" s="2967"/>
      <c r="W575" s="2967"/>
      <c r="X575" s="2967"/>
      <c r="Y575" s="5568"/>
      <c r="Z575" s="5568"/>
      <c r="AA575" s="2967"/>
      <c r="AB575" s="2967"/>
      <c r="AC575" s="5755" t="s">
        <v>1349</v>
      </c>
      <c r="AD575" s="5602" t="s">
        <v>1350</v>
      </c>
      <c r="AE575" s="5603">
        <v>0.5</v>
      </c>
      <c r="AF575" s="2966">
        <v>300000</v>
      </c>
      <c r="AG575" s="2966">
        <f t="shared" si="121"/>
        <v>300000</v>
      </c>
      <c r="AH575" s="5620" t="s">
        <v>122</v>
      </c>
      <c r="AI575" s="2966">
        <v>44864</v>
      </c>
      <c r="AJ575" s="2966">
        <v>300000</v>
      </c>
      <c r="AK575" s="2966">
        <v>44854</v>
      </c>
      <c r="AL575" s="2966">
        <v>300000</v>
      </c>
      <c r="AM575" s="2966">
        <v>44932</v>
      </c>
      <c r="AN575" s="2966">
        <f t="shared" si="122"/>
        <v>300000</v>
      </c>
      <c r="AO575" s="2966">
        <v>44945</v>
      </c>
      <c r="AP575" s="2966">
        <f t="shared" si="123"/>
        <v>0</v>
      </c>
      <c r="AQ575" s="5633"/>
      <c r="AR575" s="2967"/>
      <c r="AS575" s="5646"/>
      <c r="AT575" s="5633"/>
      <c r="AU575" s="2960"/>
      <c r="AV575" s="2960"/>
      <c r="AW575" s="2960"/>
      <c r="AX575" s="2960"/>
      <c r="AY575" s="2960"/>
      <c r="AZ575" s="2960"/>
      <c r="BA575" s="5794"/>
      <c r="BB575" s="5625"/>
      <c r="BC575" s="5625"/>
      <c r="BD575" s="5794"/>
      <c r="BE575" s="5794"/>
      <c r="BF575" s="2966">
        <v>232139.9</v>
      </c>
      <c r="BG575" s="2966"/>
      <c r="BH575" s="2966">
        <v>64860.1</v>
      </c>
      <c r="BI575" s="2966"/>
      <c r="BJ575" s="2966"/>
      <c r="BK575" s="2966"/>
      <c r="BL575" s="2966"/>
      <c r="BM575" s="2966"/>
      <c r="BN575" s="2966">
        <v>3000</v>
      </c>
      <c r="BO575" s="5633"/>
      <c r="BP575" s="5633"/>
      <c r="BQ575" s="5633"/>
      <c r="BR575" s="5807"/>
      <c r="BS575" s="5633"/>
      <c r="BT575" s="2966">
        <v>232139.9</v>
      </c>
      <c r="BU575" s="2966"/>
      <c r="BV575" s="2966">
        <v>64860.1</v>
      </c>
      <c r="BW575" s="2966"/>
      <c r="BX575" s="2966"/>
      <c r="BY575" s="2966"/>
      <c r="BZ575" s="2966"/>
      <c r="CA575" s="2966"/>
      <c r="CB575" s="2966">
        <v>3000</v>
      </c>
      <c r="CC575" s="5620"/>
      <c r="CD575" s="5620"/>
      <c r="CE575" s="5039"/>
      <c r="CF575" s="5039"/>
      <c r="CG575" s="5039"/>
      <c r="CH575" s="5039"/>
    </row>
    <row r="576" s="4971" customFormat="1" ht="31.65" customHeight="1" spans="1:86">
      <c r="A576" s="2963"/>
      <c r="B576" s="5620"/>
      <c r="C576" s="2967"/>
      <c r="D576" s="5755"/>
      <c r="E576" s="5756"/>
      <c r="F576" s="5755"/>
      <c r="G576" s="5755"/>
      <c r="H576" s="5755"/>
      <c r="I576" s="5567"/>
      <c r="J576" s="5755"/>
      <c r="K576" s="5756"/>
      <c r="L576" s="5755"/>
      <c r="M576" s="2967"/>
      <c r="N576" s="2967"/>
      <c r="O576" s="2967"/>
      <c r="P576" s="2967"/>
      <c r="Q576" s="2967"/>
      <c r="R576" s="2967"/>
      <c r="S576" s="2967"/>
      <c r="T576" s="2967"/>
      <c r="U576" s="2967"/>
      <c r="V576" s="2967"/>
      <c r="W576" s="2967"/>
      <c r="X576" s="2967"/>
      <c r="Y576" s="5568"/>
      <c r="Z576" s="5568"/>
      <c r="AA576" s="2967"/>
      <c r="AB576" s="2967"/>
      <c r="AC576" s="5755"/>
      <c r="AD576" s="5602" t="s">
        <v>1351</v>
      </c>
      <c r="AE576" s="5603">
        <v>0.2</v>
      </c>
      <c r="AF576" s="2966">
        <v>120000</v>
      </c>
      <c r="AG576" s="2966">
        <f t="shared" si="121"/>
        <v>120000</v>
      </c>
      <c r="AH576" s="5620" t="s">
        <v>122</v>
      </c>
      <c r="AI576" s="2966">
        <v>44864</v>
      </c>
      <c r="AJ576" s="2966">
        <v>120000</v>
      </c>
      <c r="AK576" s="2966">
        <v>44854</v>
      </c>
      <c r="AL576" s="2966">
        <v>120000</v>
      </c>
      <c r="AM576" s="2966">
        <v>44932</v>
      </c>
      <c r="AN576" s="2966">
        <f t="shared" si="122"/>
        <v>120000</v>
      </c>
      <c r="AO576" s="2966">
        <v>44945</v>
      </c>
      <c r="AP576" s="2966">
        <f t="shared" si="123"/>
        <v>0</v>
      </c>
      <c r="AQ576" s="5633"/>
      <c r="AR576" s="2967"/>
      <c r="AS576" s="5646"/>
      <c r="AT576" s="5633"/>
      <c r="AU576" s="2960"/>
      <c r="AV576" s="2960"/>
      <c r="AW576" s="2960"/>
      <c r="AX576" s="2960"/>
      <c r="AY576" s="2960"/>
      <c r="AZ576" s="2960"/>
      <c r="BA576" s="5794"/>
      <c r="BB576" s="5625"/>
      <c r="BC576" s="5625"/>
      <c r="BD576" s="5794"/>
      <c r="BE576" s="5794"/>
      <c r="BF576" s="2966">
        <v>107520</v>
      </c>
      <c r="BG576" s="2966"/>
      <c r="BH576" s="2966">
        <v>11280</v>
      </c>
      <c r="BI576" s="2966"/>
      <c r="BJ576" s="2966"/>
      <c r="BK576" s="2966"/>
      <c r="BL576" s="2966"/>
      <c r="BM576" s="2966"/>
      <c r="BN576" s="2966">
        <v>1200</v>
      </c>
      <c r="BO576" s="5633"/>
      <c r="BP576" s="5633"/>
      <c r="BQ576" s="5633"/>
      <c r="BR576" s="5807"/>
      <c r="BS576" s="5633"/>
      <c r="BT576" s="2966">
        <v>107520</v>
      </c>
      <c r="BU576" s="2966"/>
      <c r="BV576" s="2966">
        <v>11280</v>
      </c>
      <c r="BW576" s="2966"/>
      <c r="BX576" s="2966"/>
      <c r="BY576" s="2966"/>
      <c r="BZ576" s="2966"/>
      <c r="CA576" s="2966"/>
      <c r="CB576" s="2966">
        <v>1200</v>
      </c>
      <c r="CC576" s="5620"/>
      <c r="CD576" s="5620"/>
      <c r="CE576" s="5039"/>
      <c r="CF576" s="5039"/>
      <c r="CG576" s="5039"/>
      <c r="CH576" s="5039"/>
    </row>
    <row r="577" s="4971" customFormat="1" ht="61" spans="1:86">
      <c r="A577" s="2963"/>
      <c r="B577" s="5620"/>
      <c r="C577" s="2967"/>
      <c r="D577" s="5755"/>
      <c r="E577" s="5756"/>
      <c r="F577" s="5755"/>
      <c r="G577" s="5755"/>
      <c r="H577" s="5755"/>
      <c r="I577" s="5567"/>
      <c r="J577" s="5755"/>
      <c r="K577" s="5756"/>
      <c r="L577" s="5755"/>
      <c r="M577" s="2967"/>
      <c r="N577" s="2967"/>
      <c r="O577" s="2967"/>
      <c r="P577" s="2967"/>
      <c r="Q577" s="2967"/>
      <c r="R577" s="2967"/>
      <c r="S577" s="2967"/>
      <c r="T577" s="2967"/>
      <c r="U577" s="2967"/>
      <c r="V577" s="2967"/>
      <c r="W577" s="2967"/>
      <c r="X577" s="2967"/>
      <c r="Y577" s="5568"/>
      <c r="Z577" s="5568"/>
      <c r="AA577" s="2967"/>
      <c r="AB577" s="2967"/>
      <c r="AC577" s="5755"/>
      <c r="AD577" s="5602" t="s">
        <v>1352</v>
      </c>
      <c r="AE577" s="5773">
        <v>0.2</v>
      </c>
      <c r="AF577" s="2966">
        <v>120000</v>
      </c>
      <c r="AG577" s="2966">
        <f t="shared" si="121"/>
        <v>120000</v>
      </c>
      <c r="AH577" s="5620" t="s">
        <v>122</v>
      </c>
      <c r="AI577" s="2966">
        <v>45287</v>
      </c>
      <c r="AJ577" s="2966">
        <v>120000</v>
      </c>
      <c r="AK577" s="2966">
        <v>45287</v>
      </c>
      <c r="AL577" s="2966"/>
      <c r="AM577" s="2966"/>
      <c r="AN577" s="5621">
        <f t="shared" si="122"/>
        <v>120000</v>
      </c>
      <c r="AO577" s="5621">
        <v>46233</v>
      </c>
      <c r="AP577" s="2966">
        <f t="shared" si="123"/>
        <v>0</v>
      </c>
      <c r="AQ577" s="5633"/>
      <c r="AR577" s="2967"/>
      <c r="AS577" s="5646"/>
      <c r="AT577" s="5633"/>
      <c r="AU577" s="2960"/>
      <c r="AV577" s="2960"/>
      <c r="AW577" s="2960"/>
      <c r="AX577" s="2960"/>
      <c r="AY577" s="2960"/>
      <c r="AZ577" s="2960"/>
      <c r="BA577" s="5633"/>
      <c r="BB577" s="2967"/>
      <c r="BC577" s="2967"/>
      <c r="BD577" s="5794"/>
      <c r="BE577" s="5633"/>
      <c r="BF577" s="2966">
        <v>107520</v>
      </c>
      <c r="BG577" s="2966"/>
      <c r="BH577" s="2966">
        <v>11280</v>
      </c>
      <c r="BI577" s="2966"/>
      <c r="BJ577" s="2966"/>
      <c r="BK577" s="2966"/>
      <c r="BL577" s="2966"/>
      <c r="BM577" s="2966"/>
      <c r="BN577" s="2966">
        <v>1200</v>
      </c>
      <c r="BO577" s="5633"/>
      <c r="BP577" s="5633"/>
      <c r="BQ577" s="5633"/>
      <c r="BR577" s="5807"/>
      <c r="BS577" s="5633"/>
      <c r="BT577" s="2966">
        <v>107520</v>
      </c>
      <c r="BU577" s="5621"/>
      <c r="BV577" s="2966">
        <v>11280</v>
      </c>
      <c r="BW577" s="5621"/>
      <c r="BX577" s="5621"/>
      <c r="BY577" s="5621"/>
      <c r="BZ577" s="5621"/>
      <c r="CA577" s="5621"/>
      <c r="CB577" s="5621">
        <v>1200</v>
      </c>
      <c r="CC577" s="5620"/>
      <c r="CD577" s="5620"/>
      <c r="CE577" s="5039"/>
      <c r="CF577" s="5039"/>
      <c r="CG577" s="5039"/>
      <c r="CH577" s="5039"/>
    </row>
    <row r="578" s="4971" customFormat="1" ht="52.5" customHeight="1" spans="1:86">
      <c r="A578" s="2963"/>
      <c r="B578" s="5620"/>
      <c r="C578" s="2967"/>
      <c r="D578" s="5755"/>
      <c r="E578" s="5756"/>
      <c r="F578" s="5755"/>
      <c r="G578" s="5755"/>
      <c r="H578" s="5755"/>
      <c r="I578" s="5567"/>
      <c r="J578" s="5755"/>
      <c r="K578" s="5756"/>
      <c r="L578" s="5755"/>
      <c r="M578" s="2967"/>
      <c r="N578" s="2967"/>
      <c r="O578" s="2967"/>
      <c r="P578" s="2967"/>
      <c r="Q578" s="2967"/>
      <c r="R578" s="2967"/>
      <c r="S578" s="2967"/>
      <c r="T578" s="2967"/>
      <c r="U578" s="2967"/>
      <c r="V578" s="2967"/>
      <c r="W578" s="2967"/>
      <c r="X578" s="2967"/>
      <c r="Y578" s="5568"/>
      <c r="Z578" s="5568"/>
      <c r="AA578" s="2967"/>
      <c r="AB578" s="2967"/>
      <c r="AC578" s="5755"/>
      <c r="AD578" s="5602" t="s">
        <v>1348</v>
      </c>
      <c r="AE578" s="5603">
        <v>0.1</v>
      </c>
      <c r="AF578" s="2966">
        <v>60000</v>
      </c>
      <c r="AG578" s="5621">
        <f t="shared" si="121"/>
        <v>60000</v>
      </c>
      <c r="AH578" s="5620"/>
      <c r="AI578" s="2966"/>
      <c r="AJ578" s="2966"/>
      <c r="AK578" s="5779"/>
      <c r="AL578" s="2966"/>
      <c r="AM578" s="2966"/>
      <c r="AN578" s="5621">
        <f t="shared" si="122"/>
        <v>60000</v>
      </c>
      <c r="AO578" s="5621"/>
      <c r="AP578" s="2966">
        <f t="shared" si="123"/>
        <v>0</v>
      </c>
      <c r="AQ578" s="5633"/>
      <c r="AR578" s="2967"/>
      <c r="AS578" s="5646"/>
      <c r="AT578" s="5633"/>
      <c r="AU578" s="2960"/>
      <c r="AV578" s="2960"/>
      <c r="AW578" s="2960"/>
      <c r="AX578" s="2960"/>
      <c r="AY578" s="2960"/>
      <c r="AZ578" s="2960"/>
      <c r="BA578" s="5633"/>
      <c r="BB578" s="2967"/>
      <c r="BC578" s="2967"/>
      <c r="BD578" s="5794"/>
      <c r="BE578" s="5621"/>
      <c r="BF578" s="5621">
        <v>53760</v>
      </c>
      <c r="BG578" s="5621"/>
      <c r="BH578" s="5621">
        <v>5640</v>
      </c>
      <c r="BI578" s="5621"/>
      <c r="BJ578" s="5621"/>
      <c r="BK578" s="5621"/>
      <c r="BL578" s="5621"/>
      <c r="BM578" s="5621"/>
      <c r="BN578" s="5621">
        <v>600</v>
      </c>
      <c r="BO578" s="5633"/>
      <c r="BP578" s="5633"/>
      <c r="BQ578" s="5633"/>
      <c r="BR578" s="5807"/>
      <c r="BS578" s="5633"/>
      <c r="BT578" s="5621">
        <v>53760</v>
      </c>
      <c r="BU578" s="5621"/>
      <c r="BV578" s="5621">
        <v>5640</v>
      </c>
      <c r="BW578" s="5621"/>
      <c r="BX578" s="5621"/>
      <c r="BY578" s="5621"/>
      <c r="BZ578" s="5621"/>
      <c r="CA578" s="5621"/>
      <c r="CB578" s="5621">
        <v>600</v>
      </c>
      <c r="CC578" s="5620"/>
      <c r="CD578" s="5620"/>
      <c r="CE578" s="5039"/>
      <c r="CF578" s="5039"/>
      <c r="CG578" s="5039"/>
      <c r="CH578" s="5039"/>
    </row>
    <row r="579" s="4971" customFormat="1" ht="36" customHeight="1" spans="1:86">
      <c r="A579" s="2963"/>
      <c r="B579" s="5620"/>
      <c r="C579" s="2967"/>
      <c r="D579" s="5755"/>
      <c r="E579" s="5756"/>
      <c r="F579" s="5755"/>
      <c r="G579" s="5755"/>
      <c r="H579" s="5755"/>
      <c r="I579" s="5567"/>
      <c r="J579" s="5755"/>
      <c r="K579" s="5756"/>
      <c r="L579" s="5755"/>
      <c r="M579" s="2967"/>
      <c r="N579" s="2967"/>
      <c r="O579" s="2967"/>
      <c r="P579" s="2967"/>
      <c r="Q579" s="2967"/>
      <c r="R579" s="2967"/>
      <c r="S579" s="2967"/>
      <c r="T579" s="2967"/>
      <c r="U579" s="2967"/>
      <c r="V579" s="2967"/>
      <c r="W579" s="2967"/>
      <c r="X579" s="2967"/>
      <c r="Y579" s="5568"/>
      <c r="Z579" s="5568"/>
      <c r="AA579" s="2967"/>
      <c r="AB579" s="2967"/>
      <c r="AC579" s="5755" t="s">
        <v>1353</v>
      </c>
      <c r="AD579" s="5826" t="s">
        <v>1354</v>
      </c>
      <c r="AE579" s="5773">
        <v>0.7</v>
      </c>
      <c r="AF579" s="2966">
        <f>62654.99*16.43*90%-50000</f>
        <v>876479.33713</v>
      </c>
      <c r="AG579" s="2966">
        <f t="shared" si="121"/>
        <v>876479.34</v>
      </c>
      <c r="AH579" s="5620" t="s">
        <v>122</v>
      </c>
      <c r="AI579" s="2966">
        <v>45217</v>
      </c>
      <c r="AJ579" s="2966">
        <v>876479.34</v>
      </c>
      <c r="AK579" s="2966">
        <v>45217</v>
      </c>
      <c r="AL579" s="2966">
        <v>670595.04</v>
      </c>
      <c r="AM579" s="2966">
        <v>45217</v>
      </c>
      <c r="AN579" s="2966">
        <f t="shared" si="122"/>
        <v>670595.03999</v>
      </c>
      <c r="AO579" s="2966">
        <v>45246</v>
      </c>
      <c r="AP579" s="2966">
        <f t="shared" si="123"/>
        <v>205884.30001</v>
      </c>
      <c r="AQ579" s="5633"/>
      <c r="AR579" s="2967"/>
      <c r="AS579" s="5646"/>
      <c r="AT579" s="5633"/>
      <c r="AU579" s="2960"/>
      <c r="AV579" s="2960"/>
      <c r="AW579" s="2960"/>
      <c r="AX579" s="2960"/>
      <c r="AY579" s="2960"/>
      <c r="AZ579" s="2960"/>
      <c r="BA579" s="5633"/>
      <c r="BB579" s="2967"/>
      <c r="BC579" s="2967"/>
      <c r="BD579" s="5794"/>
      <c r="BE579" s="5621"/>
      <c r="BF579" s="2966">
        <v>876479.34</v>
      </c>
      <c r="BG579" s="5621"/>
      <c r="BH579" s="5621"/>
      <c r="BI579" s="5621"/>
      <c r="BJ579" s="5621"/>
      <c r="BK579" s="5621"/>
      <c r="BL579" s="5621"/>
      <c r="BM579" s="5621"/>
      <c r="BN579" s="5621"/>
      <c r="BO579" s="5633"/>
      <c r="BP579" s="5633"/>
      <c r="BQ579" s="5779"/>
      <c r="BR579" s="5779"/>
      <c r="BS579" s="5779"/>
      <c r="BT579" s="2966">
        <f>62654.99*16.43*70%-50000</f>
        <v>670595.03999</v>
      </c>
      <c r="BU579" s="5621"/>
      <c r="BV579" s="2966"/>
      <c r="BW579" s="5621"/>
      <c r="BX579" s="5621"/>
      <c r="BY579" s="5621"/>
      <c r="BZ579" s="5621"/>
      <c r="CA579" s="5621"/>
      <c r="CB579" s="5621"/>
      <c r="CC579" s="5620"/>
      <c r="CD579" s="5620"/>
      <c r="CE579" s="5039"/>
      <c r="CF579" s="5039"/>
      <c r="CG579" s="5039"/>
      <c r="CH579" s="5039"/>
    </row>
    <row r="580" s="4971" customFormat="1" ht="34.5" customHeight="1" spans="1:86">
      <c r="A580" s="2963"/>
      <c r="B580" s="5620"/>
      <c r="C580" s="2967"/>
      <c r="D580" s="5755"/>
      <c r="E580" s="5756"/>
      <c r="F580" s="5755"/>
      <c r="G580" s="5755"/>
      <c r="H580" s="5755"/>
      <c r="I580" s="5567"/>
      <c r="J580" s="5755"/>
      <c r="K580" s="5756"/>
      <c r="L580" s="5755"/>
      <c r="M580" s="2967"/>
      <c r="N580" s="2967"/>
      <c r="O580" s="2967"/>
      <c r="P580" s="2967"/>
      <c r="Q580" s="2967"/>
      <c r="R580" s="2967"/>
      <c r="S580" s="2967"/>
      <c r="T580" s="2967"/>
      <c r="U580" s="2967"/>
      <c r="V580" s="2967"/>
      <c r="W580" s="2967"/>
      <c r="X580" s="2967"/>
      <c r="Y580" s="5568"/>
      <c r="Z580" s="5568"/>
      <c r="AA580" s="2967"/>
      <c r="AB580" s="2967"/>
      <c r="AC580" s="5755"/>
      <c r="AD580" s="5827"/>
      <c r="AE580" s="5773"/>
      <c r="AF580" s="5621"/>
      <c r="AG580" s="2966">
        <f t="shared" si="121"/>
        <v>0</v>
      </c>
      <c r="AH580" s="5622"/>
      <c r="AI580" s="5621"/>
      <c r="AJ580" s="2966"/>
      <c r="AK580" s="5779"/>
      <c r="AL580" s="2966"/>
      <c r="AM580" s="2966"/>
      <c r="AN580" s="5621"/>
      <c r="AO580" s="5621"/>
      <c r="AP580" s="2966">
        <f t="shared" si="123"/>
        <v>0</v>
      </c>
      <c r="AQ580" s="5633"/>
      <c r="AR580" s="2967"/>
      <c r="AS580" s="5646"/>
      <c r="AT580" s="5633"/>
      <c r="AU580" s="2960"/>
      <c r="AV580" s="2960"/>
      <c r="AW580" s="2960"/>
      <c r="AX580" s="2960"/>
      <c r="AY580" s="2960"/>
      <c r="AZ580" s="2960"/>
      <c r="BA580" s="5633"/>
      <c r="BB580" s="2967"/>
      <c r="BC580" s="2967"/>
      <c r="BD580" s="5794"/>
      <c r="BE580" s="5621"/>
      <c r="BF580" s="5807"/>
      <c r="BG580" s="5621"/>
      <c r="BH580" s="5621"/>
      <c r="BI580" s="5621"/>
      <c r="BJ580" s="5621"/>
      <c r="BK580" s="5621"/>
      <c r="BL580" s="5621"/>
      <c r="BM580" s="5621"/>
      <c r="BN580" s="5621"/>
      <c r="BO580" s="5633"/>
      <c r="BP580" s="5633"/>
      <c r="BQ580" s="5633"/>
      <c r="BR580" s="5807"/>
      <c r="BS580" s="5633"/>
      <c r="BT580" s="5807"/>
      <c r="BU580" s="5621"/>
      <c r="BV580" s="5621"/>
      <c r="BW580" s="5621"/>
      <c r="BX580" s="5621"/>
      <c r="BY580" s="5621"/>
      <c r="BZ580" s="5621"/>
      <c r="CA580" s="5621"/>
      <c r="CB580" s="5621"/>
      <c r="CC580" s="5620"/>
      <c r="CD580" s="5620"/>
      <c r="CE580" s="5039"/>
      <c r="CF580" s="5039"/>
      <c r="CG580" s="5039"/>
      <c r="CH580" s="5039"/>
    </row>
    <row r="581" s="4971" customFormat="1" ht="34.5" customHeight="1" spans="1:86">
      <c r="A581" s="2963"/>
      <c r="B581" s="5620"/>
      <c r="C581" s="2967"/>
      <c r="D581" s="5755"/>
      <c r="E581" s="5756"/>
      <c r="F581" s="5755"/>
      <c r="G581" s="5755"/>
      <c r="H581" s="5755"/>
      <c r="I581" s="5567"/>
      <c r="J581" s="5755"/>
      <c r="K581" s="5756"/>
      <c r="L581" s="5755"/>
      <c r="M581" s="2967"/>
      <c r="N581" s="2967"/>
      <c r="O581" s="2967"/>
      <c r="P581" s="2967"/>
      <c r="Q581" s="2967"/>
      <c r="R581" s="2967"/>
      <c r="S581" s="2967"/>
      <c r="T581" s="2967"/>
      <c r="U581" s="2967"/>
      <c r="V581" s="2967"/>
      <c r="W581" s="2967"/>
      <c r="X581" s="2967"/>
      <c r="Y581" s="5568"/>
      <c r="Z581" s="5568"/>
      <c r="AA581" s="2967"/>
      <c r="AB581" s="2967"/>
      <c r="AC581" s="5755"/>
      <c r="AD581" s="5828" t="s">
        <v>1355</v>
      </c>
      <c r="AE581" s="5773">
        <v>0.7</v>
      </c>
      <c r="AF581" s="2966">
        <f>1921694.53*0.3</f>
        <v>576508.359</v>
      </c>
      <c r="AG581" s="2966">
        <f t="shared" si="121"/>
        <v>576508.36</v>
      </c>
      <c r="AH581" s="5620" t="s">
        <v>122</v>
      </c>
      <c r="AI581" s="2966">
        <v>45287</v>
      </c>
      <c r="AJ581" s="2966">
        <v>576508.36</v>
      </c>
      <c r="AK581" s="2966">
        <v>45287</v>
      </c>
      <c r="AL581" s="2966">
        <v>576508.36</v>
      </c>
      <c r="AM581" s="2966">
        <v>45527</v>
      </c>
      <c r="AN581" s="2966">
        <f>SUM(BO581:CB581)</f>
        <v>576508.36</v>
      </c>
      <c r="AO581" s="2966">
        <v>45533</v>
      </c>
      <c r="AP581" s="2966">
        <f t="shared" si="123"/>
        <v>0</v>
      </c>
      <c r="AQ581" s="5633"/>
      <c r="AR581" s="2967"/>
      <c r="AS581" s="5646"/>
      <c r="AT581" s="5633"/>
      <c r="AU581" s="2960"/>
      <c r="AV581" s="2960"/>
      <c r="AW581" s="2960"/>
      <c r="AX581" s="2960"/>
      <c r="AY581" s="2960"/>
      <c r="AZ581" s="2960"/>
      <c r="BA581" s="5633"/>
      <c r="BB581" s="2967"/>
      <c r="BC581" s="2967"/>
      <c r="BD581" s="5794"/>
      <c r="BE581" s="5621"/>
      <c r="BF581" s="2966">
        <v>576508.36</v>
      </c>
      <c r="BG581" s="5621"/>
      <c r="BH581" s="5621"/>
      <c r="BI581" s="5621"/>
      <c r="BJ581" s="5621"/>
      <c r="BK581" s="5621"/>
      <c r="BL581" s="5621"/>
      <c r="BM581" s="5621"/>
      <c r="BN581" s="5621"/>
      <c r="BO581" s="5633"/>
      <c r="BP581" s="5633"/>
      <c r="BQ581" s="5633"/>
      <c r="BR581" s="5807"/>
      <c r="BS581" s="5633"/>
      <c r="BT581" s="5779">
        <v>576508.36</v>
      </c>
      <c r="BU581" s="5621"/>
      <c r="BV581" s="5621"/>
      <c r="BW581" s="5621"/>
      <c r="BX581" s="5621"/>
      <c r="BY581" s="5621"/>
      <c r="BZ581" s="5621"/>
      <c r="CA581" s="5621"/>
      <c r="CB581" s="5621"/>
      <c r="CC581" s="5620"/>
      <c r="CD581" s="5620"/>
      <c r="CE581" s="5039"/>
      <c r="CF581" s="5039"/>
      <c r="CG581" s="5039"/>
      <c r="CH581" s="5039"/>
    </row>
    <row r="582" s="4971" customFormat="1" ht="83.35" customHeight="1" spans="1:86">
      <c r="A582" s="2963"/>
      <c r="B582" s="5620"/>
      <c r="C582" s="2967"/>
      <c r="D582" s="5755"/>
      <c r="E582" s="5756"/>
      <c r="F582" s="5755"/>
      <c r="G582" s="5755"/>
      <c r="H582" s="5755"/>
      <c r="I582" s="5567"/>
      <c r="J582" s="5755"/>
      <c r="K582" s="5756"/>
      <c r="L582" s="5755"/>
      <c r="M582" s="2967"/>
      <c r="N582" s="2967"/>
      <c r="O582" s="2967"/>
      <c r="P582" s="2967"/>
      <c r="Q582" s="2967"/>
      <c r="R582" s="2967"/>
      <c r="S582" s="2967"/>
      <c r="T582" s="2967"/>
      <c r="U582" s="2967"/>
      <c r="V582" s="2967"/>
      <c r="W582" s="2967"/>
      <c r="X582" s="2967"/>
      <c r="Y582" s="5568"/>
      <c r="Z582" s="5568"/>
      <c r="AA582" s="2967"/>
      <c r="AB582" s="2967"/>
      <c r="AC582" s="5755"/>
      <c r="AD582" s="5828" t="s">
        <v>1356</v>
      </c>
      <c r="AE582" s="5773"/>
      <c r="AF582" s="2966">
        <f>1921694.53*0.4</f>
        <v>768677.812</v>
      </c>
      <c r="AG582" s="2966">
        <f t="shared" si="121"/>
        <v>768677.812</v>
      </c>
      <c r="AH582" s="5620" t="s">
        <v>122</v>
      </c>
      <c r="AI582" s="2966">
        <v>45527</v>
      </c>
      <c r="AJ582" s="2966">
        <v>768677.81</v>
      </c>
      <c r="AK582" s="2966">
        <v>45527</v>
      </c>
      <c r="AL582" s="2966">
        <v>768677.81</v>
      </c>
      <c r="AM582" s="2966">
        <v>45527</v>
      </c>
      <c r="AN582" s="2966">
        <f>SUM(BO582:CB582)</f>
        <v>768677.81</v>
      </c>
      <c r="AO582" s="2966">
        <v>45533</v>
      </c>
      <c r="AP582" s="2966">
        <f t="shared" si="123"/>
        <v>0.00199999997857958</v>
      </c>
      <c r="AQ582" s="5633"/>
      <c r="AR582" s="2967"/>
      <c r="AS582" s="5646"/>
      <c r="AT582" s="5633"/>
      <c r="AU582" s="2960"/>
      <c r="AV582" s="2960"/>
      <c r="AW582" s="2960"/>
      <c r="AX582" s="2960"/>
      <c r="AY582" s="2960"/>
      <c r="AZ582" s="2960"/>
      <c r="BA582" s="5633"/>
      <c r="BB582" s="2967"/>
      <c r="BC582" s="2967"/>
      <c r="BD582" s="5794"/>
      <c r="BE582" s="5621"/>
      <c r="BF582" s="2966">
        <v>768677.812</v>
      </c>
      <c r="BG582" s="5621"/>
      <c r="BH582" s="5621"/>
      <c r="BI582" s="5621"/>
      <c r="BJ582" s="5621"/>
      <c r="BK582" s="5621"/>
      <c r="BL582" s="5621"/>
      <c r="BM582" s="5621"/>
      <c r="BN582" s="5621"/>
      <c r="BO582" s="5633"/>
      <c r="BP582" s="5633"/>
      <c r="BQ582" s="5633"/>
      <c r="BR582" s="5807"/>
      <c r="BS582" s="5633"/>
      <c r="BT582" s="5779">
        <v>768677.81</v>
      </c>
      <c r="BU582" s="5621"/>
      <c r="BV582" s="5621"/>
      <c r="BW582" s="5621"/>
      <c r="BX582" s="5621"/>
      <c r="BY582" s="5621"/>
      <c r="BZ582" s="5621"/>
      <c r="CA582" s="5621"/>
      <c r="CB582" s="5621"/>
      <c r="CC582" s="5620"/>
      <c r="CD582" s="5620"/>
      <c r="CE582" s="5039"/>
      <c r="CF582" s="5039"/>
      <c r="CG582" s="5039"/>
      <c r="CH582" s="5039"/>
    </row>
    <row r="583" s="4971" customFormat="1" ht="52.5" customHeight="1" spans="1:86">
      <c r="A583" s="2963"/>
      <c r="B583" s="5620"/>
      <c r="C583" s="2967"/>
      <c r="D583" s="5755"/>
      <c r="E583" s="5756"/>
      <c r="F583" s="5755"/>
      <c r="G583" s="5755"/>
      <c r="H583" s="5755"/>
      <c r="I583" s="5567"/>
      <c r="J583" s="5755"/>
      <c r="K583" s="5756"/>
      <c r="L583" s="5755"/>
      <c r="M583" s="2967"/>
      <c r="N583" s="2967"/>
      <c r="O583" s="2967"/>
      <c r="P583" s="2967"/>
      <c r="Q583" s="2967"/>
      <c r="R583" s="2967"/>
      <c r="S583" s="2967"/>
      <c r="T583" s="2967"/>
      <c r="U583" s="2967"/>
      <c r="V583" s="2967"/>
      <c r="W583" s="2967"/>
      <c r="X583" s="2967"/>
      <c r="Y583" s="5568"/>
      <c r="Z583" s="5568"/>
      <c r="AA583" s="2967"/>
      <c r="AB583" s="2967"/>
      <c r="AC583" s="5755"/>
      <c r="AD583" s="5829" t="s">
        <v>1357</v>
      </c>
      <c r="AE583" s="5603">
        <v>0.2</v>
      </c>
      <c r="AF583" s="5621">
        <v>205884.3</v>
      </c>
      <c r="AG583" s="5734"/>
      <c r="AH583" s="5847"/>
      <c r="AI583" s="5734"/>
      <c r="AJ583" s="2966"/>
      <c r="AK583" s="5779"/>
      <c r="AL583" s="2966"/>
      <c r="AM583" s="2966"/>
      <c r="AN583" s="5621"/>
      <c r="AO583" s="5621"/>
      <c r="AP583" s="2966"/>
      <c r="AQ583" s="5633"/>
      <c r="AR583" s="2967"/>
      <c r="AS583" s="5646"/>
      <c r="AT583" s="5633"/>
      <c r="AU583" s="2960"/>
      <c r="AV583" s="2960"/>
      <c r="AW583" s="2960"/>
      <c r="AX583" s="2960"/>
      <c r="AY583" s="2960"/>
      <c r="AZ583" s="2960"/>
      <c r="BA583" s="5633"/>
      <c r="BB583" s="2967"/>
      <c r="BC583" s="2967"/>
      <c r="BD583" s="5794"/>
      <c r="BE583" s="5633"/>
      <c r="BF583" s="5621">
        <v>205884.3</v>
      </c>
      <c r="BG583" s="5633"/>
      <c r="BH583" s="2967"/>
      <c r="BI583" s="2967"/>
      <c r="BJ583" s="2967"/>
      <c r="BK583" s="2967"/>
      <c r="BL583" s="2967"/>
      <c r="BM583" s="2967"/>
      <c r="BN583" s="5621"/>
      <c r="BO583" s="5633"/>
      <c r="BP583" s="5633"/>
      <c r="BQ583" s="5633"/>
      <c r="BR583" s="5807"/>
      <c r="BS583" s="5633"/>
      <c r="BT583" s="5621">
        <v>205884.3</v>
      </c>
      <c r="BU583" s="5633"/>
      <c r="BV583" s="2967"/>
      <c r="BW583" s="2967"/>
      <c r="BX583" s="2967"/>
      <c r="BY583" s="2967"/>
      <c r="BZ583" s="2967"/>
      <c r="CA583" s="2967"/>
      <c r="CB583" s="5621"/>
      <c r="CC583" s="5620"/>
      <c r="CD583" s="5620"/>
      <c r="CE583" s="5039"/>
      <c r="CF583" s="5039"/>
      <c r="CG583" s="5039"/>
      <c r="CH583" s="5039"/>
    </row>
    <row r="584" s="4971" customFormat="1" ht="52.5" customHeight="1" spans="1:86">
      <c r="A584" s="2963"/>
      <c r="B584" s="5620"/>
      <c r="C584" s="2967"/>
      <c r="D584" s="5755"/>
      <c r="E584" s="5756"/>
      <c r="F584" s="5755"/>
      <c r="G584" s="5755"/>
      <c r="H584" s="5755"/>
      <c r="I584" s="5567"/>
      <c r="J584" s="5755"/>
      <c r="K584" s="5756"/>
      <c r="L584" s="5755"/>
      <c r="M584" s="2967"/>
      <c r="N584" s="2967"/>
      <c r="O584" s="2967"/>
      <c r="P584" s="2967"/>
      <c r="Q584" s="2967"/>
      <c r="R584" s="2967"/>
      <c r="S584" s="2967"/>
      <c r="T584" s="2967"/>
      <c r="U584" s="2967"/>
      <c r="V584" s="2967"/>
      <c r="W584" s="2967"/>
      <c r="X584" s="2967"/>
      <c r="Y584" s="5568"/>
      <c r="Z584" s="5568"/>
      <c r="AA584" s="2967"/>
      <c r="AB584" s="2967"/>
      <c r="AC584" s="5755"/>
      <c r="AD584" s="5829" t="s">
        <v>1358</v>
      </c>
      <c r="AE584" s="5603">
        <v>0.2</v>
      </c>
      <c r="AF584" s="5621">
        <v>384338.91</v>
      </c>
      <c r="AG584" s="5621">
        <f t="shared" si="121"/>
        <v>384338.91</v>
      </c>
      <c r="AH584" s="5622" t="s">
        <v>349</v>
      </c>
      <c r="AI584" s="5621">
        <v>46203</v>
      </c>
      <c r="AJ584" s="2966"/>
      <c r="AK584" s="5779"/>
      <c r="AL584" s="2966"/>
      <c r="AM584" s="2966"/>
      <c r="AN584" s="5621"/>
      <c r="AO584" s="5621"/>
      <c r="AP584" s="2966"/>
      <c r="AQ584" s="5633"/>
      <c r="AR584" s="2967"/>
      <c r="AS584" s="5646"/>
      <c r="AT584" s="5633"/>
      <c r="AU584" s="2960"/>
      <c r="AV584" s="2960"/>
      <c r="AW584" s="2960"/>
      <c r="AX584" s="2960"/>
      <c r="AY584" s="2960"/>
      <c r="AZ584" s="2960"/>
      <c r="BA584" s="5633"/>
      <c r="BB584" s="2967"/>
      <c r="BC584" s="2967"/>
      <c r="BD584" s="5794"/>
      <c r="BE584" s="5633"/>
      <c r="BF584" s="5621">
        <v>384338.91</v>
      </c>
      <c r="BG584" s="5633"/>
      <c r="BH584" s="2967"/>
      <c r="BI584" s="2967"/>
      <c r="BJ584" s="2967"/>
      <c r="BK584" s="2967"/>
      <c r="BL584" s="2967"/>
      <c r="BM584" s="2967"/>
      <c r="BN584" s="5621"/>
      <c r="BO584" s="5633"/>
      <c r="BP584" s="5633"/>
      <c r="BQ584" s="5633"/>
      <c r="BR584" s="5807"/>
      <c r="BS584" s="5633"/>
      <c r="BT584" s="5621">
        <v>384338.91</v>
      </c>
      <c r="BU584" s="5633"/>
      <c r="BV584" s="2967"/>
      <c r="BW584" s="2967"/>
      <c r="BX584" s="2967"/>
      <c r="BY584" s="2967"/>
      <c r="BZ584" s="2967"/>
      <c r="CA584" s="2967"/>
      <c r="CB584" s="5621"/>
      <c r="CC584" s="5620"/>
      <c r="CD584" s="5620"/>
      <c r="CE584" s="5039"/>
      <c r="CF584" s="5039"/>
      <c r="CG584" s="5039"/>
      <c r="CH584" s="5039"/>
    </row>
    <row r="585" s="4971" customFormat="1" ht="52.5" customHeight="1" spans="1:86">
      <c r="A585" s="2963"/>
      <c r="B585" s="5620"/>
      <c r="C585" s="2967"/>
      <c r="D585" s="5755"/>
      <c r="E585" s="5756"/>
      <c r="F585" s="5755"/>
      <c r="G585" s="5755"/>
      <c r="H585" s="5755"/>
      <c r="I585" s="5567"/>
      <c r="J585" s="5755"/>
      <c r="K585" s="5756"/>
      <c r="L585" s="5755"/>
      <c r="M585" s="2967"/>
      <c r="N585" s="2967"/>
      <c r="O585" s="2967"/>
      <c r="P585" s="2967"/>
      <c r="Q585" s="2967"/>
      <c r="R585" s="2967"/>
      <c r="S585" s="2967"/>
      <c r="T585" s="2967"/>
      <c r="U585" s="2967"/>
      <c r="V585" s="2967"/>
      <c r="W585" s="2967"/>
      <c r="X585" s="2967"/>
      <c r="Y585" s="5568"/>
      <c r="Z585" s="5568"/>
      <c r="AA585" s="2967"/>
      <c r="AB585" s="2967"/>
      <c r="AC585" s="5755"/>
      <c r="AD585" s="5602" t="s">
        <v>1359</v>
      </c>
      <c r="AE585" s="5603">
        <v>0.2</v>
      </c>
      <c r="AF585" s="2966"/>
      <c r="AG585" s="2966"/>
      <c r="AH585" s="5622"/>
      <c r="AI585" s="5621"/>
      <c r="AJ585" s="2966"/>
      <c r="AK585" s="5779"/>
      <c r="AL585" s="2966"/>
      <c r="AM585" s="2966"/>
      <c r="AN585" s="5621">
        <f>SUM(BO585:CB585)</f>
        <v>0</v>
      </c>
      <c r="AO585" s="5621"/>
      <c r="AP585" s="2966">
        <f t="shared" si="123"/>
        <v>0</v>
      </c>
      <c r="AQ585" s="5633"/>
      <c r="AR585" s="2967"/>
      <c r="AS585" s="5646"/>
      <c r="AT585" s="5633"/>
      <c r="AU585" s="2960"/>
      <c r="AV585" s="2960"/>
      <c r="AW585" s="2960"/>
      <c r="AX585" s="2960"/>
      <c r="AY585" s="2960"/>
      <c r="AZ585" s="2960"/>
      <c r="BA585" s="5633"/>
      <c r="BB585" s="2967"/>
      <c r="BC585" s="2967"/>
      <c r="BD585" s="5794"/>
      <c r="BE585" s="5633"/>
      <c r="BF585" s="5621"/>
      <c r="BG585" s="5633"/>
      <c r="BH585" s="2967"/>
      <c r="BI585" s="2967"/>
      <c r="BJ585" s="2967"/>
      <c r="BK585" s="2967"/>
      <c r="BL585" s="2967"/>
      <c r="BM585" s="2967"/>
      <c r="BN585" s="5621"/>
      <c r="BO585" s="5633"/>
      <c r="BP585" s="5633"/>
      <c r="BQ585" s="5633"/>
      <c r="BR585" s="5807"/>
      <c r="BS585" s="5633"/>
      <c r="BT585" s="5621"/>
      <c r="BU585" s="5633"/>
      <c r="BV585" s="2967"/>
      <c r="BW585" s="2967"/>
      <c r="BX585" s="2967"/>
      <c r="BY585" s="2967"/>
      <c r="BZ585" s="2967"/>
      <c r="CA585" s="2967"/>
      <c r="CB585" s="5621"/>
      <c r="CC585" s="5620"/>
      <c r="CD585" s="5620"/>
      <c r="CE585" s="5039"/>
      <c r="CF585" s="5039"/>
      <c r="CG585" s="5039"/>
      <c r="CH585" s="5039"/>
    </row>
    <row r="586" s="4971" customFormat="1" ht="52.5" customHeight="1" spans="1:86">
      <c r="A586" s="2963"/>
      <c r="B586" s="5620"/>
      <c r="C586" s="2967"/>
      <c r="D586" s="5755"/>
      <c r="E586" s="5756"/>
      <c r="F586" s="5755"/>
      <c r="G586" s="5755"/>
      <c r="H586" s="5755"/>
      <c r="I586" s="5567"/>
      <c r="J586" s="5755"/>
      <c r="K586" s="5756"/>
      <c r="L586" s="5755"/>
      <c r="M586" s="2967"/>
      <c r="N586" s="2967"/>
      <c r="O586" s="2967"/>
      <c r="P586" s="2967"/>
      <c r="Q586" s="2967"/>
      <c r="R586" s="2967"/>
      <c r="S586" s="2967"/>
      <c r="T586" s="2967"/>
      <c r="U586" s="2967"/>
      <c r="V586" s="2967"/>
      <c r="W586" s="2967"/>
      <c r="X586" s="2967"/>
      <c r="Y586" s="5568"/>
      <c r="Z586" s="5568"/>
      <c r="AA586" s="2967"/>
      <c r="AB586" s="2967"/>
      <c r="AC586" s="5755"/>
      <c r="AD586" s="5602" t="s">
        <v>1360</v>
      </c>
      <c r="AE586" s="5603">
        <v>0.2</v>
      </c>
      <c r="AF586" s="2966"/>
      <c r="AG586" s="2966"/>
      <c r="AH586" s="5622"/>
      <c r="AI586" s="5621"/>
      <c r="AJ586" s="2966"/>
      <c r="AK586" s="5779"/>
      <c r="AL586" s="2966"/>
      <c r="AM586" s="2966"/>
      <c r="AN586" s="5621"/>
      <c r="AO586" s="5621"/>
      <c r="AP586" s="2966">
        <f t="shared" si="123"/>
        <v>0</v>
      </c>
      <c r="AQ586" s="5633"/>
      <c r="AR586" s="2967"/>
      <c r="AS586" s="5646"/>
      <c r="AT586" s="5633"/>
      <c r="AU586" s="2960"/>
      <c r="AV586" s="2960"/>
      <c r="AW586" s="2960"/>
      <c r="AX586" s="2960"/>
      <c r="AY586" s="2960"/>
      <c r="AZ586" s="2960"/>
      <c r="BA586" s="5633"/>
      <c r="BB586" s="2967"/>
      <c r="BC586" s="2967"/>
      <c r="BD586" s="5794"/>
      <c r="BE586" s="5633"/>
      <c r="BF586" s="5621"/>
      <c r="BG586" s="5633"/>
      <c r="BH586" s="2967"/>
      <c r="BI586" s="2967"/>
      <c r="BJ586" s="2967"/>
      <c r="BK586" s="2967"/>
      <c r="BL586" s="2967"/>
      <c r="BM586" s="2967"/>
      <c r="BN586" s="5621"/>
      <c r="BO586" s="5633"/>
      <c r="BP586" s="5633"/>
      <c r="BQ586" s="5633"/>
      <c r="BR586" s="5807"/>
      <c r="BS586" s="5633"/>
      <c r="BT586" s="5621"/>
      <c r="BU586" s="5633"/>
      <c r="BV586" s="2967"/>
      <c r="BW586" s="2967"/>
      <c r="BX586" s="2967"/>
      <c r="BY586" s="2967"/>
      <c r="BZ586" s="2967"/>
      <c r="CA586" s="2967"/>
      <c r="CB586" s="5621"/>
      <c r="CC586" s="5620"/>
      <c r="CD586" s="5620"/>
      <c r="CE586" s="5039"/>
      <c r="CF586" s="5039"/>
      <c r="CG586" s="5039"/>
      <c r="CH586" s="5039"/>
    </row>
    <row r="587" s="4971" customFormat="1" ht="52.5" customHeight="1" spans="1:86">
      <c r="A587" s="2963"/>
      <c r="B587" s="5620"/>
      <c r="C587" s="2967"/>
      <c r="D587" s="5755"/>
      <c r="E587" s="5756"/>
      <c r="F587" s="5755"/>
      <c r="G587" s="5755"/>
      <c r="H587" s="5755"/>
      <c r="I587" s="5567"/>
      <c r="J587" s="5755"/>
      <c r="K587" s="5756"/>
      <c r="L587" s="5755"/>
      <c r="M587" s="2967"/>
      <c r="N587" s="2967"/>
      <c r="O587" s="2967"/>
      <c r="P587" s="2967"/>
      <c r="Q587" s="2967"/>
      <c r="R587" s="2967"/>
      <c r="S587" s="2967"/>
      <c r="T587" s="2967"/>
      <c r="U587" s="2967"/>
      <c r="V587" s="2967"/>
      <c r="W587" s="2967"/>
      <c r="X587" s="2967"/>
      <c r="Y587" s="5568"/>
      <c r="Z587" s="5568"/>
      <c r="AA587" s="2967"/>
      <c r="AB587" s="2967"/>
      <c r="AC587" s="5755"/>
      <c r="AD587" s="5602" t="s">
        <v>1361</v>
      </c>
      <c r="AE587" s="5603">
        <v>0.2</v>
      </c>
      <c r="AF587" s="2966"/>
      <c r="AG587" s="2966"/>
      <c r="AH587" s="5620"/>
      <c r="AI587" s="2966"/>
      <c r="AJ587" s="2966"/>
      <c r="AK587" s="5779"/>
      <c r="AL587" s="2966"/>
      <c r="AM587" s="2966"/>
      <c r="AN587" s="5621">
        <f t="shared" ref="AN587:AN595" si="124">SUM(BO587:CB587)</f>
        <v>0</v>
      </c>
      <c r="AO587" s="5621"/>
      <c r="AP587" s="2966">
        <f t="shared" si="123"/>
        <v>0</v>
      </c>
      <c r="AQ587" s="5633"/>
      <c r="AR587" s="2967"/>
      <c r="AS587" s="5646"/>
      <c r="AT587" s="5633"/>
      <c r="AU587" s="2960"/>
      <c r="AV587" s="2960"/>
      <c r="AW587" s="2960"/>
      <c r="AX587" s="2960"/>
      <c r="AY587" s="2960"/>
      <c r="AZ587" s="2960"/>
      <c r="BA587" s="5633"/>
      <c r="BB587" s="2967"/>
      <c r="BC587" s="2967"/>
      <c r="BD587" s="5794"/>
      <c r="BE587" s="5633"/>
      <c r="BF587" s="5621"/>
      <c r="BG587" s="5633"/>
      <c r="BH587" s="2967"/>
      <c r="BI587" s="2967"/>
      <c r="BJ587" s="2967"/>
      <c r="BK587" s="2967"/>
      <c r="BL587" s="2967"/>
      <c r="BM587" s="2967"/>
      <c r="BN587" s="5621"/>
      <c r="BO587" s="5633"/>
      <c r="BP587" s="5633"/>
      <c r="BQ587" s="5633"/>
      <c r="BR587" s="5807"/>
      <c r="BS587" s="5633"/>
      <c r="BT587" s="5621"/>
      <c r="BU587" s="5633"/>
      <c r="BV587" s="2967"/>
      <c r="BW587" s="2967"/>
      <c r="BX587" s="2967"/>
      <c r="BY587" s="2967"/>
      <c r="BZ587" s="2967"/>
      <c r="CA587" s="2967"/>
      <c r="CB587" s="5621"/>
      <c r="CC587" s="5620"/>
      <c r="CD587" s="5620"/>
      <c r="CE587" s="5039"/>
      <c r="CF587" s="5039"/>
      <c r="CG587" s="5039"/>
      <c r="CH587" s="5039"/>
    </row>
    <row r="588" s="4971" customFormat="1" ht="52.5" customHeight="1" spans="1:86">
      <c r="A588" s="2963"/>
      <c r="B588" s="5620"/>
      <c r="C588" s="2967"/>
      <c r="D588" s="5755"/>
      <c r="E588" s="5756"/>
      <c r="F588" s="5755"/>
      <c r="G588" s="5755"/>
      <c r="H588" s="5755"/>
      <c r="I588" s="5569"/>
      <c r="J588" s="5755"/>
      <c r="K588" s="5756"/>
      <c r="L588" s="5755"/>
      <c r="M588" s="2967"/>
      <c r="N588" s="2967"/>
      <c r="O588" s="2967"/>
      <c r="P588" s="2967"/>
      <c r="Q588" s="2967"/>
      <c r="R588" s="2967"/>
      <c r="S588" s="2967"/>
      <c r="T588" s="2967"/>
      <c r="U588" s="2967"/>
      <c r="V588" s="2967"/>
      <c r="W588" s="2967"/>
      <c r="X588" s="2967"/>
      <c r="Y588" s="5570"/>
      <c r="Z588" s="5570"/>
      <c r="AA588" s="2967"/>
      <c r="AB588" s="2967"/>
      <c r="AC588" s="5755"/>
      <c r="AD588" s="5602" t="s">
        <v>1362</v>
      </c>
      <c r="AE588" s="5603">
        <v>0.1</v>
      </c>
      <c r="AF588" s="2966"/>
      <c r="AG588" s="2966"/>
      <c r="AH588" s="5620"/>
      <c r="AI588" s="2966"/>
      <c r="AJ588" s="2966"/>
      <c r="AK588" s="5779"/>
      <c r="AL588" s="2966"/>
      <c r="AM588" s="2966"/>
      <c r="AN588" s="5621">
        <f t="shared" si="124"/>
        <v>0</v>
      </c>
      <c r="AO588" s="5621"/>
      <c r="AP588" s="2966">
        <f t="shared" si="123"/>
        <v>0</v>
      </c>
      <c r="AQ588" s="5633"/>
      <c r="AR588" s="2967"/>
      <c r="AS588" s="5646"/>
      <c r="AT588" s="5633"/>
      <c r="AU588" s="2960"/>
      <c r="AV588" s="2960"/>
      <c r="AW588" s="2960"/>
      <c r="AX588" s="2960"/>
      <c r="AY588" s="2960"/>
      <c r="AZ588" s="2960"/>
      <c r="BA588" s="5633"/>
      <c r="BB588" s="2967"/>
      <c r="BC588" s="2967"/>
      <c r="BD588" s="5794"/>
      <c r="BE588" s="5633"/>
      <c r="BF588" s="5621"/>
      <c r="BG588" s="5633"/>
      <c r="BH588" s="2967"/>
      <c r="BI588" s="2967"/>
      <c r="BJ588" s="2967"/>
      <c r="BK588" s="2967"/>
      <c r="BL588" s="2967"/>
      <c r="BM588" s="2967"/>
      <c r="BN588" s="5621"/>
      <c r="BO588" s="5633"/>
      <c r="BP588" s="5633"/>
      <c r="BQ588" s="5633"/>
      <c r="BR588" s="5807"/>
      <c r="BS588" s="5633"/>
      <c r="BT588" s="5621"/>
      <c r="BU588" s="5633"/>
      <c r="BV588" s="2967"/>
      <c r="BW588" s="2967"/>
      <c r="BX588" s="2967"/>
      <c r="BY588" s="2967"/>
      <c r="BZ588" s="2967"/>
      <c r="CA588" s="2967"/>
      <c r="CB588" s="5621"/>
      <c r="CC588" s="5620"/>
      <c r="CD588" s="5620"/>
      <c r="CE588" s="5039"/>
      <c r="CF588" s="5039"/>
      <c r="CG588" s="5039"/>
      <c r="CH588" s="5039"/>
    </row>
    <row r="589" s="4965" customFormat="1" ht="63.35" customHeight="1" spans="1:86">
      <c r="A589" s="3524"/>
      <c r="B589" s="5582" t="s">
        <v>809</v>
      </c>
      <c r="C589" s="5561">
        <v>45544</v>
      </c>
      <c r="D589" s="5547" t="s">
        <v>1363</v>
      </c>
      <c r="E589" s="5547" t="s">
        <v>1333</v>
      </c>
      <c r="F589" s="5547" t="s">
        <v>1364</v>
      </c>
      <c r="G589" s="5547" t="s">
        <v>1365</v>
      </c>
      <c r="H589" s="5547" t="s">
        <v>1366</v>
      </c>
      <c r="I589" s="5543"/>
      <c r="J589" s="5547" t="s">
        <v>1367</v>
      </c>
      <c r="K589" s="5819">
        <v>126358.81</v>
      </c>
      <c r="L589" s="5582" t="s">
        <v>1368</v>
      </c>
      <c r="M589" s="5582">
        <f>SUM(N589:AA592)</f>
        <v>126358.81</v>
      </c>
      <c r="N589" s="5561"/>
      <c r="O589" s="5561"/>
      <c r="P589" s="5561"/>
      <c r="Q589" s="5561"/>
      <c r="R589" s="5561"/>
      <c r="S589" s="5561">
        <v>126358.81</v>
      </c>
      <c r="T589" s="5561"/>
      <c r="U589" s="5561"/>
      <c r="V589" s="5561"/>
      <c r="W589" s="5561"/>
      <c r="X589" s="5561"/>
      <c r="Y589" s="5563"/>
      <c r="Z589" s="5563"/>
      <c r="AA589" s="5561"/>
      <c r="AB589" s="5561"/>
      <c r="AC589" s="5613">
        <v>1</v>
      </c>
      <c r="AD589" s="5830" t="s">
        <v>1369</v>
      </c>
      <c r="AE589" s="5586">
        <v>1</v>
      </c>
      <c r="AF589" s="2973">
        <v>47028</v>
      </c>
      <c r="AG589" s="5588">
        <f t="shared" ref="AG589:AG595" si="125">SUM(BA589:BN589)</f>
        <v>47028</v>
      </c>
      <c r="AH589" s="5613" t="s">
        <v>206</v>
      </c>
      <c r="AI589" s="5588">
        <v>45581</v>
      </c>
      <c r="AJ589" s="5613">
        <v>47028</v>
      </c>
      <c r="AK589" s="5613">
        <v>45581</v>
      </c>
      <c r="AL589" s="5588">
        <v>47028</v>
      </c>
      <c r="AM589" s="5588">
        <v>45581</v>
      </c>
      <c r="AN589" s="5588">
        <f t="shared" si="124"/>
        <v>47028</v>
      </c>
      <c r="AO589" s="5588">
        <v>45587</v>
      </c>
      <c r="AP589" s="5588">
        <f t="shared" si="123"/>
        <v>0</v>
      </c>
      <c r="AQ589" s="5614"/>
      <c r="AR589" s="2973"/>
      <c r="AS589" s="5635"/>
      <c r="AT589" s="5614"/>
      <c r="AU589" s="4045"/>
      <c r="AV589" s="4045"/>
      <c r="AW589" s="4045"/>
      <c r="AX589" s="4045"/>
      <c r="AY589" s="4045"/>
      <c r="AZ589" s="4045"/>
      <c r="BA589" s="5648"/>
      <c r="BB589" s="5588"/>
      <c r="BC589" s="5588"/>
      <c r="BD589" s="5654"/>
      <c r="BE589" s="5648"/>
      <c r="BF589" s="5588">
        <v>47028</v>
      </c>
      <c r="BG589" s="5648"/>
      <c r="BH589" s="5588"/>
      <c r="BI589" s="5588"/>
      <c r="BJ589" s="5588"/>
      <c r="BK589" s="5588"/>
      <c r="BL589" s="5588"/>
      <c r="BM589" s="5588"/>
      <c r="BN589" s="5588"/>
      <c r="BO589" s="5614"/>
      <c r="BP589" s="5614"/>
      <c r="BQ589" s="5614"/>
      <c r="BR589" s="5861"/>
      <c r="BS589" s="5614"/>
      <c r="BT589" s="2973">
        <v>47028</v>
      </c>
      <c r="BU589" s="5614"/>
      <c r="BV589" s="5614"/>
      <c r="BW589" s="5614"/>
      <c r="BX589" s="5614"/>
      <c r="BY589" s="5614"/>
      <c r="BZ589" s="5614"/>
      <c r="CA589" s="5614"/>
      <c r="CB589" s="5614"/>
      <c r="CC589" s="5582"/>
      <c r="CD589" s="5582"/>
      <c r="CE589" s="5169"/>
      <c r="CF589" s="5169"/>
      <c r="CG589" s="5169"/>
      <c r="CH589" s="5169"/>
    </row>
    <row r="590" s="4965" customFormat="1" ht="52.5" customHeight="1" spans="1:86">
      <c r="A590" s="3524"/>
      <c r="B590" s="5583"/>
      <c r="C590" s="5563"/>
      <c r="D590" s="5562"/>
      <c r="E590" s="5548"/>
      <c r="F590" s="5562"/>
      <c r="G590" s="5562"/>
      <c r="H590" s="5562"/>
      <c r="I590" s="5543"/>
      <c r="J590" s="5562"/>
      <c r="K590" s="5548"/>
      <c r="L590" s="5563"/>
      <c r="M590" s="5583"/>
      <c r="N590" s="5563"/>
      <c r="O590" s="5563"/>
      <c r="P590" s="5563"/>
      <c r="Q590" s="5563"/>
      <c r="R590" s="5563"/>
      <c r="S590" s="5563"/>
      <c r="T590" s="5563"/>
      <c r="U590" s="5563"/>
      <c r="V590" s="5563"/>
      <c r="W590" s="5563"/>
      <c r="X590" s="5563"/>
      <c r="Y590" s="5563"/>
      <c r="Z590" s="5563"/>
      <c r="AA590" s="5563"/>
      <c r="AB590" s="5563"/>
      <c r="AC590" s="5613">
        <v>2</v>
      </c>
      <c r="AD590" s="5830" t="s">
        <v>1370</v>
      </c>
      <c r="AE590" s="5586">
        <v>1</v>
      </c>
      <c r="AF590" s="2973">
        <v>39554.21</v>
      </c>
      <c r="AG590" s="5588">
        <f t="shared" si="125"/>
        <v>0</v>
      </c>
      <c r="AH590" s="5613"/>
      <c r="AI590" s="5588"/>
      <c r="AJ590" s="5613"/>
      <c r="AK590" s="5613"/>
      <c r="AL590" s="5588"/>
      <c r="AM590" s="5588"/>
      <c r="AN590" s="5588">
        <f t="shared" si="124"/>
        <v>0</v>
      </c>
      <c r="AO590" s="5588"/>
      <c r="AP590" s="5588">
        <f t="shared" si="123"/>
        <v>0</v>
      </c>
      <c r="AQ590" s="5614"/>
      <c r="AR590" s="2973"/>
      <c r="AS590" s="5635"/>
      <c r="AT590" s="5614"/>
      <c r="AU590" s="4045"/>
      <c r="AV590" s="4045"/>
      <c r="AW590" s="4045"/>
      <c r="AX590" s="4045"/>
      <c r="AY590" s="4045"/>
      <c r="AZ590" s="4045"/>
      <c r="BA590" s="5648"/>
      <c r="BB590" s="5588"/>
      <c r="BC590" s="5588"/>
      <c r="BD590" s="5654"/>
      <c r="BE590" s="5648"/>
      <c r="BF590" s="5588"/>
      <c r="BG590" s="5648"/>
      <c r="BH590" s="5588"/>
      <c r="BI590" s="5588"/>
      <c r="BJ590" s="5588"/>
      <c r="BK590" s="5588"/>
      <c r="BL590" s="5588"/>
      <c r="BM590" s="5588"/>
      <c r="BN590" s="5588"/>
      <c r="BO590" s="5614"/>
      <c r="BP590" s="5614"/>
      <c r="BQ590" s="5614"/>
      <c r="BR590" s="5861"/>
      <c r="BS590" s="5614"/>
      <c r="BT590" s="2973"/>
      <c r="BU590" s="5614"/>
      <c r="BV590" s="5614"/>
      <c r="BW590" s="5614"/>
      <c r="BX590" s="5614"/>
      <c r="BY590" s="5614"/>
      <c r="BZ590" s="5614"/>
      <c r="CA590" s="5614"/>
      <c r="CB590" s="5614"/>
      <c r="CC590" s="5583"/>
      <c r="CD590" s="5583"/>
      <c r="CE590" s="5169"/>
      <c r="CF590" s="5169"/>
      <c r="CG590" s="5169"/>
      <c r="CH590" s="5169"/>
    </row>
    <row r="591" s="4965" customFormat="1" ht="52.5" customHeight="1" spans="1:86">
      <c r="A591" s="3524"/>
      <c r="B591" s="5583"/>
      <c r="C591" s="5563"/>
      <c r="D591" s="5562"/>
      <c r="E591" s="5548"/>
      <c r="F591" s="5562"/>
      <c r="G591" s="5562"/>
      <c r="H591" s="5562"/>
      <c r="I591" s="5543"/>
      <c r="J591" s="5562"/>
      <c r="K591" s="5548"/>
      <c r="L591" s="5563"/>
      <c r="M591" s="5583"/>
      <c r="N591" s="5563"/>
      <c r="O591" s="5563"/>
      <c r="P591" s="5563"/>
      <c r="Q591" s="5563"/>
      <c r="R591" s="5563"/>
      <c r="S591" s="5563"/>
      <c r="T591" s="5563"/>
      <c r="U591" s="5563"/>
      <c r="V591" s="5563"/>
      <c r="W591" s="5563"/>
      <c r="X591" s="5563"/>
      <c r="Y591" s="5563"/>
      <c r="Z591" s="5563"/>
      <c r="AA591" s="5563"/>
      <c r="AB591" s="5563"/>
      <c r="AC591" s="5613">
        <v>3</v>
      </c>
      <c r="AD591" s="5830" t="s">
        <v>1371</v>
      </c>
      <c r="AE591" s="5586">
        <v>1</v>
      </c>
      <c r="AF591" s="2973">
        <v>37205.97</v>
      </c>
      <c r="AG591" s="5588">
        <f t="shared" si="125"/>
        <v>37205.97</v>
      </c>
      <c r="AH591" s="5613" t="s">
        <v>206</v>
      </c>
      <c r="AI591" s="5588">
        <v>45593</v>
      </c>
      <c r="AJ591" s="5613"/>
      <c r="AK591" s="5613"/>
      <c r="AL591" s="5588">
        <f>SUM(BF591:BS591)</f>
        <v>37205.97</v>
      </c>
      <c r="AM591" s="5588">
        <v>45593</v>
      </c>
      <c r="AN591" s="5588">
        <f t="shared" si="124"/>
        <v>37205.97</v>
      </c>
      <c r="AO591" s="5588">
        <v>45972</v>
      </c>
      <c r="AP591" s="5588">
        <f t="shared" si="123"/>
        <v>0</v>
      </c>
      <c r="AQ591" s="5614"/>
      <c r="AR591" s="2973"/>
      <c r="AS591" s="5635"/>
      <c r="AT591" s="5614"/>
      <c r="AU591" s="4045"/>
      <c r="AV591" s="4045"/>
      <c r="AW591" s="4045"/>
      <c r="AX591" s="4045"/>
      <c r="AY591" s="4045"/>
      <c r="AZ591" s="4045"/>
      <c r="BA591" s="5648"/>
      <c r="BB591" s="5588"/>
      <c r="BC591" s="5588"/>
      <c r="BD591" s="5654"/>
      <c r="BE591" s="5648"/>
      <c r="BF591" s="5588">
        <v>37205.97</v>
      </c>
      <c r="BG591" s="5648"/>
      <c r="BH591" s="5588"/>
      <c r="BI591" s="5588"/>
      <c r="BJ591" s="5588"/>
      <c r="BK591" s="5588"/>
      <c r="BL591" s="5588"/>
      <c r="BM591" s="5588"/>
      <c r="BN591" s="5588"/>
      <c r="BO591" s="5614"/>
      <c r="BP591" s="5614"/>
      <c r="BQ591" s="5614"/>
      <c r="BR591" s="5861"/>
      <c r="BS591" s="5614"/>
      <c r="BT591" s="2973">
        <v>37205.97</v>
      </c>
      <c r="BU591" s="5614"/>
      <c r="BV591" s="5614"/>
      <c r="BW591" s="5614"/>
      <c r="BX591" s="5614"/>
      <c r="BY591" s="5614"/>
      <c r="BZ591" s="5614"/>
      <c r="CA591" s="5614"/>
      <c r="CB591" s="5614"/>
      <c r="CC591" s="5583"/>
      <c r="CD591" s="5583"/>
      <c r="CE591" s="5169"/>
      <c r="CF591" s="5169"/>
      <c r="CG591" s="5169"/>
      <c r="CH591" s="5169"/>
    </row>
    <row r="592" s="4965" customFormat="1" ht="52.5" customHeight="1" spans="1:86">
      <c r="A592" s="3524"/>
      <c r="B592" s="5659"/>
      <c r="C592" s="5565"/>
      <c r="D592" s="5564"/>
      <c r="E592" s="5549"/>
      <c r="F592" s="5564"/>
      <c r="G592" s="5564"/>
      <c r="H592" s="5564"/>
      <c r="I592" s="5543"/>
      <c r="J592" s="5564"/>
      <c r="K592" s="5549"/>
      <c r="L592" s="5565"/>
      <c r="M592" s="5659"/>
      <c r="N592" s="5565"/>
      <c r="O592" s="5565"/>
      <c r="P592" s="5565"/>
      <c r="Q592" s="5565"/>
      <c r="R592" s="5565"/>
      <c r="S592" s="5565"/>
      <c r="T592" s="5565"/>
      <c r="U592" s="5565"/>
      <c r="V592" s="5565"/>
      <c r="W592" s="5565"/>
      <c r="X592" s="5565"/>
      <c r="Y592" s="5565"/>
      <c r="Z592" s="5565"/>
      <c r="AA592" s="5565"/>
      <c r="AB592" s="5565"/>
      <c r="AC592" s="5613">
        <v>4</v>
      </c>
      <c r="AD592" s="5830" t="s">
        <v>1372</v>
      </c>
      <c r="AE592" s="5586">
        <v>1</v>
      </c>
      <c r="AF592" s="2973">
        <v>2570.63</v>
      </c>
      <c r="AG592" s="5588">
        <f t="shared" si="125"/>
        <v>2570.63</v>
      </c>
      <c r="AH592" s="5613" t="s">
        <v>206</v>
      </c>
      <c r="AI592" s="5588">
        <v>45593</v>
      </c>
      <c r="AJ592" s="5613"/>
      <c r="AK592" s="5613"/>
      <c r="AL592" s="5588">
        <f>SUM(BF592:BS592)</f>
        <v>2570.63</v>
      </c>
      <c r="AM592" s="5588">
        <v>45593</v>
      </c>
      <c r="AN592" s="5588">
        <f t="shared" si="124"/>
        <v>2570.63</v>
      </c>
      <c r="AO592" s="5588">
        <v>45972</v>
      </c>
      <c r="AP592" s="5588">
        <f t="shared" si="123"/>
        <v>0</v>
      </c>
      <c r="AQ592" s="5614"/>
      <c r="AR592" s="2973"/>
      <c r="AS592" s="5635"/>
      <c r="AT592" s="5614"/>
      <c r="AU592" s="4045"/>
      <c r="AV592" s="4045"/>
      <c r="AW592" s="4045"/>
      <c r="AX592" s="4045"/>
      <c r="AY592" s="4045"/>
      <c r="AZ592" s="4045"/>
      <c r="BA592" s="5648"/>
      <c r="BB592" s="5588"/>
      <c r="BC592" s="5588"/>
      <c r="BD592" s="5654"/>
      <c r="BE592" s="5648"/>
      <c r="BF592" s="5588">
        <v>2570.63</v>
      </c>
      <c r="BG592" s="5648"/>
      <c r="BH592" s="5588"/>
      <c r="BI592" s="5588"/>
      <c r="BJ592" s="5588"/>
      <c r="BK592" s="5588"/>
      <c r="BL592" s="5588"/>
      <c r="BM592" s="5588"/>
      <c r="BN592" s="5588"/>
      <c r="BO592" s="5614"/>
      <c r="BP592" s="5614"/>
      <c r="BQ592" s="5614"/>
      <c r="BR592" s="5861"/>
      <c r="BS592" s="5614"/>
      <c r="BT592" s="2973">
        <v>2570.63</v>
      </c>
      <c r="BU592" s="5614"/>
      <c r="BV592" s="5614"/>
      <c r="BW592" s="5614"/>
      <c r="BX592" s="5614"/>
      <c r="BY592" s="5614"/>
      <c r="BZ592" s="5614"/>
      <c r="CA592" s="5614"/>
      <c r="CB592" s="5614"/>
      <c r="CC592" s="5659"/>
      <c r="CD592" s="5659"/>
      <c r="CE592" s="5169"/>
      <c r="CF592" s="5169"/>
      <c r="CG592" s="5169"/>
      <c r="CH592" s="5169"/>
    </row>
    <row r="593" s="4965" customFormat="1" ht="52.5" customHeight="1" spans="1:86">
      <c r="A593" s="3524">
        <v>106</v>
      </c>
      <c r="B593" s="857" t="s">
        <v>173</v>
      </c>
      <c r="C593" s="3524">
        <v>43709</v>
      </c>
      <c r="D593" s="1032" t="s">
        <v>1373</v>
      </c>
      <c r="E593" s="857" t="s">
        <v>171</v>
      </c>
      <c r="F593" s="5241" t="s">
        <v>1374</v>
      </c>
      <c r="G593" s="1032" t="s">
        <v>1375</v>
      </c>
      <c r="H593" s="1032" t="s">
        <v>240</v>
      </c>
      <c r="I593" s="5073"/>
      <c r="J593" s="1032" t="s">
        <v>802</v>
      </c>
      <c r="K593" s="3742"/>
      <c r="L593" s="3524"/>
      <c r="M593" s="857">
        <v>200000</v>
      </c>
      <c r="N593" s="4046"/>
      <c r="O593" s="4046"/>
      <c r="P593" s="4046">
        <v>200000</v>
      </c>
      <c r="Q593" s="4046"/>
      <c r="R593" s="4046"/>
      <c r="S593" s="4046"/>
      <c r="T593" s="4046"/>
      <c r="U593" s="4046"/>
      <c r="V593" s="4046"/>
      <c r="W593" s="4046"/>
      <c r="X593" s="4046"/>
      <c r="Y593" s="4046"/>
      <c r="Z593" s="4046"/>
      <c r="AA593" s="4046"/>
      <c r="AB593" s="4046"/>
      <c r="AC593" s="857">
        <v>1</v>
      </c>
      <c r="AD593" s="5728" t="s">
        <v>1376</v>
      </c>
      <c r="AE593" s="5117">
        <v>0.5</v>
      </c>
      <c r="AF593" s="3524">
        <v>100000</v>
      </c>
      <c r="AG593" s="3812">
        <f t="shared" si="125"/>
        <v>100000</v>
      </c>
      <c r="AH593" s="857" t="s">
        <v>206</v>
      </c>
      <c r="AI593" s="3812">
        <v>43734</v>
      </c>
      <c r="AJ593" s="857" t="s">
        <v>171</v>
      </c>
      <c r="AK593" s="857" t="s">
        <v>171</v>
      </c>
      <c r="AL593" s="3812">
        <v>100000</v>
      </c>
      <c r="AM593" s="3812">
        <v>43734</v>
      </c>
      <c r="AN593" s="3812">
        <f t="shared" si="124"/>
        <v>100000</v>
      </c>
      <c r="AO593" s="3812">
        <v>43768</v>
      </c>
      <c r="AP593" s="3812">
        <f t="shared" si="123"/>
        <v>0</v>
      </c>
      <c r="AQ593" s="5122"/>
      <c r="AR593" s="4046"/>
      <c r="AS593" s="5701"/>
      <c r="AT593" s="5696"/>
      <c r="AU593" s="4045">
        <f>AG593+AG594</f>
        <v>100000</v>
      </c>
      <c r="AV593" s="4045">
        <f>AL593+AL594</f>
        <v>100000</v>
      </c>
      <c r="AW593" s="4045">
        <f>AN593+AN594</f>
        <v>100000</v>
      </c>
      <c r="AX593" s="4045">
        <f>M593-AU593</f>
        <v>100000</v>
      </c>
      <c r="AY593" s="4045">
        <f>AU593-AV593</f>
        <v>0</v>
      </c>
      <c r="AZ593" s="4045">
        <f>AV593-AW593</f>
        <v>0</v>
      </c>
      <c r="BA593" s="5146"/>
      <c r="BB593" s="3812"/>
      <c r="BC593" s="3812">
        <v>100000</v>
      </c>
      <c r="BD593" s="5741"/>
      <c r="BE593" s="5146"/>
      <c r="BF593" s="5146"/>
      <c r="BG593" s="5146"/>
      <c r="BH593" s="3812"/>
      <c r="BI593" s="3812"/>
      <c r="BJ593" s="3812"/>
      <c r="BK593" s="3812"/>
      <c r="BL593" s="3812"/>
      <c r="BM593" s="3812"/>
      <c r="BN593" s="3812"/>
      <c r="BO593" s="5122"/>
      <c r="BP593" s="5122"/>
      <c r="BQ593" s="5122">
        <v>100000</v>
      </c>
      <c r="BR593" s="5160"/>
      <c r="BS593" s="5122"/>
      <c r="BT593" s="5122"/>
      <c r="BU593" s="5122"/>
      <c r="BV593" s="5122"/>
      <c r="BW593" s="5122"/>
      <c r="BX593" s="5122"/>
      <c r="BY593" s="5122"/>
      <c r="BZ593" s="5122"/>
      <c r="CA593" s="5122"/>
      <c r="CB593" s="5122"/>
      <c r="CC593" s="857" t="s">
        <v>166</v>
      </c>
      <c r="CD593" s="857" t="s">
        <v>154</v>
      </c>
      <c r="CE593" s="5169"/>
      <c r="CF593" s="5169"/>
      <c r="CG593" s="5169"/>
      <c r="CH593" s="5169"/>
    </row>
    <row r="594" s="4965" customFormat="1" ht="52.5" customHeight="1" spans="1:86">
      <c r="A594" s="3524"/>
      <c r="B594" s="857"/>
      <c r="C594" s="3524"/>
      <c r="D594" s="1032"/>
      <c r="E594" s="3524"/>
      <c r="F594" s="5241"/>
      <c r="G594" s="1032"/>
      <c r="H594" s="1032"/>
      <c r="I594" s="5206"/>
      <c r="J594" s="1032"/>
      <c r="K594" s="3742"/>
      <c r="L594" s="3524"/>
      <c r="M594" s="857"/>
      <c r="N594" s="4046"/>
      <c r="O594" s="4046"/>
      <c r="P594" s="4046"/>
      <c r="Q594" s="4046"/>
      <c r="R594" s="4046"/>
      <c r="S594" s="4046"/>
      <c r="T594" s="4046"/>
      <c r="U594" s="4046"/>
      <c r="V594" s="4046"/>
      <c r="W594" s="4046"/>
      <c r="X594" s="4046"/>
      <c r="Y594" s="4046"/>
      <c r="Z594" s="4046"/>
      <c r="AA594" s="4046"/>
      <c r="AB594" s="4046"/>
      <c r="AC594" s="857">
        <v>2</v>
      </c>
      <c r="AD594" s="5728" t="s">
        <v>1377</v>
      </c>
      <c r="AE594" s="5117">
        <v>0.5</v>
      </c>
      <c r="AF594" s="3524">
        <v>100000</v>
      </c>
      <c r="AG594" s="3812">
        <f t="shared" si="125"/>
        <v>0</v>
      </c>
      <c r="AH594" s="857"/>
      <c r="AI594" s="3812"/>
      <c r="AJ594" s="3812"/>
      <c r="AK594" s="3812"/>
      <c r="AL594" s="3812"/>
      <c r="AM594" s="3812"/>
      <c r="AN594" s="5123">
        <f t="shared" si="124"/>
        <v>0</v>
      </c>
      <c r="AO594" s="5123"/>
      <c r="AP594" s="3812">
        <f t="shared" si="123"/>
        <v>0</v>
      </c>
      <c r="AQ594" s="5122"/>
      <c r="AR594" s="4046"/>
      <c r="AS594" s="5701"/>
      <c r="AT594" s="5696"/>
      <c r="AU594" s="4045"/>
      <c r="AV594" s="4045"/>
      <c r="AW594" s="4045"/>
      <c r="AX594" s="4045"/>
      <c r="AY594" s="4045"/>
      <c r="AZ594" s="4045"/>
      <c r="BA594" s="5122"/>
      <c r="BB594" s="3524"/>
      <c r="BC594" s="3524"/>
      <c r="BD594" s="5741"/>
      <c r="BE594" s="5122"/>
      <c r="BF594" s="5122"/>
      <c r="BG594" s="5122"/>
      <c r="BH594" s="3524"/>
      <c r="BI594" s="3524"/>
      <c r="BJ594" s="3524"/>
      <c r="BK594" s="3524"/>
      <c r="BL594" s="3524"/>
      <c r="BM594" s="3524"/>
      <c r="BN594" s="3524"/>
      <c r="BO594" s="5122"/>
      <c r="BP594" s="5122"/>
      <c r="BQ594" s="5122"/>
      <c r="BR594" s="5160"/>
      <c r="BS594" s="5122"/>
      <c r="BT594" s="5122"/>
      <c r="BU594" s="5122"/>
      <c r="BV594" s="5122"/>
      <c r="BW594" s="5122"/>
      <c r="BX594" s="5122"/>
      <c r="BY594" s="5122"/>
      <c r="BZ594" s="5122"/>
      <c r="CA594" s="5122"/>
      <c r="CB594" s="5122"/>
      <c r="CC594" s="857"/>
      <c r="CD594" s="857"/>
      <c r="CE594" s="5169"/>
      <c r="CF594" s="5169"/>
      <c r="CG594" s="5169"/>
      <c r="CH594" s="5169"/>
    </row>
    <row r="595" s="4965" customFormat="1" ht="89.15" customHeight="1" spans="1:86">
      <c r="A595" s="3662">
        <v>107</v>
      </c>
      <c r="B595" s="857" t="s">
        <v>173</v>
      </c>
      <c r="C595" s="3524">
        <v>44449</v>
      </c>
      <c r="D595" s="1032" t="s">
        <v>1378</v>
      </c>
      <c r="E595" s="3662"/>
      <c r="F595" s="1032" t="s">
        <v>1379</v>
      </c>
      <c r="G595" s="1032" t="s">
        <v>1380</v>
      </c>
      <c r="H595" s="1032" t="s">
        <v>31</v>
      </c>
      <c r="I595" s="1032" t="s">
        <v>1381</v>
      </c>
      <c r="J595" s="1032" t="s">
        <v>1382</v>
      </c>
      <c r="K595" s="3742">
        <v>179000</v>
      </c>
      <c r="L595" s="1032" t="s">
        <v>1383</v>
      </c>
      <c r="M595" s="857">
        <v>1253000</v>
      </c>
      <c r="N595" s="3662"/>
      <c r="O595" s="3662"/>
      <c r="P595" s="3662">
        <v>35800</v>
      </c>
      <c r="Q595" s="3662">
        <v>322200</v>
      </c>
      <c r="R595" s="3662"/>
      <c r="S595" s="3662"/>
      <c r="T595" s="3662"/>
      <c r="U595" s="3662">
        <v>895000</v>
      </c>
      <c r="V595" s="3662"/>
      <c r="W595" s="3662"/>
      <c r="X595" s="3662"/>
      <c r="Y595" s="3662"/>
      <c r="Z595" s="3662"/>
      <c r="AA595" s="3662"/>
      <c r="AB595" s="3662"/>
      <c r="AC595" s="857">
        <v>1</v>
      </c>
      <c r="AD595" s="5728" t="s">
        <v>1384</v>
      </c>
      <c r="AE595" s="5117">
        <v>0.2</v>
      </c>
      <c r="AF595" s="3524">
        <f>AE595*1253000</f>
        <v>250600</v>
      </c>
      <c r="AG595" s="3812">
        <f t="shared" si="125"/>
        <v>632847.71</v>
      </c>
      <c r="AH595" s="857" t="s">
        <v>122</v>
      </c>
      <c r="AI595" s="3812">
        <v>44557</v>
      </c>
      <c r="AJ595" s="3812">
        <v>632847.71</v>
      </c>
      <c r="AK595" s="3812">
        <v>44557</v>
      </c>
      <c r="AL595" s="3812">
        <v>626500</v>
      </c>
      <c r="AM595" s="3812">
        <v>44573</v>
      </c>
      <c r="AN595" s="3812">
        <f t="shared" si="124"/>
        <v>626500</v>
      </c>
      <c r="AO595" s="857">
        <v>44764</v>
      </c>
      <c r="AP595" s="3812">
        <f t="shared" si="123"/>
        <v>6347.70999999996</v>
      </c>
      <c r="AQ595" s="5122"/>
      <c r="AR595" s="3524"/>
      <c r="AS595" s="5137"/>
      <c r="AT595" s="5122"/>
      <c r="AU595" s="4200">
        <f>SUM(AG595:AG599)</f>
        <v>1272383.63</v>
      </c>
      <c r="AV595" s="4200">
        <f>SUM(AL595:AL598)</f>
        <v>1272383.63</v>
      </c>
      <c r="AW595" s="4200">
        <f>SUM(AN595:AN597)</f>
        <v>1002400</v>
      </c>
      <c r="AX595" s="4200">
        <f>M595-AU595</f>
        <v>-19383.6299999999</v>
      </c>
      <c r="AY595" s="4200">
        <f>AU595-AV595</f>
        <v>0</v>
      </c>
      <c r="AZ595" s="4200">
        <f>AV595-AW595</f>
        <v>269983.63</v>
      </c>
      <c r="BA595" s="5146"/>
      <c r="BB595" s="3812"/>
      <c r="BC595" s="3812">
        <v>18081.36</v>
      </c>
      <c r="BD595" s="3812">
        <v>162732.27</v>
      </c>
      <c r="BE595" s="3812"/>
      <c r="BF595" s="3812"/>
      <c r="BG595" s="3812"/>
      <c r="BH595" s="3812">
        <v>452034.08</v>
      </c>
      <c r="BI595" s="3812"/>
      <c r="BJ595" s="3812"/>
      <c r="BK595" s="3812"/>
      <c r="BL595" s="3812"/>
      <c r="BM595" s="3812"/>
      <c r="BN595" s="3812"/>
      <c r="BO595" s="5122"/>
      <c r="BP595" s="5122"/>
      <c r="BQ595" s="3812">
        <v>18081.36</v>
      </c>
      <c r="BR595" s="3812">
        <v>162732.27</v>
      </c>
      <c r="BS595" s="5146"/>
      <c r="BT595" s="5146"/>
      <c r="BU595" s="5146"/>
      <c r="BV595" s="3812">
        <v>445686.37</v>
      </c>
      <c r="BW595" s="5122"/>
      <c r="BX595" s="5122"/>
      <c r="BY595" s="5122"/>
      <c r="BZ595" s="5122"/>
      <c r="CA595" s="5122"/>
      <c r="CB595" s="5122"/>
      <c r="CC595" s="3366" t="s">
        <v>166</v>
      </c>
      <c r="CD595" s="3366" t="s">
        <v>154</v>
      </c>
      <c r="CE595" s="5169"/>
      <c r="CF595" s="5169"/>
      <c r="CG595" s="5169"/>
      <c r="CH595" s="5169"/>
    </row>
    <row r="596" s="4965" customFormat="1" ht="84.15" customHeight="1" spans="1:86">
      <c r="A596" s="3662"/>
      <c r="B596" s="857"/>
      <c r="C596" s="3524"/>
      <c r="D596" s="1032"/>
      <c r="E596" s="3662"/>
      <c r="F596" s="1032"/>
      <c r="G596" s="1032"/>
      <c r="H596" s="1032"/>
      <c r="I596" s="1032"/>
      <c r="J596" s="1032"/>
      <c r="K596" s="3742"/>
      <c r="L596" s="1032"/>
      <c r="M596" s="857"/>
      <c r="N596" s="3662"/>
      <c r="O596" s="3662"/>
      <c r="P596" s="3662"/>
      <c r="Q596" s="3662"/>
      <c r="R596" s="3662"/>
      <c r="S596" s="3662"/>
      <c r="T596" s="3662"/>
      <c r="U596" s="3662"/>
      <c r="V596" s="3662"/>
      <c r="W596" s="3662"/>
      <c r="X596" s="3662"/>
      <c r="Y596" s="3662"/>
      <c r="Z596" s="3662"/>
      <c r="AA596" s="3662"/>
      <c r="AB596" s="3662"/>
      <c r="AC596" s="857">
        <v>2</v>
      </c>
      <c r="AD596" s="5728" t="s">
        <v>1385</v>
      </c>
      <c r="AE596" s="5117">
        <v>0.3</v>
      </c>
      <c r="AF596" s="3524">
        <f>AE596*1253000</f>
        <v>375900</v>
      </c>
      <c r="AG596" s="3812"/>
      <c r="AH596" s="857"/>
      <c r="AI596" s="3812"/>
      <c r="AJ596" s="3812"/>
      <c r="AK596" s="3812"/>
      <c r="AL596" s="3812"/>
      <c r="AM596" s="3812"/>
      <c r="AN596" s="3812"/>
      <c r="AO596" s="3812"/>
      <c r="AP596" s="3812"/>
      <c r="AQ596" s="5122"/>
      <c r="AR596" s="3524"/>
      <c r="AS596" s="5137"/>
      <c r="AT596" s="5122"/>
      <c r="AU596" s="4201"/>
      <c r="AV596" s="4201"/>
      <c r="AW596" s="4201"/>
      <c r="AX596" s="4201"/>
      <c r="AY596" s="4201"/>
      <c r="AZ596" s="4201"/>
      <c r="BA596" s="5146"/>
      <c r="BB596" s="3812"/>
      <c r="BC596" s="3812"/>
      <c r="BD596" s="3812"/>
      <c r="BE596" s="3812"/>
      <c r="BF596" s="3812"/>
      <c r="BG596" s="3812"/>
      <c r="BH596" s="3812"/>
      <c r="BI596" s="3812"/>
      <c r="BJ596" s="3812"/>
      <c r="BK596" s="3812"/>
      <c r="BL596" s="3812"/>
      <c r="BM596" s="3812"/>
      <c r="BN596" s="3812"/>
      <c r="BO596" s="5122"/>
      <c r="BP596" s="5122"/>
      <c r="BQ596" s="3812"/>
      <c r="BR596" s="3812"/>
      <c r="BS596" s="5146"/>
      <c r="BT596" s="5146"/>
      <c r="BU596" s="5146"/>
      <c r="BV596" s="3812"/>
      <c r="BW596" s="5122"/>
      <c r="BX596" s="5122"/>
      <c r="BY596" s="5122"/>
      <c r="BZ596" s="5122"/>
      <c r="CA596" s="5122"/>
      <c r="CB596" s="5122"/>
      <c r="CC596" s="3408"/>
      <c r="CD596" s="3408"/>
      <c r="CE596" s="5169"/>
      <c r="CF596" s="5169"/>
      <c r="CG596" s="5169"/>
      <c r="CH596" s="5169"/>
    </row>
    <row r="597" s="4965" customFormat="1" ht="124.15" customHeight="1" spans="1:86">
      <c r="A597" s="3662"/>
      <c r="B597" s="857"/>
      <c r="C597" s="3524"/>
      <c r="D597" s="1032"/>
      <c r="E597" s="3662"/>
      <c r="F597" s="1032"/>
      <c r="G597" s="1032"/>
      <c r="H597" s="1032"/>
      <c r="I597" s="1032"/>
      <c r="J597" s="1032"/>
      <c r="K597" s="3742"/>
      <c r="L597" s="1032"/>
      <c r="M597" s="857"/>
      <c r="N597" s="3662"/>
      <c r="O597" s="3662"/>
      <c r="P597" s="3662"/>
      <c r="Q597" s="3662"/>
      <c r="R597" s="3662"/>
      <c r="S597" s="3662"/>
      <c r="T597" s="3662"/>
      <c r="U597" s="3662"/>
      <c r="V597" s="3662"/>
      <c r="W597" s="3662"/>
      <c r="X597" s="3662"/>
      <c r="Y597" s="3662"/>
      <c r="Z597" s="3662"/>
      <c r="AA597" s="3662"/>
      <c r="AB597" s="3662"/>
      <c r="AC597" s="857">
        <v>3</v>
      </c>
      <c r="AD597" s="5728" t="s">
        <v>1386</v>
      </c>
      <c r="AE597" s="5117">
        <v>0.3</v>
      </c>
      <c r="AF597" s="3524">
        <f>AE597*1253000</f>
        <v>375900</v>
      </c>
      <c r="AG597" s="3812">
        <f t="shared" ref="AG597:AG609" si="126">SUM(BA597:BN597)</f>
        <v>375900</v>
      </c>
      <c r="AH597" s="857" t="s">
        <v>122</v>
      </c>
      <c r="AI597" s="3812">
        <v>44720</v>
      </c>
      <c r="AJ597" s="3812">
        <v>375900</v>
      </c>
      <c r="AK597" s="3812">
        <v>44720</v>
      </c>
      <c r="AL597" s="3812">
        <v>375900</v>
      </c>
      <c r="AM597" s="3812">
        <v>44748</v>
      </c>
      <c r="AN597" s="3812">
        <f>SUM(BO597:CB597)</f>
        <v>375900</v>
      </c>
      <c r="AO597" s="857">
        <v>44803</v>
      </c>
      <c r="AP597" s="3812">
        <f>AG597-AN597</f>
        <v>0</v>
      </c>
      <c r="AQ597" s="5122"/>
      <c r="AR597" s="3524"/>
      <c r="AS597" s="5137"/>
      <c r="AT597" s="5122"/>
      <c r="AU597" s="4201"/>
      <c r="AV597" s="4201"/>
      <c r="AW597" s="4201"/>
      <c r="AX597" s="4201"/>
      <c r="AY597" s="4201"/>
      <c r="AZ597" s="4201"/>
      <c r="BA597" s="5146"/>
      <c r="BB597" s="3812"/>
      <c r="BC597" s="3812">
        <v>10740</v>
      </c>
      <c r="BD597" s="3812">
        <v>96660</v>
      </c>
      <c r="BE597" s="5146"/>
      <c r="BF597" s="5146"/>
      <c r="BG597" s="5146"/>
      <c r="BH597" s="3812">
        <v>268500</v>
      </c>
      <c r="BI597" s="3812"/>
      <c r="BJ597" s="3812"/>
      <c r="BK597" s="3812"/>
      <c r="BL597" s="3812"/>
      <c r="BM597" s="3812"/>
      <c r="BN597" s="3812"/>
      <c r="BO597" s="5122"/>
      <c r="BP597" s="5122"/>
      <c r="BQ597" s="3812">
        <v>10740</v>
      </c>
      <c r="BR597" s="3812">
        <v>96660</v>
      </c>
      <c r="BS597" s="5146"/>
      <c r="BT597" s="5146"/>
      <c r="BU597" s="5146"/>
      <c r="BV597" s="3812">
        <v>268500</v>
      </c>
      <c r="BW597" s="5122"/>
      <c r="BX597" s="5122"/>
      <c r="BY597" s="5122"/>
      <c r="BZ597" s="5122"/>
      <c r="CA597" s="5122"/>
      <c r="CB597" s="5122"/>
      <c r="CC597" s="3408"/>
      <c r="CD597" s="3408"/>
      <c r="CE597" s="5169"/>
      <c r="CF597" s="5169"/>
      <c r="CG597" s="5169"/>
      <c r="CH597" s="5169"/>
    </row>
    <row r="598" s="4965" customFormat="1" ht="21.75" customHeight="1" spans="1:86">
      <c r="A598" s="3662"/>
      <c r="B598" s="857"/>
      <c r="C598" s="3524"/>
      <c r="D598" s="1032"/>
      <c r="E598" s="3662"/>
      <c r="F598" s="1032"/>
      <c r="G598" s="1032"/>
      <c r="H598" s="1032"/>
      <c r="I598" s="1032"/>
      <c r="J598" s="1032"/>
      <c r="K598" s="3742"/>
      <c r="L598" s="1032"/>
      <c r="M598" s="857"/>
      <c r="N598" s="3662"/>
      <c r="O598" s="3662"/>
      <c r="P598" s="3662"/>
      <c r="Q598" s="3662"/>
      <c r="R598" s="3662"/>
      <c r="S598" s="3662"/>
      <c r="T598" s="3662"/>
      <c r="U598" s="3662"/>
      <c r="V598" s="3662"/>
      <c r="W598" s="3662"/>
      <c r="X598" s="3662"/>
      <c r="Y598" s="3662"/>
      <c r="Z598" s="3662"/>
      <c r="AA598" s="3662"/>
      <c r="AB598" s="3662"/>
      <c r="AC598" s="857">
        <v>4</v>
      </c>
      <c r="AD598" s="5073" t="s">
        <v>1387</v>
      </c>
      <c r="AE598" s="5117">
        <v>0.2</v>
      </c>
      <c r="AF598" s="4087">
        <f>AE598*1253000</f>
        <v>250600</v>
      </c>
      <c r="AG598" s="3812">
        <f t="shared" si="126"/>
        <v>256947.7</v>
      </c>
      <c r="AH598" s="857" t="s">
        <v>122</v>
      </c>
      <c r="AI598" s="3812">
        <v>45207</v>
      </c>
      <c r="AJ598" s="3812">
        <v>256947.7</v>
      </c>
      <c r="AK598" s="3812">
        <v>45207</v>
      </c>
      <c r="AL598" s="4840">
        <v>269983.63</v>
      </c>
      <c r="AM598" s="5073">
        <v>45799</v>
      </c>
      <c r="AN598" s="4840">
        <f>SUM(BO598:CB598)</f>
        <v>100000</v>
      </c>
      <c r="AO598" s="4840">
        <v>45848</v>
      </c>
      <c r="AP598" s="5302">
        <f>AG598+AG599-AN598</f>
        <v>163635.92</v>
      </c>
      <c r="AQ598" s="4087"/>
      <c r="AR598" s="4087"/>
      <c r="AS598" s="3740"/>
      <c r="AT598" s="4087"/>
      <c r="AU598" s="4201"/>
      <c r="AV598" s="4201"/>
      <c r="AW598" s="4201"/>
      <c r="AX598" s="4201"/>
      <c r="AY598" s="4201"/>
      <c r="AZ598" s="4201"/>
      <c r="BA598" s="4087"/>
      <c r="BB598" s="4087"/>
      <c r="BC598" s="3812">
        <v>7341.37</v>
      </c>
      <c r="BD598" s="3812">
        <v>66072.26</v>
      </c>
      <c r="BE598" s="4840"/>
      <c r="BF598" s="4840"/>
      <c r="BG598" s="4840"/>
      <c r="BH598" s="3812">
        <v>183534.07</v>
      </c>
      <c r="BI598" s="3524"/>
      <c r="BJ598" s="3524"/>
      <c r="BK598" s="3524"/>
      <c r="BL598" s="3524"/>
      <c r="BM598" s="3524"/>
      <c r="BN598" s="3524"/>
      <c r="BO598" s="5122"/>
      <c r="BP598" s="5122"/>
      <c r="BQ598" s="4840">
        <v>3000</v>
      </c>
      <c r="BR598" s="4840">
        <v>26000</v>
      </c>
      <c r="BS598" s="4840"/>
      <c r="BT598" s="4840"/>
      <c r="BU598" s="4840"/>
      <c r="BV598" s="4840">
        <v>71000</v>
      </c>
      <c r="BW598" s="4087"/>
      <c r="BX598" s="4087"/>
      <c r="BY598" s="4087"/>
      <c r="BZ598" s="4087"/>
      <c r="CA598" s="4087"/>
      <c r="CB598" s="4087"/>
      <c r="CC598" s="3408"/>
      <c r="CD598" s="3408"/>
      <c r="CE598" s="5169"/>
      <c r="CF598" s="5169"/>
      <c r="CG598" s="5169"/>
      <c r="CH598" s="5169"/>
    </row>
    <row r="599" s="4965" customFormat="1" ht="27" customHeight="1" spans="1:86">
      <c r="A599" s="3524"/>
      <c r="B599" s="857"/>
      <c r="C599" s="3524"/>
      <c r="D599" s="1032"/>
      <c r="E599" s="3662"/>
      <c r="F599" s="1032"/>
      <c r="G599" s="1032"/>
      <c r="H599" s="1032"/>
      <c r="I599" s="1032"/>
      <c r="J599" s="1032"/>
      <c r="K599" s="3742"/>
      <c r="L599" s="1032"/>
      <c r="M599" s="857"/>
      <c r="N599" s="3061"/>
      <c r="O599" s="3061"/>
      <c r="P599" s="3061"/>
      <c r="Q599" s="3061"/>
      <c r="R599" s="3061"/>
      <c r="S599" s="3061"/>
      <c r="T599" s="3061"/>
      <c r="U599" s="3061"/>
      <c r="V599" s="3061"/>
      <c r="W599" s="3061"/>
      <c r="X599" s="3061"/>
      <c r="Y599" s="3061"/>
      <c r="Z599" s="3061"/>
      <c r="AA599" s="3061"/>
      <c r="AB599" s="3061"/>
      <c r="AC599" s="857"/>
      <c r="AD599" s="5206"/>
      <c r="AE599" s="5117"/>
      <c r="AF599" s="4903"/>
      <c r="AG599" s="3812">
        <f t="shared" si="126"/>
        <v>6688.22</v>
      </c>
      <c r="AH599" s="857" t="s">
        <v>122</v>
      </c>
      <c r="AI599" s="857">
        <v>45677</v>
      </c>
      <c r="AJ599" s="3812">
        <v>6688.22</v>
      </c>
      <c r="AK599" s="5146">
        <v>45677</v>
      </c>
      <c r="AL599" s="4842"/>
      <c r="AM599" s="4842"/>
      <c r="AN599" s="4842"/>
      <c r="AO599" s="4842"/>
      <c r="AP599" s="5301"/>
      <c r="AQ599" s="4903"/>
      <c r="AR599" s="4903"/>
      <c r="AS599" s="3741"/>
      <c r="AT599" s="4903"/>
      <c r="AU599" s="4202"/>
      <c r="AV599" s="4202"/>
      <c r="AW599" s="4202"/>
      <c r="AX599" s="4202"/>
      <c r="AY599" s="4202"/>
      <c r="AZ599" s="4202"/>
      <c r="BA599" s="4903"/>
      <c r="BB599" s="4903"/>
      <c r="BC599" s="3812">
        <v>190.61</v>
      </c>
      <c r="BD599" s="3812">
        <v>1720.21</v>
      </c>
      <c r="BE599" s="4842"/>
      <c r="BF599" s="4842"/>
      <c r="BG599" s="4842"/>
      <c r="BH599" s="3812">
        <v>4777.4</v>
      </c>
      <c r="BI599" s="3524"/>
      <c r="BJ599" s="3524"/>
      <c r="BK599" s="3524"/>
      <c r="BL599" s="3524"/>
      <c r="BM599" s="3524"/>
      <c r="BN599" s="3524"/>
      <c r="BO599" s="5160"/>
      <c r="BP599" s="5160"/>
      <c r="BQ599" s="4842">
        <f>7531.98-BQ598</f>
        <v>4531.98</v>
      </c>
      <c r="BR599" s="4842">
        <f>67792.47-BR598</f>
        <v>41792.47</v>
      </c>
      <c r="BS599" s="4842"/>
      <c r="BT599" s="4842"/>
      <c r="BU599" s="4842"/>
      <c r="BV599" s="4842">
        <f>194659.18-BV598</f>
        <v>123659.18</v>
      </c>
      <c r="BW599" s="4903"/>
      <c r="BX599" s="4903"/>
      <c r="BY599" s="4903"/>
      <c r="BZ599" s="4903"/>
      <c r="CA599" s="4903"/>
      <c r="CB599" s="4903"/>
      <c r="CC599" s="3409"/>
      <c r="CD599" s="3409"/>
      <c r="CE599" s="5169"/>
      <c r="CF599" s="5169"/>
      <c r="CG599" s="5169"/>
      <c r="CH599" s="5169"/>
    </row>
    <row r="600" s="4972" customFormat="1" ht="27" customHeight="1" spans="1:86">
      <c r="A600" s="3061">
        <v>108</v>
      </c>
      <c r="B600" s="3814" t="s">
        <v>690</v>
      </c>
      <c r="C600" s="3662">
        <v>44571</v>
      </c>
      <c r="D600" s="5055" t="s">
        <v>1388</v>
      </c>
      <c r="E600" s="3662"/>
      <c r="F600" s="5055" t="s">
        <v>1389</v>
      </c>
      <c r="G600" s="5055" t="s">
        <v>1390</v>
      </c>
      <c r="H600" s="5055" t="s">
        <v>286</v>
      </c>
      <c r="I600" s="5055"/>
      <c r="J600" s="5055" t="s">
        <v>1391</v>
      </c>
      <c r="K600" s="5055" t="s">
        <v>1392</v>
      </c>
      <c r="L600" s="5053"/>
      <c r="M600" s="3814">
        <v>485298</v>
      </c>
      <c r="N600" s="3061"/>
      <c r="O600" s="3061"/>
      <c r="P600" s="3061"/>
      <c r="Q600" s="3061">
        <v>485298</v>
      </c>
      <c r="R600" s="3061"/>
      <c r="S600" s="3061"/>
      <c r="T600" s="3061"/>
      <c r="U600" s="3061"/>
      <c r="V600" s="3061"/>
      <c r="W600" s="3061"/>
      <c r="X600" s="3061"/>
      <c r="Y600" s="3061"/>
      <c r="Z600" s="3061"/>
      <c r="AA600" s="3061"/>
      <c r="AB600" s="3061"/>
      <c r="AC600" s="3814">
        <v>1</v>
      </c>
      <c r="AD600" s="5772" t="s">
        <v>1393</v>
      </c>
      <c r="AE600" s="5115">
        <v>0.2</v>
      </c>
      <c r="AF600" s="3662">
        <v>97059.6</v>
      </c>
      <c r="AG600" s="3708">
        <f t="shared" si="126"/>
        <v>0</v>
      </c>
      <c r="AH600" s="3823"/>
      <c r="AI600" s="3823"/>
      <c r="AJ600" s="3684"/>
      <c r="AK600" s="5148"/>
      <c r="AL600" s="3684"/>
      <c r="AM600" s="3684"/>
      <c r="AN600" s="3708">
        <f t="shared" ref="AN600:AN615" si="127">SUM(BO600:CB600)</f>
        <v>0</v>
      </c>
      <c r="AO600" s="3708"/>
      <c r="AP600" s="3684">
        <f>AG600-AN600</f>
        <v>0</v>
      </c>
      <c r="AQ600" s="5127"/>
      <c r="AR600" s="3662"/>
      <c r="AS600" s="5134"/>
      <c r="AT600" s="5127"/>
      <c r="AU600" s="3684">
        <f>SUM(AG600:AG602)</f>
        <v>0</v>
      </c>
      <c r="AV600" s="3684">
        <f>SUM(AL600:AL602)</f>
        <v>0</v>
      </c>
      <c r="AW600" s="3684">
        <f>SUM(AN600:AN602)</f>
        <v>0</v>
      </c>
      <c r="AX600" s="3684">
        <f>M600-AU600</f>
        <v>485298</v>
      </c>
      <c r="AY600" s="3684">
        <f>AU600-AV600</f>
        <v>0</v>
      </c>
      <c r="AZ600" s="3684">
        <f>AV600-AW600</f>
        <v>0</v>
      </c>
      <c r="BA600" s="5164"/>
      <c r="BB600" s="5164"/>
      <c r="BC600" s="3708"/>
      <c r="BD600" s="3708"/>
      <c r="BE600" s="5127"/>
      <c r="BF600" s="5127"/>
      <c r="BG600" s="5127"/>
      <c r="BH600" s="3662"/>
      <c r="BI600" s="3662"/>
      <c r="BJ600" s="3662"/>
      <c r="BK600" s="3662"/>
      <c r="BL600" s="3662"/>
      <c r="BM600" s="3662"/>
      <c r="BN600" s="3662"/>
      <c r="BO600" s="5164"/>
      <c r="BP600" s="5164"/>
      <c r="BQ600" s="3708"/>
      <c r="BR600" s="3708"/>
      <c r="BS600" s="5127"/>
      <c r="BT600" s="5127"/>
      <c r="BU600" s="5127"/>
      <c r="BV600" s="5127"/>
      <c r="BW600" s="5127"/>
      <c r="BX600" s="5127"/>
      <c r="BY600" s="5127"/>
      <c r="BZ600" s="5127"/>
      <c r="CA600" s="5127"/>
      <c r="CB600" s="5127"/>
      <c r="CC600" s="3814" t="s">
        <v>166</v>
      </c>
      <c r="CD600" s="3814" t="s">
        <v>154</v>
      </c>
      <c r="CE600" s="5170"/>
      <c r="CF600" s="5170"/>
      <c r="CG600" s="5170"/>
      <c r="CH600" s="5170"/>
    </row>
    <row r="601" s="4972" customFormat="1" ht="42.75" customHeight="1" spans="1:86">
      <c r="A601" s="3061"/>
      <c r="B601" s="3814"/>
      <c r="C601" s="3662"/>
      <c r="D601" s="5055"/>
      <c r="E601" s="3662"/>
      <c r="F601" s="5055"/>
      <c r="G601" s="5055"/>
      <c r="H601" s="5055"/>
      <c r="I601" s="5055"/>
      <c r="J601" s="5055"/>
      <c r="K601" s="5053"/>
      <c r="L601" s="5053"/>
      <c r="M601" s="3814"/>
      <c r="N601" s="3061"/>
      <c r="O601" s="3061"/>
      <c r="P601" s="3061"/>
      <c r="Q601" s="3061"/>
      <c r="R601" s="3061"/>
      <c r="S601" s="3061"/>
      <c r="T601" s="3061"/>
      <c r="U601" s="3061"/>
      <c r="V601" s="3061"/>
      <c r="W601" s="3061"/>
      <c r="X601" s="3061"/>
      <c r="Y601" s="3061"/>
      <c r="Z601" s="3061"/>
      <c r="AA601" s="3061"/>
      <c r="AB601" s="3061"/>
      <c r="AC601" s="3814">
        <v>2</v>
      </c>
      <c r="AD601" s="5772" t="s">
        <v>1394</v>
      </c>
      <c r="AE601" s="5115">
        <v>0.6</v>
      </c>
      <c r="AF601" s="3662">
        <v>291178.8</v>
      </c>
      <c r="AG601" s="3708">
        <f t="shared" si="126"/>
        <v>0</v>
      </c>
      <c r="AH601" s="3823"/>
      <c r="AI601" s="3708"/>
      <c r="AJ601" s="3684"/>
      <c r="AK601" s="5148"/>
      <c r="AL601" s="3684"/>
      <c r="AM601" s="3684"/>
      <c r="AN601" s="3708">
        <f t="shared" si="127"/>
        <v>0</v>
      </c>
      <c r="AO601" s="3708"/>
      <c r="AP601" s="3684">
        <f>AG601-AN601</f>
        <v>0</v>
      </c>
      <c r="AQ601" s="5127"/>
      <c r="AR601" s="3662"/>
      <c r="AS601" s="5134"/>
      <c r="AT601" s="5127"/>
      <c r="AU601" s="3684"/>
      <c r="AV601" s="3684"/>
      <c r="AW601" s="3684"/>
      <c r="AX601" s="3684"/>
      <c r="AY601" s="3684"/>
      <c r="AZ601" s="3684"/>
      <c r="BA601" s="3708"/>
      <c r="BB601" s="3708"/>
      <c r="BC601" s="5164"/>
      <c r="BD601" s="3708"/>
      <c r="BE601" s="5127"/>
      <c r="BF601" s="5127"/>
      <c r="BG601" s="5127"/>
      <c r="BH601" s="3662"/>
      <c r="BI601" s="3662"/>
      <c r="BJ601" s="3662"/>
      <c r="BK601" s="3662"/>
      <c r="BL601" s="3662"/>
      <c r="BM601" s="3662"/>
      <c r="BN601" s="3662"/>
      <c r="BO601" s="3708"/>
      <c r="BP601" s="3708"/>
      <c r="BQ601" s="5164"/>
      <c r="BR601" s="3708"/>
      <c r="BS601" s="5127"/>
      <c r="BT601" s="5127"/>
      <c r="BU601" s="5127"/>
      <c r="BV601" s="5127"/>
      <c r="BW601" s="5127"/>
      <c r="BX601" s="5127"/>
      <c r="BY601" s="5127"/>
      <c r="BZ601" s="5127"/>
      <c r="CA601" s="5127"/>
      <c r="CB601" s="5127"/>
      <c r="CC601" s="3814"/>
      <c r="CD601" s="3814"/>
      <c r="CE601" s="5170"/>
      <c r="CF601" s="5170"/>
      <c r="CG601" s="5170"/>
      <c r="CH601" s="5170"/>
    </row>
    <row r="602" s="4972" customFormat="1" ht="42" customHeight="1" spans="1:86">
      <c r="A602" s="3061"/>
      <c r="B602" s="3814"/>
      <c r="C602" s="3662"/>
      <c r="D602" s="5055"/>
      <c r="E602" s="3662"/>
      <c r="F602" s="5055"/>
      <c r="G602" s="5055"/>
      <c r="H602" s="5055"/>
      <c r="I602" s="5055"/>
      <c r="J602" s="5055"/>
      <c r="K602" s="5053"/>
      <c r="L602" s="5053"/>
      <c r="M602" s="3814"/>
      <c r="N602" s="3061"/>
      <c r="O602" s="3061"/>
      <c r="P602" s="3061"/>
      <c r="Q602" s="3061"/>
      <c r="R602" s="3061"/>
      <c r="S602" s="3061"/>
      <c r="T602" s="3061"/>
      <c r="U602" s="3061"/>
      <c r="V602" s="3061"/>
      <c r="W602" s="3061"/>
      <c r="X602" s="3061"/>
      <c r="Y602" s="3061"/>
      <c r="Z602" s="3061"/>
      <c r="AA602" s="3061"/>
      <c r="AB602" s="3061"/>
      <c r="AC602" s="3814">
        <v>3</v>
      </c>
      <c r="AD602" s="5772" t="s">
        <v>1395</v>
      </c>
      <c r="AE602" s="5115">
        <v>0.2</v>
      </c>
      <c r="AF602" s="3662">
        <v>97059.6</v>
      </c>
      <c r="AG602" s="3708">
        <f t="shared" si="126"/>
        <v>0</v>
      </c>
      <c r="AH602" s="3823"/>
      <c r="AI602" s="3708"/>
      <c r="AJ602" s="3684"/>
      <c r="AK602" s="5148"/>
      <c r="AL602" s="3684"/>
      <c r="AM602" s="3684"/>
      <c r="AN602" s="3708">
        <f t="shared" si="127"/>
        <v>0</v>
      </c>
      <c r="AO602" s="3708"/>
      <c r="AP602" s="3684">
        <f>AG602-AN602</f>
        <v>0</v>
      </c>
      <c r="AQ602" s="5127"/>
      <c r="AR602" s="3662"/>
      <c r="AS602" s="5134"/>
      <c r="AT602" s="5127"/>
      <c r="AU602" s="3684"/>
      <c r="AV602" s="3684"/>
      <c r="AW602" s="3684"/>
      <c r="AX602" s="3684"/>
      <c r="AY602" s="3684"/>
      <c r="AZ602" s="3684"/>
      <c r="BA602" s="5164"/>
      <c r="BB602" s="3708"/>
      <c r="BC602" s="3708"/>
      <c r="BD602" s="3708"/>
      <c r="BE602" s="5127"/>
      <c r="BF602" s="5127"/>
      <c r="BG602" s="5127"/>
      <c r="BH602" s="3662"/>
      <c r="BI602" s="3662"/>
      <c r="BJ602" s="3662"/>
      <c r="BK602" s="3662"/>
      <c r="BL602" s="3662"/>
      <c r="BM602" s="3662"/>
      <c r="BN602" s="3662"/>
      <c r="BO602" s="5164"/>
      <c r="BP602" s="3708"/>
      <c r="BQ602" s="3708"/>
      <c r="BR602" s="3708"/>
      <c r="BS602" s="5127"/>
      <c r="BT602" s="5127"/>
      <c r="BU602" s="5127"/>
      <c r="BV602" s="5127"/>
      <c r="BW602" s="5127"/>
      <c r="BX602" s="5127"/>
      <c r="BY602" s="5127"/>
      <c r="BZ602" s="5127"/>
      <c r="CA602" s="5127"/>
      <c r="CB602" s="5127"/>
      <c r="CC602" s="3814"/>
      <c r="CD602" s="3814"/>
      <c r="CE602" s="5170"/>
      <c r="CF602" s="5170"/>
      <c r="CG602" s="5170"/>
      <c r="CH602" s="5170"/>
    </row>
    <row r="603" s="4971" customFormat="1" ht="42" customHeight="1" spans="1:86">
      <c r="A603" s="3061">
        <v>109</v>
      </c>
      <c r="B603" s="5491" t="s">
        <v>690</v>
      </c>
      <c r="C603" s="5491">
        <v>44682</v>
      </c>
      <c r="D603" s="5418" t="s">
        <v>1396</v>
      </c>
      <c r="E603" s="3061"/>
      <c r="F603" s="5418" t="s">
        <v>1397</v>
      </c>
      <c r="G603" s="5418" t="s">
        <v>171</v>
      </c>
      <c r="H603" s="5418" t="s">
        <v>1397</v>
      </c>
      <c r="I603" s="5418"/>
      <c r="J603" s="5418" t="s">
        <v>1398</v>
      </c>
      <c r="K603" s="5419"/>
      <c r="L603" s="5419"/>
      <c r="M603" s="5491">
        <v>140000</v>
      </c>
      <c r="N603" s="3061"/>
      <c r="O603" s="3061"/>
      <c r="P603" s="3061">
        <v>100000</v>
      </c>
      <c r="Q603" s="3061">
        <v>40000</v>
      </c>
      <c r="R603" s="3061"/>
      <c r="S603" s="3061"/>
      <c r="T603" s="3061"/>
      <c r="U603" s="3061"/>
      <c r="V603" s="3061"/>
      <c r="W603" s="3061"/>
      <c r="X603" s="3061"/>
      <c r="Y603" s="3061"/>
      <c r="Z603" s="3061"/>
      <c r="AA603" s="3061"/>
      <c r="AB603" s="3061"/>
      <c r="AC603" s="5491">
        <v>1</v>
      </c>
      <c r="AD603" s="5831"/>
      <c r="AE603" s="5832">
        <v>1</v>
      </c>
      <c r="AF603" s="3061">
        <f>AE603*M603</f>
        <v>140000</v>
      </c>
      <c r="AG603" s="4099">
        <f t="shared" si="126"/>
        <v>140000</v>
      </c>
      <c r="AH603" s="5491" t="s">
        <v>206</v>
      </c>
      <c r="AI603" s="4099">
        <v>44701</v>
      </c>
      <c r="AJ603" s="4099">
        <v>140000</v>
      </c>
      <c r="AK603" s="4099">
        <v>44701</v>
      </c>
      <c r="AL603" s="4099">
        <v>140000</v>
      </c>
      <c r="AM603" s="4099">
        <v>44701</v>
      </c>
      <c r="AN603" s="5851">
        <f t="shared" si="127"/>
        <v>140000</v>
      </c>
      <c r="AO603" s="5851"/>
      <c r="AP603" s="4099">
        <f>AG603-AN603</f>
        <v>0</v>
      </c>
      <c r="AQ603" s="5458"/>
      <c r="AR603" s="3061"/>
      <c r="AS603" s="5459"/>
      <c r="AT603" s="5458"/>
      <c r="AU603" s="4099"/>
      <c r="AV603" s="4099"/>
      <c r="AW603" s="4099"/>
      <c r="AX603" s="4099"/>
      <c r="AY603" s="4099"/>
      <c r="AZ603" s="4099"/>
      <c r="BA603" s="5490"/>
      <c r="BB603" s="4099"/>
      <c r="BC603" s="4099">
        <v>100000</v>
      </c>
      <c r="BD603" s="4099">
        <v>40000</v>
      </c>
      <c r="BE603" s="5490"/>
      <c r="BF603" s="5490"/>
      <c r="BG603" s="5490"/>
      <c r="BH603" s="4099"/>
      <c r="BI603" s="4099"/>
      <c r="BJ603" s="4099"/>
      <c r="BK603" s="4099"/>
      <c r="BL603" s="4099"/>
      <c r="BM603" s="4099"/>
      <c r="BN603" s="4099"/>
      <c r="BO603" s="5524"/>
      <c r="BP603" s="5851"/>
      <c r="BQ603" s="4099">
        <v>100000</v>
      </c>
      <c r="BR603" s="4099">
        <v>40000</v>
      </c>
      <c r="BS603" s="5458"/>
      <c r="BT603" s="5458"/>
      <c r="BU603" s="5458"/>
      <c r="BV603" s="5458"/>
      <c r="BW603" s="5458"/>
      <c r="BX603" s="5458"/>
      <c r="BY603" s="5458"/>
      <c r="BZ603" s="5458"/>
      <c r="CA603" s="5458"/>
      <c r="CB603" s="5458"/>
      <c r="CC603" s="5491"/>
      <c r="CD603" s="5491"/>
      <c r="CE603" s="5039"/>
      <c r="CF603" s="5039"/>
      <c r="CG603" s="5039"/>
      <c r="CH603" s="5039"/>
    </row>
    <row r="604" s="4965" customFormat="1" ht="31.65" customHeight="1" spans="1:86">
      <c r="A604" s="3812">
        <v>1</v>
      </c>
      <c r="B604" s="3812" t="s">
        <v>111</v>
      </c>
      <c r="C604" s="3812">
        <v>43637</v>
      </c>
      <c r="D604" s="5059" t="s">
        <v>1399</v>
      </c>
      <c r="E604" s="5059" t="s">
        <v>171</v>
      </c>
      <c r="F604" s="5059" t="s">
        <v>1400</v>
      </c>
      <c r="G604" s="5059" t="s">
        <v>1401</v>
      </c>
      <c r="H604" s="3812" t="s">
        <v>240</v>
      </c>
      <c r="I604" s="5073" t="s">
        <v>1402</v>
      </c>
      <c r="J604" s="5059" t="s">
        <v>1403</v>
      </c>
      <c r="K604" s="3812">
        <v>360000</v>
      </c>
      <c r="L604" s="5059" t="s">
        <v>1404</v>
      </c>
      <c r="M604" s="3812">
        <f>SUM(N604:AA613)</f>
        <v>5400000</v>
      </c>
      <c r="N604" s="3812">
        <v>0</v>
      </c>
      <c r="O604" s="3812">
        <v>0</v>
      </c>
      <c r="P604" s="3812">
        <v>0</v>
      </c>
      <c r="Q604" s="3812">
        <v>5400000</v>
      </c>
      <c r="R604" s="3812">
        <v>0</v>
      </c>
      <c r="S604" s="3812">
        <v>0</v>
      </c>
      <c r="T604" s="3812"/>
      <c r="U604" s="3812">
        <v>0</v>
      </c>
      <c r="V604" s="3812">
        <v>0</v>
      </c>
      <c r="W604" s="3812">
        <v>0</v>
      </c>
      <c r="X604" s="3812">
        <v>0</v>
      </c>
      <c r="Y604" s="3812"/>
      <c r="Z604" s="3812"/>
      <c r="AA604" s="3812">
        <v>0</v>
      </c>
      <c r="AB604" s="3812"/>
      <c r="AC604" s="3812">
        <v>1</v>
      </c>
      <c r="AD604" s="5833" t="s">
        <v>1405</v>
      </c>
      <c r="AE604" s="5059">
        <v>0.2</v>
      </c>
      <c r="AF604" s="3812">
        <v>1080000</v>
      </c>
      <c r="AG604" s="3812">
        <f t="shared" si="126"/>
        <v>1080000</v>
      </c>
      <c r="AH604" s="3812" t="s">
        <v>206</v>
      </c>
      <c r="AI604" s="3812">
        <v>43784</v>
      </c>
      <c r="AJ604" s="3812" t="s">
        <v>171</v>
      </c>
      <c r="AK604" s="3812" t="s">
        <v>171</v>
      </c>
      <c r="AL604" s="3812">
        <v>1080000</v>
      </c>
      <c r="AM604" s="3812">
        <v>43784</v>
      </c>
      <c r="AN604" s="3812">
        <f t="shared" si="127"/>
        <v>1080000</v>
      </c>
      <c r="AO604" s="3812">
        <v>43803</v>
      </c>
      <c r="AP604" s="3812">
        <f t="shared" ref="AP604:AP614" si="128">AG604-AN604</f>
        <v>0</v>
      </c>
      <c r="AQ604" s="3812"/>
      <c r="AR604" s="3812" t="s">
        <v>1037</v>
      </c>
      <c r="AS604" s="5833" t="s">
        <v>1406</v>
      </c>
      <c r="AT604" s="3812" t="s">
        <v>1407</v>
      </c>
      <c r="AU604" s="3812">
        <f>SUM(AG604:AG613)</f>
        <v>5037633.5</v>
      </c>
      <c r="AV604" s="3812">
        <f>SUM(AL604:AL613)</f>
        <v>4677798</v>
      </c>
      <c r="AW604" s="3812">
        <f>SUM(AN604:AN613)</f>
        <v>4677798</v>
      </c>
      <c r="AX604" s="3812">
        <f>M604-AU604</f>
        <v>362366.5</v>
      </c>
      <c r="AY604" s="3812">
        <f>AU604-AV604</f>
        <v>359835.5</v>
      </c>
      <c r="AZ604" s="3812">
        <f>AV604-AW604</f>
        <v>0</v>
      </c>
      <c r="BA604" s="3812"/>
      <c r="BB604" s="3812"/>
      <c r="BC604" s="3812"/>
      <c r="BD604" s="3812">
        <v>1080000</v>
      </c>
      <c r="BE604" s="3812"/>
      <c r="BF604" s="3812"/>
      <c r="BG604" s="3812"/>
      <c r="BH604" s="3812"/>
      <c r="BI604" s="3812"/>
      <c r="BJ604" s="3812"/>
      <c r="BK604" s="3812"/>
      <c r="BL604" s="3812"/>
      <c r="BM604" s="3812"/>
      <c r="BN604" s="3812"/>
      <c r="BO604" s="3812"/>
      <c r="BP604" s="3812"/>
      <c r="BQ604" s="3812"/>
      <c r="BR604" s="3812">
        <v>1080000</v>
      </c>
      <c r="BS604" s="3812"/>
      <c r="BT604" s="3812"/>
      <c r="BU604" s="3812"/>
      <c r="BV604" s="3812"/>
      <c r="BW604" s="3812"/>
      <c r="BX604" s="3812"/>
      <c r="BY604" s="3812"/>
      <c r="BZ604" s="3812"/>
      <c r="CA604" s="3812"/>
      <c r="CB604" s="5863"/>
      <c r="CC604" s="3524" t="s">
        <v>166</v>
      </c>
      <c r="CD604" s="3524" t="s">
        <v>154</v>
      </c>
      <c r="CE604" s="5169"/>
      <c r="CF604" s="5169"/>
      <c r="CG604" s="5169"/>
      <c r="CH604" s="5169"/>
    </row>
    <row r="605" s="4965" customFormat="1" ht="35" customHeight="1" spans="1:86">
      <c r="A605" s="3812"/>
      <c r="B605" s="3812"/>
      <c r="C605" s="3812"/>
      <c r="D605" s="5059"/>
      <c r="E605" s="5059"/>
      <c r="F605" s="5059"/>
      <c r="G605" s="5059"/>
      <c r="H605" s="3812"/>
      <c r="I605" s="5074"/>
      <c r="J605" s="5059"/>
      <c r="K605" s="3812"/>
      <c r="L605" s="5059"/>
      <c r="M605" s="3812"/>
      <c r="N605" s="3812"/>
      <c r="O605" s="3812"/>
      <c r="P605" s="3812"/>
      <c r="Q605" s="3812"/>
      <c r="R605" s="3812"/>
      <c r="S605" s="3812"/>
      <c r="T605" s="3812"/>
      <c r="U605" s="3812"/>
      <c r="V605" s="3812"/>
      <c r="W605" s="3812"/>
      <c r="X605" s="3812"/>
      <c r="Y605" s="3812"/>
      <c r="Z605" s="3812"/>
      <c r="AA605" s="3812"/>
      <c r="AB605" s="3812"/>
      <c r="AC605" s="3812">
        <v>2</v>
      </c>
      <c r="AD605" s="5833" t="s">
        <v>1408</v>
      </c>
      <c r="AE605" s="5059">
        <v>0.2</v>
      </c>
      <c r="AF605" s="3812">
        <v>1080000</v>
      </c>
      <c r="AG605" s="3812">
        <f t="shared" si="126"/>
        <v>446868</v>
      </c>
      <c r="AH605" s="5059" t="s">
        <v>122</v>
      </c>
      <c r="AI605" s="3812">
        <v>43801</v>
      </c>
      <c r="AJ605" s="3812">
        <v>446868</v>
      </c>
      <c r="AK605" s="3812">
        <v>43801</v>
      </c>
      <c r="AL605" s="3812">
        <v>446868</v>
      </c>
      <c r="AM605" s="3812">
        <v>43833</v>
      </c>
      <c r="AN605" s="3812">
        <f t="shared" si="127"/>
        <v>446868</v>
      </c>
      <c r="AO605" s="3812">
        <v>43977</v>
      </c>
      <c r="AP605" s="3812">
        <f t="shared" si="128"/>
        <v>0</v>
      </c>
      <c r="AQ605" s="3812"/>
      <c r="AR605" s="3812" t="s">
        <v>1037</v>
      </c>
      <c r="AS605" s="5833" t="s">
        <v>1409</v>
      </c>
      <c r="AT605" s="3812" t="s">
        <v>171</v>
      </c>
      <c r="AU605" s="3812"/>
      <c r="AV605" s="3812"/>
      <c r="AW605" s="3812"/>
      <c r="AX605" s="3812"/>
      <c r="AY605" s="3812"/>
      <c r="AZ605" s="3812"/>
      <c r="BA605" s="3812"/>
      <c r="BB605" s="3812"/>
      <c r="BC605" s="3812"/>
      <c r="BD605" s="3812">
        <v>446868</v>
      </c>
      <c r="BE605" s="3812"/>
      <c r="BF605" s="3812"/>
      <c r="BG605" s="3812"/>
      <c r="BH605" s="3812"/>
      <c r="BI605" s="3812"/>
      <c r="BJ605" s="3812"/>
      <c r="BK605" s="3812"/>
      <c r="BL605" s="3812"/>
      <c r="BM605" s="3812"/>
      <c r="BN605" s="3812"/>
      <c r="BO605" s="3812"/>
      <c r="BP605" s="3812"/>
      <c r="BQ605" s="3812"/>
      <c r="BR605" s="3812">
        <v>446868</v>
      </c>
      <c r="BS605" s="3812"/>
      <c r="BT605" s="3812"/>
      <c r="BU605" s="3812"/>
      <c r="BV605" s="3812"/>
      <c r="BW605" s="3812"/>
      <c r="BX605" s="3812"/>
      <c r="BY605" s="3812"/>
      <c r="BZ605" s="3812"/>
      <c r="CA605" s="3812"/>
      <c r="CB605" s="5863"/>
      <c r="CC605" s="3524"/>
      <c r="CD605" s="3524"/>
      <c r="CE605" s="5169"/>
      <c r="CF605" s="5169"/>
      <c r="CG605" s="5169"/>
      <c r="CH605" s="5169"/>
    </row>
    <row r="606" s="4965" customFormat="1" ht="22.5" customHeight="1" spans="1:86">
      <c r="A606" s="3812"/>
      <c r="B606" s="3812"/>
      <c r="C606" s="3812"/>
      <c r="D606" s="5059"/>
      <c r="E606" s="5059"/>
      <c r="F606" s="5059"/>
      <c r="G606" s="5059"/>
      <c r="H606" s="3812"/>
      <c r="I606" s="5074"/>
      <c r="J606" s="5059"/>
      <c r="K606" s="3812"/>
      <c r="L606" s="5059"/>
      <c r="M606" s="3812"/>
      <c r="N606" s="3812"/>
      <c r="O606" s="3812"/>
      <c r="P606" s="3812"/>
      <c r="Q606" s="3812"/>
      <c r="R606" s="3812"/>
      <c r="S606" s="3812"/>
      <c r="T606" s="3812"/>
      <c r="U606" s="3812"/>
      <c r="V606" s="3812"/>
      <c r="W606" s="3812"/>
      <c r="X606" s="3812"/>
      <c r="Y606" s="3812"/>
      <c r="Z606" s="3812"/>
      <c r="AA606" s="3812"/>
      <c r="AB606" s="3812"/>
      <c r="AC606" s="3812"/>
      <c r="AD606" s="5833"/>
      <c r="AE606" s="5059"/>
      <c r="AF606" s="3812"/>
      <c r="AG606" s="3812">
        <f t="shared" si="126"/>
        <v>633132</v>
      </c>
      <c r="AH606" s="5059" t="s">
        <v>206</v>
      </c>
      <c r="AI606" s="3812">
        <v>43833</v>
      </c>
      <c r="AJ606" s="3812">
        <v>633132</v>
      </c>
      <c r="AK606" s="3812" t="s">
        <v>171</v>
      </c>
      <c r="AL606" s="3812">
        <v>633132</v>
      </c>
      <c r="AM606" s="3812">
        <v>43833</v>
      </c>
      <c r="AN606" s="3812">
        <f t="shared" si="127"/>
        <v>633132</v>
      </c>
      <c r="AO606" s="3812">
        <v>43977</v>
      </c>
      <c r="AP606" s="3812">
        <f t="shared" si="128"/>
        <v>0</v>
      </c>
      <c r="AQ606" s="3812"/>
      <c r="AR606" s="3812"/>
      <c r="AS606" s="5833" t="s">
        <v>1410</v>
      </c>
      <c r="AT606" s="3812" t="s">
        <v>171</v>
      </c>
      <c r="AU606" s="3812"/>
      <c r="AV606" s="3812"/>
      <c r="AW606" s="3812"/>
      <c r="AX606" s="3812"/>
      <c r="AY606" s="3812"/>
      <c r="AZ606" s="3812"/>
      <c r="BA606" s="3812"/>
      <c r="BB606" s="3812"/>
      <c r="BC606" s="3812"/>
      <c r="BD606" s="3812">
        <v>633132</v>
      </c>
      <c r="BE606" s="3812"/>
      <c r="BF606" s="3812"/>
      <c r="BG606" s="3812"/>
      <c r="BH606" s="3812"/>
      <c r="BI606" s="3812"/>
      <c r="BJ606" s="3812"/>
      <c r="BK606" s="3812"/>
      <c r="BL606" s="3812"/>
      <c r="BM606" s="3812"/>
      <c r="BN606" s="3812"/>
      <c r="BO606" s="3812"/>
      <c r="BP606" s="3812"/>
      <c r="BQ606" s="3812"/>
      <c r="BR606" s="3812">
        <v>633132</v>
      </c>
      <c r="BS606" s="3812"/>
      <c r="BT606" s="3812"/>
      <c r="BU606" s="3812"/>
      <c r="BV606" s="3812"/>
      <c r="BW606" s="3812"/>
      <c r="BX606" s="3812"/>
      <c r="BY606" s="3812"/>
      <c r="BZ606" s="3812"/>
      <c r="CA606" s="3812"/>
      <c r="CB606" s="5863"/>
      <c r="CC606" s="3524"/>
      <c r="CD606" s="3524"/>
      <c r="CE606" s="5169"/>
      <c r="CF606" s="5169"/>
      <c r="CG606" s="5169"/>
      <c r="CH606" s="5169"/>
    </row>
    <row r="607" s="4965" customFormat="1" ht="61" spans="1:86">
      <c r="A607" s="3812"/>
      <c r="B607" s="3812"/>
      <c r="C607" s="3812"/>
      <c r="D607" s="5059"/>
      <c r="E607" s="5059"/>
      <c r="F607" s="5059"/>
      <c r="G607" s="5059"/>
      <c r="H607" s="3812"/>
      <c r="I607" s="5074"/>
      <c r="J607" s="5059"/>
      <c r="K607" s="3812"/>
      <c r="L607" s="5059"/>
      <c r="M607" s="3812"/>
      <c r="N607" s="3812"/>
      <c r="O607" s="3812"/>
      <c r="P607" s="3812"/>
      <c r="Q607" s="3812"/>
      <c r="R607" s="3812"/>
      <c r="S607" s="3812"/>
      <c r="T607" s="3812"/>
      <c r="U607" s="3812"/>
      <c r="V607" s="3812"/>
      <c r="W607" s="3812"/>
      <c r="X607" s="3812"/>
      <c r="Y607" s="3812"/>
      <c r="Z607" s="3812"/>
      <c r="AA607" s="3812"/>
      <c r="AB607" s="3812"/>
      <c r="AC607" s="3812">
        <v>3</v>
      </c>
      <c r="AD607" s="5833" t="s">
        <v>1411</v>
      </c>
      <c r="AE607" s="5059">
        <v>0.3</v>
      </c>
      <c r="AF607" s="3812">
        <v>1620000</v>
      </c>
      <c r="AG607" s="3812">
        <f t="shared" si="126"/>
        <v>549895</v>
      </c>
      <c r="AH607" s="5059" t="s">
        <v>122</v>
      </c>
      <c r="AI607" s="3812">
        <v>43801</v>
      </c>
      <c r="AJ607" s="3812">
        <v>549895</v>
      </c>
      <c r="AK607" s="3812">
        <v>43801</v>
      </c>
      <c r="AL607" s="3812">
        <v>549895</v>
      </c>
      <c r="AM607" s="3812">
        <v>43833</v>
      </c>
      <c r="AN607" s="3812">
        <f t="shared" si="127"/>
        <v>549895</v>
      </c>
      <c r="AO607" s="3812">
        <v>43977</v>
      </c>
      <c r="AP607" s="3812">
        <f t="shared" si="128"/>
        <v>0</v>
      </c>
      <c r="AQ607" s="5059" t="s">
        <v>1412</v>
      </c>
      <c r="AR607" s="5059" t="s">
        <v>1413</v>
      </c>
      <c r="AS607" s="5833" t="s">
        <v>1409</v>
      </c>
      <c r="AT607" s="3812" t="s">
        <v>171</v>
      </c>
      <c r="AU607" s="3812"/>
      <c r="AV607" s="3812"/>
      <c r="AW607" s="3812"/>
      <c r="AX607" s="3812"/>
      <c r="AY607" s="3812"/>
      <c r="AZ607" s="3812"/>
      <c r="BA607" s="3812"/>
      <c r="BB607" s="3812"/>
      <c r="BC607" s="3812"/>
      <c r="BD607" s="3812">
        <v>549895</v>
      </c>
      <c r="BE607" s="3812"/>
      <c r="BF607" s="3812"/>
      <c r="BG607" s="3812"/>
      <c r="BH607" s="3812"/>
      <c r="BI607" s="3812"/>
      <c r="BJ607" s="3812"/>
      <c r="BK607" s="3812"/>
      <c r="BL607" s="3812"/>
      <c r="BM607" s="3812"/>
      <c r="BN607" s="3812"/>
      <c r="BO607" s="3812"/>
      <c r="BP607" s="3812"/>
      <c r="BQ607" s="3812"/>
      <c r="BR607" s="3812">
        <v>549895</v>
      </c>
      <c r="BS607" s="3812"/>
      <c r="BT607" s="3812"/>
      <c r="BU607" s="3812"/>
      <c r="BV607" s="3812"/>
      <c r="BW607" s="3812"/>
      <c r="BX607" s="3812"/>
      <c r="BY607" s="3812"/>
      <c r="BZ607" s="3812"/>
      <c r="CA607" s="3812"/>
      <c r="CB607" s="5863"/>
      <c r="CC607" s="3524"/>
      <c r="CD607" s="3524"/>
      <c r="CE607" s="5169"/>
      <c r="CF607" s="5169"/>
      <c r="CG607" s="5169"/>
      <c r="CH607" s="5169"/>
    </row>
    <row r="608" s="4965" customFormat="1" ht="61" spans="1:86">
      <c r="A608" s="3812"/>
      <c r="B608" s="3812"/>
      <c r="C608" s="3812"/>
      <c r="D608" s="5059"/>
      <c r="E608" s="5059"/>
      <c r="F608" s="5059"/>
      <c r="G608" s="5059"/>
      <c r="H608" s="3812"/>
      <c r="I608" s="5074"/>
      <c r="J608" s="5059"/>
      <c r="K608" s="3812"/>
      <c r="L608" s="5059"/>
      <c r="M608" s="3812"/>
      <c r="N608" s="3812"/>
      <c r="O608" s="3812"/>
      <c r="P608" s="3812"/>
      <c r="Q608" s="3812"/>
      <c r="R608" s="3812"/>
      <c r="S608" s="3812"/>
      <c r="T608" s="3812"/>
      <c r="U608" s="3812"/>
      <c r="V608" s="3812"/>
      <c r="W608" s="3812"/>
      <c r="X608" s="3812"/>
      <c r="Y608" s="3812"/>
      <c r="Z608" s="3812"/>
      <c r="AA608" s="3812"/>
      <c r="AB608" s="3812"/>
      <c r="AC608" s="3812"/>
      <c r="AD608" s="5833"/>
      <c r="AE608" s="5059"/>
      <c r="AF608" s="3812"/>
      <c r="AG608" s="3812">
        <f t="shared" si="126"/>
        <v>1070105</v>
      </c>
      <c r="AH608" s="5059" t="s">
        <v>122</v>
      </c>
      <c r="AI608" s="3812">
        <v>44169</v>
      </c>
      <c r="AJ608" s="3812">
        <v>1070105</v>
      </c>
      <c r="AK608" s="3812">
        <v>44169</v>
      </c>
      <c r="AL608" s="3812">
        <v>907965</v>
      </c>
      <c r="AM608" s="3812">
        <v>44324</v>
      </c>
      <c r="AN608" s="3812">
        <f t="shared" si="127"/>
        <v>907965</v>
      </c>
      <c r="AO608" s="3812">
        <v>44340</v>
      </c>
      <c r="AP608" s="3812">
        <f t="shared" si="128"/>
        <v>162140</v>
      </c>
      <c r="AQ608" s="5059" t="s">
        <v>1414</v>
      </c>
      <c r="AR608" s="5059" t="s">
        <v>1415</v>
      </c>
      <c r="AS608" s="5833" t="s">
        <v>1416</v>
      </c>
      <c r="AT608" s="3812"/>
      <c r="AU608" s="3812"/>
      <c r="AV608" s="3812"/>
      <c r="AW608" s="3812"/>
      <c r="AX608" s="3812"/>
      <c r="AY608" s="3812"/>
      <c r="AZ608" s="3812"/>
      <c r="BA608" s="3812"/>
      <c r="BB608" s="3812"/>
      <c r="BC608" s="3812"/>
      <c r="BD608" s="3812">
        <v>1070105</v>
      </c>
      <c r="BE608" s="3812"/>
      <c r="BF608" s="3812"/>
      <c r="BG608" s="3812"/>
      <c r="BH608" s="3812"/>
      <c r="BI608" s="3812"/>
      <c r="BJ608" s="3812"/>
      <c r="BK608" s="3812"/>
      <c r="BL608" s="3812"/>
      <c r="BM608" s="3812"/>
      <c r="BN608" s="3812"/>
      <c r="BO608" s="3812"/>
      <c r="BP608" s="3812"/>
      <c r="BQ608" s="3812"/>
      <c r="BR608" s="3812">
        <v>907965</v>
      </c>
      <c r="BS608" s="3812"/>
      <c r="BT608" s="3812"/>
      <c r="BU608" s="3812"/>
      <c r="BV608" s="3812"/>
      <c r="BW608" s="3812"/>
      <c r="BX608" s="3812"/>
      <c r="BY608" s="3812"/>
      <c r="BZ608" s="3812"/>
      <c r="CA608" s="3812"/>
      <c r="CB608" s="5733"/>
      <c r="CC608" s="3524"/>
      <c r="CD608" s="3524"/>
      <c r="CE608" s="5169"/>
      <c r="CF608" s="5169"/>
      <c r="CG608" s="5169"/>
      <c r="CH608" s="5169"/>
    </row>
    <row r="609" s="4965" customFormat="1" ht="43.35" customHeight="1" spans="1:86">
      <c r="A609" s="3812"/>
      <c r="B609" s="3812"/>
      <c r="C609" s="3812"/>
      <c r="D609" s="5059"/>
      <c r="E609" s="5059"/>
      <c r="F609" s="5059"/>
      <c r="G609" s="5059"/>
      <c r="H609" s="3812"/>
      <c r="I609" s="5074"/>
      <c r="J609" s="5059"/>
      <c r="K609" s="3812"/>
      <c r="L609" s="5059"/>
      <c r="M609" s="3812"/>
      <c r="N609" s="3812"/>
      <c r="O609" s="3812"/>
      <c r="P609" s="3812"/>
      <c r="Q609" s="3812"/>
      <c r="R609" s="3812"/>
      <c r="S609" s="3812"/>
      <c r="T609" s="3812"/>
      <c r="U609" s="3812"/>
      <c r="V609" s="3812"/>
      <c r="W609" s="3812"/>
      <c r="X609" s="3812"/>
      <c r="Y609" s="3812"/>
      <c r="Z609" s="3812"/>
      <c r="AA609" s="3812"/>
      <c r="AB609" s="3812"/>
      <c r="AC609" s="3812">
        <v>4</v>
      </c>
      <c r="AD609" s="5833" t="s">
        <v>1417</v>
      </c>
      <c r="AE609" s="5059">
        <v>0.2</v>
      </c>
      <c r="AF609" s="3812">
        <v>1080000</v>
      </c>
      <c r="AG609" s="3812">
        <f t="shared" si="126"/>
        <v>399930</v>
      </c>
      <c r="AH609" s="3812" t="s">
        <v>122</v>
      </c>
      <c r="AI609" s="3812">
        <v>44082</v>
      </c>
      <c r="AJ609" s="3812">
        <v>399930</v>
      </c>
      <c r="AK609" s="3812">
        <v>44082</v>
      </c>
      <c r="AL609" s="3812">
        <v>399930</v>
      </c>
      <c r="AM609" s="3812">
        <v>44082</v>
      </c>
      <c r="AN609" s="3812">
        <f t="shared" si="127"/>
        <v>399930</v>
      </c>
      <c r="AO609" s="3812">
        <v>44124</v>
      </c>
      <c r="AP609" s="3812">
        <f t="shared" si="128"/>
        <v>0</v>
      </c>
      <c r="AQ609" s="5059" t="s">
        <v>1418</v>
      </c>
      <c r="AR609" s="5059"/>
      <c r="AS609" s="5241" t="s">
        <v>1419</v>
      </c>
      <c r="AT609" s="3812"/>
      <c r="AU609" s="3812"/>
      <c r="AV609" s="3812"/>
      <c r="AW609" s="3812"/>
      <c r="AX609" s="3812"/>
      <c r="AY609" s="3812"/>
      <c r="AZ609" s="3812"/>
      <c r="BA609" s="3812"/>
      <c r="BB609" s="3812"/>
      <c r="BC609" s="3812"/>
      <c r="BD609" s="3812">
        <v>399930</v>
      </c>
      <c r="BE609" s="3812"/>
      <c r="BF609" s="3812"/>
      <c r="BG609" s="3812"/>
      <c r="BH609" s="3812"/>
      <c r="BI609" s="3812"/>
      <c r="BJ609" s="3812"/>
      <c r="BK609" s="3812"/>
      <c r="BL609" s="3812"/>
      <c r="BM609" s="3812"/>
      <c r="BN609" s="3812"/>
      <c r="BO609" s="3812"/>
      <c r="BP609" s="3812"/>
      <c r="BQ609" s="3812"/>
      <c r="BR609" s="3812">
        <v>399930</v>
      </c>
      <c r="BS609" s="3812"/>
      <c r="BT609" s="3812"/>
      <c r="BU609" s="3812"/>
      <c r="BV609" s="3812"/>
      <c r="BW609" s="3812"/>
      <c r="BX609" s="3812"/>
      <c r="BY609" s="3812"/>
      <c r="BZ609" s="3812"/>
      <c r="CA609" s="3812"/>
      <c r="CB609" s="5863"/>
      <c r="CC609" s="3524"/>
      <c r="CD609" s="3524"/>
      <c r="CE609" s="5169"/>
      <c r="CF609" s="5169"/>
      <c r="CG609" s="5169"/>
      <c r="CH609" s="5169"/>
    </row>
    <row r="610" s="4965" customFormat="1" ht="43.35" customHeight="1" spans="1:86">
      <c r="A610" s="3812"/>
      <c r="B610" s="3812"/>
      <c r="C610" s="3812"/>
      <c r="D610" s="5059"/>
      <c r="E610" s="5059"/>
      <c r="F610" s="5059"/>
      <c r="G610" s="5059"/>
      <c r="H610" s="3812"/>
      <c r="I610" s="5074"/>
      <c r="J610" s="5059"/>
      <c r="K610" s="3812"/>
      <c r="L610" s="5059"/>
      <c r="M610" s="3812"/>
      <c r="N610" s="3812"/>
      <c r="O610" s="3812"/>
      <c r="P610" s="3812"/>
      <c r="Q610" s="3812"/>
      <c r="R610" s="3812"/>
      <c r="S610" s="3812"/>
      <c r="T610" s="3812"/>
      <c r="U610" s="3812"/>
      <c r="V610" s="3812"/>
      <c r="W610" s="3812"/>
      <c r="X610" s="3812"/>
      <c r="Y610" s="3812"/>
      <c r="Z610" s="3812"/>
      <c r="AA610" s="3812"/>
      <c r="AB610" s="3812"/>
      <c r="AC610" s="3812"/>
      <c r="AD610" s="5833"/>
      <c r="AE610" s="5059"/>
      <c r="AF610" s="3812"/>
      <c r="AG610" s="4840">
        <f>SUM(BA610:BN611)</f>
        <v>680070</v>
      </c>
      <c r="AH610" s="4840" t="s">
        <v>122</v>
      </c>
      <c r="AI610" s="4840">
        <v>44169</v>
      </c>
      <c r="AJ610" s="4840">
        <v>680070</v>
      </c>
      <c r="AK610" s="4840">
        <v>44169</v>
      </c>
      <c r="AL610" s="5248">
        <v>635223.5</v>
      </c>
      <c r="AM610" s="4813">
        <v>45947</v>
      </c>
      <c r="AN610" s="4813">
        <f t="shared" si="127"/>
        <v>635223.5</v>
      </c>
      <c r="AO610" s="4815"/>
      <c r="AP610" s="3812"/>
      <c r="AQ610" s="5059"/>
      <c r="AR610" s="5059"/>
      <c r="AS610" s="5241"/>
      <c r="AT610" s="3812"/>
      <c r="AU610" s="3812"/>
      <c r="AV610" s="3812"/>
      <c r="AW610" s="3812"/>
      <c r="AX610" s="3812"/>
      <c r="AY610" s="3812"/>
      <c r="AZ610" s="3812"/>
      <c r="BA610" s="3812"/>
      <c r="BB610" s="3812"/>
      <c r="BC610" s="3812"/>
      <c r="BD610" s="4840">
        <v>680070</v>
      </c>
      <c r="BE610" s="3812"/>
      <c r="BF610" s="3812"/>
      <c r="BG610" s="3812"/>
      <c r="BH610" s="3812"/>
      <c r="BI610" s="3812"/>
      <c r="BJ610" s="3812"/>
      <c r="BK610" s="3812"/>
      <c r="BL610" s="3812"/>
      <c r="BM610" s="3812"/>
      <c r="BN610" s="3812"/>
      <c r="BO610" s="3812"/>
      <c r="BP610" s="3812"/>
      <c r="BQ610" s="3812"/>
      <c r="BR610" s="3812">
        <v>635223.5</v>
      </c>
      <c r="BS610" s="3812"/>
      <c r="BT610" s="3812"/>
      <c r="BU610" s="3812"/>
      <c r="BV610" s="3812"/>
      <c r="BW610" s="3812"/>
      <c r="BX610" s="3812"/>
      <c r="BY610" s="3812"/>
      <c r="BZ610" s="3812"/>
      <c r="CA610" s="3812"/>
      <c r="CB610" s="5863"/>
      <c r="CC610" s="3524"/>
      <c r="CD610" s="3524"/>
      <c r="CE610" s="5169"/>
      <c r="CF610" s="5169"/>
      <c r="CG610" s="5169"/>
      <c r="CH610" s="5169"/>
    </row>
    <row r="611" s="4965" customFormat="1" ht="42.5" customHeight="1" spans="1:86">
      <c r="A611" s="3812"/>
      <c r="B611" s="3812"/>
      <c r="C611" s="3812"/>
      <c r="D611" s="5059"/>
      <c r="E611" s="5059"/>
      <c r="F611" s="5059"/>
      <c r="G611" s="5059"/>
      <c r="H611" s="3812"/>
      <c r="I611" s="5074"/>
      <c r="J611" s="5059"/>
      <c r="K611" s="3812"/>
      <c r="L611" s="5059"/>
      <c r="M611" s="3812"/>
      <c r="N611" s="3812"/>
      <c r="O611" s="3812"/>
      <c r="P611" s="3812"/>
      <c r="Q611" s="3812"/>
      <c r="R611" s="3812"/>
      <c r="S611" s="3812"/>
      <c r="T611" s="3812"/>
      <c r="U611" s="3812"/>
      <c r="V611" s="3812"/>
      <c r="W611" s="3812"/>
      <c r="X611" s="3812"/>
      <c r="Y611" s="3812"/>
      <c r="Z611" s="3812"/>
      <c r="AA611" s="3812"/>
      <c r="AB611" s="3812"/>
      <c r="AC611" s="3812"/>
      <c r="AD611" s="5833"/>
      <c r="AE611" s="5059"/>
      <c r="AF611" s="3812"/>
      <c r="AG611" s="4842"/>
      <c r="AH611" s="4842"/>
      <c r="AI611" s="4842"/>
      <c r="AJ611" s="4842"/>
      <c r="AK611" s="4842"/>
      <c r="AL611" s="5250">
        <v>24784.5</v>
      </c>
      <c r="AM611" s="4815">
        <v>46157</v>
      </c>
      <c r="AN611" s="4815">
        <f t="shared" si="127"/>
        <v>24784.5</v>
      </c>
      <c r="AO611" s="5123"/>
      <c r="AP611" s="3812">
        <f>AG610-AN611</f>
        <v>655285.5</v>
      </c>
      <c r="AQ611" s="5059"/>
      <c r="AR611" s="5059"/>
      <c r="AS611" s="5833"/>
      <c r="AT611" s="3812"/>
      <c r="AU611" s="3812"/>
      <c r="AV611" s="3812"/>
      <c r="AW611" s="3812"/>
      <c r="AX611" s="3812"/>
      <c r="AY611" s="3812"/>
      <c r="AZ611" s="3812"/>
      <c r="BA611" s="3812"/>
      <c r="BB611" s="3812"/>
      <c r="BC611" s="3812"/>
      <c r="BD611" s="4842"/>
      <c r="BE611" s="3812"/>
      <c r="BF611" s="3812"/>
      <c r="BG611" s="3812"/>
      <c r="BH611" s="3812"/>
      <c r="BI611" s="3812"/>
      <c r="BJ611" s="3812"/>
      <c r="BK611" s="3812"/>
      <c r="BL611" s="3812"/>
      <c r="BM611" s="3812"/>
      <c r="BN611" s="3812"/>
      <c r="BO611" s="3812"/>
      <c r="BP611" s="3812"/>
      <c r="BQ611" s="3812"/>
      <c r="BR611" s="3812">
        <v>24784.5</v>
      </c>
      <c r="BS611" s="3812"/>
      <c r="BT611" s="3812"/>
      <c r="BU611" s="3812"/>
      <c r="BV611" s="3812"/>
      <c r="BW611" s="3812"/>
      <c r="BX611" s="3812"/>
      <c r="BY611" s="3812"/>
      <c r="BZ611" s="3812"/>
      <c r="CA611" s="3812"/>
      <c r="CB611" s="5863"/>
      <c r="CC611" s="3524"/>
      <c r="CD611" s="3524"/>
      <c r="CE611" s="5169"/>
      <c r="CF611" s="5169"/>
      <c r="CG611" s="5169"/>
      <c r="CH611" s="5169"/>
    </row>
    <row r="612" s="4965" customFormat="1" ht="42.5" customHeight="1" spans="1:86">
      <c r="A612" s="3812"/>
      <c r="B612" s="3812"/>
      <c r="C612" s="3812"/>
      <c r="D612" s="5059"/>
      <c r="E612" s="5059"/>
      <c r="F612" s="5059"/>
      <c r="G612" s="5059"/>
      <c r="H612" s="3812"/>
      <c r="I612" s="5074"/>
      <c r="J612" s="5059"/>
      <c r="K612" s="3812"/>
      <c r="L612" s="5059"/>
      <c r="M612" s="3812"/>
      <c r="N612" s="3812"/>
      <c r="O612" s="3812"/>
      <c r="P612" s="3812"/>
      <c r="Q612" s="3812"/>
      <c r="R612" s="3812"/>
      <c r="S612" s="3812"/>
      <c r="T612" s="3812"/>
      <c r="U612" s="3812"/>
      <c r="V612" s="3812"/>
      <c r="W612" s="3812"/>
      <c r="X612" s="3812"/>
      <c r="Y612" s="3812"/>
      <c r="Z612" s="3812"/>
      <c r="AA612" s="3812"/>
      <c r="AB612" s="3812"/>
      <c r="AC612" s="3812">
        <v>5</v>
      </c>
      <c r="AD612" s="5059" t="s">
        <v>1420</v>
      </c>
      <c r="AE612" s="5059">
        <v>0.1</v>
      </c>
      <c r="AF612" s="3812">
        <v>540000</v>
      </c>
      <c r="AG612" s="4815">
        <f>SUM(BA612:BN612)</f>
        <v>177633.5</v>
      </c>
      <c r="AH612" s="5345"/>
      <c r="AI612" s="4815"/>
      <c r="AJ612" s="4815">
        <v>4642130.83125</v>
      </c>
      <c r="AK612" s="4815"/>
      <c r="AL612" s="4815"/>
      <c r="AM612" s="4815"/>
      <c r="AN612" s="4815">
        <f t="shared" si="127"/>
        <v>0</v>
      </c>
      <c r="AO612" s="5123"/>
      <c r="AP612" s="3812"/>
      <c r="AQ612" s="5059"/>
      <c r="AR612" s="5059"/>
      <c r="AS612" s="5833"/>
      <c r="AT612" s="3812"/>
      <c r="AU612" s="3812"/>
      <c r="AV612" s="3812"/>
      <c r="AW612" s="3812"/>
      <c r="AX612" s="3812"/>
      <c r="AY612" s="3812"/>
      <c r="AZ612" s="3812"/>
      <c r="BA612" s="3812"/>
      <c r="BB612" s="3812"/>
      <c r="BC612" s="3812"/>
      <c r="BD612" s="5123">
        <v>177633.5</v>
      </c>
      <c r="BE612" s="3812"/>
      <c r="BF612" s="3812"/>
      <c r="BG612" s="3812"/>
      <c r="BH612" s="3812"/>
      <c r="BI612" s="3812"/>
      <c r="BJ612" s="3812"/>
      <c r="BK612" s="3812"/>
      <c r="BL612" s="3812"/>
      <c r="BM612" s="3812"/>
      <c r="BN612" s="3812"/>
      <c r="BO612" s="3812"/>
      <c r="BP612" s="3812"/>
      <c r="BQ612" s="3812"/>
      <c r="BR612" s="5123"/>
      <c r="BS612" s="3812"/>
      <c r="BT612" s="3812"/>
      <c r="BU612" s="3812"/>
      <c r="BV612" s="3812"/>
      <c r="BW612" s="3812"/>
      <c r="BX612" s="3812"/>
      <c r="BY612" s="3812"/>
      <c r="BZ612" s="3812"/>
      <c r="CA612" s="3812"/>
      <c r="CB612" s="5863"/>
      <c r="CC612" s="3524"/>
      <c r="CD612" s="3524"/>
      <c r="CE612" s="5169"/>
      <c r="CF612" s="5169"/>
      <c r="CG612" s="5169"/>
      <c r="CH612" s="5169"/>
    </row>
    <row r="613" s="4965" customFormat="1" ht="45.85" customHeight="1" spans="1:86">
      <c r="A613" s="3812"/>
      <c r="B613" s="3812"/>
      <c r="C613" s="3812"/>
      <c r="D613" s="5059"/>
      <c r="E613" s="5059"/>
      <c r="F613" s="5059"/>
      <c r="G613" s="5059"/>
      <c r="H613" s="3812"/>
      <c r="I613" s="5075"/>
      <c r="J613" s="5059"/>
      <c r="K613" s="3812"/>
      <c r="L613" s="5059"/>
      <c r="M613" s="3812"/>
      <c r="N613" s="3812"/>
      <c r="O613" s="3812"/>
      <c r="P613" s="3812"/>
      <c r="Q613" s="3812"/>
      <c r="R613" s="3812"/>
      <c r="S613" s="3812"/>
      <c r="T613" s="3812"/>
      <c r="U613" s="3812"/>
      <c r="V613" s="3812"/>
      <c r="W613" s="3812"/>
      <c r="X613" s="3812"/>
      <c r="Y613" s="3812"/>
      <c r="Z613" s="3812"/>
      <c r="AA613" s="3812"/>
      <c r="AB613" s="3812"/>
      <c r="AC613" s="3812"/>
      <c r="AD613" s="5833"/>
      <c r="AE613" s="5059"/>
      <c r="AF613" s="3812"/>
      <c r="AG613" s="3812">
        <f>SUM(BA613:BN613)</f>
        <v>0</v>
      </c>
      <c r="AH613" s="857"/>
      <c r="AI613" s="3812"/>
      <c r="AJ613" s="3812"/>
      <c r="AK613" s="3812"/>
      <c r="AL613" s="3812"/>
      <c r="AM613" s="3812"/>
      <c r="AN613" s="3812">
        <f t="shared" si="127"/>
        <v>0</v>
      </c>
      <c r="AO613" s="3812"/>
      <c r="AP613" s="3812">
        <f t="shared" ref="AP613:AP618" si="129">AG613-AN613</f>
        <v>0</v>
      </c>
      <c r="AQ613" s="3812"/>
      <c r="AR613" s="5059" t="s">
        <v>1421</v>
      </c>
      <c r="AS613" s="5833"/>
      <c r="AT613" s="3812"/>
      <c r="AU613" s="3812"/>
      <c r="AV613" s="3812"/>
      <c r="AW613" s="3812"/>
      <c r="AX613" s="3812"/>
      <c r="AY613" s="3812"/>
      <c r="AZ613" s="3812"/>
      <c r="BA613" s="3812"/>
      <c r="BB613" s="3812"/>
      <c r="BC613" s="3812"/>
      <c r="BD613" s="3812"/>
      <c r="BE613" s="3812"/>
      <c r="BF613" s="3812"/>
      <c r="BG613" s="3812"/>
      <c r="BH613" s="3812"/>
      <c r="BI613" s="3812"/>
      <c r="BJ613" s="3812"/>
      <c r="BK613" s="3812"/>
      <c r="BL613" s="3812"/>
      <c r="BM613" s="3812"/>
      <c r="BN613" s="3812"/>
      <c r="BO613" s="3812"/>
      <c r="BP613" s="3812"/>
      <c r="BQ613" s="3812"/>
      <c r="BR613" s="3812"/>
      <c r="BS613" s="3812"/>
      <c r="BT613" s="3812"/>
      <c r="BU613" s="3812"/>
      <c r="BV613" s="3812"/>
      <c r="BW613" s="3812"/>
      <c r="BX613" s="3812"/>
      <c r="BY613" s="3812"/>
      <c r="BZ613" s="3812"/>
      <c r="CA613" s="3812"/>
      <c r="CB613" s="5863"/>
      <c r="CC613" s="3524"/>
      <c r="CD613" s="3524"/>
      <c r="CE613" s="5169"/>
      <c r="CF613" s="5169"/>
      <c r="CG613" s="5169"/>
      <c r="CH613" s="5169"/>
    </row>
    <row r="614" s="4979" customFormat="1" ht="61" customHeight="1" spans="1:86">
      <c r="A614" s="5123">
        <v>2</v>
      </c>
      <c r="B614" s="3812" t="s">
        <v>111</v>
      </c>
      <c r="C614" s="3812">
        <v>45656</v>
      </c>
      <c r="D614" s="1032" t="s">
        <v>1422</v>
      </c>
      <c r="E614" s="5667" t="s">
        <v>1423</v>
      </c>
      <c r="F614" s="1032" t="s">
        <v>1424</v>
      </c>
      <c r="G614" s="1032" t="s">
        <v>1425</v>
      </c>
      <c r="H614" s="3812" t="s">
        <v>286</v>
      </c>
      <c r="I614" s="5073"/>
      <c r="J614" s="5059" t="s">
        <v>1426</v>
      </c>
      <c r="K614" s="3812" t="s">
        <v>171</v>
      </c>
      <c r="L614" s="1032" t="s">
        <v>1427</v>
      </c>
      <c r="M614" s="3812">
        <f>SUM(N614:AA615)</f>
        <v>480000</v>
      </c>
      <c r="N614" s="2678">
        <v>0</v>
      </c>
      <c r="O614" s="2678">
        <v>0</v>
      </c>
      <c r="P614" s="2678">
        <v>0</v>
      </c>
      <c r="Q614" s="2678">
        <v>480000</v>
      </c>
      <c r="R614" s="2678">
        <v>0</v>
      </c>
      <c r="S614" s="2678">
        <v>0</v>
      </c>
      <c r="T614" s="5823">
        <v>0</v>
      </c>
      <c r="U614" s="2678">
        <v>0</v>
      </c>
      <c r="V614" s="2678">
        <v>0</v>
      </c>
      <c r="W614" s="2678">
        <v>0</v>
      </c>
      <c r="X614" s="2678">
        <v>0</v>
      </c>
      <c r="Y614" s="2678"/>
      <c r="Z614" s="2678"/>
      <c r="AA614" s="2678">
        <v>0</v>
      </c>
      <c r="AB614" s="2678"/>
      <c r="AC614" s="3812">
        <v>1</v>
      </c>
      <c r="AD614" s="5834"/>
      <c r="AE614" s="5834">
        <v>1</v>
      </c>
      <c r="AF614" s="5302">
        <f>M614*AE614</f>
        <v>480000</v>
      </c>
      <c r="AG614" s="5848">
        <f>SUM(BA614:BN614)</f>
        <v>480000</v>
      </c>
      <c r="AH614" s="5849" t="s">
        <v>349</v>
      </c>
      <c r="AI614" s="5848"/>
      <c r="AJ614" s="5848">
        <v>480000</v>
      </c>
      <c r="AK614" s="5302"/>
      <c r="AL614" s="5123"/>
      <c r="AM614" s="5123"/>
      <c r="AN614" s="5123">
        <f t="shared" si="127"/>
        <v>0</v>
      </c>
      <c r="AO614" s="5123"/>
      <c r="AP614" s="5123">
        <f t="shared" si="129"/>
        <v>480000</v>
      </c>
      <c r="AQ614" s="5123"/>
      <c r="AR614" s="5346"/>
      <c r="AS614" s="5855"/>
      <c r="AT614" s="5123"/>
      <c r="AU614" s="3812">
        <f>SUM(AG614:AG615)</f>
        <v>480000</v>
      </c>
      <c r="AV614" s="3812">
        <f>SUM(AL614:AL615)</f>
        <v>0</v>
      </c>
      <c r="AW614" s="3812">
        <f>SUM(AN614:AN615)</f>
        <v>0</v>
      </c>
      <c r="AX614" s="3812">
        <f>M614-AU614</f>
        <v>0</v>
      </c>
      <c r="AY614" s="3812">
        <f>AU614-AV614</f>
        <v>480000</v>
      </c>
      <c r="AZ614" s="3812">
        <f>AV614-AW614</f>
        <v>0</v>
      </c>
      <c r="BA614" s="5123"/>
      <c r="BB614" s="5123"/>
      <c r="BC614" s="5123"/>
      <c r="BD614" s="5302">
        <v>480000</v>
      </c>
      <c r="BE614" s="5123"/>
      <c r="BF614" s="5123"/>
      <c r="BG614" s="5123"/>
      <c r="BH614" s="5123"/>
      <c r="BI614" s="5123"/>
      <c r="BJ614" s="5123"/>
      <c r="BK614" s="5123"/>
      <c r="BL614" s="5123"/>
      <c r="BM614" s="5123"/>
      <c r="BN614" s="5123"/>
      <c r="BO614" s="5123"/>
      <c r="BP614" s="5123"/>
      <c r="BQ614" s="5123"/>
      <c r="BR614" s="5123"/>
      <c r="BS614" s="5123"/>
      <c r="BT614" s="5123"/>
      <c r="BU614" s="5123"/>
      <c r="BV614" s="5123"/>
      <c r="BW614" s="5123"/>
      <c r="BX614" s="5123"/>
      <c r="BY614" s="5123"/>
      <c r="BZ614" s="5123"/>
      <c r="CA614" s="5123"/>
      <c r="CB614" s="4815"/>
      <c r="CC614" s="5123" t="s">
        <v>166</v>
      </c>
      <c r="CD614" s="5123" t="s">
        <v>154</v>
      </c>
      <c r="CE614" s="5751"/>
      <c r="CF614" s="5751"/>
      <c r="CG614" s="5751"/>
      <c r="CH614" s="5751"/>
    </row>
    <row r="615" s="4979" customFormat="1" ht="61" customHeight="1" spans="1:86">
      <c r="A615" s="5123"/>
      <c r="B615" s="3812"/>
      <c r="C615" s="3812"/>
      <c r="D615" s="5059"/>
      <c r="E615" s="5667"/>
      <c r="F615" s="5059"/>
      <c r="G615" s="5059"/>
      <c r="H615" s="3812"/>
      <c r="I615" s="5074"/>
      <c r="J615" s="5059"/>
      <c r="K615" s="3812"/>
      <c r="L615" s="5059"/>
      <c r="M615" s="3812"/>
      <c r="N615" s="2678"/>
      <c r="O615" s="2678"/>
      <c r="P615" s="2678"/>
      <c r="Q615" s="2678"/>
      <c r="R615" s="2678"/>
      <c r="S615" s="2678"/>
      <c r="T615" s="2678"/>
      <c r="U615" s="2678"/>
      <c r="V615" s="2678"/>
      <c r="W615" s="2678"/>
      <c r="X615" s="2678"/>
      <c r="Y615" s="2678"/>
      <c r="Z615" s="2678"/>
      <c r="AA615" s="2678"/>
      <c r="AB615" s="2678"/>
      <c r="AC615" s="3812"/>
      <c r="AD615" s="5835"/>
      <c r="AE615" s="5835"/>
      <c r="AF615" s="5836"/>
      <c r="AG615" s="5850"/>
      <c r="AH615" s="5850"/>
      <c r="AI615" s="5850"/>
      <c r="AJ615" s="5850"/>
      <c r="AK615" s="5301"/>
      <c r="AL615" s="5123"/>
      <c r="AM615" s="5123"/>
      <c r="AN615" s="5123">
        <f t="shared" si="127"/>
        <v>0</v>
      </c>
      <c r="AO615" s="5123"/>
      <c r="AP615" s="5123">
        <f t="shared" si="129"/>
        <v>0</v>
      </c>
      <c r="AQ615" s="5123"/>
      <c r="AR615" s="5346"/>
      <c r="AS615" s="5855"/>
      <c r="AT615" s="5123"/>
      <c r="AU615" s="3812"/>
      <c r="AV615" s="3812"/>
      <c r="AW615" s="3812"/>
      <c r="AX615" s="3812"/>
      <c r="AY615" s="3812"/>
      <c r="AZ615" s="3812"/>
      <c r="BA615" s="5123"/>
      <c r="BB615" s="5123"/>
      <c r="BC615" s="5123"/>
      <c r="BD615" s="5301"/>
      <c r="BE615" s="5123"/>
      <c r="BF615" s="5123"/>
      <c r="BG615" s="5123"/>
      <c r="BH615" s="5123"/>
      <c r="BI615" s="5123"/>
      <c r="BJ615" s="5123"/>
      <c r="BK615" s="5123"/>
      <c r="BL615" s="5123"/>
      <c r="BM615" s="5123"/>
      <c r="BN615" s="5123"/>
      <c r="BO615" s="5123"/>
      <c r="BP615" s="5123"/>
      <c r="BQ615" s="5123"/>
      <c r="BR615" s="5123"/>
      <c r="BS615" s="5123"/>
      <c r="BT615" s="5123"/>
      <c r="BU615" s="5123"/>
      <c r="BV615" s="5123"/>
      <c r="BW615" s="5123"/>
      <c r="BX615" s="5123"/>
      <c r="BY615" s="5123"/>
      <c r="BZ615" s="5123"/>
      <c r="CA615" s="5123"/>
      <c r="CB615" s="4815"/>
      <c r="CC615" s="5123"/>
      <c r="CD615" s="5123"/>
      <c r="CE615" s="5751"/>
      <c r="CF615" s="5751"/>
      <c r="CG615" s="5751"/>
      <c r="CH615" s="5751"/>
    </row>
    <row r="616" s="4973" customFormat="1" ht="61" customHeight="1" spans="1:86">
      <c r="A616" s="3057">
        <v>2</v>
      </c>
      <c r="B616" s="3057" t="s">
        <v>111</v>
      </c>
      <c r="C616" s="3057">
        <v>43829</v>
      </c>
      <c r="D616" s="1125" t="s">
        <v>1428</v>
      </c>
      <c r="E616" s="5667" t="s">
        <v>1423</v>
      </c>
      <c r="F616" s="5056" t="s">
        <v>1429</v>
      </c>
      <c r="G616" s="5056" t="s">
        <v>1430</v>
      </c>
      <c r="H616" s="3057" t="s">
        <v>286</v>
      </c>
      <c r="I616" s="2099" t="s">
        <v>1431</v>
      </c>
      <c r="J616" s="5056" t="s">
        <v>1426</v>
      </c>
      <c r="K616" s="3057" t="s">
        <v>171</v>
      </c>
      <c r="L616" s="5056" t="s">
        <v>1432</v>
      </c>
      <c r="M616" s="3057">
        <f>SUM(N616:AA618)</f>
        <v>300000</v>
      </c>
      <c r="N616" s="2678">
        <v>0</v>
      </c>
      <c r="O616" s="2678">
        <v>0</v>
      </c>
      <c r="P616" s="2678">
        <v>0</v>
      </c>
      <c r="Q616" s="2678">
        <v>300000</v>
      </c>
      <c r="R616" s="2678">
        <v>0</v>
      </c>
      <c r="S616" s="2678">
        <v>0</v>
      </c>
      <c r="T616" s="5823">
        <v>0</v>
      </c>
      <c r="U616" s="2678">
        <v>0</v>
      </c>
      <c r="V616" s="2678">
        <v>0</v>
      </c>
      <c r="W616" s="2678">
        <v>0</v>
      </c>
      <c r="X616" s="2678">
        <v>0</v>
      </c>
      <c r="Y616" s="2678"/>
      <c r="Z616" s="2678"/>
      <c r="AA616" s="2678">
        <v>0</v>
      </c>
      <c r="AB616" s="2678"/>
      <c r="AC616" s="3057">
        <v>1</v>
      </c>
      <c r="AD616" s="5056" t="s">
        <v>1433</v>
      </c>
      <c r="AE616" s="5056">
        <v>0.2</v>
      </c>
      <c r="AF616" s="3057">
        <v>60000</v>
      </c>
      <c r="AG616" s="3057">
        <f>SUM(BA616:BN616)</f>
        <v>60000</v>
      </c>
      <c r="AH616" s="3057" t="s">
        <v>206</v>
      </c>
      <c r="AI616" s="3057">
        <v>43774</v>
      </c>
      <c r="AJ616" s="3057">
        <v>60000</v>
      </c>
      <c r="AK616" s="3057">
        <v>43774</v>
      </c>
      <c r="AL616" s="3057">
        <v>60000</v>
      </c>
      <c r="AM616" s="3057">
        <v>43922</v>
      </c>
      <c r="AN616" s="3057">
        <f t="shared" ref="AN616:AN621" si="130">SUM(BO616:CB616)</f>
        <v>60000</v>
      </c>
      <c r="AO616" s="3057">
        <v>43947</v>
      </c>
      <c r="AP616" s="3057">
        <f t="shared" si="129"/>
        <v>0</v>
      </c>
      <c r="AQ616" s="3057"/>
      <c r="AR616" s="5056"/>
      <c r="AS616" s="5856"/>
      <c r="AT616" s="3057">
        <v>43775</v>
      </c>
      <c r="AU616" s="3812">
        <f>SUM(AG616:AG618)</f>
        <v>300000</v>
      </c>
      <c r="AV616" s="3812">
        <f>SUM(AL616:AL618)</f>
        <v>300000</v>
      </c>
      <c r="AW616" s="3812">
        <f>SUM(AN616:AN618)</f>
        <v>300000</v>
      </c>
      <c r="AX616" s="3812">
        <f>M616-AU616</f>
        <v>0</v>
      </c>
      <c r="AY616" s="3812">
        <f>AU616-AV616</f>
        <v>0</v>
      </c>
      <c r="AZ616" s="3812">
        <f>AV616-AW616</f>
        <v>0</v>
      </c>
      <c r="BA616" s="3057"/>
      <c r="BB616" s="3057"/>
      <c r="BC616" s="3057"/>
      <c r="BD616" s="3057">
        <v>60000</v>
      </c>
      <c r="BE616" s="3057"/>
      <c r="BF616" s="3057"/>
      <c r="BG616" s="3057"/>
      <c r="BH616" s="3057"/>
      <c r="BI616" s="3057"/>
      <c r="BJ616" s="3057"/>
      <c r="BK616" s="3057"/>
      <c r="BL616" s="3057"/>
      <c r="BM616" s="3057"/>
      <c r="BN616" s="3057"/>
      <c r="BO616" s="3057"/>
      <c r="BP616" s="3057"/>
      <c r="BQ616" s="3057"/>
      <c r="BR616" s="3057">
        <v>60000</v>
      </c>
      <c r="BS616" s="3057"/>
      <c r="BT616" s="3057"/>
      <c r="BU616" s="3057"/>
      <c r="BV616" s="3057"/>
      <c r="BW616" s="3057"/>
      <c r="BX616" s="3057"/>
      <c r="BY616" s="3057"/>
      <c r="BZ616" s="3057"/>
      <c r="CA616" s="3057"/>
      <c r="CB616" s="5864"/>
      <c r="CC616" s="3058" t="s">
        <v>166</v>
      </c>
      <c r="CD616" s="3058" t="s">
        <v>154</v>
      </c>
      <c r="CE616" s="5171"/>
      <c r="CF616" s="5171"/>
      <c r="CG616" s="5171"/>
      <c r="CH616" s="5171"/>
    </row>
    <row r="617" s="4973" customFormat="1" ht="61" customHeight="1" spans="1:86">
      <c r="A617" s="3057"/>
      <c r="B617" s="3057"/>
      <c r="C617" s="3057"/>
      <c r="D617" s="5056"/>
      <c r="E617" s="5667"/>
      <c r="F617" s="5056"/>
      <c r="G617" s="5056"/>
      <c r="H617" s="3057"/>
      <c r="I617" s="5071"/>
      <c r="J617" s="5056"/>
      <c r="K617" s="3057"/>
      <c r="L617" s="5056"/>
      <c r="M617" s="3057"/>
      <c r="N617" s="2678"/>
      <c r="O617" s="2678"/>
      <c r="P617" s="2678"/>
      <c r="Q617" s="2678"/>
      <c r="R617" s="2678"/>
      <c r="S617" s="2678"/>
      <c r="T617" s="2678"/>
      <c r="U617" s="2678"/>
      <c r="V617" s="2678"/>
      <c r="W617" s="2678"/>
      <c r="X617" s="2678"/>
      <c r="Y617" s="2678"/>
      <c r="Z617" s="2678"/>
      <c r="AA617" s="2678"/>
      <c r="AB617" s="2678"/>
      <c r="AC617" s="3057"/>
      <c r="AD617" s="5056" t="s">
        <v>1434</v>
      </c>
      <c r="AE617" s="5056">
        <v>0.4</v>
      </c>
      <c r="AF617" s="3057">
        <v>120000</v>
      </c>
      <c r="AG617" s="3057">
        <f>SUM(BA617:BN617)</f>
        <v>120000</v>
      </c>
      <c r="AH617" s="3057" t="s">
        <v>206</v>
      </c>
      <c r="AI617" s="3057">
        <v>43922</v>
      </c>
      <c r="AJ617" s="3057">
        <v>120000</v>
      </c>
      <c r="AK617" s="3057">
        <v>43922</v>
      </c>
      <c r="AL617" s="3057">
        <v>120000</v>
      </c>
      <c r="AM617" s="3057">
        <v>43922</v>
      </c>
      <c r="AN617" s="3057">
        <f t="shared" si="130"/>
        <v>120000</v>
      </c>
      <c r="AO617" s="3057">
        <v>43947</v>
      </c>
      <c r="AP617" s="3057">
        <f t="shared" si="129"/>
        <v>0</v>
      </c>
      <c r="AQ617" s="3057"/>
      <c r="AR617" s="5056"/>
      <c r="AS617" s="5856"/>
      <c r="AT617" s="3057"/>
      <c r="AU617" s="3812"/>
      <c r="AV617" s="3812"/>
      <c r="AW617" s="3812"/>
      <c r="AX617" s="3812"/>
      <c r="AY617" s="3812"/>
      <c r="AZ617" s="3812"/>
      <c r="BA617" s="3057"/>
      <c r="BB617" s="3057"/>
      <c r="BC617" s="3057"/>
      <c r="BD617" s="3057">
        <v>120000</v>
      </c>
      <c r="BE617" s="3057"/>
      <c r="BF617" s="3057"/>
      <c r="BG617" s="3057"/>
      <c r="BH617" s="3057"/>
      <c r="BI617" s="3057"/>
      <c r="BJ617" s="3057"/>
      <c r="BK617" s="3057"/>
      <c r="BL617" s="3057"/>
      <c r="BM617" s="3057"/>
      <c r="BN617" s="3057"/>
      <c r="BO617" s="3057"/>
      <c r="BP617" s="3057"/>
      <c r="BQ617" s="3057"/>
      <c r="BR617" s="3057">
        <v>120000</v>
      </c>
      <c r="BS617" s="3057"/>
      <c r="BT617" s="3057"/>
      <c r="BU617" s="3057"/>
      <c r="BV617" s="3057"/>
      <c r="BW617" s="3057"/>
      <c r="BX617" s="3057"/>
      <c r="BY617" s="3057"/>
      <c r="BZ617" s="3057"/>
      <c r="CA617" s="3057"/>
      <c r="CB617" s="5864"/>
      <c r="CC617" s="3058"/>
      <c r="CD617" s="3058"/>
      <c r="CE617" s="5171"/>
      <c r="CF617" s="5171"/>
      <c r="CG617" s="5171"/>
      <c r="CH617" s="5171"/>
    </row>
    <row r="618" s="4973" customFormat="1" ht="107" spans="1:86">
      <c r="A618" s="3057"/>
      <c r="B618" s="3057"/>
      <c r="C618" s="3057"/>
      <c r="D618" s="5056"/>
      <c r="E618" s="5667"/>
      <c r="F618" s="5056"/>
      <c r="G618" s="5056"/>
      <c r="H618" s="3057"/>
      <c r="I618" s="5072"/>
      <c r="J618" s="5056"/>
      <c r="K618" s="3057"/>
      <c r="L618" s="5056"/>
      <c r="M618" s="3057"/>
      <c r="N618" s="2678"/>
      <c r="O618" s="2678"/>
      <c r="P618" s="2678"/>
      <c r="Q618" s="2678"/>
      <c r="R618" s="2678"/>
      <c r="S618" s="2678"/>
      <c r="T618" s="2678"/>
      <c r="U618" s="2678"/>
      <c r="V618" s="2678"/>
      <c r="W618" s="2678"/>
      <c r="X618" s="2678"/>
      <c r="Y618" s="2678"/>
      <c r="Z618" s="2678"/>
      <c r="AA618" s="2678"/>
      <c r="AB618" s="2678"/>
      <c r="AC618" s="3057">
        <v>2</v>
      </c>
      <c r="AD618" s="5837" t="s">
        <v>1435</v>
      </c>
      <c r="AE618" s="5056">
        <v>0.4</v>
      </c>
      <c r="AF618" s="3057">
        <v>120000</v>
      </c>
      <c r="AG618" s="3057">
        <f>SUM(BA618:BN618)</f>
        <v>120000</v>
      </c>
      <c r="AH618" s="1125" t="s">
        <v>122</v>
      </c>
      <c r="AI618" s="3057">
        <v>44519</v>
      </c>
      <c r="AJ618" s="3057">
        <v>120000</v>
      </c>
      <c r="AK618" s="3057">
        <v>44519</v>
      </c>
      <c r="AL618" s="3057">
        <v>120000</v>
      </c>
      <c r="AM618" s="3057">
        <v>44571</v>
      </c>
      <c r="AN618" s="3057">
        <f t="shared" si="130"/>
        <v>120000</v>
      </c>
      <c r="AO618" s="584">
        <v>45321</v>
      </c>
      <c r="AP618" s="3057">
        <f t="shared" si="129"/>
        <v>0</v>
      </c>
      <c r="AQ618" s="3057"/>
      <c r="AR618" s="5837" t="s">
        <v>1436</v>
      </c>
      <c r="AS618" s="5856"/>
      <c r="AT618" s="3057"/>
      <c r="AU618" s="3812"/>
      <c r="AV618" s="3812"/>
      <c r="AW618" s="3812"/>
      <c r="AX618" s="3812"/>
      <c r="AY618" s="3812"/>
      <c r="AZ618" s="3812"/>
      <c r="BA618" s="3057"/>
      <c r="BB618" s="3057"/>
      <c r="BC618" s="3057"/>
      <c r="BD618" s="3057">
        <v>120000</v>
      </c>
      <c r="BE618" s="3057"/>
      <c r="BF618" s="3057"/>
      <c r="BG618" s="3057"/>
      <c r="BH618" s="3057"/>
      <c r="BI618" s="3057"/>
      <c r="BJ618" s="3057"/>
      <c r="BK618" s="3057"/>
      <c r="BL618" s="3057"/>
      <c r="BM618" s="3057"/>
      <c r="BN618" s="3057"/>
      <c r="BO618" s="3057"/>
      <c r="BP618" s="3057"/>
      <c r="BQ618" s="3057"/>
      <c r="BR618" s="3057">
        <v>120000</v>
      </c>
      <c r="BS618" s="3057"/>
      <c r="BT618" s="3057"/>
      <c r="BU618" s="3057"/>
      <c r="BV618" s="3057"/>
      <c r="BW618" s="3057"/>
      <c r="BX618" s="3057"/>
      <c r="BY618" s="3057"/>
      <c r="BZ618" s="3057"/>
      <c r="CA618" s="3057"/>
      <c r="CB618" s="5864"/>
      <c r="CC618" s="3058"/>
      <c r="CD618" s="3058"/>
      <c r="CE618" s="5171"/>
      <c r="CF618" s="5171"/>
      <c r="CG618" s="5171"/>
      <c r="CH618" s="5171"/>
    </row>
    <row r="619" s="4973" customFormat="1" ht="106.5" customHeight="1" spans="1:86">
      <c r="A619" s="3057"/>
      <c r="B619" s="4183" t="s">
        <v>111</v>
      </c>
      <c r="C619" s="4183">
        <v>44689</v>
      </c>
      <c r="D619" s="2099" t="s">
        <v>1437</v>
      </c>
      <c r="E619" s="5816"/>
      <c r="F619" s="5070" t="s">
        <v>1429</v>
      </c>
      <c r="G619" s="2099" t="s">
        <v>1438</v>
      </c>
      <c r="H619" s="4183" t="s">
        <v>286</v>
      </c>
      <c r="I619" s="2099" t="s">
        <v>1439</v>
      </c>
      <c r="J619" s="5070" t="s">
        <v>1426</v>
      </c>
      <c r="K619" s="4183" t="s">
        <v>171</v>
      </c>
      <c r="L619" s="5070" t="s">
        <v>1432</v>
      </c>
      <c r="M619" s="4183">
        <f>SUM(N620:AA620)</f>
        <v>300000</v>
      </c>
      <c r="N619" s="2678"/>
      <c r="O619" s="2678"/>
      <c r="P619" s="2678"/>
      <c r="Q619" s="2678"/>
      <c r="R619" s="2678"/>
      <c r="S619" s="2678"/>
      <c r="T619" s="2678"/>
      <c r="U619" s="2678"/>
      <c r="V619" s="2678"/>
      <c r="W619" s="2678"/>
      <c r="X619" s="2678"/>
      <c r="Y619" s="2678"/>
      <c r="Z619" s="2678"/>
      <c r="AA619" s="2678"/>
      <c r="AB619" s="2678"/>
      <c r="AC619" s="4183">
        <v>1</v>
      </c>
      <c r="AD619" s="5838" t="s">
        <v>1440</v>
      </c>
      <c r="AE619" s="5070">
        <v>1</v>
      </c>
      <c r="AF619" s="4183">
        <f>M619*AE619</f>
        <v>300000</v>
      </c>
      <c r="AG619" s="4183">
        <f>SUM(BA619:BN620)</f>
        <v>300000</v>
      </c>
      <c r="AH619" s="3405" t="s">
        <v>122</v>
      </c>
      <c r="AI619" s="4183">
        <v>44909</v>
      </c>
      <c r="AJ619" s="4183">
        <v>300000</v>
      </c>
      <c r="AK619" s="4183">
        <v>44909</v>
      </c>
      <c r="AL619" s="3057">
        <v>240000</v>
      </c>
      <c r="AM619" s="584">
        <v>45308</v>
      </c>
      <c r="AN619" s="3057">
        <f t="shared" si="130"/>
        <v>240000</v>
      </c>
      <c r="AO619" s="5852">
        <v>45562</v>
      </c>
      <c r="AP619" s="3057"/>
      <c r="AQ619" s="3057"/>
      <c r="AR619" s="5837"/>
      <c r="AS619" s="5856"/>
      <c r="AT619" s="3057"/>
      <c r="AU619" s="3812"/>
      <c r="AV619" s="3812"/>
      <c r="AW619" s="3812"/>
      <c r="AX619" s="3812"/>
      <c r="AY619" s="3812"/>
      <c r="AZ619" s="3812"/>
      <c r="BA619" s="3057"/>
      <c r="BB619" s="3057"/>
      <c r="BC619" s="3057"/>
      <c r="BD619" s="4183">
        <v>300000</v>
      </c>
      <c r="BE619" s="3057"/>
      <c r="BF619" s="3057"/>
      <c r="BG619" s="3057"/>
      <c r="BH619" s="3057"/>
      <c r="BI619" s="3057"/>
      <c r="BJ619" s="3057"/>
      <c r="BK619" s="3057"/>
      <c r="BL619" s="3057"/>
      <c r="BM619" s="3057"/>
      <c r="BN619" s="3057"/>
      <c r="BO619" s="3057"/>
      <c r="BP619" s="3057"/>
      <c r="BQ619" s="3057"/>
      <c r="BR619" s="4059">
        <v>240000</v>
      </c>
      <c r="BS619" s="3057"/>
      <c r="BT619" s="3057"/>
      <c r="BU619" s="3057"/>
      <c r="BV619" s="3057"/>
      <c r="BW619" s="3057"/>
      <c r="BX619" s="3057"/>
      <c r="BY619" s="3057"/>
      <c r="BZ619" s="3057"/>
      <c r="CA619" s="3057"/>
      <c r="CB619" s="5864"/>
      <c r="CC619" s="3058"/>
      <c r="CD619" s="3058"/>
      <c r="CE619" s="5171"/>
      <c r="CF619" s="5171"/>
      <c r="CG619" s="5171"/>
      <c r="CH619" s="5171"/>
    </row>
    <row r="620" s="4973" customFormat="1" ht="127.5" customHeight="1" spans="1:86">
      <c r="A620" s="3057">
        <v>3</v>
      </c>
      <c r="B620" s="4185"/>
      <c r="C620" s="4185"/>
      <c r="D620" s="5072"/>
      <c r="E620" s="5817"/>
      <c r="F620" s="5072"/>
      <c r="G620" s="4502"/>
      <c r="H620" s="4185"/>
      <c r="I620" s="5072"/>
      <c r="J620" s="5072"/>
      <c r="K620" s="4185"/>
      <c r="L620" s="5072"/>
      <c r="M620" s="4185"/>
      <c r="N620" s="2678">
        <v>0</v>
      </c>
      <c r="O620" s="2678">
        <v>0</v>
      </c>
      <c r="P620" s="2678">
        <v>0</v>
      </c>
      <c r="Q620" s="2678">
        <v>300000</v>
      </c>
      <c r="R620" s="2678">
        <v>0</v>
      </c>
      <c r="S620" s="2678">
        <v>0</v>
      </c>
      <c r="T620" s="5823">
        <v>0</v>
      </c>
      <c r="U620" s="2678">
        <v>0</v>
      </c>
      <c r="V620" s="2678">
        <v>0</v>
      </c>
      <c r="W620" s="2678">
        <v>0</v>
      </c>
      <c r="X620" s="2678">
        <v>0</v>
      </c>
      <c r="Y620" s="2678"/>
      <c r="Z620" s="2678"/>
      <c r="AA620" s="2678">
        <v>0</v>
      </c>
      <c r="AB620" s="2678"/>
      <c r="AC620" s="4185"/>
      <c r="AD620" s="5839"/>
      <c r="AE620" s="5072"/>
      <c r="AF620" s="4185"/>
      <c r="AG620" s="4185"/>
      <c r="AH620" s="592"/>
      <c r="AI620" s="4185"/>
      <c r="AJ620" s="4185"/>
      <c r="AK620" s="4185"/>
      <c r="AL620" s="3057">
        <v>60000</v>
      </c>
      <c r="AM620" s="3057">
        <v>45518</v>
      </c>
      <c r="AN620" s="3057">
        <f t="shared" si="130"/>
        <v>60000</v>
      </c>
      <c r="AO620" s="5852">
        <v>45562</v>
      </c>
      <c r="AP620" s="3057"/>
      <c r="AQ620" s="3057"/>
      <c r="AR620" s="5056"/>
      <c r="AS620" s="5856"/>
      <c r="AT620" s="3057"/>
      <c r="AU620" s="3812"/>
      <c r="AV620" s="3812"/>
      <c r="AW620" s="3812"/>
      <c r="AX620" s="3812"/>
      <c r="AY620" s="3812"/>
      <c r="AZ620" s="3812"/>
      <c r="BA620" s="3057"/>
      <c r="BB620" s="3057"/>
      <c r="BC620" s="3057"/>
      <c r="BD620" s="4185"/>
      <c r="BE620" s="3057"/>
      <c r="BF620" s="3057"/>
      <c r="BG620" s="3057"/>
      <c r="BH620" s="3057"/>
      <c r="BI620" s="3057"/>
      <c r="BJ620" s="3057"/>
      <c r="BK620" s="3057"/>
      <c r="BL620" s="3057"/>
      <c r="BM620" s="3057"/>
      <c r="BN620" s="3057"/>
      <c r="BO620" s="3057"/>
      <c r="BP620" s="3057"/>
      <c r="BQ620" s="3057"/>
      <c r="BR620" s="3057">
        <v>60000</v>
      </c>
      <c r="BS620" s="3057"/>
      <c r="BT620" s="3057"/>
      <c r="BU620" s="3057"/>
      <c r="BV620" s="3057"/>
      <c r="BW620" s="3057"/>
      <c r="BX620" s="3057"/>
      <c r="BY620" s="3057"/>
      <c r="BZ620" s="3057"/>
      <c r="CA620" s="3057"/>
      <c r="CB620" s="5864"/>
      <c r="CC620" s="3058" t="s">
        <v>166</v>
      </c>
      <c r="CD620" s="3058" t="s">
        <v>154</v>
      </c>
      <c r="CE620" s="5171"/>
      <c r="CF620" s="5171"/>
      <c r="CG620" s="5171"/>
      <c r="CH620" s="5171"/>
    </row>
    <row r="621" s="4965" customFormat="1" ht="61" customHeight="1" spans="1:86">
      <c r="A621" s="3742">
        <v>4</v>
      </c>
      <c r="B621" s="3742" t="s">
        <v>111</v>
      </c>
      <c r="C621" s="3742">
        <v>43098</v>
      </c>
      <c r="D621" s="3742" t="s">
        <v>1441</v>
      </c>
      <c r="E621" s="3742" t="s">
        <v>171</v>
      </c>
      <c r="F621" s="3742" t="s">
        <v>1442</v>
      </c>
      <c r="G621" s="3742" t="s">
        <v>1443</v>
      </c>
      <c r="H621" s="3742" t="s">
        <v>240</v>
      </c>
      <c r="I621" s="3740"/>
      <c r="J621" s="3742" t="s">
        <v>1444</v>
      </c>
      <c r="K621" s="3742">
        <v>312751.61</v>
      </c>
      <c r="L621" s="3742" t="s">
        <v>1445</v>
      </c>
      <c r="M621" s="3742">
        <f>K621*22</f>
        <v>6880535.42</v>
      </c>
      <c r="N621" s="3742">
        <v>0</v>
      </c>
      <c r="O621" s="3742">
        <v>0</v>
      </c>
      <c r="P621" s="3742">
        <v>0</v>
      </c>
      <c r="Q621" s="3742">
        <v>6255032.2</v>
      </c>
      <c r="R621" s="3742">
        <v>0</v>
      </c>
      <c r="S621" s="3742">
        <v>0</v>
      </c>
      <c r="T621" s="5824">
        <v>0</v>
      </c>
      <c r="U621" s="3742">
        <v>625503.22</v>
      </c>
      <c r="V621" s="3742">
        <v>0</v>
      </c>
      <c r="W621" s="3742">
        <v>0</v>
      </c>
      <c r="X621" s="3742">
        <v>0</v>
      </c>
      <c r="Y621" s="3742"/>
      <c r="Z621" s="3742"/>
      <c r="AA621" s="3742">
        <v>0</v>
      </c>
      <c r="AB621" s="3742"/>
      <c r="AC621" s="3524">
        <v>1</v>
      </c>
      <c r="AD621" s="5840" t="s">
        <v>1446</v>
      </c>
      <c r="AE621" s="5841">
        <v>0.2</v>
      </c>
      <c r="AF621" s="2713">
        <v>1579600</v>
      </c>
      <c r="AG621" s="3812">
        <f>SUM(BA621:BN621)</f>
        <v>1579600</v>
      </c>
      <c r="AH621" s="3524" t="s">
        <v>206</v>
      </c>
      <c r="AI621" s="3524">
        <v>43167</v>
      </c>
      <c r="AJ621" s="3524" t="s">
        <v>171</v>
      </c>
      <c r="AK621" s="3524" t="s">
        <v>171</v>
      </c>
      <c r="AL621" s="2713">
        <v>1579600</v>
      </c>
      <c r="AM621" s="3524">
        <v>43167</v>
      </c>
      <c r="AN621" s="3812">
        <f t="shared" si="130"/>
        <v>1579600</v>
      </c>
      <c r="AO621" s="3524">
        <v>43351</v>
      </c>
      <c r="AP621" s="3812">
        <f t="shared" ref="AP621:AP645" si="131">AG621-AN621</f>
        <v>0</v>
      </c>
      <c r="AQ621" s="5122"/>
      <c r="AR621" s="3524"/>
      <c r="AS621" s="5129"/>
      <c r="AT621" s="5122"/>
      <c r="AU621" s="3812">
        <f>SUM(AG621:AG624)</f>
        <v>6880535.42</v>
      </c>
      <c r="AV621" s="3812">
        <f>SUM(AL621:AL624)</f>
        <v>6880535.42</v>
      </c>
      <c r="AW621" s="3812">
        <f>SUM(AN621:AN624)</f>
        <v>6880535.42</v>
      </c>
      <c r="AX621" s="3812">
        <f>M621-AU621</f>
        <v>0</v>
      </c>
      <c r="AY621" s="3812">
        <f>AU621-AV621</f>
        <v>0</v>
      </c>
      <c r="AZ621" s="3812">
        <f>AV621-AW621</f>
        <v>0</v>
      </c>
      <c r="BA621" s="5146"/>
      <c r="BB621" s="5146"/>
      <c r="BC621" s="3812"/>
      <c r="BD621" s="5152">
        <v>1421640</v>
      </c>
      <c r="BE621" s="5146"/>
      <c r="BF621" s="5146"/>
      <c r="BG621" s="5146"/>
      <c r="BH621" s="5152">
        <v>157960</v>
      </c>
      <c r="BI621" s="5146"/>
      <c r="BJ621" s="5146"/>
      <c r="BK621" s="5146"/>
      <c r="BL621" s="5146"/>
      <c r="BM621" s="5146"/>
      <c r="BN621" s="3812"/>
      <c r="BO621" s="5122"/>
      <c r="BP621" s="5122"/>
      <c r="BQ621" s="5122"/>
      <c r="BR621" s="5862">
        <v>1421640</v>
      </c>
      <c r="BS621" s="5122"/>
      <c r="BT621" s="5122"/>
      <c r="BU621" s="5122"/>
      <c r="BV621" s="5122">
        <v>157960</v>
      </c>
      <c r="BW621" s="5122"/>
      <c r="BX621" s="5122"/>
      <c r="BY621" s="5122"/>
      <c r="BZ621" s="5122"/>
      <c r="CA621" s="5122"/>
      <c r="CB621" s="5058"/>
      <c r="CC621" s="3524" t="s">
        <v>166</v>
      </c>
      <c r="CD621" s="3524" t="s">
        <v>154</v>
      </c>
      <c r="CE621" s="5169"/>
      <c r="CF621" s="5169"/>
      <c r="CG621" s="5169"/>
      <c r="CH621" s="5169"/>
    </row>
    <row r="622" s="4965" customFormat="1" ht="61" customHeight="1" spans="1:86">
      <c r="A622" s="3742"/>
      <c r="B622" s="3742"/>
      <c r="C622" s="3742"/>
      <c r="D622" s="3742"/>
      <c r="E622" s="3742"/>
      <c r="F622" s="3742"/>
      <c r="G622" s="3742"/>
      <c r="H622" s="3742"/>
      <c r="I622" s="3669"/>
      <c r="J622" s="3742"/>
      <c r="K622" s="3742"/>
      <c r="L622" s="3742"/>
      <c r="M622" s="3742"/>
      <c r="N622" s="3742"/>
      <c r="O622" s="3742"/>
      <c r="P622" s="3742"/>
      <c r="Q622" s="3742"/>
      <c r="R622" s="3742"/>
      <c r="S622" s="3742"/>
      <c r="T622" s="3742"/>
      <c r="U622" s="3742"/>
      <c r="V622" s="3742"/>
      <c r="W622" s="3742"/>
      <c r="X622" s="3742"/>
      <c r="Y622" s="3742"/>
      <c r="Z622" s="3742"/>
      <c r="AA622" s="3742"/>
      <c r="AB622" s="3742"/>
      <c r="AC622" s="3524">
        <v>2</v>
      </c>
      <c r="AD622" s="5840" t="s">
        <v>1447</v>
      </c>
      <c r="AE622" s="5841">
        <v>0.5</v>
      </c>
      <c r="AF622" s="2713">
        <v>3949000</v>
      </c>
      <c r="AG622" s="3812">
        <f>SUM(BA622:BN623)</f>
        <v>4956908.65</v>
      </c>
      <c r="AH622" s="3524" t="s">
        <v>206</v>
      </c>
      <c r="AI622" s="3524">
        <v>43427</v>
      </c>
      <c r="AJ622" s="3524" t="s">
        <v>171</v>
      </c>
      <c r="AK622" s="3524" t="s">
        <v>171</v>
      </c>
      <c r="AL622" s="2713">
        <v>4956908.65</v>
      </c>
      <c r="AM622" s="3524">
        <v>43427</v>
      </c>
      <c r="AN622" s="3812">
        <f>SUM(BO622:CB623)</f>
        <v>4956908.65</v>
      </c>
      <c r="AO622" s="3524">
        <v>43464</v>
      </c>
      <c r="AP622" s="3812">
        <f t="shared" si="131"/>
        <v>0</v>
      </c>
      <c r="AQ622" s="5122"/>
      <c r="AR622" s="3524"/>
      <c r="AS622" s="5129"/>
      <c r="AT622" s="5122"/>
      <c r="AU622" s="3812"/>
      <c r="AV622" s="3812"/>
      <c r="AW622" s="3812"/>
      <c r="AX622" s="3812"/>
      <c r="AY622" s="3812"/>
      <c r="AZ622" s="3812"/>
      <c r="BA622" s="5146"/>
      <c r="BB622" s="5146"/>
      <c r="BC622" s="3812"/>
      <c r="BD622" s="857">
        <v>4461217.785</v>
      </c>
      <c r="BE622" s="5146"/>
      <c r="BF622" s="5146"/>
      <c r="BG622" s="5146"/>
      <c r="BH622" s="3812">
        <v>495690.865</v>
      </c>
      <c r="BI622" s="5146"/>
      <c r="BJ622" s="5146"/>
      <c r="BK622" s="5146"/>
      <c r="BL622" s="5146"/>
      <c r="BM622" s="5146"/>
      <c r="BN622" s="3812"/>
      <c r="BO622" s="5122"/>
      <c r="BP622" s="5122"/>
      <c r="BQ622" s="5122"/>
      <c r="BR622" s="2713">
        <v>4461217.785</v>
      </c>
      <c r="BS622" s="5122"/>
      <c r="BT622" s="5122"/>
      <c r="BU622" s="5122"/>
      <c r="BV622" s="3524">
        <v>495690.865</v>
      </c>
      <c r="BW622" s="5122"/>
      <c r="BX622" s="5122"/>
      <c r="BY622" s="5122"/>
      <c r="BZ622" s="5122"/>
      <c r="CA622" s="5122"/>
      <c r="CB622" s="5058"/>
      <c r="CC622" s="3524"/>
      <c r="CD622" s="3524"/>
      <c r="CE622" s="5169"/>
      <c r="CF622" s="5169"/>
      <c r="CG622" s="5169"/>
      <c r="CH622" s="5169"/>
    </row>
    <row r="623" s="4965" customFormat="1" ht="61" customHeight="1" spans="1:86">
      <c r="A623" s="3742"/>
      <c r="B623" s="3742"/>
      <c r="C623" s="3742"/>
      <c r="D623" s="3742"/>
      <c r="E623" s="3742"/>
      <c r="F623" s="3742"/>
      <c r="G623" s="3742"/>
      <c r="H623" s="3742"/>
      <c r="I623" s="3669"/>
      <c r="J623" s="3742"/>
      <c r="K623" s="3742"/>
      <c r="L623" s="3742"/>
      <c r="M623" s="3742"/>
      <c r="N623" s="3742"/>
      <c r="O623" s="3742"/>
      <c r="P623" s="3742"/>
      <c r="Q623" s="3742"/>
      <c r="R623" s="3742"/>
      <c r="S623" s="3742"/>
      <c r="T623" s="3742"/>
      <c r="U623" s="3742"/>
      <c r="V623" s="3742"/>
      <c r="W623" s="3742"/>
      <c r="X623" s="3742"/>
      <c r="Y623" s="3742"/>
      <c r="Z623" s="3742"/>
      <c r="AA623" s="3742"/>
      <c r="AB623" s="3742"/>
      <c r="AC623" s="3524">
        <v>3</v>
      </c>
      <c r="AD623" s="5840" t="s">
        <v>1448</v>
      </c>
      <c r="AE623" s="5841">
        <v>0.25</v>
      </c>
      <c r="AF623" s="2713">
        <v>1974500</v>
      </c>
      <c r="AG623" s="3812"/>
      <c r="AH623" s="3524" t="s">
        <v>206</v>
      </c>
      <c r="AI623" s="3524"/>
      <c r="AJ623" s="3524" t="s">
        <v>171</v>
      </c>
      <c r="AK623" s="3524" t="s">
        <v>171</v>
      </c>
      <c r="AL623" s="2713"/>
      <c r="AM623" s="3524"/>
      <c r="AN623" s="3812"/>
      <c r="AO623" s="3524"/>
      <c r="AP623" s="3812">
        <f t="shared" si="131"/>
        <v>0</v>
      </c>
      <c r="AQ623" s="5122"/>
      <c r="AR623" s="3524"/>
      <c r="AS623" s="5129"/>
      <c r="AT623" s="5122"/>
      <c r="AU623" s="3812"/>
      <c r="AV623" s="3812"/>
      <c r="AW623" s="3812"/>
      <c r="AX623" s="3812"/>
      <c r="AY623" s="3812"/>
      <c r="AZ623" s="3812"/>
      <c r="BA623" s="5146"/>
      <c r="BB623" s="5146"/>
      <c r="BC623" s="3812"/>
      <c r="BD623" s="857"/>
      <c r="BE623" s="5146"/>
      <c r="BF623" s="5146"/>
      <c r="BG623" s="5146"/>
      <c r="BH623" s="3812"/>
      <c r="BI623" s="5146"/>
      <c r="BJ623" s="5146"/>
      <c r="BK623" s="5146"/>
      <c r="BL623" s="5146"/>
      <c r="BM623" s="5146"/>
      <c r="BN623" s="3812"/>
      <c r="BO623" s="5122"/>
      <c r="BP623" s="5122"/>
      <c r="BQ623" s="5122"/>
      <c r="BR623" s="2713"/>
      <c r="BS623" s="5122"/>
      <c r="BT623" s="5122"/>
      <c r="BU623" s="5122"/>
      <c r="BV623" s="3524"/>
      <c r="BW623" s="5122"/>
      <c r="BX623" s="5122"/>
      <c r="BY623" s="5122"/>
      <c r="BZ623" s="5122"/>
      <c r="CA623" s="5122"/>
      <c r="CB623" s="5058"/>
      <c r="CC623" s="3524"/>
      <c r="CD623" s="3524"/>
      <c r="CE623" s="5169"/>
      <c r="CF623" s="5169"/>
      <c r="CG623" s="5169"/>
      <c r="CH623" s="5169"/>
    </row>
    <row r="624" s="4965" customFormat="1" ht="61" customHeight="1" spans="1:86">
      <c r="A624" s="3742"/>
      <c r="B624" s="3742"/>
      <c r="C624" s="3742"/>
      <c r="D624" s="3742"/>
      <c r="E624" s="3742"/>
      <c r="F624" s="3742"/>
      <c r="G624" s="3742"/>
      <c r="H624" s="3742"/>
      <c r="I624" s="3741"/>
      <c r="J624" s="3742"/>
      <c r="K624" s="3742"/>
      <c r="L624" s="3742"/>
      <c r="M624" s="3742"/>
      <c r="N624" s="3742"/>
      <c r="O624" s="3742"/>
      <c r="P624" s="3742"/>
      <c r="Q624" s="3742"/>
      <c r="R624" s="3742"/>
      <c r="S624" s="3742"/>
      <c r="T624" s="3742"/>
      <c r="U624" s="3742"/>
      <c r="V624" s="3742"/>
      <c r="W624" s="3742"/>
      <c r="X624" s="3742"/>
      <c r="Y624" s="3742"/>
      <c r="Z624" s="3742"/>
      <c r="AA624" s="3742"/>
      <c r="AB624" s="3742"/>
      <c r="AC624" s="3524">
        <v>4</v>
      </c>
      <c r="AD624" s="5840" t="s">
        <v>1449</v>
      </c>
      <c r="AE624" s="5841">
        <v>0.05</v>
      </c>
      <c r="AF624" s="2713">
        <v>394900</v>
      </c>
      <c r="AG624" s="3812">
        <f t="shared" ref="AG624:AG637" si="132">SUM(BA624:BN624)</f>
        <v>344026.77</v>
      </c>
      <c r="AH624" s="2678" t="s">
        <v>122</v>
      </c>
      <c r="AI624" s="3812">
        <v>44160</v>
      </c>
      <c r="AJ624" s="3812">
        <v>344026.77</v>
      </c>
      <c r="AK624" s="3812">
        <v>44160</v>
      </c>
      <c r="AL624" s="3812">
        <v>344026.77</v>
      </c>
      <c r="AM624" s="3812">
        <v>45294</v>
      </c>
      <c r="AN624" s="4815">
        <f>SUM(BO624:CB624)</f>
        <v>344026.77</v>
      </c>
      <c r="AO624" s="4815"/>
      <c r="AP624" s="3812">
        <f t="shared" si="131"/>
        <v>0</v>
      </c>
      <c r="AQ624" s="5137"/>
      <c r="AR624" s="3524"/>
      <c r="AS624" s="5129" t="s">
        <v>1450</v>
      </c>
      <c r="AT624" s="5122"/>
      <c r="AU624" s="3812"/>
      <c r="AV624" s="3812"/>
      <c r="AW624" s="3812"/>
      <c r="AX624" s="3812"/>
      <c r="AY624" s="3812"/>
      <c r="AZ624" s="3812"/>
      <c r="BA624" s="5146"/>
      <c r="BB624" s="5146"/>
      <c r="BC624" s="3812"/>
      <c r="BD624" s="3812">
        <v>309624.093</v>
      </c>
      <c r="BE624" s="5146"/>
      <c r="BF624" s="5146"/>
      <c r="BG624" s="5146"/>
      <c r="BH624" s="5146">
        <v>34402.677</v>
      </c>
      <c r="BI624" s="5146"/>
      <c r="BJ624" s="5146"/>
      <c r="BK624" s="5146"/>
      <c r="BL624" s="5146"/>
      <c r="BM624" s="5146"/>
      <c r="BN624" s="3812"/>
      <c r="BO624" s="5122"/>
      <c r="BP624" s="5122"/>
      <c r="BQ624" s="5122"/>
      <c r="BR624" s="3812">
        <v>309624.09</v>
      </c>
      <c r="BS624" s="5146"/>
      <c r="BT624" s="5146"/>
      <c r="BU624" s="5146"/>
      <c r="BV624" s="3812">
        <v>34402.68</v>
      </c>
      <c r="BW624" s="5122"/>
      <c r="BX624" s="5122"/>
      <c r="BY624" s="5122"/>
      <c r="BZ624" s="5122"/>
      <c r="CA624" s="5122"/>
      <c r="CB624" s="5058"/>
      <c r="CC624" s="3524"/>
      <c r="CD624" s="3524"/>
      <c r="CE624" s="5169"/>
      <c r="CF624" s="5169"/>
      <c r="CG624" s="5169"/>
      <c r="CH624" s="5169"/>
    </row>
    <row r="625" s="4965" customFormat="1" ht="61" customHeight="1" spans="1:86">
      <c r="A625" s="5079">
        <v>4</v>
      </c>
      <c r="B625" s="5079" t="s">
        <v>111</v>
      </c>
      <c r="C625" s="5079">
        <v>43009</v>
      </c>
      <c r="D625" s="5079" t="s">
        <v>1451</v>
      </c>
      <c r="E625" s="5079" t="s">
        <v>171</v>
      </c>
      <c r="F625" s="5079" t="s">
        <v>1452</v>
      </c>
      <c r="G625" s="5079" t="s">
        <v>1453</v>
      </c>
      <c r="H625" s="5079" t="s">
        <v>31</v>
      </c>
      <c r="I625" s="5820"/>
      <c r="J625" s="5079" t="s">
        <v>1444</v>
      </c>
      <c r="K625" s="5079">
        <v>326374.29</v>
      </c>
      <c r="L625" s="5079" t="s">
        <v>1454</v>
      </c>
      <c r="M625" s="5079">
        <f>SUM(N625:AA628)</f>
        <v>1609005</v>
      </c>
      <c r="N625" s="5079">
        <v>0</v>
      </c>
      <c r="O625" s="5079">
        <v>0</v>
      </c>
      <c r="P625" s="5079">
        <v>0</v>
      </c>
      <c r="Q625" s="5079">
        <v>0</v>
      </c>
      <c r="R625" s="5079">
        <v>0</v>
      </c>
      <c r="S625" s="5079">
        <v>0</v>
      </c>
      <c r="T625" s="5825">
        <v>0</v>
      </c>
      <c r="U625" s="5079">
        <v>1609005</v>
      </c>
      <c r="V625" s="5079">
        <v>0</v>
      </c>
      <c r="W625" s="5079">
        <v>0</v>
      </c>
      <c r="X625" s="5079">
        <v>0</v>
      </c>
      <c r="Y625" s="5079"/>
      <c r="Z625" s="5079"/>
      <c r="AA625" s="5079">
        <v>0</v>
      </c>
      <c r="AB625" s="5079"/>
      <c r="AC625" s="2680">
        <v>1</v>
      </c>
      <c r="AD625" s="5241" t="s">
        <v>1455</v>
      </c>
      <c r="AE625" s="5841">
        <v>0.2</v>
      </c>
      <c r="AF625" s="2713">
        <v>321801</v>
      </c>
      <c r="AG625" s="3812">
        <f t="shared" si="132"/>
        <v>321801</v>
      </c>
      <c r="AH625" s="3742" t="s">
        <v>206</v>
      </c>
      <c r="AI625" s="2680">
        <v>43405</v>
      </c>
      <c r="AJ625" s="2680" t="s">
        <v>171</v>
      </c>
      <c r="AK625" s="2680" t="s">
        <v>171</v>
      </c>
      <c r="AL625" s="2680">
        <v>321801</v>
      </c>
      <c r="AM625" s="2680">
        <v>43405</v>
      </c>
      <c r="AN625" s="2680">
        <v>321801</v>
      </c>
      <c r="AO625" s="2680">
        <v>43435</v>
      </c>
      <c r="AP625" s="3812">
        <f t="shared" si="131"/>
        <v>0</v>
      </c>
      <c r="AQ625" s="5331"/>
      <c r="AR625" s="2680"/>
      <c r="AS625" s="1035" t="s">
        <v>1456</v>
      </c>
      <c r="AT625" s="5331"/>
      <c r="AU625" s="3812">
        <f>SUM(AG625:AG628)</f>
        <v>1609005</v>
      </c>
      <c r="AV625" s="3812">
        <f>SUM(AL625:AL628)</f>
        <v>1464174.64</v>
      </c>
      <c r="AW625" s="3812">
        <f>SUM(AN625:AN628)</f>
        <v>1464174.64</v>
      </c>
      <c r="AX625" s="3812">
        <f>M625-AU625</f>
        <v>0</v>
      </c>
      <c r="AY625" s="3812">
        <f>AU625-AV625</f>
        <v>144830.36</v>
      </c>
      <c r="AZ625" s="3812">
        <f>AV625-AW625</f>
        <v>0</v>
      </c>
      <c r="BA625" s="5796"/>
      <c r="BB625" s="5796"/>
      <c r="BC625" s="2678"/>
      <c r="BD625" s="5796"/>
      <c r="BE625" s="5796"/>
      <c r="BF625" s="5796"/>
      <c r="BG625" s="5796"/>
      <c r="BH625" s="5152">
        <v>321801</v>
      </c>
      <c r="BI625" s="5796"/>
      <c r="BJ625" s="5796"/>
      <c r="BK625" s="5796"/>
      <c r="BL625" s="5796"/>
      <c r="BM625" s="5796"/>
      <c r="BN625" s="2678"/>
      <c r="BO625" s="5331"/>
      <c r="BP625" s="5331"/>
      <c r="BQ625" s="5331"/>
      <c r="BR625" s="5331"/>
      <c r="BS625" s="5331"/>
      <c r="BT625" s="5331"/>
      <c r="BU625" s="5331"/>
      <c r="BV625" s="5331">
        <v>321801</v>
      </c>
      <c r="BW625" s="5331"/>
      <c r="BX625" s="5331"/>
      <c r="BY625" s="5331"/>
      <c r="BZ625" s="5331"/>
      <c r="CA625" s="5331"/>
      <c r="CB625" s="5863"/>
      <c r="CC625" s="3524" t="s">
        <v>166</v>
      </c>
      <c r="CD625" s="3524" t="s">
        <v>154</v>
      </c>
      <c r="CE625" s="5169"/>
      <c r="CF625" s="5169"/>
      <c r="CG625" s="5169"/>
      <c r="CH625" s="5169"/>
    </row>
    <row r="626" s="4965" customFormat="1" ht="61" customHeight="1" spans="1:86">
      <c r="A626" s="5079"/>
      <c r="B626" s="5079"/>
      <c r="C626" s="5079"/>
      <c r="D626" s="5079"/>
      <c r="E626" s="5079"/>
      <c r="F626" s="5079"/>
      <c r="G626" s="5079"/>
      <c r="H626" s="5079"/>
      <c r="I626" s="5821"/>
      <c r="J626" s="5079"/>
      <c r="K626" s="5079"/>
      <c r="L626" s="5079"/>
      <c r="M626" s="5079"/>
      <c r="N626" s="5079"/>
      <c r="O626" s="5079"/>
      <c r="P626" s="5079"/>
      <c r="Q626" s="5079"/>
      <c r="R626" s="5079"/>
      <c r="S626" s="5079"/>
      <c r="T626" s="5079"/>
      <c r="U626" s="5079"/>
      <c r="V626" s="5079"/>
      <c r="W626" s="5079"/>
      <c r="X626" s="5079"/>
      <c r="Y626" s="5079"/>
      <c r="Z626" s="5079"/>
      <c r="AA626" s="5079"/>
      <c r="AB626" s="5079"/>
      <c r="AC626" s="2680">
        <v>2</v>
      </c>
      <c r="AD626" s="5842" t="s">
        <v>1457</v>
      </c>
      <c r="AE626" s="5841">
        <v>0.8</v>
      </c>
      <c r="AF626" s="2713">
        <v>1287204</v>
      </c>
      <c r="AG626" s="3812">
        <f t="shared" si="132"/>
        <v>721763.64</v>
      </c>
      <c r="AH626" s="3742" t="s">
        <v>206</v>
      </c>
      <c r="AI626" s="2680">
        <v>43405</v>
      </c>
      <c r="AJ626" s="2680" t="s">
        <v>171</v>
      </c>
      <c r="AK626" s="2680" t="s">
        <v>171</v>
      </c>
      <c r="AL626" s="2680">
        <v>721763.64</v>
      </c>
      <c r="AM626" s="2680">
        <v>43405</v>
      </c>
      <c r="AN626" s="2680">
        <v>721763.64</v>
      </c>
      <c r="AO626" s="2680">
        <v>43435</v>
      </c>
      <c r="AP626" s="3812">
        <f t="shared" si="131"/>
        <v>0</v>
      </c>
      <c r="AQ626" s="5331"/>
      <c r="AR626" s="2680"/>
      <c r="AS626" s="5079"/>
      <c r="AT626" s="5331"/>
      <c r="AU626" s="3812"/>
      <c r="AV626" s="3812"/>
      <c r="AW626" s="3812"/>
      <c r="AX626" s="3812"/>
      <c r="AY626" s="3812"/>
      <c r="AZ626" s="3812"/>
      <c r="BA626" s="5796"/>
      <c r="BB626" s="5796"/>
      <c r="BC626" s="2678"/>
      <c r="BD626" s="5796"/>
      <c r="BE626" s="5796"/>
      <c r="BF626" s="5796"/>
      <c r="BG626" s="5796"/>
      <c r="BH626" s="5796">
        <v>721763.64</v>
      </c>
      <c r="BI626" s="5796"/>
      <c r="BJ626" s="5796"/>
      <c r="BK626" s="5796"/>
      <c r="BL626" s="5796"/>
      <c r="BM626" s="5796"/>
      <c r="BN626" s="2678"/>
      <c r="BO626" s="5331"/>
      <c r="BP626" s="5331"/>
      <c r="BQ626" s="5331"/>
      <c r="BR626" s="5331"/>
      <c r="BS626" s="5331"/>
      <c r="BT626" s="5331"/>
      <c r="BU626" s="5331"/>
      <c r="BV626" s="5331">
        <v>721763.64</v>
      </c>
      <c r="BW626" s="5331"/>
      <c r="BX626" s="5331"/>
      <c r="BY626" s="5331"/>
      <c r="BZ626" s="5331"/>
      <c r="CA626" s="5331"/>
      <c r="CB626" s="5863"/>
      <c r="CC626" s="3524"/>
      <c r="CD626" s="3524"/>
      <c r="CE626" s="5169"/>
      <c r="CF626" s="5169"/>
      <c r="CG626" s="5169"/>
      <c r="CH626" s="5169"/>
    </row>
    <row r="627" s="4965" customFormat="1" ht="61" customHeight="1" spans="1:86">
      <c r="A627" s="5079"/>
      <c r="B627" s="5079"/>
      <c r="C627" s="5079"/>
      <c r="D627" s="5079"/>
      <c r="E627" s="5079"/>
      <c r="F627" s="5079"/>
      <c r="G627" s="5079"/>
      <c r="H627" s="5079"/>
      <c r="I627" s="5821"/>
      <c r="J627" s="5079"/>
      <c r="K627" s="5079"/>
      <c r="L627" s="5079"/>
      <c r="M627" s="5079"/>
      <c r="N627" s="5079"/>
      <c r="O627" s="5079"/>
      <c r="P627" s="5079"/>
      <c r="Q627" s="5079"/>
      <c r="R627" s="5079"/>
      <c r="S627" s="5079"/>
      <c r="T627" s="5079"/>
      <c r="U627" s="5079"/>
      <c r="V627" s="5079"/>
      <c r="W627" s="5079"/>
      <c r="X627" s="5079"/>
      <c r="Y627" s="5079"/>
      <c r="Z627" s="5079"/>
      <c r="AA627" s="5079"/>
      <c r="AB627" s="5079"/>
      <c r="AC627" s="2680"/>
      <c r="AD627" s="5842"/>
      <c r="AE627" s="5841"/>
      <c r="AF627" s="2713"/>
      <c r="AG627" s="3812">
        <f t="shared" si="132"/>
        <v>420610</v>
      </c>
      <c r="AH627" s="3742" t="s">
        <v>206</v>
      </c>
      <c r="AI627" s="2680">
        <v>43647</v>
      </c>
      <c r="AJ627" s="2680">
        <v>420610</v>
      </c>
      <c r="AK627" s="2680">
        <v>43647</v>
      </c>
      <c r="AL627" s="2680">
        <v>420610</v>
      </c>
      <c r="AM627" s="2680">
        <v>43678</v>
      </c>
      <c r="AN627" s="3812">
        <f t="shared" ref="AN627:AN637" si="133">SUM(BO627:CB627)</f>
        <v>420610</v>
      </c>
      <c r="AO627" s="2680">
        <v>43739</v>
      </c>
      <c r="AP627" s="3812">
        <f t="shared" si="131"/>
        <v>0</v>
      </c>
      <c r="AQ627" s="5331"/>
      <c r="AR627" s="2680"/>
      <c r="AS627" s="5079"/>
      <c r="AT627" s="5331"/>
      <c r="AU627" s="3812"/>
      <c r="AV627" s="3812"/>
      <c r="AW627" s="3812"/>
      <c r="AX627" s="3812"/>
      <c r="AY627" s="3812"/>
      <c r="AZ627" s="3812"/>
      <c r="BA627" s="5796"/>
      <c r="BB627" s="5796"/>
      <c r="BC627" s="2678"/>
      <c r="BD627" s="5796"/>
      <c r="BE627" s="5796"/>
      <c r="BF627" s="5796"/>
      <c r="BG627" s="5796"/>
      <c r="BH627" s="5152">
        <v>420610</v>
      </c>
      <c r="BI627" s="5796"/>
      <c r="BJ627" s="5796"/>
      <c r="BK627" s="5796"/>
      <c r="BL627" s="5796"/>
      <c r="BM627" s="5796"/>
      <c r="BN627" s="2678"/>
      <c r="BO627" s="5331"/>
      <c r="BP627" s="5331"/>
      <c r="BQ627" s="5331"/>
      <c r="BR627" s="5331"/>
      <c r="BS627" s="5331"/>
      <c r="BT627" s="5331"/>
      <c r="BU627" s="5331"/>
      <c r="BV627" s="5331">
        <v>420610</v>
      </c>
      <c r="BW627" s="5331"/>
      <c r="BX627" s="5331"/>
      <c r="BY627" s="5331"/>
      <c r="BZ627" s="5331"/>
      <c r="CA627" s="5331"/>
      <c r="CB627" s="5863"/>
      <c r="CC627" s="3524"/>
      <c r="CD627" s="3524"/>
      <c r="CE627" s="5169"/>
      <c r="CF627" s="5169"/>
      <c r="CG627" s="5169"/>
      <c r="CH627" s="5169"/>
    </row>
    <row r="628" s="4965" customFormat="1" ht="61" customHeight="1" spans="1:86">
      <c r="A628" s="5079"/>
      <c r="B628" s="5079"/>
      <c r="C628" s="5079"/>
      <c r="D628" s="5079"/>
      <c r="E628" s="5079"/>
      <c r="F628" s="5079"/>
      <c r="G628" s="5079"/>
      <c r="H628" s="5079"/>
      <c r="I628" s="5822"/>
      <c r="J628" s="5079"/>
      <c r="K628" s="5079"/>
      <c r="L628" s="5079"/>
      <c r="M628" s="5079"/>
      <c r="N628" s="5079"/>
      <c r="O628" s="5079"/>
      <c r="P628" s="5079"/>
      <c r="Q628" s="5079"/>
      <c r="R628" s="5079"/>
      <c r="S628" s="5079"/>
      <c r="T628" s="5079"/>
      <c r="U628" s="5079"/>
      <c r="V628" s="5079"/>
      <c r="W628" s="5079"/>
      <c r="X628" s="5079"/>
      <c r="Y628" s="5079"/>
      <c r="Z628" s="5079"/>
      <c r="AA628" s="5079"/>
      <c r="AB628" s="5079"/>
      <c r="AC628" s="2680"/>
      <c r="AD628" s="5842"/>
      <c r="AE628" s="5841"/>
      <c r="AF628" s="2713"/>
      <c r="AG628" s="3812">
        <f t="shared" si="132"/>
        <v>144830.36</v>
      </c>
      <c r="AH628" s="2678" t="s">
        <v>122</v>
      </c>
      <c r="AI628" s="3812">
        <v>44160</v>
      </c>
      <c r="AJ628" s="2678">
        <v>144830.36</v>
      </c>
      <c r="AK628" s="3812">
        <v>44160</v>
      </c>
      <c r="AL628" s="2680"/>
      <c r="AM628" s="2680"/>
      <c r="AN628" s="3812">
        <f t="shared" si="133"/>
        <v>0</v>
      </c>
      <c r="AO628" s="2680"/>
      <c r="AP628" s="3812">
        <f t="shared" si="131"/>
        <v>144830.36</v>
      </c>
      <c r="AQ628" s="5853" t="s">
        <v>1458</v>
      </c>
      <c r="AR628" s="2680"/>
      <c r="AS628" s="5857"/>
      <c r="AT628" s="5331"/>
      <c r="AU628" s="3812"/>
      <c r="AV628" s="3812"/>
      <c r="AW628" s="3812"/>
      <c r="AX628" s="3812"/>
      <c r="AY628" s="3812"/>
      <c r="AZ628" s="3812"/>
      <c r="BA628" s="5796"/>
      <c r="BB628" s="5796"/>
      <c r="BC628" s="2678"/>
      <c r="BD628" s="5796"/>
      <c r="BE628" s="5796"/>
      <c r="BF628" s="5796"/>
      <c r="BG628" s="5796"/>
      <c r="BH628" s="5796">
        <v>144830.36</v>
      </c>
      <c r="BI628" s="5796"/>
      <c r="BJ628" s="5796"/>
      <c r="BK628" s="5796"/>
      <c r="BL628" s="5796"/>
      <c r="BM628" s="5796"/>
      <c r="BN628" s="2678"/>
      <c r="BO628" s="5331"/>
      <c r="BP628" s="5331"/>
      <c r="BQ628" s="5331"/>
      <c r="BR628" s="5331"/>
      <c r="BS628" s="5331"/>
      <c r="BT628" s="5331"/>
      <c r="BU628" s="5331"/>
      <c r="BV628" s="5331"/>
      <c r="BW628" s="5331"/>
      <c r="BX628" s="5331"/>
      <c r="BY628" s="5331"/>
      <c r="BZ628" s="5331"/>
      <c r="CA628" s="5331"/>
      <c r="CB628" s="5863"/>
      <c r="CC628" s="3524"/>
      <c r="CD628" s="3524"/>
      <c r="CE628" s="5169"/>
      <c r="CF628" s="5169"/>
      <c r="CG628" s="5169"/>
      <c r="CH628" s="5169"/>
    </row>
    <row r="629" s="4975" customFormat="1" ht="61" customHeight="1" spans="1:86">
      <c r="A629" s="5079">
        <v>5</v>
      </c>
      <c r="B629" s="5317" t="s">
        <v>111</v>
      </c>
      <c r="C629" s="5317">
        <v>43082</v>
      </c>
      <c r="D629" s="5316" t="s">
        <v>1459</v>
      </c>
      <c r="E629" s="5317" t="s">
        <v>171</v>
      </c>
      <c r="F629" s="5317" t="s">
        <v>1460</v>
      </c>
      <c r="G629" s="5317" t="s">
        <v>1461</v>
      </c>
      <c r="H629" s="5317" t="s">
        <v>31</v>
      </c>
      <c r="I629" s="5317"/>
      <c r="J629" s="5317" t="s">
        <v>1444</v>
      </c>
      <c r="K629" s="5317">
        <v>312751.61</v>
      </c>
      <c r="L629" s="5317" t="s">
        <v>1454</v>
      </c>
      <c r="M629" s="5317">
        <f>SUM(N629:AA630)</f>
        <v>1563758.05</v>
      </c>
      <c r="N629" s="5079">
        <v>0</v>
      </c>
      <c r="O629" s="5079">
        <v>0</v>
      </c>
      <c r="P629" s="5079">
        <v>0</v>
      </c>
      <c r="Q629" s="5079">
        <v>0</v>
      </c>
      <c r="R629" s="5079">
        <v>0</v>
      </c>
      <c r="S629" s="5079">
        <v>0</v>
      </c>
      <c r="T629" s="5825">
        <v>0</v>
      </c>
      <c r="U629" s="5079">
        <v>1563758.05</v>
      </c>
      <c r="V629" s="5079">
        <v>0</v>
      </c>
      <c r="W629" s="5079">
        <v>0</v>
      </c>
      <c r="X629" s="5079">
        <v>0</v>
      </c>
      <c r="Y629" s="5079"/>
      <c r="Z629" s="5079"/>
      <c r="AA629" s="5079">
        <v>0</v>
      </c>
      <c r="AB629" s="5079"/>
      <c r="AC629" s="2824">
        <v>1</v>
      </c>
      <c r="AD629" s="5843" t="s">
        <v>1462</v>
      </c>
      <c r="AE629" s="5844">
        <v>0.2</v>
      </c>
      <c r="AF629" s="2844">
        <v>359210</v>
      </c>
      <c r="AG629" s="5347">
        <f t="shared" si="132"/>
        <v>359210</v>
      </c>
      <c r="AH629" s="2824" t="s">
        <v>206</v>
      </c>
      <c r="AI629" s="2824">
        <v>43586</v>
      </c>
      <c r="AJ629" s="2824" t="s">
        <v>171</v>
      </c>
      <c r="AK629" s="2824" t="s">
        <v>171</v>
      </c>
      <c r="AL629" s="2824">
        <v>359210</v>
      </c>
      <c r="AM629" s="2824">
        <v>43586</v>
      </c>
      <c r="AN629" s="5347">
        <f t="shared" si="133"/>
        <v>359210</v>
      </c>
      <c r="AO629" s="2824">
        <v>43647</v>
      </c>
      <c r="AP629" s="5347">
        <f t="shared" si="131"/>
        <v>0</v>
      </c>
      <c r="AQ629" s="5356"/>
      <c r="AR629" s="5348" t="s">
        <v>1463</v>
      </c>
      <c r="AS629" s="5438"/>
      <c r="AT629" s="5356"/>
      <c r="AU629" s="2680">
        <f>SUM(AG629:AG630)</f>
        <v>1563758.05</v>
      </c>
      <c r="AV629" s="2680">
        <f>SUM(AL629:AL630)</f>
        <v>1563758.05</v>
      </c>
      <c r="AW629" s="2680">
        <f>SUM(AN629:AN630)</f>
        <v>1563758.05</v>
      </c>
      <c r="AX629" s="2680">
        <f>M629-AU629</f>
        <v>0</v>
      </c>
      <c r="AY629" s="2680">
        <f>AU629-AV629</f>
        <v>0</v>
      </c>
      <c r="AZ629" s="2680">
        <f>AV629-AW629</f>
        <v>0</v>
      </c>
      <c r="BA629" s="5363"/>
      <c r="BB629" s="5363"/>
      <c r="BC629" s="5347"/>
      <c r="BD629" s="5363"/>
      <c r="BE629" s="5363"/>
      <c r="BF629" s="5363"/>
      <c r="BG629" s="5363"/>
      <c r="BH629" s="5363">
        <v>359210</v>
      </c>
      <c r="BI629" s="5363"/>
      <c r="BJ629" s="5363"/>
      <c r="BK629" s="5363"/>
      <c r="BL629" s="5363"/>
      <c r="BM629" s="5363"/>
      <c r="BN629" s="5347"/>
      <c r="BO629" s="5356"/>
      <c r="BP629" s="5356"/>
      <c r="BQ629" s="5356"/>
      <c r="BR629" s="5356"/>
      <c r="BS629" s="5356"/>
      <c r="BT629" s="5356"/>
      <c r="BU629" s="5356"/>
      <c r="BV629" s="5356">
        <v>359210</v>
      </c>
      <c r="BW629" s="5356"/>
      <c r="BX629" s="5356"/>
      <c r="BY629" s="5356"/>
      <c r="BZ629" s="5356"/>
      <c r="CA629" s="5356"/>
      <c r="CB629" s="5865"/>
      <c r="CC629" s="2824" t="s">
        <v>166</v>
      </c>
      <c r="CD629" s="2824" t="s">
        <v>154</v>
      </c>
      <c r="CE629" s="5366"/>
      <c r="CF629" s="5366"/>
      <c r="CG629" s="5366"/>
      <c r="CH629" s="5366"/>
    </row>
    <row r="630" s="4975" customFormat="1" ht="61" customHeight="1" spans="1:86">
      <c r="A630" s="5079"/>
      <c r="B630" s="5317"/>
      <c r="C630" s="5317"/>
      <c r="D630" s="5317"/>
      <c r="E630" s="5317"/>
      <c r="F630" s="5317"/>
      <c r="G630" s="5317"/>
      <c r="H630" s="5317"/>
      <c r="I630" s="5317"/>
      <c r="J630" s="5317"/>
      <c r="K630" s="5317"/>
      <c r="L630" s="5317"/>
      <c r="M630" s="5317"/>
      <c r="N630" s="5079"/>
      <c r="O630" s="5079"/>
      <c r="P630" s="5079"/>
      <c r="Q630" s="5079"/>
      <c r="R630" s="5079"/>
      <c r="S630" s="5079"/>
      <c r="T630" s="5079"/>
      <c r="U630" s="5079"/>
      <c r="V630" s="5079"/>
      <c r="W630" s="5079"/>
      <c r="X630" s="5079"/>
      <c r="Y630" s="5079"/>
      <c r="Z630" s="5079"/>
      <c r="AA630" s="5079"/>
      <c r="AB630" s="5079"/>
      <c r="AC630" s="2824">
        <v>2</v>
      </c>
      <c r="AD630" s="5843" t="s">
        <v>1464</v>
      </c>
      <c r="AE630" s="5844">
        <v>0.8</v>
      </c>
      <c r="AF630" s="2844">
        <v>1204548.05</v>
      </c>
      <c r="AG630" s="5347">
        <f t="shared" si="132"/>
        <v>1204548.05</v>
      </c>
      <c r="AH630" s="5317" t="s">
        <v>206</v>
      </c>
      <c r="AI630" s="2824">
        <v>43830</v>
      </c>
      <c r="AJ630" s="2824" t="s">
        <v>171</v>
      </c>
      <c r="AK630" s="2824" t="s">
        <v>171</v>
      </c>
      <c r="AL630" s="2824">
        <v>1204548.05</v>
      </c>
      <c r="AM630" s="2824">
        <v>43931</v>
      </c>
      <c r="AN630" s="5347">
        <f t="shared" si="133"/>
        <v>1204548.05</v>
      </c>
      <c r="AO630" s="2824">
        <v>43973</v>
      </c>
      <c r="AP630" s="5347">
        <f t="shared" si="131"/>
        <v>0</v>
      </c>
      <c r="AQ630" s="5361"/>
      <c r="AR630" s="2824"/>
      <c r="AS630" s="5438" t="s">
        <v>1465</v>
      </c>
      <c r="AT630" s="5356"/>
      <c r="AU630" s="2680"/>
      <c r="AV630" s="2680"/>
      <c r="AW630" s="2680"/>
      <c r="AX630" s="2680"/>
      <c r="AY630" s="2680"/>
      <c r="AZ630" s="2680"/>
      <c r="BA630" s="5363"/>
      <c r="BB630" s="5363"/>
      <c r="BC630" s="5347"/>
      <c r="BD630" s="5363"/>
      <c r="BE630" s="5363"/>
      <c r="BF630" s="5363"/>
      <c r="BG630" s="5363"/>
      <c r="BH630" s="5363">
        <v>1204548.05</v>
      </c>
      <c r="BI630" s="5363"/>
      <c r="BJ630" s="5363"/>
      <c r="BK630" s="5363"/>
      <c r="BL630" s="5363"/>
      <c r="BM630" s="5363"/>
      <c r="BN630" s="5347"/>
      <c r="BO630" s="5356"/>
      <c r="BP630" s="5356"/>
      <c r="BQ630" s="5356"/>
      <c r="BR630" s="5356"/>
      <c r="BS630" s="5356"/>
      <c r="BT630" s="5356"/>
      <c r="BU630" s="5356"/>
      <c r="BV630" s="5356">
        <v>1204548.05</v>
      </c>
      <c r="BW630" s="5356"/>
      <c r="BX630" s="5356"/>
      <c r="BY630" s="5356"/>
      <c r="BZ630" s="5356"/>
      <c r="CA630" s="5356"/>
      <c r="CB630" s="5865"/>
      <c r="CC630" s="2824"/>
      <c r="CD630" s="2824"/>
      <c r="CE630" s="5366"/>
      <c r="CF630" s="5366"/>
      <c r="CG630" s="5366"/>
      <c r="CH630" s="5366"/>
    </row>
    <row r="631" s="4965" customFormat="1" ht="30" customHeight="1" spans="1:86">
      <c r="A631" s="2680">
        <v>6</v>
      </c>
      <c r="B631" s="5813" t="s">
        <v>111</v>
      </c>
      <c r="C631" s="2713">
        <v>42730</v>
      </c>
      <c r="D631" s="3742" t="s">
        <v>1466</v>
      </c>
      <c r="E631" s="3742" t="s">
        <v>171</v>
      </c>
      <c r="F631" s="3742" t="s">
        <v>1467</v>
      </c>
      <c r="G631" s="1032" t="s">
        <v>1468</v>
      </c>
      <c r="H631" s="2680" t="s">
        <v>31</v>
      </c>
      <c r="I631" s="5050" t="s">
        <v>1469</v>
      </c>
      <c r="J631" s="5079" t="s">
        <v>1470</v>
      </c>
      <c r="K631" s="1032" t="s">
        <v>1471</v>
      </c>
      <c r="L631" s="5079" t="s">
        <v>1472</v>
      </c>
      <c r="M631" s="2680">
        <f>SUM(N631:AA639)</f>
        <v>3381538.256</v>
      </c>
      <c r="N631" s="2680">
        <v>0</v>
      </c>
      <c r="O631" s="2680">
        <v>0</v>
      </c>
      <c r="P631" s="2680">
        <v>0</v>
      </c>
      <c r="Q631" s="2680">
        <v>0</v>
      </c>
      <c r="R631" s="2680">
        <v>0</v>
      </c>
      <c r="S631" s="2680">
        <v>0</v>
      </c>
      <c r="T631" s="2680"/>
      <c r="U631" s="2680">
        <f>2897000+484538.256</f>
        <v>3381538.256</v>
      </c>
      <c r="V631" s="2680">
        <v>0</v>
      </c>
      <c r="W631" s="2680">
        <v>0</v>
      </c>
      <c r="X631" s="2680">
        <v>0</v>
      </c>
      <c r="Y631" s="2680"/>
      <c r="Z631" s="2680"/>
      <c r="AA631" s="2680">
        <v>0</v>
      </c>
      <c r="AB631" s="2680"/>
      <c r="AC631" s="2680">
        <v>1</v>
      </c>
      <c r="AD631" s="1032" t="s">
        <v>1473</v>
      </c>
      <c r="AE631" s="5818">
        <v>0.2</v>
      </c>
      <c r="AF631" s="2713">
        <v>579400</v>
      </c>
      <c r="AG631" s="3812">
        <f t="shared" si="132"/>
        <v>324104.4</v>
      </c>
      <c r="AH631" s="5079" t="s">
        <v>206</v>
      </c>
      <c r="AI631" s="2680">
        <v>42705</v>
      </c>
      <c r="AJ631" s="2680" t="s">
        <v>171</v>
      </c>
      <c r="AK631" s="2680" t="s">
        <v>171</v>
      </c>
      <c r="AL631" s="2680">
        <v>324104.4</v>
      </c>
      <c r="AM631" s="2680">
        <v>42705</v>
      </c>
      <c r="AN631" s="3812">
        <f t="shared" si="133"/>
        <v>324104.4</v>
      </c>
      <c r="AO631" s="2680">
        <v>42724</v>
      </c>
      <c r="AP631" s="3812">
        <f t="shared" si="131"/>
        <v>0</v>
      </c>
      <c r="AQ631" s="5079"/>
      <c r="AR631" s="2680"/>
      <c r="AS631" s="5857" t="s">
        <v>1474</v>
      </c>
      <c r="AT631" s="5331"/>
      <c r="AU631" s="2680">
        <f>SUM(AG631:AG639)</f>
        <v>3333435.656</v>
      </c>
      <c r="AV631" s="2680">
        <f>SUM(AL631:AL639)</f>
        <v>2848897.4</v>
      </c>
      <c r="AW631" s="2680">
        <f>SUM(AN631:AN639)</f>
        <v>2848897.4</v>
      </c>
      <c r="AX631" s="2680">
        <f>M631-AU631</f>
        <v>48102.5999999996</v>
      </c>
      <c r="AY631" s="2680">
        <f>AU631-AV631</f>
        <v>484538.256</v>
      </c>
      <c r="AZ631" s="2680">
        <f>AV631-AW631</f>
        <v>0</v>
      </c>
      <c r="BA631" s="5796"/>
      <c r="BB631" s="5796"/>
      <c r="BC631" s="2678"/>
      <c r="BD631" s="5796"/>
      <c r="BE631" s="5796"/>
      <c r="BF631" s="5796"/>
      <c r="BG631" s="5796"/>
      <c r="BH631" s="2678">
        <v>324104.4</v>
      </c>
      <c r="BI631" s="5796"/>
      <c r="BJ631" s="5796"/>
      <c r="BK631" s="5796"/>
      <c r="BL631" s="5796"/>
      <c r="BM631" s="5796"/>
      <c r="BN631" s="2678"/>
      <c r="BO631" s="5331"/>
      <c r="BP631" s="5331"/>
      <c r="BQ631" s="5331"/>
      <c r="BR631" s="5331"/>
      <c r="BS631" s="5331"/>
      <c r="BT631" s="5331"/>
      <c r="BU631" s="5331"/>
      <c r="BV631" s="2680">
        <v>324104.4</v>
      </c>
      <c r="BW631" s="5331"/>
      <c r="BX631" s="5331"/>
      <c r="BY631" s="5331"/>
      <c r="BZ631" s="5331"/>
      <c r="CA631" s="5331"/>
      <c r="CB631" s="5863"/>
      <c r="CC631" s="2680"/>
      <c r="CD631" s="2680"/>
      <c r="CE631" s="5169"/>
      <c r="CF631" s="5169"/>
      <c r="CG631" s="5169"/>
      <c r="CH631" s="5169"/>
    </row>
    <row r="632" s="4965" customFormat="1" ht="30" customHeight="1" spans="1:86">
      <c r="A632" s="2680"/>
      <c r="B632" s="5813"/>
      <c r="C632" s="2713"/>
      <c r="D632" s="3742"/>
      <c r="E632" s="3742"/>
      <c r="F632" s="3742"/>
      <c r="G632" s="5818"/>
      <c r="H632" s="2680"/>
      <c r="I632" s="5821"/>
      <c r="J632" s="5079"/>
      <c r="K632" s="5818"/>
      <c r="L632" s="5079"/>
      <c r="M632" s="2680"/>
      <c r="N632" s="2680"/>
      <c r="O632" s="2680"/>
      <c r="P632" s="2680"/>
      <c r="Q632" s="2680"/>
      <c r="R632" s="2680"/>
      <c r="S632" s="2680"/>
      <c r="T632" s="2680"/>
      <c r="U632" s="2680"/>
      <c r="V632" s="2680"/>
      <c r="W632" s="2680"/>
      <c r="X632" s="2680"/>
      <c r="Y632" s="2680"/>
      <c r="Z632" s="2680"/>
      <c r="AA632" s="2680"/>
      <c r="AB632" s="2680"/>
      <c r="AC632" s="2680"/>
      <c r="AD632" s="5818"/>
      <c r="AE632" s="5818"/>
      <c r="AF632" s="2713"/>
      <c r="AG632" s="3812">
        <f t="shared" si="132"/>
        <v>239261.4</v>
      </c>
      <c r="AH632" s="5079" t="s">
        <v>206</v>
      </c>
      <c r="AI632" s="2680">
        <v>42705</v>
      </c>
      <c r="AJ632" s="2680" t="s">
        <v>171</v>
      </c>
      <c r="AK632" s="2680" t="s">
        <v>171</v>
      </c>
      <c r="AL632" s="2680">
        <v>239261.4</v>
      </c>
      <c r="AM632" s="2680">
        <v>42705</v>
      </c>
      <c r="AN632" s="3812">
        <f t="shared" si="133"/>
        <v>239261.4</v>
      </c>
      <c r="AO632" s="2680">
        <v>42724</v>
      </c>
      <c r="AP632" s="3812">
        <f t="shared" si="131"/>
        <v>0</v>
      </c>
      <c r="AQ632" s="5079"/>
      <c r="AR632" s="2680"/>
      <c r="AS632" s="5857" t="s">
        <v>1475</v>
      </c>
      <c r="AT632" s="5331"/>
      <c r="AU632" s="2680"/>
      <c r="AV632" s="2680"/>
      <c r="AW632" s="2680"/>
      <c r="AX632" s="2680"/>
      <c r="AY632" s="2680"/>
      <c r="AZ632" s="2680"/>
      <c r="BA632" s="5796"/>
      <c r="BB632" s="5796"/>
      <c r="BC632" s="2678"/>
      <c r="BD632" s="5796"/>
      <c r="BE632" s="5796"/>
      <c r="BF632" s="5796"/>
      <c r="BG632" s="5796"/>
      <c r="BH632" s="2678">
        <v>239261.4</v>
      </c>
      <c r="BI632" s="5796"/>
      <c r="BJ632" s="5796"/>
      <c r="BK632" s="5796"/>
      <c r="BL632" s="5796"/>
      <c r="BM632" s="5796"/>
      <c r="BN632" s="2678"/>
      <c r="BO632" s="5331"/>
      <c r="BP632" s="5331"/>
      <c r="BQ632" s="5331"/>
      <c r="BR632" s="5331"/>
      <c r="BS632" s="5331"/>
      <c r="BT632" s="5331"/>
      <c r="BU632" s="5331"/>
      <c r="BV632" s="2680">
        <v>239261.4</v>
      </c>
      <c r="BW632" s="5331"/>
      <c r="BX632" s="5331"/>
      <c r="BY632" s="5331"/>
      <c r="BZ632" s="5331"/>
      <c r="CA632" s="5331"/>
      <c r="CB632" s="5863"/>
      <c r="CC632" s="2680"/>
      <c r="CD632" s="2680"/>
      <c r="CE632" s="5169"/>
      <c r="CF632" s="5169"/>
      <c r="CG632" s="5169"/>
      <c r="CH632" s="5169"/>
    </row>
    <row r="633" s="4965" customFormat="1" ht="30" customHeight="1" spans="1:86">
      <c r="A633" s="2680"/>
      <c r="B633" s="5813"/>
      <c r="C633" s="2713"/>
      <c r="D633" s="3742"/>
      <c r="E633" s="3742"/>
      <c r="F633" s="3742"/>
      <c r="G633" s="5818"/>
      <c r="H633" s="2680"/>
      <c r="I633" s="5821"/>
      <c r="J633" s="5079"/>
      <c r="K633" s="5818"/>
      <c r="L633" s="5079"/>
      <c r="M633" s="2680"/>
      <c r="N633" s="2680"/>
      <c r="O633" s="2680"/>
      <c r="P633" s="2680"/>
      <c r="Q633" s="2680"/>
      <c r="R633" s="2680"/>
      <c r="S633" s="2680"/>
      <c r="T633" s="2680"/>
      <c r="U633" s="2680"/>
      <c r="V633" s="2680"/>
      <c r="W633" s="2680"/>
      <c r="X633" s="2680"/>
      <c r="Y633" s="2680"/>
      <c r="Z633" s="2680"/>
      <c r="AA633" s="2680"/>
      <c r="AB633" s="2680"/>
      <c r="AC633" s="2680">
        <v>2</v>
      </c>
      <c r="AD633" s="5241" t="s">
        <v>1476</v>
      </c>
      <c r="AE633" s="5818">
        <v>0.4</v>
      </c>
      <c r="AF633" s="2713">
        <v>1158800</v>
      </c>
      <c r="AG633" s="3812">
        <f t="shared" si="132"/>
        <v>648208.8</v>
      </c>
      <c r="AH633" s="5079" t="s">
        <v>206</v>
      </c>
      <c r="AI633" s="2680">
        <v>42705</v>
      </c>
      <c r="AJ633" s="2680" t="s">
        <v>171</v>
      </c>
      <c r="AK633" s="2680" t="s">
        <v>171</v>
      </c>
      <c r="AL633" s="2680">
        <v>648208.8</v>
      </c>
      <c r="AM633" s="2680">
        <v>42705</v>
      </c>
      <c r="AN633" s="3812">
        <f t="shared" si="133"/>
        <v>648208.8</v>
      </c>
      <c r="AO633" s="2680">
        <v>42724</v>
      </c>
      <c r="AP633" s="3812">
        <f t="shared" si="131"/>
        <v>0</v>
      </c>
      <c r="AQ633" s="5079"/>
      <c r="AR633" s="2680"/>
      <c r="AS633" s="5079" t="s">
        <v>1477</v>
      </c>
      <c r="AT633" s="5331"/>
      <c r="AU633" s="2680"/>
      <c r="AV633" s="2680"/>
      <c r="AW633" s="2680"/>
      <c r="AX633" s="2680"/>
      <c r="AY633" s="2680"/>
      <c r="AZ633" s="2680"/>
      <c r="BA633" s="5796"/>
      <c r="BB633" s="5796"/>
      <c r="BC633" s="2678"/>
      <c r="BD633" s="5796"/>
      <c r="BE633" s="5796"/>
      <c r="BF633" s="5796"/>
      <c r="BG633" s="5796"/>
      <c r="BH633" s="2678">
        <v>648208.8</v>
      </c>
      <c r="BI633" s="5796"/>
      <c r="BJ633" s="5796"/>
      <c r="BK633" s="5796"/>
      <c r="BL633" s="5796"/>
      <c r="BM633" s="5796"/>
      <c r="BN633" s="2678"/>
      <c r="BO633" s="5331"/>
      <c r="BP633" s="5331"/>
      <c r="BQ633" s="5331"/>
      <c r="BR633" s="5331"/>
      <c r="BS633" s="5331"/>
      <c r="BT633" s="5331"/>
      <c r="BU633" s="5331"/>
      <c r="BV633" s="2680">
        <v>648208.8</v>
      </c>
      <c r="BW633" s="5331"/>
      <c r="BX633" s="5331"/>
      <c r="BY633" s="5331"/>
      <c r="BZ633" s="5331"/>
      <c r="CA633" s="5331"/>
      <c r="CB633" s="5863"/>
      <c r="CC633" s="2680"/>
      <c r="CD633" s="2680"/>
      <c r="CE633" s="5169"/>
      <c r="CF633" s="5169"/>
      <c r="CG633" s="5169"/>
      <c r="CH633" s="5169"/>
    </row>
    <row r="634" s="4965" customFormat="1" ht="30" customHeight="1" spans="1:86">
      <c r="A634" s="2680"/>
      <c r="B634" s="5813"/>
      <c r="C634" s="2713"/>
      <c r="D634" s="3742"/>
      <c r="E634" s="3742"/>
      <c r="F634" s="3742"/>
      <c r="G634" s="5818"/>
      <c r="H634" s="2680"/>
      <c r="I634" s="5821"/>
      <c r="J634" s="5079"/>
      <c r="K634" s="5818"/>
      <c r="L634" s="5079"/>
      <c r="M634" s="2680"/>
      <c r="N634" s="2680"/>
      <c r="O634" s="2680"/>
      <c r="P634" s="2680"/>
      <c r="Q634" s="2680"/>
      <c r="R634" s="2680"/>
      <c r="S634" s="2680"/>
      <c r="T634" s="2680"/>
      <c r="U634" s="2680"/>
      <c r="V634" s="2680"/>
      <c r="W634" s="2680"/>
      <c r="X634" s="2680"/>
      <c r="Y634" s="2680"/>
      <c r="Z634" s="2680"/>
      <c r="AA634" s="2680"/>
      <c r="AB634" s="2680"/>
      <c r="AC634" s="2680"/>
      <c r="AD634" s="5842"/>
      <c r="AE634" s="5818"/>
      <c r="AF634" s="2713"/>
      <c r="AG634" s="3812">
        <f t="shared" si="132"/>
        <v>478522.8</v>
      </c>
      <c r="AH634" s="5079" t="s">
        <v>206</v>
      </c>
      <c r="AI634" s="2680">
        <v>42705</v>
      </c>
      <c r="AJ634" s="2680" t="s">
        <v>171</v>
      </c>
      <c r="AK634" s="2680" t="s">
        <v>171</v>
      </c>
      <c r="AL634" s="2680">
        <v>478522.8</v>
      </c>
      <c r="AM634" s="2680">
        <v>42705</v>
      </c>
      <c r="AN634" s="3812">
        <f t="shared" si="133"/>
        <v>478522.8</v>
      </c>
      <c r="AO634" s="2680">
        <v>42724</v>
      </c>
      <c r="AP634" s="3812">
        <f t="shared" si="131"/>
        <v>0</v>
      </c>
      <c r="AQ634" s="5079"/>
      <c r="AR634" s="2680"/>
      <c r="AS634" s="5079"/>
      <c r="AT634" s="5331"/>
      <c r="AU634" s="2680"/>
      <c r="AV634" s="2680"/>
      <c r="AW634" s="2680"/>
      <c r="AX634" s="2680"/>
      <c r="AY634" s="2680"/>
      <c r="AZ634" s="2680"/>
      <c r="BA634" s="5796"/>
      <c r="BB634" s="5796"/>
      <c r="BC634" s="2678"/>
      <c r="BD634" s="5796"/>
      <c r="BE634" s="5796"/>
      <c r="BF634" s="5796"/>
      <c r="BG634" s="5796"/>
      <c r="BH634" s="2678">
        <v>478522.8</v>
      </c>
      <c r="BI634" s="5796"/>
      <c r="BJ634" s="5796"/>
      <c r="BK634" s="5796"/>
      <c r="BL634" s="5796"/>
      <c r="BM634" s="5796"/>
      <c r="BN634" s="2678"/>
      <c r="BO634" s="5331"/>
      <c r="BP634" s="5331"/>
      <c r="BQ634" s="5331"/>
      <c r="BR634" s="5331"/>
      <c r="BS634" s="5331"/>
      <c r="BT634" s="5331"/>
      <c r="BU634" s="5331"/>
      <c r="BV634" s="2680">
        <v>478522.8</v>
      </c>
      <c r="BW634" s="5331"/>
      <c r="BX634" s="5331"/>
      <c r="BY634" s="5331"/>
      <c r="BZ634" s="5331"/>
      <c r="CA634" s="5331"/>
      <c r="CB634" s="5863"/>
      <c r="CC634" s="2680"/>
      <c r="CD634" s="2680"/>
      <c r="CE634" s="5169"/>
      <c r="CF634" s="5169"/>
      <c r="CG634" s="5169"/>
      <c r="CH634" s="5169"/>
    </row>
    <row r="635" s="4965" customFormat="1" ht="30" customHeight="1" spans="1:86">
      <c r="A635" s="2680"/>
      <c r="B635" s="5813"/>
      <c r="C635" s="2713"/>
      <c r="D635" s="3742"/>
      <c r="E635" s="3742"/>
      <c r="F635" s="3742"/>
      <c r="G635" s="5818"/>
      <c r="H635" s="2680"/>
      <c r="I635" s="5821"/>
      <c r="J635" s="5079"/>
      <c r="K635" s="5818"/>
      <c r="L635" s="5079"/>
      <c r="M635" s="2680"/>
      <c r="N635" s="2680"/>
      <c r="O635" s="2680"/>
      <c r="P635" s="2680"/>
      <c r="Q635" s="2680"/>
      <c r="R635" s="2680"/>
      <c r="S635" s="2680"/>
      <c r="T635" s="2680"/>
      <c r="U635" s="2680"/>
      <c r="V635" s="2680"/>
      <c r="W635" s="2680"/>
      <c r="X635" s="2680"/>
      <c r="Y635" s="2680"/>
      <c r="Z635" s="2680"/>
      <c r="AA635" s="2680"/>
      <c r="AB635" s="2680"/>
      <c r="AC635" s="2680">
        <v>3</v>
      </c>
      <c r="AD635" s="5241" t="s">
        <v>1478</v>
      </c>
      <c r="AE635" s="5818">
        <v>0.4</v>
      </c>
      <c r="AF635" s="2713">
        <v>1158800</v>
      </c>
      <c r="AG635" s="3812">
        <f t="shared" si="132"/>
        <v>579400</v>
      </c>
      <c r="AH635" s="859" t="s">
        <v>206</v>
      </c>
      <c r="AI635" s="2680">
        <v>44174</v>
      </c>
      <c r="AJ635" s="2680">
        <v>579400</v>
      </c>
      <c r="AK635" s="2680">
        <v>44174</v>
      </c>
      <c r="AL635" s="2680">
        <v>579400</v>
      </c>
      <c r="AM635" s="2680">
        <v>44337</v>
      </c>
      <c r="AN635" s="3812">
        <f t="shared" si="133"/>
        <v>579400</v>
      </c>
      <c r="AO635" s="2678">
        <v>44580</v>
      </c>
      <c r="AP635" s="3812">
        <f t="shared" si="131"/>
        <v>0</v>
      </c>
      <c r="AQ635" s="5079"/>
      <c r="AR635" s="2680"/>
      <c r="AS635" s="1035" t="s">
        <v>1479</v>
      </c>
      <c r="AT635" s="5331"/>
      <c r="AU635" s="2680"/>
      <c r="AV635" s="2680"/>
      <c r="AW635" s="2680"/>
      <c r="AX635" s="2680"/>
      <c r="AY635" s="2680"/>
      <c r="AZ635" s="2680"/>
      <c r="BA635" s="5796"/>
      <c r="BB635" s="5796"/>
      <c r="BC635" s="2678"/>
      <c r="BD635" s="5796"/>
      <c r="BE635" s="5796"/>
      <c r="BF635" s="5796"/>
      <c r="BG635" s="5796"/>
      <c r="BH635" s="5796">
        <v>579400</v>
      </c>
      <c r="BI635" s="5796"/>
      <c r="BJ635" s="5796"/>
      <c r="BK635" s="5796"/>
      <c r="BL635" s="5796"/>
      <c r="BM635" s="5796"/>
      <c r="BN635" s="2678"/>
      <c r="BO635" s="5796"/>
      <c r="BP635" s="5796"/>
      <c r="BQ635" s="5796"/>
      <c r="BR635" s="5796"/>
      <c r="BS635" s="5796"/>
      <c r="BT635" s="5796"/>
      <c r="BU635" s="5796"/>
      <c r="BV635" s="5796">
        <v>579400</v>
      </c>
      <c r="BW635" s="5860"/>
      <c r="BX635" s="5860"/>
      <c r="BY635" s="5860"/>
      <c r="BZ635" s="5860"/>
      <c r="CA635" s="5860"/>
      <c r="CB635" s="5854"/>
      <c r="CC635" s="2680"/>
      <c r="CD635" s="2680"/>
      <c r="CE635" s="5169"/>
      <c r="CF635" s="5169"/>
      <c r="CG635" s="5169"/>
      <c r="CH635" s="5169"/>
    </row>
    <row r="636" s="4965" customFormat="1" ht="30" customHeight="1" spans="1:86">
      <c r="A636" s="2680"/>
      <c r="B636" s="5813"/>
      <c r="C636" s="2713"/>
      <c r="D636" s="3742"/>
      <c r="E636" s="3742"/>
      <c r="F636" s="3742"/>
      <c r="G636" s="5818"/>
      <c r="H636" s="2680"/>
      <c r="I636" s="5821"/>
      <c r="J636" s="5079"/>
      <c r="K636" s="5818"/>
      <c r="L636" s="5079"/>
      <c r="M636" s="2680"/>
      <c r="N636" s="2680"/>
      <c r="O636" s="2680"/>
      <c r="P636" s="2680"/>
      <c r="Q636" s="2680"/>
      <c r="R636" s="2680"/>
      <c r="S636" s="2680"/>
      <c r="T636" s="2680"/>
      <c r="U636" s="2680"/>
      <c r="V636" s="2680"/>
      <c r="W636" s="2680"/>
      <c r="X636" s="2680"/>
      <c r="Y636" s="2680"/>
      <c r="Z636" s="2680"/>
      <c r="AA636" s="2680"/>
      <c r="AB636" s="2680"/>
      <c r="AC636" s="2680"/>
      <c r="AD636" s="5842"/>
      <c r="AE636" s="5818"/>
      <c r="AF636" s="2713"/>
      <c r="AG636" s="4840">
        <f t="shared" si="132"/>
        <v>579400</v>
      </c>
      <c r="AH636" s="1002" t="s">
        <v>206</v>
      </c>
      <c r="AI636" s="3925">
        <v>44174</v>
      </c>
      <c r="AJ636" s="3925">
        <v>579400</v>
      </c>
      <c r="AK636" s="2680">
        <v>44174</v>
      </c>
      <c r="AL636" s="2680">
        <v>579400</v>
      </c>
      <c r="AM636" s="3925">
        <v>44546</v>
      </c>
      <c r="AN636" s="3812">
        <f t="shared" si="133"/>
        <v>219000</v>
      </c>
      <c r="AO636" s="2678">
        <v>45653</v>
      </c>
      <c r="AP636" s="3812">
        <f t="shared" si="131"/>
        <v>360400</v>
      </c>
      <c r="AQ636" s="5079"/>
      <c r="AR636" s="2680"/>
      <c r="AS636" s="5079"/>
      <c r="AT636" s="5331"/>
      <c r="AU636" s="2680"/>
      <c r="AV636" s="2680"/>
      <c r="AW636" s="2680"/>
      <c r="AX636" s="2680"/>
      <c r="AY636" s="2680"/>
      <c r="AZ636" s="2680"/>
      <c r="BA636" s="5796"/>
      <c r="BB636" s="5796"/>
      <c r="BC636" s="2678"/>
      <c r="BD636" s="5796"/>
      <c r="BE636" s="5796"/>
      <c r="BF636" s="5796"/>
      <c r="BG636" s="5796"/>
      <c r="BH636" s="3912">
        <v>579400</v>
      </c>
      <c r="BI636" s="5796"/>
      <c r="BJ636" s="5796"/>
      <c r="BK636" s="5796"/>
      <c r="BL636" s="5796"/>
      <c r="BM636" s="5796"/>
      <c r="BN636" s="2678"/>
      <c r="BO636" s="5860"/>
      <c r="BP636" s="5860"/>
      <c r="BQ636" s="5860"/>
      <c r="BR636" s="5860"/>
      <c r="BS636" s="5860"/>
      <c r="BT636" s="5860"/>
      <c r="BU636" s="5860"/>
      <c r="BV636" s="5860">
        <v>219000</v>
      </c>
      <c r="BW636" s="5860"/>
      <c r="BX636" s="5860"/>
      <c r="BY636" s="5860"/>
      <c r="BZ636" s="5860"/>
      <c r="CA636" s="5860"/>
      <c r="CB636" s="5854"/>
      <c r="CC636" s="2680"/>
      <c r="CD636" s="2680"/>
      <c r="CE636" s="5169"/>
      <c r="CF636" s="5169"/>
      <c r="CG636" s="5169"/>
      <c r="CH636" s="5169"/>
    </row>
    <row r="637" s="4965" customFormat="1" ht="30" customHeight="1" spans="1:86">
      <c r="A637" s="2680"/>
      <c r="B637" s="5813"/>
      <c r="C637" s="2713"/>
      <c r="D637" s="3742"/>
      <c r="E637" s="3742"/>
      <c r="F637" s="3742"/>
      <c r="G637" s="5818"/>
      <c r="H637" s="2680"/>
      <c r="I637" s="5821"/>
      <c r="J637" s="5079"/>
      <c r="K637" s="5818"/>
      <c r="L637" s="5079"/>
      <c r="M637" s="2680"/>
      <c r="N637" s="2680"/>
      <c r="O637" s="2680"/>
      <c r="P637" s="2680"/>
      <c r="Q637" s="2680"/>
      <c r="R637" s="2680"/>
      <c r="S637" s="2680"/>
      <c r="T637" s="2680"/>
      <c r="U637" s="2680"/>
      <c r="V637" s="2680"/>
      <c r="W637" s="2680"/>
      <c r="X637" s="2680"/>
      <c r="Y637" s="2680"/>
      <c r="Z637" s="2680"/>
      <c r="AA637" s="2680"/>
      <c r="AB637" s="2680"/>
      <c r="AC637" s="2680"/>
      <c r="AD637" s="5842"/>
      <c r="AE637" s="5818"/>
      <c r="AF637" s="2713"/>
      <c r="AG637" s="4842"/>
      <c r="AH637" s="1024"/>
      <c r="AI637" s="3927"/>
      <c r="AJ637" s="3927"/>
      <c r="AK637" s="2680"/>
      <c r="AL637" s="2680"/>
      <c r="AM637" s="3927"/>
      <c r="AN637" s="4815">
        <f t="shared" si="133"/>
        <v>360400</v>
      </c>
      <c r="AO637" s="5854"/>
      <c r="AP637" s="3812"/>
      <c r="AQ637" s="5079"/>
      <c r="AR637" s="1035"/>
      <c r="AS637" s="5857"/>
      <c r="AT637" s="5331"/>
      <c r="AU637" s="2680"/>
      <c r="AV637" s="2680"/>
      <c r="AW637" s="2680"/>
      <c r="AX637" s="2680"/>
      <c r="AY637" s="2680"/>
      <c r="AZ637" s="2680"/>
      <c r="BA637" s="5858"/>
      <c r="BB637" s="5858"/>
      <c r="BC637" s="5733"/>
      <c r="BD637" s="5858"/>
      <c r="BE637" s="5858"/>
      <c r="BF637" s="5858"/>
      <c r="BG637" s="5858"/>
      <c r="BH637" s="3914"/>
      <c r="BI637" s="5858"/>
      <c r="BJ637" s="5858"/>
      <c r="BK637" s="5858"/>
      <c r="BL637" s="5858"/>
      <c r="BM637" s="5858"/>
      <c r="BN637" s="5733"/>
      <c r="BO637" s="5331"/>
      <c r="BP637" s="5331"/>
      <c r="BQ637" s="5331"/>
      <c r="BR637" s="5331"/>
      <c r="BS637" s="5331"/>
      <c r="BT637" s="5331"/>
      <c r="BU637" s="5331"/>
      <c r="BV637" s="5331">
        <v>360400</v>
      </c>
      <c r="BW637" s="5331"/>
      <c r="BX637" s="5331"/>
      <c r="BY637" s="5331"/>
      <c r="BZ637" s="5331"/>
      <c r="CA637" s="5331"/>
      <c r="CB637" s="5863"/>
      <c r="CC637" s="2680"/>
      <c r="CD637" s="2680"/>
      <c r="CE637" s="5169"/>
      <c r="CF637" s="5169"/>
      <c r="CG637" s="5169"/>
      <c r="CH637" s="5169"/>
    </row>
    <row r="638" s="4965" customFormat="1" ht="30" customHeight="1" spans="1:86">
      <c r="A638" s="2680"/>
      <c r="B638" s="5813"/>
      <c r="C638" s="2713"/>
      <c r="D638" s="3742"/>
      <c r="E638" s="3742"/>
      <c r="F638" s="3742"/>
      <c r="G638" s="5818"/>
      <c r="H638" s="2680"/>
      <c r="I638" s="5821"/>
      <c r="J638" s="5079"/>
      <c r="K638" s="5818"/>
      <c r="L638" s="5079"/>
      <c r="M638" s="2680"/>
      <c r="N638" s="2680"/>
      <c r="O638" s="2680"/>
      <c r="P638" s="2680"/>
      <c r="Q638" s="2680"/>
      <c r="R638" s="2680"/>
      <c r="S638" s="2680"/>
      <c r="T638" s="2680"/>
      <c r="U638" s="2680"/>
      <c r="V638" s="2680"/>
      <c r="W638" s="2680"/>
      <c r="X638" s="2680"/>
      <c r="Y638" s="2680"/>
      <c r="Z638" s="2680"/>
      <c r="AA638" s="2680"/>
      <c r="AB638" s="2680"/>
      <c r="AC638" s="2680"/>
      <c r="AD638" s="5842"/>
      <c r="AE638" s="5818"/>
      <c r="AF638" s="2713"/>
      <c r="AG638" s="3812">
        <f>SUM(BA638:BN638)</f>
        <v>484538.256</v>
      </c>
      <c r="AH638" s="857" t="s">
        <v>122</v>
      </c>
      <c r="AI638" s="3812">
        <v>44864</v>
      </c>
      <c r="AJ638" s="3812">
        <v>484538.256</v>
      </c>
      <c r="AK638" s="2680"/>
      <c r="AL638" s="2680"/>
      <c r="AM638" s="3927"/>
      <c r="AN638" s="4815"/>
      <c r="AO638" s="5854"/>
      <c r="AP638" s="3812"/>
      <c r="AQ638" s="5079"/>
      <c r="AR638" s="1035"/>
      <c r="AS638" s="5857"/>
      <c r="AT638" s="5331"/>
      <c r="AU638" s="2680"/>
      <c r="AV638" s="2680"/>
      <c r="AW638" s="2680"/>
      <c r="AX638" s="2680"/>
      <c r="AY638" s="2680"/>
      <c r="AZ638" s="2680"/>
      <c r="BA638" s="5858"/>
      <c r="BB638" s="5858"/>
      <c r="BC638" s="5733"/>
      <c r="BD638" s="5858"/>
      <c r="BE638" s="5858"/>
      <c r="BF638" s="5858"/>
      <c r="BG638" s="5858"/>
      <c r="BH638" s="3914">
        <v>484538.256</v>
      </c>
      <c r="BI638" s="5858"/>
      <c r="BJ638" s="5858"/>
      <c r="BK638" s="5858"/>
      <c r="BL638" s="5858"/>
      <c r="BM638" s="5858"/>
      <c r="BN638" s="5733"/>
      <c r="BO638" s="5331"/>
      <c r="BP638" s="5331"/>
      <c r="BQ638" s="5331"/>
      <c r="BR638" s="5331"/>
      <c r="BS638" s="5331"/>
      <c r="BT638" s="5331"/>
      <c r="BU638" s="5331"/>
      <c r="BV638" s="5331"/>
      <c r="BW638" s="5331"/>
      <c r="BX638" s="5331"/>
      <c r="BY638" s="5331"/>
      <c r="BZ638" s="5331"/>
      <c r="CA638" s="5331"/>
      <c r="CB638" s="5863"/>
      <c r="CC638" s="2680"/>
      <c r="CD638" s="2680"/>
      <c r="CE638" s="5169"/>
      <c r="CF638" s="5169"/>
      <c r="CG638" s="5169"/>
      <c r="CH638" s="5169"/>
    </row>
    <row r="639" s="4965" customFormat="1" ht="30" customHeight="1" spans="1:86">
      <c r="A639" s="2680"/>
      <c r="B639" s="5813"/>
      <c r="C639" s="2713"/>
      <c r="D639" s="3742"/>
      <c r="E639" s="3742"/>
      <c r="F639" s="3742"/>
      <c r="G639" s="5818"/>
      <c r="H639" s="2680"/>
      <c r="I639" s="5822"/>
      <c r="J639" s="5079"/>
      <c r="K639" s="5818"/>
      <c r="L639" s="5079"/>
      <c r="M639" s="2680"/>
      <c r="N639" s="2680"/>
      <c r="O639" s="2680"/>
      <c r="P639" s="2680"/>
      <c r="Q639" s="2680"/>
      <c r="R639" s="2680"/>
      <c r="S639" s="2680"/>
      <c r="T639" s="2680"/>
      <c r="U639" s="2680"/>
      <c r="V639" s="2680"/>
      <c r="W639" s="2680"/>
      <c r="X639" s="2680"/>
      <c r="Y639" s="2680"/>
      <c r="Z639" s="2680"/>
      <c r="AA639" s="2680"/>
      <c r="AB639" s="2680"/>
      <c r="AC639" s="2680"/>
      <c r="AD639" s="5842"/>
      <c r="AE639" s="5818"/>
      <c r="AF639" s="2713"/>
      <c r="AG639" s="3812">
        <f t="shared" ref="AG639:AG651" si="134">SUM(BA639:BN639)</f>
        <v>0</v>
      </c>
      <c r="AH639" s="857" t="s">
        <v>122</v>
      </c>
      <c r="AI639" s="3812"/>
      <c r="AJ639" s="5123">
        <v>-368658.256</v>
      </c>
      <c r="AK639" s="3812"/>
      <c r="AL639" s="2680"/>
      <c r="AM639" s="2680"/>
      <c r="AN639" s="3812">
        <f t="shared" ref="AN639:AN651" si="135">SUM(BO639:CB639)</f>
        <v>0</v>
      </c>
      <c r="AO639" s="2680"/>
      <c r="AP639" s="3812">
        <f t="shared" ref="AP639:AP651" si="136">AG639-AN639</f>
        <v>0</v>
      </c>
      <c r="AQ639" s="1035" t="s">
        <v>1480</v>
      </c>
      <c r="AR639" s="1035" t="s">
        <v>1481</v>
      </c>
      <c r="AS639" s="5857"/>
      <c r="AT639" s="5331"/>
      <c r="AU639" s="2680"/>
      <c r="AV639" s="2680"/>
      <c r="AW639" s="2680"/>
      <c r="AX639" s="2680"/>
      <c r="AY639" s="2680"/>
      <c r="AZ639" s="2680"/>
      <c r="BA639" s="5858"/>
      <c r="BB639" s="5858"/>
      <c r="BC639" s="5733"/>
      <c r="BD639" s="5858"/>
      <c r="BE639" s="5858"/>
      <c r="BF639" s="5858"/>
      <c r="BG639" s="5858"/>
      <c r="BH639" s="2678"/>
      <c r="BI639" s="5858"/>
      <c r="BJ639" s="5858"/>
      <c r="BK639" s="5858"/>
      <c r="BL639" s="5858"/>
      <c r="BM639" s="5858"/>
      <c r="BN639" s="5733"/>
      <c r="BO639" s="5331"/>
      <c r="BP639" s="5331"/>
      <c r="BQ639" s="5331"/>
      <c r="BR639" s="5331"/>
      <c r="BS639" s="5331"/>
      <c r="BT639" s="5331"/>
      <c r="BU639" s="5331"/>
      <c r="BV639" s="5331"/>
      <c r="BW639" s="5331"/>
      <c r="BX639" s="5331"/>
      <c r="BY639" s="5331"/>
      <c r="BZ639" s="5331"/>
      <c r="CA639" s="5331"/>
      <c r="CB639" s="5863"/>
      <c r="CC639" s="2680"/>
      <c r="CD639" s="2680"/>
      <c r="CE639" s="5169"/>
      <c r="CF639" s="5169"/>
      <c r="CG639" s="5169"/>
      <c r="CH639" s="5169"/>
    </row>
    <row r="640" s="4972" customFormat="1" ht="61" customHeight="1" spans="1:86">
      <c r="A640" s="2680">
        <v>7</v>
      </c>
      <c r="B640" s="5814" t="s">
        <v>111</v>
      </c>
      <c r="C640" s="5815">
        <v>43844</v>
      </c>
      <c r="D640" s="5055" t="s">
        <v>1482</v>
      </c>
      <c r="E640" s="5053" t="s">
        <v>1483</v>
      </c>
      <c r="F640" s="5053" t="s">
        <v>1484</v>
      </c>
      <c r="G640" s="5149" t="s">
        <v>1485</v>
      </c>
      <c r="H640" s="3662" t="s">
        <v>31</v>
      </c>
      <c r="I640" s="3662"/>
      <c r="J640" s="5053" t="s">
        <v>1470</v>
      </c>
      <c r="K640" s="5149">
        <v>48159.47</v>
      </c>
      <c r="L640" s="5053" t="s">
        <v>1486</v>
      </c>
      <c r="M640" s="3662">
        <f>SUM(N640:AA642)</f>
        <v>337116.29</v>
      </c>
      <c r="N640" s="2680">
        <v>0</v>
      </c>
      <c r="O640" s="2680">
        <v>0</v>
      </c>
      <c r="P640" s="2680">
        <v>0</v>
      </c>
      <c r="Q640" s="2680">
        <v>0</v>
      </c>
      <c r="R640" s="2680">
        <v>0</v>
      </c>
      <c r="S640" s="2680">
        <v>0</v>
      </c>
      <c r="T640" s="2680"/>
      <c r="U640" s="2680">
        <v>337116.29</v>
      </c>
      <c r="V640" s="2680">
        <v>0</v>
      </c>
      <c r="W640" s="2680">
        <v>0</v>
      </c>
      <c r="X640" s="2680">
        <v>0</v>
      </c>
      <c r="Y640" s="2680"/>
      <c r="Z640" s="2680"/>
      <c r="AA640" s="2680">
        <v>0</v>
      </c>
      <c r="AB640" s="2680"/>
      <c r="AC640" s="3662">
        <v>1</v>
      </c>
      <c r="AD640" s="5845" t="s">
        <v>1487</v>
      </c>
      <c r="AE640" s="5846">
        <v>0.2</v>
      </c>
      <c r="AF640" s="5815">
        <v>67423.258</v>
      </c>
      <c r="AG640" s="3684">
        <f t="shared" si="134"/>
        <v>67423.258</v>
      </c>
      <c r="AH640" s="3684" t="s">
        <v>122</v>
      </c>
      <c r="AI640" s="3684">
        <v>43909</v>
      </c>
      <c r="AJ640" s="3814">
        <v>67423.258</v>
      </c>
      <c r="AK640" s="3684">
        <v>43909</v>
      </c>
      <c r="AL640" s="3662">
        <v>67423.258</v>
      </c>
      <c r="AM640" s="3662">
        <v>43909</v>
      </c>
      <c r="AN640" s="3684">
        <f t="shared" si="135"/>
        <v>67423.258</v>
      </c>
      <c r="AO640" s="3684">
        <v>44195</v>
      </c>
      <c r="AP640" s="3684">
        <f t="shared" si="136"/>
        <v>0</v>
      </c>
      <c r="AQ640" s="5055" t="s">
        <v>1463</v>
      </c>
      <c r="AR640" s="5055"/>
      <c r="AS640" s="5055"/>
      <c r="AT640" s="5127"/>
      <c r="AU640" s="3662">
        <f>SUM(AG640:AG642)</f>
        <v>337116.29</v>
      </c>
      <c r="AV640" s="3662">
        <f>SUM(AL640:AL642)</f>
        <v>337116.29</v>
      </c>
      <c r="AW640" s="3662">
        <f>SUM(AN640:AN642)</f>
        <v>337116.29</v>
      </c>
      <c r="AX640" s="3662">
        <f>M640-AU640</f>
        <v>0</v>
      </c>
      <c r="AY640" s="3662">
        <f>AU640-AV640</f>
        <v>0</v>
      </c>
      <c r="AZ640" s="3662">
        <f>AV640-AW640</f>
        <v>0</v>
      </c>
      <c r="BA640" s="5148"/>
      <c r="BB640" s="5148"/>
      <c r="BC640" s="3684"/>
      <c r="BD640" s="5148"/>
      <c r="BE640" s="5148"/>
      <c r="BF640" s="5148"/>
      <c r="BG640" s="5148"/>
      <c r="BH640" s="5859">
        <v>67423.258</v>
      </c>
      <c r="BI640" s="5148"/>
      <c r="BJ640" s="5148"/>
      <c r="BK640" s="5148"/>
      <c r="BL640" s="5148"/>
      <c r="BM640" s="5148"/>
      <c r="BN640" s="3684"/>
      <c r="BO640" s="5127"/>
      <c r="BP640" s="5127"/>
      <c r="BQ640" s="5127"/>
      <c r="BR640" s="5127"/>
      <c r="BS640" s="5127"/>
      <c r="BT640" s="5127"/>
      <c r="BU640" s="5127"/>
      <c r="BV640" s="3684">
        <v>67423.258</v>
      </c>
      <c r="BW640" s="5127"/>
      <c r="BX640" s="5127"/>
      <c r="BY640" s="5127"/>
      <c r="BZ640" s="5127"/>
      <c r="CA640" s="5127"/>
      <c r="CB640" s="5522"/>
      <c r="CC640" s="3662" t="s">
        <v>166</v>
      </c>
      <c r="CD640" s="5053" t="s">
        <v>154</v>
      </c>
      <c r="CE640" s="5170"/>
      <c r="CF640" s="5170"/>
      <c r="CG640" s="5170"/>
      <c r="CH640" s="5170"/>
    </row>
    <row r="641" s="4972" customFormat="1" ht="61" customHeight="1" spans="1:86">
      <c r="A641" s="2680"/>
      <c r="B641" s="5814"/>
      <c r="C641" s="5815"/>
      <c r="D641" s="5055"/>
      <c r="E641" s="5053"/>
      <c r="F641" s="5053"/>
      <c r="G641" s="5149"/>
      <c r="H641" s="3662"/>
      <c r="I641" s="3662"/>
      <c r="J641" s="5053"/>
      <c r="K641" s="5149"/>
      <c r="L641" s="5053"/>
      <c r="M641" s="3662"/>
      <c r="N641" s="2680"/>
      <c r="O641" s="2680"/>
      <c r="P641" s="2680"/>
      <c r="Q641" s="2680"/>
      <c r="R641" s="2680"/>
      <c r="S641" s="2680"/>
      <c r="T641" s="2680"/>
      <c r="U641" s="2680"/>
      <c r="V641" s="2680"/>
      <c r="W641" s="2680"/>
      <c r="X641" s="2680"/>
      <c r="Y641" s="2680"/>
      <c r="Z641" s="2680"/>
      <c r="AA641" s="2680"/>
      <c r="AB641" s="2680"/>
      <c r="AC641" s="3662">
        <v>2</v>
      </c>
      <c r="AD641" s="5845" t="s">
        <v>1488</v>
      </c>
      <c r="AE641" s="5149">
        <v>0.3</v>
      </c>
      <c r="AF641" s="5815">
        <v>101134.887</v>
      </c>
      <c r="AG641" s="3684">
        <f t="shared" si="134"/>
        <v>101134.887</v>
      </c>
      <c r="AH641" s="3684" t="s">
        <v>122</v>
      </c>
      <c r="AI641" s="3684">
        <v>43909</v>
      </c>
      <c r="AJ641" s="3814">
        <v>101134.887</v>
      </c>
      <c r="AK641" s="3684">
        <v>43909</v>
      </c>
      <c r="AL641" s="3662">
        <v>101134.887</v>
      </c>
      <c r="AM641" s="3662">
        <v>43909</v>
      </c>
      <c r="AN641" s="3684">
        <f t="shared" si="135"/>
        <v>101134.887</v>
      </c>
      <c r="AO641" s="3684">
        <v>44195</v>
      </c>
      <c r="AP641" s="3684">
        <f t="shared" si="136"/>
        <v>0</v>
      </c>
      <c r="AQ641" s="5055"/>
      <c r="AR641" s="5055"/>
      <c r="AS641" s="5055"/>
      <c r="AT641" s="5127"/>
      <c r="AU641" s="3662"/>
      <c r="AV641" s="3662"/>
      <c r="AW641" s="3662"/>
      <c r="AX641" s="3662"/>
      <c r="AY641" s="3662"/>
      <c r="AZ641" s="3662"/>
      <c r="BA641" s="5148"/>
      <c r="BB641" s="5148"/>
      <c r="BC641" s="3684"/>
      <c r="BD641" s="5148"/>
      <c r="BE641" s="5148"/>
      <c r="BF641" s="5148"/>
      <c r="BG641" s="5148"/>
      <c r="BH641" s="5859">
        <v>101134.887</v>
      </c>
      <c r="BI641" s="5148"/>
      <c r="BJ641" s="5148"/>
      <c r="BK641" s="5148"/>
      <c r="BL641" s="5148"/>
      <c r="BM641" s="5148"/>
      <c r="BN641" s="3684"/>
      <c r="BO641" s="5127"/>
      <c r="BP641" s="5127"/>
      <c r="BQ641" s="5127"/>
      <c r="BR641" s="5127"/>
      <c r="BS641" s="5127"/>
      <c r="BT641" s="5127"/>
      <c r="BU641" s="5127"/>
      <c r="BV641" s="3684">
        <v>101134.887</v>
      </c>
      <c r="BW641" s="5127"/>
      <c r="BX641" s="5127"/>
      <c r="BY641" s="5127"/>
      <c r="BZ641" s="5127"/>
      <c r="CA641" s="5127"/>
      <c r="CB641" s="5522"/>
      <c r="CC641" s="3662"/>
      <c r="CD641" s="5053"/>
      <c r="CE641" s="5170"/>
      <c r="CF641" s="5170"/>
      <c r="CG641" s="5170"/>
      <c r="CH641" s="5170"/>
    </row>
    <row r="642" s="4972" customFormat="1" ht="61" customHeight="1" spans="1:86">
      <c r="A642" s="2680"/>
      <c r="B642" s="5814"/>
      <c r="C642" s="5815"/>
      <c r="D642" s="5055"/>
      <c r="E642" s="5053"/>
      <c r="F642" s="5053"/>
      <c r="G642" s="5149"/>
      <c r="H642" s="3662"/>
      <c r="I642" s="3662"/>
      <c r="J642" s="5053"/>
      <c r="K642" s="5149"/>
      <c r="L642" s="5053"/>
      <c r="M642" s="3662"/>
      <c r="N642" s="2680"/>
      <c r="O642" s="2680"/>
      <c r="P642" s="2680"/>
      <c r="Q642" s="2680"/>
      <c r="R642" s="2680"/>
      <c r="S642" s="2680"/>
      <c r="T642" s="2680"/>
      <c r="U642" s="2680"/>
      <c r="V642" s="2680"/>
      <c r="W642" s="2680"/>
      <c r="X642" s="2680"/>
      <c r="Y642" s="2680"/>
      <c r="Z642" s="2680"/>
      <c r="AA642" s="2680"/>
      <c r="AB642" s="2680"/>
      <c r="AC642" s="3662">
        <v>3</v>
      </c>
      <c r="AD642" s="5845" t="s">
        <v>1489</v>
      </c>
      <c r="AE642" s="5846">
        <v>0.5</v>
      </c>
      <c r="AF642" s="3814">
        <v>168558.145</v>
      </c>
      <c r="AG642" s="3684">
        <f t="shared" si="134"/>
        <v>168558.145</v>
      </c>
      <c r="AH642" s="5060" t="s">
        <v>122</v>
      </c>
      <c r="AI642" s="3684">
        <v>44119</v>
      </c>
      <c r="AJ642" s="3814">
        <v>168558.145</v>
      </c>
      <c r="AK642" s="3684">
        <v>44135</v>
      </c>
      <c r="AL642" s="3684">
        <v>168558.145</v>
      </c>
      <c r="AM642" s="3684">
        <v>44200</v>
      </c>
      <c r="AN642" s="3684">
        <f t="shared" si="135"/>
        <v>168558.145</v>
      </c>
      <c r="AO642" s="3684">
        <v>44231</v>
      </c>
      <c r="AP642" s="3684">
        <f t="shared" si="136"/>
        <v>0</v>
      </c>
      <c r="AQ642" s="5055"/>
      <c r="AR642" s="5055"/>
      <c r="AS642" s="5055"/>
      <c r="AT642" s="5127"/>
      <c r="AU642" s="3662"/>
      <c r="AV642" s="3662"/>
      <c r="AW642" s="3662"/>
      <c r="AX642" s="3662"/>
      <c r="AY642" s="3662"/>
      <c r="AZ642" s="3662"/>
      <c r="BA642" s="5148"/>
      <c r="BB642" s="5148"/>
      <c r="BC642" s="3684"/>
      <c r="BD642" s="5148"/>
      <c r="BE642" s="5148"/>
      <c r="BF642" s="5148"/>
      <c r="BG642" s="5148"/>
      <c r="BH642" s="5148">
        <v>168558.145</v>
      </c>
      <c r="BI642" s="5148"/>
      <c r="BJ642" s="5148"/>
      <c r="BK642" s="5148"/>
      <c r="BL642" s="5148"/>
      <c r="BM642" s="5148"/>
      <c r="BN642" s="3684"/>
      <c r="BO642" s="5148"/>
      <c r="BP642" s="5148"/>
      <c r="BQ642" s="5148"/>
      <c r="BR642" s="5148"/>
      <c r="BS642" s="5148"/>
      <c r="BT642" s="5148"/>
      <c r="BU642" s="5148"/>
      <c r="BV642" s="5148">
        <v>168558.145</v>
      </c>
      <c r="BW642" s="5148"/>
      <c r="BX642" s="5148"/>
      <c r="BY642" s="5148"/>
      <c r="BZ642" s="5148"/>
      <c r="CA642" s="5148"/>
      <c r="CB642" s="5162"/>
      <c r="CC642" s="3662"/>
      <c r="CD642" s="5053"/>
      <c r="CE642" s="5170"/>
      <c r="CF642" s="5170"/>
      <c r="CG642" s="5170"/>
      <c r="CH642" s="5170"/>
    </row>
    <row r="643" s="4965" customFormat="1" ht="51.75" customHeight="1" spans="1:86">
      <c r="A643" s="2680">
        <v>6</v>
      </c>
      <c r="B643" s="5813" t="s">
        <v>111</v>
      </c>
      <c r="C643" s="2713">
        <v>45809</v>
      </c>
      <c r="D643" s="1032" t="s">
        <v>1490</v>
      </c>
      <c r="E643" s="3742" t="s">
        <v>171</v>
      </c>
      <c r="F643" s="1032" t="s">
        <v>1491</v>
      </c>
      <c r="G643" s="1032" t="s">
        <v>1492</v>
      </c>
      <c r="H643" s="859" t="s">
        <v>240</v>
      </c>
      <c r="I643" s="5050" t="s">
        <v>1493</v>
      </c>
      <c r="J643" s="5079" t="s">
        <v>1470</v>
      </c>
      <c r="K643" s="1032"/>
      <c r="L643" s="5079"/>
      <c r="M643" s="2680">
        <f>SUM(N643:AA646)</f>
        <v>285000</v>
      </c>
      <c r="N643" s="2680">
        <v>0</v>
      </c>
      <c r="O643" s="2680">
        <v>0</v>
      </c>
      <c r="P643" s="2680">
        <v>0</v>
      </c>
      <c r="Q643" s="2680">
        <v>285000</v>
      </c>
      <c r="R643" s="2680">
        <v>0</v>
      </c>
      <c r="S643" s="2680">
        <v>0</v>
      </c>
      <c r="T643" s="859"/>
      <c r="U643" s="2680">
        <v>0</v>
      </c>
      <c r="V643" s="2680">
        <v>0</v>
      </c>
      <c r="W643" s="2680">
        <v>0</v>
      </c>
      <c r="X643" s="2680">
        <v>0</v>
      </c>
      <c r="Y643" s="2680"/>
      <c r="Z643" s="2680"/>
      <c r="AA643" s="2680">
        <v>0</v>
      </c>
      <c r="AB643" s="2680"/>
      <c r="AC643" s="2680">
        <v>1</v>
      </c>
      <c r="AD643" s="5241" t="s">
        <v>1494</v>
      </c>
      <c r="AE643" s="5818">
        <v>0.2</v>
      </c>
      <c r="AF643" s="2713">
        <f>M643*AE643</f>
        <v>57000</v>
      </c>
      <c r="AG643" s="3812">
        <f t="shared" si="134"/>
        <v>57000</v>
      </c>
      <c r="AH643" s="1035" t="s">
        <v>122</v>
      </c>
      <c r="AI643" s="859">
        <v>45889</v>
      </c>
      <c r="AJ643" s="2678">
        <v>57000</v>
      </c>
      <c r="AK643" s="2680">
        <v>45889</v>
      </c>
      <c r="AL643" s="2678">
        <v>57000</v>
      </c>
      <c r="AM643" s="2680">
        <v>45889</v>
      </c>
      <c r="AN643" s="3812">
        <f t="shared" si="135"/>
        <v>57000</v>
      </c>
      <c r="AO643" s="5880"/>
      <c r="AP643" s="3812">
        <f t="shared" si="136"/>
        <v>0</v>
      </c>
      <c r="AQ643" s="5079"/>
      <c r="AR643" s="2680"/>
      <c r="AS643" s="5857" t="s">
        <v>1474</v>
      </c>
      <c r="AT643" s="5331"/>
      <c r="AU643" s="2680">
        <f>SUM(AG643:AG646)</f>
        <v>285000</v>
      </c>
      <c r="AV643" s="2680">
        <f>SUM(AL643:AL646)</f>
        <v>285000</v>
      </c>
      <c r="AW643" s="2680">
        <f>SUM(AN643:AN646)</f>
        <v>285000</v>
      </c>
      <c r="AX643" s="2680">
        <f>M643-AU643</f>
        <v>0</v>
      </c>
      <c r="AY643" s="2680">
        <f>AU643-AV643</f>
        <v>0</v>
      </c>
      <c r="AZ643" s="2680">
        <f>AV643-AW643</f>
        <v>0</v>
      </c>
      <c r="BA643" s="5796"/>
      <c r="BB643" s="5796"/>
      <c r="BC643" s="2678"/>
      <c r="BD643" s="2678">
        <v>57000</v>
      </c>
      <c r="BE643" s="5796"/>
      <c r="BF643" s="5796"/>
      <c r="BG643" s="5796"/>
      <c r="BH643" s="2678"/>
      <c r="BI643" s="5796"/>
      <c r="BJ643" s="5796"/>
      <c r="BK643" s="5796"/>
      <c r="BL643" s="5796"/>
      <c r="BM643" s="5796"/>
      <c r="BN643" s="2678"/>
      <c r="BO643" s="5331"/>
      <c r="BP643" s="5331"/>
      <c r="BQ643" s="5331"/>
      <c r="BR643" s="2678">
        <v>57000</v>
      </c>
      <c r="BS643" s="5331"/>
      <c r="BT643" s="5331"/>
      <c r="BU643" s="5331"/>
      <c r="BV643" s="2680"/>
      <c r="BW643" s="5331"/>
      <c r="BX643" s="5331"/>
      <c r="BY643" s="5331"/>
      <c r="BZ643" s="5331"/>
      <c r="CA643" s="5331"/>
      <c r="CB643" s="5863"/>
      <c r="CC643" s="2680"/>
      <c r="CD643" s="2680"/>
      <c r="CE643" s="5169"/>
      <c r="CF643" s="5169"/>
      <c r="CG643" s="5169"/>
      <c r="CH643" s="5169"/>
    </row>
    <row r="644" s="4965" customFormat="1" ht="51.75" customHeight="1" spans="1:86">
      <c r="A644" s="2680"/>
      <c r="B644" s="5813"/>
      <c r="C644" s="2713"/>
      <c r="D644" s="3742"/>
      <c r="E644" s="3742"/>
      <c r="F644" s="3742"/>
      <c r="G644" s="5818"/>
      <c r="H644" s="2680"/>
      <c r="I644" s="5821"/>
      <c r="J644" s="5079"/>
      <c r="K644" s="5818"/>
      <c r="L644" s="5079"/>
      <c r="M644" s="2680"/>
      <c r="N644" s="2680"/>
      <c r="O644" s="2680"/>
      <c r="P644" s="2680"/>
      <c r="Q644" s="2680"/>
      <c r="R644" s="2680"/>
      <c r="S644" s="2680"/>
      <c r="T644" s="2680"/>
      <c r="U644" s="2680"/>
      <c r="V644" s="2680"/>
      <c r="W644" s="2680"/>
      <c r="X644" s="2680"/>
      <c r="Y644" s="2680"/>
      <c r="Z644" s="2680"/>
      <c r="AA644" s="2680"/>
      <c r="AB644" s="2680"/>
      <c r="AC644" s="2680">
        <v>2</v>
      </c>
      <c r="AD644" s="5241" t="s">
        <v>1495</v>
      </c>
      <c r="AE644" s="5818">
        <v>0.5</v>
      </c>
      <c r="AF644" s="2713">
        <f>M643*AE644</f>
        <v>142500</v>
      </c>
      <c r="AG644" s="3812">
        <f t="shared" si="134"/>
        <v>142500</v>
      </c>
      <c r="AH644" s="1035" t="s">
        <v>122</v>
      </c>
      <c r="AI644" s="859">
        <v>45889</v>
      </c>
      <c r="AJ644" s="2678">
        <v>142500</v>
      </c>
      <c r="AK644" s="2680">
        <v>45889</v>
      </c>
      <c r="AL644" s="2678">
        <v>142500</v>
      </c>
      <c r="AM644" s="2680">
        <v>45889</v>
      </c>
      <c r="AN644" s="3812">
        <f t="shared" si="135"/>
        <v>142500</v>
      </c>
      <c r="AO644" s="5880"/>
      <c r="AP644" s="3812">
        <f t="shared" si="136"/>
        <v>0</v>
      </c>
      <c r="AQ644" s="5079"/>
      <c r="AR644" s="2680"/>
      <c r="AS644" s="5079" t="s">
        <v>1477</v>
      </c>
      <c r="AT644" s="5331"/>
      <c r="AU644" s="2680"/>
      <c r="AV644" s="2680"/>
      <c r="AW644" s="2680"/>
      <c r="AX644" s="2680"/>
      <c r="AY644" s="2680"/>
      <c r="AZ644" s="2680"/>
      <c r="BA644" s="5796"/>
      <c r="BB644" s="5796"/>
      <c r="BC644" s="2678"/>
      <c r="BD644" s="2678">
        <v>142500</v>
      </c>
      <c r="BE644" s="5796"/>
      <c r="BF644" s="5796"/>
      <c r="BG644" s="5796"/>
      <c r="BH644" s="2678"/>
      <c r="BI644" s="5796"/>
      <c r="BJ644" s="5796"/>
      <c r="BK644" s="5796"/>
      <c r="BL644" s="5796"/>
      <c r="BM644" s="5796"/>
      <c r="BN644" s="2678"/>
      <c r="BO644" s="5331"/>
      <c r="BP644" s="5331"/>
      <c r="BQ644" s="5331"/>
      <c r="BR644" s="2678">
        <v>142500</v>
      </c>
      <c r="BS644" s="5331"/>
      <c r="BT644" s="5331"/>
      <c r="BU644" s="5331"/>
      <c r="BV644" s="2680"/>
      <c r="BW644" s="5331"/>
      <c r="BX644" s="5331"/>
      <c r="BY644" s="5331"/>
      <c r="BZ644" s="5331"/>
      <c r="CA644" s="5331"/>
      <c r="CB644" s="5863"/>
      <c r="CC644" s="2680"/>
      <c r="CD644" s="2680"/>
      <c r="CE644" s="5169"/>
      <c r="CF644" s="5169"/>
      <c r="CG644" s="5169"/>
      <c r="CH644" s="5169"/>
    </row>
    <row r="645" s="4965" customFormat="1" ht="51.75" customHeight="1" spans="1:86">
      <c r="A645" s="2680"/>
      <c r="B645" s="5813"/>
      <c r="C645" s="2713"/>
      <c r="D645" s="3742"/>
      <c r="E645" s="3742"/>
      <c r="F645" s="3742"/>
      <c r="G645" s="5818"/>
      <c r="H645" s="2680"/>
      <c r="I645" s="5821"/>
      <c r="J645" s="5079"/>
      <c r="K645" s="5818"/>
      <c r="L645" s="5079"/>
      <c r="M645" s="2680"/>
      <c r="N645" s="2680"/>
      <c r="O645" s="2680"/>
      <c r="P645" s="2680"/>
      <c r="Q645" s="2680"/>
      <c r="R645" s="2680"/>
      <c r="S645" s="2680"/>
      <c r="T645" s="2680"/>
      <c r="U645" s="2680"/>
      <c r="V645" s="2680"/>
      <c r="W645" s="2680"/>
      <c r="X645" s="2680"/>
      <c r="Y645" s="2680"/>
      <c r="Z645" s="2680"/>
      <c r="AA645" s="2680"/>
      <c r="AB645" s="2680"/>
      <c r="AC645" s="2680">
        <v>3</v>
      </c>
      <c r="AD645" s="5241" t="s">
        <v>1496</v>
      </c>
      <c r="AE645" s="5818">
        <v>0.2</v>
      </c>
      <c r="AF645" s="2713">
        <f>M643*AE645</f>
        <v>57000</v>
      </c>
      <c r="AG645" s="3812">
        <f t="shared" si="134"/>
        <v>57000</v>
      </c>
      <c r="AH645" s="1035" t="s">
        <v>122</v>
      </c>
      <c r="AI645" s="859">
        <v>45889</v>
      </c>
      <c r="AJ645" s="2678">
        <v>57000</v>
      </c>
      <c r="AK645" s="2680">
        <v>45889</v>
      </c>
      <c r="AL645" s="2678">
        <v>57000</v>
      </c>
      <c r="AM645" s="2680">
        <v>45889</v>
      </c>
      <c r="AN645" s="3812">
        <f t="shared" si="135"/>
        <v>57000</v>
      </c>
      <c r="AO645" s="5880"/>
      <c r="AP645" s="3812">
        <f t="shared" si="136"/>
        <v>0</v>
      </c>
      <c r="AQ645" s="5079"/>
      <c r="AR645" s="2680"/>
      <c r="AS645" s="1035" t="s">
        <v>1479</v>
      </c>
      <c r="AT645" s="5331"/>
      <c r="AU645" s="2680"/>
      <c r="AV645" s="2680"/>
      <c r="AW645" s="2680"/>
      <c r="AX645" s="2680"/>
      <c r="AY645" s="2680"/>
      <c r="AZ645" s="2680"/>
      <c r="BA645" s="5796"/>
      <c r="BB645" s="5796"/>
      <c r="BC645" s="2678"/>
      <c r="BD645" s="2678">
        <v>57000</v>
      </c>
      <c r="BE645" s="5796"/>
      <c r="BF645" s="5796"/>
      <c r="BG645" s="5796"/>
      <c r="BH645" s="5796"/>
      <c r="BI645" s="5796"/>
      <c r="BJ645" s="5796"/>
      <c r="BK645" s="5796"/>
      <c r="BL645" s="5796"/>
      <c r="BM645" s="5796"/>
      <c r="BN645" s="2678"/>
      <c r="BO645" s="5796"/>
      <c r="BP645" s="5796"/>
      <c r="BQ645" s="5796"/>
      <c r="BR645" s="2678">
        <v>57000</v>
      </c>
      <c r="BS645" s="5796"/>
      <c r="BT645" s="5796"/>
      <c r="BU645" s="5796"/>
      <c r="BV645" s="5796"/>
      <c r="BW645" s="5860"/>
      <c r="BX645" s="5860"/>
      <c r="BY645" s="5860"/>
      <c r="BZ645" s="5860"/>
      <c r="CA645" s="5860"/>
      <c r="CB645" s="5854"/>
      <c r="CC645" s="2680"/>
      <c r="CD645" s="2680"/>
      <c r="CE645" s="5169"/>
      <c r="CF645" s="5169"/>
      <c r="CG645" s="5169"/>
      <c r="CH645" s="5169"/>
    </row>
    <row r="646" s="4965" customFormat="1" ht="51.75" customHeight="1" spans="1:86">
      <c r="A646" s="2680"/>
      <c r="B646" s="5813"/>
      <c r="C646" s="2713"/>
      <c r="D646" s="3742"/>
      <c r="E646" s="3742"/>
      <c r="F646" s="3742"/>
      <c r="G646" s="5818"/>
      <c r="H646" s="2680"/>
      <c r="I646" s="5821"/>
      <c r="J646" s="5079"/>
      <c r="K646" s="5818"/>
      <c r="L646" s="5079"/>
      <c r="M646" s="2680"/>
      <c r="N646" s="2680"/>
      <c r="O646" s="2680"/>
      <c r="P646" s="2680"/>
      <c r="Q646" s="2680"/>
      <c r="R646" s="2680"/>
      <c r="S646" s="2680"/>
      <c r="T646" s="2680"/>
      <c r="U646" s="2680"/>
      <c r="V646" s="2680"/>
      <c r="W646" s="2680"/>
      <c r="X646" s="2680"/>
      <c r="Y646" s="2680"/>
      <c r="Z646" s="2680"/>
      <c r="AA646" s="2680"/>
      <c r="AB646" s="2680"/>
      <c r="AC646" s="2680">
        <v>4</v>
      </c>
      <c r="AD646" s="5241" t="s">
        <v>1497</v>
      </c>
      <c r="AE646" s="5818">
        <v>0.1</v>
      </c>
      <c r="AF646" s="2713">
        <f>M643*AE646</f>
        <v>28500</v>
      </c>
      <c r="AG646" s="5250">
        <f t="shared" si="134"/>
        <v>28500</v>
      </c>
      <c r="AH646" s="5879" t="s">
        <v>349</v>
      </c>
      <c r="AI646" s="5880">
        <v>46172</v>
      </c>
      <c r="AJ646" s="2678">
        <v>28500</v>
      </c>
      <c r="AK646" s="5880">
        <v>46172</v>
      </c>
      <c r="AL646" s="2678">
        <v>28500</v>
      </c>
      <c r="AM646" s="3925"/>
      <c r="AN646" s="3812">
        <f t="shared" si="135"/>
        <v>28500</v>
      </c>
      <c r="AO646" s="5880">
        <v>46233</v>
      </c>
      <c r="AP646" s="3812">
        <f t="shared" si="136"/>
        <v>0</v>
      </c>
      <c r="AQ646" s="5079"/>
      <c r="AR646" s="2680"/>
      <c r="AS646" s="5079"/>
      <c r="AT646" s="5331"/>
      <c r="AU646" s="2680"/>
      <c r="AV646" s="2680"/>
      <c r="AW646" s="2680"/>
      <c r="AX646" s="2680"/>
      <c r="AY646" s="2680"/>
      <c r="AZ646" s="2680"/>
      <c r="BA646" s="5796"/>
      <c r="BB646" s="5796"/>
      <c r="BC646" s="2678"/>
      <c r="BD646" s="2678">
        <v>28500</v>
      </c>
      <c r="BE646" s="5796"/>
      <c r="BF646" s="5796"/>
      <c r="BG646" s="5796"/>
      <c r="BH646" s="3912"/>
      <c r="BI646" s="5796"/>
      <c r="BJ646" s="5796"/>
      <c r="BK646" s="5796"/>
      <c r="BL646" s="5796"/>
      <c r="BM646" s="5796"/>
      <c r="BN646" s="2678"/>
      <c r="BO646" s="5860"/>
      <c r="BP646" s="5860"/>
      <c r="BQ646" s="5860"/>
      <c r="BR646" s="2678">
        <v>28500</v>
      </c>
      <c r="BS646" s="5860"/>
      <c r="BT646" s="5860"/>
      <c r="BU646" s="5860"/>
      <c r="BV646" s="5860"/>
      <c r="BW646" s="5860"/>
      <c r="BX646" s="5860"/>
      <c r="BY646" s="5860"/>
      <c r="BZ646" s="5860"/>
      <c r="CA646" s="5860"/>
      <c r="CB646" s="5854"/>
      <c r="CC646" s="2680"/>
      <c r="CD646" s="2680"/>
      <c r="CE646" s="5169"/>
      <c r="CF646" s="5169"/>
      <c r="CG646" s="5169"/>
      <c r="CH646" s="5169"/>
    </row>
    <row r="647" s="4965" customFormat="1" ht="40" customHeight="1" spans="1:86">
      <c r="A647" s="2680">
        <v>8</v>
      </c>
      <c r="B647" s="5813" t="s">
        <v>111</v>
      </c>
      <c r="C647" s="2713">
        <v>43873</v>
      </c>
      <c r="D647" s="3742" t="s">
        <v>1498</v>
      </c>
      <c r="E647" s="3742" t="s">
        <v>1499</v>
      </c>
      <c r="F647" s="3742" t="s">
        <v>1500</v>
      </c>
      <c r="G647" s="5818" t="s">
        <v>1501</v>
      </c>
      <c r="H647" s="2680" t="s">
        <v>31</v>
      </c>
      <c r="I647" s="5820"/>
      <c r="J647" s="5079" t="s">
        <v>1502</v>
      </c>
      <c r="K647" s="5818">
        <v>437701.78</v>
      </c>
      <c r="L647" s="5079" t="s">
        <v>1503</v>
      </c>
      <c r="M647" s="2680">
        <f>SUM(N647:AA650)</f>
        <v>1969658</v>
      </c>
      <c r="N647" s="2680">
        <v>0</v>
      </c>
      <c r="O647" s="2680">
        <v>0</v>
      </c>
      <c r="P647" s="2680">
        <v>0</v>
      </c>
      <c r="Q647" s="2680">
        <v>0</v>
      </c>
      <c r="R647" s="2680">
        <v>0</v>
      </c>
      <c r="S647" s="2680">
        <v>0</v>
      </c>
      <c r="T647" s="2680"/>
      <c r="U647" s="2680">
        <v>1969658</v>
      </c>
      <c r="V647" s="2680">
        <v>0</v>
      </c>
      <c r="W647" s="2680">
        <v>0</v>
      </c>
      <c r="X647" s="2680">
        <v>0</v>
      </c>
      <c r="Y647" s="2680"/>
      <c r="Z647" s="2680"/>
      <c r="AA647" s="2680">
        <v>0</v>
      </c>
      <c r="AB647" s="2680"/>
      <c r="AC647" s="2680">
        <v>1</v>
      </c>
      <c r="AD647" s="5842" t="s">
        <v>1504</v>
      </c>
      <c r="AE647" s="5870">
        <v>0.2</v>
      </c>
      <c r="AF647" s="2713">
        <v>393931.6</v>
      </c>
      <c r="AG647" s="3812">
        <f t="shared" si="134"/>
        <v>393931.6</v>
      </c>
      <c r="AH647" s="2680" t="s">
        <v>206</v>
      </c>
      <c r="AI647" s="2680">
        <v>43915</v>
      </c>
      <c r="AJ647" s="2680" t="s">
        <v>171</v>
      </c>
      <c r="AK647" s="2680" t="s">
        <v>171</v>
      </c>
      <c r="AL647" s="2680">
        <v>393931.6</v>
      </c>
      <c r="AM647" s="2680">
        <v>43915</v>
      </c>
      <c r="AN647" s="3812">
        <f t="shared" si="135"/>
        <v>393931.6</v>
      </c>
      <c r="AO647" s="2678">
        <v>44033</v>
      </c>
      <c r="AP647" s="3812">
        <f t="shared" si="136"/>
        <v>0</v>
      </c>
      <c r="AQ647" s="5887"/>
      <c r="AR647" s="2680"/>
      <c r="AS647" s="5685" t="s">
        <v>1505</v>
      </c>
      <c r="AT647" s="5331"/>
      <c r="AU647" s="2680">
        <f>SUM(AG647:AG650)</f>
        <v>1969658</v>
      </c>
      <c r="AV647" s="2680">
        <f>SUM(AL647:AL650)</f>
        <v>1391613.97</v>
      </c>
      <c r="AW647" s="2680">
        <f>SUM(AN647:AN650)</f>
        <v>1969658</v>
      </c>
      <c r="AX647" s="2680">
        <f>M647-AU647</f>
        <v>0</v>
      </c>
      <c r="AY647" s="2680">
        <f>AU647-AV647</f>
        <v>578044.03</v>
      </c>
      <c r="AZ647" s="2680">
        <f>AV647-AW647</f>
        <v>-578044.03</v>
      </c>
      <c r="BA647" s="5796"/>
      <c r="BB647" s="5796"/>
      <c r="BC647" s="2678"/>
      <c r="BD647" s="5796"/>
      <c r="BE647" s="5796"/>
      <c r="BF647" s="5796"/>
      <c r="BG647" s="5796"/>
      <c r="BH647" s="5152">
        <v>393931.6</v>
      </c>
      <c r="BI647" s="5796"/>
      <c r="BJ647" s="5796"/>
      <c r="BK647" s="5796"/>
      <c r="BL647" s="5796"/>
      <c r="BM647" s="5796"/>
      <c r="BN647" s="2678"/>
      <c r="BO647" s="5331"/>
      <c r="BP647" s="5331"/>
      <c r="BQ647" s="5331"/>
      <c r="BR647" s="5331"/>
      <c r="BS647" s="5331"/>
      <c r="BT647" s="5331"/>
      <c r="BU647" s="5331"/>
      <c r="BV647" s="5796">
        <v>393931.6</v>
      </c>
      <c r="BW647" s="5331"/>
      <c r="BX647" s="5331"/>
      <c r="BY647" s="5331"/>
      <c r="BZ647" s="5331"/>
      <c r="CA647" s="5331"/>
      <c r="CB647" s="5863"/>
      <c r="CC647" s="2680" t="s">
        <v>166</v>
      </c>
      <c r="CD647" s="5079" t="s">
        <v>154</v>
      </c>
      <c r="CE647" s="5169"/>
      <c r="CF647" s="5169"/>
      <c r="CG647" s="5169"/>
      <c r="CH647" s="5169"/>
    </row>
    <row r="648" s="4965" customFormat="1" ht="40" customHeight="1" spans="1:86">
      <c r="A648" s="2680"/>
      <c r="B648" s="5813"/>
      <c r="C648" s="2713"/>
      <c r="D648" s="3742"/>
      <c r="E648" s="3742"/>
      <c r="F648" s="3742"/>
      <c r="G648" s="5818"/>
      <c r="H648" s="2680"/>
      <c r="I648" s="5821"/>
      <c r="J648" s="5079"/>
      <c r="K648" s="5818"/>
      <c r="L648" s="5079"/>
      <c r="M648" s="2680"/>
      <c r="N648" s="2680"/>
      <c r="O648" s="2680"/>
      <c r="P648" s="2680"/>
      <c r="Q648" s="2680"/>
      <c r="R648" s="2680"/>
      <c r="S648" s="2680"/>
      <c r="T648" s="2680"/>
      <c r="U648" s="2680"/>
      <c r="V648" s="2680"/>
      <c r="W648" s="2680"/>
      <c r="X648" s="2680"/>
      <c r="Y648" s="2680"/>
      <c r="Z648" s="2680"/>
      <c r="AA648" s="2680"/>
      <c r="AB648" s="2680"/>
      <c r="AC648" s="2680">
        <v>2</v>
      </c>
      <c r="AD648" s="5842" t="s">
        <v>1506</v>
      </c>
      <c r="AE648" s="5818">
        <v>0.3</v>
      </c>
      <c r="AF648" s="2713">
        <v>590897.4</v>
      </c>
      <c r="AG648" s="3812">
        <f t="shared" si="134"/>
        <v>590897.4</v>
      </c>
      <c r="AH648" s="5667" t="s">
        <v>206</v>
      </c>
      <c r="AI648" s="2678">
        <v>44082</v>
      </c>
      <c r="AJ648" s="2678">
        <v>590897.4</v>
      </c>
      <c r="AK648" s="2678">
        <v>44082</v>
      </c>
      <c r="AL648" s="2678">
        <v>590897.4</v>
      </c>
      <c r="AM648" s="2678">
        <v>44082</v>
      </c>
      <c r="AN648" s="3812">
        <f t="shared" si="135"/>
        <v>590897.4</v>
      </c>
      <c r="AO648" s="2678">
        <v>44144</v>
      </c>
      <c r="AP648" s="3812">
        <f t="shared" si="136"/>
        <v>0</v>
      </c>
      <c r="AQ648" s="5331"/>
      <c r="AR648" s="2680"/>
      <c r="AS648" s="5894" t="s">
        <v>1507</v>
      </c>
      <c r="AT648" s="5331"/>
      <c r="AU648" s="2680"/>
      <c r="AV648" s="2680"/>
      <c r="AW648" s="2680"/>
      <c r="AX648" s="2680"/>
      <c r="AY648" s="2680"/>
      <c r="AZ648" s="2680"/>
      <c r="BA648" s="5796"/>
      <c r="BB648" s="5796"/>
      <c r="BC648" s="2678"/>
      <c r="BD648" s="5796"/>
      <c r="BE648" s="5796"/>
      <c r="BF648" s="5796"/>
      <c r="BG648" s="5796"/>
      <c r="BH648" s="5796">
        <v>590897.4</v>
      </c>
      <c r="BI648" s="5796"/>
      <c r="BJ648" s="5796"/>
      <c r="BK648" s="5796"/>
      <c r="BL648" s="5796"/>
      <c r="BM648" s="5796"/>
      <c r="BN648" s="2678"/>
      <c r="BO648" s="5331"/>
      <c r="BP648" s="5331"/>
      <c r="BQ648" s="5331"/>
      <c r="BR648" s="5331"/>
      <c r="BS648" s="5331"/>
      <c r="BT648" s="5331"/>
      <c r="BU648" s="5331"/>
      <c r="BV648" s="5331">
        <v>590897.4</v>
      </c>
      <c r="BW648" s="5331"/>
      <c r="BX648" s="5331"/>
      <c r="BY648" s="5331"/>
      <c r="BZ648" s="5331"/>
      <c r="CA648" s="5331"/>
      <c r="CB648" s="5331"/>
      <c r="CC648" s="2680"/>
      <c r="CD648" s="5079"/>
      <c r="CE648" s="5169"/>
      <c r="CF648" s="5169"/>
      <c r="CG648" s="5169"/>
      <c r="CH648" s="5169"/>
    </row>
    <row r="649" s="4965" customFormat="1" ht="40" customHeight="1" spans="1:86">
      <c r="A649" s="2680"/>
      <c r="B649" s="5813"/>
      <c r="C649" s="2713"/>
      <c r="D649" s="3742"/>
      <c r="E649" s="3742"/>
      <c r="F649" s="3742"/>
      <c r="G649" s="5818"/>
      <c r="H649" s="2680"/>
      <c r="I649" s="5821"/>
      <c r="J649" s="5079"/>
      <c r="K649" s="5818"/>
      <c r="L649" s="5079"/>
      <c r="M649" s="2680"/>
      <c r="N649" s="2680"/>
      <c r="O649" s="2680"/>
      <c r="P649" s="2680"/>
      <c r="Q649" s="2680"/>
      <c r="R649" s="2680"/>
      <c r="S649" s="2680"/>
      <c r="T649" s="2680"/>
      <c r="U649" s="2680"/>
      <c r="V649" s="2680"/>
      <c r="W649" s="2680"/>
      <c r="X649" s="2680"/>
      <c r="Y649" s="2680"/>
      <c r="Z649" s="2680"/>
      <c r="AA649" s="2680"/>
      <c r="AB649" s="2680"/>
      <c r="AC649" s="2680">
        <v>3</v>
      </c>
      <c r="AD649" s="1032" t="s">
        <v>1508</v>
      </c>
      <c r="AE649" s="5870">
        <v>0.5</v>
      </c>
      <c r="AF649" s="2713">
        <v>984829</v>
      </c>
      <c r="AG649" s="3812">
        <f t="shared" si="134"/>
        <v>406784.97</v>
      </c>
      <c r="AH649" s="2678" t="s">
        <v>122</v>
      </c>
      <c r="AI649" s="2678">
        <v>44410</v>
      </c>
      <c r="AJ649" s="2678">
        <v>406784.97</v>
      </c>
      <c r="AK649" s="2678">
        <v>44410</v>
      </c>
      <c r="AL649" s="2678">
        <v>406784.97</v>
      </c>
      <c r="AM649" s="2678">
        <v>44411</v>
      </c>
      <c r="AN649" s="3812">
        <f t="shared" si="135"/>
        <v>406784.97</v>
      </c>
      <c r="AO649" s="2678">
        <v>44467</v>
      </c>
      <c r="AP649" s="3812">
        <f t="shared" si="136"/>
        <v>0</v>
      </c>
      <c r="AQ649" s="5331"/>
      <c r="AR649" s="2680"/>
      <c r="AS649" s="5894"/>
      <c r="AT649" s="5331"/>
      <c r="AU649" s="2680"/>
      <c r="AV649" s="2680"/>
      <c r="AW649" s="2680"/>
      <c r="AX649" s="2680"/>
      <c r="AY649" s="2680"/>
      <c r="AZ649" s="2680"/>
      <c r="BA649" s="5796"/>
      <c r="BB649" s="5796"/>
      <c r="BC649" s="2678"/>
      <c r="BD649" s="5796"/>
      <c r="BE649" s="5796"/>
      <c r="BF649" s="5796"/>
      <c r="BG649" s="5796"/>
      <c r="BH649" s="2678">
        <v>406784.97</v>
      </c>
      <c r="BI649" s="5796"/>
      <c r="BJ649" s="5796"/>
      <c r="BK649" s="5796"/>
      <c r="BL649" s="5796"/>
      <c r="BM649" s="5796"/>
      <c r="BN649" s="2678"/>
      <c r="BO649" s="5331"/>
      <c r="BP649" s="5331"/>
      <c r="BQ649" s="5331"/>
      <c r="BR649" s="5331"/>
      <c r="BS649" s="5331"/>
      <c r="BT649" s="5331"/>
      <c r="BU649" s="5331"/>
      <c r="BV649" s="5331">
        <v>406784.97</v>
      </c>
      <c r="BW649" s="5331"/>
      <c r="BX649" s="5331"/>
      <c r="BY649" s="5331"/>
      <c r="BZ649" s="5331"/>
      <c r="CA649" s="5331"/>
      <c r="CB649" s="5331"/>
      <c r="CC649" s="2680"/>
      <c r="CD649" s="5079"/>
      <c r="CE649" s="5169"/>
      <c r="CF649" s="5169"/>
      <c r="CG649" s="5169"/>
      <c r="CH649" s="5169"/>
    </row>
    <row r="650" s="4965" customFormat="1" ht="40" customHeight="1" spans="1:86">
      <c r="A650" s="2680"/>
      <c r="B650" s="5813"/>
      <c r="C650" s="2713"/>
      <c r="D650" s="3742"/>
      <c r="E650" s="3742"/>
      <c r="F650" s="3742"/>
      <c r="G650" s="5818"/>
      <c r="H650" s="2680"/>
      <c r="I650" s="5822"/>
      <c r="J650" s="5079"/>
      <c r="K650" s="5818"/>
      <c r="L650" s="5079"/>
      <c r="M650" s="2680"/>
      <c r="N650" s="2680"/>
      <c r="O650" s="2680"/>
      <c r="P650" s="2680"/>
      <c r="Q650" s="2680"/>
      <c r="R650" s="2680"/>
      <c r="S650" s="2680"/>
      <c r="T650" s="2680"/>
      <c r="U650" s="2680"/>
      <c r="V650" s="2680"/>
      <c r="W650" s="2680"/>
      <c r="X650" s="2680"/>
      <c r="Y650" s="2680"/>
      <c r="Z650" s="2680"/>
      <c r="AA650" s="2680"/>
      <c r="AB650" s="2680"/>
      <c r="AC650" s="2680"/>
      <c r="AD650" s="5842"/>
      <c r="AE650" s="5870"/>
      <c r="AF650" s="2713"/>
      <c r="AG650" s="3812">
        <f t="shared" si="134"/>
        <v>578044.03</v>
      </c>
      <c r="AH650" s="2678" t="s">
        <v>122</v>
      </c>
      <c r="AI650" s="2678">
        <v>44545</v>
      </c>
      <c r="AJ650" s="2678">
        <v>578044.03</v>
      </c>
      <c r="AK650" s="2678">
        <v>44545</v>
      </c>
      <c r="AL650" s="2680"/>
      <c r="AM650" s="2680"/>
      <c r="AN650" s="3812">
        <f t="shared" si="135"/>
        <v>578044.03</v>
      </c>
      <c r="AO650" s="3932"/>
      <c r="AP650" s="3812">
        <f t="shared" si="136"/>
        <v>0</v>
      </c>
      <c r="AQ650" s="5888" t="s">
        <v>1509</v>
      </c>
      <c r="AR650" s="2680"/>
      <c r="AS650" s="5857"/>
      <c r="AT650" s="5331"/>
      <c r="AU650" s="2680"/>
      <c r="AV650" s="2680"/>
      <c r="AW650" s="2680"/>
      <c r="AX650" s="2680"/>
      <c r="AY650" s="2680"/>
      <c r="AZ650" s="2680"/>
      <c r="BA650" s="5796"/>
      <c r="BB650" s="5796"/>
      <c r="BC650" s="2678"/>
      <c r="BD650" s="5796"/>
      <c r="BE650" s="5796"/>
      <c r="BF650" s="5796"/>
      <c r="BG650" s="5796"/>
      <c r="BH650" s="2678">
        <v>578044.03</v>
      </c>
      <c r="BI650" s="5796"/>
      <c r="BJ650" s="5796"/>
      <c r="BK650" s="5796"/>
      <c r="BL650" s="5796"/>
      <c r="BM650" s="5796"/>
      <c r="BN650" s="2678"/>
      <c r="BO650" s="5331"/>
      <c r="BP650" s="5331"/>
      <c r="BQ650" s="5331"/>
      <c r="BR650" s="5331"/>
      <c r="BS650" s="5331"/>
      <c r="BT650" s="5331"/>
      <c r="BU650" s="5331"/>
      <c r="BV650" s="5331">
        <v>578044.03</v>
      </c>
      <c r="BW650" s="5331"/>
      <c r="BX650" s="5331"/>
      <c r="BY650" s="5331"/>
      <c r="BZ650" s="5331"/>
      <c r="CA650" s="5331"/>
      <c r="CB650" s="5331"/>
      <c r="CC650" s="2680"/>
      <c r="CD650" s="5079"/>
      <c r="CE650" s="5169"/>
      <c r="CF650" s="5169"/>
      <c r="CG650" s="5169"/>
      <c r="CH650" s="5169"/>
    </row>
    <row r="651" s="4975" customFormat="1" ht="61" customHeight="1" spans="1:86">
      <c r="A651" s="2680">
        <v>9</v>
      </c>
      <c r="B651" s="5866" t="s">
        <v>111</v>
      </c>
      <c r="C651" s="2844">
        <v>43369</v>
      </c>
      <c r="D651" s="5316" t="s">
        <v>1510</v>
      </c>
      <c r="E651" s="5317" t="s">
        <v>171</v>
      </c>
      <c r="F651" s="5317" t="s">
        <v>1511</v>
      </c>
      <c r="G651" s="5867" t="s">
        <v>1512</v>
      </c>
      <c r="H651" s="2824" t="s">
        <v>286</v>
      </c>
      <c r="I651" s="2824"/>
      <c r="J651" s="5317" t="s">
        <v>1426</v>
      </c>
      <c r="K651" s="5867" t="s">
        <v>171</v>
      </c>
      <c r="L651" s="5317" t="s">
        <v>1513</v>
      </c>
      <c r="M651" s="2824">
        <f>SUM(N651:AA651)</f>
        <v>100000</v>
      </c>
      <c r="N651" s="2680">
        <v>0</v>
      </c>
      <c r="O651" s="2680">
        <v>0</v>
      </c>
      <c r="P651" s="2680">
        <v>0</v>
      </c>
      <c r="Q651" s="2680">
        <v>100000</v>
      </c>
      <c r="R651" s="2680">
        <v>0</v>
      </c>
      <c r="S651" s="2680">
        <v>0</v>
      </c>
      <c r="T651" s="2680"/>
      <c r="U651" s="2680">
        <v>0</v>
      </c>
      <c r="V651" s="2680">
        <v>0</v>
      </c>
      <c r="W651" s="2680">
        <v>0</v>
      </c>
      <c r="X651" s="2680"/>
      <c r="Y651" s="2680"/>
      <c r="Z651" s="2680"/>
      <c r="AA651" s="2680">
        <v>0</v>
      </c>
      <c r="AB651" s="2680"/>
      <c r="AC651" s="2824">
        <v>1</v>
      </c>
      <c r="AD651" s="5843" t="s">
        <v>1514</v>
      </c>
      <c r="AE651" s="5871">
        <v>1</v>
      </c>
      <c r="AF651" s="2844">
        <v>100000</v>
      </c>
      <c r="AG651" s="5347">
        <f t="shared" si="134"/>
        <v>100000</v>
      </c>
      <c r="AH651" s="2824" t="s">
        <v>206</v>
      </c>
      <c r="AI651" s="2824">
        <v>43709</v>
      </c>
      <c r="AJ651" s="2824" t="s">
        <v>171</v>
      </c>
      <c r="AK651" s="2824" t="s">
        <v>171</v>
      </c>
      <c r="AL651" s="2824">
        <v>100000</v>
      </c>
      <c r="AM651" s="2824">
        <v>43709</v>
      </c>
      <c r="AN651" s="5347">
        <f t="shared" si="135"/>
        <v>100000</v>
      </c>
      <c r="AO651" s="5347">
        <v>43829</v>
      </c>
      <c r="AP651" s="5347">
        <f t="shared" si="136"/>
        <v>0</v>
      </c>
      <c r="AQ651" s="5361"/>
      <c r="AR651" s="2824"/>
      <c r="AS651" s="5895" t="s">
        <v>1465</v>
      </c>
      <c r="AT651" s="5356"/>
      <c r="AU651" s="2680">
        <f>SUM(AG651)</f>
        <v>100000</v>
      </c>
      <c r="AV651" s="2680">
        <f>SUM(AL651)</f>
        <v>100000</v>
      </c>
      <c r="AW651" s="2680">
        <f>SUM(AN651)</f>
        <v>100000</v>
      </c>
      <c r="AX651" s="2680">
        <f>M651-AU651</f>
        <v>0</v>
      </c>
      <c r="AY651" s="2680">
        <f>AU651-AV651</f>
        <v>0</v>
      </c>
      <c r="AZ651" s="2680">
        <f>AV651-AW651</f>
        <v>0</v>
      </c>
      <c r="BA651" s="5363"/>
      <c r="BB651" s="5363"/>
      <c r="BC651" s="5347"/>
      <c r="BD651" s="5363">
        <v>100000</v>
      </c>
      <c r="BE651" s="5363"/>
      <c r="BF651" s="5363"/>
      <c r="BG651" s="5363"/>
      <c r="BH651" s="5903"/>
      <c r="BI651" s="5363"/>
      <c r="BJ651" s="5363"/>
      <c r="BK651" s="5363"/>
      <c r="BL651" s="5363"/>
      <c r="BM651" s="5363"/>
      <c r="BN651" s="5347"/>
      <c r="BO651" s="5356"/>
      <c r="BP651" s="5356"/>
      <c r="BQ651" s="5356"/>
      <c r="BR651" s="5356">
        <v>100000</v>
      </c>
      <c r="BS651" s="5356"/>
      <c r="BT651" s="5356"/>
      <c r="BU651" s="5356"/>
      <c r="BV651" s="5508"/>
      <c r="BW651" s="5356"/>
      <c r="BX651" s="5356"/>
      <c r="BY651" s="5356"/>
      <c r="BZ651" s="5356"/>
      <c r="CA651" s="5356"/>
      <c r="CB651" s="5865"/>
      <c r="CC651" s="2824"/>
      <c r="CD651" s="2824"/>
      <c r="CE651" s="5366"/>
      <c r="CF651" s="5366"/>
      <c r="CG651" s="5366"/>
      <c r="CH651" s="5366"/>
    </row>
    <row r="652" s="4965" customFormat="1" ht="50" customHeight="1" spans="1:86">
      <c r="A652" s="2680">
        <v>10</v>
      </c>
      <c r="B652" s="5813" t="s">
        <v>111</v>
      </c>
      <c r="C652" s="2713">
        <v>44050</v>
      </c>
      <c r="D652" s="3742" t="s">
        <v>1515</v>
      </c>
      <c r="E652" s="3742" t="s">
        <v>1516</v>
      </c>
      <c r="F652" s="3742" t="s">
        <v>1517</v>
      </c>
      <c r="G652" s="5818" t="s">
        <v>1518</v>
      </c>
      <c r="H652" s="2680" t="s">
        <v>193</v>
      </c>
      <c r="I652" s="5050" t="s">
        <v>1519</v>
      </c>
      <c r="J652" s="5079" t="s">
        <v>1520</v>
      </c>
      <c r="K652" s="5818">
        <v>111572.6</v>
      </c>
      <c r="L652" s="5079" t="s">
        <v>1521</v>
      </c>
      <c r="M652" s="2680">
        <f>SUM(N652:AA657)</f>
        <v>836794.5</v>
      </c>
      <c r="N652" s="2680">
        <v>0</v>
      </c>
      <c r="O652" s="2680">
        <v>0</v>
      </c>
      <c r="P652" s="2680">
        <v>0</v>
      </c>
      <c r="Q652" s="2680">
        <v>0</v>
      </c>
      <c r="R652" s="2680">
        <v>0</v>
      </c>
      <c r="S652" s="2680">
        <v>0</v>
      </c>
      <c r="T652" s="2680"/>
      <c r="U652" s="2680">
        <v>0</v>
      </c>
      <c r="V652" s="2680">
        <v>836794.5</v>
      </c>
      <c r="W652" s="2680">
        <v>0</v>
      </c>
      <c r="X652" s="2680">
        <v>0</v>
      </c>
      <c r="Y652" s="2680"/>
      <c r="Z652" s="2680"/>
      <c r="AA652" s="2680">
        <v>0</v>
      </c>
      <c r="AB652" s="2680">
        <v>0</v>
      </c>
      <c r="AC652" s="2680">
        <v>1</v>
      </c>
      <c r="AD652" s="5842" t="s">
        <v>1522</v>
      </c>
      <c r="AE652" s="5870">
        <v>0.15</v>
      </c>
      <c r="AF652" s="2713">
        <f>M652*AE652</f>
        <v>125519.175</v>
      </c>
      <c r="AG652" s="5349">
        <f>SUM(BA652:BN653)</f>
        <v>292878.08</v>
      </c>
      <c r="AH652" s="2678" t="s">
        <v>206</v>
      </c>
      <c r="AI652" s="2678">
        <v>44070</v>
      </c>
      <c r="AJ652" s="2678">
        <v>292878.08</v>
      </c>
      <c r="AK652" s="2678">
        <v>44070</v>
      </c>
      <c r="AL652" s="2678">
        <v>292878.08</v>
      </c>
      <c r="AM652" s="2678">
        <v>44070</v>
      </c>
      <c r="AN652" s="3812">
        <f>SUM(BO652:CB653)</f>
        <v>292878.08</v>
      </c>
      <c r="AO652" s="2678">
        <v>44222</v>
      </c>
      <c r="AP652" s="3812">
        <f>AG652-AL652</f>
        <v>0</v>
      </c>
      <c r="AQ652" s="5079"/>
      <c r="AR652" s="2680"/>
      <c r="AS652" s="5685"/>
      <c r="AT652" s="5331"/>
      <c r="AU652" s="2680">
        <f>SUM(AG652:AG657)</f>
        <v>836794.505</v>
      </c>
      <c r="AV652" s="2680">
        <f>SUM(AL652:AL657)</f>
        <v>794954.78</v>
      </c>
      <c r="AW652" s="2680">
        <f>SUM(AN652:AN657)</f>
        <v>794916.43</v>
      </c>
      <c r="AX652" s="2680">
        <f>M652-AU652</f>
        <v>-0.00500000000465661</v>
      </c>
      <c r="AY652" s="2680">
        <f>AU652-AV652</f>
        <v>41839.725</v>
      </c>
      <c r="AZ652" s="2680">
        <f>AV652-AW652</f>
        <v>38.3499999998603</v>
      </c>
      <c r="BA652" s="5796"/>
      <c r="BB652" s="5796"/>
      <c r="BC652" s="2678"/>
      <c r="BD652" s="5796"/>
      <c r="BE652" s="5796"/>
      <c r="BF652" s="5796"/>
      <c r="BG652" s="5796"/>
      <c r="BH652" s="5152"/>
      <c r="BI652" s="2678">
        <v>292878.08</v>
      </c>
      <c r="BJ652" s="5796"/>
      <c r="BK652" s="5796"/>
      <c r="BL652" s="5796"/>
      <c r="BM652" s="5796"/>
      <c r="BN652" s="2678"/>
      <c r="BO652" s="5796"/>
      <c r="BP652" s="5796"/>
      <c r="BQ652" s="5796"/>
      <c r="BR652" s="5796"/>
      <c r="BS652" s="5796"/>
      <c r="BT652" s="5796"/>
      <c r="BU652" s="5796"/>
      <c r="BV652" s="5796"/>
      <c r="BW652" s="2678">
        <v>292878.08</v>
      </c>
      <c r="BX652" s="5796"/>
      <c r="BY652" s="5796"/>
      <c r="BZ652" s="5796"/>
      <c r="CA652" s="5796"/>
      <c r="CB652" s="5733"/>
      <c r="CC652" s="2680"/>
      <c r="CD652" s="2680"/>
      <c r="CE652" s="5169"/>
      <c r="CF652" s="5169"/>
      <c r="CG652" s="5169"/>
      <c r="CH652" s="5169"/>
    </row>
    <row r="653" s="4965" customFormat="1" ht="50" customHeight="1" spans="1:86">
      <c r="A653" s="2680"/>
      <c r="B653" s="5813"/>
      <c r="C653" s="2713"/>
      <c r="D653" s="3742"/>
      <c r="E653" s="3742"/>
      <c r="F653" s="3742"/>
      <c r="G653" s="5818"/>
      <c r="H653" s="2680"/>
      <c r="I653" s="5821"/>
      <c r="J653" s="5079"/>
      <c r="K653" s="5818"/>
      <c r="L653" s="5079"/>
      <c r="M653" s="2680"/>
      <c r="N653" s="2680"/>
      <c r="O653" s="2680"/>
      <c r="P653" s="2680"/>
      <c r="Q653" s="2680"/>
      <c r="R653" s="2680"/>
      <c r="S653" s="2680"/>
      <c r="T653" s="2680"/>
      <c r="U653" s="2680"/>
      <c r="V653" s="2680"/>
      <c r="W653" s="2680"/>
      <c r="X653" s="2680"/>
      <c r="Y653" s="2680"/>
      <c r="Z653" s="2680"/>
      <c r="AA653" s="2680"/>
      <c r="AB653" s="2680"/>
      <c r="AC653" s="2680">
        <v>2</v>
      </c>
      <c r="AD653" s="5842" t="s">
        <v>1523</v>
      </c>
      <c r="AE653" s="5818">
        <v>0.2</v>
      </c>
      <c r="AF653" s="2713">
        <f>M652*AE653</f>
        <v>167358.9</v>
      </c>
      <c r="AG653" s="5349"/>
      <c r="AH653" s="2678"/>
      <c r="AI653" s="2678"/>
      <c r="AJ653" s="2678"/>
      <c r="AK653" s="2678"/>
      <c r="AL653" s="2678"/>
      <c r="AM653" s="2678"/>
      <c r="AN653" s="3812"/>
      <c r="AO653" s="2678"/>
      <c r="AP653" s="3812">
        <f>AG653-AL653</f>
        <v>0</v>
      </c>
      <c r="AQ653" s="5079"/>
      <c r="AR653" s="2680"/>
      <c r="AS653" s="5894"/>
      <c r="AT653" s="5331"/>
      <c r="AU653" s="2680"/>
      <c r="AV653" s="2680"/>
      <c r="AW653" s="2680"/>
      <c r="AX653" s="2680"/>
      <c r="AY653" s="2680"/>
      <c r="AZ653" s="2680"/>
      <c r="BA653" s="5796"/>
      <c r="BB653" s="5796"/>
      <c r="BC653" s="2678"/>
      <c r="BD653" s="5796"/>
      <c r="BE653" s="5796"/>
      <c r="BF653" s="5796"/>
      <c r="BG653" s="5796"/>
      <c r="BH653" s="5796"/>
      <c r="BI653" s="2678"/>
      <c r="BJ653" s="5796"/>
      <c r="BK653" s="5796"/>
      <c r="BL653" s="5796"/>
      <c r="BM653" s="5796"/>
      <c r="BN653" s="2678"/>
      <c r="BO653" s="5796"/>
      <c r="BP653" s="5796"/>
      <c r="BQ653" s="5796"/>
      <c r="BR653" s="5796"/>
      <c r="BS653" s="5796"/>
      <c r="BT653" s="5796"/>
      <c r="BU653" s="5796"/>
      <c r="BV653" s="5796"/>
      <c r="BW653" s="2678"/>
      <c r="BX653" s="5796"/>
      <c r="BY653" s="5796"/>
      <c r="BZ653" s="5796"/>
      <c r="CA653" s="5796"/>
      <c r="CB653" s="5796"/>
      <c r="CC653" s="2680"/>
      <c r="CD653" s="2680"/>
      <c r="CE653" s="5169"/>
      <c r="CF653" s="5169"/>
      <c r="CG653" s="5169"/>
      <c r="CH653" s="5169"/>
    </row>
    <row r="654" s="4965" customFormat="1" ht="50" customHeight="1" spans="1:86">
      <c r="A654" s="2680"/>
      <c r="B654" s="5813"/>
      <c r="C654" s="2713"/>
      <c r="D654" s="3742"/>
      <c r="E654" s="3742"/>
      <c r="F654" s="3742"/>
      <c r="G654" s="5818"/>
      <c r="H654" s="2680"/>
      <c r="I654" s="5821"/>
      <c r="J654" s="5079"/>
      <c r="K654" s="5818"/>
      <c r="L654" s="5079"/>
      <c r="M654" s="2680"/>
      <c r="N654" s="2680"/>
      <c r="O654" s="2680"/>
      <c r="P654" s="2680"/>
      <c r="Q654" s="2680"/>
      <c r="R654" s="2680"/>
      <c r="S654" s="2680"/>
      <c r="T654" s="2680"/>
      <c r="U654" s="2680"/>
      <c r="V654" s="2680"/>
      <c r="W654" s="2680"/>
      <c r="X654" s="2680"/>
      <c r="Y654" s="2680"/>
      <c r="Z654" s="2680"/>
      <c r="AA654" s="2680"/>
      <c r="AB654" s="2680"/>
      <c r="AC654" s="2680">
        <v>3</v>
      </c>
      <c r="AD654" s="5842" t="s">
        <v>1524</v>
      </c>
      <c r="AE654" s="5818">
        <v>0.3</v>
      </c>
      <c r="AF654" s="2713">
        <f>M652*AE654</f>
        <v>251038.35</v>
      </c>
      <c r="AG654" s="3812">
        <f>SUM(BA654:BN654)</f>
        <v>251038.35</v>
      </c>
      <c r="AH654" s="2678" t="s">
        <v>206</v>
      </c>
      <c r="AI654" s="2678">
        <v>44169</v>
      </c>
      <c r="AJ654" s="2678">
        <v>251038.35</v>
      </c>
      <c r="AK654" s="2678">
        <v>44169</v>
      </c>
      <c r="AL654" s="2678">
        <v>251038.35</v>
      </c>
      <c r="AM654" s="2678">
        <v>44216</v>
      </c>
      <c r="AN654" s="3812">
        <f t="shared" ref="AN654:AN669" si="137">SUM(BO654:CB654)</f>
        <v>251000</v>
      </c>
      <c r="AO654" s="2678">
        <v>44293</v>
      </c>
      <c r="AP654" s="3812">
        <f>AG654-AL654</f>
        <v>0</v>
      </c>
      <c r="AQ654" s="5331"/>
      <c r="AR654" s="2680"/>
      <c r="AS654" s="5894"/>
      <c r="AT654" s="5331"/>
      <c r="AU654" s="2680"/>
      <c r="AV654" s="2680"/>
      <c r="AW654" s="2680"/>
      <c r="AX654" s="2680"/>
      <c r="AY654" s="2680"/>
      <c r="AZ654" s="2680"/>
      <c r="BA654" s="5796"/>
      <c r="BB654" s="5796"/>
      <c r="BC654" s="2678"/>
      <c r="BD654" s="5796"/>
      <c r="BE654" s="5796"/>
      <c r="BF654" s="5796"/>
      <c r="BG654" s="5796"/>
      <c r="BH654" s="5796"/>
      <c r="BI654" s="5796">
        <v>251038.35</v>
      </c>
      <c r="BJ654" s="5796"/>
      <c r="BK654" s="5796"/>
      <c r="BL654" s="5796"/>
      <c r="BM654" s="5796"/>
      <c r="BN654" s="2678"/>
      <c r="BO654" s="5796"/>
      <c r="BP654" s="5796"/>
      <c r="BQ654" s="5796"/>
      <c r="BR654" s="5796"/>
      <c r="BS654" s="5796"/>
      <c r="BT654" s="5796"/>
      <c r="BU654" s="5796"/>
      <c r="BV654" s="5796"/>
      <c r="BW654" s="5796">
        <v>251000</v>
      </c>
      <c r="BX654" s="5796"/>
      <c r="BY654" s="5796"/>
      <c r="BZ654" s="5796"/>
      <c r="CA654" s="5796"/>
      <c r="CB654" s="5796"/>
      <c r="CC654" s="2680"/>
      <c r="CD654" s="2680"/>
      <c r="CE654" s="5169"/>
      <c r="CF654" s="5169"/>
      <c r="CG654" s="5169"/>
      <c r="CH654" s="5169"/>
    </row>
    <row r="655" s="4965" customFormat="1" ht="50" customHeight="1" spans="1:86">
      <c r="A655" s="2680"/>
      <c r="B655" s="5813"/>
      <c r="C655" s="2713"/>
      <c r="D655" s="3742"/>
      <c r="E655" s="3742"/>
      <c r="F655" s="3742"/>
      <c r="G655" s="5818"/>
      <c r="H655" s="2680"/>
      <c r="I655" s="5821"/>
      <c r="J655" s="5079"/>
      <c r="K655" s="5818"/>
      <c r="L655" s="5079"/>
      <c r="M655" s="2680"/>
      <c r="N655" s="2680"/>
      <c r="O655" s="2680"/>
      <c r="P655" s="2680"/>
      <c r="Q655" s="2680"/>
      <c r="R655" s="2680"/>
      <c r="S655" s="2680"/>
      <c r="T655" s="2680"/>
      <c r="U655" s="2680"/>
      <c r="V655" s="2680"/>
      <c r="W655" s="2680"/>
      <c r="X655" s="2680"/>
      <c r="Y655" s="2680"/>
      <c r="Z655" s="2680"/>
      <c r="AA655" s="2680"/>
      <c r="AB655" s="2680"/>
      <c r="AC655" s="3925">
        <v>4</v>
      </c>
      <c r="AD655" s="5872" t="s">
        <v>1525</v>
      </c>
      <c r="AE655" s="5873">
        <v>0.3</v>
      </c>
      <c r="AF655" s="5874">
        <f>M652*AE655</f>
        <v>251038.35</v>
      </c>
      <c r="AG655" s="4840">
        <f>SUM(BA655:BN655)</f>
        <v>251038.35</v>
      </c>
      <c r="AH655" s="4840" t="s">
        <v>122</v>
      </c>
      <c r="AI655" s="3912">
        <v>44630</v>
      </c>
      <c r="AJ655" s="3912">
        <v>251038.35</v>
      </c>
      <c r="AK655" s="3912">
        <v>44630</v>
      </c>
      <c r="AL655" s="5733">
        <v>204169.05</v>
      </c>
      <c r="AM655" s="4813">
        <v>45882</v>
      </c>
      <c r="AN655" s="5123">
        <f t="shared" si="137"/>
        <v>204169.05</v>
      </c>
      <c r="AO655" s="5880">
        <v>46233</v>
      </c>
      <c r="AP655" s="3812">
        <f>AG655-AL655</f>
        <v>46869.3</v>
      </c>
      <c r="AQ655" s="5331"/>
      <c r="AR655" s="2680"/>
      <c r="AS655" s="5894" t="s">
        <v>1526</v>
      </c>
      <c r="AT655" s="5331"/>
      <c r="AU655" s="2680"/>
      <c r="AV655" s="2680"/>
      <c r="AW655" s="2680"/>
      <c r="AX655" s="2680"/>
      <c r="AY655" s="2680"/>
      <c r="AZ655" s="2680"/>
      <c r="BA655" s="5796"/>
      <c r="BB655" s="5796"/>
      <c r="BC655" s="2678"/>
      <c r="BD655" s="5796"/>
      <c r="BE655" s="5796"/>
      <c r="BF655" s="5796"/>
      <c r="BG655" s="5796"/>
      <c r="BH655" s="5796"/>
      <c r="BI655" s="3912">
        <v>251038.35</v>
      </c>
      <c r="BJ655" s="5796"/>
      <c r="BK655" s="5796"/>
      <c r="BL655" s="5796"/>
      <c r="BM655" s="5796"/>
      <c r="BN655" s="2678"/>
      <c r="BO655" s="5331"/>
      <c r="BP655" s="5331"/>
      <c r="BQ655" s="5331"/>
      <c r="BR655" s="5331"/>
      <c r="BS655" s="5331"/>
      <c r="BT655" s="5331"/>
      <c r="BU655" s="5331"/>
      <c r="BV655" s="5331"/>
      <c r="BW655" s="2678">
        <v>204169.05</v>
      </c>
      <c r="BX655" s="5331"/>
      <c r="BY655" s="5331"/>
      <c r="BZ655" s="5331"/>
      <c r="CA655" s="5331"/>
      <c r="CB655" s="5331"/>
      <c r="CC655" s="2680"/>
      <c r="CD655" s="2680"/>
      <c r="CE655" s="5169"/>
      <c r="CF655" s="5169"/>
      <c r="CG655" s="5169"/>
      <c r="CH655" s="5169"/>
    </row>
    <row r="656" s="4965" customFormat="1" ht="50" customHeight="1" spans="1:86">
      <c r="A656" s="2680"/>
      <c r="B656" s="5813"/>
      <c r="C656" s="2713"/>
      <c r="D656" s="3742"/>
      <c r="E656" s="3742"/>
      <c r="F656" s="3742"/>
      <c r="G656" s="5818"/>
      <c r="H656" s="2680"/>
      <c r="I656" s="5821"/>
      <c r="J656" s="5079"/>
      <c r="K656" s="5818"/>
      <c r="L656" s="5079"/>
      <c r="M656" s="2680"/>
      <c r="N656" s="2680"/>
      <c r="O656" s="2680"/>
      <c r="P656" s="2680"/>
      <c r="Q656" s="2680"/>
      <c r="R656" s="2680"/>
      <c r="S656" s="2680"/>
      <c r="T656" s="2680"/>
      <c r="U656" s="2680"/>
      <c r="V656" s="2680"/>
      <c r="W656" s="2680"/>
      <c r="X656" s="2680"/>
      <c r="Y656" s="2680"/>
      <c r="Z656" s="2680"/>
      <c r="AA656" s="2680"/>
      <c r="AB656" s="2680"/>
      <c r="AC656" s="3927"/>
      <c r="AD656" s="5875"/>
      <c r="AE656" s="5876"/>
      <c r="AF656" s="5877"/>
      <c r="AG656" s="4842"/>
      <c r="AH656" s="4842"/>
      <c r="AI656" s="3914"/>
      <c r="AJ656" s="3914"/>
      <c r="AK656" s="3914"/>
      <c r="AL656" s="3932">
        <v>46869.3</v>
      </c>
      <c r="AM656" s="2680"/>
      <c r="AN656" s="5123">
        <f t="shared" si="137"/>
        <v>46869.3</v>
      </c>
      <c r="AO656" s="2680"/>
      <c r="AP656" s="3812"/>
      <c r="AQ656" s="5889"/>
      <c r="AR656" s="2680"/>
      <c r="AS656" s="5685"/>
      <c r="AT656" s="5331"/>
      <c r="AU656" s="2680"/>
      <c r="AV656" s="2680"/>
      <c r="AW656" s="2680"/>
      <c r="AX656" s="2680"/>
      <c r="AY656" s="2680"/>
      <c r="AZ656" s="2680"/>
      <c r="BA656" s="5331"/>
      <c r="BB656" s="5331"/>
      <c r="BC656" s="2680"/>
      <c r="BD656" s="5331"/>
      <c r="BE656" s="5331"/>
      <c r="BF656" s="5331"/>
      <c r="BG656" s="5331"/>
      <c r="BH656" s="5331"/>
      <c r="BI656" s="3914"/>
      <c r="BJ656" s="5331"/>
      <c r="BK656" s="5331"/>
      <c r="BL656" s="5331"/>
      <c r="BM656" s="5331"/>
      <c r="BN656" s="2680"/>
      <c r="BO656" s="5331"/>
      <c r="BP656" s="5331"/>
      <c r="BQ656" s="5331"/>
      <c r="BR656" s="5331"/>
      <c r="BS656" s="5331"/>
      <c r="BT656" s="5331"/>
      <c r="BU656" s="5331"/>
      <c r="BV656" s="5331"/>
      <c r="BW656" s="2678">
        <v>46869.3</v>
      </c>
      <c r="BX656" s="5331"/>
      <c r="BY656" s="5331"/>
      <c r="BZ656" s="5331"/>
      <c r="CA656" s="5331"/>
      <c r="CB656" s="5331"/>
      <c r="CC656" s="2680"/>
      <c r="CD656" s="2680"/>
      <c r="CE656" s="5169"/>
      <c r="CF656" s="5169"/>
      <c r="CG656" s="5169"/>
      <c r="CH656" s="5169"/>
    </row>
    <row r="657" s="4965" customFormat="1" ht="50" customHeight="1" spans="1:86">
      <c r="A657" s="2680"/>
      <c r="B657" s="5813"/>
      <c r="C657" s="2713"/>
      <c r="D657" s="3742"/>
      <c r="E657" s="3742"/>
      <c r="F657" s="3742"/>
      <c r="G657" s="5818"/>
      <c r="H657" s="2680"/>
      <c r="I657" s="5822"/>
      <c r="J657" s="5079"/>
      <c r="K657" s="5818"/>
      <c r="L657" s="5079"/>
      <c r="M657" s="2680"/>
      <c r="N657" s="2680"/>
      <c r="O657" s="2680"/>
      <c r="P657" s="2680"/>
      <c r="Q657" s="2680"/>
      <c r="R657" s="2680"/>
      <c r="S657" s="2680"/>
      <c r="T657" s="2680"/>
      <c r="U657" s="2680"/>
      <c r="V657" s="2680"/>
      <c r="W657" s="2680"/>
      <c r="X657" s="2680"/>
      <c r="Y657" s="2680"/>
      <c r="Z657" s="2680"/>
      <c r="AA657" s="2680"/>
      <c r="AB657" s="2680"/>
      <c r="AC657" s="2680">
        <v>5</v>
      </c>
      <c r="AD657" s="5842" t="s">
        <v>1527</v>
      </c>
      <c r="AE657" s="5870">
        <v>0.05</v>
      </c>
      <c r="AF657" s="2713">
        <f>M652*AE657</f>
        <v>41839.725</v>
      </c>
      <c r="AG657" s="5123">
        <f>SUM(BA657:BN657)</f>
        <v>41839.725</v>
      </c>
      <c r="AH657" s="5881"/>
      <c r="AI657" s="3932"/>
      <c r="AJ657" s="2680"/>
      <c r="AK657" s="2680"/>
      <c r="AL657" s="3932"/>
      <c r="AM657" s="2680"/>
      <c r="AN657" s="3812">
        <f t="shared" si="137"/>
        <v>0</v>
      </c>
      <c r="AO657" s="2680"/>
      <c r="AP657" s="3812">
        <f>AG657-AN657</f>
        <v>41839.725</v>
      </c>
      <c r="AQ657" s="5889" t="s">
        <v>1528</v>
      </c>
      <c r="AR657" s="2680"/>
      <c r="AS657" s="5685"/>
      <c r="AT657" s="5331"/>
      <c r="AU657" s="2680"/>
      <c r="AV657" s="2680"/>
      <c r="AW657" s="2680"/>
      <c r="AX657" s="2680"/>
      <c r="AY657" s="2680"/>
      <c r="AZ657" s="2680"/>
      <c r="BA657" s="5331"/>
      <c r="BB657" s="5331"/>
      <c r="BC657" s="2680"/>
      <c r="BD657" s="5331"/>
      <c r="BE657" s="5331"/>
      <c r="BF657" s="5331"/>
      <c r="BG657" s="5331"/>
      <c r="BH657" s="5331"/>
      <c r="BI657" s="5331">
        <v>41839.725</v>
      </c>
      <c r="BJ657" s="5331"/>
      <c r="BK657" s="5331"/>
      <c r="BL657" s="5331"/>
      <c r="BM657" s="5331"/>
      <c r="BN657" s="2680"/>
      <c r="BO657" s="5331"/>
      <c r="BP657" s="5331"/>
      <c r="BQ657" s="5331"/>
      <c r="BR657" s="5331"/>
      <c r="BS657" s="5331"/>
      <c r="BT657" s="5331"/>
      <c r="BU657" s="5331"/>
      <c r="BV657" s="5331"/>
      <c r="BW657" s="5331"/>
      <c r="BX657" s="5331"/>
      <c r="BY657" s="5331"/>
      <c r="BZ657" s="5331"/>
      <c r="CA657" s="5331"/>
      <c r="CB657" s="5331"/>
      <c r="CC657" s="2680"/>
      <c r="CD657" s="2680"/>
      <c r="CE657" s="5169"/>
      <c r="CF657" s="5169"/>
      <c r="CG657" s="5169"/>
      <c r="CH657" s="5169"/>
    </row>
    <row r="658" s="4980" customFormat="1" ht="31" spans="1:86">
      <c r="A658" s="2678">
        <v>11</v>
      </c>
      <c r="B658" s="857" t="s">
        <v>111</v>
      </c>
      <c r="C658" s="857">
        <v>44369</v>
      </c>
      <c r="D658" s="1032" t="s">
        <v>1529</v>
      </c>
      <c r="E658" s="5059" t="s">
        <v>171</v>
      </c>
      <c r="F658" s="5059" t="s">
        <v>1530</v>
      </c>
      <c r="G658" s="1032" t="s">
        <v>1531</v>
      </c>
      <c r="H658" s="2678" t="s">
        <v>31</v>
      </c>
      <c r="I658" s="5050" t="s">
        <v>1532</v>
      </c>
      <c r="J658" s="5667" t="s">
        <v>1533</v>
      </c>
      <c r="K658" s="1032">
        <v>938429.84</v>
      </c>
      <c r="L658" s="5667" t="s">
        <v>1534</v>
      </c>
      <c r="M658" s="2678">
        <f>SUM(N658:AA674)</f>
        <v>3753719.36</v>
      </c>
      <c r="N658" s="2678">
        <v>0</v>
      </c>
      <c r="O658" s="2678">
        <v>0</v>
      </c>
      <c r="P658" s="2678">
        <v>0</v>
      </c>
      <c r="Q658" s="2678">
        <v>0</v>
      </c>
      <c r="R658" s="2678">
        <v>0</v>
      </c>
      <c r="S658" s="2678">
        <v>0</v>
      </c>
      <c r="T658" s="5823">
        <v>0</v>
      </c>
      <c r="U658" s="2678">
        <v>3753719.36</v>
      </c>
      <c r="V658" s="2678">
        <v>0</v>
      </c>
      <c r="W658" s="2678">
        <v>0</v>
      </c>
      <c r="X658" s="2678">
        <v>0</v>
      </c>
      <c r="Y658" s="2678">
        <v>0</v>
      </c>
      <c r="Z658" s="2678"/>
      <c r="AA658" s="2678">
        <v>0</v>
      </c>
      <c r="AB658" s="3932"/>
      <c r="AC658" s="2678">
        <v>1</v>
      </c>
      <c r="AD658" s="5241" t="s">
        <v>1535</v>
      </c>
      <c r="AE658" s="5878">
        <v>0.1</v>
      </c>
      <c r="AF658" s="857">
        <f>M658*AE658</f>
        <v>375371.936</v>
      </c>
      <c r="AG658" s="4840">
        <f>SUM(BA658:BN658)</f>
        <v>107575.2</v>
      </c>
      <c r="AH658" s="4840" t="s">
        <v>122</v>
      </c>
      <c r="AI658" s="3912">
        <v>44525</v>
      </c>
      <c r="AJ658" s="3912">
        <v>107575.2</v>
      </c>
      <c r="AK658" s="3912">
        <v>44525</v>
      </c>
      <c r="AL658" s="3912">
        <v>100000</v>
      </c>
      <c r="AM658" s="3912">
        <v>44670</v>
      </c>
      <c r="AN658" s="3812">
        <f t="shared" si="137"/>
        <v>100000</v>
      </c>
      <c r="AO658" s="2678">
        <v>44700</v>
      </c>
      <c r="AP658" s="3812">
        <f>AG658-AN658</f>
        <v>7575.2</v>
      </c>
      <c r="AQ658" s="5890" t="s">
        <v>1536</v>
      </c>
      <c r="AR658" s="2678"/>
      <c r="AS658" s="5685" t="s">
        <v>1537</v>
      </c>
      <c r="AT658" s="5796"/>
      <c r="AU658" s="2678">
        <f>SUM(AG658:AG674)</f>
        <v>2648276.586</v>
      </c>
      <c r="AV658" s="2678">
        <f>SUM(AL658:AL674)</f>
        <v>1918122.33</v>
      </c>
      <c r="AW658" s="2678">
        <f>SUM(AN658:AN674)</f>
        <v>3419610.07</v>
      </c>
      <c r="AX658" s="2678">
        <f>M658-AU658</f>
        <v>1105442.774</v>
      </c>
      <c r="AY658" s="2678">
        <f>AU658-AV658</f>
        <v>730154.256</v>
      </c>
      <c r="AZ658" s="2678">
        <f>AV658-AW658</f>
        <v>-1501487.74</v>
      </c>
      <c r="BA658" s="5796"/>
      <c r="BB658" s="5796"/>
      <c r="BC658" s="2678"/>
      <c r="BD658" s="5796"/>
      <c r="BE658" s="5796"/>
      <c r="BF658" s="5796"/>
      <c r="BG658" s="5796"/>
      <c r="BH658" s="3366">
        <v>107575.2</v>
      </c>
      <c r="BI658" s="5796"/>
      <c r="BJ658" s="5796"/>
      <c r="BK658" s="5796"/>
      <c r="BL658" s="5796"/>
      <c r="BM658" s="5796"/>
      <c r="BN658" s="2678"/>
      <c r="BO658" s="5796"/>
      <c r="BP658" s="5796"/>
      <c r="BQ658" s="5796"/>
      <c r="BR658" s="5796"/>
      <c r="BS658" s="5796"/>
      <c r="BT658" s="5796"/>
      <c r="BU658" s="5796"/>
      <c r="BV658" s="857">
        <v>100000</v>
      </c>
      <c r="BW658" s="5796"/>
      <c r="BX658" s="5796"/>
      <c r="BY658" s="5796"/>
      <c r="BZ658" s="5796"/>
      <c r="CA658" s="5796"/>
      <c r="CB658" s="5733"/>
      <c r="CC658" s="2678" t="s">
        <v>166</v>
      </c>
      <c r="CD658" s="5667" t="s">
        <v>154</v>
      </c>
      <c r="CE658" s="5154"/>
      <c r="CF658" s="5154"/>
      <c r="CG658" s="5154"/>
      <c r="CH658" s="5154"/>
    </row>
    <row r="659" s="4980" customFormat="1" ht="30" customHeight="1" spans="1:86">
      <c r="A659" s="2678"/>
      <c r="B659" s="857"/>
      <c r="C659" s="857"/>
      <c r="D659" s="5059"/>
      <c r="E659" s="5059"/>
      <c r="F659" s="5059"/>
      <c r="G659" s="1032"/>
      <c r="H659" s="2678"/>
      <c r="I659" s="5868"/>
      <c r="J659" s="5667"/>
      <c r="K659" s="1032"/>
      <c r="L659" s="5667"/>
      <c r="M659" s="2678"/>
      <c r="N659" s="2678"/>
      <c r="O659" s="2678"/>
      <c r="P659" s="2678"/>
      <c r="Q659" s="2678"/>
      <c r="R659" s="2678"/>
      <c r="S659" s="2678"/>
      <c r="T659" s="2678"/>
      <c r="U659" s="2678"/>
      <c r="V659" s="2678"/>
      <c r="W659" s="2678"/>
      <c r="X659" s="2678"/>
      <c r="Y659" s="2678"/>
      <c r="Z659" s="2678"/>
      <c r="AA659" s="2678"/>
      <c r="AB659" s="3932"/>
      <c r="AC659" s="2678"/>
      <c r="AD659" s="5241"/>
      <c r="AE659" s="5878"/>
      <c r="AF659" s="857"/>
      <c r="AG659" s="4842"/>
      <c r="AH659" s="4842"/>
      <c r="AI659" s="3914"/>
      <c r="AJ659" s="3914"/>
      <c r="AK659" s="3914"/>
      <c r="AL659" s="3914">
        <v>7575.2</v>
      </c>
      <c r="AM659" s="3914">
        <v>45677</v>
      </c>
      <c r="AN659" s="4813">
        <f t="shared" si="137"/>
        <v>7575.2</v>
      </c>
      <c r="AO659" s="5733">
        <v>45679</v>
      </c>
      <c r="AP659" s="3812"/>
      <c r="AQ659" s="5853"/>
      <c r="AR659" s="2678"/>
      <c r="AS659" s="5685"/>
      <c r="AT659" s="5796"/>
      <c r="AU659" s="2678"/>
      <c r="AV659" s="2678"/>
      <c r="AW659" s="2678"/>
      <c r="AX659" s="2678"/>
      <c r="AY659" s="2678"/>
      <c r="AZ659" s="2678"/>
      <c r="BA659" s="5796"/>
      <c r="BB659" s="5796"/>
      <c r="BC659" s="2678"/>
      <c r="BD659" s="5796"/>
      <c r="BE659" s="5796"/>
      <c r="BF659" s="5796"/>
      <c r="BG659" s="5796"/>
      <c r="BH659" s="3409"/>
      <c r="BI659" s="5796"/>
      <c r="BJ659" s="5796"/>
      <c r="BK659" s="5796"/>
      <c r="BL659" s="5796"/>
      <c r="BM659" s="5796"/>
      <c r="BN659" s="2678"/>
      <c r="BO659" s="5796"/>
      <c r="BP659" s="5796"/>
      <c r="BQ659" s="5796"/>
      <c r="BR659" s="5796"/>
      <c r="BS659" s="5796"/>
      <c r="BT659" s="5796"/>
      <c r="BU659" s="5796"/>
      <c r="BV659" s="1015">
        <v>7575.2</v>
      </c>
      <c r="BW659" s="5796"/>
      <c r="BX659" s="5796"/>
      <c r="BY659" s="5796"/>
      <c r="BZ659" s="5796"/>
      <c r="CA659" s="5796"/>
      <c r="CB659" s="5733"/>
      <c r="CC659" s="2678"/>
      <c r="CD659" s="5667"/>
      <c r="CE659" s="5154"/>
      <c r="CF659" s="5154"/>
      <c r="CG659" s="5154"/>
      <c r="CH659" s="5154"/>
    </row>
    <row r="660" s="4980" customFormat="1" ht="30" customHeight="1" spans="1:86">
      <c r="A660" s="2678"/>
      <c r="B660" s="857"/>
      <c r="C660" s="857"/>
      <c r="D660" s="5059"/>
      <c r="E660" s="5059"/>
      <c r="F660" s="5059"/>
      <c r="G660" s="1032"/>
      <c r="H660" s="2678"/>
      <c r="I660" s="5868"/>
      <c r="J660" s="5667"/>
      <c r="K660" s="1032"/>
      <c r="L660" s="5667"/>
      <c r="M660" s="2678"/>
      <c r="N660" s="2678"/>
      <c r="O660" s="2678"/>
      <c r="P660" s="2678"/>
      <c r="Q660" s="2678"/>
      <c r="R660" s="2678"/>
      <c r="S660" s="2678"/>
      <c r="T660" s="2678"/>
      <c r="U660" s="2678"/>
      <c r="V660" s="2678"/>
      <c r="W660" s="2678"/>
      <c r="X660" s="2678"/>
      <c r="Y660" s="2678"/>
      <c r="Z660" s="2678"/>
      <c r="AA660" s="2678"/>
      <c r="AB660" s="3932"/>
      <c r="AC660" s="2678"/>
      <c r="AD660" s="5241"/>
      <c r="AE660" s="5878"/>
      <c r="AF660" s="857"/>
      <c r="AG660" s="3812">
        <f>SUM(BA660:BN660)</f>
        <v>74963.36</v>
      </c>
      <c r="AH660" s="3812" t="s">
        <v>122</v>
      </c>
      <c r="AI660" s="2678">
        <v>44555</v>
      </c>
      <c r="AJ660" s="3812">
        <f>SUM(BD660:BQ660)</f>
        <v>74963.36</v>
      </c>
      <c r="AK660" s="2678">
        <v>44545</v>
      </c>
      <c r="AL660" s="2678">
        <v>74963.36</v>
      </c>
      <c r="AM660" s="2678">
        <v>45039</v>
      </c>
      <c r="AN660" s="3812">
        <f t="shared" si="137"/>
        <v>74963.36</v>
      </c>
      <c r="AO660" s="2678">
        <v>45105</v>
      </c>
      <c r="AP660" s="3812">
        <f>(AG658+AG660)-(AN658+AN660)</f>
        <v>7575.20000000001</v>
      </c>
      <c r="AQ660" s="5853" t="s">
        <v>1538</v>
      </c>
      <c r="AR660" s="2678"/>
      <c r="AS660" s="5685"/>
      <c r="AT660" s="5796"/>
      <c r="AU660" s="2678"/>
      <c r="AV660" s="2678"/>
      <c r="AW660" s="2678"/>
      <c r="AX660" s="2678"/>
      <c r="AY660" s="2678"/>
      <c r="AZ660" s="2678"/>
      <c r="BA660" s="5796"/>
      <c r="BB660" s="5796"/>
      <c r="BC660" s="2678"/>
      <c r="BD660" s="5796"/>
      <c r="BE660" s="5796"/>
      <c r="BF660" s="5796"/>
      <c r="BG660" s="5796"/>
      <c r="BH660" s="857">
        <v>74963.36</v>
      </c>
      <c r="BI660" s="5796"/>
      <c r="BJ660" s="5796"/>
      <c r="BK660" s="5796"/>
      <c r="BL660" s="5796"/>
      <c r="BM660" s="5796"/>
      <c r="BN660" s="2678"/>
      <c r="BO660" s="5796"/>
      <c r="BP660" s="5796"/>
      <c r="BQ660" s="5796"/>
      <c r="BR660" s="5796"/>
      <c r="BS660" s="5796"/>
      <c r="BT660" s="5796"/>
      <c r="BU660" s="5796"/>
      <c r="BV660" s="857">
        <v>74963.36</v>
      </c>
      <c r="BW660" s="5796"/>
      <c r="BX660" s="5796"/>
      <c r="BY660" s="5796"/>
      <c r="BZ660" s="5796"/>
      <c r="CA660" s="5796"/>
      <c r="CB660" s="5733"/>
      <c r="CC660" s="2678"/>
      <c r="CD660" s="5667"/>
      <c r="CE660" s="5154"/>
      <c r="CF660" s="5154"/>
      <c r="CG660" s="5154"/>
      <c r="CH660" s="5154"/>
    </row>
    <row r="661" s="4980" customFormat="1" ht="30" customHeight="1" spans="1:86">
      <c r="A661" s="2678"/>
      <c r="B661" s="857"/>
      <c r="C661" s="857"/>
      <c r="D661" s="5059"/>
      <c r="E661" s="5059"/>
      <c r="F661" s="5059"/>
      <c r="G661" s="1032"/>
      <c r="H661" s="2678"/>
      <c r="I661" s="5868"/>
      <c r="J661" s="5667"/>
      <c r="K661" s="1032"/>
      <c r="L661" s="5667"/>
      <c r="M661" s="2678"/>
      <c r="N661" s="2678"/>
      <c r="O661" s="2678"/>
      <c r="P661" s="2678"/>
      <c r="Q661" s="2678"/>
      <c r="R661" s="2678"/>
      <c r="S661" s="2678"/>
      <c r="T661" s="2678"/>
      <c r="U661" s="2678"/>
      <c r="V661" s="2678"/>
      <c r="W661" s="2678"/>
      <c r="X661" s="2678"/>
      <c r="Y661" s="2678"/>
      <c r="Z661" s="2678"/>
      <c r="AA661" s="2678"/>
      <c r="AB661" s="3932"/>
      <c r="AC661" s="2678"/>
      <c r="AD661" s="5241"/>
      <c r="AE661" s="5878"/>
      <c r="AF661" s="857"/>
      <c r="AG661" s="3812">
        <f>SUM(BA661:BN661)</f>
        <v>175308.65</v>
      </c>
      <c r="AH661" s="3812" t="s">
        <v>122</v>
      </c>
      <c r="AI661" s="2678">
        <v>45232</v>
      </c>
      <c r="AJ661" s="3812">
        <v>175308.65</v>
      </c>
      <c r="AK661" s="2678">
        <v>45232</v>
      </c>
      <c r="AL661" s="5733">
        <v>175308.65</v>
      </c>
      <c r="AM661" s="5733">
        <v>45946</v>
      </c>
      <c r="AN661" s="4815">
        <f t="shared" si="137"/>
        <v>175308.65</v>
      </c>
      <c r="AO661" s="5880">
        <v>46386</v>
      </c>
      <c r="AP661" s="3812"/>
      <c r="AQ661" s="5853" t="s">
        <v>1539</v>
      </c>
      <c r="AR661" s="2678"/>
      <c r="AS661" s="5685"/>
      <c r="AT661" s="5796"/>
      <c r="AU661" s="2678"/>
      <c r="AV661" s="2678"/>
      <c r="AW661" s="2678"/>
      <c r="AX661" s="2678"/>
      <c r="AY661" s="2678"/>
      <c r="AZ661" s="2678"/>
      <c r="BA661" s="5796"/>
      <c r="BB661" s="5796"/>
      <c r="BC661" s="2678"/>
      <c r="BD661" s="5796"/>
      <c r="BE661" s="5796"/>
      <c r="BF661" s="5796"/>
      <c r="BG661" s="5796"/>
      <c r="BH661" s="857">
        <v>175308.65</v>
      </c>
      <c r="BI661" s="5796"/>
      <c r="BJ661" s="5796"/>
      <c r="BK661" s="5796"/>
      <c r="BL661" s="5796"/>
      <c r="BM661" s="5796"/>
      <c r="BN661" s="2678"/>
      <c r="BO661" s="5796"/>
      <c r="BP661" s="5796"/>
      <c r="BQ661" s="5796"/>
      <c r="BR661" s="5796"/>
      <c r="BS661" s="5796"/>
      <c r="BT661" s="5796"/>
      <c r="BU661" s="5796"/>
      <c r="BV661" s="5733">
        <v>175308.65</v>
      </c>
      <c r="BW661" s="5796"/>
      <c r="BX661" s="5796"/>
      <c r="BY661" s="5796"/>
      <c r="BZ661" s="5796"/>
      <c r="CA661" s="5796"/>
      <c r="CB661" s="5733"/>
      <c r="CC661" s="2678"/>
      <c r="CD661" s="5667"/>
      <c r="CE661" s="5154"/>
      <c r="CF661" s="5154"/>
      <c r="CG661" s="5154"/>
      <c r="CH661" s="5154"/>
    </row>
    <row r="662" s="4980" customFormat="1" ht="30" customHeight="1" spans="1:86">
      <c r="A662" s="2678"/>
      <c r="B662" s="857"/>
      <c r="C662" s="857"/>
      <c r="D662" s="5059"/>
      <c r="E662" s="5059"/>
      <c r="F662" s="5059"/>
      <c r="G662" s="1032"/>
      <c r="H662" s="2678"/>
      <c r="I662" s="5868"/>
      <c r="J662" s="5667"/>
      <c r="K662" s="1032"/>
      <c r="L662" s="5667"/>
      <c r="M662" s="2678"/>
      <c r="N662" s="2678"/>
      <c r="O662" s="2678"/>
      <c r="P662" s="2678"/>
      <c r="Q662" s="2678"/>
      <c r="R662" s="2678"/>
      <c r="S662" s="2678"/>
      <c r="T662" s="2678"/>
      <c r="U662" s="2678"/>
      <c r="V662" s="2678"/>
      <c r="W662" s="2678"/>
      <c r="X662" s="2678"/>
      <c r="Y662" s="2678"/>
      <c r="Z662" s="2678"/>
      <c r="AA662" s="2678"/>
      <c r="AB662" s="3932"/>
      <c r="AC662" s="2678"/>
      <c r="AD662" s="5241"/>
      <c r="AE662" s="5878"/>
      <c r="AF662" s="857"/>
      <c r="AG662" s="5123">
        <f>SUM(BA662:BN662)</f>
        <v>0</v>
      </c>
      <c r="AH662" s="5881"/>
      <c r="AI662" s="3932"/>
      <c r="AJ662" s="2678"/>
      <c r="AK662" s="2678"/>
      <c r="AL662" s="2678"/>
      <c r="AM662" s="3932"/>
      <c r="AN662" s="5123">
        <f t="shared" si="137"/>
        <v>0</v>
      </c>
      <c r="AO662" s="3932"/>
      <c r="AP662" s="3812">
        <f>AG662-AN662</f>
        <v>0</v>
      </c>
      <c r="AQ662" s="5890"/>
      <c r="AR662" s="2678"/>
      <c r="AS662" s="5685"/>
      <c r="AT662" s="5796"/>
      <c r="AU662" s="2678"/>
      <c r="AV662" s="2678"/>
      <c r="AW662" s="2678"/>
      <c r="AX662" s="2678"/>
      <c r="AY662" s="2678"/>
      <c r="AZ662" s="2678"/>
      <c r="BA662" s="5796"/>
      <c r="BB662" s="5796"/>
      <c r="BC662" s="2678"/>
      <c r="BD662" s="5796"/>
      <c r="BE662" s="5796"/>
      <c r="BF662" s="5796"/>
      <c r="BG662" s="5796"/>
      <c r="BH662" s="3406"/>
      <c r="BI662" s="5796"/>
      <c r="BJ662" s="5796"/>
      <c r="BK662" s="5796"/>
      <c r="BL662" s="5796"/>
      <c r="BM662" s="5796"/>
      <c r="BN662" s="2678"/>
      <c r="BO662" s="5796"/>
      <c r="BP662" s="5796"/>
      <c r="BQ662" s="5796"/>
      <c r="BR662" s="5796"/>
      <c r="BS662" s="5796"/>
      <c r="BT662" s="5796"/>
      <c r="BU662" s="5796"/>
      <c r="BV662" s="3406"/>
      <c r="BW662" s="5796"/>
      <c r="BX662" s="5796"/>
      <c r="BY662" s="5796"/>
      <c r="BZ662" s="5796"/>
      <c r="CA662" s="5796"/>
      <c r="CB662" s="5733"/>
      <c r="CC662" s="2678"/>
      <c r="CD662" s="5667"/>
      <c r="CE662" s="5154"/>
      <c r="CF662" s="5154"/>
      <c r="CG662" s="5154"/>
      <c r="CH662" s="5154"/>
    </row>
    <row r="663" s="4980" customFormat="1" ht="31" spans="1:86">
      <c r="A663" s="2678"/>
      <c r="B663" s="857"/>
      <c r="C663" s="857"/>
      <c r="D663" s="5059"/>
      <c r="E663" s="5059"/>
      <c r="F663" s="5059"/>
      <c r="G663" s="1032"/>
      <c r="H663" s="2678"/>
      <c r="I663" s="5868"/>
      <c r="J663" s="5667"/>
      <c r="K663" s="1032"/>
      <c r="L663" s="5667"/>
      <c r="M663" s="2678"/>
      <c r="N663" s="2678"/>
      <c r="O663" s="2678"/>
      <c r="P663" s="2678"/>
      <c r="Q663" s="2678"/>
      <c r="R663" s="2678"/>
      <c r="S663" s="2678"/>
      <c r="T663" s="2678"/>
      <c r="U663" s="2678"/>
      <c r="V663" s="2678"/>
      <c r="W663" s="2678"/>
      <c r="X663" s="2678"/>
      <c r="Y663" s="2678"/>
      <c r="Z663" s="2678"/>
      <c r="AA663" s="2678"/>
      <c r="AB663" s="3932"/>
      <c r="AC663" s="2678">
        <v>2</v>
      </c>
      <c r="AD663" s="5241" t="s">
        <v>1540</v>
      </c>
      <c r="AE663" s="1032">
        <v>0.4</v>
      </c>
      <c r="AF663" s="857">
        <f>M658*AE663</f>
        <v>1501487.744</v>
      </c>
      <c r="AG663" s="4840">
        <f>SUM(BA663:BN663)</f>
        <v>430300.8</v>
      </c>
      <c r="AH663" s="4840" t="s">
        <v>122</v>
      </c>
      <c r="AI663" s="3912">
        <v>44525</v>
      </c>
      <c r="AJ663" s="3912">
        <v>430300.8</v>
      </c>
      <c r="AK663" s="3912">
        <v>44525</v>
      </c>
      <c r="AL663" s="3912">
        <v>400000</v>
      </c>
      <c r="AM663" s="3912">
        <v>44670</v>
      </c>
      <c r="AN663" s="3812">
        <f t="shared" si="137"/>
        <v>400000</v>
      </c>
      <c r="AO663" s="2678">
        <v>44700</v>
      </c>
      <c r="AP663" s="3812">
        <f>AG663-AN663</f>
        <v>30300.8</v>
      </c>
      <c r="AQ663" s="5890" t="s">
        <v>1536</v>
      </c>
      <c r="AR663" s="2678"/>
      <c r="AS663" s="5685"/>
      <c r="AT663" s="5796"/>
      <c r="AU663" s="2678"/>
      <c r="AV663" s="2678"/>
      <c r="AW663" s="2678"/>
      <c r="AX663" s="2678"/>
      <c r="AY663" s="2678"/>
      <c r="AZ663" s="2678"/>
      <c r="BA663" s="5796"/>
      <c r="BB663" s="5796"/>
      <c r="BC663" s="2678"/>
      <c r="BD663" s="5796"/>
      <c r="BE663" s="5796"/>
      <c r="BF663" s="5796"/>
      <c r="BG663" s="5796"/>
      <c r="BH663" s="3912">
        <v>430300.8</v>
      </c>
      <c r="BI663" s="5796"/>
      <c r="BJ663" s="5796"/>
      <c r="BK663" s="5796"/>
      <c r="BL663" s="5796"/>
      <c r="BM663" s="5796"/>
      <c r="BN663" s="2678"/>
      <c r="BO663" s="5796"/>
      <c r="BP663" s="5796"/>
      <c r="BQ663" s="5796"/>
      <c r="BR663" s="5796"/>
      <c r="BS663" s="5796"/>
      <c r="BT663" s="5796"/>
      <c r="BU663" s="5796"/>
      <c r="BV663" s="857">
        <v>400000</v>
      </c>
      <c r="BW663" s="5796"/>
      <c r="BX663" s="5796"/>
      <c r="BY663" s="5796"/>
      <c r="BZ663" s="5796"/>
      <c r="CA663" s="5796"/>
      <c r="CB663" s="5796"/>
      <c r="CC663" s="2678"/>
      <c r="CD663" s="5667"/>
      <c r="CE663" s="5154"/>
      <c r="CF663" s="5154"/>
      <c r="CG663" s="5154"/>
      <c r="CH663" s="5154"/>
    </row>
    <row r="664" s="4980" customFormat="1" ht="30" customHeight="1" spans="1:86">
      <c r="A664" s="2678"/>
      <c r="B664" s="857"/>
      <c r="C664" s="857"/>
      <c r="D664" s="5059"/>
      <c r="E664" s="5059"/>
      <c r="F664" s="5059"/>
      <c r="G664" s="1032"/>
      <c r="H664" s="2678"/>
      <c r="I664" s="5868"/>
      <c r="J664" s="5667"/>
      <c r="K664" s="1032"/>
      <c r="L664" s="5667"/>
      <c r="M664" s="2678"/>
      <c r="N664" s="2678"/>
      <c r="O664" s="2678"/>
      <c r="P664" s="2678"/>
      <c r="Q664" s="2678"/>
      <c r="R664" s="2678"/>
      <c r="S664" s="2678"/>
      <c r="T664" s="2678"/>
      <c r="U664" s="2678"/>
      <c r="V664" s="2678"/>
      <c r="W664" s="2678"/>
      <c r="X664" s="2678"/>
      <c r="Y664" s="2678"/>
      <c r="Z664" s="2678"/>
      <c r="AA664" s="2678"/>
      <c r="AB664" s="3932"/>
      <c r="AC664" s="2678"/>
      <c r="AD664" s="5241"/>
      <c r="AE664" s="1032"/>
      <c r="AF664" s="857"/>
      <c r="AG664" s="4841"/>
      <c r="AH664" s="4841"/>
      <c r="AI664" s="3913"/>
      <c r="AJ664" s="3913"/>
      <c r="AK664" s="3913"/>
      <c r="AL664" s="3914">
        <v>30300.8</v>
      </c>
      <c r="AM664" s="3914">
        <v>45677</v>
      </c>
      <c r="AN664" s="4813">
        <f t="shared" si="137"/>
        <v>30300.8</v>
      </c>
      <c r="AO664" s="5733">
        <v>45679</v>
      </c>
      <c r="AP664" s="3812"/>
      <c r="AQ664" s="5853"/>
      <c r="AR664" s="2678"/>
      <c r="AS664" s="5685"/>
      <c r="AT664" s="5796"/>
      <c r="AU664" s="2678"/>
      <c r="AV664" s="2678"/>
      <c r="AW664" s="2678"/>
      <c r="AX664" s="2678"/>
      <c r="AY664" s="2678"/>
      <c r="AZ664" s="2678"/>
      <c r="BA664" s="5796"/>
      <c r="BB664" s="5796"/>
      <c r="BC664" s="2678"/>
      <c r="BD664" s="5796"/>
      <c r="BE664" s="5796"/>
      <c r="BF664" s="5796"/>
      <c r="BG664" s="5796"/>
      <c r="BH664" s="3914"/>
      <c r="BI664" s="5796"/>
      <c r="BJ664" s="5796"/>
      <c r="BK664" s="5796"/>
      <c r="BL664" s="5796"/>
      <c r="BM664" s="5796"/>
      <c r="BN664" s="2678"/>
      <c r="BO664" s="5796"/>
      <c r="BP664" s="5796"/>
      <c r="BQ664" s="5796"/>
      <c r="BR664" s="5796"/>
      <c r="BS664" s="5796"/>
      <c r="BT664" s="5796"/>
      <c r="BU664" s="5796"/>
      <c r="BV664" s="5733">
        <v>30300.8</v>
      </c>
      <c r="BW664" s="5796"/>
      <c r="BX664" s="5796"/>
      <c r="BY664" s="5796"/>
      <c r="BZ664" s="5796"/>
      <c r="CA664" s="5796"/>
      <c r="CB664" s="5796"/>
      <c r="CC664" s="2678"/>
      <c r="CD664" s="5667"/>
      <c r="CE664" s="5154"/>
      <c r="CF664" s="5154"/>
      <c r="CG664" s="5154"/>
      <c r="CH664" s="5154"/>
    </row>
    <row r="665" s="4980" customFormat="1" ht="30" customHeight="1" spans="1:86">
      <c r="A665" s="2678"/>
      <c r="B665" s="857"/>
      <c r="C665" s="857"/>
      <c r="D665" s="5059"/>
      <c r="E665" s="5059"/>
      <c r="F665" s="5059"/>
      <c r="G665" s="1032"/>
      <c r="H665" s="2678"/>
      <c r="I665" s="5868"/>
      <c r="J665" s="5667"/>
      <c r="K665" s="1032"/>
      <c r="L665" s="5667"/>
      <c r="M665" s="2678"/>
      <c r="N665" s="2678"/>
      <c r="O665" s="2678"/>
      <c r="P665" s="2678"/>
      <c r="Q665" s="2678"/>
      <c r="R665" s="2678"/>
      <c r="S665" s="2678"/>
      <c r="T665" s="2678"/>
      <c r="U665" s="2678"/>
      <c r="V665" s="2678"/>
      <c r="W665" s="2678"/>
      <c r="X665" s="2678"/>
      <c r="Y665" s="2678"/>
      <c r="Z665" s="2678"/>
      <c r="AA665" s="2678"/>
      <c r="AB665" s="3932"/>
      <c r="AC665" s="2678"/>
      <c r="AD665" s="5241"/>
      <c r="AE665" s="1032"/>
      <c r="AF665" s="857"/>
      <c r="AG665" s="4840">
        <f>SUM(BA665:BN665)</f>
        <v>299853.46</v>
      </c>
      <c r="AH665" s="4840" t="s">
        <v>122</v>
      </c>
      <c r="AI665" s="3912">
        <v>44555</v>
      </c>
      <c r="AJ665" s="4840">
        <f>SUM(BD665:BQ665)</f>
        <v>299853.46</v>
      </c>
      <c r="AK665" s="3912">
        <v>44545</v>
      </c>
      <c r="AL665" s="2678">
        <v>137729.46</v>
      </c>
      <c r="AM665" s="2678">
        <v>45039</v>
      </c>
      <c r="AN665" s="3812">
        <f t="shared" si="137"/>
        <v>137729.46</v>
      </c>
      <c r="AO665" s="2678">
        <v>45105</v>
      </c>
      <c r="AP665" s="3812"/>
      <c r="AQ665" s="5853" t="s">
        <v>1538</v>
      </c>
      <c r="AR665" s="2678"/>
      <c r="AS665" s="5685"/>
      <c r="AT665" s="5796"/>
      <c r="AU665" s="2678"/>
      <c r="AV665" s="2678"/>
      <c r="AW665" s="2678"/>
      <c r="AX665" s="2678"/>
      <c r="AY665" s="2678"/>
      <c r="AZ665" s="2678"/>
      <c r="BA665" s="5796"/>
      <c r="BB665" s="5796"/>
      <c r="BC665" s="2678"/>
      <c r="BD665" s="5796"/>
      <c r="BE665" s="5796"/>
      <c r="BF665" s="5796"/>
      <c r="BG665" s="5796"/>
      <c r="BH665" s="3912">
        <v>299853.46</v>
      </c>
      <c r="BI665" s="5796"/>
      <c r="BJ665" s="5796"/>
      <c r="BK665" s="5796"/>
      <c r="BL665" s="5796"/>
      <c r="BM665" s="5796"/>
      <c r="BN665" s="2678"/>
      <c r="BO665" s="5796"/>
      <c r="BP665" s="5796"/>
      <c r="BQ665" s="5796"/>
      <c r="BR665" s="5796"/>
      <c r="BS665" s="5796"/>
      <c r="BT665" s="5796"/>
      <c r="BU665" s="5796"/>
      <c r="BV665" s="2678">
        <v>137729.46</v>
      </c>
      <c r="BW665" s="5796"/>
      <c r="BX665" s="5796"/>
      <c r="BY665" s="5796"/>
      <c r="BZ665" s="5796"/>
      <c r="CA665" s="5796"/>
      <c r="CB665" s="5796"/>
      <c r="CC665" s="2678"/>
      <c r="CD665" s="5667"/>
      <c r="CE665" s="5154"/>
      <c r="CF665" s="5154"/>
      <c r="CG665" s="5154"/>
      <c r="CH665" s="5154"/>
    </row>
    <row r="666" s="4980" customFormat="1" ht="30" customHeight="1" spans="1:86">
      <c r="A666" s="2678"/>
      <c r="B666" s="857"/>
      <c r="C666" s="857"/>
      <c r="D666" s="5059"/>
      <c r="E666" s="5059"/>
      <c r="F666" s="5059"/>
      <c r="G666" s="1032"/>
      <c r="H666" s="2678"/>
      <c r="I666" s="5868"/>
      <c r="J666" s="5667"/>
      <c r="K666" s="1032"/>
      <c r="L666" s="5667"/>
      <c r="M666" s="2678"/>
      <c r="N666" s="2678"/>
      <c r="O666" s="2678"/>
      <c r="P666" s="2678"/>
      <c r="Q666" s="2678"/>
      <c r="R666" s="2678"/>
      <c r="S666" s="2678"/>
      <c r="T666" s="2678"/>
      <c r="U666" s="2678"/>
      <c r="V666" s="2678"/>
      <c r="W666" s="2678"/>
      <c r="X666" s="2678"/>
      <c r="Y666" s="2678"/>
      <c r="Z666" s="2678"/>
      <c r="AA666" s="2678"/>
      <c r="AB666" s="3932"/>
      <c r="AC666" s="2678"/>
      <c r="AD666" s="5241"/>
      <c r="AE666" s="1032"/>
      <c r="AF666" s="857"/>
      <c r="AG666" s="4841"/>
      <c r="AH666" s="4841"/>
      <c r="AI666" s="3913"/>
      <c r="AJ666" s="4841"/>
      <c r="AK666" s="3913"/>
      <c r="AL666" s="2678">
        <v>162124</v>
      </c>
      <c r="AM666" s="2678">
        <v>45665</v>
      </c>
      <c r="AN666" s="4813">
        <f t="shared" si="137"/>
        <v>162124</v>
      </c>
      <c r="AO666" s="5733">
        <v>45679</v>
      </c>
      <c r="AP666" s="3812"/>
      <c r="AQ666" s="5853"/>
      <c r="AR666" s="2678"/>
      <c r="AS666" s="5685"/>
      <c r="AT666" s="5796"/>
      <c r="AU666" s="2678"/>
      <c r="AV666" s="2678"/>
      <c r="AW666" s="2678"/>
      <c r="AX666" s="2678"/>
      <c r="AY666" s="2678"/>
      <c r="AZ666" s="2678"/>
      <c r="BA666" s="5796"/>
      <c r="BB666" s="5796"/>
      <c r="BC666" s="2678"/>
      <c r="BD666" s="5796"/>
      <c r="BE666" s="5796"/>
      <c r="BF666" s="5796"/>
      <c r="BG666" s="5796"/>
      <c r="BH666" s="3913"/>
      <c r="BI666" s="5796"/>
      <c r="BJ666" s="5796"/>
      <c r="BK666" s="5796"/>
      <c r="BL666" s="5796"/>
      <c r="BM666" s="5796"/>
      <c r="BN666" s="2678"/>
      <c r="BO666" s="5796"/>
      <c r="BP666" s="5796"/>
      <c r="BQ666" s="5796"/>
      <c r="BR666" s="5796"/>
      <c r="BS666" s="5796"/>
      <c r="BT666" s="5796"/>
      <c r="BU666" s="5796"/>
      <c r="BV666" s="5733">
        <v>162124</v>
      </c>
      <c r="BW666" s="5796"/>
      <c r="BX666" s="5796"/>
      <c r="BY666" s="5796"/>
      <c r="BZ666" s="5796"/>
      <c r="CA666" s="5796"/>
      <c r="CB666" s="5796"/>
      <c r="CC666" s="2678"/>
      <c r="CD666" s="5667"/>
      <c r="CE666" s="5154"/>
      <c r="CF666" s="5154"/>
      <c r="CG666" s="5154"/>
      <c r="CH666" s="5154"/>
    </row>
    <row r="667" s="4980" customFormat="1" ht="30" customHeight="1" spans="1:86">
      <c r="A667" s="2678"/>
      <c r="B667" s="857"/>
      <c r="C667" s="857"/>
      <c r="D667" s="5059"/>
      <c r="E667" s="5059"/>
      <c r="F667" s="5059"/>
      <c r="G667" s="1032"/>
      <c r="H667" s="2678"/>
      <c r="I667" s="5868"/>
      <c r="J667" s="5667"/>
      <c r="K667" s="1032"/>
      <c r="L667" s="5667"/>
      <c r="M667" s="2678"/>
      <c r="N667" s="2678"/>
      <c r="O667" s="2678"/>
      <c r="P667" s="2678"/>
      <c r="Q667" s="2678"/>
      <c r="R667" s="2678"/>
      <c r="S667" s="2678"/>
      <c r="T667" s="2678"/>
      <c r="U667" s="2678"/>
      <c r="V667" s="2678"/>
      <c r="W667" s="2678"/>
      <c r="X667" s="2678"/>
      <c r="Y667" s="2678"/>
      <c r="Z667" s="2678"/>
      <c r="AA667" s="2678"/>
      <c r="AB667" s="3932"/>
      <c r="AC667" s="2678"/>
      <c r="AD667" s="5241"/>
      <c r="AE667" s="1032"/>
      <c r="AF667" s="857"/>
      <c r="AG667" s="3812">
        <f>SUM(BA667:BN667)</f>
        <v>701234.57</v>
      </c>
      <c r="AH667" s="3812" t="s">
        <v>122</v>
      </c>
      <c r="AI667" s="2678">
        <v>45232</v>
      </c>
      <c r="AJ667" s="3812">
        <v>701234.57</v>
      </c>
      <c r="AK667" s="2678">
        <v>45232</v>
      </c>
      <c r="AL667" s="5733">
        <v>701234.57</v>
      </c>
      <c r="AM667" s="5733">
        <v>45946</v>
      </c>
      <c r="AN667" s="4815">
        <f t="shared" si="137"/>
        <v>701234.57</v>
      </c>
      <c r="AO667" s="5880">
        <v>46386</v>
      </c>
      <c r="AP667" s="3812"/>
      <c r="AQ667" s="5853" t="s">
        <v>1539</v>
      </c>
      <c r="AR667" s="2678"/>
      <c r="AS667" s="5685"/>
      <c r="AT667" s="5796"/>
      <c r="AU667" s="2678"/>
      <c r="AV667" s="2678"/>
      <c r="AW667" s="2678"/>
      <c r="AX667" s="2678"/>
      <c r="AY667" s="2678"/>
      <c r="AZ667" s="2678"/>
      <c r="BA667" s="5796"/>
      <c r="BB667" s="5796"/>
      <c r="BC667" s="2678"/>
      <c r="BD667" s="5796"/>
      <c r="BE667" s="5796"/>
      <c r="BF667" s="5796"/>
      <c r="BG667" s="5796"/>
      <c r="BH667" s="2678">
        <v>701234.57</v>
      </c>
      <c r="BI667" s="5796"/>
      <c r="BJ667" s="5796"/>
      <c r="BK667" s="5796"/>
      <c r="BL667" s="5796"/>
      <c r="BM667" s="5796"/>
      <c r="BN667" s="2678"/>
      <c r="BO667" s="5796"/>
      <c r="BP667" s="5796"/>
      <c r="BQ667" s="5796"/>
      <c r="BR667" s="5796"/>
      <c r="BS667" s="5796"/>
      <c r="BT667" s="5796"/>
      <c r="BU667" s="5796"/>
      <c r="BV667" s="5733">
        <v>701234.57</v>
      </c>
      <c r="BW667" s="5796"/>
      <c r="BX667" s="5796"/>
      <c r="BY667" s="5796"/>
      <c r="BZ667" s="5796"/>
      <c r="CA667" s="5796"/>
      <c r="CB667" s="5796"/>
      <c r="CC667" s="2678"/>
      <c r="CD667" s="5667"/>
      <c r="CE667" s="5154"/>
      <c r="CF667" s="5154"/>
      <c r="CG667" s="5154"/>
      <c r="CH667" s="5154"/>
    </row>
    <row r="668" s="4980" customFormat="1" ht="30" customHeight="1" spans="1:86">
      <c r="A668" s="2678"/>
      <c r="B668" s="857"/>
      <c r="C668" s="857"/>
      <c r="D668" s="5059"/>
      <c r="E668" s="5059"/>
      <c r="F668" s="5059"/>
      <c r="G668" s="1032"/>
      <c r="H668" s="2678"/>
      <c r="I668" s="5868"/>
      <c r="J668" s="5667"/>
      <c r="K668" s="1032"/>
      <c r="L668" s="5667"/>
      <c r="M668" s="2678"/>
      <c r="N668" s="2678"/>
      <c r="O668" s="2678"/>
      <c r="P668" s="2678"/>
      <c r="Q668" s="2678"/>
      <c r="R668" s="2678"/>
      <c r="S668" s="2678"/>
      <c r="T668" s="2678"/>
      <c r="U668" s="2678"/>
      <c r="V668" s="2678"/>
      <c r="W668" s="2678"/>
      <c r="X668" s="2678"/>
      <c r="Y668" s="2678"/>
      <c r="Z668" s="2678"/>
      <c r="AA668" s="2678"/>
      <c r="AB668" s="3932"/>
      <c r="AC668" s="2678"/>
      <c r="AD668" s="5241"/>
      <c r="AE668" s="1032"/>
      <c r="AF668" s="857"/>
      <c r="AG668" s="5123">
        <f>SUM(BA668:BN668)</f>
        <v>0</v>
      </c>
      <c r="AH668" s="5881" t="s">
        <v>349</v>
      </c>
      <c r="AI668" s="3932"/>
      <c r="AJ668" s="3932"/>
      <c r="AK668" s="2678"/>
      <c r="AL668" s="2678"/>
      <c r="AM668" s="2678"/>
      <c r="AN668" s="5123">
        <f t="shared" si="137"/>
        <v>771333.484</v>
      </c>
      <c r="AO668" s="3932"/>
      <c r="AP668" s="3812">
        <f>AG668-AN668</f>
        <v>-771333.484</v>
      </c>
      <c r="AQ668" s="5146"/>
      <c r="AR668" s="2678"/>
      <c r="AS668" s="5685"/>
      <c r="AT668" s="5796"/>
      <c r="AU668" s="2678"/>
      <c r="AV668" s="2678"/>
      <c r="AW668" s="2678"/>
      <c r="AX668" s="2678"/>
      <c r="AY668" s="2678"/>
      <c r="AZ668" s="2678"/>
      <c r="BA668" s="5796"/>
      <c r="BB668" s="5796"/>
      <c r="BC668" s="2678"/>
      <c r="BD668" s="5796"/>
      <c r="BE668" s="5796"/>
      <c r="BF668" s="5796"/>
      <c r="BG668" s="5796"/>
      <c r="BH668" s="3932"/>
      <c r="BI668" s="5796"/>
      <c r="BJ668" s="5796"/>
      <c r="BK668" s="5796"/>
      <c r="BL668" s="5796"/>
      <c r="BM668" s="5796"/>
      <c r="BN668" s="2678"/>
      <c r="BO668" s="5796"/>
      <c r="BP668" s="5796"/>
      <c r="BQ668" s="5796"/>
      <c r="BR668" s="5796"/>
      <c r="BS668" s="5796"/>
      <c r="BT668" s="5796"/>
      <c r="BU668" s="5796"/>
      <c r="BV668" s="5860">
        <v>771333.484</v>
      </c>
      <c r="BW668" s="5796"/>
      <c r="BX668" s="5796"/>
      <c r="BY668" s="5796"/>
      <c r="BZ668" s="5796"/>
      <c r="CA668" s="5796"/>
      <c r="CB668" s="5796"/>
      <c r="CC668" s="2678"/>
      <c r="CD668" s="5667"/>
      <c r="CE668" s="5154"/>
      <c r="CF668" s="5154"/>
      <c r="CG668" s="5154"/>
      <c r="CH668" s="5154"/>
    </row>
    <row r="669" s="4980" customFormat="1" ht="30" customHeight="1" spans="1:86">
      <c r="A669" s="2678"/>
      <c r="B669" s="857"/>
      <c r="C669" s="857"/>
      <c r="D669" s="5059"/>
      <c r="E669" s="5059"/>
      <c r="F669" s="5059"/>
      <c r="G669" s="1032"/>
      <c r="H669" s="2678"/>
      <c r="I669" s="5868"/>
      <c r="J669" s="5667"/>
      <c r="K669" s="1032"/>
      <c r="L669" s="5667"/>
      <c r="M669" s="2678"/>
      <c r="N669" s="2678"/>
      <c r="O669" s="2678"/>
      <c r="P669" s="2678"/>
      <c r="Q669" s="2678"/>
      <c r="R669" s="2678"/>
      <c r="S669" s="2678"/>
      <c r="T669" s="2678"/>
      <c r="U669" s="2678"/>
      <c r="V669" s="2678"/>
      <c r="W669" s="2678"/>
      <c r="X669" s="2678"/>
      <c r="Y669" s="2678"/>
      <c r="Z669" s="2678"/>
      <c r="AA669" s="2678"/>
      <c r="AB669" s="3932"/>
      <c r="AC669" s="2678">
        <v>3</v>
      </c>
      <c r="AD669" s="5241" t="s">
        <v>1541</v>
      </c>
      <c r="AE669" s="5878">
        <v>0.4</v>
      </c>
      <c r="AF669" s="857">
        <f>M658*AE669</f>
        <v>1501487.744</v>
      </c>
      <c r="AG669" s="4840">
        <f>SUM(BA669:BN669)</f>
        <v>430300.8</v>
      </c>
      <c r="AH669" s="4840" t="s">
        <v>122</v>
      </c>
      <c r="AI669" s="3912">
        <v>44854</v>
      </c>
      <c r="AJ669" s="3912">
        <f>4*268938*AE669</f>
        <v>430300.8</v>
      </c>
      <c r="AK669" s="3912">
        <v>44854</v>
      </c>
      <c r="AL669" s="5854"/>
      <c r="AM669" s="5854"/>
      <c r="AN669" s="5123">
        <f t="shared" si="137"/>
        <v>430300.8</v>
      </c>
      <c r="AO669" s="3932"/>
      <c r="AP669" s="3812">
        <f>AG669-AN669</f>
        <v>0</v>
      </c>
      <c r="AQ669" s="5889" t="s">
        <v>1542</v>
      </c>
      <c r="AR669" s="2678"/>
      <c r="AS669" s="5685"/>
      <c r="AT669" s="5796"/>
      <c r="AU669" s="2678"/>
      <c r="AV669" s="2678"/>
      <c r="AW669" s="2678"/>
      <c r="AX669" s="2678"/>
      <c r="AY669" s="2678"/>
      <c r="AZ669" s="2678"/>
      <c r="BA669" s="5858"/>
      <c r="BB669" s="5858"/>
      <c r="BC669" s="5733"/>
      <c r="BD669" s="5858"/>
      <c r="BE669" s="5858"/>
      <c r="BF669" s="5858"/>
      <c r="BG669" s="5858"/>
      <c r="BH669" s="3912">
        <v>430300.8</v>
      </c>
      <c r="BI669" s="5858"/>
      <c r="BJ669" s="5858"/>
      <c r="BK669" s="5858"/>
      <c r="BL669" s="5858"/>
      <c r="BM669" s="5858"/>
      <c r="BN669" s="5733"/>
      <c r="BO669" s="5796"/>
      <c r="BP669" s="5796"/>
      <c r="BQ669" s="5796"/>
      <c r="BR669" s="5796"/>
      <c r="BS669" s="5796"/>
      <c r="BT669" s="5796"/>
      <c r="BU669" s="5796"/>
      <c r="BV669" s="5860">
        <v>430300.8</v>
      </c>
      <c r="BW669" s="5796"/>
      <c r="BX669" s="5796"/>
      <c r="BY669" s="5796"/>
      <c r="BZ669" s="5796"/>
      <c r="CA669" s="5796"/>
      <c r="CB669" s="5796"/>
      <c r="CC669" s="2678"/>
      <c r="CD669" s="5667"/>
      <c r="CE669" s="5154"/>
      <c r="CF669" s="5154"/>
      <c r="CG669" s="5154"/>
      <c r="CH669" s="5154"/>
    </row>
    <row r="670" s="4980" customFormat="1" ht="30" customHeight="1" spans="1:86">
      <c r="A670" s="2678"/>
      <c r="B670" s="857"/>
      <c r="C670" s="857"/>
      <c r="D670" s="5059"/>
      <c r="E670" s="5059"/>
      <c r="F670" s="5059"/>
      <c r="G670" s="1032"/>
      <c r="H670" s="2678"/>
      <c r="I670" s="5868"/>
      <c r="J670" s="5667"/>
      <c r="K670" s="1032"/>
      <c r="L670" s="5667"/>
      <c r="M670" s="2678"/>
      <c r="N670" s="2678"/>
      <c r="O670" s="2678"/>
      <c r="P670" s="2678"/>
      <c r="Q670" s="2678"/>
      <c r="R670" s="2678"/>
      <c r="S670" s="2678"/>
      <c r="T670" s="2678"/>
      <c r="U670" s="2678"/>
      <c r="V670" s="2678"/>
      <c r="W670" s="2678"/>
      <c r="X670" s="2678"/>
      <c r="Y670" s="2678"/>
      <c r="Z670" s="2678"/>
      <c r="AA670" s="2678"/>
      <c r="AB670" s="3932"/>
      <c r="AC670" s="2678"/>
      <c r="AD670" s="5241"/>
      <c r="AE670" s="5878"/>
      <c r="AF670" s="857"/>
      <c r="AG670" s="4842"/>
      <c r="AH670" s="4842"/>
      <c r="AI670" s="3914"/>
      <c r="AJ670" s="3914"/>
      <c r="AK670" s="3914"/>
      <c r="AL670" s="5854"/>
      <c r="AM670" s="2678"/>
      <c r="AN670" s="5123"/>
      <c r="AO670" s="3932"/>
      <c r="AP670" s="3812"/>
      <c r="AQ670" s="5889"/>
      <c r="AR670" s="2678"/>
      <c r="AS670" s="5685"/>
      <c r="AT670" s="5796"/>
      <c r="AU670" s="2678"/>
      <c r="AV670" s="2678"/>
      <c r="AW670" s="2678"/>
      <c r="AX670" s="2678"/>
      <c r="AY670" s="2678"/>
      <c r="AZ670" s="2678"/>
      <c r="BA670" s="5858"/>
      <c r="BB670" s="5858"/>
      <c r="BC670" s="5733"/>
      <c r="BD670" s="5858"/>
      <c r="BE670" s="5858"/>
      <c r="BF670" s="5858"/>
      <c r="BG670" s="5858"/>
      <c r="BH670" s="3914"/>
      <c r="BI670" s="5858"/>
      <c r="BJ670" s="5858"/>
      <c r="BK670" s="5858"/>
      <c r="BL670" s="5858"/>
      <c r="BM670" s="5858"/>
      <c r="BN670" s="5733"/>
      <c r="BO670" s="5796"/>
      <c r="BP670" s="5796"/>
      <c r="BQ670" s="5796"/>
      <c r="BR670" s="5796"/>
      <c r="BS670" s="5796"/>
      <c r="BT670" s="5796"/>
      <c r="BU670" s="5796"/>
      <c r="BV670" s="5860"/>
      <c r="BW670" s="5796"/>
      <c r="BX670" s="5796"/>
      <c r="BY670" s="5796"/>
      <c r="BZ670" s="5796"/>
      <c r="CA670" s="5796"/>
      <c r="CB670" s="5796"/>
      <c r="CC670" s="2678"/>
      <c r="CD670" s="5667"/>
      <c r="CE670" s="5154"/>
      <c r="CF670" s="5154"/>
      <c r="CG670" s="5154"/>
      <c r="CH670" s="5154"/>
    </row>
    <row r="671" s="4980" customFormat="1" ht="30" customHeight="1" spans="1:86">
      <c r="A671" s="2678"/>
      <c r="B671" s="857"/>
      <c r="C671" s="857"/>
      <c r="D671" s="5059"/>
      <c r="E671" s="5059"/>
      <c r="F671" s="5059"/>
      <c r="G671" s="1032"/>
      <c r="H671" s="2678"/>
      <c r="I671" s="5868"/>
      <c r="J671" s="5667"/>
      <c r="K671" s="1032"/>
      <c r="L671" s="5667"/>
      <c r="M671" s="2678"/>
      <c r="N671" s="2678"/>
      <c r="O671" s="2678"/>
      <c r="P671" s="2678"/>
      <c r="Q671" s="2678"/>
      <c r="R671" s="2678"/>
      <c r="S671" s="2678"/>
      <c r="T671" s="2678"/>
      <c r="U671" s="2678"/>
      <c r="V671" s="2678"/>
      <c r="W671" s="2678"/>
      <c r="X671" s="2678"/>
      <c r="Y671" s="2678"/>
      <c r="Z671" s="2678"/>
      <c r="AA671" s="2678"/>
      <c r="AB671" s="3932"/>
      <c r="AC671" s="2678"/>
      <c r="AD671" s="5241"/>
      <c r="AE671" s="5878"/>
      <c r="AF671" s="857"/>
      <c r="AG671" s="3812">
        <f>SUM(BA671:BN671)</f>
        <v>299853.456</v>
      </c>
      <c r="AH671" s="3812" t="s">
        <v>122</v>
      </c>
      <c r="AI671" s="2678">
        <v>44854</v>
      </c>
      <c r="AJ671" s="2678">
        <f>4*187408.41*40%</f>
        <v>299853.456</v>
      </c>
      <c r="AK671" s="2678">
        <v>44854</v>
      </c>
      <c r="AL671" s="2678"/>
      <c r="AM671" s="2678"/>
      <c r="AN671" s="5123">
        <f t="shared" ref="AN671:AN676" si="138">SUM(BO671:CB671)</f>
        <v>299853.456</v>
      </c>
      <c r="AO671" s="3932"/>
      <c r="AP671" s="3812">
        <f>AG671-AN671</f>
        <v>0</v>
      </c>
      <c r="AQ671" s="5889" t="s">
        <v>1543</v>
      </c>
      <c r="AR671" s="2678"/>
      <c r="AS671" s="5685"/>
      <c r="AT671" s="5796"/>
      <c r="AU671" s="2678"/>
      <c r="AV671" s="2678"/>
      <c r="AW671" s="2678"/>
      <c r="AX671" s="2678"/>
      <c r="AY671" s="2678"/>
      <c r="AZ671" s="2678"/>
      <c r="BA671" s="5858"/>
      <c r="BB671" s="5858"/>
      <c r="BC671" s="5733"/>
      <c r="BD671" s="5858"/>
      <c r="BE671" s="5858"/>
      <c r="BF671" s="5858"/>
      <c r="BG671" s="5858"/>
      <c r="BH671" s="2678">
        <v>299853.456</v>
      </c>
      <c r="BI671" s="5858"/>
      <c r="BJ671" s="5858"/>
      <c r="BK671" s="5858"/>
      <c r="BL671" s="5858"/>
      <c r="BM671" s="5858"/>
      <c r="BN671" s="5733"/>
      <c r="BO671" s="5796"/>
      <c r="BP671" s="5796"/>
      <c r="BQ671" s="5796"/>
      <c r="BR671" s="5796"/>
      <c r="BS671" s="5796"/>
      <c r="BT671" s="5796"/>
      <c r="BU671" s="5796"/>
      <c r="BV671" s="5860">
        <v>299853.456</v>
      </c>
      <c r="BW671" s="5796"/>
      <c r="BX671" s="5796"/>
      <c r="BY671" s="5796"/>
      <c r="BZ671" s="5796"/>
      <c r="CA671" s="5796"/>
      <c r="CB671" s="5796"/>
      <c r="CC671" s="2678"/>
      <c r="CD671" s="5667"/>
      <c r="CE671" s="5154"/>
      <c r="CF671" s="5154"/>
      <c r="CG671" s="5154"/>
      <c r="CH671" s="5154"/>
    </row>
    <row r="672" s="4980" customFormat="1" ht="30" customHeight="1" spans="1:86">
      <c r="A672" s="2678"/>
      <c r="B672" s="857"/>
      <c r="C672" s="857"/>
      <c r="D672" s="5059"/>
      <c r="E672" s="5059"/>
      <c r="F672" s="5059"/>
      <c r="G672" s="1032"/>
      <c r="H672" s="2678"/>
      <c r="I672" s="5868"/>
      <c r="J672" s="5667"/>
      <c r="K672" s="1032"/>
      <c r="L672" s="5667"/>
      <c r="M672" s="2678"/>
      <c r="N672" s="2678"/>
      <c r="O672" s="2678"/>
      <c r="P672" s="2678"/>
      <c r="Q672" s="2678"/>
      <c r="R672" s="2678"/>
      <c r="S672" s="2678"/>
      <c r="T672" s="2678"/>
      <c r="U672" s="2678"/>
      <c r="V672" s="2678"/>
      <c r="W672" s="2678"/>
      <c r="X672" s="2678"/>
      <c r="Y672" s="2678"/>
      <c r="Z672" s="2678"/>
      <c r="AA672" s="2678"/>
      <c r="AB672" s="3932"/>
      <c r="AC672" s="2678"/>
      <c r="AD672" s="5241"/>
      <c r="AE672" s="5878"/>
      <c r="AF672" s="857"/>
      <c r="AG672" s="3812">
        <f>SUM(BA672:BN672)</f>
        <v>128886.29</v>
      </c>
      <c r="AH672" s="3812" t="s">
        <v>122</v>
      </c>
      <c r="AI672" s="2678">
        <v>45232</v>
      </c>
      <c r="AJ672" s="2678">
        <v>128886.29</v>
      </c>
      <c r="AK672" s="2678">
        <v>45232</v>
      </c>
      <c r="AL672" s="5733">
        <v>128886.29</v>
      </c>
      <c r="AM672" s="5733">
        <v>45946</v>
      </c>
      <c r="AN672" s="4815">
        <f t="shared" si="138"/>
        <v>128886.29</v>
      </c>
      <c r="AO672" s="5880">
        <v>46386</v>
      </c>
      <c r="AP672" s="3812"/>
      <c r="AQ672" s="5853" t="s">
        <v>1544</v>
      </c>
      <c r="AR672" s="2678"/>
      <c r="AS672" s="5685"/>
      <c r="AT672" s="5796"/>
      <c r="AU672" s="2678"/>
      <c r="AV672" s="2678"/>
      <c r="AW672" s="2678"/>
      <c r="AX672" s="2678"/>
      <c r="AY672" s="2678"/>
      <c r="AZ672" s="2678"/>
      <c r="BA672" s="5858"/>
      <c r="BB672" s="5858"/>
      <c r="BC672" s="5733"/>
      <c r="BD672" s="5858"/>
      <c r="BE672" s="5858"/>
      <c r="BF672" s="5858"/>
      <c r="BG672" s="5858"/>
      <c r="BH672" s="2678">
        <v>128886.29</v>
      </c>
      <c r="BI672" s="5858"/>
      <c r="BJ672" s="5858"/>
      <c r="BK672" s="5858"/>
      <c r="BL672" s="5858"/>
      <c r="BM672" s="5858"/>
      <c r="BN672" s="5733"/>
      <c r="BO672" s="5796"/>
      <c r="BP672" s="5796"/>
      <c r="BQ672" s="5796"/>
      <c r="BR672" s="5796"/>
      <c r="BS672" s="5796"/>
      <c r="BT672" s="5796"/>
      <c r="BU672" s="5796"/>
      <c r="BV672" s="5733">
        <v>128886.29</v>
      </c>
      <c r="BW672" s="5796"/>
      <c r="BX672" s="5796"/>
      <c r="BY672" s="5796"/>
      <c r="BZ672" s="5796"/>
      <c r="CA672" s="5796"/>
      <c r="CB672" s="5796"/>
      <c r="CC672" s="2678"/>
      <c r="CD672" s="5667"/>
      <c r="CE672" s="5154"/>
      <c r="CF672" s="5154"/>
      <c r="CG672" s="5154"/>
      <c r="CH672" s="5154"/>
    </row>
    <row r="673" s="4980" customFormat="1" ht="30" customHeight="1" spans="1:86">
      <c r="A673" s="2678"/>
      <c r="B673" s="857"/>
      <c r="C673" s="857"/>
      <c r="D673" s="5059"/>
      <c r="E673" s="5059"/>
      <c r="F673" s="5059"/>
      <c r="G673" s="1032"/>
      <c r="H673" s="2678"/>
      <c r="I673" s="5868"/>
      <c r="J673" s="5667"/>
      <c r="K673" s="1032"/>
      <c r="L673" s="5667"/>
      <c r="M673" s="2678"/>
      <c r="N673" s="2678"/>
      <c r="O673" s="2678"/>
      <c r="P673" s="2678"/>
      <c r="Q673" s="2678"/>
      <c r="R673" s="2678"/>
      <c r="S673" s="2678"/>
      <c r="T673" s="2678"/>
      <c r="U673" s="2678"/>
      <c r="V673" s="2678"/>
      <c r="W673" s="2678"/>
      <c r="X673" s="2678"/>
      <c r="Y673" s="2678"/>
      <c r="Z673" s="2678"/>
      <c r="AA673" s="2678"/>
      <c r="AB673" s="3932"/>
      <c r="AC673" s="2678"/>
      <c r="AD673" s="5241"/>
      <c r="AE673" s="5878"/>
      <c r="AF673" s="857"/>
      <c r="AG673" s="3812">
        <f>SUM(BA673:BN673)</f>
        <v>0</v>
      </c>
      <c r="AH673" s="1052"/>
      <c r="AI673" s="2678"/>
      <c r="AJ673" s="3932"/>
      <c r="AK673" s="2678"/>
      <c r="AL673" s="2678"/>
      <c r="AM673" s="2678"/>
      <c r="AN673" s="3812">
        <f t="shared" si="138"/>
        <v>0</v>
      </c>
      <c r="AO673" s="2678"/>
      <c r="AP673" s="3812">
        <f>AG673-AN673</f>
        <v>0</v>
      </c>
      <c r="AQ673" s="5889"/>
      <c r="AR673" s="2678"/>
      <c r="AS673" s="5685"/>
      <c r="AT673" s="5796"/>
      <c r="AU673" s="2678"/>
      <c r="AV673" s="2678"/>
      <c r="AW673" s="2678"/>
      <c r="AX673" s="2678"/>
      <c r="AY673" s="2678"/>
      <c r="AZ673" s="2678"/>
      <c r="BA673" s="5796"/>
      <c r="BB673" s="5796"/>
      <c r="BC673" s="2678"/>
      <c r="BD673" s="5796"/>
      <c r="BE673" s="5796"/>
      <c r="BF673" s="5796"/>
      <c r="BG673" s="5796"/>
      <c r="BH673" s="3932"/>
      <c r="BI673" s="5796"/>
      <c r="BJ673" s="5796"/>
      <c r="BK673" s="5796"/>
      <c r="BL673" s="5796"/>
      <c r="BM673" s="5796"/>
      <c r="BN673" s="2678"/>
      <c r="BO673" s="5796"/>
      <c r="BP673" s="5796"/>
      <c r="BQ673" s="5796"/>
      <c r="BR673" s="5796"/>
      <c r="BS673" s="5796"/>
      <c r="BT673" s="5796"/>
      <c r="BU673" s="5796"/>
      <c r="BV673" s="5796"/>
      <c r="BW673" s="5796"/>
      <c r="BX673" s="5796"/>
      <c r="BY673" s="5796"/>
      <c r="BZ673" s="5796"/>
      <c r="CA673" s="5796"/>
      <c r="CB673" s="5796"/>
      <c r="CC673" s="2678"/>
      <c r="CD673" s="5667"/>
      <c r="CE673" s="5154"/>
      <c r="CF673" s="5154"/>
      <c r="CG673" s="5154"/>
      <c r="CH673" s="5154"/>
    </row>
    <row r="674" s="4980" customFormat="1" ht="76" spans="1:86">
      <c r="A674" s="2678"/>
      <c r="B674" s="857"/>
      <c r="C674" s="857"/>
      <c r="D674" s="5059"/>
      <c r="E674" s="5059"/>
      <c r="F674" s="5059"/>
      <c r="G674" s="1032"/>
      <c r="H674" s="2678"/>
      <c r="I674" s="5817"/>
      <c r="J674" s="5667"/>
      <c r="K674" s="1032"/>
      <c r="L674" s="5667"/>
      <c r="M674" s="2678"/>
      <c r="N674" s="2678"/>
      <c r="O674" s="2678"/>
      <c r="P674" s="2678"/>
      <c r="Q674" s="2678"/>
      <c r="R674" s="2678"/>
      <c r="S674" s="2678"/>
      <c r="T674" s="2678"/>
      <c r="U674" s="2678"/>
      <c r="V674" s="2678"/>
      <c r="W674" s="2678"/>
      <c r="X674" s="2678"/>
      <c r="Y674" s="2678"/>
      <c r="Z674" s="2678"/>
      <c r="AA674" s="2678"/>
      <c r="AB674" s="3932"/>
      <c r="AC674" s="2678">
        <v>4</v>
      </c>
      <c r="AD674" s="5241" t="s">
        <v>1545</v>
      </c>
      <c r="AE674" s="5878">
        <v>0.1</v>
      </c>
      <c r="AF674" s="857">
        <f>M658*AE674</f>
        <v>375371.936</v>
      </c>
      <c r="AG674" s="3812">
        <f t="shared" ref="AG674:AG696" si="139">SUM(BA674:BN674)</f>
        <v>0</v>
      </c>
      <c r="AH674" s="2678"/>
      <c r="AI674" s="2678"/>
      <c r="AJ674" s="2678"/>
      <c r="AK674" s="2678"/>
      <c r="AL674" s="2678"/>
      <c r="AM674" s="2678"/>
      <c r="AN674" s="3812">
        <f t="shared" si="138"/>
        <v>0</v>
      </c>
      <c r="AO674" s="2678"/>
      <c r="AP674" s="3812">
        <f t="shared" ref="AP674:AP676" si="140">AG674-AN674</f>
        <v>0</v>
      </c>
      <c r="AQ674" s="5796"/>
      <c r="AR674" s="2678"/>
      <c r="AS674" s="5896"/>
      <c r="AT674" s="5796"/>
      <c r="AU674" s="2678"/>
      <c r="AV674" s="2678"/>
      <c r="AW674" s="2678"/>
      <c r="AX674" s="2678"/>
      <c r="AY674" s="2678"/>
      <c r="AZ674" s="2678"/>
      <c r="BA674" s="5796"/>
      <c r="BB674" s="5796"/>
      <c r="BC674" s="2678"/>
      <c r="BD674" s="5796"/>
      <c r="BE674" s="5796"/>
      <c r="BF674" s="5796"/>
      <c r="BG674" s="5796"/>
      <c r="BH674" s="5796"/>
      <c r="BI674" s="5796"/>
      <c r="BJ674" s="5796"/>
      <c r="BK674" s="5796"/>
      <c r="BL674" s="5796"/>
      <c r="BM674" s="5796"/>
      <c r="BN674" s="2678"/>
      <c r="BO674" s="5796"/>
      <c r="BP674" s="5796"/>
      <c r="BQ674" s="5796"/>
      <c r="BR674" s="5796"/>
      <c r="BS674" s="5796"/>
      <c r="BT674" s="5796"/>
      <c r="BU674" s="5796"/>
      <c r="BV674" s="5796"/>
      <c r="BW674" s="5796"/>
      <c r="BX674" s="5796"/>
      <c r="BY674" s="5796"/>
      <c r="BZ674" s="5796"/>
      <c r="CA674" s="5796"/>
      <c r="CB674" s="5796"/>
      <c r="CC674" s="2678"/>
      <c r="CD674" s="5667"/>
      <c r="CE674" s="5154"/>
      <c r="CF674" s="5154"/>
      <c r="CG674" s="5154"/>
      <c r="CH674" s="5154"/>
    </row>
    <row r="675" s="4980" customFormat="1" ht="38.35" customHeight="1" spans="1:86">
      <c r="A675" s="3812">
        <v>12</v>
      </c>
      <c r="B675" s="857" t="s">
        <v>111</v>
      </c>
      <c r="C675" s="857">
        <v>44406</v>
      </c>
      <c r="D675" s="5059" t="s">
        <v>1546</v>
      </c>
      <c r="E675" s="1032" t="s">
        <v>1547</v>
      </c>
      <c r="F675" s="1032" t="s">
        <v>1548</v>
      </c>
      <c r="G675" s="1032" t="s">
        <v>1549</v>
      </c>
      <c r="H675" s="5667" t="s">
        <v>116</v>
      </c>
      <c r="I675" s="5050" t="s">
        <v>1550</v>
      </c>
      <c r="J675" s="5667" t="s">
        <v>1444</v>
      </c>
      <c r="K675" s="1032">
        <v>33867.6</v>
      </c>
      <c r="L675" s="1035" t="s">
        <v>1551</v>
      </c>
      <c r="M675" s="2678">
        <f>SUM(N675:AA680)</f>
        <v>1016028</v>
      </c>
      <c r="N675" s="2678">
        <v>0</v>
      </c>
      <c r="O675" s="2678">
        <v>0</v>
      </c>
      <c r="P675" s="2678">
        <v>0</v>
      </c>
      <c r="Q675" s="2678">
        <v>521912.94936</v>
      </c>
      <c r="R675" s="2678">
        <v>0</v>
      </c>
      <c r="S675" s="2678">
        <v>325087.53288</v>
      </c>
      <c r="T675" s="5823">
        <v>0</v>
      </c>
      <c r="U675" s="2678">
        <v>65796.67776</v>
      </c>
      <c r="V675" s="2678">
        <v>75000</v>
      </c>
      <c r="W675" s="2678">
        <v>0</v>
      </c>
      <c r="X675" s="2678">
        <v>0</v>
      </c>
      <c r="Y675" s="2678"/>
      <c r="Z675" s="2678"/>
      <c r="AA675" s="2678">
        <v>28230.84</v>
      </c>
      <c r="AB675" s="3932">
        <v>0</v>
      </c>
      <c r="AC675" s="5667" t="s">
        <v>1552</v>
      </c>
      <c r="AD675" s="5241" t="s">
        <v>1553</v>
      </c>
      <c r="AE675" s="5878">
        <v>0.1</v>
      </c>
      <c r="AF675" s="857">
        <f>M675*AE675</f>
        <v>101602.8</v>
      </c>
      <c r="AG675" s="3812">
        <f t="shared" si="139"/>
        <v>304808.37</v>
      </c>
      <c r="AH675" s="3812" t="s">
        <v>122</v>
      </c>
      <c r="AI675" s="2678">
        <v>44424</v>
      </c>
      <c r="AJ675" s="2678">
        <v>304808.4</v>
      </c>
      <c r="AK675" s="2678">
        <v>44424</v>
      </c>
      <c r="AL675" s="2678">
        <v>101602.8</v>
      </c>
      <c r="AM675" s="5059">
        <v>44426</v>
      </c>
      <c r="AN675" s="3812">
        <f t="shared" si="138"/>
        <v>101602.8</v>
      </c>
      <c r="AO675" s="5059">
        <v>44468</v>
      </c>
      <c r="AP675" s="3812">
        <f t="shared" si="140"/>
        <v>203205.57</v>
      </c>
      <c r="AQ675" s="5890" t="s">
        <v>1554</v>
      </c>
      <c r="AR675" s="2678"/>
      <c r="AS675" s="5685"/>
      <c r="AT675" s="5796"/>
      <c r="AU675" s="2678">
        <f>SUM(AG675:AG680)</f>
        <v>1016027.97</v>
      </c>
      <c r="AV675" s="2678">
        <f>SUM(AL675:AL680)</f>
        <v>304808.4</v>
      </c>
      <c r="AW675" s="2678">
        <f>SUM(AN675:AN680)</f>
        <v>965226.57</v>
      </c>
      <c r="AX675" s="2678">
        <f>M675-AU675</f>
        <v>0.0300000000279397</v>
      </c>
      <c r="AY675" s="2678">
        <f>AU675-AV675</f>
        <v>711219.57</v>
      </c>
      <c r="AZ675" s="2678">
        <f>AV675-AW675</f>
        <v>-660418.17</v>
      </c>
      <c r="BA675" s="2678"/>
      <c r="BB675" s="2678"/>
      <c r="BC675" s="2678"/>
      <c r="BD675" s="5899">
        <v>156573.87</v>
      </c>
      <c r="BE675" s="2678"/>
      <c r="BF675" s="5899">
        <v>97526.24</v>
      </c>
      <c r="BG675" s="2678"/>
      <c r="BH675" s="5899">
        <v>19739.01</v>
      </c>
      <c r="BI675" s="5899">
        <v>22499.99</v>
      </c>
      <c r="BJ675" s="2678"/>
      <c r="BK675" s="2678"/>
      <c r="BL675" s="2678"/>
      <c r="BM675" s="2678"/>
      <c r="BN675" s="5899">
        <v>8469.26</v>
      </c>
      <c r="BO675" s="5796"/>
      <c r="BP675" s="5796"/>
      <c r="BQ675" s="5796"/>
      <c r="BR675" s="5796">
        <v>52191.29</v>
      </c>
      <c r="BS675" s="5796"/>
      <c r="BT675" s="5796">
        <v>32508.75</v>
      </c>
      <c r="BU675" s="5796"/>
      <c r="BV675" s="5796">
        <v>6579.67</v>
      </c>
      <c r="BW675" s="5796">
        <v>7500</v>
      </c>
      <c r="BX675" s="5796"/>
      <c r="BY675" s="5796"/>
      <c r="BZ675" s="5796"/>
      <c r="CA675" s="5796"/>
      <c r="CB675" s="5796">
        <v>2823.09</v>
      </c>
      <c r="CC675" s="2678" t="s">
        <v>166</v>
      </c>
      <c r="CD675" s="5667" t="s">
        <v>154</v>
      </c>
      <c r="CE675" s="5154"/>
      <c r="CF675" s="5154"/>
      <c r="CG675" s="5154"/>
      <c r="CH675" s="5154"/>
    </row>
    <row r="676" s="4980" customFormat="1" ht="32.5" customHeight="1" spans="1:86">
      <c r="A676" s="3812"/>
      <c r="B676" s="857"/>
      <c r="C676" s="857"/>
      <c r="D676" s="5059"/>
      <c r="E676" s="5059"/>
      <c r="F676" s="5059"/>
      <c r="G676" s="1032"/>
      <c r="H676" s="5667"/>
      <c r="I676" s="5868"/>
      <c r="J676" s="5667"/>
      <c r="K676" s="1032"/>
      <c r="L676" s="1035"/>
      <c r="M676" s="2678"/>
      <c r="N676" s="2678"/>
      <c r="O676" s="2678"/>
      <c r="P676" s="2678"/>
      <c r="Q676" s="2678"/>
      <c r="R676" s="2678"/>
      <c r="S676" s="2678"/>
      <c r="T676" s="2678"/>
      <c r="U676" s="2678"/>
      <c r="V676" s="2678"/>
      <c r="W676" s="2678"/>
      <c r="X676" s="2678"/>
      <c r="Y676" s="2678"/>
      <c r="Z676" s="2678"/>
      <c r="AA676" s="2678"/>
      <c r="AB676" s="3932"/>
      <c r="AC676" s="5667" t="s">
        <v>1555</v>
      </c>
      <c r="AD676" s="5241" t="s">
        <v>1556</v>
      </c>
      <c r="AE676" s="1032">
        <v>0.2</v>
      </c>
      <c r="AF676" s="857">
        <f>M675*AE676</f>
        <v>203205.6</v>
      </c>
      <c r="AG676" s="3812"/>
      <c r="AH676" s="3812"/>
      <c r="AI676" s="2678"/>
      <c r="AJ676" s="2678"/>
      <c r="AK676" s="2678"/>
      <c r="AL676" s="2678">
        <f>AJ675-AL675</f>
        <v>203205.6</v>
      </c>
      <c r="AM676" s="2678"/>
      <c r="AN676" s="3812">
        <f t="shared" si="138"/>
        <v>203205.57</v>
      </c>
      <c r="AO676" s="2678"/>
      <c r="AP676" s="3812">
        <f t="shared" si="140"/>
        <v>-203205.57</v>
      </c>
      <c r="AQ676" s="5796"/>
      <c r="AR676" s="2678"/>
      <c r="AS676" s="5685"/>
      <c r="AT676" s="5796"/>
      <c r="AU676" s="2678"/>
      <c r="AV676" s="2678"/>
      <c r="AW676" s="2678"/>
      <c r="AX676" s="2678"/>
      <c r="AY676" s="2678"/>
      <c r="AZ676" s="2678"/>
      <c r="BA676" s="2678"/>
      <c r="BB676" s="2678"/>
      <c r="BC676" s="2678"/>
      <c r="BD676" s="5899"/>
      <c r="BE676" s="2678"/>
      <c r="BF676" s="5899"/>
      <c r="BG676" s="2678"/>
      <c r="BH676" s="5899"/>
      <c r="BI676" s="5899"/>
      <c r="BJ676" s="2678"/>
      <c r="BK676" s="2678"/>
      <c r="BL676" s="2678"/>
      <c r="BM676" s="2678"/>
      <c r="BN676" s="5899"/>
      <c r="BO676" s="5796"/>
      <c r="BP676" s="5796"/>
      <c r="BQ676" s="5796"/>
      <c r="BR676" s="5796">
        <f>BD675-BR675</f>
        <v>104382.58</v>
      </c>
      <c r="BS676" s="5796"/>
      <c r="BT676" s="5796">
        <f>BF675-BT675</f>
        <v>65017.49</v>
      </c>
      <c r="BU676" s="5796"/>
      <c r="BV676" s="5796">
        <f>BH675-BV675</f>
        <v>13159.34</v>
      </c>
      <c r="BW676" s="5796">
        <f>BI675-BW675</f>
        <v>14999.99</v>
      </c>
      <c r="BX676" s="5796"/>
      <c r="BY676" s="5796"/>
      <c r="BZ676" s="5796"/>
      <c r="CA676" s="5796"/>
      <c r="CB676" s="5796">
        <f>BN675-CB675</f>
        <v>5646.17</v>
      </c>
      <c r="CC676" s="2678"/>
      <c r="CD676" s="5667"/>
      <c r="CE676" s="5154"/>
      <c r="CF676" s="5154"/>
      <c r="CG676" s="5154"/>
      <c r="CH676" s="5154"/>
    </row>
    <row r="677" s="4980" customFormat="1" ht="29.25" customHeight="1" spans="1:86">
      <c r="A677" s="3812"/>
      <c r="B677" s="857"/>
      <c r="C677" s="857"/>
      <c r="D677" s="5059"/>
      <c r="E677" s="5059"/>
      <c r="F677" s="5059"/>
      <c r="G677" s="1032"/>
      <c r="H677" s="5059"/>
      <c r="I677" s="5868"/>
      <c r="J677" s="5059"/>
      <c r="K677" s="1032"/>
      <c r="L677" s="1032"/>
      <c r="M677" s="3812"/>
      <c r="N677" s="2678"/>
      <c r="O677" s="2678"/>
      <c r="P677" s="2678"/>
      <c r="Q677" s="2678"/>
      <c r="R677" s="2678"/>
      <c r="S677" s="2678"/>
      <c r="T677" s="2678"/>
      <c r="U677" s="2678"/>
      <c r="V677" s="2678"/>
      <c r="W677" s="2678"/>
      <c r="X677" s="2678"/>
      <c r="Y677" s="2678"/>
      <c r="Z677" s="2678"/>
      <c r="AA677" s="2678"/>
      <c r="AB677" s="3932"/>
      <c r="AC677" s="5059" t="s">
        <v>1557</v>
      </c>
      <c r="AD677" s="5241" t="s">
        <v>1558</v>
      </c>
      <c r="AE677" s="1032">
        <v>0.2</v>
      </c>
      <c r="AF677" s="857">
        <f>M675*AE677</f>
        <v>203205.6</v>
      </c>
      <c r="AG677" s="5123">
        <f t="shared" si="139"/>
        <v>203205.6</v>
      </c>
      <c r="AH677" s="5882"/>
      <c r="AI677" s="5883"/>
      <c r="AJ677" s="5884"/>
      <c r="AK677" s="3812"/>
      <c r="AL677" s="3812"/>
      <c r="AM677" s="3812"/>
      <c r="AN677" s="3812">
        <f t="shared" ref="AN677:AN692" si="141">SUM(BO677:CB677)</f>
        <v>203205.6</v>
      </c>
      <c r="AO677" s="5123"/>
      <c r="AP677" s="3812"/>
      <c r="AQ677" s="5146"/>
      <c r="AR677" s="2678"/>
      <c r="AS677" s="5685"/>
      <c r="AT677" s="5796"/>
      <c r="AU677" s="2678"/>
      <c r="AV677" s="2678"/>
      <c r="AW677" s="2678"/>
      <c r="AX677" s="2678"/>
      <c r="AY677" s="2678"/>
      <c r="AZ677" s="2678"/>
      <c r="BA677" s="5146"/>
      <c r="BB677" s="5146"/>
      <c r="BC677" s="3812"/>
      <c r="BD677" s="5900">
        <v>168210.66</v>
      </c>
      <c r="BE677" s="5904"/>
      <c r="BF677" s="5900">
        <v>0</v>
      </c>
      <c r="BG677" s="5904"/>
      <c r="BH677" s="5900">
        <v>10160.28</v>
      </c>
      <c r="BI677" s="5900">
        <v>10160.28</v>
      </c>
      <c r="BJ677" s="5904"/>
      <c r="BK677" s="5904"/>
      <c r="BL677" s="5904"/>
      <c r="BM677" s="5904"/>
      <c r="BN677" s="5907">
        <v>14674.38</v>
      </c>
      <c r="BO677" s="5146"/>
      <c r="BP677" s="5146"/>
      <c r="BQ677" s="5146"/>
      <c r="BR677" s="5160">
        <v>168210.66</v>
      </c>
      <c r="BS677" s="5160"/>
      <c r="BT677" s="5160">
        <v>0</v>
      </c>
      <c r="BU677" s="5160"/>
      <c r="BV677" s="5160">
        <v>10160.28</v>
      </c>
      <c r="BW677" s="5160">
        <v>10160.28</v>
      </c>
      <c r="BX677" s="5904"/>
      <c r="BY677" s="5904"/>
      <c r="BZ677" s="5904"/>
      <c r="CA677" s="5904"/>
      <c r="CB677" s="5900">
        <v>14674.38</v>
      </c>
      <c r="CC677" s="3812"/>
      <c r="CD677" s="5059"/>
      <c r="CE677" s="5154"/>
      <c r="CF677" s="5154"/>
      <c r="CG677" s="5154"/>
      <c r="CH677" s="5154"/>
    </row>
    <row r="678" s="4980" customFormat="1" ht="29.25" customHeight="1" spans="1:86">
      <c r="A678" s="3812"/>
      <c r="B678" s="857"/>
      <c r="C678" s="857"/>
      <c r="D678" s="5059"/>
      <c r="E678" s="5059"/>
      <c r="F678" s="5059"/>
      <c r="G678" s="1032"/>
      <c r="H678" s="5667"/>
      <c r="I678" s="5868"/>
      <c r="J678" s="5667"/>
      <c r="K678" s="1032"/>
      <c r="L678" s="1035"/>
      <c r="M678" s="2678"/>
      <c r="N678" s="2678"/>
      <c r="O678" s="2678"/>
      <c r="P678" s="2678"/>
      <c r="Q678" s="2678"/>
      <c r="R678" s="2678"/>
      <c r="S678" s="2678"/>
      <c r="T678" s="2678"/>
      <c r="U678" s="2678"/>
      <c r="V678" s="2678"/>
      <c r="W678" s="2678"/>
      <c r="X678" s="2678"/>
      <c r="Y678" s="2678"/>
      <c r="Z678" s="2678"/>
      <c r="AA678" s="2678"/>
      <c r="AB678" s="3932"/>
      <c r="AC678" s="5667" t="s">
        <v>1559</v>
      </c>
      <c r="AD678" s="5241" t="s">
        <v>1560</v>
      </c>
      <c r="AE678" s="1032">
        <v>0.2</v>
      </c>
      <c r="AF678" s="857">
        <f>M675*AE678</f>
        <v>203205.6</v>
      </c>
      <c r="AG678" s="5123">
        <f t="shared" si="139"/>
        <v>203205.6</v>
      </c>
      <c r="AH678" s="5882"/>
      <c r="AI678" s="5883"/>
      <c r="AJ678" s="5884"/>
      <c r="AK678" s="2678"/>
      <c r="AL678" s="2678"/>
      <c r="AM678" s="2678"/>
      <c r="AN678" s="3812">
        <f t="shared" si="141"/>
        <v>203205.6</v>
      </c>
      <c r="AO678" s="3932"/>
      <c r="AP678" s="3812"/>
      <c r="AQ678" s="5796"/>
      <c r="AR678" s="2678"/>
      <c r="AS678" s="5685"/>
      <c r="AT678" s="5796"/>
      <c r="AU678" s="2678"/>
      <c r="AV678" s="2678"/>
      <c r="AW678" s="2678"/>
      <c r="AX678" s="2678"/>
      <c r="AY678" s="2678"/>
      <c r="AZ678" s="2678"/>
      <c r="BA678" s="5796"/>
      <c r="BB678" s="5796"/>
      <c r="BC678" s="2678"/>
      <c r="BD678" s="5901">
        <v>171032.78</v>
      </c>
      <c r="BE678" s="5905"/>
      <c r="BF678" s="5901">
        <v>0</v>
      </c>
      <c r="BG678" s="5905"/>
      <c r="BH678" s="5901">
        <v>13008.5</v>
      </c>
      <c r="BI678" s="5901">
        <v>15488.67</v>
      </c>
      <c r="BJ678" s="5905"/>
      <c r="BK678" s="5905"/>
      <c r="BL678" s="5905"/>
      <c r="BM678" s="5905"/>
      <c r="BN678" s="5908">
        <v>3675.65</v>
      </c>
      <c r="BO678" s="5796"/>
      <c r="BP678" s="5796"/>
      <c r="BQ678" s="5796"/>
      <c r="BR678" s="5860">
        <v>171032.78</v>
      </c>
      <c r="BS678" s="5860"/>
      <c r="BT678" s="5860">
        <v>0</v>
      </c>
      <c r="BU678" s="5860"/>
      <c r="BV678" s="5860">
        <v>13008.5</v>
      </c>
      <c r="BW678" s="5860">
        <v>15488.67</v>
      </c>
      <c r="BX678" s="5905"/>
      <c r="BY678" s="5905"/>
      <c r="BZ678" s="5905"/>
      <c r="CA678" s="5905"/>
      <c r="CB678" s="5901">
        <v>3675.65</v>
      </c>
      <c r="CC678" s="2678"/>
      <c r="CD678" s="5667"/>
      <c r="CE678" s="5154"/>
      <c r="CF678" s="5154"/>
      <c r="CG678" s="5154"/>
      <c r="CH678" s="5154"/>
    </row>
    <row r="679" s="4980" customFormat="1" ht="41.65" customHeight="1" spans="1:86">
      <c r="A679" s="3812"/>
      <c r="B679" s="857"/>
      <c r="C679" s="857"/>
      <c r="D679" s="5059"/>
      <c r="E679" s="5059"/>
      <c r="F679" s="5059"/>
      <c r="G679" s="1032"/>
      <c r="H679" s="5667"/>
      <c r="I679" s="5868"/>
      <c r="J679" s="5667"/>
      <c r="K679" s="1032"/>
      <c r="L679" s="1035"/>
      <c r="M679" s="2678"/>
      <c r="N679" s="2678"/>
      <c r="O679" s="2678"/>
      <c r="P679" s="2678"/>
      <c r="Q679" s="2678"/>
      <c r="R679" s="2678"/>
      <c r="S679" s="2678"/>
      <c r="T679" s="2678"/>
      <c r="U679" s="2678"/>
      <c r="V679" s="2678"/>
      <c r="W679" s="2678"/>
      <c r="X679" s="2678"/>
      <c r="Y679" s="2678"/>
      <c r="Z679" s="2678"/>
      <c r="AA679" s="2678"/>
      <c r="AB679" s="3932"/>
      <c r="AC679" s="5667" t="s">
        <v>1561</v>
      </c>
      <c r="AD679" s="5241" t="s">
        <v>1562</v>
      </c>
      <c r="AE679" s="5878">
        <v>0.25</v>
      </c>
      <c r="AF679" s="857">
        <f>M675*AE679</f>
        <v>254007</v>
      </c>
      <c r="AG679" s="5123">
        <f t="shared" si="139"/>
        <v>254007</v>
      </c>
      <c r="AH679" s="5882"/>
      <c r="AI679" s="5883"/>
      <c r="AJ679" s="5884"/>
      <c r="AK679" s="2678"/>
      <c r="AL679" s="2678"/>
      <c r="AM679" s="2678"/>
      <c r="AN679" s="3812">
        <f t="shared" si="141"/>
        <v>254007</v>
      </c>
      <c r="AO679" s="3932"/>
      <c r="AP679" s="3812"/>
      <c r="AQ679" s="5796"/>
      <c r="AR679" s="2678"/>
      <c r="AS679" s="5685"/>
      <c r="AT679" s="5796"/>
      <c r="AU679" s="2678"/>
      <c r="AV679" s="2678"/>
      <c r="AW679" s="2678"/>
      <c r="AX679" s="2678"/>
      <c r="AY679" s="2678"/>
      <c r="AZ679" s="2678"/>
      <c r="BA679" s="5796"/>
      <c r="BB679" s="5796"/>
      <c r="BC679" s="2678"/>
      <c r="BD679" s="5901">
        <v>0</v>
      </c>
      <c r="BE679" s="5905"/>
      <c r="BF679" s="5901">
        <v>211306.89</v>
      </c>
      <c r="BG679" s="5905"/>
      <c r="BH679" s="5901">
        <v>19599.05</v>
      </c>
      <c r="BI679" s="5901">
        <v>23101.06</v>
      </c>
      <c r="BJ679" s="5905"/>
      <c r="BK679" s="5905"/>
      <c r="BL679" s="5905"/>
      <c r="BM679" s="5905"/>
      <c r="BN679" s="5908">
        <v>0</v>
      </c>
      <c r="BO679" s="5796"/>
      <c r="BP679" s="5796"/>
      <c r="BQ679" s="5796"/>
      <c r="BR679" s="5860">
        <v>0</v>
      </c>
      <c r="BS679" s="5860"/>
      <c r="BT679" s="5860">
        <v>211306.89</v>
      </c>
      <c r="BU679" s="5860"/>
      <c r="BV679" s="5860">
        <v>19599.05</v>
      </c>
      <c r="BW679" s="5860">
        <v>23101.06</v>
      </c>
      <c r="BX679" s="5905"/>
      <c r="BY679" s="5905"/>
      <c r="BZ679" s="5905"/>
      <c r="CA679" s="5905"/>
      <c r="CB679" s="5901">
        <v>0</v>
      </c>
      <c r="CC679" s="2678"/>
      <c r="CD679" s="5667"/>
      <c r="CE679" s="5154"/>
      <c r="CF679" s="5154"/>
      <c r="CG679" s="5154"/>
      <c r="CH679" s="5154"/>
    </row>
    <row r="680" s="4980" customFormat="1" ht="30.85" customHeight="1" spans="1:86">
      <c r="A680" s="3812"/>
      <c r="B680" s="857"/>
      <c r="C680" s="857"/>
      <c r="D680" s="5059"/>
      <c r="E680" s="5059"/>
      <c r="F680" s="5059"/>
      <c r="G680" s="1032"/>
      <c r="H680" s="5667"/>
      <c r="I680" s="5817"/>
      <c r="J680" s="5667"/>
      <c r="K680" s="1032"/>
      <c r="L680" s="1035"/>
      <c r="M680" s="2678"/>
      <c r="N680" s="2678"/>
      <c r="O680" s="2678"/>
      <c r="P680" s="2678"/>
      <c r="Q680" s="2678"/>
      <c r="R680" s="2678"/>
      <c r="S680" s="2678"/>
      <c r="T680" s="2678"/>
      <c r="U680" s="2678"/>
      <c r="V680" s="2678"/>
      <c r="W680" s="2678"/>
      <c r="X680" s="2678"/>
      <c r="Y680" s="2678"/>
      <c r="Z680" s="2678"/>
      <c r="AA680" s="2678"/>
      <c r="AB680" s="3932"/>
      <c r="AC680" s="5667" t="s">
        <v>1563</v>
      </c>
      <c r="AD680" s="5241" t="s">
        <v>1564</v>
      </c>
      <c r="AE680" s="5878">
        <v>0.05</v>
      </c>
      <c r="AF680" s="857">
        <f>M675*AE680</f>
        <v>50801.4</v>
      </c>
      <c r="AG680" s="3812">
        <f t="shared" si="139"/>
        <v>50801.4</v>
      </c>
      <c r="AH680" s="3812"/>
      <c r="AI680" s="2678"/>
      <c r="AJ680" s="2678"/>
      <c r="AK680" s="2678"/>
      <c r="AL680" s="2678"/>
      <c r="AM680" s="2678"/>
      <c r="AN680" s="3812">
        <f t="shared" si="141"/>
        <v>0</v>
      </c>
      <c r="AO680" s="2678"/>
      <c r="AP680" s="3812">
        <f t="shared" ref="AP680:AP682" si="142">AG680-AN680</f>
        <v>50801.4</v>
      </c>
      <c r="AQ680" s="5796"/>
      <c r="AR680" s="2678"/>
      <c r="AS680" s="5896"/>
      <c r="AT680" s="5796"/>
      <c r="AU680" s="2678"/>
      <c r="AV680" s="2678"/>
      <c r="AW680" s="2678"/>
      <c r="AX680" s="2678"/>
      <c r="AY680" s="2678"/>
      <c r="AZ680" s="2678"/>
      <c r="BA680" s="5796"/>
      <c r="BB680" s="5796"/>
      <c r="BC680" s="2678"/>
      <c r="BD680" s="5901">
        <v>26095.65</v>
      </c>
      <c r="BE680" s="5905"/>
      <c r="BF680" s="5901">
        <v>16254.38</v>
      </c>
      <c r="BG680" s="5905"/>
      <c r="BH680" s="5901">
        <v>3289.83</v>
      </c>
      <c r="BI680" s="5901">
        <v>3750</v>
      </c>
      <c r="BJ680" s="5905"/>
      <c r="BK680" s="5905"/>
      <c r="BL680" s="5905"/>
      <c r="BM680" s="5905"/>
      <c r="BN680" s="5908">
        <v>1411.54</v>
      </c>
      <c r="BO680" s="5796"/>
      <c r="BP680" s="5796"/>
      <c r="BQ680" s="5796"/>
      <c r="BR680" s="5796"/>
      <c r="BS680" s="5796"/>
      <c r="BT680" s="5796"/>
      <c r="BU680" s="5796"/>
      <c r="BV680" s="5796"/>
      <c r="BW680" s="5796"/>
      <c r="BX680" s="5796"/>
      <c r="BY680" s="5796"/>
      <c r="BZ680" s="5796"/>
      <c r="CA680" s="5796"/>
      <c r="CB680" s="5796"/>
      <c r="CC680" s="2678"/>
      <c r="CD680" s="5667"/>
      <c r="CE680" s="5154"/>
      <c r="CF680" s="5154"/>
      <c r="CG680" s="5154"/>
      <c r="CH680" s="5154"/>
    </row>
    <row r="681" s="4980" customFormat="1" ht="54.15" customHeight="1" spans="1:86">
      <c r="A681" s="2678">
        <v>13</v>
      </c>
      <c r="B681" s="857" t="s">
        <v>111</v>
      </c>
      <c r="C681" s="857">
        <v>44383</v>
      </c>
      <c r="D681" s="5059" t="s">
        <v>1565</v>
      </c>
      <c r="E681" s="1032" t="s">
        <v>1566</v>
      </c>
      <c r="F681" s="5059" t="s">
        <v>1567</v>
      </c>
      <c r="G681" s="1032" t="s">
        <v>1568</v>
      </c>
      <c r="H681" s="2678" t="s">
        <v>1569</v>
      </c>
      <c r="I681" s="5050" t="s">
        <v>1570</v>
      </c>
      <c r="J681" s="5667" t="s">
        <v>1426</v>
      </c>
      <c r="K681" s="1032">
        <v>8357.59</v>
      </c>
      <c r="L681" s="5667" t="s">
        <v>1571</v>
      </c>
      <c r="M681" s="2678">
        <f>SUM(N681:AA685)</f>
        <v>250000</v>
      </c>
      <c r="N681" s="2678">
        <v>0</v>
      </c>
      <c r="O681" s="2678">
        <v>0</v>
      </c>
      <c r="P681" s="2678">
        <v>0</v>
      </c>
      <c r="Q681" s="2678">
        <v>0</v>
      </c>
      <c r="R681" s="2678">
        <v>0</v>
      </c>
      <c r="S681" s="2678">
        <v>0</v>
      </c>
      <c r="T681" s="5823">
        <v>0</v>
      </c>
      <c r="U681" s="2678">
        <v>50000</v>
      </c>
      <c r="V681" s="2678">
        <v>0</v>
      </c>
      <c r="W681" s="2678">
        <v>200000</v>
      </c>
      <c r="X681" s="2678">
        <v>0</v>
      </c>
      <c r="Y681" s="2678"/>
      <c r="Z681" s="2678"/>
      <c r="AA681" s="2678">
        <v>0</v>
      </c>
      <c r="AB681" s="2678">
        <v>0</v>
      </c>
      <c r="AC681" s="2678">
        <v>1</v>
      </c>
      <c r="AD681" s="5241" t="s">
        <v>1572</v>
      </c>
      <c r="AE681" s="5878">
        <v>0.3</v>
      </c>
      <c r="AF681" s="857">
        <f>M681*AE681</f>
        <v>75000</v>
      </c>
      <c r="AG681" s="3812">
        <f t="shared" si="139"/>
        <v>75000</v>
      </c>
      <c r="AH681" s="3812" t="s">
        <v>122</v>
      </c>
      <c r="AI681" s="2678">
        <v>44440</v>
      </c>
      <c r="AJ681" s="857">
        <v>75000</v>
      </c>
      <c r="AK681" s="2678">
        <v>44454</v>
      </c>
      <c r="AL681" s="857">
        <v>75000</v>
      </c>
      <c r="AM681" s="2678">
        <v>44461</v>
      </c>
      <c r="AN681" s="3812">
        <f t="shared" si="141"/>
        <v>100000</v>
      </c>
      <c r="AO681" s="5059">
        <v>44530</v>
      </c>
      <c r="AP681" s="3812">
        <f t="shared" si="142"/>
        <v>-25000</v>
      </c>
      <c r="AQ681" s="1035"/>
      <c r="AR681" s="2678"/>
      <c r="AS681" s="5685"/>
      <c r="AT681" s="5796"/>
      <c r="AU681" s="2678">
        <f>SUM(AG681:AG685)</f>
        <v>250000</v>
      </c>
      <c r="AV681" s="2678">
        <f>SUM(AL681:AL685)</f>
        <v>237500</v>
      </c>
      <c r="AW681" s="2678">
        <f>SUM(AN681:AN685)</f>
        <v>250000</v>
      </c>
      <c r="AX681" s="2678">
        <f>M681-AU681</f>
        <v>0</v>
      </c>
      <c r="AY681" s="2678">
        <f>AU681-AV681</f>
        <v>12500</v>
      </c>
      <c r="AZ681" s="2678">
        <f>AV681-AW681</f>
        <v>-12500</v>
      </c>
      <c r="BA681" s="5796"/>
      <c r="BB681" s="5796"/>
      <c r="BC681" s="2678"/>
      <c r="BD681" s="5796"/>
      <c r="BE681" s="5796"/>
      <c r="BF681" s="5796"/>
      <c r="BG681" s="5796"/>
      <c r="BH681" s="857">
        <v>15000</v>
      </c>
      <c r="BI681" s="857"/>
      <c r="BJ681" s="857">
        <v>60000</v>
      </c>
      <c r="BK681" s="857"/>
      <c r="BL681" s="857"/>
      <c r="BM681" s="857"/>
      <c r="BN681" s="2678"/>
      <c r="BO681" s="5796"/>
      <c r="BP681" s="5796"/>
      <c r="BQ681" s="5796"/>
      <c r="BR681" s="5796"/>
      <c r="BS681" s="5796"/>
      <c r="BT681" s="5796"/>
      <c r="BU681" s="5796"/>
      <c r="BV681" s="857">
        <v>20000</v>
      </c>
      <c r="BW681" s="5912"/>
      <c r="BX681" s="857">
        <v>80000</v>
      </c>
      <c r="BY681" s="5912"/>
      <c r="BZ681" s="5912"/>
      <c r="CA681" s="5912"/>
      <c r="CB681" s="5733"/>
      <c r="CC681" s="2678" t="s">
        <v>166</v>
      </c>
      <c r="CD681" s="5667" t="s">
        <v>154</v>
      </c>
      <c r="CE681" s="5154"/>
      <c r="CF681" s="5154"/>
      <c r="CG681" s="5154"/>
      <c r="CH681" s="5154"/>
    </row>
    <row r="682" s="4980" customFormat="1" ht="51" customHeight="1" spans="1:86">
      <c r="A682" s="2678"/>
      <c r="B682" s="857"/>
      <c r="C682" s="857"/>
      <c r="D682" s="5059"/>
      <c r="E682" s="5059"/>
      <c r="F682" s="5059"/>
      <c r="G682" s="1032"/>
      <c r="H682" s="2678"/>
      <c r="I682" s="5868"/>
      <c r="J682" s="5667"/>
      <c r="K682" s="1032"/>
      <c r="L682" s="5667"/>
      <c r="M682" s="2678"/>
      <c r="N682" s="2678"/>
      <c r="O682" s="2678"/>
      <c r="P682" s="2678"/>
      <c r="Q682" s="2678"/>
      <c r="R682" s="2678"/>
      <c r="S682" s="2678"/>
      <c r="T682" s="2678"/>
      <c r="U682" s="2678"/>
      <c r="V682" s="2678"/>
      <c r="W682" s="2678"/>
      <c r="X682" s="2678"/>
      <c r="Y682" s="2678"/>
      <c r="Z682" s="2678"/>
      <c r="AA682" s="2678"/>
      <c r="AB682" s="2678"/>
      <c r="AC682" s="2678">
        <v>2</v>
      </c>
      <c r="AD682" s="5241" t="s">
        <v>1573</v>
      </c>
      <c r="AE682" s="1032">
        <v>0.3</v>
      </c>
      <c r="AF682" s="857">
        <f>M681*AE682</f>
        <v>75000</v>
      </c>
      <c r="AG682" s="3812">
        <f t="shared" si="139"/>
        <v>75000</v>
      </c>
      <c r="AH682" s="3812" t="s">
        <v>122</v>
      </c>
      <c r="AI682" s="2678">
        <v>44440</v>
      </c>
      <c r="AJ682" s="857">
        <v>75000</v>
      </c>
      <c r="AK682" s="2678">
        <v>44454</v>
      </c>
      <c r="AL682" s="857">
        <v>75000</v>
      </c>
      <c r="AM682" s="2678">
        <v>44461</v>
      </c>
      <c r="AN682" s="3812">
        <f t="shared" si="141"/>
        <v>50000</v>
      </c>
      <c r="AO682" s="5059">
        <v>44895</v>
      </c>
      <c r="AP682" s="3812">
        <f>AG682-AN682+AP681</f>
        <v>0</v>
      </c>
      <c r="AQ682" s="5667"/>
      <c r="AR682" s="2678"/>
      <c r="AS682" s="5685"/>
      <c r="AT682" s="5796"/>
      <c r="AU682" s="2678"/>
      <c r="AV682" s="2678"/>
      <c r="AW682" s="2678"/>
      <c r="AX682" s="2678"/>
      <c r="AY682" s="2678"/>
      <c r="AZ682" s="2678"/>
      <c r="BA682" s="5796"/>
      <c r="BB682" s="5796"/>
      <c r="BC682" s="2678"/>
      <c r="BD682" s="5796"/>
      <c r="BE682" s="5796"/>
      <c r="BF682" s="5796"/>
      <c r="BG682" s="5796"/>
      <c r="BH682" s="857">
        <v>15000</v>
      </c>
      <c r="BI682" s="857"/>
      <c r="BJ682" s="857">
        <v>60000</v>
      </c>
      <c r="BK682" s="857"/>
      <c r="BL682" s="857"/>
      <c r="BM682" s="857"/>
      <c r="BN682" s="2678"/>
      <c r="BO682" s="5796"/>
      <c r="BP682" s="5796"/>
      <c r="BQ682" s="5796"/>
      <c r="BR682" s="5796"/>
      <c r="BS682" s="5796"/>
      <c r="BT682" s="5796"/>
      <c r="BU682" s="5796"/>
      <c r="BV682" s="857">
        <v>10000</v>
      </c>
      <c r="BW682" s="5912"/>
      <c r="BX682" s="857">
        <v>40000</v>
      </c>
      <c r="BY682" s="5912"/>
      <c r="BZ682" s="5912"/>
      <c r="CA682" s="5912"/>
      <c r="CB682" s="5796"/>
      <c r="CC682" s="2678"/>
      <c r="CD682" s="5667"/>
      <c r="CE682" s="5154"/>
      <c r="CF682" s="5154"/>
      <c r="CG682" s="5154"/>
      <c r="CH682" s="5154"/>
    </row>
    <row r="683" s="4980" customFormat="1" ht="61" spans="1:86">
      <c r="A683" s="2678"/>
      <c r="B683" s="857"/>
      <c r="C683" s="857"/>
      <c r="D683" s="5059"/>
      <c r="E683" s="5059"/>
      <c r="F683" s="5059"/>
      <c r="G683" s="1032"/>
      <c r="H683" s="2678"/>
      <c r="I683" s="5868"/>
      <c r="J683" s="5667"/>
      <c r="K683" s="1032"/>
      <c r="L683" s="5667"/>
      <c r="M683" s="2678"/>
      <c r="N683" s="2678"/>
      <c r="O683" s="2678"/>
      <c r="P683" s="2678"/>
      <c r="Q683" s="2678"/>
      <c r="R683" s="2678"/>
      <c r="S683" s="2678"/>
      <c r="T683" s="2678"/>
      <c r="U683" s="2678"/>
      <c r="V683" s="2678"/>
      <c r="W683" s="2678"/>
      <c r="X683" s="2678"/>
      <c r="Y683" s="2678"/>
      <c r="Z683" s="2678"/>
      <c r="AA683" s="2678"/>
      <c r="AB683" s="2678"/>
      <c r="AC683" s="2678">
        <v>3</v>
      </c>
      <c r="AD683" s="5241" t="s">
        <v>1574</v>
      </c>
      <c r="AE683" s="5878">
        <v>0.25</v>
      </c>
      <c r="AF683" s="857">
        <f>M681*AE683</f>
        <v>62500</v>
      </c>
      <c r="AG683" s="3812">
        <f t="shared" si="139"/>
        <v>62500</v>
      </c>
      <c r="AH683" s="3812" t="s">
        <v>122</v>
      </c>
      <c r="AI683" s="2678">
        <v>44555</v>
      </c>
      <c r="AJ683" s="3812">
        <f>SUM(BD683:BQ683)</f>
        <v>62500</v>
      </c>
      <c r="AK683" s="2678">
        <v>44545</v>
      </c>
      <c r="AL683" s="4813">
        <f>SUM(BF683:BS683)</f>
        <v>62500</v>
      </c>
      <c r="AM683" s="5733">
        <v>45947</v>
      </c>
      <c r="AN683" s="4815">
        <f t="shared" si="141"/>
        <v>62500</v>
      </c>
      <c r="AO683" s="5891">
        <v>46386</v>
      </c>
      <c r="AP683" s="3812"/>
      <c r="AQ683" s="5796"/>
      <c r="AR683" s="2678"/>
      <c r="AS683" s="5685"/>
      <c r="AT683" s="5796"/>
      <c r="AU683" s="2678"/>
      <c r="AV683" s="2678"/>
      <c r="AW683" s="2678"/>
      <c r="AX683" s="2678"/>
      <c r="AY683" s="2678"/>
      <c r="AZ683" s="2678"/>
      <c r="BA683" s="5796"/>
      <c r="BB683" s="5796"/>
      <c r="BC683" s="2678"/>
      <c r="BD683" s="5796"/>
      <c r="BE683" s="5796"/>
      <c r="BF683" s="5796"/>
      <c r="BG683" s="5796"/>
      <c r="BH683" s="857">
        <v>12500</v>
      </c>
      <c r="BI683" s="857"/>
      <c r="BJ683" s="857">
        <v>50000</v>
      </c>
      <c r="BK683" s="857"/>
      <c r="BL683" s="857"/>
      <c r="BM683" s="857"/>
      <c r="BN683" s="2678"/>
      <c r="BO683" s="5796"/>
      <c r="BP683" s="5796"/>
      <c r="BQ683" s="5796"/>
      <c r="BR683" s="5911"/>
      <c r="BS683" s="5911"/>
      <c r="BT683" s="5860"/>
      <c r="BU683" s="5860"/>
      <c r="BV683" s="3406">
        <v>12500</v>
      </c>
      <c r="BW683" s="3406"/>
      <c r="BX683" s="3406">
        <v>50000</v>
      </c>
      <c r="BY683" s="5796"/>
      <c r="BZ683" s="5796"/>
      <c r="CA683" s="5796"/>
      <c r="CB683" s="5796"/>
      <c r="CC683" s="2678"/>
      <c r="CD683" s="5667"/>
      <c r="CE683" s="5154"/>
      <c r="CF683" s="5154"/>
      <c r="CG683" s="5154"/>
      <c r="CH683" s="5154"/>
    </row>
    <row r="684" s="4980" customFormat="1" ht="24.15" customHeight="1" spans="1:86">
      <c r="A684" s="2678"/>
      <c r="B684" s="857"/>
      <c r="C684" s="857"/>
      <c r="D684" s="5059"/>
      <c r="E684" s="5059"/>
      <c r="F684" s="5059"/>
      <c r="G684" s="1032"/>
      <c r="H684" s="2678"/>
      <c r="I684" s="5868"/>
      <c r="J684" s="5667"/>
      <c r="K684" s="1032"/>
      <c r="L684" s="5667"/>
      <c r="M684" s="2678"/>
      <c r="N684" s="2678"/>
      <c r="O684" s="2678"/>
      <c r="P684" s="2678"/>
      <c r="Q684" s="2678"/>
      <c r="R684" s="2678"/>
      <c r="S684" s="2678"/>
      <c r="T684" s="2678"/>
      <c r="U684" s="2678"/>
      <c r="V684" s="2678"/>
      <c r="W684" s="2678"/>
      <c r="X684" s="2678"/>
      <c r="Y684" s="2678"/>
      <c r="Z684" s="2678"/>
      <c r="AA684" s="2678"/>
      <c r="AB684" s="2678"/>
      <c r="AC684" s="2678">
        <v>4</v>
      </c>
      <c r="AD684" s="5241" t="s">
        <v>1575</v>
      </c>
      <c r="AE684" s="5878">
        <v>0.1</v>
      </c>
      <c r="AF684" s="857">
        <f>M681*AE684</f>
        <v>25000</v>
      </c>
      <c r="AG684" s="3812">
        <f t="shared" si="139"/>
        <v>25000</v>
      </c>
      <c r="AH684" s="3812" t="s">
        <v>122</v>
      </c>
      <c r="AI684" s="2678">
        <v>44555</v>
      </c>
      <c r="AJ684" s="3812">
        <f>SUM(BD684:BQ684)</f>
        <v>25000</v>
      </c>
      <c r="AK684" s="2678">
        <v>44545</v>
      </c>
      <c r="AL684" s="4813">
        <f>SUM(BF684:BS684)</f>
        <v>25000</v>
      </c>
      <c r="AM684" s="5733">
        <v>45947</v>
      </c>
      <c r="AN684" s="4815">
        <f t="shared" si="141"/>
        <v>25000</v>
      </c>
      <c r="AO684" s="5891">
        <v>46386</v>
      </c>
      <c r="AP684" s="3812"/>
      <c r="AQ684" s="5796"/>
      <c r="AR684" s="2678"/>
      <c r="AS684" s="5685"/>
      <c r="AT684" s="5796"/>
      <c r="AU684" s="2678"/>
      <c r="AV684" s="2678"/>
      <c r="AW684" s="2678"/>
      <c r="AX684" s="2678"/>
      <c r="AY684" s="2678"/>
      <c r="AZ684" s="2678"/>
      <c r="BA684" s="5796"/>
      <c r="BB684" s="5796"/>
      <c r="BC684" s="2678"/>
      <c r="BD684" s="5796"/>
      <c r="BE684" s="5796"/>
      <c r="BF684" s="5796"/>
      <c r="BG684" s="5796"/>
      <c r="BH684" s="857">
        <v>5000</v>
      </c>
      <c r="BI684" s="5796"/>
      <c r="BJ684" s="857">
        <v>20000</v>
      </c>
      <c r="BK684" s="5796"/>
      <c r="BL684" s="5796"/>
      <c r="BM684" s="5796"/>
      <c r="BN684" s="2678"/>
      <c r="BO684" s="5796"/>
      <c r="BP684" s="5796"/>
      <c r="BQ684" s="5796"/>
      <c r="BR684" s="5911"/>
      <c r="BS684" s="5911"/>
      <c r="BT684" s="5860"/>
      <c r="BU684" s="5860"/>
      <c r="BV684" s="3406">
        <v>5000</v>
      </c>
      <c r="BW684" s="5860"/>
      <c r="BX684" s="3406">
        <v>20000</v>
      </c>
      <c r="BY684" s="5796"/>
      <c r="BZ684" s="5796"/>
      <c r="CA684" s="5796"/>
      <c r="CB684" s="5796"/>
      <c r="CC684" s="2678"/>
      <c r="CD684" s="5667"/>
      <c r="CE684" s="5154"/>
      <c r="CF684" s="5154"/>
      <c r="CG684" s="5154"/>
      <c r="CH684" s="5154"/>
    </row>
    <row r="685" s="4980" customFormat="1" ht="46" spans="1:86">
      <c r="A685" s="2678"/>
      <c r="B685" s="857"/>
      <c r="C685" s="857"/>
      <c r="D685" s="5059"/>
      <c r="E685" s="5059"/>
      <c r="F685" s="5059"/>
      <c r="G685" s="1032"/>
      <c r="H685" s="2678"/>
      <c r="I685" s="5817"/>
      <c r="J685" s="5667"/>
      <c r="K685" s="1032"/>
      <c r="L685" s="5667"/>
      <c r="M685" s="2678"/>
      <c r="N685" s="2678"/>
      <c r="O685" s="2678"/>
      <c r="P685" s="2678"/>
      <c r="Q685" s="2678"/>
      <c r="R685" s="2678"/>
      <c r="S685" s="2678"/>
      <c r="T685" s="2678"/>
      <c r="U685" s="2678"/>
      <c r="V685" s="2678"/>
      <c r="W685" s="2678"/>
      <c r="X685" s="2678"/>
      <c r="Y685" s="2678"/>
      <c r="Z685" s="2678"/>
      <c r="AA685" s="2678"/>
      <c r="AB685" s="2678"/>
      <c r="AC685" s="2678">
        <v>5</v>
      </c>
      <c r="AD685" s="5241" t="s">
        <v>1576</v>
      </c>
      <c r="AE685" s="5878">
        <v>0.05</v>
      </c>
      <c r="AF685" s="857">
        <f>M681*AE685</f>
        <v>12500</v>
      </c>
      <c r="AG685" s="3812">
        <f t="shared" si="139"/>
        <v>12500</v>
      </c>
      <c r="AH685" s="3812" t="s">
        <v>122</v>
      </c>
      <c r="AI685" s="2678">
        <v>44555</v>
      </c>
      <c r="AJ685" s="3812">
        <f>SUM(BD685:BQ685)</f>
        <v>12500</v>
      </c>
      <c r="AK685" s="2678">
        <v>44545</v>
      </c>
      <c r="AL685" s="2678"/>
      <c r="AM685" s="5733"/>
      <c r="AN685" s="4815">
        <f t="shared" si="141"/>
        <v>12500</v>
      </c>
      <c r="AO685" s="5891"/>
      <c r="AP685" s="3812">
        <f>AG685-AN685</f>
        <v>0</v>
      </c>
      <c r="AQ685" s="5796"/>
      <c r="AR685" s="2678"/>
      <c r="AS685" s="5896"/>
      <c r="AT685" s="5796"/>
      <c r="AU685" s="2678"/>
      <c r="AV685" s="2678"/>
      <c r="AW685" s="2678"/>
      <c r="AX685" s="2678"/>
      <c r="AY685" s="2678"/>
      <c r="AZ685" s="2678"/>
      <c r="BA685" s="5796"/>
      <c r="BB685" s="5796"/>
      <c r="BC685" s="2678"/>
      <c r="BD685" s="5796"/>
      <c r="BE685" s="5796"/>
      <c r="BF685" s="5796"/>
      <c r="BG685" s="5796"/>
      <c r="BH685" s="857">
        <v>2500</v>
      </c>
      <c r="BI685" s="5796"/>
      <c r="BJ685" s="857">
        <v>10000</v>
      </c>
      <c r="BK685" s="5796"/>
      <c r="BL685" s="5796"/>
      <c r="BM685" s="5796"/>
      <c r="BN685" s="2678"/>
      <c r="BO685" s="5796"/>
      <c r="BP685" s="5796"/>
      <c r="BQ685" s="5796"/>
      <c r="BR685" s="5911"/>
      <c r="BS685" s="5911"/>
      <c r="BT685" s="5860"/>
      <c r="BU685" s="5860"/>
      <c r="BV685" s="3406">
        <v>2500</v>
      </c>
      <c r="BW685" s="5860"/>
      <c r="BX685" s="3406">
        <v>10000</v>
      </c>
      <c r="BY685" s="5796"/>
      <c r="BZ685" s="5796"/>
      <c r="CA685" s="5796"/>
      <c r="CB685" s="5796"/>
      <c r="CC685" s="2678"/>
      <c r="CD685" s="5667"/>
      <c r="CE685" s="5154"/>
      <c r="CF685" s="5154"/>
      <c r="CG685" s="5154"/>
      <c r="CH685" s="5154"/>
    </row>
    <row r="686" s="4981" customFormat="1" ht="46" spans="1:86">
      <c r="A686" s="3812">
        <v>14</v>
      </c>
      <c r="B686" s="3812" t="s">
        <v>111</v>
      </c>
      <c r="C686" s="3812">
        <v>43789</v>
      </c>
      <c r="D686" s="5059" t="s">
        <v>1577</v>
      </c>
      <c r="E686" s="3812" t="s">
        <v>113</v>
      </c>
      <c r="F686" s="5059" t="s">
        <v>1578</v>
      </c>
      <c r="G686" s="5059" t="s">
        <v>1579</v>
      </c>
      <c r="H686" s="3812" t="s">
        <v>31</v>
      </c>
      <c r="I686" s="5214"/>
      <c r="J686" s="5059" t="s">
        <v>1580</v>
      </c>
      <c r="K686" s="3812">
        <v>93188.97</v>
      </c>
      <c r="L686" s="5059" t="s">
        <v>1454</v>
      </c>
      <c r="M686" s="3812">
        <f>SUM(N686:AA687)</f>
        <v>465944.85</v>
      </c>
      <c r="N686" s="3812">
        <v>0</v>
      </c>
      <c r="O686" s="3812">
        <v>0</v>
      </c>
      <c r="P686" s="3812">
        <v>0</v>
      </c>
      <c r="Q686" s="3812">
        <v>0</v>
      </c>
      <c r="R686" s="3812">
        <v>0</v>
      </c>
      <c r="S686" s="3812">
        <v>0</v>
      </c>
      <c r="T686" s="5089">
        <v>0</v>
      </c>
      <c r="U686" s="3812">
        <v>465944.85</v>
      </c>
      <c r="V686" s="3812">
        <v>0</v>
      </c>
      <c r="W686" s="3812">
        <v>0</v>
      </c>
      <c r="X686" s="3812">
        <v>0</v>
      </c>
      <c r="Y686" s="3812"/>
      <c r="Z686" s="3812"/>
      <c r="AA686" s="3812">
        <v>0</v>
      </c>
      <c r="AB686" s="3812" t="s">
        <v>171</v>
      </c>
      <c r="AC686" s="3812" t="s">
        <v>1110</v>
      </c>
      <c r="AD686" s="5105" t="s">
        <v>1581</v>
      </c>
      <c r="AE686" s="1095">
        <v>0.2</v>
      </c>
      <c r="AF686" s="3812">
        <v>100000</v>
      </c>
      <c r="AG686" s="3812">
        <f t="shared" si="139"/>
        <v>100000</v>
      </c>
      <c r="AH686" s="3812" t="s">
        <v>206</v>
      </c>
      <c r="AI686" s="3812">
        <v>43936</v>
      </c>
      <c r="AJ686" s="3812">
        <v>100000</v>
      </c>
      <c r="AK686" s="3812" t="s">
        <v>171</v>
      </c>
      <c r="AL686" s="3812">
        <v>100000</v>
      </c>
      <c r="AM686" s="3812">
        <v>43936</v>
      </c>
      <c r="AN686" s="3812">
        <f t="shared" si="141"/>
        <v>100000</v>
      </c>
      <c r="AO686" s="3812">
        <v>43966</v>
      </c>
      <c r="AP686" s="3812">
        <f>AG686-AN686</f>
        <v>0</v>
      </c>
      <c r="AQ686" s="3812"/>
      <c r="AR686" s="3812" t="s">
        <v>1037</v>
      </c>
      <c r="AS686" s="5059"/>
      <c r="AT686" s="3812">
        <v>43691</v>
      </c>
      <c r="AU686" s="3812">
        <f>AG686+AG687</f>
        <v>500000</v>
      </c>
      <c r="AV686" s="3812">
        <f>SUM(AL686:AL687)</f>
        <v>465944.85</v>
      </c>
      <c r="AW686" s="3812">
        <f>SUBTOTAL(9,AN686:AN687)</f>
        <v>465944.85</v>
      </c>
      <c r="AX686" s="3812">
        <f>M686-AU686</f>
        <v>-34055.15</v>
      </c>
      <c r="AY686" s="3812">
        <f>AU686-AV686</f>
        <v>34055.15</v>
      </c>
      <c r="AZ686" s="3812">
        <f>AV686-AW686</f>
        <v>0</v>
      </c>
      <c r="BA686" s="3812"/>
      <c r="BB686" s="3812"/>
      <c r="BC686" s="3812"/>
      <c r="BD686" s="3812"/>
      <c r="BE686" s="3812"/>
      <c r="BF686" s="3812"/>
      <c r="BG686" s="3812"/>
      <c r="BH686" s="3812">
        <v>100000</v>
      </c>
      <c r="BI686" s="3812"/>
      <c r="BJ686" s="3812"/>
      <c r="BK686" s="3812"/>
      <c r="BL686" s="3812"/>
      <c r="BM686" s="3812"/>
      <c r="BN686" s="3812"/>
      <c r="BO686" s="3812"/>
      <c r="BP686" s="3812"/>
      <c r="BQ686" s="3812"/>
      <c r="BR686" s="3812"/>
      <c r="BS686" s="3812"/>
      <c r="BT686" s="3812"/>
      <c r="BU686" s="3812"/>
      <c r="BV686" s="3812">
        <v>100000</v>
      </c>
      <c r="BW686" s="3812"/>
      <c r="BX686" s="3812"/>
      <c r="BY686" s="3812"/>
      <c r="BZ686" s="3812"/>
      <c r="CA686" s="3812"/>
      <c r="CB686" s="3812"/>
      <c r="CC686" s="3524" t="s">
        <v>1112</v>
      </c>
      <c r="CD686" s="3524" t="s">
        <v>154</v>
      </c>
      <c r="CE686" s="5920"/>
      <c r="CF686" s="5920"/>
      <c r="CG686" s="5920"/>
      <c r="CH686" s="5920"/>
    </row>
    <row r="687" s="4974" customFormat="1" ht="23.35" customHeight="1" spans="1:86">
      <c r="A687" s="3812"/>
      <c r="B687" s="3812"/>
      <c r="C687" s="3812"/>
      <c r="D687" s="5059"/>
      <c r="E687" s="3812"/>
      <c r="F687" s="5059"/>
      <c r="G687" s="5059"/>
      <c r="H687" s="3812"/>
      <c r="I687" s="5074"/>
      <c r="J687" s="5059"/>
      <c r="K687" s="3812"/>
      <c r="L687" s="5059"/>
      <c r="M687" s="3812"/>
      <c r="N687" s="3812"/>
      <c r="O687" s="3812"/>
      <c r="P687" s="3812"/>
      <c r="Q687" s="3812"/>
      <c r="R687" s="3812"/>
      <c r="S687" s="3812"/>
      <c r="T687" s="3812"/>
      <c r="U687" s="3812"/>
      <c r="V687" s="3812"/>
      <c r="W687" s="3812"/>
      <c r="X687" s="3812"/>
      <c r="Y687" s="3812"/>
      <c r="Z687" s="3812"/>
      <c r="AA687" s="3812"/>
      <c r="AB687" s="3812"/>
      <c r="AC687" s="3812" t="s">
        <v>1113</v>
      </c>
      <c r="AD687" s="1032" t="s">
        <v>1582</v>
      </c>
      <c r="AE687" s="1032">
        <v>0.8</v>
      </c>
      <c r="AF687" s="3812">
        <f>M686-AF686</f>
        <v>365944.85</v>
      </c>
      <c r="AG687" s="3812">
        <f t="shared" si="139"/>
        <v>400000</v>
      </c>
      <c r="AH687" s="3812" t="s">
        <v>122</v>
      </c>
      <c r="AI687" s="5059">
        <v>44116</v>
      </c>
      <c r="AJ687" s="3812">
        <v>400000</v>
      </c>
      <c r="AK687" s="5059">
        <v>44124</v>
      </c>
      <c r="AL687" s="3812">
        <v>365944.85</v>
      </c>
      <c r="AM687" s="5059">
        <v>44585</v>
      </c>
      <c r="AN687" s="3812">
        <f t="shared" si="141"/>
        <v>365944.85</v>
      </c>
      <c r="AO687" s="5059"/>
      <c r="AP687" s="3812">
        <f>AG687-AN687</f>
        <v>34055.15</v>
      </c>
      <c r="AQ687" s="5059" t="s">
        <v>1583</v>
      </c>
      <c r="AR687" s="3812" t="s">
        <v>1037</v>
      </c>
      <c r="AS687" s="1032" t="s">
        <v>1584</v>
      </c>
      <c r="AT687" s="3812"/>
      <c r="AU687" s="5897"/>
      <c r="AV687" s="5897"/>
      <c r="AW687" s="5897"/>
      <c r="AX687" s="5897"/>
      <c r="AY687" s="5897"/>
      <c r="AZ687" s="5897"/>
      <c r="BA687" s="3812"/>
      <c r="BB687" s="3812"/>
      <c r="BC687" s="3812"/>
      <c r="BD687" s="3812"/>
      <c r="BE687" s="3812"/>
      <c r="BF687" s="3812"/>
      <c r="BG687" s="3812"/>
      <c r="BH687" s="3812">
        <v>400000</v>
      </c>
      <c r="BI687" s="3812"/>
      <c r="BJ687" s="3812"/>
      <c r="BK687" s="3812"/>
      <c r="BL687" s="3812"/>
      <c r="BM687" s="3812"/>
      <c r="BN687" s="3812"/>
      <c r="BO687" s="3812"/>
      <c r="BP687" s="3812"/>
      <c r="BQ687" s="3812"/>
      <c r="BR687" s="3812"/>
      <c r="BS687" s="3812"/>
      <c r="BT687" s="3812"/>
      <c r="BU687" s="3812"/>
      <c r="BV687" s="3812">
        <v>365944.85</v>
      </c>
      <c r="BW687" s="3812"/>
      <c r="BX687" s="3812"/>
      <c r="BY687" s="3812"/>
      <c r="BZ687" s="3812"/>
      <c r="CA687" s="3812"/>
      <c r="CB687" s="3812"/>
      <c r="CC687" s="3812"/>
      <c r="CD687" s="3812"/>
      <c r="CE687" s="5310"/>
      <c r="CF687" s="5310"/>
      <c r="CG687" s="5310"/>
      <c r="CH687" s="5310"/>
    </row>
    <row r="688" s="4974" customFormat="1" ht="23.35" customHeight="1" spans="1:86">
      <c r="A688" s="3812"/>
      <c r="B688" s="3812"/>
      <c r="C688" s="3812"/>
      <c r="D688" s="5059"/>
      <c r="E688" s="3812"/>
      <c r="F688" s="5059"/>
      <c r="G688" s="5059"/>
      <c r="H688" s="3812"/>
      <c r="I688" s="5075"/>
      <c r="J688" s="5059"/>
      <c r="K688" s="3812"/>
      <c r="L688" s="5059"/>
      <c r="M688" s="3812"/>
      <c r="N688" s="3812"/>
      <c r="O688" s="3812"/>
      <c r="P688" s="3812"/>
      <c r="Q688" s="3812"/>
      <c r="R688" s="3812"/>
      <c r="S688" s="3812"/>
      <c r="T688" s="3812"/>
      <c r="U688" s="3812"/>
      <c r="V688" s="3812"/>
      <c r="W688" s="3812"/>
      <c r="X688" s="3812"/>
      <c r="Y688" s="3812"/>
      <c r="Z688" s="3812"/>
      <c r="AA688" s="3812"/>
      <c r="AB688" s="3812"/>
      <c r="AC688" s="3812"/>
      <c r="AD688" s="1032"/>
      <c r="AE688" s="1032"/>
      <c r="AF688" s="3812"/>
      <c r="AG688" s="3812">
        <f t="shared" si="139"/>
        <v>-34055.15</v>
      </c>
      <c r="AH688" s="3812" t="s">
        <v>122</v>
      </c>
      <c r="AI688" s="5059">
        <v>44585</v>
      </c>
      <c r="AJ688" s="5349">
        <f>SUM(BD688:BQ688)</f>
        <v>-34055.15</v>
      </c>
      <c r="AK688" s="5059">
        <v>44585</v>
      </c>
      <c r="AL688" s="3812"/>
      <c r="AM688" s="5059"/>
      <c r="AN688" s="3812"/>
      <c r="AO688" s="5059"/>
      <c r="AP688" s="3812"/>
      <c r="AQ688" s="5059"/>
      <c r="AR688" s="3812"/>
      <c r="AS688" s="1032"/>
      <c r="AT688" s="3812"/>
      <c r="AU688" s="5897"/>
      <c r="AV688" s="5897"/>
      <c r="AW688" s="5897"/>
      <c r="AX688" s="5897"/>
      <c r="AY688" s="5897"/>
      <c r="AZ688" s="5897"/>
      <c r="BA688" s="3812"/>
      <c r="BB688" s="3812"/>
      <c r="BC688" s="3812"/>
      <c r="BD688" s="3812"/>
      <c r="BE688" s="3812"/>
      <c r="BF688" s="3812"/>
      <c r="BG688" s="3812"/>
      <c r="BH688" s="3812">
        <f>365944.85-BH687</f>
        <v>-34055.15</v>
      </c>
      <c r="BI688" s="3812"/>
      <c r="BJ688" s="3812"/>
      <c r="BK688" s="3812"/>
      <c r="BL688" s="3812"/>
      <c r="BM688" s="3812"/>
      <c r="BN688" s="3812"/>
      <c r="BO688" s="3812"/>
      <c r="BP688" s="3812"/>
      <c r="BQ688" s="3812"/>
      <c r="BR688" s="3812"/>
      <c r="BS688" s="3812"/>
      <c r="BT688" s="3812"/>
      <c r="BU688" s="3812"/>
      <c r="BV688" s="3812"/>
      <c r="BW688" s="3812"/>
      <c r="BX688" s="3812"/>
      <c r="BY688" s="3812"/>
      <c r="BZ688" s="3812"/>
      <c r="CA688" s="3812"/>
      <c r="CB688" s="3812"/>
      <c r="CC688" s="3812"/>
      <c r="CD688" s="3812"/>
      <c r="CE688" s="5310"/>
      <c r="CF688" s="5310"/>
      <c r="CG688" s="5310"/>
      <c r="CH688" s="5310"/>
    </row>
    <row r="689" s="4981" customFormat="1" ht="46" spans="1:86">
      <c r="A689" s="3812">
        <v>15</v>
      </c>
      <c r="B689" s="3812" t="s">
        <v>111</v>
      </c>
      <c r="C689" s="3812">
        <v>44135</v>
      </c>
      <c r="D689" s="5059" t="s">
        <v>1585</v>
      </c>
      <c r="E689" s="3812" t="s">
        <v>113</v>
      </c>
      <c r="F689" s="5059" t="s">
        <v>1586</v>
      </c>
      <c r="G689" s="5059" t="s">
        <v>1587</v>
      </c>
      <c r="H689" s="3812" t="s">
        <v>31</v>
      </c>
      <c r="I689" s="5214"/>
      <c r="J689" s="5059" t="s">
        <v>1588</v>
      </c>
      <c r="K689" s="3812">
        <v>406011</v>
      </c>
      <c r="L689" s="5059" t="s">
        <v>1589</v>
      </c>
      <c r="M689" s="3812">
        <f>SUM(N689:AA694)</f>
        <v>2436066</v>
      </c>
      <c r="N689" s="2678">
        <v>0</v>
      </c>
      <c r="O689" s="2678">
        <v>0</v>
      </c>
      <c r="P689" s="2678">
        <v>0</v>
      </c>
      <c r="Q689" s="2678">
        <v>0</v>
      </c>
      <c r="R689" s="2678">
        <v>0</v>
      </c>
      <c r="S689" s="2678">
        <v>0</v>
      </c>
      <c r="T689" s="5823">
        <v>0</v>
      </c>
      <c r="U689" s="2678">
        <v>2436066</v>
      </c>
      <c r="V689" s="2678">
        <v>0</v>
      </c>
      <c r="W689" s="2678">
        <v>0</v>
      </c>
      <c r="X689" s="2678">
        <v>0</v>
      </c>
      <c r="Y689" s="2678">
        <v>0</v>
      </c>
      <c r="Z689" s="2678"/>
      <c r="AA689" s="2678">
        <v>0</v>
      </c>
      <c r="AB689" s="2678" t="s">
        <v>171</v>
      </c>
      <c r="AC689" s="3812" t="s">
        <v>1110</v>
      </c>
      <c r="AD689" s="5105" t="s">
        <v>1590</v>
      </c>
      <c r="AE689" s="1095">
        <v>0.2</v>
      </c>
      <c r="AF689" s="3812">
        <f>U689*AE689</f>
        <v>487213.2</v>
      </c>
      <c r="AG689" s="5349">
        <f t="shared" si="139"/>
        <v>487213.2</v>
      </c>
      <c r="AH689" s="3812" t="s">
        <v>122</v>
      </c>
      <c r="AI689" s="3812">
        <v>44173</v>
      </c>
      <c r="AJ689" s="2680">
        <v>487213.2</v>
      </c>
      <c r="AK689" s="3812">
        <v>44173</v>
      </c>
      <c r="AL689" s="3812">
        <v>444799.2</v>
      </c>
      <c r="AM689" s="5667">
        <v>44251</v>
      </c>
      <c r="AN689" s="3812">
        <f t="shared" ref="AN689:AN695" si="143">SUM(BO689:CB689)</f>
        <v>444799.2</v>
      </c>
      <c r="AO689" s="5059">
        <v>44496</v>
      </c>
      <c r="AP689" s="3812">
        <f>AG689-AN689</f>
        <v>42414</v>
      </c>
      <c r="AQ689" s="3812" t="s">
        <v>1591</v>
      </c>
      <c r="AR689" s="3812"/>
      <c r="AS689" s="5059"/>
      <c r="AT689" s="3812"/>
      <c r="AU689" s="3812">
        <f>SUM(AG689:AG690)</f>
        <v>736454.22</v>
      </c>
      <c r="AV689" s="3812">
        <f>SUM(AL689:AL694)</f>
        <v>914984.37</v>
      </c>
      <c r="AW689" s="3812">
        <f>SUBTOTAL(9,AN689:AN694)</f>
        <v>755494.31</v>
      </c>
      <c r="AX689" s="3812">
        <f>M689-AU689</f>
        <v>1699611.78</v>
      </c>
      <c r="AY689" s="3812">
        <f>AU689-AV689</f>
        <v>-178530.15</v>
      </c>
      <c r="AZ689" s="3812">
        <f>AV689-AW689</f>
        <v>159490.06</v>
      </c>
      <c r="BA689" s="3812"/>
      <c r="BB689" s="3812"/>
      <c r="BC689" s="3812"/>
      <c r="BD689" s="3812"/>
      <c r="BE689" s="3812"/>
      <c r="BF689" s="3812"/>
      <c r="BG689" s="3812"/>
      <c r="BH689" s="5906">
        <v>487213.2</v>
      </c>
      <c r="BI689" s="3812"/>
      <c r="BJ689" s="3812"/>
      <c r="BK689" s="3812"/>
      <c r="BL689" s="3812"/>
      <c r="BM689" s="3812"/>
      <c r="BN689" s="3812"/>
      <c r="BO689" s="3812"/>
      <c r="BP689" s="3812"/>
      <c r="BQ689" s="3812"/>
      <c r="BR689" s="3812"/>
      <c r="BS689" s="3812"/>
      <c r="BT689" s="3812"/>
      <c r="BU689" s="3812"/>
      <c r="BV689" s="3812">
        <v>444799.2</v>
      </c>
      <c r="BW689" s="3812"/>
      <c r="BX689" s="3812"/>
      <c r="BY689" s="3812"/>
      <c r="BZ689" s="3812"/>
      <c r="CA689" s="3812"/>
      <c r="CB689" s="3812"/>
      <c r="CC689" s="3524" t="s">
        <v>1112</v>
      </c>
      <c r="CD689" s="3524" t="s">
        <v>154</v>
      </c>
      <c r="CE689" s="5920"/>
      <c r="CF689" s="5920"/>
      <c r="CG689" s="5920"/>
      <c r="CH689" s="5920"/>
    </row>
    <row r="690" s="4981" customFormat="1" ht="34.15" customHeight="1" spans="1:86">
      <c r="A690" s="3812"/>
      <c r="B690" s="3812"/>
      <c r="C690" s="3812"/>
      <c r="D690" s="5059"/>
      <c r="E690" s="3812"/>
      <c r="F690" s="5059"/>
      <c r="G690" s="5059"/>
      <c r="H690" s="3812"/>
      <c r="I690" s="5074"/>
      <c r="J690" s="5059"/>
      <c r="K690" s="3812"/>
      <c r="L690" s="5059"/>
      <c r="M690" s="3812"/>
      <c r="N690" s="2678"/>
      <c r="O690" s="2678"/>
      <c r="P690" s="2678"/>
      <c r="Q690" s="2678"/>
      <c r="R690" s="2678"/>
      <c r="S690" s="2678"/>
      <c r="T690" s="2678"/>
      <c r="U690" s="2678"/>
      <c r="V690" s="2678"/>
      <c r="W690" s="2678"/>
      <c r="X690" s="2678"/>
      <c r="Y690" s="2678"/>
      <c r="Z690" s="2678"/>
      <c r="AA690" s="2678"/>
      <c r="AB690" s="2678"/>
      <c r="AC690" s="3812" t="s">
        <v>1113</v>
      </c>
      <c r="AD690" s="1095" t="s">
        <v>1592</v>
      </c>
      <c r="AE690" s="1095">
        <v>0.3</v>
      </c>
      <c r="AF690" s="3812">
        <f>U689*AE690</f>
        <v>730819.8</v>
      </c>
      <c r="AG690" s="5349">
        <f t="shared" si="139"/>
        <v>249241.02</v>
      </c>
      <c r="AH690" s="3812" t="s">
        <v>122</v>
      </c>
      <c r="AI690" s="5059">
        <v>44306</v>
      </c>
      <c r="AJ690" s="3812">
        <v>249241.02</v>
      </c>
      <c r="AK690" s="3812">
        <v>44306</v>
      </c>
      <c r="AL690" s="3812">
        <v>249241.02</v>
      </c>
      <c r="AM690" s="3812">
        <v>44306</v>
      </c>
      <c r="AN690" s="3812">
        <f t="shared" si="143"/>
        <v>89750.96</v>
      </c>
      <c r="AO690" s="5059">
        <v>44496</v>
      </c>
      <c r="AP690" s="3812">
        <f>AG690-AN690</f>
        <v>159490.06</v>
      </c>
      <c r="AQ690" s="5059"/>
      <c r="AR690" s="3812"/>
      <c r="AS690" s="5059"/>
      <c r="AT690" s="3812"/>
      <c r="AU690" s="3812"/>
      <c r="AV690" s="3812"/>
      <c r="AW690" s="3812"/>
      <c r="AX690" s="3812"/>
      <c r="AY690" s="3812"/>
      <c r="AZ690" s="3812"/>
      <c r="BA690" s="3812"/>
      <c r="BB690" s="3812"/>
      <c r="BC690" s="3812"/>
      <c r="BD690" s="3812"/>
      <c r="BE690" s="3812"/>
      <c r="BF690" s="3812"/>
      <c r="BG690" s="3812"/>
      <c r="BH690" s="3812">
        <v>249241.02</v>
      </c>
      <c r="BI690" s="3812"/>
      <c r="BJ690" s="3812"/>
      <c r="BK690" s="3812"/>
      <c r="BL690" s="3812"/>
      <c r="BM690" s="3812"/>
      <c r="BN690" s="3812"/>
      <c r="BO690" s="3812"/>
      <c r="BP690" s="3812"/>
      <c r="BQ690" s="3812"/>
      <c r="BR690" s="3812"/>
      <c r="BS690" s="3812"/>
      <c r="BT690" s="3812"/>
      <c r="BU690" s="3812"/>
      <c r="BV690" s="3812">
        <v>89750.96</v>
      </c>
      <c r="BW690" s="3812"/>
      <c r="BX690" s="3812"/>
      <c r="BY690" s="3812"/>
      <c r="BZ690" s="3812"/>
      <c r="CA690" s="3812"/>
      <c r="CB690" s="3812"/>
      <c r="CC690" s="3524"/>
      <c r="CD690" s="3524"/>
      <c r="CE690" s="5920"/>
      <c r="CF690" s="5920"/>
      <c r="CG690" s="5920"/>
      <c r="CH690" s="5920"/>
    </row>
    <row r="691" s="4981" customFormat="1" ht="36" customHeight="1" spans="1:86">
      <c r="A691" s="3812"/>
      <c r="B691" s="3812"/>
      <c r="C691" s="3812"/>
      <c r="D691" s="5059"/>
      <c r="E691" s="3812"/>
      <c r="F691" s="5059"/>
      <c r="G691" s="5059"/>
      <c r="H691" s="3812"/>
      <c r="I691" s="5074"/>
      <c r="J691" s="5059"/>
      <c r="K691" s="3812"/>
      <c r="L691" s="5059"/>
      <c r="M691" s="3812"/>
      <c r="N691" s="2678"/>
      <c r="O691" s="2678"/>
      <c r="P691" s="2678"/>
      <c r="Q691" s="2678"/>
      <c r="R691" s="2678"/>
      <c r="S691" s="2678"/>
      <c r="T691" s="2678"/>
      <c r="U691" s="2678"/>
      <c r="V691" s="2678"/>
      <c r="W691" s="2678"/>
      <c r="X691" s="2678"/>
      <c r="Y691" s="2678"/>
      <c r="Z691" s="2678"/>
      <c r="AA691" s="2678"/>
      <c r="AB691" s="2678"/>
      <c r="AC691" s="3812"/>
      <c r="AD691" s="1095"/>
      <c r="AE691" s="1095"/>
      <c r="AF691" s="3812"/>
      <c r="AG691" s="5885">
        <f t="shared" si="139"/>
        <v>0</v>
      </c>
      <c r="AH691" s="3406"/>
      <c r="AI691" s="5886"/>
      <c r="AJ691" s="5123"/>
      <c r="AK691" s="3812"/>
      <c r="AL691" s="3812"/>
      <c r="AM691" s="3812"/>
      <c r="AN691" s="5123">
        <f t="shared" si="143"/>
        <v>0</v>
      </c>
      <c r="AO691" s="5886"/>
      <c r="AP691" s="3812"/>
      <c r="AQ691" s="3812"/>
      <c r="AR691" s="3812"/>
      <c r="AS691" s="5059"/>
      <c r="AT691" s="3812"/>
      <c r="AU691" s="3812"/>
      <c r="AV691" s="3812"/>
      <c r="AW691" s="3812"/>
      <c r="AX691" s="3812"/>
      <c r="AY691" s="3812"/>
      <c r="AZ691" s="3812"/>
      <c r="BA691" s="3812"/>
      <c r="BB691" s="3812"/>
      <c r="BC691" s="3812"/>
      <c r="BD691" s="3812"/>
      <c r="BE691" s="3812"/>
      <c r="BF691" s="3812"/>
      <c r="BG691" s="3812"/>
      <c r="BH691" s="5123"/>
      <c r="BI691" s="3812"/>
      <c r="BJ691" s="3812"/>
      <c r="BK691" s="3812"/>
      <c r="BL691" s="3812"/>
      <c r="BM691" s="3812"/>
      <c r="BN691" s="3812"/>
      <c r="BO691" s="3812"/>
      <c r="BP691" s="3812"/>
      <c r="BQ691" s="3812"/>
      <c r="BR691" s="3812"/>
      <c r="BS691" s="3812"/>
      <c r="BT691" s="3812"/>
      <c r="BU691" s="3812"/>
      <c r="BV691" s="5123"/>
      <c r="BW691" s="3812"/>
      <c r="BX691" s="3812"/>
      <c r="BY691" s="3812"/>
      <c r="BZ691" s="3812"/>
      <c r="CA691" s="3812"/>
      <c r="CB691" s="3812"/>
      <c r="CC691" s="3524"/>
      <c r="CD691" s="3524"/>
      <c r="CE691" s="5920"/>
      <c r="CF691" s="5920"/>
      <c r="CG691" s="5920"/>
      <c r="CH691" s="5920"/>
    </row>
    <row r="692" s="4981" customFormat="1" ht="36" customHeight="1" spans="1:86">
      <c r="A692" s="3812"/>
      <c r="B692" s="3812"/>
      <c r="C692" s="3812"/>
      <c r="D692" s="5059"/>
      <c r="E692" s="3812"/>
      <c r="F692" s="5059"/>
      <c r="G692" s="5059"/>
      <c r="H692" s="3812"/>
      <c r="I692" s="5074"/>
      <c r="J692" s="5059"/>
      <c r="K692" s="3812"/>
      <c r="L692" s="5059"/>
      <c r="M692" s="3812"/>
      <c r="N692" s="2678"/>
      <c r="O692" s="2678"/>
      <c r="P692" s="2678"/>
      <c r="Q692" s="2678"/>
      <c r="R692" s="2678"/>
      <c r="S692" s="2678"/>
      <c r="T692" s="2678"/>
      <c r="U692" s="2678"/>
      <c r="V692" s="2678"/>
      <c r="W692" s="2678"/>
      <c r="X692" s="2678"/>
      <c r="Y692" s="2678"/>
      <c r="Z692" s="2678"/>
      <c r="AA692" s="2678"/>
      <c r="AB692" s="2678"/>
      <c r="AC692" s="3812" t="s">
        <v>1115</v>
      </c>
      <c r="AD692" s="1095" t="s">
        <v>1593</v>
      </c>
      <c r="AE692" s="1095">
        <v>0.4</v>
      </c>
      <c r="AF692" s="3812">
        <f>U689*AE692</f>
        <v>974426.4</v>
      </c>
      <c r="AG692" s="5123">
        <f t="shared" si="139"/>
        <v>178530.15</v>
      </c>
      <c r="AH692" s="3406" t="s">
        <v>122</v>
      </c>
      <c r="AI692" s="5886"/>
      <c r="AJ692" s="5123"/>
      <c r="AK692" s="3812"/>
      <c r="AL692" s="3812">
        <v>220944.15</v>
      </c>
      <c r="AM692" s="3812"/>
      <c r="AN692" s="5123">
        <f t="shared" si="143"/>
        <v>220944.15</v>
      </c>
      <c r="AO692" s="5886"/>
      <c r="AP692" s="3812"/>
      <c r="AQ692" s="3812"/>
      <c r="AR692" s="3812"/>
      <c r="AS692" s="5059"/>
      <c r="AT692" s="3812"/>
      <c r="AU692" s="3812"/>
      <c r="AV692" s="3812"/>
      <c r="AW692" s="3812"/>
      <c r="AX692" s="3812"/>
      <c r="AY692" s="3812"/>
      <c r="AZ692" s="3812"/>
      <c r="BA692" s="3812"/>
      <c r="BB692" s="3812"/>
      <c r="BC692" s="3812"/>
      <c r="BD692" s="3812"/>
      <c r="BE692" s="3812"/>
      <c r="BF692" s="3812"/>
      <c r="BG692" s="3812"/>
      <c r="BH692" s="5123">
        <v>178530.15</v>
      </c>
      <c r="BI692" s="3812"/>
      <c r="BJ692" s="3812"/>
      <c r="BK692" s="3812"/>
      <c r="BL692" s="3812"/>
      <c r="BM692" s="3812"/>
      <c r="BN692" s="3812"/>
      <c r="BO692" s="3812"/>
      <c r="BP692" s="3812"/>
      <c r="BQ692" s="3812"/>
      <c r="BR692" s="3812"/>
      <c r="BS692" s="3812"/>
      <c r="BT692" s="3812"/>
      <c r="BU692" s="3812"/>
      <c r="BV692" s="5123">
        <v>220944.15</v>
      </c>
      <c r="BW692" s="3812"/>
      <c r="BX692" s="3812"/>
      <c r="BY692" s="3812"/>
      <c r="BZ692" s="3812"/>
      <c r="CA692" s="3812"/>
      <c r="CB692" s="3812"/>
      <c r="CC692" s="3524"/>
      <c r="CD692" s="3524"/>
      <c r="CE692" s="5920"/>
      <c r="CF692" s="5920"/>
      <c r="CG692" s="5920"/>
      <c r="CH692" s="5920"/>
    </row>
    <row r="693" s="4981" customFormat="1" ht="31.65" customHeight="1" spans="1:86">
      <c r="A693" s="3812"/>
      <c r="B693" s="3812"/>
      <c r="C693" s="3812"/>
      <c r="D693" s="5059"/>
      <c r="E693" s="3812"/>
      <c r="F693" s="5059"/>
      <c r="G693" s="5059"/>
      <c r="H693" s="3812"/>
      <c r="I693" s="5074"/>
      <c r="J693" s="5059"/>
      <c r="K693" s="3812"/>
      <c r="L693" s="5059"/>
      <c r="M693" s="3812"/>
      <c r="N693" s="2678"/>
      <c r="O693" s="2678"/>
      <c r="P693" s="2678"/>
      <c r="Q693" s="2678"/>
      <c r="R693" s="2678"/>
      <c r="S693" s="2678"/>
      <c r="T693" s="2678"/>
      <c r="U693" s="2678"/>
      <c r="V693" s="2678"/>
      <c r="W693" s="2678"/>
      <c r="X693" s="2678"/>
      <c r="Y693" s="2678"/>
      <c r="Z693" s="2678"/>
      <c r="AA693" s="2678"/>
      <c r="AB693" s="2678"/>
      <c r="AC693" s="3812"/>
      <c r="AD693" s="5105"/>
      <c r="AE693" s="1095"/>
      <c r="AF693" s="3812"/>
      <c r="AG693" s="5885">
        <f t="shared" si="139"/>
        <v>0</v>
      </c>
      <c r="AH693" s="5123"/>
      <c r="AI693" s="5886"/>
      <c r="AJ693" s="5123"/>
      <c r="AK693" s="3812"/>
      <c r="AL693" s="3812"/>
      <c r="AM693" s="3812"/>
      <c r="AN693" s="5123">
        <f t="shared" si="143"/>
        <v>0</v>
      </c>
      <c r="AO693" s="5886"/>
      <c r="AP693" s="3812"/>
      <c r="AQ693" s="3812"/>
      <c r="AR693" s="3812"/>
      <c r="AS693" s="5059"/>
      <c r="AT693" s="3812"/>
      <c r="AU693" s="3812"/>
      <c r="AV693" s="3812"/>
      <c r="AW693" s="3812"/>
      <c r="AX693" s="3812"/>
      <c r="AY693" s="3812"/>
      <c r="AZ693" s="3812"/>
      <c r="BA693" s="3812"/>
      <c r="BB693" s="3812"/>
      <c r="BC693" s="3812"/>
      <c r="BD693" s="3812"/>
      <c r="BE693" s="3812"/>
      <c r="BF693" s="3812"/>
      <c r="BG693" s="3812"/>
      <c r="BH693" s="5123"/>
      <c r="BI693" s="3812"/>
      <c r="BJ693" s="3812"/>
      <c r="BK693" s="3812"/>
      <c r="BL693" s="3812"/>
      <c r="BM693" s="3812"/>
      <c r="BN693" s="3812"/>
      <c r="BO693" s="3812"/>
      <c r="BP693" s="3812"/>
      <c r="BQ693" s="3812"/>
      <c r="BR693" s="3812"/>
      <c r="BS693" s="3812"/>
      <c r="BT693" s="3812"/>
      <c r="BU693" s="3812"/>
      <c r="BV693" s="5123"/>
      <c r="BW693" s="3812"/>
      <c r="BX693" s="3812"/>
      <c r="BY693" s="3812"/>
      <c r="BZ693" s="3812"/>
      <c r="CA693" s="3812"/>
      <c r="CB693" s="3812"/>
      <c r="CC693" s="3524"/>
      <c r="CD693" s="3524"/>
      <c r="CE693" s="5920"/>
      <c r="CF693" s="5920"/>
      <c r="CG693" s="5920"/>
      <c r="CH693" s="5920"/>
    </row>
    <row r="694" s="4981" customFormat="1" ht="40" customHeight="1" spans="1:86">
      <c r="A694" s="3812"/>
      <c r="B694" s="3812"/>
      <c r="C694" s="3812"/>
      <c r="D694" s="5059"/>
      <c r="E694" s="3812"/>
      <c r="F694" s="5059"/>
      <c r="G694" s="5059"/>
      <c r="H694" s="3812"/>
      <c r="I694" s="5075"/>
      <c r="J694" s="5059"/>
      <c r="K694" s="3812"/>
      <c r="L694" s="5059"/>
      <c r="M694" s="3812"/>
      <c r="N694" s="2678"/>
      <c r="O694" s="2678"/>
      <c r="P694" s="2678"/>
      <c r="Q694" s="2678"/>
      <c r="R694" s="2678"/>
      <c r="S694" s="2678"/>
      <c r="T694" s="2678"/>
      <c r="U694" s="2678"/>
      <c r="V694" s="2678"/>
      <c r="W694" s="2678"/>
      <c r="X694" s="2678"/>
      <c r="Y694" s="2678"/>
      <c r="Z694" s="2678"/>
      <c r="AA694" s="2678"/>
      <c r="AB694" s="2678"/>
      <c r="AC694" s="3812" t="s">
        <v>1594</v>
      </c>
      <c r="AD694" s="5105" t="s">
        <v>1595</v>
      </c>
      <c r="AE694" s="1095">
        <v>0.1</v>
      </c>
      <c r="AF694" s="3812">
        <f>AE694*U689</f>
        <v>243606.6</v>
      </c>
      <c r="AG694" s="5123">
        <f t="shared" si="139"/>
        <v>0</v>
      </c>
      <c r="AH694" s="3406"/>
      <c r="AI694" s="5886"/>
      <c r="AJ694" s="5123"/>
      <c r="AK694" s="5059"/>
      <c r="AL694" s="5123"/>
      <c r="AM694" s="5346"/>
      <c r="AN694" s="5123">
        <f t="shared" si="143"/>
        <v>0</v>
      </c>
      <c r="AO694" s="5346"/>
      <c r="AP694" s="3812">
        <f>AG694-AN694</f>
        <v>0</v>
      </c>
      <c r="AQ694" s="5059"/>
      <c r="AR694" s="3812" t="s">
        <v>1037</v>
      </c>
      <c r="AS694" s="5059" t="s">
        <v>1583</v>
      </c>
      <c r="AT694" s="3812"/>
      <c r="AU694" s="3812"/>
      <c r="AV694" s="3812"/>
      <c r="AW694" s="3812"/>
      <c r="AX694" s="3812"/>
      <c r="AY694" s="3812"/>
      <c r="AZ694" s="3812"/>
      <c r="BA694" s="3812"/>
      <c r="BB694" s="3812"/>
      <c r="BC694" s="3812"/>
      <c r="BD694" s="3812"/>
      <c r="BE694" s="3812"/>
      <c r="BF694" s="3812"/>
      <c r="BG694" s="3812"/>
      <c r="BH694" s="5123"/>
      <c r="BI694" s="3812"/>
      <c r="BJ694" s="3812"/>
      <c r="BK694" s="3812"/>
      <c r="BL694" s="3812"/>
      <c r="BM694" s="3812"/>
      <c r="BN694" s="3812"/>
      <c r="BO694" s="4840"/>
      <c r="BP694" s="4840"/>
      <c r="BQ694" s="4840"/>
      <c r="BR694" s="4840"/>
      <c r="BS694" s="4840"/>
      <c r="BT694" s="4840"/>
      <c r="BU694" s="4840"/>
      <c r="BV694" s="5302"/>
      <c r="BW694" s="4840"/>
      <c r="BX694" s="4840"/>
      <c r="BY694" s="4840"/>
      <c r="BZ694" s="4840"/>
      <c r="CA694" s="4840"/>
      <c r="CB694" s="4840"/>
      <c r="CC694" s="3524"/>
      <c r="CD694" s="3524"/>
      <c r="CE694" s="5920"/>
      <c r="CF694" s="5920"/>
      <c r="CG694" s="5920"/>
      <c r="CH694" s="5920"/>
    </row>
    <row r="695" s="4980" customFormat="1" ht="30" customHeight="1" spans="1:86">
      <c r="A695" s="3812">
        <v>16</v>
      </c>
      <c r="B695" s="857" t="s">
        <v>111</v>
      </c>
      <c r="C695" s="857">
        <v>44560</v>
      </c>
      <c r="D695" s="1032" t="s">
        <v>1596</v>
      </c>
      <c r="E695" s="1032" t="s">
        <v>113</v>
      </c>
      <c r="F695" s="1032" t="s">
        <v>1597</v>
      </c>
      <c r="G695" s="1032" t="s">
        <v>1598</v>
      </c>
      <c r="H695" s="3812" t="s">
        <v>31</v>
      </c>
      <c r="I695" s="5073" t="s">
        <v>1599</v>
      </c>
      <c r="J695" s="1032" t="s">
        <v>1600</v>
      </c>
      <c r="K695" s="1032" t="s">
        <v>1601</v>
      </c>
      <c r="L695" s="1032" t="s">
        <v>1602</v>
      </c>
      <c r="M695" s="5059">
        <f>SUM(N695:AB704)</f>
        <v>1299194.55</v>
      </c>
      <c r="N695" s="3061">
        <v>0</v>
      </c>
      <c r="O695" s="3061">
        <v>0</v>
      </c>
      <c r="P695" s="3061">
        <v>0</v>
      </c>
      <c r="Q695" s="3061">
        <v>288709.9</v>
      </c>
      <c r="R695" s="3061">
        <v>0</v>
      </c>
      <c r="S695" s="3061">
        <v>0</v>
      </c>
      <c r="T695" s="5869">
        <v>0</v>
      </c>
      <c r="U695" s="3061">
        <v>1010484.65</v>
      </c>
      <c r="V695" s="3061">
        <v>0</v>
      </c>
      <c r="W695" s="3061">
        <v>0</v>
      </c>
      <c r="X695" s="3061">
        <v>0</v>
      </c>
      <c r="Y695" s="3061">
        <v>0</v>
      </c>
      <c r="Z695" s="3061"/>
      <c r="AA695" s="3061">
        <v>0</v>
      </c>
      <c r="AB695" s="3061">
        <v>0</v>
      </c>
      <c r="AC695" s="857" t="s">
        <v>1110</v>
      </c>
      <c r="AD695" s="5241" t="s">
        <v>1603</v>
      </c>
      <c r="AE695" s="5878">
        <v>0.2</v>
      </c>
      <c r="AF695" s="857">
        <f>M695*AE695</f>
        <v>259838.91</v>
      </c>
      <c r="AG695" s="3812">
        <f t="shared" si="139"/>
        <v>259838.91</v>
      </c>
      <c r="AH695" s="3812" t="s">
        <v>122</v>
      </c>
      <c r="AI695" s="3812">
        <v>44555</v>
      </c>
      <c r="AJ695" s="3812">
        <v>259838.91</v>
      </c>
      <c r="AK695" s="3812">
        <v>44555</v>
      </c>
      <c r="AL695" s="3812">
        <v>259838.91</v>
      </c>
      <c r="AM695" s="3812">
        <v>44986</v>
      </c>
      <c r="AN695" s="3812">
        <f t="shared" si="143"/>
        <v>259838.91</v>
      </c>
      <c r="AO695" s="3366">
        <v>45015</v>
      </c>
      <c r="AP695" s="3812">
        <f>AG695-AN695</f>
        <v>0</v>
      </c>
      <c r="AQ695" s="1032" t="s">
        <v>1604</v>
      </c>
      <c r="AR695" s="5123"/>
      <c r="AS695" s="5346"/>
      <c r="AT695" s="5160"/>
      <c r="AU695" s="3812">
        <f>SUM(AG695:AG704)</f>
        <v>1236767.22</v>
      </c>
      <c r="AV695" s="3812">
        <f>SUM(AL695:AL704)</f>
        <v>1247083.56</v>
      </c>
      <c r="AW695" s="3812">
        <f>SUM(AN695:AN704)</f>
        <v>1247083.56</v>
      </c>
      <c r="AX695" s="3812">
        <f>M695-AU695</f>
        <v>62427.3300000001</v>
      </c>
      <c r="AY695" s="3812">
        <f>AU695-AV695</f>
        <v>-10316.3400000001</v>
      </c>
      <c r="AZ695" s="3812">
        <f>AV695-AW695</f>
        <v>0</v>
      </c>
      <c r="BA695" s="5146"/>
      <c r="BB695" s="5146"/>
      <c r="BC695" s="3812"/>
      <c r="BD695" s="3812">
        <v>57741.98</v>
      </c>
      <c r="BE695" s="5146"/>
      <c r="BF695" s="5146"/>
      <c r="BG695" s="5146"/>
      <c r="BH695" s="3812">
        <v>202096.93</v>
      </c>
      <c r="BI695" s="5146"/>
      <c r="BJ695" s="5146"/>
      <c r="BK695" s="5146"/>
      <c r="BL695" s="5146"/>
      <c r="BM695" s="5296"/>
      <c r="BN695" s="5263"/>
      <c r="BO695" s="5743"/>
      <c r="BP695" s="5744"/>
      <c r="BQ695" s="5744"/>
      <c r="BR695" s="5142">
        <v>57741.98</v>
      </c>
      <c r="BS695" s="5744"/>
      <c r="BT695" s="5744"/>
      <c r="BU695" s="5744"/>
      <c r="BV695" s="5142">
        <v>202096.93</v>
      </c>
      <c r="BW695" s="5744"/>
      <c r="BX695" s="5744"/>
      <c r="BY695" s="5744"/>
      <c r="BZ695" s="5744"/>
      <c r="CA695" s="5913"/>
      <c r="CB695" s="5914"/>
      <c r="CC695" s="5167" t="s">
        <v>166</v>
      </c>
      <c r="CD695" s="3524" t="s">
        <v>154</v>
      </c>
      <c r="CE695" s="5154"/>
      <c r="CF695" s="5154"/>
      <c r="CG695" s="5154"/>
      <c r="CH695" s="5154"/>
    </row>
    <row r="696" s="4980" customFormat="1" ht="30" customHeight="1" spans="1:86">
      <c r="A696" s="3812"/>
      <c r="B696" s="857"/>
      <c r="C696" s="857"/>
      <c r="D696" s="1032"/>
      <c r="E696" s="1032"/>
      <c r="F696" s="1032"/>
      <c r="G696" s="1032"/>
      <c r="H696" s="3812"/>
      <c r="I696" s="5074"/>
      <c r="J696" s="1032"/>
      <c r="K696" s="1032"/>
      <c r="L696" s="1032"/>
      <c r="M696" s="5059"/>
      <c r="N696" s="3061"/>
      <c r="O696" s="3061"/>
      <c r="P696" s="3061"/>
      <c r="Q696" s="3061"/>
      <c r="R696" s="3061"/>
      <c r="S696" s="3061"/>
      <c r="T696" s="3061"/>
      <c r="U696" s="3061"/>
      <c r="V696" s="3061"/>
      <c r="W696" s="3061"/>
      <c r="X696" s="3061"/>
      <c r="Y696" s="3061"/>
      <c r="Z696" s="3061"/>
      <c r="AA696" s="3061"/>
      <c r="AB696" s="3061"/>
      <c r="AC696" s="857"/>
      <c r="AD696" s="5241"/>
      <c r="AE696" s="5878"/>
      <c r="AF696" s="857"/>
      <c r="AG696" s="3812"/>
      <c r="AH696" s="3812"/>
      <c r="AI696" s="3812"/>
      <c r="AJ696" s="3812"/>
      <c r="AK696" s="3812"/>
      <c r="AL696" s="3812"/>
      <c r="AM696" s="3812"/>
      <c r="AN696" s="3812"/>
      <c r="AO696" s="3409"/>
      <c r="AP696" s="3812"/>
      <c r="AQ696" s="5059"/>
      <c r="AR696" s="5123"/>
      <c r="AS696" s="5346"/>
      <c r="AT696" s="5160"/>
      <c r="AU696" s="3812"/>
      <c r="AV696" s="3812"/>
      <c r="AW696" s="3812"/>
      <c r="AX696" s="3812"/>
      <c r="AY696" s="3812"/>
      <c r="AZ696" s="3812"/>
      <c r="BA696" s="5146"/>
      <c r="BB696" s="5146"/>
      <c r="BC696" s="3812"/>
      <c r="BD696" s="3812"/>
      <c r="BE696" s="5146"/>
      <c r="BF696" s="5146"/>
      <c r="BG696" s="5146"/>
      <c r="BH696" s="3812"/>
      <c r="BI696" s="5146"/>
      <c r="BJ696" s="5146"/>
      <c r="BK696" s="5146"/>
      <c r="BL696" s="5146"/>
      <c r="BM696" s="5296"/>
      <c r="BN696" s="5263"/>
      <c r="BO696" s="5273"/>
      <c r="BP696" s="5146"/>
      <c r="BQ696" s="5146"/>
      <c r="BR696" s="3812"/>
      <c r="BS696" s="5146"/>
      <c r="BT696" s="5146"/>
      <c r="BU696" s="5146"/>
      <c r="BV696" s="3812"/>
      <c r="BW696" s="5146"/>
      <c r="BX696" s="5146"/>
      <c r="BY696" s="5146"/>
      <c r="BZ696" s="5146"/>
      <c r="CA696" s="5296"/>
      <c r="CB696" s="5915"/>
      <c r="CC696" s="5167"/>
      <c r="CD696" s="3524"/>
      <c r="CE696" s="5154"/>
      <c r="CF696" s="5154"/>
      <c r="CG696" s="5154"/>
      <c r="CH696" s="5154"/>
    </row>
    <row r="697" s="4980" customFormat="1" ht="30" customHeight="1" spans="1:86">
      <c r="A697" s="3812"/>
      <c r="B697" s="857"/>
      <c r="C697" s="857"/>
      <c r="D697" s="5059"/>
      <c r="E697" s="5059"/>
      <c r="F697" s="5059"/>
      <c r="G697" s="1032"/>
      <c r="H697" s="3812"/>
      <c r="I697" s="5074"/>
      <c r="J697" s="5059"/>
      <c r="K697" s="1032"/>
      <c r="L697" s="5059"/>
      <c r="M697" s="5059"/>
      <c r="N697" s="3061"/>
      <c r="O697" s="3061"/>
      <c r="P697" s="3061"/>
      <c r="Q697" s="3061"/>
      <c r="R697" s="3061"/>
      <c r="S697" s="3061"/>
      <c r="T697" s="3061"/>
      <c r="U697" s="3061"/>
      <c r="V697" s="3061"/>
      <c r="W697" s="3061"/>
      <c r="X697" s="3061"/>
      <c r="Y697" s="3061"/>
      <c r="Z697" s="3061"/>
      <c r="AA697" s="3061"/>
      <c r="AB697" s="3061"/>
      <c r="AC697" s="857" t="s">
        <v>1113</v>
      </c>
      <c r="AD697" s="5241" t="s">
        <v>1605</v>
      </c>
      <c r="AE697" s="1032">
        <v>0.6</v>
      </c>
      <c r="AF697" s="857">
        <f>M695*AE697</f>
        <v>779516.73</v>
      </c>
      <c r="AG697" s="3812">
        <f>SUM(BA697:BN697)</f>
        <v>779516.73</v>
      </c>
      <c r="AH697" s="3812" t="s">
        <v>122</v>
      </c>
      <c r="AI697" s="3812">
        <v>44555</v>
      </c>
      <c r="AJ697" s="3812">
        <v>779516.73</v>
      </c>
      <c r="AK697" s="3812">
        <v>44555</v>
      </c>
      <c r="AL697" s="3812">
        <v>238279.59</v>
      </c>
      <c r="AM697" s="3812"/>
      <c r="AN697" s="3812">
        <f t="shared" ref="AN697:AN704" si="144">SUM(BO697:CB697)</f>
        <v>20161.09</v>
      </c>
      <c r="AO697" s="857">
        <v>45015</v>
      </c>
      <c r="AP697" s="3812">
        <f>AG697-(AN697+AN699+AN701)</f>
        <v>369416.72</v>
      </c>
      <c r="AQ697" s="5059"/>
      <c r="AR697" s="5123"/>
      <c r="AS697" s="1131" t="s">
        <v>1606</v>
      </c>
      <c r="AT697" s="5160"/>
      <c r="AU697" s="3812"/>
      <c r="AV697" s="3812"/>
      <c r="AW697" s="3812"/>
      <c r="AX697" s="3812"/>
      <c r="AY697" s="3812"/>
      <c r="AZ697" s="3812"/>
      <c r="BA697" s="5146"/>
      <c r="BB697" s="5146"/>
      <c r="BC697" s="3812"/>
      <c r="BD697" s="5902">
        <v>779516.73</v>
      </c>
      <c r="BE697" s="5146"/>
      <c r="BF697" s="5146"/>
      <c r="BG697" s="5146"/>
      <c r="BH697" s="3812"/>
      <c r="BI697" s="5146"/>
      <c r="BJ697" s="5146"/>
      <c r="BK697" s="5146"/>
      <c r="BL697" s="5146"/>
      <c r="BM697" s="5296"/>
      <c r="BN697" s="5263"/>
      <c r="BO697" s="5273"/>
      <c r="BP697" s="5146"/>
      <c r="BQ697" s="5146"/>
      <c r="BR697" s="3812">
        <v>20161.09</v>
      </c>
      <c r="BS697" s="5146"/>
      <c r="BT697" s="5146"/>
      <c r="BU697" s="5146"/>
      <c r="BV697" s="3812"/>
      <c r="BW697" s="5146"/>
      <c r="BX697" s="5146"/>
      <c r="BY697" s="5146"/>
      <c r="BZ697" s="5146"/>
      <c r="CA697" s="5296"/>
      <c r="CB697" s="5915"/>
      <c r="CC697" s="5167"/>
      <c r="CD697" s="3524"/>
      <c r="CE697" s="5154"/>
      <c r="CF697" s="5154"/>
      <c r="CG697" s="5154"/>
      <c r="CH697" s="5154"/>
    </row>
    <row r="698" s="4980" customFormat="1" ht="46" spans="1:86">
      <c r="A698" s="3812"/>
      <c r="B698" s="857"/>
      <c r="C698" s="857"/>
      <c r="D698" s="5059"/>
      <c r="E698" s="5059"/>
      <c r="F698" s="5059"/>
      <c r="G698" s="1032"/>
      <c r="H698" s="3812"/>
      <c r="I698" s="5074"/>
      <c r="J698" s="5059"/>
      <c r="K698" s="1032"/>
      <c r="L698" s="5059"/>
      <c r="M698" s="5059"/>
      <c r="N698" s="3061"/>
      <c r="O698" s="3061"/>
      <c r="P698" s="3061"/>
      <c r="Q698" s="3061"/>
      <c r="R698" s="3061"/>
      <c r="S698" s="3061"/>
      <c r="T698" s="3061"/>
      <c r="U698" s="3061"/>
      <c r="V698" s="3061"/>
      <c r="W698" s="3061"/>
      <c r="X698" s="3061"/>
      <c r="Y698" s="3061"/>
      <c r="Z698" s="3061"/>
      <c r="AA698" s="3061"/>
      <c r="AB698" s="3061"/>
      <c r="AC698" s="857"/>
      <c r="AD698" s="5241"/>
      <c r="AE698" s="1032"/>
      <c r="AF698" s="857"/>
      <c r="AG698" s="3812"/>
      <c r="AH698" s="3812"/>
      <c r="AI698" s="3812"/>
      <c r="AJ698" s="3812"/>
      <c r="AK698" s="3812"/>
      <c r="AL698" s="3812"/>
      <c r="AM698" s="3812"/>
      <c r="AN698" s="3812">
        <f t="shared" si="144"/>
        <v>120000</v>
      </c>
      <c r="AO698" s="857">
        <v>45469</v>
      </c>
      <c r="AP698" s="3812"/>
      <c r="AQ698" s="5241" t="s">
        <v>1607</v>
      </c>
      <c r="AR698" s="5123"/>
      <c r="AS698" s="1131"/>
      <c r="AT698" s="5160"/>
      <c r="AU698" s="3812"/>
      <c r="AV698" s="3812"/>
      <c r="AW698" s="3812"/>
      <c r="AX698" s="3812"/>
      <c r="AY698" s="3812"/>
      <c r="AZ698" s="3812"/>
      <c r="BA698" s="5146"/>
      <c r="BB698" s="5146"/>
      <c r="BC698" s="3812"/>
      <c r="BD698" s="5902"/>
      <c r="BE698" s="5146"/>
      <c r="BF698" s="5146"/>
      <c r="BG698" s="5146"/>
      <c r="BH698" s="3812"/>
      <c r="BI698" s="5146"/>
      <c r="BJ698" s="5146"/>
      <c r="BK698" s="5146"/>
      <c r="BL698" s="5146"/>
      <c r="BM698" s="5296"/>
      <c r="BN698" s="5263"/>
      <c r="BO698" s="5273"/>
      <c r="BP698" s="5146"/>
      <c r="BQ698" s="5146"/>
      <c r="BR698" s="3812">
        <v>120000</v>
      </c>
      <c r="BS698" s="5146"/>
      <c r="BT698" s="5146"/>
      <c r="BU698" s="5146"/>
      <c r="BV698" s="3812"/>
      <c r="BW698" s="5146"/>
      <c r="BX698" s="5146"/>
      <c r="BY698" s="5146"/>
      <c r="BZ698" s="5146"/>
      <c r="CA698" s="5296"/>
      <c r="CB698" s="5915"/>
      <c r="CC698" s="5167"/>
      <c r="CD698" s="3524"/>
      <c r="CE698" s="5154"/>
      <c r="CF698" s="5154"/>
      <c r="CG698" s="5154"/>
      <c r="CH698" s="5154"/>
    </row>
    <row r="699" s="4980" customFormat="1" ht="30" customHeight="1" spans="1:86">
      <c r="A699" s="3812"/>
      <c r="B699" s="857"/>
      <c r="C699" s="857"/>
      <c r="D699" s="5059"/>
      <c r="E699" s="5059"/>
      <c r="F699" s="5059"/>
      <c r="G699" s="1032"/>
      <c r="H699" s="3812"/>
      <c r="I699" s="5074"/>
      <c r="J699" s="5059"/>
      <c r="K699" s="1032"/>
      <c r="L699" s="5059"/>
      <c r="M699" s="5059"/>
      <c r="N699" s="3061"/>
      <c r="O699" s="3061"/>
      <c r="P699" s="3061"/>
      <c r="Q699" s="3061"/>
      <c r="R699" s="3061"/>
      <c r="S699" s="3061"/>
      <c r="T699" s="3061"/>
      <c r="U699" s="3061"/>
      <c r="V699" s="3061"/>
      <c r="W699" s="3061"/>
      <c r="X699" s="3061"/>
      <c r="Y699" s="3061"/>
      <c r="Z699" s="3061"/>
      <c r="AA699" s="3061"/>
      <c r="AB699" s="3061"/>
      <c r="AC699" s="857"/>
      <c r="AD699" s="5241"/>
      <c r="AE699" s="1032"/>
      <c r="AF699" s="857"/>
      <c r="AG699" s="3812"/>
      <c r="AH699" s="3812"/>
      <c r="AI699" s="3812"/>
      <c r="AJ699" s="3812"/>
      <c r="AK699" s="3812"/>
      <c r="AL699" s="3812"/>
      <c r="AM699" s="3812"/>
      <c r="AN699" s="3812">
        <f t="shared" si="144"/>
        <v>98118.5</v>
      </c>
      <c r="AO699" s="3812">
        <v>45497</v>
      </c>
      <c r="AP699" s="3812"/>
      <c r="AQ699" s="1032"/>
      <c r="AR699" s="5123"/>
      <c r="AS699" s="5346"/>
      <c r="AT699" s="5160"/>
      <c r="AU699" s="3812"/>
      <c r="AV699" s="3812"/>
      <c r="AW699" s="3812"/>
      <c r="AX699" s="3812"/>
      <c r="AY699" s="3812"/>
      <c r="AZ699" s="3812"/>
      <c r="BA699" s="5146"/>
      <c r="BB699" s="5146"/>
      <c r="BC699" s="3812"/>
      <c r="BD699" s="5902"/>
      <c r="BE699" s="5146"/>
      <c r="BF699" s="5146"/>
      <c r="BG699" s="5146"/>
      <c r="BH699" s="3812"/>
      <c r="BI699" s="5146"/>
      <c r="BJ699" s="5146"/>
      <c r="BK699" s="5146"/>
      <c r="BL699" s="5146"/>
      <c r="BM699" s="5296"/>
      <c r="BN699" s="5263"/>
      <c r="BO699" s="5273"/>
      <c r="BP699" s="5146"/>
      <c r="BQ699" s="5146"/>
      <c r="BR699" s="3812">
        <v>98118.5</v>
      </c>
      <c r="BS699" s="5146"/>
      <c r="BT699" s="5146"/>
      <c r="BU699" s="5146"/>
      <c r="BV699" s="3812"/>
      <c r="BW699" s="5146"/>
      <c r="BX699" s="5146"/>
      <c r="BY699" s="5146"/>
      <c r="BZ699" s="5146"/>
      <c r="CA699" s="5296"/>
      <c r="CB699" s="5915"/>
      <c r="CC699" s="5167"/>
      <c r="CD699" s="3524"/>
      <c r="CE699" s="5154"/>
      <c r="CF699" s="5154"/>
      <c r="CG699" s="5154"/>
      <c r="CH699" s="5154"/>
    </row>
    <row r="700" s="4980" customFormat="1" ht="30" customHeight="1" spans="1:86">
      <c r="A700" s="3812"/>
      <c r="B700" s="857"/>
      <c r="C700" s="857"/>
      <c r="D700" s="5059"/>
      <c r="E700" s="5059"/>
      <c r="F700" s="5059"/>
      <c r="G700" s="1032"/>
      <c r="H700" s="3812"/>
      <c r="I700" s="5074"/>
      <c r="J700" s="5059"/>
      <c r="K700" s="1032"/>
      <c r="L700" s="5059"/>
      <c r="M700" s="5059"/>
      <c r="N700" s="3061"/>
      <c r="O700" s="3061"/>
      <c r="P700" s="3061"/>
      <c r="Q700" s="3061"/>
      <c r="R700" s="3061"/>
      <c r="S700" s="3061"/>
      <c r="T700" s="3061"/>
      <c r="U700" s="3061"/>
      <c r="V700" s="3061"/>
      <c r="W700" s="3061"/>
      <c r="X700" s="3061"/>
      <c r="Y700" s="3061"/>
      <c r="Z700" s="3061"/>
      <c r="AA700" s="3061"/>
      <c r="AB700" s="3061"/>
      <c r="AC700" s="857"/>
      <c r="AD700" s="5241"/>
      <c r="AE700" s="1032"/>
      <c r="AF700" s="857"/>
      <c r="AG700" s="3812"/>
      <c r="AH700" s="3812"/>
      <c r="AI700" s="3812"/>
      <c r="AJ700" s="3812"/>
      <c r="AK700" s="3812"/>
      <c r="AL700" s="3812">
        <v>249416.72</v>
      </c>
      <c r="AM700" s="3812">
        <v>45673</v>
      </c>
      <c r="AN700" s="3812">
        <f t="shared" si="144"/>
        <v>249416.72</v>
      </c>
      <c r="AO700" s="3812">
        <v>45680</v>
      </c>
      <c r="AP700" s="3812"/>
      <c r="AQ700" s="1032"/>
      <c r="AR700" s="5123"/>
      <c r="AS700" s="5346"/>
      <c r="AT700" s="5160"/>
      <c r="AU700" s="3812"/>
      <c r="AV700" s="3812"/>
      <c r="AW700" s="3812"/>
      <c r="AX700" s="3812"/>
      <c r="AY700" s="3812"/>
      <c r="AZ700" s="3812"/>
      <c r="BA700" s="5146"/>
      <c r="BB700" s="5146"/>
      <c r="BC700" s="3812"/>
      <c r="BD700" s="5902"/>
      <c r="BE700" s="5146"/>
      <c r="BF700" s="5146"/>
      <c r="BG700" s="5146"/>
      <c r="BH700" s="3812"/>
      <c r="BI700" s="5146"/>
      <c r="BJ700" s="5146"/>
      <c r="BK700" s="5146"/>
      <c r="BL700" s="5146"/>
      <c r="BM700" s="5296"/>
      <c r="BN700" s="5263"/>
      <c r="BO700" s="5273"/>
      <c r="BP700" s="5146"/>
      <c r="BQ700" s="5146"/>
      <c r="BR700" s="3812">
        <v>249416.72</v>
      </c>
      <c r="BS700" s="5146"/>
      <c r="BT700" s="5146"/>
      <c r="BU700" s="5146"/>
      <c r="BV700" s="3812"/>
      <c r="BW700" s="5146"/>
      <c r="BX700" s="5146"/>
      <c r="BY700" s="5146"/>
      <c r="BZ700" s="5146"/>
      <c r="CA700" s="5296"/>
      <c r="CB700" s="5915"/>
      <c r="CC700" s="5167"/>
      <c r="CD700" s="3524"/>
      <c r="CE700" s="5154"/>
      <c r="CF700" s="5154"/>
      <c r="CG700" s="5154"/>
      <c r="CH700" s="5154"/>
    </row>
    <row r="701" s="4980" customFormat="1" ht="30" customHeight="1" spans="1:86">
      <c r="A701" s="3812"/>
      <c r="B701" s="857"/>
      <c r="C701" s="857"/>
      <c r="D701" s="5059"/>
      <c r="E701" s="5059"/>
      <c r="F701" s="5059"/>
      <c r="G701" s="1032"/>
      <c r="H701" s="3812"/>
      <c r="I701" s="5074"/>
      <c r="J701" s="5059"/>
      <c r="K701" s="1032"/>
      <c r="L701" s="5059"/>
      <c r="M701" s="5059"/>
      <c r="N701" s="3061"/>
      <c r="O701" s="3061"/>
      <c r="P701" s="3061"/>
      <c r="Q701" s="3061"/>
      <c r="R701" s="3061"/>
      <c r="S701" s="3061"/>
      <c r="T701" s="3061"/>
      <c r="U701" s="3061"/>
      <c r="V701" s="3061"/>
      <c r="W701" s="3061"/>
      <c r="X701" s="3061"/>
      <c r="Y701" s="3061"/>
      <c r="Z701" s="3061"/>
      <c r="AA701" s="3061"/>
      <c r="AB701" s="3061"/>
      <c r="AC701" s="857"/>
      <c r="AD701" s="5241"/>
      <c r="AE701" s="1032"/>
      <c r="AF701" s="857"/>
      <c r="AG701" s="3812"/>
      <c r="AH701" s="3812"/>
      <c r="AI701" s="3812"/>
      <c r="AJ701" s="3812"/>
      <c r="AK701" s="3812"/>
      <c r="AL701" s="3812">
        <v>291820.42</v>
      </c>
      <c r="AM701" s="4840">
        <v>45889</v>
      </c>
      <c r="AN701" s="5123">
        <f t="shared" si="144"/>
        <v>291820.42</v>
      </c>
      <c r="AO701" s="5302">
        <v>46386</v>
      </c>
      <c r="AP701" s="3812"/>
      <c r="AQ701" s="1032" t="s">
        <v>1608</v>
      </c>
      <c r="AR701" s="5123"/>
      <c r="AS701" s="5346"/>
      <c r="AT701" s="5160"/>
      <c r="AU701" s="3812"/>
      <c r="AV701" s="3812"/>
      <c r="AW701" s="3812"/>
      <c r="AX701" s="3812"/>
      <c r="AY701" s="3812"/>
      <c r="AZ701" s="3812"/>
      <c r="BA701" s="5146"/>
      <c r="BB701" s="5146"/>
      <c r="BC701" s="3812"/>
      <c r="BD701" s="5902"/>
      <c r="BE701" s="5146"/>
      <c r="BF701" s="5146"/>
      <c r="BG701" s="5146"/>
      <c r="BH701" s="3812"/>
      <c r="BI701" s="5146"/>
      <c r="BJ701" s="5146"/>
      <c r="BK701" s="5146"/>
      <c r="BL701" s="5146"/>
      <c r="BM701" s="5296"/>
      <c r="BN701" s="5263"/>
      <c r="BO701" s="5273"/>
      <c r="BP701" s="5146"/>
      <c r="BQ701" s="5146"/>
      <c r="BR701" s="3812">
        <f>541237.14-BR700</f>
        <v>291820.42</v>
      </c>
      <c r="BS701" s="5146"/>
      <c r="BT701" s="5146"/>
      <c r="BU701" s="5146"/>
      <c r="BV701" s="3812"/>
      <c r="BW701" s="5146"/>
      <c r="BX701" s="5146"/>
      <c r="BY701" s="5146"/>
      <c r="BZ701" s="5146"/>
      <c r="CA701" s="5296"/>
      <c r="CB701" s="5915"/>
      <c r="CC701" s="5167"/>
      <c r="CD701" s="3524"/>
      <c r="CE701" s="5154"/>
      <c r="CF701" s="5154"/>
      <c r="CG701" s="5154"/>
      <c r="CH701" s="5154"/>
    </row>
    <row r="702" s="4980" customFormat="1" ht="35.85" customHeight="1" spans="1:86">
      <c r="A702" s="3812"/>
      <c r="B702" s="857"/>
      <c r="C702" s="857"/>
      <c r="D702" s="5059"/>
      <c r="E702" s="5059"/>
      <c r="F702" s="5059"/>
      <c r="G702" s="1032"/>
      <c r="H702" s="3812"/>
      <c r="I702" s="5074"/>
      <c r="J702" s="5059"/>
      <c r="K702" s="1032"/>
      <c r="L702" s="5059"/>
      <c r="M702" s="5059"/>
      <c r="N702" s="3061"/>
      <c r="O702" s="3061"/>
      <c r="P702" s="3061"/>
      <c r="Q702" s="3061"/>
      <c r="R702" s="3061"/>
      <c r="S702" s="3061"/>
      <c r="T702" s="3061"/>
      <c r="U702" s="3061"/>
      <c r="V702" s="3061"/>
      <c r="W702" s="3061"/>
      <c r="X702" s="3061"/>
      <c r="Y702" s="3061"/>
      <c r="Z702" s="3061"/>
      <c r="AA702" s="3061"/>
      <c r="AB702" s="3061"/>
      <c r="AC702" s="857" t="s">
        <v>1115</v>
      </c>
      <c r="AD702" s="5241" t="s">
        <v>1609</v>
      </c>
      <c r="AE702" s="1032">
        <v>0.2</v>
      </c>
      <c r="AF702" s="857">
        <f>M695*AE702</f>
        <v>259838.91</v>
      </c>
      <c r="AG702" s="4840">
        <f>SUM(BA702:BN702)</f>
        <v>117756.12</v>
      </c>
      <c r="AH702" s="5073" t="s">
        <v>122</v>
      </c>
      <c r="AI702" s="4840">
        <v>44918</v>
      </c>
      <c r="AJ702" s="4840">
        <v>117756.12</v>
      </c>
      <c r="AK702" s="4840">
        <v>44918</v>
      </c>
      <c r="AL702" s="3812">
        <v>76094.33</v>
      </c>
      <c r="AM702" s="4842"/>
      <c r="AN702" s="5123">
        <f t="shared" si="144"/>
        <v>76094.33</v>
      </c>
      <c r="AO702" s="5301"/>
      <c r="AP702" s="3812"/>
      <c r="AQ702" s="5892" t="s">
        <v>1610</v>
      </c>
      <c r="AR702" s="5123"/>
      <c r="AS702" s="5346"/>
      <c r="AT702" s="5160"/>
      <c r="AU702" s="3812"/>
      <c r="AV702" s="3812"/>
      <c r="AW702" s="3812"/>
      <c r="AX702" s="3812"/>
      <c r="AY702" s="3812"/>
      <c r="AZ702" s="3812"/>
      <c r="BA702" s="5146"/>
      <c r="BB702" s="5146"/>
      <c r="BC702" s="3812"/>
      <c r="BD702" s="5902"/>
      <c r="BE702" s="5146"/>
      <c r="BF702" s="5146"/>
      <c r="BG702" s="5146"/>
      <c r="BH702" s="4840">
        <v>117756.12</v>
      </c>
      <c r="BI702" s="5146"/>
      <c r="BJ702" s="5146"/>
      <c r="BK702" s="5146"/>
      <c r="BL702" s="5146"/>
      <c r="BM702" s="5296"/>
      <c r="BN702" s="5263"/>
      <c r="BO702" s="5273"/>
      <c r="BP702" s="5146"/>
      <c r="BQ702" s="5146"/>
      <c r="BR702" s="5160"/>
      <c r="BS702" s="5146"/>
      <c r="BT702" s="5146"/>
      <c r="BU702" s="5146"/>
      <c r="BV702" s="3812">
        <v>76094.33</v>
      </c>
      <c r="BW702" s="5146"/>
      <c r="BX702" s="5146"/>
      <c r="BY702" s="5146"/>
      <c r="BZ702" s="5146"/>
      <c r="CA702" s="5296"/>
      <c r="CB702" s="5915"/>
      <c r="CC702" s="5167"/>
      <c r="CD702" s="3524"/>
      <c r="CE702" s="5154"/>
      <c r="CF702" s="5154"/>
      <c r="CG702" s="5154"/>
      <c r="CH702" s="5154"/>
    </row>
    <row r="703" s="4980" customFormat="1" ht="36.75" customHeight="1" spans="1:86">
      <c r="A703" s="3812"/>
      <c r="B703" s="857"/>
      <c r="C703" s="857"/>
      <c r="D703" s="5059"/>
      <c r="E703" s="5059"/>
      <c r="F703" s="5059"/>
      <c r="G703" s="1032"/>
      <c r="H703" s="3812"/>
      <c r="I703" s="5074"/>
      <c r="J703" s="5059"/>
      <c r="K703" s="1032"/>
      <c r="L703" s="5059"/>
      <c r="M703" s="5059"/>
      <c r="N703" s="3061"/>
      <c r="O703" s="3061"/>
      <c r="P703" s="3061"/>
      <c r="Q703" s="3061"/>
      <c r="R703" s="3061"/>
      <c r="S703" s="3061"/>
      <c r="T703" s="3061"/>
      <c r="U703" s="3061"/>
      <c r="V703" s="3061"/>
      <c r="W703" s="3061"/>
      <c r="X703" s="3061"/>
      <c r="Y703" s="3061"/>
      <c r="Z703" s="3061"/>
      <c r="AA703" s="3061"/>
      <c r="AB703" s="3061"/>
      <c r="AC703" s="857"/>
      <c r="AD703" s="5241"/>
      <c r="AE703" s="1032"/>
      <c r="AF703" s="857"/>
      <c r="AG703" s="4842"/>
      <c r="AH703" s="5206"/>
      <c r="AI703" s="4842"/>
      <c r="AJ703" s="4842"/>
      <c r="AK703" s="4842"/>
      <c r="AL703" s="5123">
        <f>AJ702-AL702</f>
        <v>41661.79</v>
      </c>
      <c r="AM703" s="5123"/>
      <c r="AN703" s="5123">
        <f t="shared" si="144"/>
        <v>41661.79</v>
      </c>
      <c r="AO703" s="5123"/>
      <c r="AP703" s="3812"/>
      <c r="AQ703" s="5893"/>
      <c r="AR703" s="5123"/>
      <c r="AS703" s="5898"/>
      <c r="AT703" s="5160"/>
      <c r="AU703" s="3812"/>
      <c r="AV703" s="3812"/>
      <c r="AW703" s="3812"/>
      <c r="AX703" s="3812"/>
      <c r="AY703" s="3812"/>
      <c r="AZ703" s="3812"/>
      <c r="BA703" s="5146"/>
      <c r="BB703" s="5146"/>
      <c r="BC703" s="3812"/>
      <c r="BD703" s="5123"/>
      <c r="BE703" s="5160"/>
      <c r="BF703" s="5160"/>
      <c r="BG703" s="5160"/>
      <c r="BH703" s="4842"/>
      <c r="BI703" s="5146"/>
      <c r="BJ703" s="5146"/>
      <c r="BK703" s="5146"/>
      <c r="BL703" s="5146"/>
      <c r="BM703" s="5296"/>
      <c r="BN703" s="5263"/>
      <c r="BO703" s="5909"/>
      <c r="BP703" s="5910"/>
      <c r="BQ703" s="5910"/>
      <c r="BR703" s="5910"/>
      <c r="BS703" s="5910"/>
      <c r="BT703" s="5910"/>
      <c r="BU703" s="5910"/>
      <c r="BV703" s="3812">
        <v>41661.79</v>
      </c>
      <c r="BW703" s="5910"/>
      <c r="BX703" s="5910"/>
      <c r="BY703" s="5910"/>
      <c r="BZ703" s="5910"/>
      <c r="CA703" s="5916"/>
      <c r="CB703" s="5917"/>
      <c r="CC703" s="5167"/>
      <c r="CD703" s="3524"/>
      <c r="CE703" s="5154"/>
      <c r="CF703" s="5154"/>
      <c r="CG703" s="5154"/>
      <c r="CH703" s="5154"/>
    </row>
    <row r="704" s="4980" customFormat="1" ht="36.75" customHeight="1" spans="1:86">
      <c r="A704" s="3812"/>
      <c r="B704" s="857"/>
      <c r="C704" s="857"/>
      <c r="D704" s="5059"/>
      <c r="E704" s="5059"/>
      <c r="F704" s="5059"/>
      <c r="G704" s="1032"/>
      <c r="H704" s="3812"/>
      <c r="I704" s="5075"/>
      <c r="J704" s="5059"/>
      <c r="K704" s="1032"/>
      <c r="L704" s="5059"/>
      <c r="M704" s="5059"/>
      <c r="N704" s="3061"/>
      <c r="O704" s="3061"/>
      <c r="P704" s="3061"/>
      <c r="Q704" s="3061"/>
      <c r="R704" s="3061"/>
      <c r="S704" s="3061"/>
      <c r="T704" s="3061"/>
      <c r="U704" s="3061"/>
      <c r="V704" s="3061"/>
      <c r="W704" s="3061"/>
      <c r="X704" s="3061"/>
      <c r="Y704" s="3061"/>
      <c r="Z704" s="3061"/>
      <c r="AA704" s="3061"/>
      <c r="AB704" s="3061"/>
      <c r="AC704" s="857"/>
      <c r="AD704" s="5241"/>
      <c r="AE704" s="1032"/>
      <c r="AF704" s="857"/>
      <c r="AG704" s="3812">
        <f t="shared" ref="AG704:AG714" si="145">SUM(BA704:BN704)</f>
        <v>79655.46</v>
      </c>
      <c r="AH704" s="1032" t="s">
        <v>122</v>
      </c>
      <c r="AI704" s="3812">
        <v>45267</v>
      </c>
      <c r="AJ704" s="3812">
        <v>79655.46</v>
      </c>
      <c r="AK704" s="3812">
        <v>45267</v>
      </c>
      <c r="AL704" s="5123">
        <v>89971.8</v>
      </c>
      <c r="AM704" s="5123"/>
      <c r="AN704" s="5123">
        <f t="shared" si="144"/>
        <v>89971.8</v>
      </c>
      <c r="AO704" s="5123"/>
      <c r="AP704" s="3812">
        <f t="shared" ref="AP704:AP718" si="146">AG704-AN704</f>
        <v>-10316.34</v>
      </c>
      <c r="AQ704" s="1032" t="s">
        <v>1611</v>
      </c>
      <c r="AR704" s="5123"/>
      <c r="AS704" s="5898"/>
      <c r="AT704" s="5160"/>
      <c r="AU704" s="3812"/>
      <c r="AV704" s="3812"/>
      <c r="AW704" s="3812"/>
      <c r="AX704" s="3812"/>
      <c r="AY704" s="3812"/>
      <c r="AZ704" s="3812"/>
      <c r="BA704" s="5146"/>
      <c r="BB704" s="5146"/>
      <c r="BC704" s="3812"/>
      <c r="BD704" s="5123"/>
      <c r="BE704" s="5160"/>
      <c r="BF704" s="5160"/>
      <c r="BG704" s="5160"/>
      <c r="BH704" s="3812">
        <v>79655.46</v>
      </c>
      <c r="BI704" s="5146"/>
      <c r="BJ704" s="5146"/>
      <c r="BK704" s="5146"/>
      <c r="BL704" s="5146"/>
      <c r="BM704" s="5296"/>
      <c r="BN704" s="5263"/>
      <c r="BO704" s="5790"/>
      <c r="BP704" s="5791"/>
      <c r="BQ704" s="5791"/>
      <c r="BR704" s="5791"/>
      <c r="BS704" s="5791"/>
      <c r="BT704" s="5791"/>
      <c r="BU704" s="5791"/>
      <c r="BV704" s="3812">
        <v>89971.8</v>
      </c>
      <c r="BW704" s="5791"/>
      <c r="BX704" s="5791"/>
      <c r="BY704" s="5791"/>
      <c r="BZ704" s="5791"/>
      <c r="CA704" s="5918"/>
      <c r="CB704" s="5919"/>
      <c r="CC704" s="5167"/>
      <c r="CD704" s="3524"/>
      <c r="CE704" s="5154"/>
      <c r="CF704" s="5154"/>
      <c r="CG704" s="5154"/>
      <c r="CH704" s="5154"/>
    </row>
    <row r="705" s="4980" customFormat="1" ht="50" customHeight="1" spans="1:86">
      <c r="A705" s="3812">
        <v>16</v>
      </c>
      <c r="B705" s="857" t="s">
        <v>111</v>
      </c>
      <c r="C705" s="857">
        <v>44915</v>
      </c>
      <c r="D705" s="1032" t="s">
        <v>1612</v>
      </c>
      <c r="E705" s="1032" t="s">
        <v>1613</v>
      </c>
      <c r="F705" s="1032" t="s">
        <v>1614</v>
      </c>
      <c r="G705" s="1032" t="s">
        <v>1615</v>
      </c>
      <c r="H705" s="857" t="s">
        <v>240</v>
      </c>
      <c r="I705" s="5073"/>
      <c r="J705" s="1032" t="s">
        <v>1426</v>
      </c>
      <c r="K705" s="1032">
        <v>533011</v>
      </c>
      <c r="L705" s="1032" t="s">
        <v>1616</v>
      </c>
      <c r="M705" s="5059">
        <f>SUM(N705:AB711)</f>
        <v>8528176</v>
      </c>
      <c r="N705" s="3524">
        <v>0</v>
      </c>
      <c r="O705" s="3524">
        <v>0</v>
      </c>
      <c r="P705" s="3524">
        <v>0</v>
      </c>
      <c r="Q705" s="3524">
        <v>7879469.93</v>
      </c>
      <c r="R705" s="3524">
        <v>0</v>
      </c>
      <c r="S705" s="3524">
        <v>0</v>
      </c>
      <c r="T705" s="5089">
        <v>0</v>
      </c>
      <c r="U705" s="3524">
        <v>648706.07</v>
      </c>
      <c r="V705" s="3524">
        <v>0</v>
      </c>
      <c r="W705" s="3524">
        <v>0</v>
      </c>
      <c r="X705" s="3524">
        <v>0</v>
      </c>
      <c r="Y705" s="3524">
        <v>0</v>
      </c>
      <c r="Z705" s="3524"/>
      <c r="AA705" s="3524">
        <v>0</v>
      </c>
      <c r="AB705" s="3524">
        <v>0</v>
      </c>
      <c r="AC705" s="857" t="s">
        <v>1055</v>
      </c>
      <c r="AD705" s="5241" t="s">
        <v>1553</v>
      </c>
      <c r="AE705" s="5878">
        <v>0.1</v>
      </c>
      <c r="AF705" s="857">
        <f>M705*AE705</f>
        <v>852817.6</v>
      </c>
      <c r="AG705" s="3812">
        <f t="shared" si="145"/>
        <v>852817.6</v>
      </c>
      <c r="AH705" s="3812" t="s">
        <v>122</v>
      </c>
      <c r="AI705" s="3812">
        <v>44916</v>
      </c>
      <c r="AJ705" s="3812">
        <v>852817.6</v>
      </c>
      <c r="AK705" s="3812">
        <v>44916</v>
      </c>
      <c r="AL705" s="3812"/>
      <c r="AM705" s="3812"/>
      <c r="AN705" s="3812">
        <f t="shared" ref="AN704:AN724" si="147">SUM(BO705:CB705)</f>
        <v>0</v>
      </c>
      <c r="AO705" s="3812"/>
      <c r="AP705" s="3812">
        <f t="shared" si="146"/>
        <v>852817.6</v>
      </c>
      <c r="AQ705" s="3812"/>
      <c r="AR705" s="5123"/>
      <c r="AS705" s="5346"/>
      <c r="AT705" s="5160"/>
      <c r="AU705" s="3812">
        <f>SUM(AG705:AG711)</f>
        <v>4690496.8</v>
      </c>
      <c r="AV705" s="3812">
        <f>SUM(AL705:AL711)</f>
        <v>0</v>
      </c>
      <c r="AW705" s="3812">
        <f>SUM(AN705:AN711)</f>
        <v>0</v>
      </c>
      <c r="AX705" s="3812">
        <f>M705-AU705</f>
        <v>3837679.2</v>
      </c>
      <c r="AY705" s="3812">
        <f>AU705-AV705</f>
        <v>4690496.8</v>
      </c>
      <c r="AZ705" s="3812">
        <f>AV705-AW705</f>
        <v>0</v>
      </c>
      <c r="BA705" s="5146"/>
      <c r="BB705" s="5146"/>
      <c r="BC705" s="3812"/>
      <c r="BD705" s="3812">
        <v>852817.6</v>
      </c>
      <c r="BE705" s="3812"/>
      <c r="BF705" s="3812"/>
      <c r="BG705" s="3812"/>
      <c r="BH705" s="3812"/>
      <c r="BI705" s="5146"/>
      <c r="BJ705" s="5146"/>
      <c r="BK705" s="5146"/>
      <c r="BL705" s="5146"/>
      <c r="BM705" s="5146"/>
      <c r="BN705" s="3812"/>
      <c r="BO705" s="5792"/>
      <c r="BP705" s="5792"/>
      <c r="BQ705" s="5792"/>
      <c r="BR705" s="4842"/>
      <c r="BS705" s="5792"/>
      <c r="BT705" s="5792"/>
      <c r="BU705" s="5792"/>
      <c r="BV705" s="4842"/>
      <c r="BW705" s="5792"/>
      <c r="BX705" s="5792"/>
      <c r="BY705" s="5792"/>
      <c r="BZ705" s="5792"/>
      <c r="CA705" s="5792"/>
      <c r="CB705" s="5792"/>
      <c r="CC705" s="3812" t="s">
        <v>166</v>
      </c>
      <c r="CD705" s="3812" t="s">
        <v>154</v>
      </c>
      <c r="CE705" s="5154"/>
      <c r="CF705" s="5154"/>
      <c r="CG705" s="5154"/>
      <c r="CH705" s="5154"/>
    </row>
    <row r="706" s="4980" customFormat="1" ht="50" customHeight="1" spans="1:86">
      <c r="A706" s="3812"/>
      <c r="B706" s="857"/>
      <c r="C706" s="857"/>
      <c r="D706" s="5059"/>
      <c r="E706" s="5059"/>
      <c r="F706" s="5059"/>
      <c r="G706" s="1032"/>
      <c r="H706" s="3812"/>
      <c r="I706" s="5205"/>
      <c r="J706" s="5059"/>
      <c r="K706" s="1032"/>
      <c r="L706" s="5059"/>
      <c r="M706" s="5059"/>
      <c r="N706" s="3524"/>
      <c r="O706" s="3524"/>
      <c r="P706" s="3524"/>
      <c r="Q706" s="3524"/>
      <c r="R706" s="3524"/>
      <c r="S706" s="3524"/>
      <c r="T706" s="3524"/>
      <c r="U706" s="3524"/>
      <c r="V706" s="3524"/>
      <c r="W706" s="3524"/>
      <c r="X706" s="3524"/>
      <c r="Y706" s="3524"/>
      <c r="Z706" s="3524"/>
      <c r="AA706" s="3524"/>
      <c r="AB706" s="3524"/>
      <c r="AC706" s="857" t="s">
        <v>1057</v>
      </c>
      <c r="AD706" s="5241" t="s">
        <v>1617</v>
      </c>
      <c r="AE706" s="1032">
        <v>0.2</v>
      </c>
      <c r="AF706" s="857">
        <f>M705*AE706</f>
        <v>1705635.2</v>
      </c>
      <c r="AG706" s="3812">
        <f t="shared" si="145"/>
        <v>1705635.2</v>
      </c>
      <c r="AH706" s="3812" t="s">
        <v>122</v>
      </c>
      <c r="AI706" s="3812">
        <v>44916</v>
      </c>
      <c r="AJ706" s="3812">
        <v>1705635.2</v>
      </c>
      <c r="AK706" s="3812">
        <v>44916</v>
      </c>
      <c r="AL706" s="3812"/>
      <c r="AM706" s="3812"/>
      <c r="AN706" s="3812">
        <f t="shared" si="147"/>
        <v>0</v>
      </c>
      <c r="AO706" s="3812"/>
      <c r="AP706" s="3812">
        <f t="shared" si="146"/>
        <v>1705635.2</v>
      </c>
      <c r="AQ706" s="1032"/>
      <c r="AR706" s="5123"/>
      <c r="AS706" s="5346"/>
      <c r="AT706" s="5160"/>
      <c r="AU706" s="3812"/>
      <c r="AV706" s="3812"/>
      <c r="AW706" s="3812"/>
      <c r="AX706" s="3812"/>
      <c r="AY706" s="3812"/>
      <c r="AZ706" s="3812"/>
      <c r="BA706" s="5146"/>
      <c r="BB706" s="5146"/>
      <c r="BC706" s="3812"/>
      <c r="BD706" s="3812">
        <v>1705635.2</v>
      </c>
      <c r="BE706" s="3812"/>
      <c r="BF706" s="3812"/>
      <c r="BG706" s="3812"/>
      <c r="BH706" s="3812"/>
      <c r="BI706" s="5146"/>
      <c r="BJ706" s="5146"/>
      <c r="BK706" s="5146"/>
      <c r="BL706" s="5146"/>
      <c r="BM706" s="5146"/>
      <c r="BN706" s="3812"/>
      <c r="BO706" s="5146"/>
      <c r="BP706" s="5146"/>
      <c r="BQ706" s="5146"/>
      <c r="BR706" s="5146"/>
      <c r="BS706" s="5146"/>
      <c r="BT706" s="5146"/>
      <c r="BU706" s="5146"/>
      <c r="BV706" s="3812"/>
      <c r="BW706" s="5146"/>
      <c r="BX706" s="5146"/>
      <c r="BY706" s="5146"/>
      <c r="BZ706" s="5146"/>
      <c r="CA706" s="5146"/>
      <c r="CB706" s="5146"/>
      <c r="CC706" s="3812"/>
      <c r="CD706" s="3812"/>
      <c r="CE706" s="5154"/>
      <c r="CF706" s="5154"/>
      <c r="CG706" s="5154"/>
      <c r="CH706" s="5154"/>
    </row>
    <row r="707" s="4980" customFormat="1" ht="50" customHeight="1" spans="1:86">
      <c r="A707" s="3812"/>
      <c r="B707" s="857"/>
      <c r="C707" s="857"/>
      <c r="D707" s="5059"/>
      <c r="E707" s="5059"/>
      <c r="F707" s="5059"/>
      <c r="G707" s="1032"/>
      <c r="H707" s="3812"/>
      <c r="I707" s="5205"/>
      <c r="J707" s="5059"/>
      <c r="K707" s="1032"/>
      <c r="L707" s="5059"/>
      <c r="M707" s="5059"/>
      <c r="N707" s="3524"/>
      <c r="O707" s="3524"/>
      <c r="P707" s="3524"/>
      <c r="Q707" s="3524"/>
      <c r="R707" s="3524"/>
      <c r="S707" s="3524"/>
      <c r="T707" s="3524"/>
      <c r="U707" s="3524"/>
      <c r="V707" s="3524"/>
      <c r="W707" s="3524"/>
      <c r="X707" s="3524"/>
      <c r="Y707" s="3524"/>
      <c r="Z707" s="3524"/>
      <c r="AA707" s="3524"/>
      <c r="AB707" s="3524"/>
      <c r="AC707" s="857" t="s">
        <v>1059</v>
      </c>
      <c r="AD707" s="1032" t="s">
        <v>1618</v>
      </c>
      <c r="AE707" s="1032">
        <v>0.25</v>
      </c>
      <c r="AF707" s="857">
        <f>M705*AE707</f>
        <v>2132044</v>
      </c>
      <c r="AG707" s="3812">
        <f t="shared" si="145"/>
        <v>1441547.2</v>
      </c>
      <c r="AH707" s="3812" t="s">
        <v>122</v>
      </c>
      <c r="AI707" s="3812">
        <v>44916</v>
      </c>
      <c r="AJ707" s="3812">
        <v>1441547.2</v>
      </c>
      <c r="AK707" s="3812">
        <v>44916</v>
      </c>
      <c r="AL707" s="3812"/>
      <c r="AM707" s="3812"/>
      <c r="AN707" s="3812">
        <f t="shared" si="147"/>
        <v>0</v>
      </c>
      <c r="AO707" s="3812"/>
      <c r="AP707" s="3812">
        <f t="shared" si="146"/>
        <v>1441547.2</v>
      </c>
      <c r="AQ707" s="1032"/>
      <c r="AR707" s="5123"/>
      <c r="AS707" s="5346"/>
      <c r="AT707" s="5160"/>
      <c r="AU707" s="3812"/>
      <c r="AV707" s="3812"/>
      <c r="AW707" s="3812"/>
      <c r="AX707" s="3812"/>
      <c r="AY707" s="3812"/>
      <c r="AZ707" s="3812"/>
      <c r="BA707" s="5146"/>
      <c r="BB707" s="5146"/>
      <c r="BC707" s="3812"/>
      <c r="BD707" s="3812">
        <v>825294.48</v>
      </c>
      <c r="BE707" s="3812"/>
      <c r="BF707" s="3812"/>
      <c r="BG707" s="3812"/>
      <c r="BH707" s="3812">
        <v>616252.72</v>
      </c>
      <c r="BI707" s="5146"/>
      <c r="BJ707" s="5146"/>
      <c r="BK707" s="5146"/>
      <c r="BL707" s="5146"/>
      <c r="BM707" s="5146"/>
      <c r="BN707" s="3812"/>
      <c r="BO707" s="5146"/>
      <c r="BP707" s="5146"/>
      <c r="BQ707" s="5146"/>
      <c r="BR707" s="5146"/>
      <c r="BS707" s="5146"/>
      <c r="BT707" s="5146"/>
      <c r="BU707" s="5146"/>
      <c r="BV707" s="3812"/>
      <c r="BW707" s="5146"/>
      <c r="BX707" s="5146"/>
      <c r="BY707" s="5146"/>
      <c r="BZ707" s="5146"/>
      <c r="CA707" s="5146"/>
      <c r="CB707" s="5146"/>
      <c r="CC707" s="3812"/>
      <c r="CD707" s="3812"/>
      <c r="CE707" s="5154"/>
      <c r="CF707" s="5154"/>
      <c r="CG707" s="5154"/>
      <c r="CH707" s="5154"/>
    </row>
    <row r="708" s="4980" customFormat="1" ht="29.25" customHeight="1" spans="1:86">
      <c r="A708" s="3812"/>
      <c r="B708" s="857"/>
      <c r="C708" s="857"/>
      <c r="D708" s="5059"/>
      <c r="E708" s="5059"/>
      <c r="F708" s="5059"/>
      <c r="G708" s="1032"/>
      <c r="H708" s="3812"/>
      <c r="I708" s="5205"/>
      <c r="J708" s="5059"/>
      <c r="K708" s="1032"/>
      <c r="L708" s="5059"/>
      <c r="M708" s="5059"/>
      <c r="N708" s="3524"/>
      <c r="O708" s="3524"/>
      <c r="P708" s="3524"/>
      <c r="Q708" s="3524"/>
      <c r="R708" s="3524"/>
      <c r="S708" s="3524"/>
      <c r="T708" s="3524"/>
      <c r="U708" s="3524"/>
      <c r="V708" s="3524"/>
      <c r="W708" s="3524"/>
      <c r="X708" s="3524"/>
      <c r="Y708" s="3524"/>
      <c r="Z708" s="3524"/>
      <c r="AA708" s="3524"/>
      <c r="AB708" s="3524"/>
      <c r="AC708" s="857"/>
      <c r="AD708" s="5241"/>
      <c r="AE708" s="1032"/>
      <c r="AF708" s="857"/>
      <c r="AG708" s="3812">
        <f t="shared" si="145"/>
        <v>690496.8</v>
      </c>
      <c r="AH708" s="857" t="s">
        <v>122</v>
      </c>
      <c r="AI708" s="3812">
        <v>45051</v>
      </c>
      <c r="AJ708" s="3812">
        <v>690496.8</v>
      </c>
      <c r="AK708" s="3812">
        <v>45051</v>
      </c>
      <c r="AL708" s="3812"/>
      <c r="AM708" s="3812"/>
      <c r="AN708" s="3812">
        <f t="shared" si="147"/>
        <v>0</v>
      </c>
      <c r="AO708" s="3812"/>
      <c r="AP708" s="3812">
        <f t="shared" si="146"/>
        <v>690496.8</v>
      </c>
      <c r="AQ708" s="5941"/>
      <c r="AR708" s="5123"/>
      <c r="AS708" s="5346"/>
      <c r="AT708" s="5160"/>
      <c r="AU708" s="3812"/>
      <c r="AV708" s="3812"/>
      <c r="AW708" s="3812"/>
      <c r="AX708" s="3812"/>
      <c r="AY708" s="3812"/>
      <c r="AZ708" s="3812"/>
      <c r="BA708" s="5146"/>
      <c r="BB708" s="5146"/>
      <c r="BC708" s="3812"/>
      <c r="BD708" s="5902">
        <v>658043.45</v>
      </c>
      <c r="BE708" s="5146"/>
      <c r="BF708" s="5146"/>
      <c r="BG708" s="5146"/>
      <c r="BH708" s="3812">
        <v>32453.35</v>
      </c>
      <c r="BI708" s="5146"/>
      <c r="BJ708" s="5146"/>
      <c r="BK708" s="5146"/>
      <c r="BL708" s="5146"/>
      <c r="BM708" s="5146"/>
      <c r="BN708" s="3812"/>
      <c r="BO708" s="5146"/>
      <c r="BP708" s="5146"/>
      <c r="BQ708" s="5146"/>
      <c r="BR708" s="5146"/>
      <c r="BS708" s="5146"/>
      <c r="BT708" s="5146"/>
      <c r="BU708" s="5146"/>
      <c r="BV708" s="3812"/>
      <c r="BW708" s="5146"/>
      <c r="BX708" s="5146"/>
      <c r="BY708" s="5146"/>
      <c r="BZ708" s="5146"/>
      <c r="CA708" s="5146"/>
      <c r="CB708" s="5146"/>
      <c r="CC708" s="3812"/>
      <c r="CD708" s="3812"/>
      <c r="CE708" s="5154"/>
      <c r="CF708" s="5154"/>
      <c r="CG708" s="5154"/>
      <c r="CH708" s="5154"/>
    </row>
    <row r="709" s="4980" customFormat="1" ht="50" customHeight="1" spans="1:86">
      <c r="A709" s="3812"/>
      <c r="B709" s="857"/>
      <c r="C709" s="857"/>
      <c r="D709" s="5059"/>
      <c r="E709" s="5059"/>
      <c r="F709" s="5059"/>
      <c r="G709" s="1032"/>
      <c r="H709" s="3812"/>
      <c r="I709" s="5205"/>
      <c r="J709" s="5059"/>
      <c r="K709" s="1032"/>
      <c r="L709" s="5059"/>
      <c r="M709" s="5059"/>
      <c r="N709" s="3524"/>
      <c r="O709" s="3524"/>
      <c r="P709" s="3524"/>
      <c r="Q709" s="3524"/>
      <c r="R709" s="3524"/>
      <c r="S709" s="3524"/>
      <c r="T709" s="3524"/>
      <c r="U709" s="3524"/>
      <c r="V709" s="3524"/>
      <c r="W709" s="3524"/>
      <c r="X709" s="3524"/>
      <c r="Y709" s="3524"/>
      <c r="Z709" s="3524"/>
      <c r="AA709" s="3524"/>
      <c r="AB709" s="3524"/>
      <c r="AC709" s="857" t="s">
        <v>1061</v>
      </c>
      <c r="AD709" s="5241" t="s">
        <v>1619</v>
      </c>
      <c r="AE709" s="1032">
        <v>0.3</v>
      </c>
      <c r="AF709" s="857">
        <f>M705*AE709</f>
        <v>2558452.8</v>
      </c>
      <c r="AG709" s="3812">
        <f t="shared" si="145"/>
        <v>0</v>
      </c>
      <c r="AH709" s="3812"/>
      <c r="AI709" s="3812"/>
      <c r="AJ709" s="3812"/>
      <c r="AK709" s="3812"/>
      <c r="AL709" s="3812"/>
      <c r="AM709" s="3812"/>
      <c r="AN709" s="3812">
        <f t="shared" si="147"/>
        <v>0</v>
      </c>
      <c r="AO709" s="3812"/>
      <c r="AP709" s="3812">
        <f t="shared" si="146"/>
        <v>0</v>
      </c>
      <c r="AQ709" s="1032"/>
      <c r="AR709" s="5123"/>
      <c r="AS709" s="5346"/>
      <c r="AT709" s="5160"/>
      <c r="AU709" s="3812"/>
      <c r="AV709" s="3812"/>
      <c r="AW709" s="3812"/>
      <c r="AX709" s="3812"/>
      <c r="AY709" s="3812"/>
      <c r="AZ709" s="3812"/>
      <c r="BA709" s="5146"/>
      <c r="BB709" s="5146"/>
      <c r="BC709" s="3812"/>
      <c r="BD709" s="5902"/>
      <c r="BE709" s="5146"/>
      <c r="BF709" s="5146"/>
      <c r="BG709" s="5146"/>
      <c r="BH709" s="3812"/>
      <c r="BI709" s="5146"/>
      <c r="BJ709" s="5146"/>
      <c r="BK709" s="5146"/>
      <c r="BL709" s="5146"/>
      <c r="BM709" s="5146"/>
      <c r="BN709" s="3812"/>
      <c r="BO709" s="5146"/>
      <c r="BP709" s="5146"/>
      <c r="BQ709" s="5146"/>
      <c r="BR709" s="5146"/>
      <c r="BS709" s="5146"/>
      <c r="BT709" s="5146"/>
      <c r="BU709" s="5146"/>
      <c r="BV709" s="3812"/>
      <c r="BW709" s="5146"/>
      <c r="BX709" s="5146"/>
      <c r="BY709" s="5146"/>
      <c r="BZ709" s="5146"/>
      <c r="CA709" s="5146"/>
      <c r="CB709" s="5146"/>
      <c r="CC709" s="3812"/>
      <c r="CD709" s="3812"/>
      <c r="CE709" s="5154"/>
      <c r="CF709" s="5154"/>
      <c r="CG709" s="5154"/>
      <c r="CH709" s="5154"/>
    </row>
    <row r="710" s="4980" customFormat="1" ht="50" customHeight="1" spans="1:86">
      <c r="A710" s="3812"/>
      <c r="B710" s="857"/>
      <c r="C710" s="857"/>
      <c r="D710" s="5059"/>
      <c r="E710" s="5059"/>
      <c r="F710" s="5059"/>
      <c r="G710" s="1032"/>
      <c r="H710" s="3812"/>
      <c r="I710" s="5205"/>
      <c r="J710" s="5059"/>
      <c r="K710" s="1032"/>
      <c r="L710" s="5059"/>
      <c r="M710" s="5059"/>
      <c r="N710" s="3524"/>
      <c r="O710" s="3524"/>
      <c r="P710" s="3524"/>
      <c r="Q710" s="3524"/>
      <c r="R710" s="3524"/>
      <c r="S710" s="3524"/>
      <c r="T710" s="3524"/>
      <c r="U710" s="3524"/>
      <c r="V710" s="3524"/>
      <c r="W710" s="3524"/>
      <c r="X710" s="3524"/>
      <c r="Y710" s="3524"/>
      <c r="Z710" s="3524"/>
      <c r="AA710" s="3524"/>
      <c r="AB710" s="3524"/>
      <c r="AC710" s="857" t="s">
        <v>1063</v>
      </c>
      <c r="AD710" s="5241" t="s">
        <v>1620</v>
      </c>
      <c r="AE710" s="1032">
        <v>0.1</v>
      </c>
      <c r="AF710" s="857">
        <f>M705*AE710</f>
        <v>852817.6</v>
      </c>
      <c r="AG710" s="3812">
        <f t="shared" si="145"/>
        <v>0</v>
      </c>
      <c r="AH710" s="3812"/>
      <c r="AI710" s="3812"/>
      <c r="AJ710" s="3812"/>
      <c r="AK710" s="3812"/>
      <c r="AL710" s="3812"/>
      <c r="AM710" s="3812"/>
      <c r="AN710" s="3812">
        <f t="shared" si="147"/>
        <v>0</v>
      </c>
      <c r="AO710" s="3812"/>
      <c r="AP710" s="3812">
        <f t="shared" si="146"/>
        <v>0</v>
      </c>
      <c r="AQ710" s="1032"/>
      <c r="AR710" s="5123"/>
      <c r="AS710" s="5346"/>
      <c r="AT710" s="5160"/>
      <c r="AU710" s="3812"/>
      <c r="AV710" s="3812"/>
      <c r="AW710" s="3812"/>
      <c r="AX710" s="3812"/>
      <c r="AY710" s="3812"/>
      <c r="AZ710" s="3812"/>
      <c r="BA710" s="5146"/>
      <c r="BB710" s="5146"/>
      <c r="BC710" s="3812"/>
      <c r="BD710" s="5902"/>
      <c r="BE710" s="5146"/>
      <c r="BF710" s="5146"/>
      <c r="BG710" s="5146"/>
      <c r="BH710" s="3812"/>
      <c r="BI710" s="5146"/>
      <c r="BJ710" s="5146"/>
      <c r="BK710" s="5146"/>
      <c r="BL710" s="5146"/>
      <c r="BM710" s="5146"/>
      <c r="BN710" s="3812"/>
      <c r="BO710" s="5146"/>
      <c r="BP710" s="5146"/>
      <c r="BQ710" s="5146"/>
      <c r="BR710" s="5146"/>
      <c r="BS710" s="5146"/>
      <c r="BT710" s="5146"/>
      <c r="BU710" s="5146"/>
      <c r="BV710" s="3812"/>
      <c r="BW710" s="5146"/>
      <c r="BX710" s="5146"/>
      <c r="BY710" s="5146"/>
      <c r="BZ710" s="5146"/>
      <c r="CA710" s="5146"/>
      <c r="CB710" s="5146"/>
      <c r="CC710" s="3812"/>
      <c r="CD710" s="3812"/>
      <c r="CE710" s="5154"/>
      <c r="CF710" s="5154"/>
      <c r="CG710" s="5154"/>
      <c r="CH710" s="5154"/>
    </row>
    <row r="711" s="4980" customFormat="1" ht="50" customHeight="1" spans="1:86">
      <c r="A711" s="3812"/>
      <c r="B711" s="857"/>
      <c r="C711" s="857"/>
      <c r="D711" s="5059"/>
      <c r="E711" s="5059"/>
      <c r="F711" s="5059"/>
      <c r="G711" s="1032"/>
      <c r="H711" s="3812"/>
      <c r="I711" s="5206"/>
      <c r="J711" s="5059"/>
      <c r="K711" s="1032"/>
      <c r="L711" s="5059"/>
      <c r="M711" s="5059"/>
      <c r="N711" s="3524"/>
      <c r="O711" s="3524"/>
      <c r="P711" s="3524"/>
      <c r="Q711" s="3524"/>
      <c r="R711" s="3524"/>
      <c r="S711" s="3524"/>
      <c r="T711" s="3524"/>
      <c r="U711" s="3524"/>
      <c r="V711" s="3524"/>
      <c r="W711" s="3524"/>
      <c r="X711" s="3524"/>
      <c r="Y711" s="3524"/>
      <c r="Z711" s="3524"/>
      <c r="AA711" s="3524"/>
      <c r="AB711" s="3524"/>
      <c r="AC711" s="857" t="s">
        <v>1621</v>
      </c>
      <c r="AD711" s="5241" t="s">
        <v>1622</v>
      </c>
      <c r="AE711" s="1032">
        <v>0.05</v>
      </c>
      <c r="AF711" s="857">
        <f>M705*AE711</f>
        <v>426408.8</v>
      </c>
      <c r="AG711" s="3812">
        <f t="shared" si="145"/>
        <v>0</v>
      </c>
      <c r="AH711" s="1032"/>
      <c r="AI711" s="3812"/>
      <c r="AJ711" s="3812"/>
      <c r="AK711" s="3812"/>
      <c r="AL711" s="3812"/>
      <c r="AM711" s="3812"/>
      <c r="AN711" s="3812">
        <f t="shared" si="147"/>
        <v>0</v>
      </c>
      <c r="AO711" s="3812"/>
      <c r="AP711" s="3812">
        <f t="shared" si="146"/>
        <v>0</v>
      </c>
      <c r="AQ711" s="5714" t="s">
        <v>1608</v>
      </c>
      <c r="AR711" s="5123"/>
      <c r="AS711" s="5898"/>
      <c r="AT711" s="5160"/>
      <c r="AU711" s="3812"/>
      <c r="AV711" s="3812"/>
      <c r="AW711" s="3812"/>
      <c r="AX711" s="3812"/>
      <c r="AY711" s="3812"/>
      <c r="AZ711" s="3812"/>
      <c r="BA711" s="5146"/>
      <c r="BB711" s="5146"/>
      <c r="BC711" s="3812"/>
      <c r="BD711" s="3812"/>
      <c r="BE711" s="5146"/>
      <c r="BF711" s="5146"/>
      <c r="BG711" s="5146"/>
      <c r="BH711" s="3812"/>
      <c r="BI711" s="5146"/>
      <c r="BJ711" s="5146"/>
      <c r="BK711" s="5146"/>
      <c r="BL711" s="5146"/>
      <c r="BM711" s="5146"/>
      <c r="BN711" s="3812"/>
      <c r="BO711" s="5910"/>
      <c r="BP711" s="5910"/>
      <c r="BQ711" s="5910"/>
      <c r="BR711" s="5910"/>
      <c r="BS711" s="5910"/>
      <c r="BT711" s="5910"/>
      <c r="BU711" s="5910"/>
      <c r="BV711" s="4840"/>
      <c r="BW711" s="5910"/>
      <c r="BX711" s="5910"/>
      <c r="BY711" s="5910"/>
      <c r="BZ711" s="5910"/>
      <c r="CA711" s="5910"/>
      <c r="CB711" s="5910"/>
      <c r="CC711" s="3812"/>
      <c r="CD711" s="3812"/>
      <c r="CE711" s="5154"/>
      <c r="CF711" s="5154"/>
      <c r="CG711" s="5154"/>
      <c r="CH711" s="5154"/>
    </row>
    <row r="712" s="4980" customFormat="1" ht="29.15" customHeight="1" spans="1:86">
      <c r="A712" s="3812">
        <v>18</v>
      </c>
      <c r="B712" s="857" t="s">
        <v>111</v>
      </c>
      <c r="C712" s="857">
        <v>44393</v>
      </c>
      <c r="D712" s="1032" t="s">
        <v>1623</v>
      </c>
      <c r="E712" s="1032" t="s">
        <v>1624</v>
      </c>
      <c r="F712" s="1032" t="s">
        <v>1625</v>
      </c>
      <c r="G712" s="1032" t="s">
        <v>1626</v>
      </c>
      <c r="H712" s="1032" t="s">
        <v>1627</v>
      </c>
      <c r="I712" s="5073" t="s">
        <v>1628</v>
      </c>
      <c r="J712" s="1032" t="s">
        <v>1588</v>
      </c>
      <c r="K712" s="1032">
        <v>295488.82</v>
      </c>
      <c r="L712" s="1032" t="s">
        <v>1629</v>
      </c>
      <c r="M712" s="3812">
        <f>SUM(N712:AA794)</f>
        <v>12781209.3</v>
      </c>
      <c r="N712" s="3812">
        <v>35000</v>
      </c>
      <c r="O712" s="3812">
        <v>0</v>
      </c>
      <c r="P712" s="3812">
        <v>0</v>
      </c>
      <c r="Q712" s="3812">
        <v>4476343.37</v>
      </c>
      <c r="R712" s="3812">
        <v>0</v>
      </c>
      <c r="S712" s="3812">
        <v>351900</v>
      </c>
      <c r="T712" s="5089">
        <v>0</v>
      </c>
      <c r="U712" s="3812">
        <v>0</v>
      </c>
      <c r="V712" s="3812">
        <v>0</v>
      </c>
      <c r="W712" s="3812">
        <v>62100</v>
      </c>
      <c r="X712" s="3812">
        <v>0</v>
      </c>
      <c r="Y712" s="3812">
        <v>0</v>
      </c>
      <c r="Z712" s="3812"/>
      <c r="AA712" s="3812">
        <v>7855865.93</v>
      </c>
      <c r="AB712" s="857" t="s">
        <v>126</v>
      </c>
      <c r="AC712" s="1032" t="s">
        <v>1630</v>
      </c>
      <c r="AD712" s="5073" t="s">
        <v>1631</v>
      </c>
      <c r="AE712" s="5921">
        <v>0.1</v>
      </c>
      <c r="AF712" s="3366">
        <v>180604.73</v>
      </c>
      <c r="AG712" s="4840">
        <f t="shared" si="145"/>
        <v>180604.74</v>
      </c>
      <c r="AH712" s="3366" t="s">
        <v>122</v>
      </c>
      <c r="AI712" s="4840">
        <v>44555</v>
      </c>
      <c r="AJ712" s="3366">
        <v>180604.73</v>
      </c>
      <c r="AK712" s="4840">
        <v>44555</v>
      </c>
      <c r="AL712" s="3366">
        <v>180604.73</v>
      </c>
      <c r="AM712" s="4840">
        <v>44575</v>
      </c>
      <c r="AN712" s="3812">
        <f t="shared" si="147"/>
        <v>179004.74</v>
      </c>
      <c r="AO712" s="857">
        <v>44924</v>
      </c>
      <c r="AP712" s="3812">
        <f t="shared" si="146"/>
        <v>1600</v>
      </c>
      <c r="AQ712" s="5242" t="s">
        <v>1632</v>
      </c>
      <c r="AR712" s="3812"/>
      <c r="AS712" s="5241"/>
      <c r="AT712" s="5146"/>
      <c r="AU712" s="3812">
        <f>SUM(AG712:AG794)</f>
        <v>6415769.99095</v>
      </c>
      <c r="AV712" s="3812">
        <f>SUM(AL712:AL794)</f>
        <v>4687142.16095</v>
      </c>
      <c r="AW712" s="3812">
        <f>SUM(AN712:AN794)</f>
        <v>4687142.169</v>
      </c>
      <c r="AX712" s="3812">
        <f>M712-AU712</f>
        <v>6365439.30905</v>
      </c>
      <c r="AY712" s="3812">
        <f>AU712-AV712</f>
        <v>1728627.83</v>
      </c>
      <c r="AZ712" s="3812">
        <f>AV712-AW712</f>
        <v>-0.00805000215768814</v>
      </c>
      <c r="BA712" s="4840">
        <v>35000</v>
      </c>
      <c r="BB712" s="5146"/>
      <c r="BC712" s="3812"/>
      <c r="BD712" s="4840">
        <f>143798.69+1806.05</f>
        <v>145604.74</v>
      </c>
      <c r="BE712" s="3812"/>
      <c r="BF712" s="3812"/>
      <c r="BG712" s="3812"/>
      <c r="BH712" s="3812"/>
      <c r="BI712" s="3812"/>
      <c r="BJ712" s="3812"/>
      <c r="BK712" s="3812"/>
      <c r="BL712" s="3812"/>
      <c r="BM712" s="5263"/>
      <c r="BN712" s="5263">
        <v>0</v>
      </c>
      <c r="BO712" s="5950">
        <v>35000</v>
      </c>
      <c r="BP712" s="5744"/>
      <c r="BQ712" s="5744"/>
      <c r="BR712" s="5142">
        <f>143798.69+1806.05-1600</f>
        <v>144004.74</v>
      </c>
      <c r="BS712" s="5744"/>
      <c r="BT712" s="5744"/>
      <c r="BU712" s="5744"/>
      <c r="BV712" s="5744"/>
      <c r="BW712" s="5744"/>
      <c r="BX712" s="5744"/>
      <c r="BY712" s="5744"/>
      <c r="BZ712" s="5744"/>
      <c r="CA712" s="5913"/>
      <c r="CB712" s="5959"/>
      <c r="CC712" s="5309" t="s">
        <v>166</v>
      </c>
      <c r="CD712" s="5059" t="s">
        <v>154</v>
      </c>
      <c r="CE712" s="5154"/>
      <c r="CF712" s="5154"/>
      <c r="CG712" s="5154"/>
      <c r="CH712" s="5154"/>
    </row>
    <row r="713" s="4980" customFormat="1" ht="35" customHeight="1" spans="1:86">
      <c r="A713" s="3812"/>
      <c r="B713" s="857"/>
      <c r="C713" s="857"/>
      <c r="D713" s="5059"/>
      <c r="E713" s="5059"/>
      <c r="F713" s="5059"/>
      <c r="G713" s="1032"/>
      <c r="H713" s="5059"/>
      <c r="I713" s="5205"/>
      <c r="J713" s="5059"/>
      <c r="K713" s="1032"/>
      <c r="L713" s="5059"/>
      <c r="M713" s="3812"/>
      <c r="N713" s="3812"/>
      <c r="O713" s="3812"/>
      <c r="P713" s="3812"/>
      <c r="Q713" s="3812"/>
      <c r="R713" s="3812"/>
      <c r="S713" s="3812"/>
      <c r="T713" s="3812"/>
      <c r="U713" s="3812"/>
      <c r="V713" s="3812"/>
      <c r="W713" s="3812"/>
      <c r="X713" s="3812"/>
      <c r="Y713" s="3812"/>
      <c r="Z713" s="3812"/>
      <c r="AA713" s="3812"/>
      <c r="AB713" s="3812"/>
      <c r="AC713" s="5059"/>
      <c r="AD713" s="5206"/>
      <c r="AE713" s="5922"/>
      <c r="AF713" s="3409"/>
      <c r="AG713" s="4842"/>
      <c r="AH713" s="3409"/>
      <c r="AI713" s="4842"/>
      <c r="AJ713" s="3409"/>
      <c r="AK713" s="4842"/>
      <c r="AL713" s="3409"/>
      <c r="AM713" s="4842"/>
      <c r="AN713" s="3812">
        <f t="shared" si="147"/>
        <v>1600</v>
      </c>
      <c r="AO713" s="857">
        <v>45167</v>
      </c>
      <c r="AP713" s="3812"/>
      <c r="AQ713" s="5942"/>
      <c r="AR713" s="3812"/>
      <c r="AS713" s="5241"/>
      <c r="AT713" s="5146"/>
      <c r="AU713" s="3812"/>
      <c r="AV713" s="3812"/>
      <c r="AW713" s="3812"/>
      <c r="AX713" s="3812"/>
      <c r="AY713" s="3812"/>
      <c r="AZ713" s="3812"/>
      <c r="BA713" s="4842"/>
      <c r="BB713" s="5146"/>
      <c r="BC713" s="3812"/>
      <c r="BD713" s="4842"/>
      <c r="BE713" s="3812"/>
      <c r="BF713" s="3812"/>
      <c r="BG713" s="3812"/>
      <c r="BH713" s="3812"/>
      <c r="BI713" s="3812"/>
      <c r="BJ713" s="3812"/>
      <c r="BK713" s="3812"/>
      <c r="BL713" s="3812"/>
      <c r="BM713" s="5263"/>
      <c r="BN713" s="5263"/>
      <c r="BO713" s="5951"/>
      <c r="BP713" s="5792"/>
      <c r="BQ713" s="5792"/>
      <c r="BR713" s="4842">
        <v>1600</v>
      </c>
      <c r="BS713" s="5792"/>
      <c r="BT713" s="5792"/>
      <c r="BU713" s="5792"/>
      <c r="BV713" s="5792"/>
      <c r="BW713" s="5792"/>
      <c r="BX713" s="5792"/>
      <c r="BY713" s="5792"/>
      <c r="BZ713" s="5792"/>
      <c r="CA713" s="5952"/>
      <c r="CB713" s="5960"/>
      <c r="CC713" s="5309"/>
      <c r="CD713" s="5059"/>
      <c r="CE713" s="5154"/>
      <c r="CF713" s="5154"/>
      <c r="CG713" s="5154"/>
      <c r="CH713" s="5154"/>
    </row>
    <row r="714" s="4980" customFormat="1" ht="27" customHeight="1" spans="1:86">
      <c r="A714" s="3812"/>
      <c r="B714" s="857"/>
      <c r="C714" s="857"/>
      <c r="D714" s="5059"/>
      <c r="E714" s="5059"/>
      <c r="F714" s="5059"/>
      <c r="G714" s="1032"/>
      <c r="H714" s="5059"/>
      <c r="I714" s="5205"/>
      <c r="J714" s="5059"/>
      <c r="K714" s="1032"/>
      <c r="L714" s="5059"/>
      <c r="M714" s="3812"/>
      <c r="N714" s="3812"/>
      <c r="O714" s="3812"/>
      <c r="P714" s="3812"/>
      <c r="Q714" s="3812"/>
      <c r="R714" s="3812"/>
      <c r="S714" s="3812"/>
      <c r="T714" s="3812"/>
      <c r="U714" s="3812"/>
      <c r="V714" s="3812"/>
      <c r="W714" s="3812"/>
      <c r="X714" s="3812"/>
      <c r="Y714" s="3812"/>
      <c r="Z714" s="3812"/>
      <c r="AA714" s="3812"/>
      <c r="AB714" s="3812"/>
      <c r="AC714" s="5059"/>
      <c r="AD714" s="5241" t="s">
        <v>1633</v>
      </c>
      <c r="AE714" s="1032">
        <v>0.2</v>
      </c>
      <c r="AF714" s="857">
        <v>361209.47</v>
      </c>
      <c r="AG714" s="3812">
        <f>SUM(BA714:BN714)</f>
        <v>361209.46</v>
      </c>
      <c r="AH714" s="857" t="s">
        <v>122</v>
      </c>
      <c r="AI714" s="3812">
        <v>44555</v>
      </c>
      <c r="AJ714" s="857">
        <v>361209.47</v>
      </c>
      <c r="AK714" s="3812">
        <v>44555</v>
      </c>
      <c r="AL714" s="857">
        <v>361209.47</v>
      </c>
      <c r="AM714" s="3812">
        <v>44575</v>
      </c>
      <c r="AN714" s="3812">
        <f t="shared" si="147"/>
        <v>361209.46</v>
      </c>
      <c r="AO714" s="857">
        <v>44924</v>
      </c>
      <c r="AP714" s="3812">
        <f>AG714-AN714</f>
        <v>0</v>
      </c>
      <c r="AQ714" s="5256" t="s">
        <v>1634</v>
      </c>
      <c r="AR714" s="3812"/>
      <c r="AS714" s="5241"/>
      <c r="AT714" s="5146"/>
      <c r="AU714" s="3812"/>
      <c r="AV714" s="3812"/>
      <c r="AW714" s="3812"/>
      <c r="AX714" s="3812"/>
      <c r="AY714" s="3812"/>
      <c r="AZ714" s="3812"/>
      <c r="BA714" s="5146"/>
      <c r="BB714" s="5146"/>
      <c r="BC714" s="3812"/>
      <c r="BD714" s="3812">
        <f>357597.37+3612.09</f>
        <v>361209.46</v>
      </c>
      <c r="BE714" s="3812"/>
      <c r="BF714" s="3812"/>
      <c r="BG714" s="3812"/>
      <c r="BH714" s="3812"/>
      <c r="BI714" s="3812"/>
      <c r="BJ714" s="3812"/>
      <c r="BK714" s="3812"/>
      <c r="BL714" s="3812"/>
      <c r="BM714" s="5263"/>
      <c r="BN714" s="5263">
        <v>0</v>
      </c>
      <c r="BO714" s="5273"/>
      <c r="BP714" s="5146"/>
      <c r="BQ714" s="5146"/>
      <c r="BR714" s="3812">
        <f>357597.37+3612.09</f>
        <v>361209.46</v>
      </c>
      <c r="BS714" s="5146"/>
      <c r="BT714" s="5146"/>
      <c r="BU714" s="5146"/>
      <c r="BV714" s="5146"/>
      <c r="BW714" s="5146"/>
      <c r="BX714" s="5146"/>
      <c r="BY714" s="5146"/>
      <c r="BZ714" s="5146"/>
      <c r="CA714" s="5296"/>
      <c r="CB714" s="5915"/>
      <c r="CC714" s="5309"/>
      <c r="CD714" s="5059"/>
      <c r="CE714" s="5154"/>
      <c r="CF714" s="5154"/>
      <c r="CG714" s="5154"/>
      <c r="CH714" s="5154"/>
    </row>
    <row r="715" s="4980" customFormat="1" ht="24.15" customHeight="1" spans="1:86">
      <c r="A715" s="3812"/>
      <c r="B715" s="857"/>
      <c r="C715" s="857"/>
      <c r="D715" s="5059"/>
      <c r="E715" s="5059"/>
      <c r="F715" s="5059"/>
      <c r="G715" s="1032"/>
      <c r="H715" s="5059"/>
      <c r="I715" s="5205"/>
      <c r="J715" s="5059"/>
      <c r="K715" s="1032"/>
      <c r="L715" s="5059"/>
      <c r="M715" s="3812"/>
      <c r="N715" s="3812"/>
      <c r="O715" s="3812"/>
      <c r="P715" s="3812"/>
      <c r="Q715" s="3812"/>
      <c r="R715" s="3812"/>
      <c r="S715" s="3812"/>
      <c r="T715" s="3812"/>
      <c r="U715" s="3812"/>
      <c r="V715" s="3812"/>
      <c r="W715" s="3812"/>
      <c r="X715" s="3812"/>
      <c r="Y715" s="3812"/>
      <c r="Z715" s="3812"/>
      <c r="AA715" s="3812"/>
      <c r="AB715" s="3812"/>
      <c r="AC715" s="5059"/>
      <c r="AD715" s="1032" t="s">
        <v>1635</v>
      </c>
      <c r="AE715" s="5878">
        <v>0.2</v>
      </c>
      <c r="AF715" s="857">
        <v>361209.47</v>
      </c>
      <c r="AG715" s="3812">
        <f>SUM(BA715:BN715)</f>
        <v>361209.46</v>
      </c>
      <c r="AH715" s="857" t="s">
        <v>122</v>
      </c>
      <c r="AI715" s="3812">
        <v>44555</v>
      </c>
      <c r="AJ715" s="857">
        <v>361209.47</v>
      </c>
      <c r="AK715" s="3812">
        <v>44555</v>
      </c>
      <c r="AL715" s="857">
        <v>361209.47</v>
      </c>
      <c r="AM715" s="3812">
        <v>44575</v>
      </c>
      <c r="AN715" s="3812">
        <f t="shared" si="147"/>
        <v>260877.42</v>
      </c>
      <c r="AO715" s="857">
        <v>44924</v>
      </c>
      <c r="AP715" s="4840">
        <f>AG715-AN715-AN716</f>
        <v>0</v>
      </c>
      <c r="AQ715" s="5256" t="s">
        <v>1636</v>
      </c>
      <c r="AR715" s="3812"/>
      <c r="AS715" s="5241"/>
      <c r="AT715" s="5146"/>
      <c r="AU715" s="3812"/>
      <c r="AV715" s="3812"/>
      <c r="AW715" s="3812"/>
      <c r="AX715" s="3812"/>
      <c r="AY715" s="3812"/>
      <c r="AZ715" s="3812"/>
      <c r="BA715" s="5146"/>
      <c r="BB715" s="5146"/>
      <c r="BC715" s="3812"/>
      <c r="BD715" s="3812">
        <f>357597.37+3612.09</f>
        <v>361209.46</v>
      </c>
      <c r="BE715" s="3812"/>
      <c r="BF715" s="3812"/>
      <c r="BG715" s="3812"/>
      <c r="BH715" s="3812"/>
      <c r="BI715" s="3812"/>
      <c r="BJ715" s="3812"/>
      <c r="BK715" s="3812"/>
      <c r="BL715" s="3812"/>
      <c r="BM715" s="5263"/>
      <c r="BN715" s="5263">
        <v>0</v>
      </c>
      <c r="BO715" s="5273"/>
      <c r="BP715" s="5146"/>
      <c r="BQ715" s="5146"/>
      <c r="BR715" s="3812">
        <v>260877.42</v>
      </c>
      <c r="BS715" s="5146"/>
      <c r="BT715" s="5146"/>
      <c r="BU715" s="5146"/>
      <c r="BV715" s="5146"/>
      <c r="BW715" s="5146"/>
      <c r="BX715" s="5146"/>
      <c r="BY715" s="5146"/>
      <c r="BZ715" s="5146"/>
      <c r="CA715" s="5296"/>
      <c r="CB715" s="5915"/>
      <c r="CC715" s="5309"/>
      <c r="CD715" s="5059"/>
      <c r="CE715" s="5154"/>
      <c r="CF715" s="5154"/>
      <c r="CG715" s="5154"/>
      <c r="CH715" s="5154"/>
    </row>
    <row r="716" s="4980" customFormat="1" ht="27.75" customHeight="1" spans="1:86">
      <c r="A716" s="3812"/>
      <c r="B716" s="857"/>
      <c r="C716" s="857"/>
      <c r="D716" s="5059"/>
      <c r="E716" s="5059"/>
      <c r="F716" s="5059"/>
      <c r="G716" s="1032"/>
      <c r="H716" s="5059"/>
      <c r="I716" s="5205"/>
      <c r="J716" s="5059"/>
      <c r="K716" s="1032"/>
      <c r="L716" s="5059"/>
      <c r="M716" s="3812"/>
      <c r="N716" s="3812"/>
      <c r="O716" s="3812"/>
      <c r="P716" s="3812"/>
      <c r="Q716" s="3812"/>
      <c r="R716" s="3812"/>
      <c r="S716" s="3812"/>
      <c r="T716" s="3812"/>
      <c r="U716" s="3812"/>
      <c r="V716" s="3812"/>
      <c r="W716" s="3812"/>
      <c r="X716" s="3812"/>
      <c r="Y716" s="3812"/>
      <c r="Z716" s="3812"/>
      <c r="AA716" s="3812"/>
      <c r="AB716" s="3812"/>
      <c r="AC716" s="5059"/>
      <c r="AD716" s="1032"/>
      <c r="AE716" s="5878"/>
      <c r="AF716" s="857"/>
      <c r="AG716" s="3812"/>
      <c r="AH716" s="857"/>
      <c r="AI716" s="3812"/>
      <c r="AJ716" s="857"/>
      <c r="AK716" s="3812"/>
      <c r="AL716" s="857"/>
      <c r="AM716" s="3812"/>
      <c r="AN716" s="3812">
        <f t="shared" si="147"/>
        <v>100332.04</v>
      </c>
      <c r="AO716" s="3812">
        <v>45071</v>
      </c>
      <c r="AP716" s="4842"/>
      <c r="AQ716" s="5146"/>
      <c r="AR716" s="3812"/>
      <c r="AS716" s="5241"/>
      <c r="AT716" s="5146"/>
      <c r="AU716" s="3812"/>
      <c r="AV716" s="3812"/>
      <c r="AW716" s="3812"/>
      <c r="AX716" s="3812"/>
      <c r="AY716" s="3812"/>
      <c r="AZ716" s="3812"/>
      <c r="BA716" s="5146"/>
      <c r="BB716" s="5146"/>
      <c r="BC716" s="3812"/>
      <c r="BD716" s="3812"/>
      <c r="BE716" s="3812"/>
      <c r="BF716" s="3812"/>
      <c r="BG716" s="3812"/>
      <c r="BH716" s="3812"/>
      <c r="BI716" s="3812"/>
      <c r="BJ716" s="3812"/>
      <c r="BK716" s="3812"/>
      <c r="BL716" s="3812"/>
      <c r="BM716" s="5263"/>
      <c r="BN716" s="5263"/>
      <c r="BO716" s="5273"/>
      <c r="BP716" s="5146"/>
      <c r="BQ716" s="5146"/>
      <c r="BR716" s="3812">
        <v>100332.04</v>
      </c>
      <c r="BS716" s="5146"/>
      <c r="BT716" s="5146"/>
      <c r="BU716" s="5146"/>
      <c r="BV716" s="5146"/>
      <c r="BW716" s="5146"/>
      <c r="BX716" s="5146"/>
      <c r="BY716" s="5146"/>
      <c r="BZ716" s="5146"/>
      <c r="CA716" s="5296"/>
      <c r="CB716" s="5915"/>
      <c r="CC716" s="5309"/>
      <c r="CD716" s="5059"/>
      <c r="CE716" s="5154"/>
      <c r="CF716" s="5154"/>
      <c r="CG716" s="5154"/>
      <c r="CH716" s="5154"/>
    </row>
    <row r="717" s="4980" customFormat="1" ht="24" customHeight="1" spans="1:86">
      <c r="A717" s="3812"/>
      <c r="B717" s="857"/>
      <c r="C717" s="857"/>
      <c r="D717" s="5059"/>
      <c r="E717" s="5059"/>
      <c r="F717" s="5059"/>
      <c r="G717" s="1032"/>
      <c r="H717" s="5059"/>
      <c r="I717" s="5205"/>
      <c r="J717" s="5059"/>
      <c r="K717" s="1032"/>
      <c r="L717" s="5059"/>
      <c r="M717" s="3812"/>
      <c r="N717" s="3812"/>
      <c r="O717" s="3812"/>
      <c r="P717" s="3812"/>
      <c r="Q717" s="3812"/>
      <c r="R717" s="3812"/>
      <c r="S717" s="3812"/>
      <c r="T717" s="3812"/>
      <c r="U717" s="3812"/>
      <c r="V717" s="3812"/>
      <c r="W717" s="3812"/>
      <c r="X717" s="3812"/>
      <c r="Y717" s="3812"/>
      <c r="Z717" s="3812"/>
      <c r="AA717" s="3812"/>
      <c r="AB717" s="3812"/>
      <c r="AC717" s="5059"/>
      <c r="AD717" s="1032" t="s">
        <v>1637</v>
      </c>
      <c r="AE717" s="5878">
        <v>0.35</v>
      </c>
      <c r="AF717" s="857">
        <v>632116.56</v>
      </c>
      <c r="AG717" s="3812">
        <f>SUM(BA717:BN720)</f>
        <v>632116.57</v>
      </c>
      <c r="AH717" s="857" t="s">
        <v>122</v>
      </c>
      <c r="AI717" s="3812">
        <v>44555</v>
      </c>
      <c r="AJ717" s="857">
        <v>632116.56</v>
      </c>
      <c r="AK717" s="3812">
        <v>44555</v>
      </c>
      <c r="AL717" s="857">
        <v>632116.56</v>
      </c>
      <c r="AM717" s="3812">
        <v>44575</v>
      </c>
      <c r="AN717" s="3812">
        <f t="shared" si="147"/>
        <v>149667.96</v>
      </c>
      <c r="AO717" s="3812">
        <v>45071</v>
      </c>
      <c r="AP717" s="4840">
        <f>AG717-AN717</f>
        <v>482448.61</v>
      </c>
      <c r="AQ717" s="5146"/>
      <c r="AR717" s="3812"/>
      <c r="AS717" s="5241"/>
      <c r="AT717" s="5146"/>
      <c r="AU717" s="3812"/>
      <c r="AV717" s="3812"/>
      <c r="AW717" s="3812"/>
      <c r="AX717" s="3812"/>
      <c r="AY717" s="3812"/>
      <c r="AZ717" s="3812"/>
      <c r="BA717" s="5146"/>
      <c r="BB717" s="5146"/>
      <c r="BC717" s="3812"/>
      <c r="BD717" s="3812">
        <v>149667.96</v>
      </c>
      <c r="BE717" s="3812"/>
      <c r="BF717" s="3812"/>
      <c r="BG717" s="3812"/>
      <c r="BH717" s="3812"/>
      <c r="BI717" s="3812"/>
      <c r="BJ717" s="3812"/>
      <c r="BK717" s="3812"/>
      <c r="BL717" s="3812"/>
      <c r="BM717" s="5280"/>
      <c r="BN717" s="5280">
        <v>0</v>
      </c>
      <c r="BO717" s="5273"/>
      <c r="BP717" s="5146"/>
      <c r="BQ717" s="5146"/>
      <c r="BR717" s="3812">
        <v>149667.96</v>
      </c>
      <c r="BS717" s="5146"/>
      <c r="BT717" s="5146"/>
      <c r="BU717" s="5146"/>
      <c r="BV717" s="5146"/>
      <c r="BW717" s="5146"/>
      <c r="BX717" s="5146"/>
      <c r="BY717" s="5146"/>
      <c r="BZ717" s="5146"/>
      <c r="CA717" s="5296"/>
      <c r="CB717" s="5915"/>
      <c r="CC717" s="5309"/>
      <c r="CD717" s="5059"/>
      <c r="CE717" s="5154"/>
      <c r="CF717" s="5154"/>
      <c r="CG717" s="5154"/>
      <c r="CH717" s="5154"/>
    </row>
    <row r="718" s="4980" customFormat="1" ht="24" customHeight="1" spans="1:86">
      <c r="A718" s="3812"/>
      <c r="B718" s="857"/>
      <c r="C718" s="857"/>
      <c r="D718" s="5059"/>
      <c r="E718" s="5059"/>
      <c r="F718" s="5059"/>
      <c r="G718" s="1032"/>
      <c r="H718" s="5059"/>
      <c r="I718" s="5205"/>
      <c r="J718" s="5059"/>
      <c r="K718" s="1032"/>
      <c r="L718" s="5059"/>
      <c r="M718" s="3812"/>
      <c r="N718" s="3812"/>
      <c r="O718" s="3812"/>
      <c r="P718" s="3812"/>
      <c r="Q718" s="3812"/>
      <c r="R718" s="3812"/>
      <c r="S718" s="3812"/>
      <c r="T718" s="3812"/>
      <c r="U718" s="3812"/>
      <c r="V718" s="3812"/>
      <c r="W718" s="3812"/>
      <c r="X718" s="3812"/>
      <c r="Y718" s="3812"/>
      <c r="Z718" s="3812"/>
      <c r="AA718" s="3812"/>
      <c r="AB718" s="3812"/>
      <c r="AC718" s="5059"/>
      <c r="AD718" s="1032"/>
      <c r="AE718" s="5878"/>
      <c r="AF718" s="857"/>
      <c r="AG718" s="3812"/>
      <c r="AH718" s="857"/>
      <c r="AI718" s="3812"/>
      <c r="AJ718" s="857"/>
      <c r="AK718" s="3812"/>
      <c r="AL718" s="857"/>
      <c r="AM718" s="3812"/>
      <c r="AN718" s="3812">
        <f t="shared" si="147"/>
        <v>250000</v>
      </c>
      <c r="AO718" s="857">
        <v>44924</v>
      </c>
      <c r="AP718" s="4841"/>
      <c r="AQ718" s="5146"/>
      <c r="AR718" s="3812"/>
      <c r="AS718" s="5241"/>
      <c r="AT718" s="5146"/>
      <c r="AU718" s="3812"/>
      <c r="AV718" s="3812"/>
      <c r="AW718" s="3812"/>
      <c r="AX718" s="3812"/>
      <c r="AY718" s="3812"/>
      <c r="AZ718" s="3812"/>
      <c r="BA718" s="5146"/>
      <c r="BB718" s="5146"/>
      <c r="BC718" s="3812"/>
      <c r="BD718" s="4840">
        <f>625795.4+6321.17-149667.96</f>
        <v>482448.61</v>
      </c>
      <c r="BE718" s="3812"/>
      <c r="BF718" s="3812"/>
      <c r="BG718" s="3812"/>
      <c r="BH718" s="3812"/>
      <c r="BI718" s="3812"/>
      <c r="BJ718" s="3812"/>
      <c r="BK718" s="3812"/>
      <c r="BL718" s="3812"/>
      <c r="BM718" s="5803"/>
      <c r="BN718" s="5803"/>
      <c r="BO718" s="5273"/>
      <c r="BP718" s="5146"/>
      <c r="BQ718" s="5146"/>
      <c r="BR718" s="3812">
        <v>250000</v>
      </c>
      <c r="BS718" s="5146"/>
      <c r="BT718" s="5146"/>
      <c r="BU718" s="5146"/>
      <c r="BV718" s="5146"/>
      <c r="BW718" s="5146"/>
      <c r="BX718" s="5146"/>
      <c r="BY718" s="5146"/>
      <c r="BZ718" s="5146"/>
      <c r="CA718" s="5296"/>
      <c r="CB718" s="5915"/>
      <c r="CC718" s="5309"/>
      <c r="CD718" s="5059"/>
      <c r="CE718" s="5154"/>
      <c r="CF718" s="5154"/>
      <c r="CG718" s="5154"/>
      <c r="CH718" s="5154"/>
    </row>
    <row r="719" s="4980" customFormat="1" ht="31" spans="1:86">
      <c r="A719" s="3812"/>
      <c r="B719" s="857"/>
      <c r="C719" s="857"/>
      <c r="D719" s="5059"/>
      <c r="E719" s="5059"/>
      <c r="F719" s="5059"/>
      <c r="G719" s="1032"/>
      <c r="H719" s="5059"/>
      <c r="I719" s="5205"/>
      <c r="J719" s="5059"/>
      <c r="K719" s="1032"/>
      <c r="L719" s="5059"/>
      <c r="M719" s="3812"/>
      <c r="N719" s="3812"/>
      <c r="O719" s="3812"/>
      <c r="P719" s="3812"/>
      <c r="Q719" s="3812"/>
      <c r="R719" s="3812"/>
      <c r="S719" s="3812"/>
      <c r="T719" s="3812"/>
      <c r="U719" s="3812"/>
      <c r="V719" s="3812"/>
      <c r="W719" s="3812"/>
      <c r="X719" s="3812"/>
      <c r="Y719" s="3812"/>
      <c r="Z719" s="3812"/>
      <c r="AA719" s="3812"/>
      <c r="AB719" s="3812"/>
      <c r="AC719" s="5059"/>
      <c r="AD719" s="1032"/>
      <c r="AE719" s="5878"/>
      <c r="AF719" s="857"/>
      <c r="AG719" s="3812"/>
      <c r="AH719" s="857"/>
      <c r="AI719" s="3812"/>
      <c r="AJ719" s="857"/>
      <c r="AK719" s="3812"/>
      <c r="AL719" s="857"/>
      <c r="AM719" s="3812"/>
      <c r="AN719" s="3812">
        <f t="shared" si="147"/>
        <v>150000</v>
      </c>
      <c r="AO719" s="857">
        <v>45321</v>
      </c>
      <c r="AP719" s="4841"/>
      <c r="AQ719" s="5256" t="s">
        <v>1638</v>
      </c>
      <c r="AR719" s="3812"/>
      <c r="AS719" s="5241"/>
      <c r="AT719" s="5146"/>
      <c r="AU719" s="3812"/>
      <c r="AV719" s="3812"/>
      <c r="AW719" s="3812"/>
      <c r="AX719" s="3812"/>
      <c r="AY719" s="3812"/>
      <c r="AZ719" s="3812"/>
      <c r="BA719" s="5146"/>
      <c r="BB719" s="5146"/>
      <c r="BC719" s="3812"/>
      <c r="BD719" s="4841"/>
      <c r="BE719" s="3812"/>
      <c r="BF719" s="3812"/>
      <c r="BG719" s="3812"/>
      <c r="BH719" s="3812"/>
      <c r="BI719" s="3812"/>
      <c r="BJ719" s="3812"/>
      <c r="BK719" s="3812"/>
      <c r="BL719" s="3812"/>
      <c r="BM719" s="5803"/>
      <c r="BN719" s="5803"/>
      <c r="BO719" s="5273"/>
      <c r="BP719" s="5146"/>
      <c r="BQ719" s="5146"/>
      <c r="BR719" s="3812">
        <v>150000</v>
      </c>
      <c r="BS719" s="5146"/>
      <c r="BT719" s="5146"/>
      <c r="BU719" s="5146"/>
      <c r="BV719" s="5146"/>
      <c r="BW719" s="5146"/>
      <c r="BX719" s="5146"/>
      <c r="BY719" s="5146"/>
      <c r="BZ719" s="5146"/>
      <c r="CA719" s="5296"/>
      <c r="CB719" s="5915"/>
      <c r="CC719" s="5309"/>
      <c r="CD719" s="5059"/>
      <c r="CE719" s="5154"/>
      <c r="CF719" s="5154"/>
      <c r="CG719" s="5154"/>
      <c r="CH719" s="5154"/>
    </row>
    <row r="720" s="4980" customFormat="1" ht="24" customHeight="1" spans="1:86">
      <c r="A720" s="3812"/>
      <c r="B720" s="857"/>
      <c r="C720" s="857"/>
      <c r="D720" s="5059"/>
      <c r="E720" s="5059"/>
      <c r="F720" s="5059"/>
      <c r="G720" s="1032"/>
      <c r="H720" s="5059"/>
      <c r="I720" s="5205"/>
      <c r="J720" s="5059"/>
      <c r="K720" s="1032"/>
      <c r="L720" s="5059"/>
      <c r="M720" s="3812"/>
      <c r="N720" s="3812"/>
      <c r="O720" s="3812"/>
      <c r="P720" s="3812"/>
      <c r="Q720" s="3812"/>
      <c r="R720" s="3812"/>
      <c r="S720" s="3812"/>
      <c r="T720" s="3812"/>
      <c r="U720" s="3812"/>
      <c r="V720" s="3812"/>
      <c r="W720" s="3812"/>
      <c r="X720" s="3812"/>
      <c r="Y720" s="3812"/>
      <c r="Z720" s="3812"/>
      <c r="AA720" s="3812"/>
      <c r="AB720" s="3812"/>
      <c r="AC720" s="5059"/>
      <c r="AD720" s="1032"/>
      <c r="AE720" s="5878"/>
      <c r="AF720" s="857"/>
      <c r="AG720" s="3812"/>
      <c r="AH720" s="857"/>
      <c r="AI720" s="3812"/>
      <c r="AJ720" s="857"/>
      <c r="AK720" s="3812"/>
      <c r="AL720" s="857"/>
      <c r="AM720" s="3812"/>
      <c r="AN720" s="5123">
        <f t="shared" si="147"/>
        <v>82448.6100000001</v>
      </c>
      <c r="AO720" s="3812"/>
      <c r="AP720" s="4842"/>
      <c r="AQ720" s="5146"/>
      <c r="AR720" s="3812"/>
      <c r="AS720" s="5241"/>
      <c r="AT720" s="5146"/>
      <c r="AU720" s="3812"/>
      <c r="AV720" s="3812"/>
      <c r="AW720" s="3812"/>
      <c r="AX720" s="3812"/>
      <c r="AY720" s="3812"/>
      <c r="AZ720" s="3812"/>
      <c r="BA720" s="5146"/>
      <c r="BB720" s="5146"/>
      <c r="BC720" s="3812"/>
      <c r="BD720" s="4842"/>
      <c r="BE720" s="5146"/>
      <c r="BF720" s="5146"/>
      <c r="BG720" s="5146"/>
      <c r="BH720" s="5948"/>
      <c r="BI720" s="5146"/>
      <c r="BJ720" s="5146"/>
      <c r="BK720" s="5146"/>
      <c r="BL720" s="5146"/>
      <c r="BM720" s="5952"/>
      <c r="BN720" s="5800"/>
      <c r="BO720" s="5273"/>
      <c r="BP720" s="5146"/>
      <c r="BQ720" s="5146"/>
      <c r="BR720" s="5123">
        <f>625795.4+6321.17-149667.96-250000-BR719</f>
        <v>82448.6100000001</v>
      </c>
      <c r="BS720" s="5146"/>
      <c r="BT720" s="5146"/>
      <c r="BU720" s="5146"/>
      <c r="BV720" s="5741"/>
      <c r="BW720" s="5146"/>
      <c r="BX720" s="5146"/>
      <c r="BY720" s="5146"/>
      <c r="BZ720" s="5146"/>
      <c r="CA720" s="5296"/>
      <c r="CB720" s="5285"/>
      <c r="CC720" s="5309"/>
      <c r="CD720" s="5059"/>
      <c r="CE720" s="5154"/>
      <c r="CF720" s="5154"/>
      <c r="CG720" s="5154"/>
      <c r="CH720" s="5154"/>
    </row>
    <row r="721" s="4980" customFormat="1" ht="46" spans="1:86">
      <c r="A721" s="3812"/>
      <c r="B721" s="857"/>
      <c r="C721" s="857"/>
      <c r="D721" s="5059"/>
      <c r="E721" s="5059"/>
      <c r="F721" s="5059"/>
      <c r="G721" s="1032"/>
      <c r="H721" s="5059"/>
      <c r="I721" s="5205"/>
      <c r="J721" s="5059"/>
      <c r="K721" s="1032"/>
      <c r="L721" s="5059"/>
      <c r="M721" s="3812"/>
      <c r="N721" s="3812"/>
      <c r="O721" s="3812"/>
      <c r="P721" s="3812"/>
      <c r="Q721" s="3812"/>
      <c r="R721" s="3812"/>
      <c r="S721" s="3812"/>
      <c r="T721" s="3812"/>
      <c r="U721" s="3812"/>
      <c r="V721" s="3812"/>
      <c r="W721" s="3812"/>
      <c r="X721" s="3812"/>
      <c r="Y721" s="3812"/>
      <c r="Z721" s="3812"/>
      <c r="AA721" s="3812"/>
      <c r="AB721" s="3812"/>
      <c r="AC721" s="5059"/>
      <c r="AD721" s="5241" t="s">
        <v>1639</v>
      </c>
      <c r="AE721" s="5878">
        <v>0.1</v>
      </c>
      <c r="AF721" s="857">
        <v>180604.73</v>
      </c>
      <c r="AG721" s="5257">
        <f>SUM(BA721:BN721)</f>
        <v>180604.73</v>
      </c>
      <c r="AH721" s="5932" t="s">
        <v>122</v>
      </c>
      <c r="AI721" s="5257">
        <v>44555</v>
      </c>
      <c r="AJ721" s="5933">
        <v>180604.73</v>
      </c>
      <c r="AK721" s="5257">
        <v>44555</v>
      </c>
      <c r="AL721" s="5940">
        <v>180604.73</v>
      </c>
      <c r="AM721" s="3812">
        <v>45945</v>
      </c>
      <c r="AN721" s="3812">
        <f t="shared" si="147"/>
        <v>180604.73</v>
      </c>
      <c r="AO721" s="5123">
        <v>46386</v>
      </c>
      <c r="AP721" s="3812">
        <f>AG721-AN721</f>
        <v>0</v>
      </c>
      <c r="AQ721" s="5146"/>
      <c r="AR721" s="3812"/>
      <c r="AS721" s="5241"/>
      <c r="AT721" s="5146"/>
      <c r="AU721" s="3812"/>
      <c r="AV721" s="3812"/>
      <c r="AW721" s="3812"/>
      <c r="AX721" s="3812"/>
      <c r="AY721" s="3812"/>
      <c r="AZ721" s="3812"/>
      <c r="BA721" s="5146"/>
      <c r="BB721" s="5146"/>
      <c r="BC721" s="3812"/>
      <c r="BD721" s="5123">
        <v>178798.69</v>
      </c>
      <c r="BE721" s="5146"/>
      <c r="BF721" s="5146"/>
      <c r="BG721" s="5146"/>
      <c r="BH721" s="5948"/>
      <c r="BI721" s="5146"/>
      <c r="BJ721" s="5146"/>
      <c r="BK721" s="5146"/>
      <c r="BL721" s="5146"/>
      <c r="BM721" s="5296"/>
      <c r="BN721" s="5284">
        <v>1806.04</v>
      </c>
      <c r="BO721" s="5273"/>
      <c r="BP721" s="5146"/>
      <c r="BQ721" s="5146"/>
      <c r="BR721" s="5123">
        <v>178798.69</v>
      </c>
      <c r="BS721" s="5146"/>
      <c r="BT721" s="5146"/>
      <c r="BU721" s="5146"/>
      <c r="BV721" s="5741"/>
      <c r="BW721" s="5146"/>
      <c r="BX721" s="5146"/>
      <c r="BY721" s="5146"/>
      <c r="BZ721" s="5146"/>
      <c r="CA721" s="5296"/>
      <c r="CB721" s="5285">
        <v>1806.04</v>
      </c>
      <c r="CC721" s="5309"/>
      <c r="CD721" s="5059"/>
      <c r="CE721" s="5154"/>
      <c r="CF721" s="5154"/>
      <c r="CG721" s="5154"/>
      <c r="CH721" s="5154"/>
    </row>
    <row r="722" s="4980" customFormat="1" ht="30" customHeight="1" spans="1:86">
      <c r="A722" s="3812"/>
      <c r="B722" s="857"/>
      <c r="C722" s="857"/>
      <c r="D722" s="5059"/>
      <c r="E722" s="5059"/>
      <c r="F722" s="5059"/>
      <c r="G722" s="1032"/>
      <c r="H722" s="5059"/>
      <c r="I722" s="5205"/>
      <c r="J722" s="5059"/>
      <c r="K722" s="1032"/>
      <c r="L722" s="5059"/>
      <c r="M722" s="3812"/>
      <c r="N722" s="3812"/>
      <c r="O722" s="3812"/>
      <c r="P722" s="3812"/>
      <c r="Q722" s="3812"/>
      <c r="R722" s="3812"/>
      <c r="S722" s="3812"/>
      <c r="T722" s="3812"/>
      <c r="U722" s="3812"/>
      <c r="V722" s="3812"/>
      <c r="W722" s="3812"/>
      <c r="X722" s="3812"/>
      <c r="Y722" s="3812"/>
      <c r="Z722" s="3812"/>
      <c r="AA722" s="3812"/>
      <c r="AB722" s="3812"/>
      <c r="AC722" s="5059"/>
      <c r="AD722" s="5241" t="s">
        <v>1640</v>
      </c>
      <c r="AE722" s="5878">
        <v>0.05</v>
      </c>
      <c r="AF722" s="857">
        <v>90302.37</v>
      </c>
      <c r="AG722" s="3812">
        <f>SUM(BA722:BN722)</f>
        <v>0</v>
      </c>
      <c r="AH722" s="3812"/>
      <c r="AI722" s="3812"/>
      <c r="AJ722" s="3812"/>
      <c r="AK722" s="3812"/>
      <c r="AL722" s="3812"/>
      <c r="AM722" s="3812"/>
      <c r="AN722" s="3812">
        <f t="shared" si="147"/>
        <v>0</v>
      </c>
      <c r="AO722" s="3812"/>
      <c r="AP722" s="3812">
        <f>AG722-AN722</f>
        <v>0</v>
      </c>
      <c r="AQ722" s="5146"/>
      <c r="AR722" s="3812"/>
      <c r="AS722" s="5833"/>
      <c r="AT722" s="5146"/>
      <c r="AU722" s="3812"/>
      <c r="AV722" s="3812"/>
      <c r="AW722" s="3812"/>
      <c r="AX722" s="3812"/>
      <c r="AY722" s="3812"/>
      <c r="AZ722" s="3812"/>
      <c r="BA722" s="5146"/>
      <c r="BB722" s="5146"/>
      <c r="BC722" s="3812"/>
      <c r="BD722" s="3812"/>
      <c r="BE722" s="5146"/>
      <c r="BF722" s="5146"/>
      <c r="BG722" s="5146"/>
      <c r="BH722" s="5948"/>
      <c r="BI722" s="5146"/>
      <c r="BJ722" s="5146"/>
      <c r="BK722" s="5146"/>
      <c r="BL722" s="5146"/>
      <c r="BM722" s="5296"/>
      <c r="BN722" s="5263"/>
      <c r="BO722" s="5273"/>
      <c r="BP722" s="5146"/>
      <c r="BQ722" s="5146"/>
      <c r="BR722" s="5146"/>
      <c r="BS722" s="5146"/>
      <c r="BT722" s="5146"/>
      <c r="BU722" s="5146"/>
      <c r="BV722" s="5146"/>
      <c r="BW722" s="5146"/>
      <c r="BX722" s="5146"/>
      <c r="BY722" s="5146"/>
      <c r="BZ722" s="5146"/>
      <c r="CA722" s="5296"/>
      <c r="CB722" s="5915"/>
      <c r="CC722" s="5309"/>
      <c r="CD722" s="5059"/>
      <c r="CE722" s="5154"/>
      <c r="CF722" s="5154"/>
      <c r="CG722" s="5154"/>
      <c r="CH722" s="5154"/>
    </row>
    <row r="723" s="4980" customFormat="1" ht="34.15" customHeight="1" spans="1:86">
      <c r="A723" s="3812"/>
      <c r="B723" s="857"/>
      <c r="C723" s="857"/>
      <c r="D723" s="5059"/>
      <c r="E723" s="5059"/>
      <c r="F723" s="5059"/>
      <c r="G723" s="1032"/>
      <c r="H723" s="5059"/>
      <c r="I723" s="5205"/>
      <c r="J723" s="5059"/>
      <c r="K723" s="1032"/>
      <c r="L723" s="5059"/>
      <c r="M723" s="3812"/>
      <c r="N723" s="3812"/>
      <c r="O723" s="3812"/>
      <c r="P723" s="3812"/>
      <c r="Q723" s="3812"/>
      <c r="R723" s="3812"/>
      <c r="S723" s="3812"/>
      <c r="T723" s="3812"/>
      <c r="U723" s="3812"/>
      <c r="V723" s="3812"/>
      <c r="W723" s="3812"/>
      <c r="X723" s="3812"/>
      <c r="Y723" s="3812"/>
      <c r="Z723" s="3812"/>
      <c r="AA723" s="3812"/>
      <c r="AB723" s="3812"/>
      <c r="AC723" s="1032" t="s">
        <v>1641</v>
      </c>
      <c r="AD723" s="5073" t="s">
        <v>1631</v>
      </c>
      <c r="AE723" s="5921">
        <v>0.1</v>
      </c>
      <c r="AF723" s="3366">
        <v>193961.68</v>
      </c>
      <c r="AG723" s="4840">
        <f>SUM(BA723:BN723)</f>
        <v>193961.68</v>
      </c>
      <c r="AH723" s="3366" t="s">
        <v>122</v>
      </c>
      <c r="AI723" s="4840">
        <v>44555</v>
      </c>
      <c r="AJ723" s="3366">
        <v>193961.68</v>
      </c>
      <c r="AK723" s="4840">
        <v>44555</v>
      </c>
      <c r="AL723" s="857">
        <v>127308.38</v>
      </c>
      <c r="AM723" s="3812">
        <v>44575</v>
      </c>
      <c r="AN723" s="3812">
        <f t="shared" si="147"/>
        <v>127308.38</v>
      </c>
      <c r="AO723" s="857">
        <v>44924</v>
      </c>
      <c r="AP723" s="3812">
        <f>AG723-AN723</f>
        <v>66653.3</v>
      </c>
      <c r="AQ723" s="5943"/>
      <c r="AR723" s="3812"/>
      <c r="AS723" s="5241"/>
      <c r="AT723" s="5146"/>
      <c r="AU723" s="3812"/>
      <c r="AV723" s="3812"/>
      <c r="AW723" s="3812"/>
      <c r="AX723" s="3812"/>
      <c r="AY723" s="3812"/>
      <c r="AZ723" s="3812"/>
      <c r="BA723" s="5146"/>
      <c r="BB723" s="5146"/>
      <c r="BC723" s="3812"/>
      <c r="BD723" s="3812">
        <f>192022.06+1939.62</f>
        <v>193961.68</v>
      </c>
      <c r="BE723" s="5146"/>
      <c r="BF723" s="5146"/>
      <c r="BG723" s="5146"/>
      <c r="BH723" s="5152"/>
      <c r="BI723" s="5146"/>
      <c r="BJ723" s="5146"/>
      <c r="BK723" s="5146"/>
      <c r="BL723" s="5146"/>
      <c r="BM723" s="5296"/>
      <c r="BN723" s="5263">
        <v>0</v>
      </c>
      <c r="BO723" s="5273"/>
      <c r="BP723" s="5146"/>
      <c r="BQ723" s="5146"/>
      <c r="BR723" s="3812">
        <f>192022.06+1939.62-66653.3</f>
        <v>127308.38</v>
      </c>
      <c r="BS723" s="5146"/>
      <c r="BT723" s="5146"/>
      <c r="BU723" s="5146"/>
      <c r="BV723" s="5146"/>
      <c r="BW723" s="5146"/>
      <c r="BX723" s="5146"/>
      <c r="BY723" s="5146"/>
      <c r="BZ723" s="5146"/>
      <c r="CA723" s="5296"/>
      <c r="CB723" s="5279"/>
      <c r="CC723" s="5309"/>
      <c r="CD723" s="5059"/>
      <c r="CE723" s="5154"/>
      <c r="CF723" s="5154"/>
      <c r="CG723" s="5154"/>
      <c r="CH723" s="5154"/>
    </row>
    <row r="724" s="4980" customFormat="1" ht="30" customHeight="1" spans="1:86">
      <c r="A724" s="3812"/>
      <c r="B724" s="857"/>
      <c r="C724" s="857"/>
      <c r="D724" s="5059"/>
      <c r="E724" s="5059"/>
      <c r="F724" s="5059"/>
      <c r="G724" s="1032"/>
      <c r="H724" s="5059"/>
      <c r="I724" s="5205"/>
      <c r="J724" s="5059"/>
      <c r="K724" s="1032"/>
      <c r="L724" s="5059"/>
      <c r="M724" s="3812"/>
      <c r="N724" s="3812"/>
      <c r="O724" s="3812"/>
      <c r="P724" s="3812"/>
      <c r="Q724" s="3812"/>
      <c r="R724" s="3812"/>
      <c r="S724" s="3812"/>
      <c r="T724" s="3812"/>
      <c r="U724" s="3812"/>
      <c r="V724" s="3812"/>
      <c r="W724" s="3812"/>
      <c r="X724" s="3812"/>
      <c r="Y724" s="3812"/>
      <c r="Z724" s="3812"/>
      <c r="AA724" s="3812"/>
      <c r="AB724" s="3812"/>
      <c r="AC724" s="5059"/>
      <c r="AD724" s="5206"/>
      <c r="AE724" s="5922"/>
      <c r="AF724" s="3409"/>
      <c r="AG724" s="4842"/>
      <c r="AH724" s="3409"/>
      <c r="AI724" s="4842"/>
      <c r="AJ724" s="3409"/>
      <c r="AK724" s="4842"/>
      <c r="AL724" s="857">
        <v>66653.3</v>
      </c>
      <c r="AM724" s="3812">
        <v>44784</v>
      </c>
      <c r="AN724" s="3812">
        <f t="shared" si="147"/>
        <v>66653.3</v>
      </c>
      <c r="AO724" s="857">
        <v>44924</v>
      </c>
      <c r="AP724" s="3812"/>
      <c r="AQ724" s="5146"/>
      <c r="AR724" s="3812"/>
      <c r="AS724" s="5241"/>
      <c r="AT724" s="5146"/>
      <c r="AU724" s="3812"/>
      <c r="AV724" s="3812"/>
      <c r="AW724" s="3812"/>
      <c r="AX724" s="3812"/>
      <c r="AY724" s="3812"/>
      <c r="AZ724" s="3812"/>
      <c r="BA724" s="5146"/>
      <c r="BB724" s="5146"/>
      <c r="BC724" s="3812"/>
      <c r="BD724" s="3812"/>
      <c r="BE724" s="5146"/>
      <c r="BF724" s="5146"/>
      <c r="BG724" s="5146"/>
      <c r="BH724" s="5152"/>
      <c r="BI724" s="5146"/>
      <c r="BJ724" s="5146"/>
      <c r="BK724" s="5146"/>
      <c r="BL724" s="5146"/>
      <c r="BM724" s="5296"/>
      <c r="BN724" s="5263"/>
      <c r="BO724" s="5273"/>
      <c r="BP724" s="5146"/>
      <c r="BQ724" s="5146"/>
      <c r="BR724" s="5123">
        <v>66653.3</v>
      </c>
      <c r="BS724" s="5146"/>
      <c r="BT724" s="5146"/>
      <c r="BU724" s="5146"/>
      <c r="BV724" s="5146"/>
      <c r="BW724" s="5146"/>
      <c r="BX724" s="5146"/>
      <c r="BY724" s="5146"/>
      <c r="BZ724" s="5146"/>
      <c r="CA724" s="5296"/>
      <c r="CB724" s="5915"/>
      <c r="CC724" s="5309"/>
      <c r="CD724" s="5059"/>
      <c r="CE724" s="5154"/>
      <c r="CF724" s="5154"/>
      <c r="CG724" s="5154"/>
      <c r="CH724" s="5154"/>
    </row>
    <row r="725" s="4980" customFormat="1" ht="30" customHeight="1" spans="1:86">
      <c r="A725" s="3812"/>
      <c r="B725" s="857"/>
      <c r="C725" s="857"/>
      <c r="D725" s="5059"/>
      <c r="E725" s="5059"/>
      <c r="F725" s="5059"/>
      <c r="G725" s="1032"/>
      <c r="H725" s="5059"/>
      <c r="I725" s="5205"/>
      <c r="J725" s="5059"/>
      <c r="K725" s="1032"/>
      <c r="L725" s="5059"/>
      <c r="M725" s="3812"/>
      <c r="N725" s="3812"/>
      <c r="O725" s="3812"/>
      <c r="P725" s="3812"/>
      <c r="Q725" s="3812"/>
      <c r="R725" s="3812"/>
      <c r="S725" s="3812"/>
      <c r="T725" s="3812"/>
      <c r="U725" s="3812"/>
      <c r="V725" s="3812"/>
      <c r="W725" s="3812"/>
      <c r="X725" s="3812"/>
      <c r="Y725" s="3812"/>
      <c r="Z725" s="3812"/>
      <c r="AA725" s="3812"/>
      <c r="AB725" s="3812"/>
      <c r="AC725" s="5059"/>
      <c r="AD725" s="5241" t="s">
        <v>1633</v>
      </c>
      <c r="AE725" s="1032">
        <v>0.2</v>
      </c>
      <c r="AF725" s="857">
        <v>387923.35</v>
      </c>
      <c r="AG725" s="3812">
        <f t="shared" ref="AG725:AG736" si="148">SUM(BA725:BN725)</f>
        <v>387923.35</v>
      </c>
      <c r="AH725" s="857" t="s">
        <v>122</v>
      </c>
      <c r="AI725" s="3812">
        <v>44555</v>
      </c>
      <c r="AJ725" s="857">
        <v>387923.35</v>
      </c>
      <c r="AK725" s="3812">
        <v>44555</v>
      </c>
      <c r="AL725" s="1015">
        <v>387923.35</v>
      </c>
      <c r="AM725" s="3812">
        <v>45945</v>
      </c>
      <c r="AN725" s="3812">
        <f t="shared" ref="AN725:AN745" si="149">SUM(BO725:CB725)</f>
        <v>387923.35</v>
      </c>
      <c r="AO725" s="3406">
        <v>46386</v>
      </c>
      <c r="AP725" s="3812">
        <f t="shared" ref="AP725:AP745" si="150">AG725-AN725</f>
        <v>0</v>
      </c>
      <c r="AQ725" s="5146"/>
      <c r="AR725" s="3812"/>
      <c r="AS725" s="5241"/>
      <c r="AT725" s="5146"/>
      <c r="AU725" s="3812"/>
      <c r="AV725" s="3812"/>
      <c r="AW725" s="3812"/>
      <c r="AX725" s="3812"/>
      <c r="AY725" s="3812"/>
      <c r="AZ725" s="3812"/>
      <c r="BA725" s="5146"/>
      <c r="BB725" s="5146"/>
      <c r="BC725" s="3812"/>
      <c r="BD725" s="3812">
        <f>384044.12+3879.23</f>
        <v>387923.35</v>
      </c>
      <c r="BE725" s="5146"/>
      <c r="BF725" s="5146"/>
      <c r="BG725" s="5146"/>
      <c r="BH725" s="5152"/>
      <c r="BI725" s="5146"/>
      <c r="BJ725" s="5146"/>
      <c r="BK725" s="5146"/>
      <c r="BL725" s="5146"/>
      <c r="BM725" s="5296"/>
      <c r="BN725" s="5263">
        <v>0</v>
      </c>
      <c r="BO725" s="5273"/>
      <c r="BP725" s="5146"/>
      <c r="BQ725" s="5146"/>
      <c r="BR725" s="5123">
        <v>387923.35</v>
      </c>
      <c r="BS725" s="5146"/>
      <c r="BT725" s="5146"/>
      <c r="BU725" s="5146"/>
      <c r="BV725" s="5146"/>
      <c r="BW725" s="5146"/>
      <c r="BX725" s="5146"/>
      <c r="BY725" s="5146"/>
      <c r="BZ725" s="5146"/>
      <c r="CA725" s="5296"/>
      <c r="CB725" s="5915"/>
      <c r="CC725" s="5309"/>
      <c r="CD725" s="5059"/>
      <c r="CE725" s="5154"/>
      <c r="CF725" s="5154"/>
      <c r="CG725" s="5154"/>
      <c r="CH725" s="5154"/>
    </row>
    <row r="726" s="4980" customFormat="1" ht="46" spans="1:86">
      <c r="A726" s="3812"/>
      <c r="B726" s="857"/>
      <c r="C726" s="857"/>
      <c r="D726" s="5059"/>
      <c r="E726" s="5059"/>
      <c r="F726" s="5059"/>
      <c r="G726" s="1032"/>
      <c r="H726" s="5059"/>
      <c r="I726" s="5205"/>
      <c r="J726" s="5059"/>
      <c r="K726" s="1032"/>
      <c r="L726" s="5059"/>
      <c r="M726" s="3812"/>
      <c r="N726" s="3812"/>
      <c r="O726" s="3812"/>
      <c r="P726" s="3812"/>
      <c r="Q726" s="3812"/>
      <c r="R726" s="3812"/>
      <c r="S726" s="3812"/>
      <c r="T726" s="3812"/>
      <c r="U726" s="3812"/>
      <c r="V726" s="3812"/>
      <c r="W726" s="3812"/>
      <c r="X726" s="3812"/>
      <c r="Y726" s="3812"/>
      <c r="Z726" s="3812"/>
      <c r="AA726" s="3812"/>
      <c r="AB726" s="3812"/>
      <c r="AC726" s="5059"/>
      <c r="AD726" s="5241" t="s">
        <v>1635</v>
      </c>
      <c r="AE726" s="5878">
        <v>0.2</v>
      </c>
      <c r="AF726" s="857">
        <v>387923.35</v>
      </c>
      <c r="AG726" s="3812">
        <f t="shared" si="148"/>
        <v>207318.62</v>
      </c>
      <c r="AH726" s="857" t="s">
        <v>122</v>
      </c>
      <c r="AI726" s="3812">
        <v>44555</v>
      </c>
      <c r="AJ726" s="857">
        <v>207318.62</v>
      </c>
      <c r="AK726" s="3812">
        <v>44555</v>
      </c>
      <c r="AL726" s="857"/>
      <c r="AM726" s="3812"/>
      <c r="AN726" s="3812">
        <f t="shared" si="149"/>
        <v>0</v>
      </c>
      <c r="AO726" s="3812"/>
      <c r="AP726" s="3812">
        <f t="shared" si="150"/>
        <v>207318.62</v>
      </c>
      <c r="AQ726" s="5944" t="s">
        <v>1642</v>
      </c>
      <c r="AR726" s="3812"/>
      <c r="AS726" s="5241"/>
      <c r="AT726" s="5146"/>
      <c r="AU726" s="3812"/>
      <c r="AV726" s="3812"/>
      <c r="AW726" s="3812"/>
      <c r="AX726" s="3812"/>
      <c r="AY726" s="3812"/>
      <c r="AZ726" s="3812"/>
      <c r="BA726" s="5146"/>
      <c r="BB726" s="5146"/>
      <c r="BC726" s="3812"/>
      <c r="BD726" s="3812">
        <v>207318.62</v>
      </c>
      <c r="BE726" s="5146"/>
      <c r="BF726" s="5146"/>
      <c r="BG726" s="5146"/>
      <c r="BH726" s="5152"/>
      <c r="BI726" s="5146"/>
      <c r="BJ726" s="5146"/>
      <c r="BK726" s="5146"/>
      <c r="BL726" s="5146"/>
      <c r="BM726" s="5296"/>
      <c r="BN726" s="5263">
        <v>0</v>
      </c>
      <c r="BO726" s="5273"/>
      <c r="BP726" s="5146"/>
      <c r="BQ726" s="5146"/>
      <c r="BR726" s="5123"/>
      <c r="BS726" s="5146"/>
      <c r="BT726" s="5146"/>
      <c r="BU726" s="5146"/>
      <c r="BV726" s="5146"/>
      <c r="BW726" s="5146"/>
      <c r="BX726" s="5146"/>
      <c r="BY726" s="5146"/>
      <c r="BZ726" s="5146"/>
      <c r="CA726" s="5296"/>
      <c r="CB726" s="5915"/>
      <c r="CC726" s="5309"/>
      <c r="CD726" s="5059"/>
      <c r="CE726" s="5154"/>
      <c r="CF726" s="5154"/>
      <c r="CG726" s="5154"/>
      <c r="CH726" s="5154"/>
    </row>
    <row r="727" s="4980" customFormat="1" ht="46" spans="1:86">
      <c r="A727" s="3812"/>
      <c r="B727" s="857"/>
      <c r="C727" s="857"/>
      <c r="D727" s="5059"/>
      <c r="E727" s="5059"/>
      <c r="F727" s="5059"/>
      <c r="G727" s="1032"/>
      <c r="H727" s="5059"/>
      <c r="I727" s="5205"/>
      <c r="J727" s="5059"/>
      <c r="K727" s="1032"/>
      <c r="L727" s="5059"/>
      <c r="M727" s="3812"/>
      <c r="N727" s="3812"/>
      <c r="O727" s="3812"/>
      <c r="P727" s="3812"/>
      <c r="Q727" s="3812"/>
      <c r="R727" s="3812"/>
      <c r="S727" s="3812"/>
      <c r="T727" s="3812"/>
      <c r="U727" s="3812"/>
      <c r="V727" s="3812"/>
      <c r="W727" s="3812"/>
      <c r="X727" s="3812"/>
      <c r="Y727" s="3812"/>
      <c r="Z727" s="3812"/>
      <c r="AA727" s="3812"/>
      <c r="AB727" s="3812"/>
      <c r="AC727" s="5059"/>
      <c r="AD727" s="5241" t="s">
        <v>1637</v>
      </c>
      <c r="AE727" s="5878">
        <v>0.35</v>
      </c>
      <c r="AF727" s="857">
        <v>678865.87</v>
      </c>
      <c r="AG727" s="5123">
        <f t="shared" si="148"/>
        <v>678865.87</v>
      </c>
      <c r="AH727" s="3406"/>
      <c r="AI727" s="5123"/>
      <c r="AJ727" s="3812"/>
      <c r="AK727" s="3812"/>
      <c r="AL727" s="3812"/>
      <c r="AM727" s="3812"/>
      <c r="AN727" s="3812">
        <f t="shared" si="149"/>
        <v>0</v>
      </c>
      <c r="AO727" s="5123"/>
      <c r="AP727" s="3812">
        <f t="shared" si="150"/>
        <v>678865.87</v>
      </c>
      <c r="AQ727" s="5146"/>
      <c r="AR727" s="3812"/>
      <c r="AS727" s="5241"/>
      <c r="AT727" s="5146"/>
      <c r="AU727" s="3812"/>
      <c r="AV727" s="3812"/>
      <c r="AW727" s="3812"/>
      <c r="AX727" s="3812"/>
      <c r="AY727" s="3812"/>
      <c r="AZ727" s="3812"/>
      <c r="BA727" s="5146"/>
      <c r="BB727" s="5146"/>
      <c r="BC727" s="3812"/>
      <c r="BD727" s="5160">
        <v>672077.21</v>
      </c>
      <c r="BE727" s="5146"/>
      <c r="BF727" s="5146"/>
      <c r="BG727" s="5146"/>
      <c r="BH727" s="5948"/>
      <c r="BI727" s="5146"/>
      <c r="BJ727" s="5146"/>
      <c r="BK727" s="5146"/>
      <c r="BL727" s="5146"/>
      <c r="BM727" s="5296"/>
      <c r="BN727" s="5284">
        <v>6788.66</v>
      </c>
      <c r="BO727" s="5273"/>
      <c r="BP727" s="5146"/>
      <c r="BQ727" s="5146"/>
      <c r="BR727" s="5160"/>
      <c r="BS727" s="5146"/>
      <c r="BT727" s="5146"/>
      <c r="BU727" s="5146"/>
      <c r="BV727" s="5741"/>
      <c r="BW727" s="5146"/>
      <c r="BX727" s="5146"/>
      <c r="BY727" s="5146"/>
      <c r="BZ727" s="5146"/>
      <c r="CA727" s="5296"/>
      <c r="CB727" s="5961"/>
      <c r="CC727" s="5309"/>
      <c r="CD727" s="5059"/>
      <c r="CE727" s="5154"/>
      <c r="CF727" s="5154"/>
      <c r="CG727" s="5154"/>
      <c r="CH727" s="5154"/>
    </row>
    <row r="728" s="4980" customFormat="1" ht="46" spans="1:86">
      <c r="A728" s="3812"/>
      <c r="B728" s="857"/>
      <c r="C728" s="857"/>
      <c r="D728" s="5059"/>
      <c r="E728" s="5059"/>
      <c r="F728" s="5059"/>
      <c r="G728" s="1032"/>
      <c r="H728" s="5059"/>
      <c r="I728" s="5205"/>
      <c r="J728" s="5059"/>
      <c r="K728" s="1032"/>
      <c r="L728" s="5059"/>
      <c r="M728" s="3812"/>
      <c r="N728" s="3812"/>
      <c r="O728" s="3812"/>
      <c r="P728" s="3812"/>
      <c r="Q728" s="3812"/>
      <c r="R728" s="3812"/>
      <c r="S728" s="3812"/>
      <c r="T728" s="3812"/>
      <c r="U728" s="3812"/>
      <c r="V728" s="3812"/>
      <c r="W728" s="3812"/>
      <c r="X728" s="3812"/>
      <c r="Y728" s="3812"/>
      <c r="Z728" s="3812"/>
      <c r="AA728" s="3812"/>
      <c r="AB728" s="3812"/>
      <c r="AC728" s="5059"/>
      <c r="AD728" s="5241" t="s">
        <v>1639</v>
      </c>
      <c r="AE728" s="5878">
        <v>0.1</v>
      </c>
      <c r="AF728" s="857">
        <v>193961.68</v>
      </c>
      <c r="AG728" s="5123">
        <f t="shared" si="148"/>
        <v>193961.68</v>
      </c>
      <c r="AH728" s="3406"/>
      <c r="AI728" s="5123"/>
      <c r="AJ728" s="3812"/>
      <c r="AK728" s="3812"/>
      <c r="AL728" s="3812"/>
      <c r="AM728" s="3812"/>
      <c r="AN728" s="3812">
        <f t="shared" si="149"/>
        <v>0</v>
      </c>
      <c r="AO728" s="5123"/>
      <c r="AP728" s="3812">
        <f t="shared" si="150"/>
        <v>193961.68</v>
      </c>
      <c r="AQ728" s="5146"/>
      <c r="AR728" s="3812"/>
      <c r="AS728" s="5241"/>
      <c r="AT728" s="5146"/>
      <c r="AU728" s="3812"/>
      <c r="AV728" s="3812"/>
      <c r="AW728" s="3812"/>
      <c r="AX728" s="3812"/>
      <c r="AY728" s="3812"/>
      <c r="AZ728" s="3812"/>
      <c r="BA728" s="5146"/>
      <c r="BB728" s="5146"/>
      <c r="BC728" s="3812"/>
      <c r="BD728" s="5160">
        <v>192022.06</v>
      </c>
      <c r="BE728" s="5146"/>
      <c r="BF728" s="5146"/>
      <c r="BG728" s="5146"/>
      <c r="BH728" s="5948"/>
      <c r="BI728" s="5146"/>
      <c r="BJ728" s="5146"/>
      <c r="BK728" s="5146"/>
      <c r="BL728" s="5146"/>
      <c r="BM728" s="5296"/>
      <c r="BN728" s="5284">
        <v>1939.62</v>
      </c>
      <c r="BO728" s="5273"/>
      <c r="BP728" s="5146"/>
      <c r="BQ728" s="5146"/>
      <c r="BR728" s="5160"/>
      <c r="BS728" s="5146"/>
      <c r="BT728" s="5146"/>
      <c r="BU728" s="5146"/>
      <c r="BV728" s="5741"/>
      <c r="BW728" s="5146"/>
      <c r="BX728" s="5146"/>
      <c r="BY728" s="5146"/>
      <c r="BZ728" s="5146"/>
      <c r="CA728" s="5296"/>
      <c r="CB728" s="5961"/>
      <c r="CC728" s="5309"/>
      <c r="CD728" s="5059"/>
      <c r="CE728" s="5154"/>
      <c r="CF728" s="5154"/>
      <c r="CG728" s="5154"/>
      <c r="CH728" s="5154"/>
    </row>
    <row r="729" s="4980" customFormat="1" ht="30" customHeight="1" spans="1:86">
      <c r="A729" s="3812"/>
      <c r="B729" s="857"/>
      <c r="C729" s="857"/>
      <c r="D729" s="5059"/>
      <c r="E729" s="5059"/>
      <c r="F729" s="5059"/>
      <c r="G729" s="1032"/>
      <c r="H729" s="5059"/>
      <c r="I729" s="5205"/>
      <c r="J729" s="5059"/>
      <c r="K729" s="1032"/>
      <c r="L729" s="5059"/>
      <c r="M729" s="3812"/>
      <c r="N729" s="3812"/>
      <c r="O729" s="3812"/>
      <c r="P729" s="3812"/>
      <c r="Q729" s="3812"/>
      <c r="R729" s="3812"/>
      <c r="S729" s="3812"/>
      <c r="T729" s="3812"/>
      <c r="U729" s="3812"/>
      <c r="V729" s="3812"/>
      <c r="W729" s="3812"/>
      <c r="X729" s="3812"/>
      <c r="Y729" s="3812"/>
      <c r="Z729" s="3812"/>
      <c r="AA729" s="3812"/>
      <c r="AB729" s="3812"/>
      <c r="AC729" s="5059"/>
      <c r="AD729" s="5241" t="s">
        <v>1640</v>
      </c>
      <c r="AE729" s="5878">
        <v>0.05</v>
      </c>
      <c r="AF729" s="857">
        <v>96980.84</v>
      </c>
      <c r="AG729" s="3812">
        <f t="shared" si="148"/>
        <v>0</v>
      </c>
      <c r="AH729" s="5123"/>
      <c r="AI729" s="3812"/>
      <c r="AJ729" s="3812"/>
      <c r="AK729" s="3812"/>
      <c r="AL729" s="3812"/>
      <c r="AM729" s="3812"/>
      <c r="AN729" s="3812">
        <f t="shared" si="149"/>
        <v>0</v>
      </c>
      <c r="AO729" s="3812"/>
      <c r="AP729" s="3812">
        <f t="shared" si="150"/>
        <v>0</v>
      </c>
      <c r="AQ729" s="5146"/>
      <c r="AR729" s="3812"/>
      <c r="AS729" s="5833"/>
      <c r="AT729" s="5146"/>
      <c r="AU729" s="3812"/>
      <c r="AV729" s="3812"/>
      <c r="AW729" s="3812"/>
      <c r="AX729" s="3812"/>
      <c r="AY729" s="3812"/>
      <c r="AZ729" s="3812"/>
      <c r="BA729" s="5146"/>
      <c r="BB729" s="5146"/>
      <c r="BC729" s="3812"/>
      <c r="BD729" s="5146"/>
      <c r="BE729" s="5146"/>
      <c r="BF729" s="5146"/>
      <c r="BG729" s="5146"/>
      <c r="BH729" s="5948"/>
      <c r="BI729" s="5146"/>
      <c r="BJ729" s="5146"/>
      <c r="BK729" s="5146"/>
      <c r="BL729" s="5146"/>
      <c r="BM729" s="5296"/>
      <c r="BN729" s="5263"/>
      <c r="BO729" s="5273"/>
      <c r="BP729" s="5146"/>
      <c r="BQ729" s="5146"/>
      <c r="BR729" s="5146"/>
      <c r="BS729" s="5146"/>
      <c r="BT729" s="5146"/>
      <c r="BU729" s="5146"/>
      <c r="BV729" s="5146"/>
      <c r="BW729" s="5146"/>
      <c r="BX729" s="5146"/>
      <c r="BY729" s="5146"/>
      <c r="BZ729" s="5146"/>
      <c r="CA729" s="5296"/>
      <c r="CB729" s="5915"/>
      <c r="CC729" s="5309"/>
      <c r="CD729" s="5059"/>
      <c r="CE729" s="5154"/>
      <c r="CF729" s="5154"/>
      <c r="CG729" s="5154"/>
      <c r="CH729" s="5154"/>
    </row>
    <row r="730" s="4980" customFormat="1" ht="46" spans="1:86">
      <c r="A730" s="3812"/>
      <c r="B730" s="857"/>
      <c r="C730" s="857"/>
      <c r="D730" s="5059"/>
      <c r="E730" s="5059"/>
      <c r="F730" s="5059"/>
      <c r="G730" s="1032"/>
      <c r="H730" s="5059"/>
      <c r="I730" s="5205"/>
      <c r="J730" s="5059"/>
      <c r="K730" s="1032"/>
      <c r="L730" s="5059"/>
      <c r="M730" s="3812"/>
      <c r="N730" s="3812"/>
      <c r="O730" s="3812"/>
      <c r="P730" s="3812"/>
      <c r="Q730" s="3812"/>
      <c r="R730" s="3812"/>
      <c r="S730" s="3812"/>
      <c r="T730" s="3812"/>
      <c r="U730" s="3812"/>
      <c r="V730" s="3812"/>
      <c r="W730" s="3812"/>
      <c r="X730" s="3812"/>
      <c r="Y730" s="3812"/>
      <c r="Z730" s="3812"/>
      <c r="AA730" s="3812"/>
      <c r="AB730" s="3812"/>
      <c r="AC730" s="1032" t="s">
        <v>1643</v>
      </c>
      <c r="AD730" s="5241" t="s">
        <v>1631</v>
      </c>
      <c r="AE730" s="5878">
        <v>0.1</v>
      </c>
      <c r="AF730" s="857">
        <v>75326.49</v>
      </c>
      <c r="AG730" s="5123">
        <f t="shared" si="148"/>
        <v>8206.49</v>
      </c>
      <c r="AH730" s="3406"/>
      <c r="AI730" s="5123"/>
      <c r="AJ730" s="857"/>
      <c r="AK730" s="3812"/>
      <c r="AL730" s="3812"/>
      <c r="AM730" s="3812"/>
      <c r="AN730" s="3812">
        <f t="shared" si="149"/>
        <v>0</v>
      </c>
      <c r="AO730" s="5123"/>
      <c r="AP730" s="3812">
        <f t="shared" si="150"/>
        <v>8206.49</v>
      </c>
      <c r="AQ730" s="5943"/>
      <c r="AR730" s="3812"/>
      <c r="AS730" s="5241"/>
      <c r="AT730" s="5146"/>
      <c r="AU730" s="3812"/>
      <c r="AV730" s="3812"/>
      <c r="AW730" s="3812"/>
      <c r="AX730" s="3812"/>
      <c r="AY730" s="3812"/>
      <c r="AZ730" s="3812"/>
      <c r="BA730" s="5146"/>
      <c r="BB730" s="5146"/>
      <c r="BC730" s="3812"/>
      <c r="BD730" s="5160">
        <v>7453.23</v>
      </c>
      <c r="BE730" s="5146"/>
      <c r="BF730" s="5146"/>
      <c r="BG730" s="5146"/>
      <c r="BH730" s="5948"/>
      <c r="BI730" s="5146"/>
      <c r="BJ730" s="5146"/>
      <c r="BK730" s="5146"/>
      <c r="BL730" s="5146"/>
      <c r="BM730" s="5296"/>
      <c r="BN730" s="5284">
        <v>753.26</v>
      </c>
      <c r="BO730" s="5273"/>
      <c r="BP730" s="5146"/>
      <c r="BQ730" s="5146"/>
      <c r="BR730" s="5160"/>
      <c r="BS730" s="5146"/>
      <c r="BT730" s="5146"/>
      <c r="BU730" s="5146"/>
      <c r="BV730" s="5958"/>
      <c r="BW730" s="5146"/>
      <c r="BX730" s="5146"/>
      <c r="BY730" s="5146"/>
      <c r="BZ730" s="5146"/>
      <c r="CA730" s="5296"/>
      <c r="CB730" s="5962"/>
      <c r="CC730" s="5309"/>
      <c r="CD730" s="5059"/>
      <c r="CE730" s="5154"/>
      <c r="CF730" s="5154"/>
      <c r="CG730" s="5154"/>
      <c r="CH730" s="5154"/>
    </row>
    <row r="731" s="4980" customFormat="1" ht="30" customHeight="1" spans="1:86">
      <c r="A731" s="3812"/>
      <c r="B731" s="857"/>
      <c r="C731" s="857"/>
      <c r="D731" s="5059"/>
      <c r="E731" s="5059"/>
      <c r="F731" s="5059"/>
      <c r="G731" s="1032"/>
      <c r="H731" s="5059"/>
      <c r="I731" s="5205"/>
      <c r="J731" s="5059"/>
      <c r="K731" s="1032"/>
      <c r="L731" s="5059"/>
      <c r="M731" s="3812"/>
      <c r="N731" s="3812"/>
      <c r="O731" s="3812"/>
      <c r="P731" s="3812"/>
      <c r="Q731" s="3812"/>
      <c r="R731" s="3812"/>
      <c r="S731" s="3812"/>
      <c r="T731" s="3812"/>
      <c r="U731" s="3812"/>
      <c r="V731" s="3812"/>
      <c r="W731" s="3812"/>
      <c r="X731" s="3812"/>
      <c r="Y731" s="3812"/>
      <c r="Z731" s="3812"/>
      <c r="AA731" s="3812"/>
      <c r="AB731" s="3812"/>
      <c r="AC731" s="5059"/>
      <c r="AD731" s="5241" t="s">
        <v>1633</v>
      </c>
      <c r="AE731" s="1032">
        <v>0.2</v>
      </c>
      <c r="AF731" s="857">
        <v>150652.98</v>
      </c>
      <c r="AG731" s="5123">
        <f t="shared" si="148"/>
        <v>150652.98</v>
      </c>
      <c r="AH731" s="3406"/>
      <c r="AI731" s="3406"/>
      <c r="AJ731" s="857"/>
      <c r="AK731" s="3812"/>
      <c r="AL731" s="3812"/>
      <c r="AM731" s="3812"/>
      <c r="AN731" s="3812">
        <f t="shared" si="149"/>
        <v>0</v>
      </c>
      <c r="AO731" s="5123"/>
      <c r="AP731" s="3812">
        <f t="shared" si="150"/>
        <v>150652.98</v>
      </c>
      <c r="AQ731" s="5146"/>
      <c r="AR731" s="3812"/>
      <c r="AS731" s="5241"/>
      <c r="AT731" s="5146"/>
      <c r="AU731" s="3812"/>
      <c r="AV731" s="3812"/>
      <c r="AW731" s="3812"/>
      <c r="AX731" s="3812"/>
      <c r="AY731" s="3812"/>
      <c r="AZ731" s="3812"/>
      <c r="BA731" s="5146"/>
      <c r="BB731" s="5146"/>
      <c r="BC731" s="3812"/>
      <c r="BD731" s="5160">
        <v>149146.45</v>
      </c>
      <c r="BE731" s="5146"/>
      <c r="BF731" s="5146"/>
      <c r="BG731" s="5146"/>
      <c r="BH731" s="5948"/>
      <c r="BI731" s="5146"/>
      <c r="BJ731" s="5146"/>
      <c r="BK731" s="5146"/>
      <c r="BL731" s="5146"/>
      <c r="BM731" s="5296"/>
      <c r="BN731" s="5284">
        <v>1506.53</v>
      </c>
      <c r="BO731" s="5273"/>
      <c r="BP731" s="5146"/>
      <c r="BQ731" s="5146"/>
      <c r="BR731" s="5160"/>
      <c r="BS731" s="5146"/>
      <c r="BT731" s="5146"/>
      <c r="BU731" s="5146"/>
      <c r="BV731" s="5741"/>
      <c r="BW731" s="5146"/>
      <c r="BX731" s="5146"/>
      <c r="BY731" s="5146"/>
      <c r="BZ731" s="5146"/>
      <c r="CA731" s="5296"/>
      <c r="CB731" s="5962"/>
      <c r="CC731" s="5309"/>
      <c r="CD731" s="5059"/>
      <c r="CE731" s="5154"/>
      <c r="CF731" s="5154"/>
      <c r="CG731" s="5154"/>
      <c r="CH731" s="5154"/>
    </row>
    <row r="732" s="4980" customFormat="1" ht="46" spans="1:86">
      <c r="A732" s="3812"/>
      <c r="B732" s="857"/>
      <c r="C732" s="857"/>
      <c r="D732" s="5059"/>
      <c r="E732" s="5059"/>
      <c r="F732" s="5059"/>
      <c r="G732" s="1032"/>
      <c r="H732" s="5059"/>
      <c r="I732" s="5205"/>
      <c r="J732" s="5059"/>
      <c r="K732" s="1032"/>
      <c r="L732" s="5059"/>
      <c r="M732" s="3812"/>
      <c r="N732" s="3812"/>
      <c r="O732" s="3812"/>
      <c r="P732" s="3812"/>
      <c r="Q732" s="3812"/>
      <c r="R732" s="3812"/>
      <c r="S732" s="3812"/>
      <c r="T732" s="3812"/>
      <c r="U732" s="3812"/>
      <c r="V732" s="3812"/>
      <c r="W732" s="3812"/>
      <c r="X732" s="3812"/>
      <c r="Y732" s="3812"/>
      <c r="Z732" s="3812"/>
      <c r="AA732" s="3812"/>
      <c r="AB732" s="3812"/>
      <c r="AC732" s="5059"/>
      <c r="AD732" s="5241" t="s">
        <v>1635</v>
      </c>
      <c r="AE732" s="5878">
        <v>0.2</v>
      </c>
      <c r="AF732" s="857">
        <v>150652.98</v>
      </c>
      <c r="AG732" s="5123">
        <f t="shared" si="148"/>
        <v>150652.98</v>
      </c>
      <c r="AH732" s="3406"/>
      <c r="AI732" s="3812"/>
      <c r="AJ732" s="3812"/>
      <c r="AK732" s="3812"/>
      <c r="AL732" s="3812"/>
      <c r="AM732" s="3812"/>
      <c r="AN732" s="3812">
        <f t="shared" si="149"/>
        <v>0</v>
      </c>
      <c r="AO732" s="3812"/>
      <c r="AP732" s="3812">
        <f t="shared" si="150"/>
        <v>150652.98</v>
      </c>
      <c r="AQ732" s="5146"/>
      <c r="AR732" s="3812"/>
      <c r="AS732" s="5241"/>
      <c r="AT732" s="5146"/>
      <c r="AU732" s="3812"/>
      <c r="AV732" s="3812"/>
      <c r="AW732" s="3812"/>
      <c r="AX732" s="3812"/>
      <c r="AY732" s="3812"/>
      <c r="AZ732" s="3812"/>
      <c r="BA732" s="5146"/>
      <c r="BB732" s="5146"/>
      <c r="BC732" s="3812"/>
      <c r="BD732" s="5160">
        <v>149146.45</v>
      </c>
      <c r="BE732" s="5146"/>
      <c r="BF732" s="5146"/>
      <c r="BG732" s="5146"/>
      <c r="BH732" s="5948"/>
      <c r="BI732" s="5146"/>
      <c r="BJ732" s="5146"/>
      <c r="BK732" s="5146"/>
      <c r="BL732" s="5146"/>
      <c r="BM732" s="5296"/>
      <c r="BN732" s="5284">
        <v>1506.53</v>
      </c>
      <c r="BO732" s="5273"/>
      <c r="BP732" s="5146"/>
      <c r="BQ732" s="5146"/>
      <c r="BR732" s="5160"/>
      <c r="BS732" s="5146"/>
      <c r="BT732" s="5146"/>
      <c r="BU732" s="5146"/>
      <c r="BV732" s="5741"/>
      <c r="BW732" s="5146"/>
      <c r="BX732" s="5146"/>
      <c r="BY732" s="5146"/>
      <c r="BZ732" s="5146"/>
      <c r="CA732" s="5296"/>
      <c r="CB732" s="5962"/>
      <c r="CC732" s="5309"/>
      <c r="CD732" s="5059"/>
      <c r="CE732" s="5154"/>
      <c r="CF732" s="5154"/>
      <c r="CG732" s="5154"/>
      <c r="CH732" s="5154"/>
    </row>
    <row r="733" s="4980" customFormat="1" ht="46" spans="1:86">
      <c r="A733" s="3812"/>
      <c r="B733" s="857"/>
      <c r="C733" s="857"/>
      <c r="D733" s="5059"/>
      <c r="E733" s="5059"/>
      <c r="F733" s="5059"/>
      <c r="G733" s="1032"/>
      <c r="H733" s="5059"/>
      <c r="I733" s="5205"/>
      <c r="J733" s="5059"/>
      <c r="K733" s="1032"/>
      <c r="L733" s="5059"/>
      <c r="M733" s="3812"/>
      <c r="N733" s="3812"/>
      <c r="O733" s="3812"/>
      <c r="P733" s="3812"/>
      <c r="Q733" s="3812"/>
      <c r="R733" s="3812"/>
      <c r="S733" s="3812"/>
      <c r="T733" s="3812"/>
      <c r="U733" s="3812"/>
      <c r="V733" s="3812"/>
      <c r="W733" s="3812"/>
      <c r="X733" s="3812"/>
      <c r="Y733" s="3812"/>
      <c r="Z733" s="3812"/>
      <c r="AA733" s="3812"/>
      <c r="AB733" s="3812"/>
      <c r="AC733" s="5059"/>
      <c r="AD733" s="5241" t="s">
        <v>1637</v>
      </c>
      <c r="AE733" s="5878">
        <v>0.35</v>
      </c>
      <c r="AF733" s="857">
        <v>263642.72</v>
      </c>
      <c r="AG733" s="5123">
        <f t="shared" si="148"/>
        <v>263642.72</v>
      </c>
      <c r="AH733" s="3406"/>
      <c r="AI733" s="3812"/>
      <c r="AJ733" s="3812"/>
      <c r="AK733" s="3812"/>
      <c r="AL733" s="3812"/>
      <c r="AM733" s="3812"/>
      <c r="AN733" s="3812">
        <f t="shared" si="149"/>
        <v>0</v>
      </c>
      <c r="AO733" s="3812"/>
      <c r="AP733" s="3812">
        <f t="shared" si="150"/>
        <v>263642.72</v>
      </c>
      <c r="AQ733" s="5146"/>
      <c r="AR733" s="3812"/>
      <c r="AS733" s="5241"/>
      <c r="AT733" s="5146"/>
      <c r="AU733" s="3812"/>
      <c r="AV733" s="3812"/>
      <c r="AW733" s="3812"/>
      <c r="AX733" s="3812"/>
      <c r="AY733" s="3812"/>
      <c r="AZ733" s="3812"/>
      <c r="BA733" s="5146"/>
      <c r="BB733" s="5146"/>
      <c r="BC733" s="3812"/>
      <c r="BD733" s="5160">
        <v>261006.29</v>
      </c>
      <c r="BE733" s="5146"/>
      <c r="BF733" s="5146"/>
      <c r="BG733" s="5146"/>
      <c r="BH733" s="5948"/>
      <c r="BI733" s="5146"/>
      <c r="BJ733" s="5146"/>
      <c r="BK733" s="5146"/>
      <c r="BL733" s="5146"/>
      <c r="BM733" s="5296"/>
      <c r="BN733" s="5284">
        <v>2636.43</v>
      </c>
      <c r="BO733" s="5273"/>
      <c r="BP733" s="5146"/>
      <c r="BQ733" s="5146"/>
      <c r="BR733" s="5160"/>
      <c r="BS733" s="5146"/>
      <c r="BT733" s="5146"/>
      <c r="BU733" s="5146"/>
      <c r="BV733" s="5741"/>
      <c r="BW733" s="5146"/>
      <c r="BX733" s="5146"/>
      <c r="BY733" s="5146"/>
      <c r="BZ733" s="5146"/>
      <c r="CA733" s="5296"/>
      <c r="CB733" s="5962"/>
      <c r="CC733" s="5309"/>
      <c r="CD733" s="5059"/>
      <c r="CE733" s="5154"/>
      <c r="CF733" s="5154"/>
      <c r="CG733" s="5154"/>
      <c r="CH733" s="5154"/>
    </row>
    <row r="734" s="4980" customFormat="1" ht="46" spans="1:86">
      <c r="A734" s="3812"/>
      <c r="B734" s="857"/>
      <c r="C734" s="857"/>
      <c r="D734" s="5059"/>
      <c r="E734" s="5059"/>
      <c r="F734" s="5059"/>
      <c r="G734" s="1032"/>
      <c r="H734" s="5059"/>
      <c r="I734" s="5205"/>
      <c r="J734" s="5059"/>
      <c r="K734" s="1032"/>
      <c r="L734" s="5059"/>
      <c r="M734" s="3812"/>
      <c r="N734" s="3812"/>
      <c r="O734" s="3812"/>
      <c r="P734" s="3812"/>
      <c r="Q734" s="3812"/>
      <c r="R734" s="3812"/>
      <c r="S734" s="3812"/>
      <c r="T734" s="3812"/>
      <c r="U734" s="3812"/>
      <c r="V734" s="3812"/>
      <c r="W734" s="3812"/>
      <c r="X734" s="3812"/>
      <c r="Y734" s="3812"/>
      <c r="Z734" s="3812"/>
      <c r="AA734" s="3812"/>
      <c r="AB734" s="3812"/>
      <c r="AC734" s="5059"/>
      <c r="AD734" s="5241" t="s">
        <v>1639</v>
      </c>
      <c r="AE734" s="5878">
        <v>0.1</v>
      </c>
      <c r="AF734" s="857">
        <v>75326.49</v>
      </c>
      <c r="AG734" s="5123">
        <f t="shared" si="148"/>
        <v>75326.49</v>
      </c>
      <c r="AH734" s="3406"/>
      <c r="AI734" s="3812"/>
      <c r="AJ734" s="3812"/>
      <c r="AK734" s="3812"/>
      <c r="AL734" s="3812"/>
      <c r="AM734" s="3812"/>
      <c r="AN734" s="3812">
        <f t="shared" si="149"/>
        <v>0</v>
      </c>
      <c r="AO734" s="3812"/>
      <c r="AP734" s="3812">
        <f t="shared" si="150"/>
        <v>75326.49</v>
      </c>
      <c r="AQ734" s="5146"/>
      <c r="AR734" s="3812"/>
      <c r="AS734" s="5241"/>
      <c r="AT734" s="5146"/>
      <c r="AU734" s="3812"/>
      <c r="AV734" s="3812"/>
      <c r="AW734" s="3812"/>
      <c r="AX734" s="3812"/>
      <c r="AY734" s="3812"/>
      <c r="AZ734" s="3812"/>
      <c r="BA734" s="5146"/>
      <c r="BB734" s="5146"/>
      <c r="BC734" s="3812"/>
      <c r="BD734" s="5160">
        <v>74573.23</v>
      </c>
      <c r="BE734" s="5146"/>
      <c r="BF734" s="5146"/>
      <c r="BG734" s="5146"/>
      <c r="BH734" s="5948"/>
      <c r="BI734" s="5146"/>
      <c r="BJ734" s="5146"/>
      <c r="BK734" s="5146"/>
      <c r="BL734" s="5146"/>
      <c r="BM734" s="5296"/>
      <c r="BN734" s="5284">
        <v>753.26</v>
      </c>
      <c r="BO734" s="5273"/>
      <c r="BP734" s="5146"/>
      <c r="BQ734" s="5146"/>
      <c r="BR734" s="5160"/>
      <c r="BS734" s="5146"/>
      <c r="BT734" s="5146"/>
      <c r="BU734" s="5146"/>
      <c r="BV734" s="5741"/>
      <c r="BW734" s="5146"/>
      <c r="BX734" s="5146"/>
      <c r="BY734" s="5146"/>
      <c r="BZ734" s="5146"/>
      <c r="CA734" s="5296"/>
      <c r="CB734" s="5962"/>
      <c r="CC734" s="5309"/>
      <c r="CD734" s="5059"/>
      <c r="CE734" s="5154"/>
      <c r="CF734" s="5154"/>
      <c r="CG734" s="5154"/>
      <c r="CH734" s="5154"/>
    </row>
    <row r="735" s="4980" customFormat="1" ht="30" customHeight="1" spans="1:86">
      <c r="A735" s="3812"/>
      <c r="B735" s="857"/>
      <c r="C735" s="857"/>
      <c r="D735" s="5059"/>
      <c r="E735" s="5059"/>
      <c r="F735" s="5059"/>
      <c r="G735" s="1032"/>
      <c r="H735" s="5059"/>
      <c r="I735" s="5205"/>
      <c r="J735" s="5059"/>
      <c r="K735" s="1032"/>
      <c r="L735" s="5059"/>
      <c r="M735" s="3812"/>
      <c r="N735" s="3812"/>
      <c r="O735" s="3812"/>
      <c r="P735" s="3812"/>
      <c r="Q735" s="3812"/>
      <c r="R735" s="3812"/>
      <c r="S735" s="3812"/>
      <c r="T735" s="3812"/>
      <c r="U735" s="3812"/>
      <c r="V735" s="3812"/>
      <c r="W735" s="3812"/>
      <c r="X735" s="3812"/>
      <c r="Y735" s="3812"/>
      <c r="Z735" s="3812"/>
      <c r="AA735" s="3812"/>
      <c r="AB735" s="3812"/>
      <c r="AC735" s="5059"/>
      <c r="AD735" s="5241" t="s">
        <v>1640</v>
      </c>
      <c r="AE735" s="5878">
        <v>0.05</v>
      </c>
      <c r="AF735" s="857">
        <v>37663.25</v>
      </c>
      <c r="AG735" s="5123">
        <f t="shared" si="148"/>
        <v>0</v>
      </c>
      <c r="AH735" s="3812"/>
      <c r="AI735" s="3812"/>
      <c r="AJ735" s="3812"/>
      <c r="AK735" s="3812"/>
      <c r="AL735" s="3812"/>
      <c r="AM735" s="3812"/>
      <c r="AN735" s="3812">
        <f t="shared" si="149"/>
        <v>0</v>
      </c>
      <c r="AO735" s="5146"/>
      <c r="AP735" s="3812">
        <f t="shared" si="150"/>
        <v>0</v>
      </c>
      <c r="AQ735" s="5146"/>
      <c r="AR735" s="3812"/>
      <c r="AS735" s="5833"/>
      <c r="AT735" s="5146"/>
      <c r="AU735" s="3812"/>
      <c r="AV735" s="3812"/>
      <c r="AW735" s="3812"/>
      <c r="AX735" s="3812"/>
      <c r="AY735" s="3812"/>
      <c r="AZ735" s="3812"/>
      <c r="BA735" s="5146"/>
      <c r="BB735" s="5146"/>
      <c r="BC735" s="3812"/>
      <c r="BD735" s="5146"/>
      <c r="BE735" s="5146"/>
      <c r="BF735" s="5146"/>
      <c r="BG735" s="5146"/>
      <c r="BH735" s="5948"/>
      <c r="BI735" s="5146"/>
      <c r="BJ735" s="5146"/>
      <c r="BK735" s="5146"/>
      <c r="BL735" s="5146"/>
      <c r="BM735" s="5296"/>
      <c r="BN735" s="5263"/>
      <c r="BO735" s="5273"/>
      <c r="BP735" s="5146"/>
      <c r="BQ735" s="5146"/>
      <c r="BR735" s="5146"/>
      <c r="BS735" s="5146"/>
      <c r="BT735" s="5146"/>
      <c r="BU735" s="5146"/>
      <c r="BV735" s="5146"/>
      <c r="BW735" s="5146"/>
      <c r="BX735" s="5146"/>
      <c r="BY735" s="5146"/>
      <c r="BZ735" s="5146"/>
      <c r="CA735" s="5296"/>
      <c r="CB735" s="5915"/>
      <c r="CC735" s="5309"/>
      <c r="CD735" s="5059"/>
      <c r="CE735" s="5154"/>
      <c r="CF735" s="5154"/>
      <c r="CG735" s="5154"/>
      <c r="CH735" s="5154"/>
    </row>
    <row r="736" s="4980" customFormat="1" ht="36" customHeight="1" spans="1:86">
      <c r="A736" s="3812"/>
      <c r="B736" s="857"/>
      <c r="C736" s="857"/>
      <c r="D736" s="5059"/>
      <c r="E736" s="5059"/>
      <c r="F736" s="5059"/>
      <c r="G736" s="1032"/>
      <c r="H736" s="5059"/>
      <c r="I736" s="5205"/>
      <c r="J736" s="5059"/>
      <c r="K736" s="1032"/>
      <c r="L736" s="5059"/>
      <c r="M736" s="3812"/>
      <c r="N736" s="3812"/>
      <c r="O736" s="3812"/>
      <c r="P736" s="3812"/>
      <c r="Q736" s="3812"/>
      <c r="R736" s="3812"/>
      <c r="S736" s="3812"/>
      <c r="T736" s="3812"/>
      <c r="U736" s="3812"/>
      <c r="V736" s="3812"/>
      <c r="W736" s="3812"/>
      <c r="X736" s="3812"/>
      <c r="Y736" s="3812"/>
      <c r="Z736" s="3812"/>
      <c r="AA736" s="3812"/>
      <c r="AB736" s="3812"/>
      <c r="AC736" s="5059" t="s">
        <v>1644</v>
      </c>
      <c r="AD736" s="5073" t="s">
        <v>1645</v>
      </c>
      <c r="AE736" s="5921">
        <v>0.1</v>
      </c>
      <c r="AF736" s="3366">
        <v>45000</v>
      </c>
      <c r="AG736" s="4840">
        <f t="shared" si="148"/>
        <v>45000</v>
      </c>
      <c r="AH736" s="3366" t="s">
        <v>122</v>
      </c>
      <c r="AI736" s="4840">
        <v>44555</v>
      </c>
      <c r="AJ736" s="3366">
        <v>45000</v>
      </c>
      <c r="AK736" s="4840">
        <v>44555</v>
      </c>
      <c r="AL736" s="3366">
        <v>45000</v>
      </c>
      <c r="AM736" s="4840">
        <v>44575</v>
      </c>
      <c r="AN736" s="3812">
        <f t="shared" si="149"/>
        <v>3600</v>
      </c>
      <c r="AO736" s="857">
        <v>44924</v>
      </c>
      <c r="AP736" s="3812">
        <f t="shared" si="150"/>
        <v>41400</v>
      </c>
      <c r="AQ736" s="5943"/>
      <c r="AR736" s="3812"/>
      <c r="AS736" s="5241"/>
      <c r="AT736" s="5146"/>
      <c r="AU736" s="3812"/>
      <c r="AV736" s="3812"/>
      <c r="AW736" s="3812"/>
      <c r="AX736" s="3812"/>
      <c r="AY736" s="3812"/>
      <c r="AZ736" s="3812"/>
      <c r="BA736" s="5146"/>
      <c r="BB736" s="5146"/>
      <c r="BC736" s="3812"/>
      <c r="BD736" s="3812">
        <f>2250+1350</f>
        <v>3600</v>
      </c>
      <c r="BE736" s="3812"/>
      <c r="BF736" s="3812">
        <v>35190</v>
      </c>
      <c r="BG736" s="3812"/>
      <c r="BH736" s="5152"/>
      <c r="BI736" s="3812"/>
      <c r="BJ736" s="3812">
        <v>6210</v>
      </c>
      <c r="BK736" s="3812"/>
      <c r="BL736" s="3812"/>
      <c r="BM736" s="5263"/>
      <c r="BN736" s="5263"/>
      <c r="BO736" s="5273"/>
      <c r="BP736" s="5146"/>
      <c r="BQ736" s="5146"/>
      <c r="BR736" s="3812">
        <f>2250+1350</f>
        <v>3600</v>
      </c>
      <c r="BS736" s="3812"/>
      <c r="BT736" s="3812"/>
      <c r="BU736" s="3812"/>
      <c r="BV736" s="3812"/>
      <c r="BW736" s="3812"/>
      <c r="BX736" s="3812"/>
      <c r="BY736" s="5146"/>
      <c r="BZ736" s="5146"/>
      <c r="CA736" s="5296"/>
      <c r="CB736" s="5279"/>
      <c r="CC736" s="5309"/>
      <c r="CD736" s="5059"/>
      <c r="CE736" s="5154"/>
      <c r="CF736" s="5154"/>
      <c r="CG736" s="5154"/>
      <c r="CH736" s="5154"/>
    </row>
    <row r="737" s="4980" customFormat="1" ht="36" customHeight="1" spans="1:86">
      <c r="A737" s="3812"/>
      <c r="B737" s="857"/>
      <c r="C737" s="857"/>
      <c r="D737" s="5059"/>
      <c r="E737" s="5059"/>
      <c r="F737" s="5059"/>
      <c r="G737" s="1032"/>
      <c r="H737" s="5059"/>
      <c r="I737" s="5205"/>
      <c r="J737" s="5059"/>
      <c r="K737" s="1032"/>
      <c r="L737" s="5059"/>
      <c r="M737" s="3812"/>
      <c r="N737" s="3812"/>
      <c r="O737" s="3812"/>
      <c r="P737" s="3812"/>
      <c r="Q737" s="3812"/>
      <c r="R737" s="3812"/>
      <c r="S737" s="3812"/>
      <c r="T737" s="3812"/>
      <c r="U737" s="3812"/>
      <c r="V737" s="3812"/>
      <c r="W737" s="3812"/>
      <c r="X737" s="3812"/>
      <c r="Y737" s="3812"/>
      <c r="Z737" s="3812"/>
      <c r="AA737" s="3812"/>
      <c r="AB737" s="3812"/>
      <c r="AC737" s="5059"/>
      <c r="AD737" s="5206"/>
      <c r="AE737" s="5922"/>
      <c r="AF737" s="3409"/>
      <c r="AG737" s="4842"/>
      <c r="AH737" s="3409"/>
      <c r="AI737" s="4842"/>
      <c r="AJ737" s="3409"/>
      <c r="AK737" s="4842"/>
      <c r="AL737" s="3409"/>
      <c r="AM737" s="4842"/>
      <c r="AN737" s="3812">
        <f t="shared" si="149"/>
        <v>41400</v>
      </c>
      <c r="AO737" s="3812">
        <v>45167</v>
      </c>
      <c r="AP737" s="3812">
        <f t="shared" si="150"/>
        <v>-41400</v>
      </c>
      <c r="AQ737" s="5146"/>
      <c r="AR737" s="3812"/>
      <c r="AS737" s="5241"/>
      <c r="AT737" s="5146"/>
      <c r="AU737" s="3812"/>
      <c r="AV737" s="3812"/>
      <c r="AW737" s="3812"/>
      <c r="AX737" s="3812"/>
      <c r="AY737" s="3812"/>
      <c r="AZ737" s="3812"/>
      <c r="BA737" s="5146"/>
      <c r="BB737" s="5146"/>
      <c r="BC737" s="3812"/>
      <c r="BD737" s="3812"/>
      <c r="BE737" s="3812"/>
      <c r="BF737" s="3812"/>
      <c r="BG737" s="3812"/>
      <c r="BH737" s="5152"/>
      <c r="BI737" s="3812"/>
      <c r="BJ737" s="3812"/>
      <c r="BK737" s="3812"/>
      <c r="BL737" s="3812"/>
      <c r="BM737" s="5263"/>
      <c r="BN737" s="5263"/>
      <c r="BO737" s="5273"/>
      <c r="BP737" s="5146"/>
      <c r="BQ737" s="5146"/>
      <c r="BR737" s="3812"/>
      <c r="BS737" s="3812"/>
      <c r="BT737" s="3812">
        <v>35190</v>
      </c>
      <c r="BU737" s="3812"/>
      <c r="BV737" s="3812"/>
      <c r="BW737" s="3812"/>
      <c r="BX737" s="3812">
        <v>6210</v>
      </c>
      <c r="BY737" s="5146"/>
      <c r="BZ737" s="5146"/>
      <c r="CA737" s="5296"/>
      <c r="CB737" s="5915"/>
      <c r="CC737" s="5309"/>
      <c r="CD737" s="5059"/>
      <c r="CE737" s="5154"/>
      <c r="CF737" s="5154"/>
      <c r="CG737" s="5154"/>
      <c r="CH737" s="5154"/>
    </row>
    <row r="738" s="4980" customFormat="1" ht="36" customHeight="1" spans="1:86">
      <c r="A738" s="3812"/>
      <c r="B738" s="857"/>
      <c r="C738" s="857"/>
      <c r="D738" s="5059"/>
      <c r="E738" s="5059"/>
      <c r="F738" s="5059"/>
      <c r="G738" s="1032"/>
      <c r="H738" s="5059"/>
      <c r="I738" s="5205"/>
      <c r="J738" s="5059"/>
      <c r="K738" s="1032"/>
      <c r="L738" s="5059"/>
      <c r="M738" s="3812"/>
      <c r="N738" s="3812"/>
      <c r="O738" s="3812"/>
      <c r="P738" s="3812"/>
      <c r="Q738" s="3812"/>
      <c r="R738" s="3812"/>
      <c r="S738" s="3812"/>
      <c r="T738" s="3812"/>
      <c r="U738" s="3812"/>
      <c r="V738" s="3812"/>
      <c r="W738" s="3812"/>
      <c r="X738" s="3812"/>
      <c r="Y738" s="3812"/>
      <c r="Z738" s="3812"/>
      <c r="AA738" s="3812"/>
      <c r="AB738" s="3812"/>
      <c r="AC738" s="5059"/>
      <c r="AD738" s="5073" t="s">
        <v>1646</v>
      </c>
      <c r="AE738" s="5073">
        <v>0.2</v>
      </c>
      <c r="AF738" s="3366">
        <v>90000</v>
      </c>
      <c r="AG738" s="4840">
        <f>SUM(BA738:BN738)</f>
        <v>90000</v>
      </c>
      <c r="AH738" s="3366" t="s">
        <v>122</v>
      </c>
      <c r="AI738" s="4840">
        <v>44555</v>
      </c>
      <c r="AJ738" s="3366">
        <v>90000</v>
      </c>
      <c r="AK738" s="4840">
        <v>44555</v>
      </c>
      <c r="AL738" s="3366">
        <v>90000</v>
      </c>
      <c r="AM738" s="4840">
        <v>44575</v>
      </c>
      <c r="AN738" s="3812">
        <f t="shared" si="149"/>
        <v>7200</v>
      </c>
      <c r="AO738" s="857">
        <v>44924</v>
      </c>
      <c r="AP738" s="3812">
        <f t="shared" si="150"/>
        <v>82800</v>
      </c>
      <c r="AQ738" s="5146"/>
      <c r="AR738" s="3812"/>
      <c r="AS738" s="5241"/>
      <c r="AT738" s="5146"/>
      <c r="AU738" s="3812"/>
      <c r="AV738" s="3812"/>
      <c r="AW738" s="3812"/>
      <c r="AX738" s="3812"/>
      <c r="AY738" s="3812"/>
      <c r="AZ738" s="3812"/>
      <c r="BA738" s="5146"/>
      <c r="BB738" s="5146"/>
      <c r="BC738" s="3812"/>
      <c r="BD738" s="3812">
        <f>4500+2700</f>
        <v>7200</v>
      </c>
      <c r="BE738" s="3812"/>
      <c r="BF738" s="3812">
        <v>70380</v>
      </c>
      <c r="BG738" s="3812"/>
      <c r="BH738" s="5152"/>
      <c r="BI738" s="3812"/>
      <c r="BJ738" s="3812">
        <v>12420</v>
      </c>
      <c r="BK738" s="3812"/>
      <c r="BL738" s="3812"/>
      <c r="BM738" s="5263"/>
      <c r="BN738" s="5263"/>
      <c r="BO738" s="5273"/>
      <c r="BP738" s="5146"/>
      <c r="BQ738" s="5146"/>
      <c r="BR738" s="3812">
        <f>4500+2700</f>
        <v>7200</v>
      </c>
      <c r="BS738" s="3812"/>
      <c r="BT738" s="3812"/>
      <c r="BU738" s="3812"/>
      <c r="BV738" s="3812"/>
      <c r="BW738" s="3812"/>
      <c r="BX738" s="3812"/>
      <c r="BY738" s="5146"/>
      <c r="BZ738" s="5146"/>
      <c r="CA738" s="5296"/>
      <c r="CB738" s="5915"/>
      <c r="CC738" s="5309"/>
      <c r="CD738" s="5059"/>
      <c r="CE738" s="5154"/>
      <c r="CF738" s="5154"/>
      <c r="CG738" s="5154"/>
      <c r="CH738" s="5154"/>
    </row>
    <row r="739" s="4980" customFormat="1" ht="36" customHeight="1" spans="1:86">
      <c r="A739" s="3812"/>
      <c r="B739" s="857"/>
      <c r="C739" s="857"/>
      <c r="D739" s="5059"/>
      <c r="E739" s="5059"/>
      <c r="F739" s="5059"/>
      <c r="G739" s="1032"/>
      <c r="H739" s="5059"/>
      <c r="I739" s="5205"/>
      <c r="J739" s="5059"/>
      <c r="K739" s="1032"/>
      <c r="L739" s="5059"/>
      <c r="M739" s="3812"/>
      <c r="N739" s="3812"/>
      <c r="O739" s="3812"/>
      <c r="P739" s="3812"/>
      <c r="Q739" s="3812"/>
      <c r="R739" s="3812"/>
      <c r="S739" s="3812"/>
      <c r="T739" s="3812"/>
      <c r="U739" s="3812"/>
      <c r="V739" s="3812"/>
      <c r="W739" s="3812"/>
      <c r="X739" s="3812"/>
      <c r="Y739" s="3812"/>
      <c r="Z739" s="3812"/>
      <c r="AA739" s="3812"/>
      <c r="AB739" s="3812"/>
      <c r="AC739" s="5059"/>
      <c r="AD739" s="5206"/>
      <c r="AE739" s="5206"/>
      <c r="AF739" s="3409"/>
      <c r="AG739" s="4842"/>
      <c r="AH739" s="3409"/>
      <c r="AI739" s="4842"/>
      <c r="AJ739" s="3409"/>
      <c r="AK739" s="4842"/>
      <c r="AL739" s="3409"/>
      <c r="AM739" s="4842"/>
      <c r="AN739" s="3812">
        <f t="shared" si="149"/>
        <v>82800</v>
      </c>
      <c r="AO739" s="3812">
        <v>45167</v>
      </c>
      <c r="AP739" s="3812">
        <f t="shared" si="150"/>
        <v>-82800</v>
      </c>
      <c r="AQ739" s="5146"/>
      <c r="AR739" s="3812"/>
      <c r="AS739" s="5241"/>
      <c r="AT739" s="5146"/>
      <c r="AU739" s="3812"/>
      <c r="AV739" s="3812"/>
      <c r="AW739" s="3812"/>
      <c r="AX739" s="3812"/>
      <c r="AY739" s="3812"/>
      <c r="AZ739" s="3812"/>
      <c r="BA739" s="5146"/>
      <c r="BB739" s="5146"/>
      <c r="BC739" s="3812"/>
      <c r="BD739" s="3812"/>
      <c r="BE739" s="3812"/>
      <c r="BF739" s="3812"/>
      <c r="BG739" s="3812"/>
      <c r="BH739" s="5152"/>
      <c r="BI739" s="3812"/>
      <c r="BJ739" s="3812"/>
      <c r="BK739" s="3812"/>
      <c r="BL739" s="3812"/>
      <c r="BM739" s="5263"/>
      <c r="BN739" s="5263"/>
      <c r="BO739" s="5273"/>
      <c r="BP739" s="5146"/>
      <c r="BQ739" s="5146"/>
      <c r="BR739" s="3812"/>
      <c r="BS739" s="3812"/>
      <c r="BT739" s="3812">
        <v>70380</v>
      </c>
      <c r="BU739" s="3812"/>
      <c r="BV739" s="3812"/>
      <c r="BW739" s="3812"/>
      <c r="BX739" s="3812">
        <v>12420</v>
      </c>
      <c r="BY739" s="5146"/>
      <c r="BZ739" s="5146"/>
      <c r="CA739" s="5296"/>
      <c r="CB739" s="5915"/>
      <c r="CC739" s="5309"/>
      <c r="CD739" s="5059"/>
      <c r="CE739" s="5154"/>
      <c r="CF739" s="5154"/>
      <c r="CG739" s="5154"/>
      <c r="CH739" s="5154"/>
    </row>
    <row r="740" s="4980" customFormat="1" ht="36" customHeight="1" spans="1:86">
      <c r="A740" s="3812"/>
      <c r="B740" s="857"/>
      <c r="C740" s="857"/>
      <c r="D740" s="5059"/>
      <c r="E740" s="5059"/>
      <c r="F740" s="5059"/>
      <c r="G740" s="1032"/>
      <c r="H740" s="5059"/>
      <c r="I740" s="5205"/>
      <c r="J740" s="5059"/>
      <c r="K740" s="1032"/>
      <c r="L740" s="5059"/>
      <c r="M740" s="3812"/>
      <c r="N740" s="3812"/>
      <c r="O740" s="3812"/>
      <c r="P740" s="3812"/>
      <c r="Q740" s="3812"/>
      <c r="R740" s="3812"/>
      <c r="S740" s="3812"/>
      <c r="T740" s="3812"/>
      <c r="U740" s="3812"/>
      <c r="V740" s="3812"/>
      <c r="W740" s="3812"/>
      <c r="X740" s="3812"/>
      <c r="Y740" s="3812"/>
      <c r="Z740" s="3812"/>
      <c r="AA740" s="3812"/>
      <c r="AB740" s="3812"/>
      <c r="AC740" s="5059"/>
      <c r="AD740" s="5073" t="s">
        <v>1647</v>
      </c>
      <c r="AE740" s="5073">
        <v>0.3</v>
      </c>
      <c r="AF740" s="3366">
        <v>135000</v>
      </c>
      <c r="AG740" s="4840">
        <f>SUM(BA740:BN740)</f>
        <v>135000</v>
      </c>
      <c r="AH740" s="3366" t="s">
        <v>122</v>
      </c>
      <c r="AI740" s="4840">
        <v>44555</v>
      </c>
      <c r="AJ740" s="3366">
        <v>135000</v>
      </c>
      <c r="AK740" s="4840">
        <v>44555</v>
      </c>
      <c r="AL740" s="3366">
        <v>135000</v>
      </c>
      <c r="AM740" s="4840">
        <v>44575</v>
      </c>
      <c r="AN740" s="3812">
        <f t="shared" si="149"/>
        <v>10800</v>
      </c>
      <c r="AO740" s="857">
        <v>44924</v>
      </c>
      <c r="AP740" s="3812">
        <f t="shared" si="150"/>
        <v>124200</v>
      </c>
      <c r="AQ740" s="5146"/>
      <c r="AR740" s="3812"/>
      <c r="AS740" s="5241"/>
      <c r="AT740" s="5146"/>
      <c r="AU740" s="3812"/>
      <c r="AV740" s="3812"/>
      <c r="AW740" s="3812"/>
      <c r="AX740" s="3812"/>
      <c r="AY740" s="3812"/>
      <c r="AZ740" s="3812"/>
      <c r="BA740" s="5146"/>
      <c r="BB740" s="5146"/>
      <c r="BC740" s="3812"/>
      <c r="BD740" s="3812">
        <f>6750+4050</f>
        <v>10800</v>
      </c>
      <c r="BE740" s="3812"/>
      <c r="BF740" s="3812">
        <v>105570</v>
      </c>
      <c r="BG740" s="3812"/>
      <c r="BH740" s="5152"/>
      <c r="BI740" s="3812"/>
      <c r="BJ740" s="3812">
        <v>18630</v>
      </c>
      <c r="BK740" s="3812"/>
      <c r="BL740" s="3812"/>
      <c r="BM740" s="5263"/>
      <c r="BN740" s="5263"/>
      <c r="BO740" s="5273"/>
      <c r="BP740" s="5146"/>
      <c r="BQ740" s="5146"/>
      <c r="BR740" s="3812">
        <f>6750+4050</f>
        <v>10800</v>
      </c>
      <c r="BS740" s="3812"/>
      <c r="BT740" s="3812"/>
      <c r="BU740" s="3812"/>
      <c r="BV740" s="3812"/>
      <c r="BW740" s="3812"/>
      <c r="BX740" s="3812"/>
      <c r="BY740" s="5146"/>
      <c r="BZ740" s="5146"/>
      <c r="CA740" s="5296"/>
      <c r="CB740" s="5915"/>
      <c r="CC740" s="5309"/>
      <c r="CD740" s="5059"/>
      <c r="CE740" s="5154"/>
      <c r="CF740" s="5154"/>
      <c r="CG740" s="5154"/>
      <c r="CH740" s="5154"/>
    </row>
    <row r="741" s="4980" customFormat="1" ht="36" customHeight="1" spans="1:86">
      <c r="A741" s="3812"/>
      <c r="B741" s="857"/>
      <c r="C741" s="857"/>
      <c r="D741" s="5059"/>
      <c r="E741" s="5059"/>
      <c r="F741" s="1032"/>
      <c r="G741" s="1032"/>
      <c r="H741" s="5059"/>
      <c r="I741" s="5205"/>
      <c r="J741" s="5059"/>
      <c r="K741" s="1032"/>
      <c r="L741" s="5059"/>
      <c r="M741" s="3812"/>
      <c r="N741" s="3812"/>
      <c r="O741" s="3812"/>
      <c r="P741" s="3812"/>
      <c r="Q741" s="3812"/>
      <c r="R741" s="3812"/>
      <c r="S741" s="3812"/>
      <c r="T741" s="3812"/>
      <c r="U741" s="3812"/>
      <c r="V741" s="3812"/>
      <c r="W741" s="3812"/>
      <c r="X741" s="3812"/>
      <c r="Y741" s="3812"/>
      <c r="Z741" s="3812"/>
      <c r="AA741" s="3812"/>
      <c r="AB741" s="3812"/>
      <c r="AC741" s="5059"/>
      <c r="AD741" s="5206"/>
      <c r="AE741" s="5206"/>
      <c r="AF741" s="3409"/>
      <c r="AG741" s="4842"/>
      <c r="AH741" s="3409"/>
      <c r="AI741" s="4842"/>
      <c r="AJ741" s="3409"/>
      <c r="AK741" s="4842"/>
      <c r="AL741" s="3409"/>
      <c r="AM741" s="4842"/>
      <c r="AN741" s="3812">
        <f t="shared" si="149"/>
        <v>124200</v>
      </c>
      <c r="AO741" s="3812">
        <v>45167</v>
      </c>
      <c r="AP741" s="3812">
        <f t="shared" si="150"/>
        <v>-124200</v>
      </c>
      <c r="AQ741" s="5146"/>
      <c r="AR741" s="3812"/>
      <c r="AS741" s="5241"/>
      <c r="AT741" s="5146"/>
      <c r="AU741" s="3812"/>
      <c r="AV741" s="3812"/>
      <c r="AW741" s="3812"/>
      <c r="AX741" s="3812"/>
      <c r="AY741" s="3812"/>
      <c r="AZ741" s="3812"/>
      <c r="BA741" s="5146"/>
      <c r="BB741" s="5146"/>
      <c r="BC741" s="3812"/>
      <c r="BD741" s="3812"/>
      <c r="BE741" s="3812"/>
      <c r="BF741" s="3812"/>
      <c r="BG741" s="3812"/>
      <c r="BH741" s="5152"/>
      <c r="BI741" s="3812"/>
      <c r="BJ741" s="3812"/>
      <c r="BK741" s="3812"/>
      <c r="BL741" s="3812"/>
      <c r="BM741" s="5263"/>
      <c r="BN741" s="5263"/>
      <c r="BO741" s="5273"/>
      <c r="BP741" s="5146"/>
      <c r="BQ741" s="5146"/>
      <c r="BR741" s="3812"/>
      <c r="BS741" s="3812"/>
      <c r="BT741" s="3812">
        <v>105570</v>
      </c>
      <c r="BU741" s="3812"/>
      <c r="BV741" s="3812"/>
      <c r="BW741" s="3812"/>
      <c r="BX741" s="3812">
        <v>18630</v>
      </c>
      <c r="BY741" s="3812"/>
      <c r="BZ741" s="3812"/>
      <c r="CA741" s="5263"/>
      <c r="CB741" s="5282"/>
      <c r="CC741" s="5309"/>
      <c r="CD741" s="5059"/>
      <c r="CE741" s="5154"/>
      <c r="CF741" s="5154"/>
      <c r="CG741" s="5154"/>
      <c r="CH741" s="5154"/>
    </row>
    <row r="742" s="4980" customFormat="1" ht="36" customHeight="1" spans="1:86">
      <c r="A742" s="3812"/>
      <c r="B742" s="857"/>
      <c r="C742" s="857"/>
      <c r="D742" s="5059"/>
      <c r="E742" s="5059"/>
      <c r="F742" s="1032"/>
      <c r="G742" s="1032"/>
      <c r="H742" s="5059"/>
      <c r="I742" s="5205"/>
      <c r="J742" s="5059"/>
      <c r="K742" s="1032"/>
      <c r="L742" s="5059"/>
      <c r="M742" s="3812"/>
      <c r="N742" s="3812"/>
      <c r="O742" s="3812"/>
      <c r="P742" s="3812"/>
      <c r="Q742" s="3812"/>
      <c r="R742" s="3812"/>
      <c r="S742" s="3812"/>
      <c r="T742" s="3812"/>
      <c r="U742" s="3812"/>
      <c r="V742" s="3812"/>
      <c r="W742" s="3812"/>
      <c r="X742" s="3812"/>
      <c r="Y742" s="3812"/>
      <c r="Z742" s="3812"/>
      <c r="AA742" s="3812"/>
      <c r="AB742" s="3812"/>
      <c r="AC742" s="5059"/>
      <c r="AD742" s="5073" t="s">
        <v>1648</v>
      </c>
      <c r="AE742" s="5921">
        <v>0.35</v>
      </c>
      <c r="AF742" s="3366">
        <v>157500</v>
      </c>
      <c r="AG742" s="3812">
        <f>SUM(BA742:BN742)</f>
        <v>9629.17</v>
      </c>
      <c r="AH742" s="857" t="s">
        <v>122</v>
      </c>
      <c r="AI742" s="3812">
        <v>44555</v>
      </c>
      <c r="AJ742" s="857">
        <v>9629.17</v>
      </c>
      <c r="AK742" s="3812">
        <v>44555</v>
      </c>
      <c r="AL742" s="1015">
        <v>9629.17</v>
      </c>
      <c r="AM742" s="3812">
        <v>45945</v>
      </c>
      <c r="AN742" s="3812">
        <f t="shared" si="149"/>
        <v>9629.17</v>
      </c>
      <c r="AO742" s="3406">
        <v>46386</v>
      </c>
      <c r="AP742" s="3812">
        <f t="shared" si="150"/>
        <v>0</v>
      </c>
      <c r="AQ742" s="5146"/>
      <c r="AR742" s="3812"/>
      <c r="AS742" s="5241"/>
      <c r="AT742" s="5146"/>
      <c r="AU742" s="3812"/>
      <c r="AV742" s="3812"/>
      <c r="AW742" s="3812"/>
      <c r="AX742" s="3812"/>
      <c r="AY742" s="3812"/>
      <c r="AZ742" s="3812"/>
      <c r="BA742" s="5146"/>
      <c r="BB742" s="5146"/>
      <c r="BC742" s="3812"/>
      <c r="BD742" s="3812">
        <f>7875+1754.17</f>
        <v>9629.17</v>
      </c>
      <c r="BE742" s="3812"/>
      <c r="BF742" s="5123"/>
      <c r="BG742" s="3812"/>
      <c r="BH742" s="5152"/>
      <c r="BI742" s="3812"/>
      <c r="BJ742" s="5123"/>
      <c r="BK742" s="5123"/>
      <c r="BL742" s="5123"/>
      <c r="BM742" s="5284"/>
      <c r="BN742" s="5284"/>
      <c r="BO742" s="5146"/>
      <c r="BP742" s="5146"/>
      <c r="BQ742" s="3812"/>
      <c r="BR742" s="3812">
        <f>7875+1754.17</f>
        <v>9629.17</v>
      </c>
      <c r="BS742" s="3812"/>
      <c r="BT742" s="5123"/>
      <c r="BU742" s="3812"/>
      <c r="BV742" s="5152"/>
      <c r="BW742" s="3812"/>
      <c r="BX742" s="5123"/>
      <c r="BY742" s="3812"/>
      <c r="BZ742" s="3812"/>
      <c r="CA742" s="5263"/>
      <c r="CB742" s="5282"/>
      <c r="CC742" s="5309"/>
      <c r="CD742" s="5059"/>
      <c r="CE742" s="5154"/>
      <c r="CF742" s="5154"/>
      <c r="CG742" s="5154"/>
      <c r="CH742" s="5154"/>
    </row>
    <row r="743" s="4982" customFormat="1" ht="35" customHeight="1" spans="1:86">
      <c r="A743" s="3812"/>
      <c r="B743" s="857"/>
      <c r="C743" s="857"/>
      <c r="D743" s="5059"/>
      <c r="E743" s="5059"/>
      <c r="F743" s="5059"/>
      <c r="G743" s="1032"/>
      <c r="H743" s="5059"/>
      <c r="I743" s="5205"/>
      <c r="J743" s="5059"/>
      <c r="K743" s="1032"/>
      <c r="L743" s="5059"/>
      <c r="M743" s="3812"/>
      <c r="N743" s="3812"/>
      <c r="O743" s="3812"/>
      <c r="P743" s="3812"/>
      <c r="Q743" s="3812"/>
      <c r="R743" s="3812"/>
      <c r="S743" s="3812"/>
      <c r="T743" s="3812"/>
      <c r="U743" s="3812"/>
      <c r="V743" s="3812"/>
      <c r="W743" s="3812"/>
      <c r="X743" s="3812"/>
      <c r="Y743" s="3812"/>
      <c r="Z743" s="3812"/>
      <c r="AA743" s="3812"/>
      <c r="AB743" s="3812"/>
      <c r="AC743" s="5923"/>
      <c r="AD743" s="5206"/>
      <c r="AE743" s="5922"/>
      <c r="AF743" s="3409"/>
      <c r="AG743" s="3812">
        <f>SUM(BA743:BN743)</f>
        <v>147870.83</v>
      </c>
      <c r="AH743" s="857" t="s">
        <v>122</v>
      </c>
      <c r="AI743" s="3812">
        <v>45173</v>
      </c>
      <c r="AJ743" s="3812">
        <v>147870.83</v>
      </c>
      <c r="AK743" s="3812">
        <v>45173</v>
      </c>
      <c r="AL743" s="4813">
        <v>147870.83</v>
      </c>
      <c r="AM743" s="3812">
        <v>45945</v>
      </c>
      <c r="AN743" s="3812">
        <f t="shared" si="149"/>
        <v>147870.83</v>
      </c>
      <c r="AO743" s="5123">
        <v>46386</v>
      </c>
      <c r="AP743" s="3812">
        <f t="shared" si="150"/>
        <v>0</v>
      </c>
      <c r="AQ743" s="3812"/>
      <c r="AR743" s="3812"/>
      <c r="AS743" s="1032"/>
      <c r="AT743" s="3812"/>
      <c r="AU743" s="3812"/>
      <c r="AV743" s="3812"/>
      <c r="AW743" s="3812"/>
      <c r="AX743" s="3812"/>
      <c r="AY743" s="3812"/>
      <c r="AZ743" s="3812"/>
      <c r="BA743" s="5479"/>
      <c r="BB743" s="5479"/>
      <c r="BC743" s="5479"/>
      <c r="BD743" s="5479"/>
      <c r="BE743" s="5479"/>
      <c r="BF743" s="5479">
        <v>123165</v>
      </c>
      <c r="BG743" s="5479"/>
      <c r="BH743" s="4676"/>
      <c r="BI743" s="5479"/>
      <c r="BJ743" s="5479">
        <v>21735</v>
      </c>
      <c r="BK743" s="5479"/>
      <c r="BL743" s="5479"/>
      <c r="BM743" s="5953"/>
      <c r="BN743" s="5953">
        <v>2970.83</v>
      </c>
      <c r="BO743" s="5479"/>
      <c r="BP743" s="5479"/>
      <c r="BQ743" s="5479"/>
      <c r="BR743" s="5479"/>
      <c r="BS743" s="5479"/>
      <c r="BT743" s="5479">
        <v>123165</v>
      </c>
      <c r="BU743" s="5479"/>
      <c r="BV743" s="4676"/>
      <c r="BW743" s="5479"/>
      <c r="BX743" s="5479">
        <v>21735</v>
      </c>
      <c r="BY743" s="5479"/>
      <c r="BZ743" s="5479"/>
      <c r="CA743" s="5953"/>
      <c r="CB743" s="5953">
        <v>2970.83</v>
      </c>
      <c r="CC743" s="5964"/>
      <c r="CD743" s="5923"/>
      <c r="CE743" s="5965"/>
      <c r="CF743" s="5965"/>
      <c r="CG743" s="5965"/>
      <c r="CH743" s="5965"/>
    </row>
    <row r="744" s="4983" customFormat="1" ht="41.65" customHeight="1" spans="1:86">
      <c r="A744" s="3812"/>
      <c r="B744" s="857"/>
      <c r="C744" s="857"/>
      <c r="D744" s="5059"/>
      <c r="E744" s="5059"/>
      <c r="F744" s="5059"/>
      <c r="G744" s="1032"/>
      <c r="H744" s="5059"/>
      <c r="I744" s="5205"/>
      <c r="J744" s="5059"/>
      <c r="K744" s="1032"/>
      <c r="L744" s="5059"/>
      <c r="M744" s="3812"/>
      <c r="N744" s="3812"/>
      <c r="O744" s="3812"/>
      <c r="P744" s="3812"/>
      <c r="Q744" s="3812"/>
      <c r="R744" s="3812"/>
      <c r="S744" s="3812"/>
      <c r="T744" s="3812"/>
      <c r="U744" s="3812"/>
      <c r="V744" s="3812"/>
      <c r="W744" s="3812"/>
      <c r="X744" s="3812"/>
      <c r="Y744" s="3812"/>
      <c r="Z744" s="3812"/>
      <c r="AA744" s="3812"/>
      <c r="AB744" s="3812"/>
      <c r="AC744" s="5923"/>
      <c r="AD744" s="5924"/>
      <c r="AE744" s="5925"/>
      <c r="AF744" s="5926"/>
      <c r="AG744" s="5479"/>
      <c r="AH744" s="5479"/>
      <c r="AI744" s="5479"/>
      <c r="AJ744" s="5479"/>
      <c r="AK744" s="5479"/>
      <c r="AL744" s="5479"/>
      <c r="AM744" s="5479"/>
      <c r="AN744" s="5479"/>
      <c r="AO744" s="5479"/>
      <c r="AP744" s="5479"/>
      <c r="AQ744" s="5499"/>
      <c r="AR744" s="3812"/>
      <c r="AS744" s="5241"/>
      <c r="AT744" s="5146"/>
      <c r="AU744" s="3812"/>
      <c r="AV744" s="3812"/>
      <c r="AW744" s="3812"/>
      <c r="AX744" s="3812"/>
      <c r="AY744" s="3812"/>
      <c r="AZ744" s="3812"/>
      <c r="BA744" s="5499"/>
      <c r="BB744" s="5499"/>
      <c r="BC744" s="5479"/>
      <c r="BD744" s="5499"/>
      <c r="BE744" s="5499"/>
      <c r="BF744" s="5499"/>
      <c r="BG744" s="5499"/>
      <c r="BH744" s="5949"/>
      <c r="BI744" s="5499"/>
      <c r="BJ744" s="5499"/>
      <c r="BK744" s="5499"/>
      <c r="BL744" s="5499"/>
      <c r="BM744" s="5954"/>
      <c r="BN744" s="5953"/>
      <c r="BO744" s="5955"/>
      <c r="BP744" s="5499"/>
      <c r="BQ744" s="5499"/>
      <c r="BR744" s="5499"/>
      <c r="BS744" s="5499"/>
      <c r="BT744" s="5499"/>
      <c r="BU744" s="5499"/>
      <c r="BV744" s="5499"/>
      <c r="BW744" s="5499"/>
      <c r="BX744" s="5499"/>
      <c r="BY744" s="5499"/>
      <c r="BZ744" s="5499"/>
      <c r="CA744" s="5954"/>
      <c r="CB744" s="5963"/>
      <c r="CC744" s="5964"/>
      <c r="CD744" s="5923"/>
      <c r="CE744" s="5966"/>
      <c r="CF744" s="5966"/>
      <c r="CG744" s="5966"/>
      <c r="CH744" s="5966"/>
    </row>
    <row r="745" s="4983" customFormat="1" ht="41.65" customHeight="1" spans="1:86">
      <c r="A745" s="3812"/>
      <c r="B745" s="857"/>
      <c r="C745" s="857"/>
      <c r="D745" s="5059"/>
      <c r="E745" s="5059"/>
      <c r="F745" s="5059"/>
      <c r="G745" s="1032"/>
      <c r="H745" s="5059"/>
      <c r="I745" s="5205"/>
      <c r="J745" s="5059"/>
      <c r="K745" s="1032"/>
      <c r="L745" s="5059"/>
      <c r="M745" s="3812"/>
      <c r="N745" s="3812"/>
      <c r="O745" s="3812"/>
      <c r="P745" s="3812"/>
      <c r="Q745" s="3812"/>
      <c r="R745" s="3812"/>
      <c r="S745" s="3812"/>
      <c r="T745" s="3812"/>
      <c r="U745" s="3812"/>
      <c r="V745" s="3812"/>
      <c r="W745" s="3812"/>
      <c r="X745" s="3812"/>
      <c r="Y745" s="3812"/>
      <c r="Z745" s="3812"/>
      <c r="AA745" s="3812"/>
      <c r="AB745" s="3812"/>
      <c r="AC745" s="5923"/>
      <c r="AD745" s="5927" t="s">
        <v>1420</v>
      </c>
      <c r="AE745" s="5928">
        <v>0.05</v>
      </c>
      <c r="AF745" s="4676">
        <v>22500</v>
      </c>
      <c r="AG745" s="5479">
        <f>SUM(BA745:BN745)</f>
        <v>0</v>
      </c>
      <c r="AH745" s="5479"/>
      <c r="AI745" s="5479"/>
      <c r="AJ745" s="5479"/>
      <c r="AK745" s="5479"/>
      <c r="AL745" s="5479"/>
      <c r="AM745" s="5479"/>
      <c r="AN745" s="5479">
        <f>SUM(BO745:CB745)</f>
        <v>0</v>
      </c>
      <c r="AO745" s="5479"/>
      <c r="AP745" s="5479">
        <f>AG745-AN745</f>
        <v>0</v>
      </c>
      <c r="AQ745" s="5499"/>
      <c r="AR745" s="3812"/>
      <c r="AS745" s="5241"/>
      <c r="AT745" s="5146"/>
      <c r="AU745" s="3812"/>
      <c r="AV745" s="3812"/>
      <c r="AW745" s="3812"/>
      <c r="AX745" s="3812"/>
      <c r="AY745" s="3812"/>
      <c r="AZ745" s="3812"/>
      <c r="BA745" s="5499"/>
      <c r="BB745" s="5499"/>
      <c r="BC745" s="5479"/>
      <c r="BD745" s="5499"/>
      <c r="BE745" s="5499"/>
      <c r="BF745" s="5499"/>
      <c r="BG745" s="5499"/>
      <c r="BH745" s="5949"/>
      <c r="BI745" s="5499"/>
      <c r="BJ745" s="5499"/>
      <c r="BK745" s="5499"/>
      <c r="BL745" s="5499"/>
      <c r="BM745" s="5954"/>
      <c r="BN745" s="5953"/>
      <c r="BO745" s="5955"/>
      <c r="BP745" s="5499"/>
      <c r="BQ745" s="5499"/>
      <c r="BR745" s="5499"/>
      <c r="BS745" s="5499"/>
      <c r="BT745" s="5499"/>
      <c r="BU745" s="5499"/>
      <c r="BV745" s="5499"/>
      <c r="BW745" s="5499"/>
      <c r="BX745" s="5499"/>
      <c r="BY745" s="5499"/>
      <c r="BZ745" s="5499"/>
      <c r="CA745" s="5954"/>
      <c r="CB745" s="5963"/>
      <c r="CC745" s="5964"/>
      <c r="CD745" s="5923"/>
      <c r="CE745" s="5966"/>
      <c r="CF745" s="5966"/>
      <c r="CG745" s="5966"/>
      <c r="CH745" s="5966"/>
    </row>
    <row r="746" s="4980" customFormat="1" ht="30" customHeight="1" spans="1:86">
      <c r="A746" s="3812"/>
      <c r="B746" s="857"/>
      <c r="C746" s="857"/>
      <c r="D746" s="5059"/>
      <c r="E746" s="5059"/>
      <c r="F746" s="5059"/>
      <c r="G746" s="1032"/>
      <c r="H746" s="5059"/>
      <c r="I746" s="5205"/>
      <c r="J746" s="5059"/>
      <c r="K746" s="1032"/>
      <c r="L746" s="5059"/>
      <c r="M746" s="3812"/>
      <c r="N746" s="3812"/>
      <c r="O746" s="3812"/>
      <c r="P746" s="3812"/>
      <c r="Q746" s="3812"/>
      <c r="R746" s="3812"/>
      <c r="S746" s="3812"/>
      <c r="T746" s="3812"/>
      <c r="U746" s="3812"/>
      <c r="V746" s="3812"/>
      <c r="W746" s="3812"/>
      <c r="X746" s="3812"/>
      <c r="Y746" s="3812"/>
      <c r="Z746" s="3812"/>
      <c r="AA746" s="3812"/>
      <c r="AB746" s="3812"/>
      <c r="AC746" s="1032" t="s">
        <v>1649</v>
      </c>
      <c r="AD746" s="5714" t="s">
        <v>1650</v>
      </c>
      <c r="AE746" s="5929">
        <v>0.1</v>
      </c>
      <c r="AF746" s="5930">
        <v>489868.87</v>
      </c>
      <c r="AG746" s="5201">
        <f>SUM(BA746:BN746)</f>
        <v>175975.702</v>
      </c>
      <c r="AH746" s="5930" t="s">
        <v>122</v>
      </c>
      <c r="AI746" s="5201">
        <v>44659</v>
      </c>
      <c r="AJ746" s="5930">
        <v>175975.702</v>
      </c>
      <c r="AK746" s="5201">
        <v>44659</v>
      </c>
      <c r="AL746" s="5930">
        <v>175975.702</v>
      </c>
      <c r="AM746" s="5201">
        <v>44858</v>
      </c>
      <c r="AN746" s="5201">
        <f>SUM(BO746:CB746)</f>
        <v>175975.7</v>
      </c>
      <c r="AO746" s="5930">
        <v>44924</v>
      </c>
      <c r="AP746" s="5201">
        <f>AG746-AN746</f>
        <v>0.00199999997857958</v>
      </c>
      <c r="AQ746" s="5945"/>
      <c r="AR746" s="5201"/>
      <c r="AS746" s="5931"/>
      <c r="AT746" s="5797"/>
      <c r="AU746" s="3812"/>
      <c r="AV746" s="3812"/>
      <c r="AW746" s="3812"/>
      <c r="AX746" s="3812"/>
      <c r="AY746" s="3812"/>
      <c r="AZ746" s="3812"/>
      <c r="BA746" s="5146"/>
      <c r="BB746" s="5146"/>
      <c r="BC746" s="3812"/>
      <c r="BD746" s="5146"/>
      <c r="BE746" s="5146"/>
      <c r="BF746" s="3812"/>
      <c r="BG746" s="5146"/>
      <c r="BH746" s="5152"/>
      <c r="BI746" s="5146"/>
      <c r="BJ746" s="5146"/>
      <c r="BK746" s="5146"/>
      <c r="BL746" s="5146"/>
      <c r="BM746" s="5296"/>
      <c r="BN746" s="5956">
        <v>175975.702</v>
      </c>
      <c r="BO746" s="5273"/>
      <c r="BP746" s="5146"/>
      <c r="BQ746" s="5146"/>
      <c r="BR746" s="5146"/>
      <c r="BS746" s="5146"/>
      <c r="BT746" s="5146"/>
      <c r="BU746" s="5146"/>
      <c r="BV746" s="5146"/>
      <c r="BW746" s="5146"/>
      <c r="BX746" s="5146"/>
      <c r="BY746" s="5146"/>
      <c r="BZ746" s="5146"/>
      <c r="CA746" s="5296"/>
      <c r="CB746" s="5297">
        <v>175975.7</v>
      </c>
      <c r="CC746" s="5309"/>
      <c r="CD746" s="5059"/>
      <c r="CE746" s="5154"/>
      <c r="CF746" s="5154"/>
      <c r="CG746" s="5154"/>
      <c r="CH746" s="5154"/>
    </row>
    <row r="747" s="4980" customFormat="1" ht="30" customHeight="1" spans="1:86">
      <c r="A747" s="3812"/>
      <c r="B747" s="857"/>
      <c r="C747" s="857"/>
      <c r="D747" s="5059"/>
      <c r="E747" s="5059"/>
      <c r="F747" s="5059"/>
      <c r="G747" s="1032"/>
      <c r="H747" s="5059"/>
      <c r="I747" s="5205"/>
      <c r="J747" s="5059"/>
      <c r="K747" s="1032"/>
      <c r="L747" s="5059"/>
      <c r="M747" s="3812"/>
      <c r="N747" s="3812"/>
      <c r="O747" s="3812"/>
      <c r="P747" s="3812"/>
      <c r="Q747" s="3812"/>
      <c r="R747" s="3812"/>
      <c r="S747" s="3812"/>
      <c r="T747" s="3812"/>
      <c r="U747" s="3812"/>
      <c r="V747" s="3812"/>
      <c r="W747" s="3812"/>
      <c r="X747" s="3812"/>
      <c r="Y747" s="3812"/>
      <c r="Z747" s="3812"/>
      <c r="AA747" s="3812"/>
      <c r="AB747" s="3812"/>
      <c r="AC747" s="1032"/>
      <c r="AD747" s="5714"/>
      <c r="AE747" s="5929"/>
      <c r="AF747" s="5930"/>
      <c r="AG747" s="5201">
        <f t="shared" ref="AG747:AG756" si="151">SUM(BA747:BN747)</f>
        <v>0</v>
      </c>
      <c r="AH747" s="5847"/>
      <c r="AI747" s="5201"/>
      <c r="AJ747" s="5930"/>
      <c r="AK747" s="5201"/>
      <c r="AL747" s="5930"/>
      <c r="AM747" s="5201"/>
      <c r="AN747" s="5201"/>
      <c r="AO747" s="5734"/>
      <c r="AP747" s="5201"/>
      <c r="AQ747" s="5945"/>
      <c r="AR747" s="5201"/>
      <c r="AS747" s="5931"/>
      <c r="AT747" s="5797"/>
      <c r="AU747" s="3812"/>
      <c r="AV747" s="3812"/>
      <c r="AW747" s="3812"/>
      <c r="AX747" s="3812"/>
      <c r="AY747" s="3812"/>
      <c r="AZ747" s="3812"/>
      <c r="BA747" s="5146"/>
      <c r="BB747" s="5146"/>
      <c r="BC747" s="3812"/>
      <c r="BD747" s="5146"/>
      <c r="BE747" s="5146"/>
      <c r="BF747" s="3812"/>
      <c r="BG747" s="5146"/>
      <c r="BH747" s="5948"/>
      <c r="BI747" s="5146"/>
      <c r="BJ747" s="5146"/>
      <c r="BK747" s="5146"/>
      <c r="BL747" s="5146"/>
      <c r="BM747" s="5296"/>
      <c r="BN747" s="5956"/>
      <c r="BO747" s="5273"/>
      <c r="BP747" s="5146"/>
      <c r="BQ747" s="5146"/>
      <c r="BR747" s="5146"/>
      <c r="BS747" s="5146"/>
      <c r="BT747" s="5146"/>
      <c r="BU747" s="5146"/>
      <c r="BV747" s="5146"/>
      <c r="BW747" s="5146"/>
      <c r="BX747" s="5146"/>
      <c r="BY747" s="5146"/>
      <c r="BZ747" s="5146"/>
      <c r="CA747" s="5296"/>
      <c r="CB747" s="5297"/>
      <c r="CC747" s="5309"/>
      <c r="CD747" s="5059"/>
      <c r="CE747" s="5154"/>
      <c r="CF747" s="5154"/>
      <c r="CG747" s="5154"/>
      <c r="CH747" s="5154"/>
    </row>
    <row r="748" s="4980" customFormat="1" ht="30" customHeight="1" spans="1:86">
      <c r="A748" s="3812"/>
      <c r="B748" s="857"/>
      <c r="C748" s="857"/>
      <c r="D748" s="5059"/>
      <c r="E748" s="5059"/>
      <c r="F748" s="5059"/>
      <c r="G748" s="1032"/>
      <c r="H748" s="5059"/>
      <c r="I748" s="5205"/>
      <c r="J748" s="5059"/>
      <c r="K748" s="1032"/>
      <c r="L748" s="5059"/>
      <c r="M748" s="3812"/>
      <c r="N748" s="3812"/>
      <c r="O748" s="3812"/>
      <c r="P748" s="3812"/>
      <c r="Q748" s="3812"/>
      <c r="R748" s="3812"/>
      <c r="S748" s="3812"/>
      <c r="T748" s="3812"/>
      <c r="U748" s="3812"/>
      <c r="V748" s="3812"/>
      <c r="W748" s="3812"/>
      <c r="X748" s="3812"/>
      <c r="Y748" s="3812"/>
      <c r="Z748" s="3812"/>
      <c r="AA748" s="3812"/>
      <c r="AB748" s="3812"/>
      <c r="AC748" s="1032"/>
      <c r="AD748" s="5714" t="s">
        <v>1651</v>
      </c>
      <c r="AE748" s="5714">
        <v>0.05</v>
      </c>
      <c r="AF748" s="5930">
        <v>244934.44</v>
      </c>
      <c r="AG748" s="5201">
        <f t="shared" si="151"/>
        <v>87987.851</v>
      </c>
      <c r="AH748" s="5930" t="s">
        <v>122</v>
      </c>
      <c r="AI748" s="5201">
        <v>44659</v>
      </c>
      <c r="AJ748" s="5930">
        <v>87987.851</v>
      </c>
      <c r="AK748" s="5201">
        <v>44659</v>
      </c>
      <c r="AL748" s="5930">
        <v>87987.851</v>
      </c>
      <c r="AM748" s="5201">
        <v>44858</v>
      </c>
      <c r="AN748" s="5201">
        <f>SUM(BO748:CB748)</f>
        <v>87987.85</v>
      </c>
      <c r="AO748" s="5930">
        <v>44924</v>
      </c>
      <c r="AP748" s="5201">
        <f>AG748-AN748</f>
        <v>0.00099999998928979</v>
      </c>
      <c r="AQ748" s="5797"/>
      <c r="AR748" s="5201"/>
      <c r="AS748" s="5931"/>
      <c r="AT748" s="5797"/>
      <c r="AU748" s="3812"/>
      <c r="AV748" s="3812"/>
      <c r="AW748" s="3812"/>
      <c r="AX748" s="3812"/>
      <c r="AY748" s="3812"/>
      <c r="AZ748" s="3812"/>
      <c r="BA748" s="5146"/>
      <c r="BB748" s="5146"/>
      <c r="BC748" s="3812"/>
      <c r="BD748" s="5146"/>
      <c r="BE748" s="5146"/>
      <c r="BF748" s="3812"/>
      <c r="BG748" s="5146"/>
      <c r="BH748" s="5152"/>
      <c r="BI748" s="5146"/>
      <c r="BJ748" s="5146"/>
      <c r="BK748" s="5146"/>
      <c r="BL748" s="5146"/>
      <c r="BM748" s="5296"/>
      <c r="BN748" s="5956">
        <v>87987.851</v>
      </c>
      <c r="BO748" s="5273"/>
      <c r="BP748" s="5146"/>
      <c r="BQ748" s="5146"/>
      <c r="BR748" s="5146"/>
      <c r="BS748" s="5146"/>
      <c r="BT748" s="5146"/>
      <c r="BU748" s="5146"/>
      <c r="BV748" s="5146"/>
      <c r="BW748" s="5146"/>
      <c r="BX748" s="5146"/>
      <c r="BY748" s="5146"/>
      <c r="BZ748" s="5146"/>
      <c r="CA748" s="5296"/>
      <c r="CB748" s="5297">
        <v>87987.85</v>
      </c>
      <c r="CC748" s="5309"/>
      <c r="CD748" s="5059"/>
      <c r="CE748" s="5154"/>
      <c r="CF748" s="5154"/>
      <c r="CG748" s="5154"/>
      <c r="CH748" s="5154"/>
    </row>
    <row r="749" s="4980" customFormat="1" ht="30" customHeight="1" spans="1:86">
      <c r="A749" s="3812"/>
      <c r="B749" s="857"/>
      <c r="C749" s="857"/>
      <c r="D749" s="5059"/>
      <c r="E749" s="5059"/>
      <c r="F749" s="5059"/>
      <c r="G749" s="1032"/>
      <c r="H749" s="5059"/>
      <c r="I749" s="5205"/>
      <c r="J749" s="5059"/>
      <c r="K749" s="1032"/>
      <c r="L749" s="5059"/>
      <c r="M749" s="3812"/>
      <c r="N749" s="3812"/>
      <c r="O749" s="3812"/>
      <c r="P749" s="3812"/>
      <c r="Q749" s="3812"/>
      <c r="R749" s="3812"/>
      <c r="S749" s="3812"/>
      <c r="T749" s="3812"/>
      <c r="U749" s="3812"/>
      <c r="V749" s="3812"/>
      <c r="W749" s="3812"/>
      <c r="X749" s="3812"/>
      <c r="Y749" s="3812"/>
      <c r="Z749" s="3812"/>
      <c r="AA749" s="3812"/>
      <c r="AB749" s="3812"/>
      <c r="AC749" s="1032"/>
      <c r="AD749" s="5714"/>
      <c r="AE749" s="5714"/>
      <c r="AF749" s="5930"/>
      <c r="AG749" s="5201">
        <f t="shared" si="151"/>
        <v>0</v>
      </c>
      <c r="AH749" s="5847"/>
      <c r="AI749" s="5201"/>
      <c r="AJ749" s="5930"/>
      <c r="AK749" s="5201"/>
      <c r="AL749" s="5930"/>
      <c r="AM749" s="5201"/>
      <c r="AN749" s="5201"/>
      <c r="AO749" s="5734"/>
      <c r="AP749" s="5201"/>
      <c r="AQ749" s="5797"/>
      <c r="AR749" s="5201"/>
      <c r="AS749" s="5931"/>
      <c r="AT749" s="5797"/>
      <c r="AU749" s="3812"/>
      <c r="AV749" s="3812"/>
      <c r="AW749" s="3812"/>
      <c r="AX749" s="3812"/>
      <c r="AY749" s="3812"/>
      <c r="AZ749" s="3812"/>
      <c r="BA749" s="5146"/>
      <c r="BB749" s="5146"/>
      <c r="BC749" s="3812"/>
      <c r="BD749" s="5146"/>
      <c r="BE749" s="5146"/>
      <c r="BF749" s="3812"/>
      <c r="BG749" s="5146"/>
      <c r="BH749" s="5948"/>
      <c r="BI749" s="5146"/>
      <c r="BJ749" s="5146"/>
      <c r="BK749" s="5146"/>
      <c r="BL749" s="5146"/>
      <c r="BM749" s="5296"/>
      <c r="BN749" s="5956"/>
      <c r="BO749" s="5273"/>
      <c r="BP749" s="5146"/>
      <c r="BQ749" s="5146"/>
      <c r="BR749" s="5146"/>
      <c r="BS749" s="5146"/>
      <c r="BT749" s="5146"/>
      <c r="BU749" s="5146"/>
      <c r="BV749" s="5146"/>
      <c r="BW749" s="5146"/>
      <c r="BX749" s="5146"/>
      <c r="BY749" s="5146"/>
      <c r="BZ749" s="5146"/>
      <c r="CA749" s="5296"/>
      <c r="CB749" s="5297"/>
      <c r="CC749" s="5309"/>
      <c r="CD749" s="5059"/>
      <c r="CE749" s="5154"/>
      <c r="CF749" s="5154"/>
      <c r="CG749" s="5154"/>
      <c r="CH749" s="5154"/>
    </row>
    <row r="750" s="4980" customFormat="1" ht="30" customHeight="1" spans="1:86">
      <c r="A750" s="3812"/>
      <c r="B750" s="857"/>
      <c r="C750" s="857"/>
      <c r="D750" s="5059"/>
      <c r="E750" s="5059"/>
      <c r="F750" s="5059"/>
      <c r="G750" s="1032"/>
      <c r="H750" s="5059"/>
      <c r="I750" s="5205"/>
      <c r="J750" s="5059"/>
      <c r="K750" s="1032"/>
      <c r="L750" s="5059"/>
      <c r="M750" s="3812"/>
      <c r="N750" s="3812"/>
      <c r="O750" s="3812"/>
      <c r="P750" s="3812"/>
      <c r="Q750" s="3812"/>
      <c r="R750" s="3812"/>
      <c r="S750" s="3812"/>
      <c r="T750" s="3812"/>
      <c r="U750" s="3812"/>
      <c r="V750" s="3812"/>
      <c r="W750" s="3812"/>
      <c r="X750" s="3812"/>
      <c r="Y750" s="3812"/>
      <c r="Z750" s="3812"/>
      <c r="AA750" s="3812"/>
      <c r="AB750" s="3812"/>
      <c r="AC750" s="1032"/>
      <c r="AD750" s="5714" t="s">
        <v>1652</v>
      </c>
      <c r="AE750" s="5929">
        <v>0.05</v>
      </c>
      <c r="AF750" s="5930">
        <v>244934.44</v>
      </c>
      <c r="AG750" s="5201">
        <f t="shared" si="151"/>
        <v>87987.85</v>
      </c>
      <c r="AH750" s="5930" t="s">
        <v>122</v>
      </c>
      <c r="AI750" s="5201">
        <v>44659</v>
      </c>
      <c r="AJ750" s="5930">
        <v>87987.85</v>
      </c>
      <c r="AK750" s="5201">
        <v>44659</v>
      </c>
      <c r="AL750" s="5930">
        <v>87987.85</v>
      </c>
      <c r="AM750" s="5201">
        <v>44858</v>
      </c>
      <c r="AN750" s="5201">
        <f>SUM(BO750:CB750)</f>
        <v>87987.85</v>
      </c>
      <c r="AO750" s="5930">
        <v>44924</v>
      </c>
      <c r="AP750" s="5201">
        <f>AG750-AN750</f>
        <v>0</v>
      </c>
      <c r="AQ750" s="5797"/>
      <c r="AR750" s="5201"/>
      <c r="AS750" s="5931"/>
      <c r="AT750" s="5797"/>
      <c r="AU750" s="3812"/>
      <c r="AV750" s="3812"/>
      <c r="AW750" s="3812"/>
      <c r="AX750" s="3812"/>
      <c r="AY750" s="3812"/>
      <c r="AZ750" s="3812"/>
      <c r="BA750" s="5146"/>
      <c r="BB750" s="5146"/>
      <c r="BC750" s="3812"/>
      <c r="BD750" s="5146"/>
      <c r="BE750" s="5146"/>
      <c r="BF750" s="5146"/>
      <c r="BG750" s="5146"/>
      <c r="BH750" s="5152"/>
      <c r="BI750" s="5146"/>
      <c r="BJ750" s="5146"/>
      <c r="BK750" s="5146"/>
      <c r="BL750" s="5146"/>
      <c r="BM750" s="5296"/>
      <c r="BN750" s="5956">
        <v>87987.85</v>
      </c>
      <c r="BO750" s="5273"/>
      <c r="BP750" s="5146"/>
      <c r="BQ750" s="5146"/>
      <c r="BR750" s="5146"/>
      <c r="BS750" s="5146"/>
      <c r="BT750" s="5146"/>
      <c r="BU750" s="5146"/>
      <c r="BV750" s="5146"/>
      <c r="BW750" s="5146"/>
      <c r="BX750" s="5146"/>
      <c r="BY750" s="5146"/>
      <c r="BZ750" s="5146"/>
      <c r="CA750" s="5296"/>
      <c r="CB750" s="5297">
        <v>87987.85</v>
      </c>
      <c r="CC750" s="5309"/>
      <c r="CD750" s="5059"/>
      <c r="CE750" s="5154"/>
      <c r="CF750" s="5154"/>
      <c r="CG750" s="5154"/>
      <c r="CH750" s="5154"/>
    </row>
    <row r="751" s="4980" customFormat="1" ht="30" customHeight="1" spans="1:86">
      <c r="A751" s="3812"/>
      <c r="B751" s="857"/>
      <c r="C751" s="857"/>
      <c r="D751" s="5059"/>
      <c r="E751" s="5059"/>
      <c r="F751" s="5059"/>
      <c r="G751" s="1032"/>
      <c r="H751" s="5059"/>
      <c r="I751" s="5205"/>
      <c r="J751" s="5059"/>
      <c r="K751" s="1032"/>
      <c r="L751" s="5059"/>
      <c r="M751" s="3812"/>
      <c r="N751" s="3812"/>
      <c r="O751" s="3812"/>
      <c r="P751" s="3812"/>
      <c r="Q751" s="3812"/>
      <c r="R751" s="3812"/>
      <c r="S751" s="3812"/>
      <c r="T751" s="3812"/>
      <c r="U751" s="3812"/>
      <c r="V751" s="3812"/>
      <c r="W751" s="3812"/>
      <c r="X751" s="3812"/>
      <c r="Y751" s="3812"/>
      <c r="Z751" s="3812"/>
      <c r="AA751" s="3812"/>
      <c r="AB751" s="3812"/>
      <c r="AC751" s="1032"/>
      <c r="AD751" s="5714"/>
      <c r="AE751" s="5929"/>
      <c r="AF751" s="5930"/>
      <c r="AG751" s="5201">
        <f t="shared" si="151"/>
        <v>0</v>
      </c>
      <c r="AH751" s="5847"/>
      <c r="AI751" s="5201"/>
      <c r="AJ751" s="5201"/>
      <c r="AK751" s="5201"/>
      <c r="AL751" s="5201"/>
      <c r="AM751" s="5201"/>
      <c r="AN751" s="5201"/>
      <c r="AO751" s="5734"/>
      <c r="AP751" s="5201"/>
      <c r="AQ751" s="5797"/>
      <c r="AR751" s="5201"/>
      <c r="AS751" s="5931"/>
      <c r="AT751" s="5797"/>
      <c r="AU751" s="3812"/>
      <c r="AV751" s="3812"/>
      <c r="AW751" s="3812"/>
      <c r="AX751" s="3812"/>
      <c r="AY751" s="3812"/>
      <c r="AZ751" s="3812"/>
      <c r="BA751" s="5146"/>
      <c r="BB751" s="5146"/>
      <c r="BC751" s="3812"/>
      <c r="BD751" s="5146"/>
      <c r="BE751" s="5146"/>
      <c r="BF751" s="5146"/>
      <c r="BG751" s="5146"/>
      <c r="BH751" s="5948"/>
      <c r="BI751" s="5146"/>
      <c r="BJ751" s="5146"/>
      <c r="BK751" s="5146"/>
      <c r="BL751" s="5146"/>
      <c r="BM751" s="5296"/>
      <c r="BN751" s="5263"/>
      <c r="BO751" s="5273"/>
      <c r="BP751" s="5146"/>
      <c r="BQ751" s="5146"/>
      <c r="BR751" s="5146"/>
      <c r="BS751" s="5146"/>
      <c r="BT751" s="5146"/>
      <c r="BU751" s="5146"/>
      <c r="BV751" s="5146"/>
      <c r="BW751" s="5146"/>
      <c r="BX751" s="5146"/>
      <c r="BY751" s="5146"/>
      <c r="BZ751" s="5146"/>
      <c r="CA751" s="5296"/>
      <c r="CB751" s="5282"/>
      <c r="CC751" s="5309"/>
      <c r="CD751" s="5059"/>
      <c r="CE751" s="5154"/>
      <c r="CF751" s="5154"/>
      <c r="CG751" s="5154"/>
      <c r="CH751" s="5154"/>
    </row>
    <row r="752" s="4980" customFormat="1" ht="30" customHeight="1" spans="1:86">
      <c r="A752" s="3812"/>
      <c r="B752" s="857"/>
      <c r="C752" s="857"/>
      <c r="D752" s="5059"/>
      <c r="E752" s="5059"/>
      <c r="F752" s="5059"/>
      <c r="G752" s="1032"/>
      <c r="H752" s="5059"/>
      <c r="I752" s="5205"/>
      <c r="J752" s="5059"/>
      <c r="K752" s="1032"/>
      <c r="L752" s="5059"/>
      <c r="M752" s="3812"/>
      <c r="N752" s="3812"/>
      <c r="O752" s="3812"/>
      <c r="P752" s="3812"/>
      <c r="Q752" s="3812"/>
      <c r="R752" s="3812"/>
      <c r="S752" s="3812"/>
      <c r="T752" s="3812"/>
      <c r="U752" s="3812"/>
      <c r="V752" s="3812"/>
      <c r="W752" s="3812"/>
      <c r="X752" s="3812"/>
      <c r="Y752" s="3812"/>
      <c r="Z752" s="3812"/>
      <c r="AA752" s="3812"/>
      <c r="AB752" s="3812"/>
      <c r="AC752" s="1032"/>
      <c r="AD752" s="5714" t="s">
        <v>1653</v>
      </c>
      <c r="AE752" s="5929">
        <v>0.05</v>
      </c>
      <c r="AF752" s="5930">
        <v>244934.44</v>
      </c>
      <c r="AG752" s="5201">
        <f t="shared" si="151"/>
        <v>87987.85</v>
      </c>
      <c r="AH752" s="5930" t="s">
        <v>122</v>
      </c>
      <c r="AI752" s="5201">
        <v>44659</v>
      </c>
      <c r="AJ752" s="5930">
        <v>87987.85</v>
      </c>
      <c r="AK752" s="5201">
        <v>44659</v>
      </c>
      <c r="AL752" s="5930">
        <v>87987.85</v>
      </c>
      <c r="AM752" s="5201">
        <v>44858</v>
      </c>
      <c r="AN752" s="5201">
        <f>SUM(BO752:CB752)</f>
        <v>87987.85</v>
      </c>
      <c r="AO752" s="5930">
        <v>44924</v>
      </c>
      <c r="AP752" s="5201">
        <f>AG752-AN752</f>
        <v>0</v>
      </c>
      <c r="AQ752" s="5797"/>
      <c r="AR752" s="5201"/>
      <c r="AS752" s="5931"/>
      <c r="AT752" s="5797"/>
      <c r="AU752" s="3812"/>
      <c r="AV752" s="3812"/>
      <c r="AW752" s="3812"/>
      <c r="AX752" s="3812"/>
      <c r="AY752" s="3812"/>
      <c r="AZ752" s="3812"/>
      <c r="BA752" s="5146"/>
      <c r="BB752" s="5146"/>
      <c r="BC752" s="3812"/>
      <c r="BD752" s="5146"/>
      <c r="BE752" s="5146"/>
      <c r="BF752" s="5146"/>
      <c r="BG752" s="5146"/>
      <c r="BH752" s="5152"/>
      <c r="BI752" s="5146"/>
      <c r="BJ752" s="5146"/>
      <c r="BK752" s="5146"/>
      <c r="BL752" s="5146"/>
      <c r="BM752" s="5296"/>
      <c r="BN752" s="5956">
        <v>87987.85</v>
      </c>
      <c r="BO752" s="5273"/>
      <c r="BP752" s="5146"/>
      <c r="BQ752" s="5146"/>
      <c r="BR752" s="5146"/>
      <c r="BS752" s="5146"/>
      <c r="BT752" s="5146"/>
      <c r="BU752" s="5146"/>
      <c r="BV752" s="5146"/>
      <c r="BW752" s="5146"/>
      <c r="BX752" s="5146"/>
      <c r="BY752" s="5146"/>
      <c r="BZ752" s="5146"/>
      <c r="CA752" s="5296"/>
      <c r="CB752" s="5297">
        <v>87987.85</v>
      </c>
      <c r="CC752" s="5309"/>
      <c r="CD752" s="5059"/>
      <c r="CE752" s="5154"/>
      <c r="CF752" s="5154"/>
      <c r="CG752" s="5154"/>
      <c r="CH752" s="5154"/>
    </row>
    <row r="753" s="4980" customFormat="1" ht="30" customHeight="1" spans="1:86">
      <c r="A753" s="3812"/>
      <c r="B753" s="857"/>
      <c r="C753" s="857"/>
      <c r="D753" s="5059"/>
      <c r="E753" s="5059"/>
      <c r="F753" s="5059"/>
      <c r="G753" s="1032"/>
      <c r="H753" s="5059"/>
      <c r="I753" s="5205"/>
      <c r="J753" s="5059"/>
      <c r="K753" s="1032"/>
      <c r="L753" s="5059"/>
      <c r="M753" s="3812"/>
      <c r="N753" s="3812"/>
      <c r="O753" s="3812"/>
      <c r="P753" s="3812"/>
      <c r="Q753" s="3812"/>
      <c r="R753" s="3812"/>
      <c r="S753" s="3812"/>
      <c r="T753" s="3812"/>
      <c r="U753" s="3812"/>
      <c r="V753" s="3812"/>
      <c r="W753" s="3812"/>
      <c r="X753" s="3812"/>
      <c r="Y753" s="3812"/>
      <c r="Z753" s="3812"/>
      <c r="AA753" s="3812"/>
      <c r="AB753" s="3812"/>
      <c r="AC753" s="1032"/>
      <c r="AD753" s="5714"/>
      <c r="AE753" s="5929"/>
      <c r="AF753" s="5930"/>
      <c r="AG753" s="5201">
        <f t="shared" si="151"/>
        <v>0</v>
      </c>
      <c r="AH753" s="5847"/>
      <c r="AI753" s="5201"/>
      <c r="AJ753" s="5201"/>
      <c r="AK753" s="5201"/>
      <c r="AL753" s="5201"/>
      <c r="AM753" s="5201"/>
      <c r="AN753" s="5201"/>
      <c r="AO753" s="5734"/>
      <c r="AP753" s="5201"/>
      <c r="AQ753" s="5797"/>
      <c r="AR753" s="5201"/>
      <c r="AS753" s="5931"/>
      <c r="AT753" s="5797"/>
      <c r="AU753" s="3812"/>
      <c r="AV753" s="3812"/>
      <c r="AW753" s="3812"/>
      <c r="AX753" s="3812"/>
      <c r="AY753" s="3812"/>
      <c r="AZ753" s="3812"/>
      <c r="BA753" s="5146"/>
      <c r="BB753" s="5146"/>
      <c r="BC753" s="3812"/>
      <c r="BD753" s="5146"/>
      <c r="BE753" s="5146"/>
      <c r="BF753" s="5146"/>
      <c r="BG753" s="5146"/>
      <c r="BH753" s="5948"/>
      <c r="BI753" s="5146"/>
      <c r="BJ753" s="5146"/>
      <c r="BK753" s="5146"/>
      <c r="BL753" s="5146"/>
      <c r="BM753" s="5296"/>
      <c r="BN753" s="5263"/>
      <c r="BO753" s="5273"/>
      <c r="BP753" s="5146"/>
      <c r="BQ753" s="5146"/>
      <c r="BR753" s="5146"/>
      <c r="BS753" s="5146"/>
      <c r="BT753" s="5146"/>
      <c r="BU753" s="5146"/>
      <c r="BV753" s="5146"/>
      <c r="BW753" s="5146"/>
      <c r="BX753" s="5146"/>
      <c r="BY753" s="5146"/>
      <c r="BZ753" s="5146"/>
      <c r="CA753" s="5296"/>
      <c r="CB753" s="5282"/>
      <c r="CC753" s="5309"/>
      <c r="CD753" s="5059"/>
      <c r="CE753" s="5154"/>
      <c r="CF753" s="5154"/>
      <c r="CG753" s="5154"/>
      <c r="CH753" s="5154"/>
    </row>
    <row r="754" s="4980" customFormat="1" ht="30" customHeight="1" spans="1:86">
      <c r="A754" s="3812"/>
      <c r="B754" s="857"/>
      <c r="C754" s="857"/>
      <c r="D754" s="5059"/>
      <c r="E754" s="5059"/>
      <c r="F754" s="5059"/>
      <c r="G754" s="1032"/>
      <c r="H754" s="5059"/>
      <c r="I754" s="5205"/>
      <c r="J754" s="5059"/>
      <c r="K754" s="1032"/>
      <c r="L754" s="5059"/>
      <c r="M754" s="3812"/>
      <c r="N754" s="3812"/>
      <c r="O754" s="3812"/>
      <c r="P754" s="3812"/>
      <c r="Q754" s="3812"/>
      <c r="R754" s="3812"/>
      <c r="S754" s="3812"/>
      <c r="T754" s="3812"/>
      <c r="U754" s="3812"/>
      <c r="V754" s="3812"/>
      <c r="W754" s="3812"/>
      <c r="X754" s="3812"/>
      <c r="Y754" s="3812"/>
      <c r="Z754" s="3812"/>
      <c r="AA754" s="3812"/>
      <c r="AB754" s="3812"/>
      <c r="AC754" s="1032"/>
      <c r="AD754" s="5714" t="s">
        <v>1654</v>
      </c>
      <c r="AE754" s="5929">
        <v>0.05</v>
      </c>
      <c r="AF754" s="5930">
        <v>244934.44</v>
      </c>
      <c r="AG754" s="5201">
        <f t="shared" si="151"/>
        <v>87987.85</v>
      </c>
      <c r="AH754" s="5930" t="s">
        <v>122</v>
      </c>
      <c r="AI754" s="5201">
        <v>44659</v>
      </c>
      <c r="AJ754" s="5930">
        <v>87987.85</v>
      </c>
      <c r="AK754" s="5201">
        <v>44659</v>
      </c>
      <c r="AL754" s="5930">
        <v>87987.85</v>
      </c>
      <c r="AM754" s="5201">
        <v>44858</v>
      </c>
      <c r="AN754" s="5201">
        <f>SUM(BO754:CB754)</f>
        <v>87987.85</v>
      </c>
      <c r="AO754" s="5930">
        <v>44924</v>
      </c>
      <c r="AP754" s="5201">
        <f>AG754-AN754</f>
        <v>0</v>
      </c>
      <c r="AQ754" s="5797"/>
      <c r="AR754" s="5201"/>
      <c r="AS754" s="5931"/>
      <c r="AT754" s="5797"/>
      <c r="AU754" s="3812"/>
      <c r="AV754" s="3812"/>
      <c r="AW754" s="3812"/>
      <c r="AX754" s="3812"/>
      <c r="AY754" s="3812"/>
      <c r="AZ754" s="3812"/>
      <c r="BA754" s="5146"/>
      <c r="BB754" s="5146"/>
      <c r="BC754" s="3812"/>
      <c r="BD754" s="5146"/>
      <c r="BE754" s="5146"/>
      <c r="BF754" s="5146"/>
      <c r="BG754" s="5146"/>
      <c r="BH754" s="5152"/>
      <c r="BI754" s="5146"/>
      <c r="BJ754" s="5146"/>
      <c r="BK754" s="5146"/>
      <c r="BL754" s="5146"/>
      <c r="BM754" s="5296"/>
      <c r="BN754" s="5956">
        <v>87987.85</v>
      </c>
      <c r="BO754" s="5273"/>
      <c r="BP754" s="5146"/>
      <c r="BQ754" s="5146"/>
      <c r="BR754" s="5146"/>
      <c r="BS754" s="5146"/>
      <c r="BT754" s="5146"/>
      <c r="BU754" s="5146"/>
      <c r="BV754" s="5146"/>
      <c r="BW754" s="5146"/>
      <c r="BX754" s="5146"/>
      <c r="BY754" s="5146"/>
      <c r="BZ754" s="5146"/>
      <c r="CA754" s="5296"/>
      <c r="CB754" s="5297">
        <v>87987.85</v>
      </c>
      <c r="CC754" s="5309"/>
      <c r="CD754" s="5059"/>
      <c r="CE754" s="5154"/>
      <c r="CF754" s="5154"/>
      <c r="CG754" s="5154"/>
      <c r="CH754" s="5154"/>
    </row>
    <row r="755" s="4980" customFormat="1" ht="30" customHeight="1" spans="1:86">
      <c r="A755" s="3812"/>
      <c r="B755" s="857"/>
      <c r="C755" s="857"/>
      <c r="D755" s="5059"/>
      <c r="E755" s="5059"/>
      <c r="F755" s="5059"/>
      <c r="G755" s="1032"/>
      <c r="H755" s="5059"/>
      <c r="I755" s="5205"/>
      <c r="J755" s="5059"/>
      <c r="K755" s="1032"/>
      <c r="L755" s="5059"/>
      <c r="M755" s="3812"/>
      <c r="N755" s="3812"/>
      <c r="O755" s="3812"/>
      <c r="P755" s="3812"/>
      <c r="Q755" s="3812"/>
      <c r="R755" s="3812"/>
      <c r="S755" s="3812"/>
      <c r="T755" s="3812"/>
      <c r="U755" s="3812"/>
      <c r="V755" s="3812"/>
      <c r="W755" s="3812"/>
      <c r="X755" s="3812"/>
      <c r="Y755" s="3812"/>
      <c r="Z755" s="3812"/>
      <c r="AA755" s="3812"/>
      <c r="AB755" s="3812"/>
      <c r="AC755" s="1032"/>
      <c r="AD755" s="5714"/>
      <c r="AE755" s="5929"/>
      <c r="AF755" s="5930"/>
      <c r="AG755" s="5201">
        <f t="shared" si="151"/>
        <v>0</v>
      </c>
      <c r="AH755" s="5847"/>
      <c r="AI755" s="5201"/>
      <c r="AJ755" s="5201"/>
      <c r="AK755" s="5201"/>
      <c r="AL755" s="5201"/>
      <c r="AM755" s="5201"/>
      <c r="AN755" s="5201"/>
      <c r="AO755" s="5734"/>
      <c r="AP755" s="5201"/>
      <c r="AQ755" s="5797"/>
      <c r="AR755" s="5201"/>
      <c r="AS755" s="5931"/>
      <c r="AT755" s="5797"/>
      <c r="AU755" s="3812"/>
      <c r="AV755" s="3812"/>
      <c r="AW755" s="3812"/>
      <c r="AX755" s="3812"/>
      <c r="AY755" s="3812"/>
      <c r="AZ755" s="3812"/>
      <c r="BA755" s="5146"/>
      <c r="BB755" s="5146"/>
      <c r="BC755" s="3812"/>
      <c r="BD755" s="5146"/>
      <c r="BE755" s="5146"/>
      <c r="BF755" s="5146"/>
      <c r="BG755" s="5146"/>
      <c r="BH755" s="5948"/>
      <c r="BI755" s="5146"/>
      <c r="BJ755" s="5146"/>
      <c r="BK755" s="5146"/>
      <c r="BL755" s="5146"/>
      <c r="BM755" s="5296"/>
      <c r="BN755" s="5263"/>
      <c r="BO755" s="5273"/>
      <c r="BP755" s="5146"/>
      <c r="BQ755" s="5146"/>
      <c r="BR755" s="5146"/>
      <c r="BS755" s="5146"/>
      <c r="BT755" s="5146"/>
      <c r="BU755" s="5146"/>
      <c r="BV755" s="5146"/>
      <c r="BW755" s="5146"/>
      <c r="BX755" s="5146"/>
      <c r="BY755" s="5146"/>
      <c r="BZ755" s="5146"/>
      <c r="CA755" s="5296"/>
      <c r="CB755" s="5282"/>
      <c r="CC755" s="5309"/>
      <c r="CD755" s="5059"/>
      <c r="CE755" s="5154"/>
      <c r="CF755" s="5154"/>
      <c r="CG755" s="5154"/>
      <c r="CH755" s="5154"/>
    </row>
    <row r="756" s="4980" customFormat="1" ht="30" customHeight="1" spans="1:86">
      <c r="A756" s="3812"/>
      <c r="B756" s="857"/>
      <c r="C756" s="857"/>
      <c r="D756" s="5059"/>
      <c r="E756" s="5059"/>
      <c r="F756" s="5059"/>
      <c r="G756" s="1032"/>
      <c r="H756" s="5059"/>
      <c r="I756" s="5205"/>
      <c r="J756" s="5059"/>
      <c r="K756" s="1032"/>
      <c r="L756" s="5059"/>
      <c r="M756" s="3812"/>
      <c r="N756" s="3812"/>
      <c r="O756" s="3812"/>
      <c r="P756" s="3812"/>
      <c r="Q756" s="3812"/>
      <c r="R756" s="3812"/>
      <c r="S756" s="3812"/>
      <c r="T756" s="3812"/>
      <c r="U756" s="3812"/>
      <c r="V756" s="3812"/>
      <c r="W756" s="3812"/>
      <c r="X756" s="3812"/>
      <c r="Y756" s="3812"/>
      <c r="Z756" s="3812"/>
      <c r="AA756" s="3812"/>
      <c r="AB756" s="3812"/>
      <c r="AC756" s="1032"/>
      <c r="AD756" s="5714" t="s">
        <v>1655</v>
      </c>
      <c r="AE756" s="5929">
        <v>0.2</v>
      </c>
      <c r="AF756" s="5930">
        <v>979737.75</v>
      </c>
      <c r="AG756" s="5201">
        <f t="shared" si="151"/>
        <v>351951.404</v>
      </c>
      <c r="AH756" s="5930" t="s">
        <v>122</v>
      </c>
      <c r="AI756" s="5201">
        <v>44659</v>
      </c>
      <c r="AJ756" s="5201">
        <v>351951.404</v>
      </c>
      <c r="AK756" s="5201">
        <v>44659</v>
      </c>
      <c r="AL756" s="5201">
        <v>351951.404</v>
      </c>
      <c r="AM756" s="5201">
        <v>44858</v>
      </c>
      <c r="AN756" s="5201">
        <f>SUM(BO756:CB756)</f>
        <v>205419.6</v>
      </c>
      <c r="AO756" s="5930">
        <v>44924</v>
      </c>
      <c r="AP756" s="5201">
        <f>AG756-AN756</f>
        <v>146531.804</v>
      </c>
      <c r="AQ756" s="5797"/>
      <c r="AR756" s="5201"/>
      <c r="AS756" s="5947"/>
      <c r="AT756" s="5797"/>
      <c r="AU756" s="3812"/>
      <c r="AV756" s="3812"/>
      <c r="AW756" s="3812"/>
      <c r="AX756" s="3812"/>
      <c r="AY756" s="3812"/>
      <c r="AZ756" s="3812"/>
      <c r="BA756" s="5146"/>
      <c r="BB756" s="5146"/>
      <c r="BC756" s="3812"/>
      <c r="BD756" s="5146"/>
      <c r="BE756" s="5146"/>
      <c r="BF756" s="5146"/>
      <c r="BG756" s="5146"/>
      <c r="BH756" s="5152"/>
      <c r="BI756" s="5146"/>
      <c r="BJ756" s="5146"/>
      <c r="BK756" s="5146"/>
      <c r="BL756" s="5146"/>
      <c r="BM756" s="5296"/>
      <c r="BN756" s="5263">
        <v>351951.404</v>
      </c>
      <c r="BO756" s="5273"/>
      <c r="BP756" s="5146"/>
      <c r="BQ756" s="5146"/>
      <c r="BR756" s="5146"/>
      <c r="BS756" s="5146"/>
      <c r="BT756" s="5146"/>
      <c r="BU756" s="5146"/>
      <c r="BV756" s="5146"/>
      <c r="BW756" s="5146"/>
      <c r="BX756" s="5146"/>
      <c r="BY756" s="5146"/>
      <c r="BZ756" s="5146"/>
      <c r="CA756" s="5296"/>
      <c r="CB756" s="5282">
        <v>205419.6</v>
      </c>
      <c r="CC756" s="5309"/>
      <c r="CD756" s="5059"/>
      <c r="CE756" s="5154"/>
      <c r="CF756" s="5154"/>
      <c r="CG756" s="5154"/>
      <c r="CH756" s="5154"/>
    </row>
    <row r="757" s="4980" customFormat="1" ht="30" customHeight="1" spans="1:86">
      <c r="A757" s="3812"/>
      <c r="B757" s="857"/>
      <c r="C757" s="857"/>
      <c r="D757" s="5059"/>
      <c r="E757" s="5059"/>
      <c r="F757" s="5059"/>
      <c r="G757" s="1032"/>
      <c r="H757" s="5059"/>
      <c r="I757" s="5205"/>
      <c r="J757" s="5059"/>
      <c r="K757" s="1032"/>
      <c r="L757" s="5059"/>
      <c r="M757" s="3812"/>
      <c r="N757" s="3812"/>
      <c r="O757" s="3812"/>
      <c r="P757" s="3812"/>
      <c r="Q757" s="3812"/>
      <c r="R757" s="3812"/>
      <c r="S757" s="3812"/>
      <c r="T757" s="3812"/>
      <c r="U757" s="3812"/>
      <c r="V757" s="3812"/>
      <c r="W757" s="3812"/>
      <c r="X757" s="3812"/>
      <c r="Y757" s="3812"/>
      <c r="Z757" s="3812"/>
      <c r="AA757" s="3812"/>
      <c r="AB757" s="3812"/>
      <c r="AC757" s="1032"/>
      <c r="AD757" s="5714"/>
      <c r="AE757" s="5929"/>
      <c r="AF757" s="5930"/>
      <c r="AG757" s="5201"/>
      <c r="AH757" s="5930"/>
      <c r="AI757" s="5201"/>
      <c r="AJ757" s="5201"/>
      <c r="AK757" s="5201"/>
      <c r="AL757" s="5201"/>
      <c r="AM757" s="5201"/>
      <c r="AN757" s="5201">
        <f>SUM(BO757:CB757)</f>
        <v>146531.81</v>
      </c>
      <c r="AO757" s="5201">
        <v>45071</v>
      </c>
      <c r="AP757" s="5201">
        <f>AG757-AN757</f>
        <v>-146531.81</v>
      </c>
      <c r="AQ757" s="5797"/>
      <c r="AR757" s="5201"/>
      <c r="AS757" s="5947"/>
      <c r="AT757" s="5797"/>
      <c r="AU757" s="3812"/>
      <c r="AV757" s="3812"/>
      <c r="AW757" s="3812"/>
      <c r="AX757" s="3812"/>
      <c r="AY757" s="3812"/>
      <c r="AZ757" s="3812"/>
      <c r="BA757" s="5146"/>
      <c r="BB757" s="5146"/>
      <c r="BC757" s="3812"/>
      <c r="BD757" s="5146"/>
      <c r="BE757" s="5146"/>
      <c r="BF757" s="5146"/>
      <c r="BG757" s="5146"/>
      <c r="BH757" s="5152"/>
      <c r="BI757" s="5146"/>
      <c r="BJ757" s="5146"/>
      <c r="BK757" s="5146"/>
      <c r="BL757" s="5146"/>
      <c r="BM757" s="5296"/>
      <c r="BN757" s="5263"/>
      <c r="BO757" s="5273"/>
      <c r="BP757" s="5146"/>
      <c r="BQ757" s="5146"/>
      <c r="BR757" s="5146"/>
      <c r="BS757" s="5146"/>
      <c r="BT757" s="5146"/>
      <c r="BU757" s="5146"/>
      <c r="BV757" s="5146"/>
      <c r="BW757" s="5146"/>
      <c r="BX757" s="5146"/>
      <c r="BY757" s="5146"/>
      <c r="BZ757" s="5146"/>
      <c r="CA757" s="5296"/>
      <c r="CB757" s="5282">
        <v>146531.81</v>
      </c>
      <c r="CC757" s="5309"/>
      <c r="CD757" s="5059"/>
      <c r="CE757" s="5154"/>
      <c r="CF757" s="5154"/>
      <c r="CG757" s="5154"/>
      <c r="CH757" s="5154"/>
    </row>
    <row r="758" s="4980" customFormat="1" ht="30" customHeight="1" spans="1:86">
      <c r="A758" s="3812"/>
      <c r="B758" s="857"/>
      <c r="C758" s="857"/>
      <c r="D758" s="5059"/>
      <c r="E758" s="5059"/>
      <c r="F758" s="5059"/>
      <c r="G758" s="1032"/>
      <c r="H758" s="5059"/>
      <c r="I758" s="5205"/>
      <c r="J758" s="5059"/>
      <c r="K758" s="1032"/>
      <c r="L758" s="5059"/>
      <c r="M758" s="3812"/>
      <c r="N758" s="3812"/>
      <c r="O758" s="3812"/>
      <c r="P758" s="3812"/>
      <c r="Q758" s="3812"/>
      <c r="R758" s="3812"/>
      <c r="S758" s="3812"/>
      <c r="T758" s="3812"/>
      <c r="U758" s="3812"/>
      <c r="V758" s="3812"/>
      <c r="W758" s="3812"/>
      <c r="X758" s="3812"/>
      <c r="Y758" s="3812"/>
      <c r="Z758" s="3812"/>
      <c r="AA758" s="3812"/>
      <c r="AB758" s="3812"/>
      <c r="AC758" s="1032"/>
      <c r="AD758" s="5714"/>
      <c r="AE758" s="5929"/>
      <c r="AF758" s="5930"/>
      <c r="AG758" s="5201">
        <f>SUM(BA758:BN758)</f>
        <v>0</v>
      </c>
      <c r="AH758" s="5847"/>
      <c r="AI758" s="5201"/>
      <c r="AJ758" s="5201"/>
      <c r="AK758" s="5201"/>
      <c r="AL758" s="5201"/>
      <c r="AM758" s="5201"/>
      <c r="AN758" s="5201"/>
      <c r="AO758" s="5201"/>
      <c r="AP758" s="5201">
        <f>AG758-AN758</f>
        <v>0</v>
      </c>
      <c r="AQ758" s="5797"/>
      <c r="AR758" s="5201"/>
      <c r="AS758" s="5947"/>
      <c r="AT758" s="5797"/>
      <c r="AU758" s="3812"/>
      <c r="AV758" s="3812"/>
      <c r="AW758" s="3812"/>
      <c r="AX758" s="3812"/>
      <c r="AY758" s="3812"/>
      <c r="AZ758" s="3812"/>
      <c r="BA758" s="5146"/>
      <c r="BB758" s="5146"/>
      <c r="BC758" s="3812"/>
      <c r="BD758" s="5146"/>
      <c r="BE758" s="5146"/>
      <c r="BF758" s="5146"/>
      <c r="BG758" s="5146"/>
      <c r="BH758" s="5948"/>
      <c r="BI758" s="5146"/>
      <c r="BJ758" s="5146"/>
      <c r="BK758" s="5146"/>
      <c r="BL758" s="5146"/>
      <c r="BM758" s="5296"/>
      <c r="BN758" s="5263"/>
      <c r="BO758" s="5273"/>
      <c r="BP758" s="5146"/>
      <c r="BQ758" s="5146"/>
      <c r="BR758" s="5146"/>
      <c r="BS758" s="5146"/>
      <c r="BT758" s="5146"/>
      <c r="BU758" s="5146"/>
      <c r="BV758" s="5146"/>
      <c r="BW758" s="5146"/>
      <c r="BX758" s="5146"/>
      <c r="BY758" s="5146"/>
      <c r="BZ758" s="5146"/>
      <c r="CA758" s="5296"/>
      <c r="CB758" s="5282"/>
      <c r="CC758" s="5309"/>
      <c r="CD758" s="5059"/>
      <c r="CE758" s="5154"/>
      <c r="CF758" s="5154"/>
      <c r="CG758" s="5154"/>
      <c r="CH758" s="5154"/>
    </row>
    <row r="759" s="4980" customFormat="1" ht="30" customHeight="1" spans="1:86">
      <c r="A759" s="3812"/>
      <c r="B759" s="857"/>
      <c r="C759" s="857"/>
      <c r="D759" s="5059"/>
      <c r="E759" s="5059"/>
      <c r="F759" s="5059"/>
      <c r="G759" s="1032"/>
      <c r="H759" s="5059"/>
      <c r="I759" s="5205"/>
      <c r="J759" s="5059"/>
      <c r="K759" s="1032"/>
      <c r="L759" s="5059"/>
      <c r="M759" s="3812"/>
      <c r="N759" s="3812"/>
      <c r="O759" s="3812"/>
      <c r="P759" s="3812"/>
      <c r="Q759" s="3812"/>
      <c r="R759" s="3812"/>
      <c r="S759" s="3812"/>
      <c r="T759" s="3812"/>
      <c r="U759" s="3812"/>
      <c r="V759" s="3812"/>
      <c r="W759" s="3812"/>
      <c r="X759" s="3812"/>
      <c r="Y759" s="3812"/>
      <c r="Z759" s="3812"/>
      <c r="AA759" s="3812"/>
      <c r="AB759" s="3812"/>
      <c r="AC759" s="1032"/>
      <c r="AD759" s="5714" t="s">
        <v>1656</v>
      </c>
      <c r="AE759" s="5929">
        <v>0.4</v>
      </c>
      <c r="AF759" s="5930">
        <v>1959475.5</v>
      </c>
      <c r="AG759" s="5934">
        <f>SUM(BA759:BN759)</f>
        <v>703902.808</v>
      </c>
      <c r="AH759" s="5935" t="s">
        <v>122</v>
      </c>
      <c r="AI759" s="5934">
        <v>44659</v>
      </c>
      <c r="AJ759" s="5934">
        <v>703902.808</v>
      </c>
      <c r="AK759" s="5934">
        <v>44659</v>
      </c>
      <c r="AL759" s="5934">
        <v>703902.808</v>
      </c>
      <c r="AM759" s="5934">
        <v>44858</v>
      </c>
      <c r="AN759" s="5201">
        <f>SUM(BO759:CB759)</f>
        <v>159157.13</v>
      </c>
      <c r="AO759" s="5201">
        <v>45167</v>
      </c>
      <c r="AP759" s="5201">
        <f>AG759-AN759</f>
        <v>544745.678</v>
      </c>
      <c r="AQ759" s="5797"/>
      <c r="AR759" s="5201"/>
      <c r="AS759" s="5931"/>
      <c r="AT759" s="5797"/>
      <c r="AU759" s="3812"/>
      <c r="AV759" s="3812"/>
      <c r="AW759" s="3812"/>
      <c r="AX759" s="3812"/>
      <c r="AY759" s="3812"/>
      <c r="AZ759" s="3812"/>
      <c r="BA759" s="5146"/>
      <c r="BB759" s="5146"/>
      <c r="BC759" s="3812"/>
      <c r="BD759" s="5146"/>
      <c r="BE759" s="5146"/>
      <c r="BF759" s="5146"/>
      <c r="BG759" s="5146"/>
      <c r="BH759" s="5152"/>
      <c r="BI759" s="5146"/>
      <c r="BJ759" s="5146"/>
      <c r="BK759" s="5146"/>
      <c r="BL759" s="5146"/>
      <c r="BM759" s="5916"/>
      <c r="BN759" s="5280">
        <v>703902.808</v>
      </c>
      <c r="BO759" s="5273"/>
      <c r="BP759" s="5146"/>
      <c r="BQ759" s="5146"/>
      <c r="BR759" s="5146"/>
      <c r="BS759" s="5146"/>
      <c r="BT759" s="5146"/>
      <c r="BU759" s="5146"/>
      <c r="BV759" s="5146"/>
      <c r="BW759" s="5146"/>
      <c r="BX759" s="5146"/>
      <c r="BY759" s="5146"/>
      <c r="BZ759" s="5146"/>
      <c r="CA759" s="5296"/>
      <c r="CB759" s="5282">
        <v>159157.13</v>
      </c>
      <c r="CC759" s="5309"/>
      <c r="CD759" s="5059"/>
      <c r="CE759" s="5154"/>
      <c r="CF759" s="5154"/>
      <c r="CG759" s="5154"/>
      <c r="CH759" s="5154"/>
    </row>
    <row r="760" s="4980" customFormat="1" ht="31" spans="1:86">
      <c r="A760" s="3812"/>
      <c r="B760" s="857"/>
      <c r="C760" s="857"/>
      <c r="D760" s="5059"/>
      <c r="E760" s="5059"/>
      <c r="F760" s="5059"/>
      <c r="G760" s="1032"/>
      <c r="H760" s="5059"/>
      <c r="I760" s="5205"/>
      <c r="J760" s="5059"/>
      <c r="K760" s="1032"/>
      <c r="L760" s="5059"/>
      <c r="M760" s="3812"/>
      <c r="N760" s="3812"/>
      <c r="O760" s="3812"/>
      <c r="P760" s="3812"/>
      <c r="Q760" s="3812"/>
      <c r="R760" s="3812"/>
      <c r="S760" s="3812"/>
      <c r="T760" s="3812"/>
      <c r="U760" s="3812"/>
      <c r="V760" s="3812"/>
      <c r="W760" s="3812"/>
      <c r="X760" s="3812"/>
      <c r="Y760" s="3812"/>
      <c r="Z760" s="3812"/>
      <c r="AA760" s="3812"/>
      <c r="AB760" s="3812"/>
      <c r="AC760" s="1032"/>
      <c r="AD760" s="5714"/>
      <c r="AE760" s="5929"/>
      <c r="AF760" s="5930"/>
      <c r="AG760" s="5936"/>
      <c r="AH760" s="5937"/>
      <c r="AI760" s="5936"/>
      <c r="AJ760" s="5936"/>
      <c r="AK760" s="5936"/>
      <c r="AL760" s="5936"/>
      <c r="AM760" s="5936"/>
      <c r="AN760" s="5201">
        <f>SUM(BO760:CB760)</f>
        <v>150000</v>
      </c>
      <c r="AO760" s="5201">
        <v>45321</v>
      </c>
      <c r="AP760" s="5201"/>
      <c r="AQ760" s="5946" t="s">
        <v>1638</v>
      </c>
      <c r="AR760" s="5201"/>
      <c r="AS760" s="5931"/>
      <c r="AT760" s="5797"/>
      <c r="AU760" s="3812"/>
      <c r="AV760" s="3812"/>
      <c r="AW760" s="3812"/>
      <c r="AX760" s="3812"/>
      <c r="AY760" s="3812"/>
      <c r="AZ760" s="3812"/>
      <c r="BA760" s="5146"/>
      <c r="BB760" s="5146"/>
      <c r="BC760" s="3812"/>
      <c r="BD760" s="5146"/>
      <c r="BE760" s="5146"/>
      <c r="BF760" s="5146"/>
      <c r="BG760" s="5146"/>
      <c r="BH760" s="5152"/>
      <c r="BI760" s="5146"/>
      <c r="BJ760" s="5146"/>
      <c r="BK760" s="5146"/>
      <c r="BL760" s="5146"/>
      <c r="BM760" s="5957"/>
      <c r="BN760" s="5803"/>
      <c r="BO760" s="5273"/>
      <c r="BP760" s="5146"/>
      <c r="BQ760" s="5146"/>
      <c r="BR760" s="5146"/>
      <c r="BS760" s="5146"/>
      <c r="BT760" s="5146"/>
      <c r="BU760" s="5146"/>
      <c r="BV760" s="5146"/>
      <c r="BW760" s="5146"/>
      <c r="BX760" s="5146"/>
      <c r="BY760" s="5146"/>
      <c r="BZ760" s="5146"/>
      <c r="CA760" s="5296"/>
      <c r="CB760" s="5282">
        <v>150000</v>
      </c>
      <c r="CC760" s="5309"/>
      <c r="CD760" s="5059"/>
      <c r="CE760" s="5154"/>
      <c r="CF760" s="5154"/>
      <c r="CG760" s="5154"/>
      <c r="CH760" s="5154"/>
    </row>
    <row r="761" s="4980" customFormat="1" ht="30" customHeight="1" spans="1:86">
      <c r="A761" s="3812"/>
      <c r="B761" s="857"/>
      <c r="C761" s="857"/>
      <c r="D761" s="5059"/>
      <c r="E761" s="5059"/>
      <c r="F761" s="5059"/>
      <c r="G761" s="1032"/>
      <c r="H761" s="5059"/>
      <c r="I761" s="5205"/>
      <c r="J761" s="5059"/>
      <c r="K761" s="1032"/>
      <c r="L761" s="5059"/>
      <c r="M761" s="3812"/>
      <c r="N761" s="3812"/>
      <c r="O761" s="3812"/>
      <c r="P761" s="3812"/>
      <c r="Q761" s="3812"/>
      <c r="R761" s="3812"/>
      <c r="S761" s="3812"/>
      <c r="T761" s="3812"/>
      <c r="U761" s="3812"/>
      <c r="V761" s="3812"/>
      <c r="W761" s="3812"/>
      <c r="X761" s="3812"/>
      <c r="Y761" s="3812"/>
      <c r="Z761" s="3812"/>
      <c r="AA761" s="3812"/>
      <c r="AB761" s="3812"/>
      <c r="AC761" s="1032"/>
      <c r="AD761" s="5714"/>
      <c r="AE761" s="5929"/>
      <c r="AF761" s="5930"/>
      <c r="AG761" s="5938"/>
      <c r="AH761" s="5939"/>
      <c r="AI761" s="5938"/>
      <c r="AJ761" s="5938"/>
      <c r="AK761" s="5938"/>
      <c r="AL761" s="5938"/>
      <c r="AM761" s="5938"/>
      <c r="AN761" s="5201">
        <f>SUM(BO761:CB761)</f>
        <v>394745.68</v>
      </c>
      <c r="AO761" s="5201"/>
      <c r="AP761" s="5201">
        <f>AG761-AN761</f>
        <v>-394745.68</v>
      </c>
      <c r="AQ761" s="5797"/>
      <c r="AR761" s="5201"/>
      <c r="AS761" s="5931"/>
      <c r="AT761" s="5797"/>
      <c r="AU761" s="3812"/>
      <c r="AV761" s="3812"/>
      <c r="AW761" s="3812"/>
      <c r="AX761" s="3812"/>
      <c r="AY761" s="3812"/>
      <c r="AZ761" s="3812"/>
      <c r="BA761" s="5146"/>
      <c r="BB761" s="5146"/>
      <c r="BC761" s="3812"/>
      <c r="BD761" s="5146"/>
      <c r="BE761" s="5146"/>
      <c r="BF761" s="5146"/>
      <c r="BG761" s="5146"/>
      <c r="BH761" s="5948"/>
      <c r="BI761" s="5146"/>
      <c r="BJ761" s="5146"/>
      <c r="BK761" s="5146"/>
      <c r="BL761" s="5146"/>
      <c r="BM761" s="5952"/>
      <c r="BN761" s="5800"/>
      <c r="BO761" s="5273"/>
      <c r="BP761" s="5146"/>
      <c r="BQ761" s="5146"/>
      <c r="BR761" s="5146"/>
      <c r="BS761" s="5146"/>
      <c r="BT761" s="5146"/>
      <c r="BU761" s="5146"/>
      <c r="BV761" s="5146"/>
      <c r="BW761" s="5146"/>
      <c r="BX761" s="5146"/>
      <c r="BY761" s="5146"/>
      <c r="BZ761" s="5146"/>
      <c r="CA761" s="5296"/>
      <c r="CB761" s="5282">
        <f>544745.68-CB760</f>
        <v>394745.68</v>
      </c>
      <c r="CC761" s="5309"/>
      <c r="CD761" s="5059"/>
      <c r="CE761" s="5154"/>
      <c r="CF761" s="5154"/>
      <c r="CG761" s="5154"/>
      <c r="CH761" s="5154"/>
    </row>
    <row r="762" s="4980" customFormat="1" ht="30" customHeight="1" spans="1:86">
      <c r="A762" s="3812"/>
      <c r="B762" s="857"/>
      <c r="C762" s="857"/>
      <c r="D762" s="5059"/>
      <c r="E762" s="5059"/>
      <c r="F762" s="5059"/>
      <c r="G762" s="1032"/>
      <c r="H762" s="5059"/>
      <c r="I762" s="5205"/>
      <c r="J762" s="5059"/>
      <c r="K762" s="1032"/>
      <c r="L762" s="5059"/>
      <c r="M762" s="3812"/>
      <c r="N762" s="3812"/>
      <c r="O762" s="3812"/>
      <c r="P762" s="3812"/>
      <c r="Q762" s="3812"/>
      <c r="R762" s="3812"/>
      <c r="S762" s="3812"/>
      <c r="T762" s="3812"/>
      <c r="U762" s="3812"/>
      <c r="V762" s="3812"/>
      <c r="W762" s="3812"/>
      <c r="X762" s="3812"/>
      <c r="Y762" s="3812"/>
      <c r="Z762" s="3812"/>
      <c r="AA762" s="3812"/>
      <c r="AB762" s="3812"/>
      <c r="AC762" s="1032"/>
      <c r="AD762" s="5714"/>
      <c r="AE762" s="5929"/>
      <c r="AF762" s="5930"/>
      <c r="AG762" s="5201">
        <f t="shared" ref="AG762:AG770" si="152">SUM(BA762:BN762)</f>
        <v>0</v>
      </c>
      <c r="AH762" s="5201"/>
      <c r="AI762" s="5201"/>
      <c r="AJ762" s="5201"/>
      <c r="AK762" s="5201"/>
      <c r="AL762" s="5201"/>
      <c r="AM762" s="5201"/>
      <c r="AN762" s="5201"/>
      <c r="AO762" s="5201"/>
      <c r="AP762" s="5201">
        <f>AG762-AN762</f>
        <v>0</v>
      </c>
      <c r="AQ762" s="5797"/>
      <c r="AR762" s="5201"/>
      <c r="AS762" s="5931"/>
      <c r="AT762" s="5797"/>
      <c r="AU762" s="3812"/>
      <c r="AV762" s="3812"/>
      <c r="AW762" s="3812"/>
      <c r="AX762" s="3812"/>
      <c r="AY762" s="3812"/>
      <c r="AZ762" s="3812"/>
      <c r="BA762" s="5146"/>
      <c r="BB762" s="5146"/>
      <c r="BC762" s="3812"/>
      <c r="BD762" s="5146"/>
      <c r="BE762" s="5146"/>
      <c r="BF762" s="5146"/>
      <c r="BG762" s="5146"/>
      <c r="BH762" s="5948"/>
      <c r="BI762" s="5146"/>
      <c r="BJ762" s="5146"/>
      <c r="BK762" s="5146"/>
      <c r="BL762" s="5146"/>
      <c r="BM762" s="5296"/>
      <c r="BN762" s="5263"/>
      <c r="BO762" s="5273"/>
      <c r="BP762" s="5146"/>
      <c r="BQ762" s="5146"/>
      <c r="BR762" s="5146"/>
      <c r="BS762" s="5146"/>
      <c r="BT762" s="5146"/>
      <c r="BU762" s="5146"/>
      <c r="BV762" s="5146"/>
      <c r="BW762" s="5146"/>
      <c r="BX762" s="5146"/>
      <c r="BY762" s="5146"/>
      <c r="BZ762" s="5146"/>
      <c r="CA762" s="5296"/>
      <c r="CB762" s="5282"/>
      <c r="CC762" s="5309"/>
      <c r="CD762" s="5059"/>
      <c r="CE762" s="5154"/>
      <c r="CF762" s="5154"/>
      <c r="CG762" s="5154"/>
      <c r="CH762" s="5154"/>
    </row>
    <row r="763" s="4980" customFormat="1" ht="30" customHeight="1" spans="1:86">
      <c r="A763" s="3812"/>
      <c r="B763" s="857"/>
      <c r="C763" s="857"/>
      <c r="D763" s="5059"/>
      <c r="E763" s="5059"/>
      <c r="F763" s="5059"/>
      <c r="G763" s="1032"/>
      <c r="H763" s="5059"/>
      <c r="I763" s="5205"/>
      <c r="J763" s="5059"/>
      <c r="K763" s="1032"/>
      <c r="L763" s="5059"/>
      <c r="M763" s="3812"/>
      <c r="N763" s="3812"/>
      <c r="O763" s="3812"/>
      <c r="P763" s="3812"/>
      <c r="Q763" s="3812"/>
      <c r="R763" s="3812"/>
      <c r="S763" s="3812"/>
      <c r="T763" s="3812"/>
      <c r="U763" s="3812"/>
      <c r="V763" s="3812"/>
      <c r="W763" s="3812"/>
      <c r="X763" s="3812"/>
      <c r="Y763" s="3812"/>
      <c r="Z763" s="3812"/>
      <c r="AA763" s="3812"/>
      <c r="AB763" s="3812"/>
      <c r="AC763" s="1032"/>
      <c r="AD763" s="5714" t="s">
        <v>1657</v>
      </c>
      <c r="AE763" s="5929">
        <v>0.1</v>
      </c>
      <c r="AF763" s="5930">
        <v>489868.87</v>
      </c>
      <c r="AG763" s="5201">
        <f t="shared" si="152"/>
        <v>0</v>
      </c>
      <c r="AH763" s="5201"/>
      <c r="AI763" s="5201"/>
      <c r="AJ763" s="5201"/>
      <c r="AK763" s="5201"/>
      <c r="AL763" s="5201"/>
      <c r="AM763" s="5201"/>
      <c r="AN763" s="5201"/>
      <c r="AO763" s="5201"/>
      <c r="AP763" s="5201">
        <f>AG763-AN763</f>
        <v>0</v>
      </c>
      <c r="AQ763" s="5797"/>
      <c r="AR763" s="5201"/>
      <c r="AS763" s="5931"/>
      <c r="AT763" s="5797"/>
      <c r="AU763" s="3812"/>
      <c r="AV763" s="3812"/>
      <c r="AW763" s="3812"/>
      <c r="AX763" s="3812"/>
      <c r="AY763" s="3812"/>
      <c r="AZ763" s="3812"/>
      <c r="BA763" s="5146"/>
      <c r="BB763" s="5146"/>
      <c r="BC763" s="3812"/>
      <c r="BD763" s="5146"/>
      <c r="BE763" s="5146"/>
      <c r="BF763" s="5146"/>
      <c r="BG763" s="5146"/>
      <c r="BH763" s="5948"/>
      <c r="BI763" s="5146"/>
      <c r="BJ763" s="5146"/>
      <c r="BK763" s="5146"/>
      <c r="BL763" s="5146"/>
      <c r="BM763" s="5296"/>
      <c r="BN763" s="5263"/>
      <c r="BO763" s="5273"/>
      <c r="BP763" s="5146"/>
      <c r="BQ763" s="5146"/>
      <c r="BR763" s="5146"/>
      <c r="BS763" s="5146"/>
      <c r="BT763" s="5146"/>
      <c r="BU763" s="5146"/>
      <c r="BV763" s="5146"/>
      <c r="BW763" s="5146"/>
      <c r="BX763" s="5146"/>
      <c r="BY763" s="5146"/>
      <c r="BZ763" s="5146"/>
      <c r="CA763" s="5296"/>
      <c r="CB763" s="5282"/>
      <c r="CC763" s="5309"/>
      <c r="CD763" s="5059"/>
      <c r="CE763" s="5154"/>
      <c r="CF763" s="5154"/>
      <c r="CG763" s="5154"/>
      <c r="CH763" s="5154"/>
    </row>
    <row r="764" s="4980" customFormat="1" ht="30" customHeight="1" spans="1:86">
      <c r="A764" s="3812"/>
      <c r="B764" s="857"/>
      <c r="C764" s="857"/>
      <c r="D764" s="5059"/>
      <c r="E764" s="5059"/>
      <c r="F764" s="5059"/>
      <c r="G764" s="1032"/>
      <c r="H764" s="5059"/>
      <c r="I764" s="5205"/>
      <c r="J764" s="5059"/>
      <c r="K764" s="1032"/>
      <c r="L764" s="5059"/>
      <c r="M764" s="3812"/>
      <c r="N764" s="3812"/>
      <c r="O764" s="3812"/>
      <c r="P764" s="3812"/>
      <c r="Q764" s="3812"/>
      <c r="R764" s="3812"/>
      <c r="S764" s="3812"/>
      <c r="T764" s="3812"/>
      <c r="U764" s="3812"/>
      <c r="V764" s="3812"/>
      <c r="W764" s="3812"/>
      <c r="X764" s="3812"/>
      <c r="Y764" s="3812"/>
      <c r="Z764" s="3812"/>
      <c r="AA764" s="3812"/>
      <c r="AB764" s="3812"/>
      <c r="AC764" s="1032"/>
      <c r="AD764" s="5931"/>
      <c r="AE764" s="5929"/>
      <c r="AF764" s="5930"/>
      <c r="AG764" s="5201">
        <f t="shared" si="152"/>
        <v>0</v>
      </c>
      <c r="AH764" s="5201"/>
      <c r="AI764" s="5201"/>
      <c r="AJ764" s="5201"/>
      <c r="AK764" s="5201"/>
      <c r="AL764" s="5201"/>
      <c r="AM764" s="5201"/>
      <c r="AN764" s="5201">
        <f t="shared" ref="AN764:AN770" si="153">SUM(BO764:CB764)</f>
        <v>0</v>
      </c>
      <c r="AO764" s="5201"/>
      <c r="AP764" s="5201">
        <f t="shared" ref="AP764:AP770" si="154">AG764-AN764</f>
        <v>0</v>
      </c>
      <c r="AQ764" s="5797"/>
      <c r="AR764" s="5201"/>
      <c r="AS764" s="5931"/>
      <c r="AT764" s="5797"/>
      <c r="AU764" s="3812"/>
      <c r="AV764" s="3812"/>
      <c r="AW764" s="3812"/>
      <c r="AX764" s="3812"/>
      <c r="AY764" s="3812"/>
      <c r="AZ764" s="3812"/>
      <c r="BA764" s="5146"/>
      <c r="BB764" s="5146"/>
      <c r="BC764" s="3812"/>
      <c r="BD764" s="5146"/>
      <c r="BE764" s="5146"/>
      <c r="BF764" s="5146"/>
      <c r="BG764" s="5146"/>
      <c r="BH764" s="5948"/>
      <c r="BI764" s="5146"/>
      <c r="BJ764" s="5146"/>
      <c r="BK764" s="5146"/>
      <c r="BL764" s="5146"/>
      <c r="BM764" s="5296"/>
      <c r="BN764" s="5263"/>
      <c r="BO764" s="5273"/>
      <c r="BP764" s="5146"/>
      <c r="BQ764" s="5146"/>
      <c r="BR764" s="5146"/>
      <c r="BS764" s="5146"/>
      <c r="BT764" s="5146"/>
      <c r="BU764" s="5146"/>
      <c r="BV764" s="5146"/>
      <c r="BW764" s="5146"/>
      <c r="BX764" s="5146"/>
      <c r="BY764" s="5146"/>
      <c r="BZ764" s="5146"/>
      <c r="CA764" s="5296"/>
      <c r="CB764" s="5282"/>
      <c r="CC764" s="5309"/>
      <c r="CD764" s="5059"/>
      <c r="CE764" s="5154"/>
      <c r="CF764" s="5154"/>
      <c r="CG764" s="5154"/>
      <c r="CH764" s="5154"/>
    </row>
    <row r="765" s="4980" customFormat="1" ht="61" spans="1:86">
      <c r="A765" s="3812"/>
      <c r="B765" s="857"/>
      <c r="C765" s="857"/>
      <c r="D765" s="5059"/>
      <c r="E765" s="5059"/>
      <c r="F765" s="5059"/>
      <c r="G765" s="1032"/>
      <c r="H765" s="5059"/>
      <c r="I765" s="5205"/>
      <c r="J765" s="5059"/>
      <c r="K765" s="1032"/>
      <c r="L765" s="5059"/>
      <c r="M765" s="3812"/>
      <c r="N765" s="3812"/>
      <c r="O765" s="3812"/>
      <c r="P765" s="3812"/>
      <c r="Q765" s="3812"/>
      <c r="R765" s="3812"/>
      <c r="S765" s="3812"/>
      <c r="T765" s="3812"/>
      <c r="U765" s="3812"/>
      <c r="V765" s="3812"/>
      <c r="W765" s="3812"/>
      <c r="X765" s="3812"/>
      <c r="Y765" s="3812"/>
      <c r="Z765" s="3812"/>
      <c r="AA765" s="3812"/>
      <c r="AB765" s="3812"/>
      <c r="AC765" s="1032" t="s">
        <v>1658</v>
      </c>
      <c r="AD765" s="5931" t="s">
        <v>1659</v>
      </c>
      <c r="AE765" s="5929">
        <v>0.1</v>
      </c>
      <c r="AF765" s="5930">
        <v>140635.94</v>
      </c>
      <c r="AG765" s="5201">
        <f t="shared" si="152"/>
        <v>0</v>
      </c>
      <c r="AH765" s="5201"/>
      <c r="AI765" s="5201"/>
      <c r="AJ765" s="5930"/>
      <c r="AK765" s="5201"/>
      <c r="AL765" s="5201"/>
      <c r="AM765" s="5201"/>
      <c r="AN765" s="5201">
        <f t="shared" si="153"/>
        <v>0</v>
      </c>
      <c r="AO765" s="5201"/>
      <c r="AP765" s="5201">
        <f t="shared" si="154"/>
        <v>0</v>
      </c>
      <c r="AQ765" s="5945"/>
      <c r="AR765" s="5201"/>
      <c r="AS765" s="5931"/>
      <c r="AT765" s="5797"/>
      <c r="AU765" s="3812"/>
      <c r="AV765" s="3812"/>
      <c r="AW765" s="3812"/>
      <c r="AX765" s="3812"/>
      <c r="AY765" s="3812"/>
      <c r="AZ765" s="3812"/>
      <c r="BA765" s="5146"/>
      <c r="BB765" s="5146"/>
      <c r="BC765" s="3812"/>
      <c r="BD765" s="5146"/>
      <c r="BE765" s="5146"/>
      <c r="BF765" s="5146"/>
      <c r="BG765" s="5146"/>
      <c r="BH765" s="5948"/>
      <c r="BI765" s="5146"/>
      <c r="BJ765" s="5146"/>
      <c r="BK765" s="5146"/>
      <c r="BL765" s="5146"/>
      <c r="BM765" s="5296"/>
      <c r="BN765" s="5263"/>
      <c r="BO765" s="5273"/>
      <c r="BP765" s="5146"/>
      <c r="BQ765" s="5146"/>
      <c r="BR765" s="5146"/>
      <c r="BS765" s="5146"/>
      <c r="BT765" s="5146"/>
      <c r="BU765" s="5146"/>
      <c r="BV765" s="5146"/>
      <c r="BW765" s="5146"/>
      <c r="BX765" s="5146"/>
      <c r="BY765" s="5146"/>
      <c r="BZ765" s="5146"/>
      <c r="CA765" s="5296"/>
      <c r="CB765" s="5282"/>
      <c r="CC765" s="5309"/>
      <c r="CD765" s="5059"/>
      <c r="CE765" s="5154"/>
      <c r="CF765" s="5154"/>
      <c r="CG765" s="5154"/>
      <c r="CH765" s="5154"/>
    </row>
    <row r="766" s="4980" customFormat="1" ht="76" spans="1:86">
      <c r="A766" s="3812"/>
      <c r="B766" s="857"/>
      <c r="C766" s="857"/>
      <c r="D766" s="5059"/>
      <c r="E766" s="5059"/>
      <c r="F766" s="5059"/>
      <c r="G766" s="1032"/>
      <c r="H766" s="5059"/>
      <c r="I766" s="5205"/>
      <c r="J766" s="5059"/>
      <c r="K766" s="1032"/>
      <c r="L766" s="5059"/>
      <c r="M766" s="3812"/>
      <c r="N766" s="3812"/>
      <c r="O766" s="3812"/>
      <c r="P766" s="3812"/>
      <c r="Q766" s="3812"/>
      <c r="R766" s="3812"/>
      <c r="S766" s="3812"/>
      <c r="T766" s="3812"/>
      <c r="U766" s="3812"/>
      <c r="V766" s="3812"/>
      <c r="W766" s="3812"/>
      <c r="X766" s="3812"/>
      <c r="Y766" s="3812"/>
      <c r="Z766" s="3812"/>
      <c r="AA766" s="3812"/>
      <c r="AB766" s="3812"/>
      <c r="AC766" s="1032"/>
      <c r="AD766" s="5931" t="s">
        <v>1660</v>
      </c>
      <c r="AE766" s="5714">
        <v>0.1</v>
      </c>
      <c r="AF766" s="5930">
        <v>140635.94</v>
      </c>
      <c r="AG766" s="5201">
        <f t="shared" si="152"/>
        <v>0</v>
      </c>
      <c r="AH766" s="5201"/>
      <c r="AI766" s="5201"/>
      <c r="AJ766" s="5930"/>
      <c r="AK766" s="5201"/>
      <c r="AL766" s="5201"/>
      <c r="AM766" s="5201"/>
      <c r="AN766" s="5201">
        <f t="shared" si="153"/>
        <v>0</v>
      </c>
      <c r="AO766" s="5201"/>
      <c r="AP766" s="5201">
        <f t="shared" si="154"/>
        <v>0</v>
      </c>
      <c r="AQ766" s="5797"/>
      <c r="AR766" s="5201"/>
      <c r="AS766" s="5931"/>
      <c r="AT766" s="5797"/>
      <c r="AU766" s="3812"/>
      <c r="AV766" s="3812"/>
      <c r="AW766" s="3812"/>
      <c r="AX766" s="3812"/>
      <c r="AY766" s="3812"/>
      <c r="AZ766" s="3812"/>
      <c r="BA766" s="5146"/>
      <c r="BB766" s="5146"/>
      <c r="BC766" s="3812"/>
      <c r="BD766" s="5146"/>
      <c r="BE766" s="5146"/>
      <c r="BF766" s="5146"/>
      <c r="BG766" s="5146"/>
      <c r="BH766" s="5948"/>
      <c r="BI766" s="5146"/>
      <c r="BJ766" s="5146"/>
      <c r="BK766" s="5146"/>
      <c r="BL766" s="5146"/>
      <c r="BM766" s="5296"/>
      <c r="BN766" s="5263"/>
      <c r="BO766" s="5273"/>
      <c r="BP766" s="5146"/>
      <c r="BQ766" s="5146"/>
      <c r="BR766" s="5146"/>
      <c r="BS766" s="5146"/>
      <c r="BT766" s="5146"/>
      <c r="BU766" s="5146"/>
      <c r="BV766" s="5146"/>
      <c r="BW766" s="5146"/>
      <c r="BX766" s="5146"/>
      <c r="BY766" s="5146"/>
      <c r="BZ766" s="5146"/>
      <c r="CA766" s="5296"/>
      <c r="CB766" s="5282"/>
      <c r="CC766" s="5309"/>
      <c r="CD766" s="5059"/>
      <c r="CE766" s="5154"/>
      <c r="CF766" s="5154"/>
      <c r="CG766" s="5154"/>
      <c r="CH766" s="5154"/>
    </row>
    <row r="767" s="4980" customFormat="1" ht="61" spans="1:86">
      <c r="A767" s="3812"/>
      <c r="B767" s="857"/>
      <c r="C767" s="857"/>
      <c r="D767" s="5059"/>
      <c r="E767" s="5059"/>
      <c r="F767" s="5059"/>
      <c r="G767" s="1032"/>
      <c r="H767" s="5059"/>
      <c r="I767" s="5205"/>
      <c r="J767" s="5059"/>
      <c r="K767" s="1032"/>
      <c r="L767" s="5059"/>
      <c r="M767" s="3812"/>
      <c r="N767" s="3812"/>
      <c r="O767" s="3812"/>
      <c r="P767" s="3812"/>
      <c r="Q767" s="3812"/>
      <c r="R767" s="3812"/>
      <c r="S767" s="3812"/>
      <c r="T767" s="3812"/>
      <c r="U767" s="3812"/>
      <c r="V767" s="3812"/>
      <c r="W767" s="3812"/>
      <c r="X767" s="3812"/>
      <c r="Y767" s="3812"/>
      <c r="Z767" s="3812"/>
      <c r="AA767" s="3812"/>
      <c r="AB767" s="3812"/>
      <c r="AC767" s="1032"/>
      <c r="AD767" s="5931" t="s">
        <v>1661</v>
      </c>
      <c r="AE767" s="5929">
        <v>0.4</v>
      </c>
      <c r="AF767" s="5930">
        <v>562543.74</v>
      </c>
      <c r="AG767" s="5201">
        <f t="shared" si="152"/>
        <v>0</v>
      </c>
      <c r="AH767" s="5201"/>
      <c r="AI767" s="5201"/>
      <c r="AJ767" s="5201"/>
      <c r="AK767" s="5201"/>
      <c r="AL767" s="5201"/>
      <c r="AM767" s="5201"/>
      <c r="AN767" s="5201">
        <f t="shared" si="153"/>
        <v>0</v>
      </c>
      <c r="AO767" s="5201"/>
      <c r="AP767" s="5201">
        <f t="shared" si="154"/>
        <v>0</v>
      </c>
      <c r="AQ767" s="5797"/>
      <c r="AR767" s="5201"/>
      <c r="AS767" s="5931"/>
      <c r="AT767" s="5797"/>
      <c r="AU767" s="3812"/>
      <c r="AV767" s="3812"/>
      <c r="AW767" s="3812"/>
      <c r="AX767" s="3812"/>
      <c r="AY767" s="3812"/>
      <c r="AZ767" s="3812"/>
      <c r="BA767" s="5146"/>
      <c r="BB767" s="5146"/>
      <c r="BC767" s="3812"/>
      <c r="BD767" s="5146"/>
      <c r="BE767" s="5146"/>
      <c r="BF767" s="5146"/>
      <c r="BG767" s="5146"/>
      <c r="BH767" s="5948"/>
      <c r="BI767" s="5146"/>
      <c r="BJ767" s="5146"/>
      <c r="BK767" s="5146"/>
      <c r="BL767" s="5146"/>
      <c r="BM767" s="5296"/>
      <c r="BN767" s="5263"/>
      <c r="BO767" s="5273"/>
      <c r="BP767" s="5146"/>
      <c r="BQ767" s="5146"/>
      <c r="BR767" s="5146"/>
      <c r="BS767" s="5146"/>
      <c r="BT767" s="5146"/>
      <c r="BU767" s="5146"/>
      <c r="BV767" s="5146"/>
      <c r="BW767" s="5146"/>
      <c r="BX767" s="5146"/>
      <c r="BY767" s="5146"/>
      <c r="BZ767" s="5146"/>
      <c r="CA767" s="5296"/>
      <c r="CB767" s="5282"/>
      <c r="CC767" s="5309"/>
      <c r="CD767" s="5059"/>
      <c r="CE767" s="5154"/>
      <c r="CF767" s="5154"/>
      <c r="CG767" s="5154"/>
      <c r="CH767" s="5154"/>
    </row>
    <row r="768" s="4980" customFormat="1" ht="61" spans="1:86">
      <c r="A768" s="3812"/>
      <c r="B768" s="857"/>
      <c r="C768" s="857"/>
      <c r="D768" s="5059"/>
      <c r="E768" s="5059"/>
      <c r="F768" s="5059"/>
      <c r="G768" s="1032"/>
      <c r="H768" s="5059"/>
      <c r="I768" s="5205"/>
      <c r="J768" s="5059"/>
      <c r="K768" s="1032"/>
      <c r="L768" s="5059"/>
      <c r="M768" s="3812"/>
      <c r="N768" s="3812"/>
      <c r="O768" s="3812"/>
      <c r="P768" s="3812"/>
      <c r="Q768" s="3812"/>
      <c r="R768" s="3812"/>
      <c r="S768" s="3812"/>
      <c r="T768" s="3812"/>
      <c r="U768" s="3812"/>
      <c r="V768" s="3812"/>
      <c r="W768" s="3812"/>
      <c r="X768" s="3812"/>
      <c r="Y768" s="3812"/>
      <c r="Z768" s="3812"/>
      <c r="AA768" s="3812"/>
      <c r="AB768" s="3812"/>
      <c r="AC768" s="1032"/>
      <c r="AD768" s="5931" t="s">
        <v>1662</v>
      </c>
      <c r="AE768" s="5929">
        <v>0.3</v>
      </c>
      <c r="AF768" s="5930">
        <v>421907.81</v>
      </c>
      <c r="AG768" s="5201">
        <f t="shared" si="152"/>
        <v>0</v>
      </c>
      <c r="AH768" s="5201"/>
      <c r="AI768" s="5201"/>
      <c r="AJ768" s="5201"/>
      <c r="AK768" s="5201"/>
      <c r="AL768" s="5201"/>
      <c r="AM768" s="5201"/>
      <c r="AN768" s="5201">
        <f t="shared" si="153"/>
        <v>0</v>
      </c>
      <c r="AO768" s="5201"/>
      <c r="AP768" s="5201">
        <f t="shared" si="154"/>
        <v>0</v>
      </c>
      <c r="AQ768" s="5797"/>
      <c r="AR768" s="5201"/>
      <c r="AS768" s="5931"/>
      <c r="AT768" s="5797"/>
      <c r="AU768" s="3812"/>
      <c r="AV768" s="3812"/>
      <c r="AW768" s="3812"/>
      <c r="AX768" s="3812"/>
      <c r="AY768" s="3812"/>
      <c r="AZ768" s="3812"/>
      <c r="BA768" s="5146"/>
      <c r="BB768" s="5146"/>
      <c r="BC768" s="3812"/>
      <c r="BD768" s="5146"/>
      <c r="BE768" s="5146"/>
      <c r="BF768" s="5146"/>
      <c r="BG768" s="5146"/>
      <c r="BH768" s="5948"/>
      <c r="BI768" s="5146"/>
      <c r="BJ768" s="5146"/>
      <c r="BK768" s="5146"/>
      <c r="BL768" s="5146"/>
      <c r="BM768" s="5296"/>
      <c r="BN768" s="5263"/>
      <c r="BO768" s="5273"/>
      <c r="BP768" s="5146"/>
      <c r="BQ768" s="5146"/>
      <c r="BR768" s="5146"/>
      <c r="BS768" s="5146"/>
      <c r="BT768" s="5146"/>
      <c r="BU768" s="5146"/>
      <c r="BV768" s="5146"/>
      <c r="BW768" s="5146"/>
      <c r="BX768" s="5146"/>
      <c r="BY768" s="5146"/>
      <c r="BZ768" s="5146"/>
      <c r="CA768" s="5296"/>
      <c r="CB768" s="5282"/>
      <c r="CC768" s="5309"/>
      <c r="CD768" s="5059"/>
      <c r="CE768" s="5154"/>
      <c r="CF768" s="5154"/>
      <c r="CG768" s="5154"/>
      <c r="CH768" s="5154"/>
    </row>
    <row r="769" s="4980" customFormat="1" ht="46" spans="1:86">
      <c r="A769" s="3812"/>
      <c r="B769" s="857"/>
      <c r="C769" s="857"/>
      <c r="D769" s="5059"/>
      <c r="E769" s="5059"/>
      <c r="F769" s="5059"/>
      <c r="G769" s="1032"/>
      <c r="H769" s="5059"/>
      <c r="I769" s="5205"/>
      <c r="J769" s="5059"/>
      <c r="K769" s="1032"/>
      <c r="L769" s="5059"/>
      <c r="M769" s="3812"/>
      <c r="N769" s="3812"/>
      <c r="O769" s="3812"/>
      <c r="P769" s="3812"/>
      <c r="Q769" s="3812"/>
      <c r="R769" s="3812"/>
      <c r="S769" s="3812"/>
      <c r="T769" s="3812"/>
      <c r="U769" s="3812"/>
      <c r="V769" s="3812"/>
      <c r="W769" s="3812"/>
      <c r="X769" s="3812"/>
      <c r="Y769" s="3812"/>
      <c r="Z769" s="3812"/>
      <c r="AA769" s="3812"/>
      <c r="AB769" s="3812"/>
      <c r="AC769" s="1032"/>
      <c r="AD769" s="5931" t="s">
        <v>1663</v>
      </c>
      <c r="AE769" s="5929">
        <v>0.1</v>
      </c>
      <c r="AF769" s="5930">
        <v>140635.94</v>
      </c>
      <c r="AG769" s="5201">
        <f t="shared" si="152"/>
        <v>0</v>
      </c>
      <c r="AH769" s="5201"/>
      <c r="AI769" s="5201"/>
      <c r="AJ769" s="5201"/>
      <c r="AK769" s="5201"/>
      <c r="AL769" s="5201"/>
      <c r="AM769" s="5201"/>
      <c r="AN769" s="5201">
        <f t="shared" si="153"/>
        <v>0</v>
      </c>
      <c r="AO769" s="5201"/>
      <c r="AP769" s="5201">
        <f t="shared" si="154"/>
        <v>0</v>
      </c>
      <c r="AQ769" s="5797"/>
      <c r="AR769" s="5201"/>
      <c r="AS769" s="5931"/>
      <c r="AT769" s="5797"/>
      <c r="AU769" s="3812"/>
      <c r="AV769" s="3812"/>
      <c r="AW769" s="3812"/>
      <c r="AX769" s="3812"/>
      <c r="AY769" s="3812"/>
      <c r="AZ769" s="3812"/>
      <c r="BA769" s="5146"/>
      <c r="BB769" s="5146"/>
      <c r="BC769" s="3812"/>
      <c r="BD769" s="5146"/>
      <c r="BE769" s="5146"/>
      <c r="BF769" s="5146"/>
      <c r="BG769" s="5146"/>
      <c r="BH769" s="5948"/>
      <c r="BI769" s="5146"/>
      <c r="BJ769" s="5146"/>
      <c r="BK769" s="5146"/>
      <c r="BL769" s="5146"/>
      <c r="BM769" s="5296"/>
      <c r="BN769" s="5263"/>
      <c r="BO769" s="5273"/>
      <c r="BP769" s="5146"/>
      <c r="BQ769" s="5146"/>
      <c r="BR769" s="5146"/>
      <c r="BS769" s="5146"/>
      <c r="BT769" s="5146"/>
      <c r="BU769" s="5146"/>
      <c r="BV769" s="5146"/>
      <c r="BW769" s="5146"/>
      <c r="BX769" s="5146"/>
      <c r="BY769" s="5146"/>
      <c r="BZ769" s="5146"/>
      <c r="CA769" s="5296"/>
      <c r="CB769" s="5282"/>
      <c r="CC769" s="5309"/>
      <c r="CD769" s="5059"/>
      <c r="CE769" s="5154"/>
      <c r="CF769" s="5154"/>
      <c r="CG769" s="5154"/>
      <c r="CH769" s="5154"/>
    </row>
    <row r="770" s="4980" customFormat="1" ht="30" customHeight="1" spans="1:86">
      <c r="A770" s="3812"/>
      <c r="B770" s="857"/>
      <c r="C770" s="857"/>
      <c r="D770" s="5059"/>
      <c r="E770" s="5059"/>
      <c r="F770" s="5059"/>
      <c r="G770" s="1032"/>
      <c r="H770" s="5059"/>
      <c r="I770" s="5205"/>
      <c r="J770" s="5059"/>
      <c r="K770" s="1032"/>
      <c r="L770" s="5059"/>
      <c r="M770" s="3812"/>
      <c r="N770" s="3812"/>
      <c r="O770" s="3812"/>
      <c r="P770" s="3812"/>
      <c r="Q770" s="3812"/>
      <c r="R770" s="3812"/>
      <c r="S770" s="3812"/>
      <c r="T770" s="3812"/>
      <c r="U770" s="3812"/>
      <c r="V770" s="3812"/>
      <c r="W770" s="3812"/>
      <c r="X770" s="3812"/>
      <c r="Y770" s="3812"/>
      <c r="Z770" s="3812"/>
      <c r="AA770" s="3812"/>
      <c r="AB770" s="3812"/>
      <c r="AC770" s="1032" t="s">
        <v>1664</v>
      </c>
      <c r="AD770" s="5714" t="s">
        <v>1665</v>
      </c>
      <c r="AE770" s="5929">
        <v>0.1</v>
      </c>
      <c r="AF770" s="5930">
        <v>36068.78</v>
      </c>
      <c r="AG770" s="5201">
        <f t="shared" si="152"/>
        <v>0</v>
      </c>
      <c r="AH770" s="5930"/>
      <c r="AI770" s="5201"/>
      <c r="AJ770" s="5930"/>
      <c r="AK770" s="5201"/>
      <c r="AL770" s="5201"/>
      <c r="AM770" s="5201"/>
      <c r="AN770" s="5201">
        <f t="shared" si="153"/>
        <v>0</v>
      </c>
      <c r="AO770" s="5201"/>
      <c r="AP770" s="5201">
        <f t="shared" si="154"/>
        <v>0</v>
      </c>
      <c r="AQ770" s="5945"/>
      <c r="AR770" s="5201"/>
      <c r="AS770" s="5931"/>
      <c r="AT770" s="5797"/>
      <c r="AU770" s="3812"/>
      <c r="AV770" s="3812"/>
      <c r="AW770" s="3812"/>
      <c r="AX770" s="3812"/>
      <c r="AY770" s="3812"/>
      <c r="AZ770" s="3812"/>
      <c r="BA770" s="5146"/>
      <c r="BB770" s="5146"/>
      <c r="BC770" s="3812"/>
      <c r="BD770" s="5146"/>
      <c r="BE770" s="5146"/>
      <c r="BF770" s="5146"/>
      <c r="BG770" s="5146"/>
      <c r="BH770" s="5948"/>
      <c r="BI770" s="5146"/>
      <c r="BJ770" s="5146"/>
      <c r="BK770" s="5146"/>
      <c r="BL770" s="5146"/>
      <c r="BM770" s="5296"/>
      <c r="BN770" s="5263"/>
      <c r="BO770" s="5273"/>
      <c r="BP770" s="5146"/>
      <c r="BQ770" s="5146"/>
      <c r="BR770" s="5146"/>
      <c r="BS770" s="5146"/>
      <c r="BT770" s="5146"/>
      <c r="BU770" s="5146"/>
      <c r="BV770" s="5146"/>
      <c r="BW770" s="5146"/>
      <c r="BX770" s="5146"/>
      <c r="BY770" s="5146"/>
      <c r="BZ770" s="5146"/>
      <c r="CA770" s="5296"/>
      <c r="CB770" s="5282"/>
      <c r="CC770" s="5309"/>
      <c r="CD770" s="5059"/>
      <c r="CE770" s="5154"/>
      <c r="CF770" s="5154"/>
      <c r="CG770" s="5154"/>
      <c r="CH770" s="5154"/>
    </row>
    <row r="771" s="4980" customFormat="1" ht="30" customHeight="1" spans="1:86">
      <c r="A771" s="3812"/>
      <c r="B771" s="857"/>
      <c r="C771" s="857"/>
      <c r="D771" s="5059"/>
      <c r="E771" s="5059"/>
      <c r="F771" s="5059"/>
      <c r="G771" s="1032"/>
      <c r="H771" s="5059"/>
      <c r="I771" s="5205"/>
      <c r="J771" s="5059"/>
      <c r="K771" s="1032"/>
      <c r="L771" s="5059"/>
      <c r="M771" s="3812"/>
      <c r="N771" s="3812"/>
      <c r="O771" s="3812"/>
      <c r="P771" s="3812"/>
      <c r="Q771" s="3812"/>
      <c r="R771" s="3812"/>
      <c r="S771" s="3812"/>
      <c r="T771" s="3812"/>
      <c r="U771" s="3812"/>
      <c r="V771" s="3812"/>
      <c r="W771" s="3812"/>
      <c r="X771" s="3812"/>
      <c r="Y771" s="3812"/>
      <c r="Z771" s="3812"/>
      <c r="AA771" s="3812"/>
      <c r="AB771" s="3812"/>
      <c r="AC771" s="1032"/>
      <c r="AD771" s="5714"/>
      <c r="AE771" s="5929"/>
      <c r="AF771" s="5930"/>
      <c r="AG771" s="5201">
        <f t="shared" ref="AG771:AG780" si="155">SUM(BA771:BN771)</f>
        <v>0</v>
      </c>
      <c r="AH771" s="5201"/>
      <c r="AI771" s="5201"/>
      <c r="AJ771" s="5930"/>
      <c r="AK771" s="5201"/>
      <c r="AL771" s="5201"/>
      <c r="AM771" s="5201"/>
      <c r="AN771" s="5201"/>
      <c r="AO771" s="5201"/>
      <c r="AP771" s="5201">
        <f t="shared" ref="AP771:AP787" si="156">AG771-AN771</f>
        <v>0</v>
      </c>
      <c r="AQ771" s="5945"/>
      <c r="AR771" s="5201"/>
      <c r="AS771" s="5931"/>
      <c r="AT771" s="5797"/>
      <c r="AU771" s="3812"/>
      <c r="AV771" s="3812"/>
      <c r="AW771" s="3812"/>
      <c r="AX771" s="3812"/>
      <c r="AY771" s="3812"/>
      <c r="AZ771" s="3812"/>
      <c r="BA771" s="5146"/>
      <c r="BB771" s="5146"/>
      <c r="BC771" s="3812"/>
      <c r="BD771" s="5146"/>
      <c r="BE771" s="5146"/>
      <c r="BF771" s="5146"/>
      <c r="BG771" s="5146"/>
      <c r="BH771" s="5948"/>
      <c r="BI771" s="5146"/>
      <c r="BJ771" s="5146"/>
      <c r="BK771" s="5146"/>
      <c r="BL771" s="5146"/>
      <c r="BM771" s="5296"/>
      <c r="BN771" s="5263"/>
      <c r="BO771" s="5273"/>
      <c r="BP771" s="5146"/>
      <c r="BQ771" s="5146"/>
      <c r="BR771" s="5146"/>
      <c r="BS771" s="5146"/>
      <c r="BT771" s="5146"/>
      <c r="BU771" s="5146"/>
      <c r="BV771" s="5146"/>
      <c r="BW771" s="5146"/>
      <c r="BX771" s="5146"/>
      <c r="BY771" s="5146"/>
      <c r="BZ771" s="5146"/>
      <c r="CA771" s="5296"/>
      <c r="CB771" s="5282"/>
      <c r="CC771" s="5309"/>
      <c r="CD771" s="5059"/>
      <c r="CE771" s="5154"/>
      <c r="CF771" s="5154"/>
      <c r="CG771" s="5154"/>
      <c r="CH771" s="5154"/>
    </row>
    <row r="772" s="4980" customFormat="1" ht="30" customHeight="1" spans="1:86">
      <c r="A772" s="3812"/>
      <c r="B772" s="857"/>
      <c r="C772" s="857"/>
      <c r="D772" s="5059"/>
      <c r="E772" s="5059"/>
      <c r="F772" s="5059"/>
      <c r="G772" s="1032"/>
      <c r="H772" s="5059"/>
      <c r="I772" s="5205"/>
      <c r="J772" s="5059"/>
      <c r="K772" s="1032"/>
      <c r="L772" s="5059"/>
      <c r="M772" s="3812"/>
      <c r="N772" s="3812"/>
      <c r="O772" s="3812"/>
      <c r="P772" s="3812"/>
      <c r="Q772" s="3812"/>
      <c r="R772" s="3812"/>
      <c r="S772" s="3812"/>
      <c r="T772" s="3812"/>
      <c r="U772" s="3812"/>
      <c r="V772" s="3812"/>
      <c r="W772" s="3812"/>
      <c r="X772" s="3812"/>
      <c r="Y772" s="3812"/>
      <c r="Z772" s="3812"/>
      <c r="AA772" s="3812"/>
      <c r="AB772" s="3812"/>
      <c r="AC772" s="1032"/>
      <c r="AD772" s="5714" t="s">
        <v>1666</v>
      </c>
      <c r="AE772" s="5714">
        <v>0.1</v>
      </c>
      <c r="AF772" s="5930">
        <v>36068.78</v>
      </c>
      <c r="AG772" s="5201">
        <f t="shared" si="155"/>
        <v>0</v>
      </c>
      <c r="AH772" s="5930"/>
      <c r="AI772" s="5201"/>
      <c r="AJ772" s="5930"/>
      <c r="AK772" s="5201"/>
      <c r="AL772" s="5201"/>
      <c r="AM772" s="5201"/>
      <c r="AN772" s="5201">
        <f>SUM(BO772:CB772)</f>
        <v>0</v>
      </c>
      <c r="AO772" s="5201"/>
      <c r="AP772" s="5201">
        <f t="shared" si="156"/>
        <v>0</v>
      </c>
      <c r="AQ772" s="5797"/>
      <c r="AR772" s="5201"/>
      <c r="AS772" s="5931"/>
      <c r="AT772" s="5797"/>
      <c r="AU772" s="3812"/>
      <c r="AV772" s="3812"/>
      <c r="AW772" s="3812"/>
      <c r="AX772" s="3812"/>
      <c r="AY772" s="3812"/>
      <c r="AZ772" s="3812"/>
      <c r="BA772" s="5146"/>
      <c r="BB772" s="5146"/>
      <c r="BC772" s="3812"/>
      <c r="BD772" s="5146"/>
      <c r="BE772" s="5146"/>
      <c r="BF772" s="5146"/>
      <c r="BG772" s="5146"/>
      <c r="BH772" s="5948"/>
      <c r="BI772" s="5146"/>
      <c r="BJ772" s="5146"/>
      <c r="BK772" s="5146"/>
      <c r="BL772" s="5146"/>
      <c r="BM772" s="5296"/>
      <c r="BN772" s="5263"/>
      <c r="BO772" s="5273"/>
      <c r="BP772" s="5146"/>
      <c r="BQ772" s="5146"/>
      <c r="BR772" s="5146"/>
      <c r="BS772" s="5146"/>
      <c r="BT772" s="5146"/>
      <c r="BU772" s="5146"/>
      <c r="BV772" s="5146"/>
      <c r="BW772" s="5146"/>
      <c r="BX772" s="5146"/>
      <c r="BY772" s="5146"/>
      <c r="BZ772" s="5146"/>
      <c r="CA772" s="5296"/>
      <c r="CB772" s="5282"/>
      <c r="CC772" s="5309"/>
      <c r="CD772" s="5059"/>
      <c r="CE772" s="5154"/>
      <c r="CF772" s="5154"/>
      <c r="CG772" s="5154"/>
      <c r="CH772" s="5154"/>
    </row>
    <row r="773" s="4980" customFormat="1" ht="30" customHeight="1" spans="1:86">
      <c r="A773" s="3812"/>
      <c r="B773" s="857"/>
      <c r="C773" s="857"/>
      <c r="D773" s="5059"/>
      <c r="E773" s="5059"/>
      <c r="F773" s="5059"/>
      <c r="G773" s="1032"/>
      <c r="H773" s="5059"/>
      <c r="I773" s="5205"/>
      <c r="J773" s="5059"/>
      <c r="K773" s="1032"/>
      <c r="L773" s="5059"/>
      <c r="M773" s="3812"/>
      <c r="N773" s="3812"/>
      <c r="O773" s="3812"/>
      <c r="P773" s="3812"/>
      <c r="Q773" s="3812"/>
      <c r="R773" s="3812"/>
      <c r="S773" s="3812"/>
      <c r="T773" s="3812"/>
      <c r="U773" s="3812"/>
      <c r="V773" s="3812"/>
      <c r="W773" s="3812"/>
      <c r="X773" s="3812"/>
      <c r="Y773" s="3812"/>
      <c r="Z773" s="3812"/>
      <c r="AA773" s="3812"/>
      <c r="AB773" s="3812"/>
      <c r="AC773" s="1032"/>
      <c r="AD773" s="5714"/>
      <c r="AE773" s="5714"/>
      <c r="AF773" s="5930"/>
      <c r="AG773" s="5201">
        <f t="shared" si="155"/>
        <v>0</v>
      </c>
      <c r="AH773" s="5201"/>
      <c r="AI773" s="5201"/>
      <c r="AJ773" s="5930"/>
      <c r="AK773" s="5201"/>
      <c r="AL773" s="5201"/>
      <c r="AM773" s="5201"/>
      <c r="AN773" s="5201"/>
      <c r="AO773" s="5201"/>
      <c r="AP773" s="5201">
        <f t="shared" si="156"/>
        <v>0</v>
      </c>
      <c r="AQ773" s="5797"/>
      <c r="AR773" s="5201"/>
      <c r="AS773" s="5931"/>
      <c r="AT773" s="5797"/>
      <c r="AU773" s="3812"/>
      <c r="AV773" s="3812"/>
      <c r="AW773" s="3812"/>
      <c r="AX773" s="3812"/>
      <c r="AY773" s="3812"/>
      <c r="AZ773" s="3812"/>
      <c r="BA773" s="5146"/>
      <c r="BB773" s="5146"/>
      <c r="BC773" s="3812"/>
      <c r="BD773" s="5146"/>
      <c r="BE773" s="5146"/>
      <c r="BF773" s="5146"/>
      <c r="BG773" s="5146"/>
      <c r="BH773" s="5948"/>
      <c r="BI773" s="5146"/>
      <c r="BJ773" s="5146"/>
      <c r="BK773" s="5146"/>
      <c r="BL773" s="5146"/>
      <c r="BM773" s="5296"/>
      <c r="BN773" s="5263"/>
      <c r="BO773" s="5273"/>
      <c r="BP773" s="5146"/>
      <c r="BQ773" s="5146"/>
      <c r="BR773" s="5146"/>
      <c r="BS773" s="5146"/>
      <c r="BT773" s="5146"/>
      <c r="BU773" s="5146"/>
      <c r="BV773" s="5146"/>
      <c r="BW773" s="5146"/>
      <c r="BX773" s="5146"/>
      <c r="BY773" s="5146"/>
      <c r="BZ773" s="5146"/>
      <c r="CA773" s="5296"/>
      <c r="CB773" s="5282"/>
      <c r="CC773" s="5309"/>
      <c r="CD773" s="5059"/>
      <c r="CE773" s="5154"/>
      <c r="CF773" s="5154"/>
      <c r="CG773" s="5154"/>
      <c r="CH773" s="5154"/>
    </row>
    <row r="774" s="4980" customFormat="1" ht="30" customHeight="1" spans="1:86">
      <c r="A774" s="3812"/>
      <c r="B774" s="857"/>
      <c r="C774" s="857"/>
      <c r="D774" s="5059"/>
      <c r="E774" s="5059"/>
      <c r="F774" s="5059"/>
      <c r="G774" s="1032"/>
      <c r="H774" s="5059"/>
      <c r="I774" s="5205"/>
      <c r="J774" s="5059"/>
      <c r="K774" s="1032"/>
      <c r="L774" s="5059"/>
      <c r="M774" s="3812"/>
      <c r="N774" s="3812"/>
      <c r="O774" s="3812"/>
      <c r="P774" s="3812"/>
      <c r="Q774" s="3812"/>
      <c r="R774" s="3812"/>
      <c r="S774" s="3812"/>
      <c r="T774" s="3812"/>
      <c r="U774" s="3812"/>
      <c r="V774" s="3812"/>
      <c r="W774" s="3812"/>
      <c r="X774" s="3812"/>
      <c r="Y774" s="3812"/>
      <c r="Z774" s="3812"/>
      <c r="AA774" s="3812"/>
      <c r="AB774" s="3812"/>
      <c r="AC774" s="1032"/>
      <c r="AD774" s="5714" t="s">
        <v>1667</v>
      </c>
      <c r="AE774" s="5929">
        <v>0.7</v>
      </c>
      <c r="AF774" s="5930">
        <v>252481.46</v>
      </c>
      <c r="AG774" s="5201">
        <f t="shared" si="155"/>
        <v>0</v>
      </c>
      <c r="AH774" s="5930"/>
      <c r="AI774" s="5201"/>
      <c r="AJ774" s="5201"/>
      <c r="AK774" s="5201"/>
      <c r="AL774" s="5201"/>
      <c r="AM774" s="5201"/>
      <c r="AN774" s="5201">
        <f>SUM(BO774:CB774)</f>
        <v>0</v>
      </c>
      <c r="AO774" s="5201"/>
      <c r="AP774" s="5201">
        <f t="shared" si="156"/>
        <v>0</v>
      </c>
      <c r="AQ774" s="5797"/>
      <c r="AR774" s="5201"/>
      <c r="AS774" s="5931"/>
      <c r="AT774" s="5797"/>
      <c r="AU774" s="3812"/>
      <c r="AV774" s="3812"/>
      <c r="AW774" s="3812"/>
      <c r="AX774" s="3812"/>
      <c r="AY774" s="3812"/>
      <c r="AZ774" s="3812"/>
      <c r="BA774" s="5146"/>
      <c r="BB774" s="5146"/>
      <c r="BC774" s="3812"/>
      <c r="BD774" s="5146"/>
      <c r="BE774" s="5146"/>
      <c r="BF774" s="5146"/>
      <c r="BG774" s="5146"/>
      <c r="BH774" s="5948"/>
      <c r="BI774" s="5146"/>
      <c r="BJ774" s="5146"/>
      <c r="BK774" s="5146"/>
      <c r="BL774" s="5146"/>
      <c r="BM774" s="5296"/>
      <c r="BN774" s="5263"/>
      <c r="BO774" s="5273"/>
      <c r="BP774" s="5146"/>
      <c r="BQ774" s="5146"/>
      <c r="BR774" s="5146"/>
      <c r="BS774" s="5146"/>
      <c r="BT774" s="5146"/>
      <c r="BU774" s="5146"/>
      <c r="BV774" s="5146"/>
      <c r="BW774" s="5146"/>
      <c r="BX774" s="5146"/>
      <c r="BY774" s="5146"/>
      <c r="BZ774" s="5146"/>
      <c r="CA774" s="5296"/>
      <c r="CB774" s="5282"/>
      <c r="CC774" s="5309"/>
      <c r="CD774" s="5059"/>
      <c r="CE774" s="5154"/>
      <c r="CF774" s="5154"/>
      <c r="CG774" s="5154"/>
      <c r="CH774" s="5154"/>
    </row>
    <row r="775" s="4980" customFormat="1" ht="30" customHeight="1" spans="1:86">
      <c r="A775" s="3812"/>
      <c r="B775" s="857"/>
      <c r="C775" s="857"/>
      <c r="D775" s="5059"/>
      <c r="E775" s="5059"/>
      <c r="F775" s="5059"/>
      <c r="G775" s="1032"/>
      <c r="H775" s="5059"/>
      <c r="I775" s="5205"/>
      <c r="J775" s="5059"/>
      <c r="K775" s="1032"/>
      <c r="L775" s="5059"/>
      <c r="M775" s="3812"/>
      <c r="N775" s="3812"/>
      <c r="O775" s="3812"/>
      <c r="P775" s="3812"/>
      <c r="Q775" s="3812"/>
      <c r="R775" s="3812"/>
      <c r="S775" s="3812"/>
      <c r="T775" s="3812"/>
      <c r="U775" s="3812"/>
      <c r="V775" s="3812"/>
      <c r="W775" s="3812"/>
      <c r="X775" s="3812"/>
      <c r="Y775" s="3812"/>
      <c r="Z775" s="3812"/>
      <c r="AA775" s="3812"/>
      <c r="AB775" s="3812"/>
      <c r="AC775" s="1032"/>
      <c r="AD775" s="5714"/>
      <c r="AE775" s="5929"/>
      <c r="AF775" s="5930"/>
      <c r="AG775" s="5201">
        <f t="shared" si="155"/>
        <v>0</v>
      </c>
      <c r="AH775" s="5201"/>
      <c r="AI775" s="5201"/>
      <c r="AJ775" s="5201"/>
      <c r="AK775" s="5201"/>
      <c r="AL775" s="5201"/>
      <c r="AM775" s="5201"/>
      <c r="AN775" s="5201"/>
      <c r="AO775" s="5201"/>
      <c r="AP775" s="5201">
        <f t="shared" si="156"/>
        <v>0</v>
      </c>
      <c r="AQ775" s="5797"/>
      <c r="AR775" s="5201"/>
      <c r="AS775" s="5931"/>
      <c r="AT775" s="5797"/>
      <c r="AU775" s="3812"/>
      <c r="AV775" s="3812"/>
      <c r="AW775" s="3812"/>
      <c r="AX775" s="3812"/>
      <c r="AY775" s="3812"/>
      <c r="AZ775" s="3812"/>
      <c r="BA775" s="5146"/>
      <c r="BB775" s="5146"/>
      <c r="BC775" s="3812"/>
      <c r="BD775" s="5146"/>
      <c r="BE775" s="5146"/>
      <c r="BF775" s="5146"/>
      <c r="BG775" s="5146"/>
      <c r="BH775" s="5948"/>
      <c r="BI775" s="5146"/>
      <c r="BJ775" s="5146"/>
      <c r="BK775" s="5146"/>
      <c r="BL775" s="5146"/>
      <c r="BM775" s="5296"/>
      <c r="BN775" s="5263"/>
      <c r="BO775" s="5273"/>
      <c r="BP775" s="5146"/>
      <c r="BQ775" s="5146"/>
      <c r="BR775" s="5146"/>
      <c r="BS775" s="5146"/>
      <c r="BT775" s="5146"/>
      <c r="BU775" s="5146"/>
      <c r="BV775" s="5146"/>
      <c r="BW775" s="5146"/>
      <c r="BX775" s="5146"/>
      <c r="BY775" s="5146"/>
      <c r="BZ775" s="5146"/>
      <c r="CA775" s="5296"/>
      <c r="CB775" s="5282"/>
      <c r="CC775" s="5309"/>
      <c r="CD775" s="5059"/>
      <c r="CE775" s="5154"/>
      <c r="CF775" s="5154"/>
      <c r="CG775" s="5154"/>
      <c r="CH775" s="5154"/>
    </row>
    <row r="776" s="4980" customFormat="1" ht="30" customHeight="1" spans="1:86">
      <c r="A776" s="3812"/>
      <c r="B776" s="857"/>
      <c r="C776" s="857"/>
      <c r="D776" s="5059"/>
      <c r="E776" s="5059"/>
      <c r="F776" s="5059"/>
      <c r="G776" s="1032"/>
      <c r="H776" s="5059"/>
      <c r="I776" s="5205"/>
      <c r="J776" s="5059"/>
      <c r="K776" s="1032"/>
      <c r="L776" s="5059"/>
      <c r="M776" s="3812"/>
      <c r="N776" s="3812"/>
      <c r="O776" s="3812"/>
      <c r="P776" s="3812"/>
      <c r="Q776" s="3812"/>
      <c r="R776" s="3812"/>
      <c r="S776" s="3812"/>
      <c r="T776" s="3812"/>
      <c r="U776" s="3812"/>
      <c r="V776" s="3812"/>
      <c r="W776" s="3812"/>
      <c r="X776" s="3812"/>
      <c r="Y776" s="3812"/>
      <c r="Z776" s="3812"/>
      <c r="AA776" s="3812"/>
      <c r="AB776" s="3812"/>
      <c r="AC776" s="1032"/>
      <c r="AD776" s="5714" t="s">
        <v>1668</v>
      </c>
      <c r="AE776" s="5929">
        <v>0.1</v>
      </c>
      <c r="AF776" s="5930">
        <v>36068.78</v>
      </c>
      <c r="AG776" s="5201">
        <f t="shared" si="155"/>
        <v>0</v>
      </c>
      <c r="AH776" s="5201"/>
      <c r="AI776" s="5201"/>
      <c r="AJ776" s="5201"/>
      <c r="AK776" s="5201"/>
      <c r="AL776" s="5201"/>
      <c r="AM776" s="5201"/>
      <c r="AN776" s="5201"/>
      <c r="AO776" s="5201"/>
      <c r="AP776" s="5201">
        <f t="shared" si="156"/>
        <v>0</v>
      </c>
      <c r="AQ776" s="5797"/>
      <c r="AR776" s="5201"/>
      <c r="AS776" s="5931"/>
      <c r="AT776" s="5797"/>
      <c r="AU776" s="3812"/>
      <c r="AV776" s="3812"/>
      <c r="AW776" s="3812"/>
      <c r="AX776" s="3812"/>
      <c r="AY776" s="3812"/>
      <c r="AZ776" s="3812"/>
      <c r="BA776" s="5146"/>
      <c r="BB776" s="5146"/>
      <c r="BC776" s="3812"/>
      <c r="BD776" s="5146"/>
      <c r="BE776" s="5146"/>
      <c r="BF776" s="5146"/>
      <c r="BG776" s="5146"/>
      <c r="BH776" s="5948"/>
      <c r="BI776" s="5146"/>
      <c r="BJ776" s="5146"/>
      <c r="BK776" s="5146"/>
      <c r="BL776" s="5146"/>
      <c r="BM776" s="5296"/>
      <c r="BN776" s="5263"/>
      <c r="BO776" s="5273"/>
      <c r="BP776" s="5146"/>
      <c r="BQ776" s="5146"/>
      <c r="BR776" s="5146"/>
      <c r="BS776" s="5146"/>
      <c r="BT776" s="5146"/>
      <c r="BU776" s="5146"/>
      <c r="BV776" s="5146"/>
      <c r="BW776" s="5146"/>
      <c r="BX776" s="5146"/>
      <c r="BY776" s="5146"/>
      <c r="BZ776" s="5146"/>
      <c r="CA776" s="5296"/>
      <c r="CB776" s="5282"/>
      <c r="CC776" s="5309"/>
      <c r="CD776" s="5059"/>
      <c r="CE776" s="5154"/>
      <c r="CF776" s="5154"/>
      <c r="CG776" s="5154"/>
      <c r="CH776" s="5154"/>
    </row>
    <row r="777" s="4980" customFormat="1" ht="30" customHeight="1" spans="1:86">
      <c r="A777" s="3812"/>
      <c r="B777" s="857"/>
      <c r="C777" s="857"/>
      <c r="D777" s="5059"/>
      <c r="E777" s="5059"/>
      <c r="F777" s="5059"/>
      <c r="G777" s="1032"/>
      <c r="H777" s="5059"/>
      <c r="I777" s="5205"/>
      <c r="J777" s="5059"/>
      <c r="K777" s="1032"/>
      <c r="L777" s="5059"/>
      <c r="M777" s="3812"/>
      <c r="N777" s="3812"/>
      <c r="O777" s="3812"/>
      <c r="P777" s="3812"/>
      <c r="Q777" s="3812"/>
      <c r="R777" s="3812"/>
      <c r="S777" s="3812"/>
      <c r="T777" s="3812"/>
      <c r="U777" s="3812"/>
      <c r="V777" s="3812"/>
      <c r="W777" s="3812"/>
      <c r="X777" s="3812"/>
      <c r="Y777" s="3812"/>
      <c r="Z777" s="3812"/>
      <c r="AA777" s="3812"/>
      <c r="AB777" s="3812"/>
      <c r="AC777" s="1032"/>
      <c r="AD777" s="5931"/>
      <c r="AE777" s="5929"/>
      <c r="AF777" s="5930"/>
      <c r="AG777" s="5201">
        <f t="shared" si="155"/>
        <v>0</v>
      </c>
      <c r="AH777" s="5201"/>
      <c r="AI777" s="5201"/>
      <c r="AJ777" s="5201"/>
      <c r="AK777" s="5201"/>
      <c r="AL777" s="5201"/>
      <c r="AM777" s="5201"/>
      <c r="AN777" s="5201">
        <f>SUM(BO777:CB777)</f>
        <v>0</v>
      </c>
      <c r="AO777" s="5201"/>
      <c r="AP777" s="5201">
        <f t="shared" si="156"/>
        <v>0</v>
      </c>
      <c r="AQ777" s="5797"/>
      <c r="AR777" s="5201"/>
      <c r="AS777" s="5931"/>
      <c r="AT777" s="5797"/>
      <c r="AU777" s="3812"/>
      <c r="AV777" s="3812"/>
      <c r="AW777" s="3812"/>
      <c r="AX777" s="3812"/>
      <c r="AY777" s="3812"/>
      <c r="AZ777" s="3812"/>
      <c r="BA777" s="5146"/>
      <c r="BB777" s="5146"/>
      <c r="BC777" s="3812"/>
      <c r="BD777" s="5146"/>
      <c r="BE777" s="5146"/>
      <c r="BF777" s="5146"/>
      <c r="BG777" s="5146"/>
      <c r="BH777" s="5948"/>
      <c r="BI777" s="5146"/>
      <c r="BJ777" s="5146"/>
      <c r="BK777" s="5146"/>
      <c r="BL777" s="5146"/>
      <c r="BM777" s="5296"/>
      <c r="BN777" s="5263"/>
      <c r="BO777" s="5273"/>
      <c r="BP777" s="5146"/>
      <c r="BQ777" s="5146"/>
      <c r="BR777" s="5146"/>
      <c r="BS777" s="5146"/>
      <c r="BT777" s="5146"/>
      <c r="BU777" s="5146"/>
      <c r="BV777" s="5146"/>
      <c r="BW777" s="5146"/>
      <c r="BX777" s="5146"/>
      <c r="BY777" s="5146"/>
      <c r="BZ777" s="5146"/>
      <c r="CA777" s="5296"/>
      <c r="CB777" s="5282"/>
      <c r="CC777" s="5309"/>
      <c r="CD777" s="5059"/>
      <c r="CE777" s="5154"/>
      <c r="CF777" s="5154"/>
      <c r="CG777" s="5154"/>
      <c r="CH777" s="5154"/>
    </row>
    <row r="778" s="4980" customFormat="1" ht="30" customHeight="1" spans="1:86">
      <c r="A778" s="3812"/>
      <c r="B778" s="857"/>
      <c r="C778" s="857"/>
      <c r="D778" s="5059"/>
      <c r="E778" s="5059"/>
      <c r="F778" s="5059"/>
      <c r="G778" s="1032"/>
      <c r="H778" s="5059"/>
      <c r="I778" s="5205"/>
      <c r="J778" s="5059"/>
      <c r="K778" s="1032"/>
      <c r="L778" s="5059"/>
      <c r="M778" s="3812"/>
      <c r="N778" s="3812"/>
      <c r="O778" s="3812"/>
      <c r="P778" s="3812"/>
      <c r="Q778" s="3812"/>
      <c r="R778" s="3812"/>
      <c r="S778" s="3812"/>
      <c r="T778" s="3812"/>
      <c r="U778" s="3812"/>
      <c r="V778" s="3812"/>
      <c r="W778" s="3812"/>
      <c r="X778" s="3812"/>
      <c r="Y778" s="3812"/>
      <c r="Z778" s="3812"/>
      <c r="AA778" s="3812"/>
      <c r="AB778" s="3812"/>
      <c r="AC778" s="1032" t="s">
        <v>1669</v>
      </c>
      <c r="AD778" s="5714" t="s">
        <v>1670</v>
      </c>
      <c r="AE778" s="5929">
        <v>0.1</v>
      </c>
      <c r="AF778" s="5930">
        <v>101880</v>
      </c>
      <c r="AG778" s="5201">
        <f t="shared" si="155"/>
        <v>36783.9576</v>
      </c>
      <c r="AH778" s="5930" t="s">
        <v>122</v>
      </c>
      <c r="AI778" s="5201">
        <v>44659</v>
      </c>
      <c r="AJ778" s="5201">
        <v>36783.9576</v>
      </c>
      <c r="AK778" s="5201">
        <v>44659</v>
      </c>
      <c r="AL778" s="5201">
        <v>36783.9576</v>
      </c>
      <c r="AM778" s="5201">
        <v>44858</v>
      </c>
      <c r="AN778" s="5201">
        <f>SUM(BO778:CB778)</f>
        <v>36783.96</v>
      </c>
      <c r="AO778" s="5201">
        <v>45071</v>
      </c>
      <c r="AP778" s="5201">
        <f t="shared" si="156"/>
        <v>-0.00239999999757856</v>
      </c>
      <c r="AQ778" s="5945"/>
      <c r="AR778" s="5201"/>
      <c r="AS778" s="5931"/>
      <c r="AT778" s="5797"/>
      <c r="AU778" s="3812"/>
      <c r="AV778" s="3812"/>
      <c r="AW778" s="3812"/>
      <c r="AX778" s="3812"/>
      <c r="AY778" s="3812"/>
      <c r="AZ778" s="3812"/>
      <c r="BA778" s="5146"/>
      <c r="BB778" s="5146"/>
      <c r="BC778" s="3812"/>
      <c r="BD778" s="5146"/>
      <c r="BE778" s="5146"/>
      <c r="BF778" s="5146"/>
      <c r="BG778" s="5146"/>
      <c r="BH778" s="5152"/>
      <c r="BI778" s="5146"/>
      <c r="BJ778" s="5146"/>
      <c r="BK778" s="5146"/>
      <c r="BL778" s="5146"/>
      <c r="BM778" s="5296"/>
      <c r="BN778" s="5263">
        <v>36783.9576</v>
      </c>
      <c r="BO778" s="5273"/>
      <c r="BP778" s="5146"/>
      <c r="BQ778" s="5146"/>
      <c r="BR778" s="5146"/>
      <c r="BS778" s="5146"/>
      <c r="BT778" s="5146"/>
      <c r="BU778" s="5146"/>
      <c r="BV778" s="5146"/>
      <c r="BW778" s="5146"/>
      <c r="BX778" s="5146"/>
      <c r="BY778" s="5146"/>
      <c r="BZ778" s="5146"/>
      <c r="CA778" s="5296"/>
      <c r="CB778" s="5282">
        <v>36783.96</v>
      </c>
      <c r="CC778" s="5309"/>
      <c r="CD778" s="5059"/>
      <c r="CE778" s="5154"/>
      <c r="CF778" s="5154"/>
      <c r="CG778" s="5154"/>
      <c r="CH778" s="5154"/>
    </row>
    <row r="779" s="4980" customFormat="1" ht="30" customHeight="1" spans="1:86">
      <c r="A779" s="3812"/>
      <c r="B779" s="857"/>
      <c r="C779" s="857"/>
      <c r="D779" s="5059"/>
      <c r="E779" s="5059"/>
      <c r="F779" s="5059"/>
      <c r="G779" s="1032"/>
      <c r="H779" s="5059"/>
      <c r="I779" s="5205"/>
      <c r="J779" s="5059"/>
      <c r="K779" s="1032"/>
      <c r="L779" s="5059"/>
      <c r="M779" s="3812"/>
      <c r="N779" s="3812"/>
      <c r="O779" s="3812"/>
      <c r="P779" s="3812"/>
      <c r="Q779" s="3812"/>
      <c r="R779" s="3812"/>
      <c r="S779" s="3812"/>
      <c r="T779" s="3812"/>
      <c r="U779" s="3812"/>
      <c r="V779" s="3812"/>
      <c r="W779" s="3812"/>
      <c r="X779" s="3812"/>
      <c r="Y779" s="3812"/>
      <c r="Z779" s="3812"/>
      <c r="AA779" s="3812"/>
      <c r="AB779" s="3812"/>
      <c r="AC779" s="1032"/>
      <c r="AD779" s="5714"/>
      <c r="AE779" s="5929"/>
      <c r="AF779" s="5930"/>
      <c r="AG779" s="5201">
        <f t="shared" si="155"/>
        <v>0</v>
      </c>
      <c r="AH779" s="5201"/>
      <c r="AI779" s="5201"/>
      <c r="AJ779" s="5797"/>
      <c r="AK779" s="5201"/>
      <c r="AL779" s="5797"/>
      <c r="AM779" s="5201"/>
      <c r="AN779" s="5201">
        <f>SUM(BO779:CB779)</f>
        <v>0</v>
      </c>
      <c r="AO779" s="5201"/>
      <c r="AP779" s="5201">
        <f t="shared" si="156"/>
        <v>0</v>
      </c>
      <c r="AQ779" s="5945"/>
      <c r="AR779" s="5201"/>
      <c r="AS779" s="5931"/>
      <c r="AT779" s="5797"/>
      <c r="AU779" s="3812"/>
      <c r="AV779" s="3812"/>
      <c r="AW779" s="3812"/>
      <c r="AX779" s="3812"/>
      <c r="AY779" s="3812"/>
      <c r="AZ779" s="3812"/>
      <c r="BA779" s="5146"/>
      <c r="BB779" s="5146"/>
      <c r="BC779" s="3812"/>
      <c r="BD779" s="5146"/>
      <c r="BE779" s="5146"/>
      <c r="BF779" s="5146"/>
      <c r="BG779" s="5146"/>
      <c r="BH779" s="5948"/>
      <c r="BI779" s="5146"/>
      <c r="BJ779" s="5146"/>
      <c r="BK779" s="5146"/>
      <c r="BL779" s="5146"/>
      <c r="BM779" s="5296"/>
      <c r="BN779" s="5263"/>
      <c r="BO779" s="5273"/>
      <c r="BP779" s="5146"/>
      <c r="BQ779" s="5146"/>
      <c r="BR779" s="5146"/>
      <c r="BS779" s="5146"/>
      <c r="BT779" s="5146"/>
      <c r="BU779" s="5146"/>
      <c r="BV779" s="5146"/>
      <c r="BW779" s="5146"/>
      <c r="BX779" s="5146"/>
      <c r="BY779" s="5146"/>
      <c r="BZ779" s="5146"/>
      <c r="CA779" s="5296"/>
      <c r="CB779" s="5282"/>
      <c r="CC779" s="5309"/>
      <c r="CD779" s="5059"/>
      <c r="CE779" s="5154"/>
      <c r="CF779" s="5154"/>
      <c r="CG779" s="5154"/>
      <c r="CH779" s="5154"/>
    </row>
    <row r="780" s="4980" customFormat="1" ht="30" customHeight="1" spans="1:86">
      <c r="A780" s="3812"/>
      <c r="B780" s="857"/>
      <c r="C780" s="857"/>
      <c r="D780" s="5059"/>
      <c r="E780" s="5059"/>
      <c r="F780" s="5059"/>
      <c r="G780" s="1032"/>
      <c r="H780" s="5059"/>
      <c r="I780" s="5205"/>
      <c r="J780" s="5059"/>
      <c r="K780" s="1032"/>
      <c r="L780" s="5059"/>
      <c r="M780" s="3812"/>
      <c r="N780" s="3812"/>
      <c r="O780" s="3812"/>
      <c r="P780" s="3812"/>
      <c r="Q780" s="3812"/>
      <c r="R780" s="3812"/>
      <c r="S780" s="3812"/>
      <c r="T780" s="3812"/>
      <c r="U780" s="3812"/>
      <c r="V780" s="3812"/>
      <c r="W780" s="3812"/>
      <c r="X780" s="3812"/>
      <c r="Y780" s="3812"/>
      <c r="Z780" s="3812"/>
      <c r="AA780" s="3812"/>
      <c r="AB780" s="3812"/>
      <c r="AC780" s="1032"/>
      <c r="AD780" s="5714" t="s">
        <v>1671</v>
      </c>
      <c r="AE780" s="5714">
        <v>0.35</v>
      </c>
      <c r="AF780" s="5930">
        <v>356580</v>
      </c>
      <c r="AG780" s="5201">
        <f t="shared" si="155"/>
        <v>128743.8516</v>
      </c>
      <c r="AH780" s="5930" t="s">
        <v>122</v>
      </c>
      <c r="AI780" s="5201">
        <v>44659</v>
      </c>
      <c r="AJ780" s="5201">
        <v>128743.8516</v>
      </c>
      <c r="AK780" s="5201">
        <v>44659</v>
      </c>
      <c r="AL780" s="5201">
        <v>128743.8516</v>
      </c>
      <c r="AM780" s="5201">
        <v>44858</v>
      </c>
      <c r="AN780" s="5201">
        <f>SUM(BO780:CB780)</f>
        <v>37900.98</v>
      </c>
      <c r="AO780" s="5201">
        <v>45071</v>
      </c>
      <c r="AP780" s="5201">
        <f t="shared" si="156"/>
        <v>90842.8716</v>
      </c>
      <c r="AQ780" s="5797"/>
      <c r="AR780" s="5201"/>
      <c r="AS780" s="5931"/>
      <c r="AT780" s="5797"/>
      <c r="AU780" s="3812"/>
      <c r="AV780" s="3812"/>
      <c r="AW780" s="3812"/>
      <c r="AX780" s="3812"/>
      <c r="AY780" s="3812"/>
      <c r="AZ780" s="3812"/>
      <c r="BA780" s="5146"/>
      <c r="BB780" s="5146"/>
      <c r="BC780" s="3812"/>
      <c r="BD780" s="5146"/>
      <c r="BE780" s="5146"/>
      <c r="BF780" s="5146"/>
      <c r="BG780" s="5146"/>
      <c r="BH780" s="5152"/>
      <c r="BI780" s="5146"/>
      <c r="BJ780" s="5146"/>
      <c r="BK780" s="5146"/>
      <c r="BL780" s="5146"/>
      <c r="BM780" s="5296"/>
      <c r="BN780" s="5263">
        <v>128743.8516</v>
      </c>
      <c r="BO780" s="5273"/>
      <c r="BP780" s="5146"/>
      <c r="BQ780" s="5146"/>
      <c r="BR780" s="5146"/>
      <c r="BS780" s="5146"/>
      <c r="BT780" s="5146"/>
      <c r="BU780" s="5146"/>
      <c r="BV780" s="5146"/>
      <c r="BW780" s="5146"/>
      <c r="BX780" s="5146"/>
      <c r="BY780" s="5146"/>
      <c r="BZ780" s="5146"/>
      <c r="CA780" s="5296"/>
      <c r="CB780" s="5282">
        <v>37900.98</v>
      </c>
      <c r="CC780" s="5309"/>
      <c r="CD780" s="5059"/>
      <c r="CE780" s="5154"/>
      <c r="CF780" s="5154"/>
      <c r="CG780" s="5154"/>
      <c r="CH780" s="5154"/>
    </row>
    <row r="781" s="4980" customFormat="1" ht="30" customHeight="1" spans="1:86">
      <c r="A781" s="3812"/>
      <c r="B781" s="857"/>
      <c r="C781" s="857"/>
      <c r="D781" s="5059"/>
      <c r="E781" s="5059"/>
      <c r="F781" s="5059"/>
      <c r="G781" s="1032"/>
      <c r="H781" s="5059"/>
      <c r="I781" s="5205"/>
      <c r="J781" s="5059"/>
      <c r="K781" s="1032"/>
      <c r="L781" s="5059"/>
      <c r="M781" s="3812"/>
      <c r="N781" s="3812"/>
      <c r="O781" s="3812"/>
      <c r="P781" s="3812"/>
      <c r="Q781" s="3812"/>
      <c r="R781" s="3812"/>
      <c r="S781" s="3812"/>
      <c r="T781" s="3812"/>
      <c r="U781" s="3812"/>
      <c r="V781" s="3812"/>
      <c r="W781" s="3812"/>
      <c r="X781" s="3812"/>
      <c r="Y781" s="3812"/>
      <c r="Z781" s="3812"/>
      <c r="AA781" s="3812"/>
      <c r="AB781" s="3812"/>
      <c r="AC781" s="1032"/>
      <c r="AD781" s="5714"/>
      <c r="AE781" s="5714"/>
      <c r="AF781" s="5930"/>
      <c r="AG781" s="5201"/>
      <c r="AH781" s="5930"/>
      <c r="AI781" s="5201"/>
      <c r="AJ781" s="5201"/>
      <c r="AK781" s="5201"/>
      <c r="AL781" s="5201"/>
      <c r="AM781" s="5201"/>
      <c r="AN781" s="5201">
        <f>SUM(BO781:CB781)</f>
        <v>90842.87</v>
      </c>
      <c r="AO781" s="5201">
        <v>45167</v>
      </c>
      <c r="AP781" s="5201">
        <f t="shared" si="156"/>
        <v>-90842.87</v>
      </c>
      <c r="AQ781" s="5797"/>
      <c r="AR781" s="5201"/>
      <c r="AS781" s="5931"/>
      <c r="AT781" s="5797"/>
      <c r="AU781" s="3812"/>
      <c r="AV781" s="3812"/>
      <c r="AW781" s="3812"/>
      <c r="AX781" s="3812"/>
      <c r="AY781" s="3812"/>
      <c r="AZ781" s="3812"/>
      <c r="BA781" s="5146"/>
      <c r="BB781" s="5146"/>
      <c r="BC781" s="3812"/>
      <c r="BD781" s="5146"/>
      <c r="BE781" s="5146"/>
      <c r="BF781" s="5146"/>
      <c r="BG781" s="5146"/>
      <c r="BH781" s="5948"/>
      <c r="BI781" s="5146"/>
      <c r="BJ781" s="5146"/>
      <c r="BK781" s="5146"/>
      <c r="BL781" s="5146"/>
      <c r="BM781" s="5296"/>
      <c r="BN781" s="5263"/>
      <c r="BO781" s="5273"/>
      <c r="BP781" s="5146"/>
      <c r="BQ781" s="5146"/>
      <c r="BR781" s="5146"/>
      <c r="BS781" s="5146"/>
      <c r="BT781" s="5146"/>
      <c r="BU781" s="5146"/>
      <c r="BV781" s="5146"/>
      <c r="BW781" s="5146"/>
      <c r="BX781" s="5146"/>
      <c r="BY781" s="5146"/>
      <c r="BZ781" s="5146"/>
      <c r="CA781" s="5296"/>
      <c r="CB781" s="5282">
        <f>128743.85-CB780</f>
        <v>90842.87</v>
      </c>
      <c r="CC781" s="5309"/>
      <c r="CD781" s="5059"/>
      <c r="CE781" s="5154"/>
      <c r="CF781" s="5154"/>
      <c r="CG781" s="5154"/>
      <c r="CH781" s="5154"/>
    </row>
    <row r="782" s="4980" customFormat="1" ht="30" customHeight="1" spans="1:86">
      <c r="A782" s="3812"/>
      <c r="B782" s="857"/>
      <c r="C782" s="857"/>
      <c r="D782" s="5059"/>
      <c r="E782" s="5059"/>
      <c r="F782" s="5059"/>
      <c r="G782" s="1032"/>
      <c r="H782" s="5059"/>
      <c r="I782" s="5205"/>
      <c r="J782" s="5059"/>
      <c r="K782" s="1032"/>
      <c r="L782" s="5059"/>
      <c r="M782" s="3812"/>
      <c r="N782" s="3812"/>
      <c r="O782" s="3812"/>
      <c r="P782" s="3812"/>
      <c r="Q782" s="3812"/>
      <c r="R782" s="3812"/>
      <c r="S782" s="3812"/>
      <c r="T782" s="3812"/>
      <c r="U782" s="3812"/>
      <c r="V782" s="3812"/>
      <c r="W782" s="3812"/>
      <c r="X782" s="3812"/>
      <c r="Y782" s="3812"/>
      <c r="Z782" s="3812"/>
      <c r="AA782" s="3812"/>
      <c r="AB782" s="3812"/>
      <c r="AC782" s="1032"/>
      <c r="AD782" s="5714"/>
      <c r="AE782" s="5714"/>
      <c r="AF782" s="5930"/>
      <c r="AG782" s="5201">
        <f t="shared" ref="AG782:AG787" si="157">SUM(BA782:BN782)</f>
        <v>0</v>
      </c>
      <c r="AH782" s="5201"/>
      <c r="AI782" s="5201"/>
      <c r="AJ782" s="5201"/>
      <c r="AK782" s="5201"/>
      <c r="AL782" s="5201"/>
      <c r="AM782" s="5201"/>
      <c r="AN782" s="5201">
        <f t="shared" ref="AN782:AN787" si="158">SUM(BO782:CB782)</f>
        <v>0</v>
      </c>
      <c r="AO782" s="5201"/>
      <c r="AP782" s="5201">
        <f t="shared" si="156"/>
        <v>0</v>
      </c>
      <c r="AQ782" s="5797"/>
      <c r="AR782" s="5201"/>
      <c r="AS782" s="5931"/>
      <c r="AT782" s="5797"/>
      <c r="AU782" s="3812"/>
      <c r="AV782" s="3812"/>
      <c r="AW782" s="3812"/>
      <c r="AX782" s="3812"/>
      <c r="AY782" s="3812"/>
      <c r="AZ782" s="3812"/>
      <c r="BA782" s="5146"/>
      <c r="BB782" s="5146"/>
      <c r="BC782" s="3812"/>
      <c r="BD782" s="5146"/>
      <c r="BE782" s="5146"/>
      <c r="BF782" s="5146"/>
      <c r="BG782" s="5146"/>
      <c r="BH782" s="5948"/>
      <c r="BI782" s="5146"/>
      <c r="BJ782" s="5146"/>
      <c r="BK782" s="5146"/>
      <c r="BL782" s="5146"/>
      <c r="BM782" s="5296"/>
      <c r="BN782" s="5263"/>
      <c r="BO782" s="5273"/>
      <c r="BP782" s="5146"/>
      <c r="BQ782" s="5146"/>
      <c r="BR782" s="5146"/>
      <c r="BS782" s="5146"/>
      <c r="BT782" s="5146"/>
      <c r="BU782" s="5146"/>
      <c r="BV782" s="5146"/>
      <c r="BW782" s="5146"/>
      <c r="BX782" s="5146"/>
      <c r="BY782" s="5146"/>
      <c r="BZ782" s="5146"/>
      <c r="CA782" s="5296"/>
      <c r="CB782" s="5282"/>
      <c r="CC782" s="5309"/>
      <c r="CD782" s="5059"/>
      <c r="CE782" s="5154"/>
      <c r="CF782" s="5154"/>
      <c r="CG782" s="5154"/>
      <c r="CH782" s="5154"/>
    </row>
    <row r="783" s="4980" customFormat="1" ht="30" customHeight="1" spans="1:86">
      <c r="A783" s="3812"/>
      <c r="B783" s="857"/>
      <c r="C783" s="857"/>
      <c r="D783" s="5059"/>
      <c r="E783" s="5059"/>
      <c r="F783" s="5059"/>
      <c r="G783" s="1032"/>
      <c r="H783" s="5059"/>
      <c r="I783" s="5205"/>
      <c r="J783" s="5059"/>
      <c r="K783" s="1032"/>
      <c r="L783" s="5059"/>
      <c r="M783" s="3812"/>
      <c r="N783" s="3812"/>
      <c r="O783" s="3812"/>
      <c r="P783" s="3812"/>
      <c r="Q783" s="3812"/>
      <c r="R783" s="3812"/>
      <c r="S783" s="3812"/>
      <c r="T783" s="3812"/>
      <c r="U783" s="3812"/>
      <c r="V783" s="3812"/>
      <c r="W783" s="3812"/>
      <c r="X783" s="3812"/>
      <c r="Y783" s="3812"/>
      <c r="Z783" s="3812"/>
      <c r="AA783" s="3812"/>
      <c r="AB783" s="3812"/>
      <c r="AC783" s="1032"/>
      <c r="AD783" s="5714" t="s">
        <v>1672</v>
      </c>
      <c r="AE783" s="5929">
        <v>0.5</v>
      </c>
      <c r="AF783" s="5930">
        <v>509400</v>
      </c>
      <c r="AG783" s="5201">
        <f t="shared" si="157"/>
        <v>183919.789</v>
      </c>
      <c r="AH783" s="5930" t="s">
        <v>122</v>
      </c>
      <c r="AI783" s="5201">
        <v>44659</v>
      </c>
      <c r="AJ783" s="5201">
        <v>183919.789</v>
      </c>
      <c r="AK783" s="5201">
        <v>44659</v>
      </c>
      <c r="AL783" s="5201">
        <v>183919.789</v>
      </c>
      <c r="AM783" s="5201">
        <v>44858</v>
      </c>
      <c r="AN783" s="5201">
        <f t="shared" si="158"/>
        <v>183919.789</v>
      </c>
      <c r="AO783" s="5734"/>
      <c r="AP783" s="5201">
        <f t="shared" si="156"/>
        <v>0</v>
      </c>
      <c r="AQ783" s="5797"/>
      <c r="AR783" s="5201"/>
      <c r="AS783" s="5931"/>
      <c r="AT783" s="5797"/>
      <c r="AU783" s="3812"/>
      <c r="AV783" s="3812"/>
      <c r="AW783" s="3812"/>
      <c r="AX783" s="3812"/>
      <c r="AY783" s="3812"/>
      <c r="AZ783" s="3812"/>
      <c r="BA783" s="5146"/>
      <c r="BB783" s="5146"/>
      <c r="BC783" s="3812"/>
      <c r="BD783" s="5146"/>
      <c r="BE783" s="5146"/>
      <c r="BF783" s="5146"/>
      <c r="BG783" s="5146"/>
      <c r="BH783" s="5152"/>
      <c r="BI783" s="5146"/>
      <c r="BJ783" s="5146"/>
      <c r="BK783" s="5146"/>
      <c r="BL783" s="5146"/>
      <c r="BM783" s="5296"/>
      <c r="BN783" s="5263">
        <v>183919.789</v>
      </c>
      <c r="BO783" s="5273"/>
      <c r="BP783" s="5146"/>
      <c r="BQ783" s="5146"/>
      <c r="BR783" s="5146"/>
      <c r="BS783" s="5146"/>
      <c r="BT783" s="5146"/>
      <c r="BU783" s="5146"/>
      <c r="BV783" s="5146"/>
      <c r="BW783" s="5146"/>
      <c r="BX783" s="5146"/>
      <c r="BY783" s="5146"/>
      <c r="BZ783" s="5146"/>
      <c r="CA783" s="5296"/>
      <c r="CB783" s="5282">
        <v>183919.789</v>
      </c>
      <c r="CC783" s="5309"/>
      <c r="CD783" s="5059"/>
      <c r="CE783" s="5154"/>
      <c r="CF783" s="5154"/>
      <c r="CG783" s="5154"/>
      <c r="CH783" s="5154"/>
    </row>
    <row r="784" s="4980" customFormat="1" ht="30" customHeight="1" spans="1:86">
      <c r="A784" s="3812"/>
      <c r="B784" s="857"/>
      <c r="C784" s="857"/>
      <c r="D784" s="5059"/>
      <c r="E784" s="5059"/>
      <c r="F784" s="5059"/>
      <c r="G784" s="1032"/>
      <c r="H784" s="5059"/>
      <c r="I784" s="5205"/>
      <c r="J784" s="5059"/>
      <c r="K784" s="1032"/>
      <c r="L784" s="5059"/>
      <c r="M784" s="3812"/>
      <c r="N784" s="3812"/>
      <c r="O784" s="3812"/>
      <c r="P784" s="3812"/>
      <c r="Q784" s="3812"/>
      <c r="R784" s="3812"/>
      <c r="S784" s="3812"/>
      <c r="T784" s="3812"/>
      <c r="U784" s="3812"/>
      <c r="V784" s="3812"/>
      <c r="W784" s="3812"/>
      <c r="X784" s="3812"/>
      <c r="Y784" s="3812"/>
      <c r="Z784" s="3812"/>
      <c r="AA784" s="3812"/>
      <c r="AB784" s="3812"/>
      <c r="AC784" s="1032"/>
      <c r="AD784" s="5714"/>
      <c r="AE784" s="5929"/>
      <c r="AF784" s="5930"/>
      <c r="AG784" s="5201">
        <f t="shared" si="157"/>
        <v>0</v>
      </c>
      <c r="AH784" s="5201"/>
      <c r="AI784" s="5201"/>
      <c r="AJ784" s="5201"/>
      <c r="AK784" s="5201"/>
      <c r="AL784" s="5201"/>
      <c r="AM784" s="5201"/>
      <c r="AN784" s="5201">
        <f t="shared" si="158"/>
        <v>0</v>
      </c>
      <c r="AO784" s="5201"/>
      <c r="AP784" s="5201">
        <f t="shared" si="156"/>
        <v>0</v>
      </c>
      <c r="AQ784" s="5797"/>
      <c r="AR784" s="5201"/>
      <c r="AS784" s="5931"/>
      <c r="AT784" s="5797"/>
      <c r="AU784" s="3812"/>
      <c r="AV784" s="3812"/>
      <c r="AW784" s="3812"/>
      <c r="AX784" s="3812"/>
      <c r="AY784" s="3812"/>
      <c r="AZ784" s="3812"/>
      <c r="BA784" s="5146"/>
      <c r="BB784" s="5146"/>
      <c r="BC784" s="3812"/>
      <c r="BD784" s="5146"/>
      <c r="BE784" s="5146"/>
      <c r="BF784" s="5146"/>
      <c r="BG784" s="5146"/>
      <c r="BH784" s="5948"/>
      <c r="BI784" s="5146"/>
      <c r="BJ784" s="5146"/>
      <c r="BK784" s="5146"/>
      <c r="BL784" s="5146"/>
      <c r="BM784" s="5296"/>
      <c r="BN784" s="5263"/>
      <c r="BO784" s="5273"/>
      <c r="BP784" s="5146"/>
      <c r="BQ784" s="5146"/>
      <c r="BR784" s="5146"/>
      <c r="BS784" s="5146"/>
      <c r="BT784" s="5146"/>
      <c r="BU784" s="5146"/>
      <c r="BV784" s="5146"/>
      <c r="BW784" s="5146"/>
      <c r="BX784" s="5146"/>
      <c r="BY784" s="5146"/>
      <c r="BZ784" s="5146"/>
      <c r="CA784" s="5296"/>
      <c r="CB784" s="5282"/>
      <c r="CC784" s="5309"/>
      <c r="CD784" s="5059"/>
      <c r="CE784" s="5154"/>
      <c r="CF784" s="5154"/>
      <c r="CG784" s="5154"/>
      <c r="CH784" s="5154"/>
    </row>
    <row r="785" s="4980" customFormat="1" ht="30" customHeight="1" spans="1:86">
      <c r="A785" s="3812"/>
      <c r="B785" s="857"/>
      <c r="C785" s="857"/>
      <c r="D785" s="5059"/>
      <c r="E785" s="5059"/>
      <c r="F785" s="5059"/>
      <c r="G785" s="1032"/>
      <c r="H785" s="5059"/>
      <c r="I785" s="5205"/>
      <c r="J785" s="5059"/>
      <c r="K785" s="1032"/>
      <c r="L785" s="5059"/>
      <c r="M785" s="3812"/>
      <c r="N785" s="3812"/>
      <c r="O785" s="3812"/>
      <c r="P785" s="3812"/>
      <c r="Q785" s="3812"/>
      <c r="R785" s="3812"/>
      <c r="S785" s="3812"/>
      <c r="T785" s="3812"/>
      <c r="U785" s="3812"/>
      <c r="V785" s="3812"/>
      <c r="W785" s="3812"/>
      <c r="X785" s="3812"/>
      <c r="Y785" s="3812"/>
      <c r="Z785" s="3812"/>
      <c r="AA785" s="3812"/>
      <c r="AB785" s="3812"/>
      <c r="AC785" s="1032"/>
      <c r="AD785" s="5714" t="s">
        <v>1673</v>
      </c>
      <c r="AE785" s="5929">
        <v>0.05</v>
      </c>
      <c r="AF785" s="5930">
        <v>50940</v>
      </c>
      <c r="AG785" s="5201">
        <f t="shared" si="157"/>
        <v>0</v>
      </c>
      <c r="AH785" s="5201"/>
      <c r="AI785" s="5201"/>
      <c r="AJ785" s="5201"/>
      <c r="AK785" s="5201"/>
      <c r="AL785" s="5201"/>
      <c r="AM785" s="5201"/>
      <c r="AN785" s="5201">
        <f t="shared" si="158"/>
        <v>0</v>
      </c>
      <c r="AO785" s="5201"/>
      <c r="AP785" s="5201">
        <f t="shared" si="156"/>
        <v>0</v>
      </c>
      <c r="AQ785" s="5797"/>
      <c r="AR785" s="5201"/>
      <c r="AS785" s="5931"/>
      <c r="AT785" s="5797"/>
      <c r="AU785" s="3812"/>
      <c r="AV785" s="3812"/>
      <c r="AW785" s="3812"/>
      <c r="AX785" s="3812"/>
      <c r="AY785" s="3812"/>
      <c r="AZ785" s="3812"/>
      <c r="BA785" s="5146"/>
      <c r="BB785" s="5146"/>
      <c r="BC785" s="3812"/>
      <c r="BD785" s="5146"/>
      <c r="BE785" s="5146"/>
      <c r="BF785" s="5146"/>
      <c r="BG785" s="5146"/>
      <c r="BH785" s="5948"/>
      <c r="BI785" s="5146"/>
      <c r="BJ785" s="5146"/>
      <c r="BK785" s="5146"/>
      <c r="BL785" s="5146"/>
      <c r="BM785" s="5296"/>
      <c r="BN785" s="5263"/>
      <c r="BO785" s="5273"/>
      <c r="BP785" s="5146"/>
      <c r="BQ785" s="5146"/>
      <c r="BR785" s="5146"/>
      <c r="BS785" s="5146"/>
      <c r="BT785" s="5146"/>
      <c r="BU785" s="5146"/>
      <c r="BV785" s="5146"/>
      <c r="BW785" s="5146"/>
      <c r="BX785" s="5146"/>
      <c r="BY785" s="5146"/>
      <c r="BZ785" s="5146"/>
      <c r="CA785" s="5296"/>
      <c r="CB785" s="5282"/>
      <c r="CC785" s="5309"/>
      <c r="CD785" s="5059"/>
      <c r="CE785" s="5154"/>
      <c r="CF785" s="5154"/>
      <c r="CG785" s="5154"/>
      <c r="CH785" s="5154"/>
    </row>
    <row r="786" s="4980" customFormat="1" ht="30" customHeight="1" spans="1:86">
      <c r="A786" s="3812"/>
      <c r="B786" s="857"/>
      <c r="C786" s="857"/>
      <c r="D786" s="5059"/>
      <c r="E786" s="5059"/>
      <c r="F786" s="5059"/>
      <c r="G786" s="1032"/>
      <c r="H786" s="5059"/>
      <c r="I786" s="5205"/>
      <c r="J786" s="5059"/>
      <c r="K786" s="1032"/>
      <c r="L786" s="5059"/>
      <c r="M786" s="3812"/>
      <c r="N786" s="3812"/>
      <c r="O786" s="3812"/>
      <c r="P786" s="3812"/>
      <c r="Q786" s="3812"/>
      <c r="R786" s="3812"/>
      <c r="S786" s="3812"/>
      <c r="T786" s="3812"/>
      <c r="U786" s="3812"/>
      <c r="V786" s="3812"/>
      <c r="W786" s="3812"/>
      <c r="X786" s="3812"/>
      <c r="Y786" s="3812"/>
      <c r="Z786" s="3812"/>
      <c r="AA786" s="3812"/>
      <c r="AB786" s="3812"/>
      <c r="AC786" s="1032"/>
      <c r="AD786" s="5931"/>
      <c r="AE786" s="5929"/>
      <c r="AF786" s="5930"/>
      <c r="AG786" s="5201">
        <f t="shared" si="157"/>
        <v>0</v>
      </c>
      <c r="AH786" s="5201"/>
      <c r="AI786" s="5201"/>
      <c r="AJ786" s="5201"/>
      <c r="AK786" s="5201"/>
      <c r="AL786" s="5201"/>
      <c r="AM786" s="5201"/>
      <c r="AN786" s="5201">
        <f t="shared" si="158"/>
        <v>0</v>
      </c>
      <c r="AO786" s="5201"/>
      <c r="AP786" s="5201">
        <f t="shared" si="156"/>
        <v>0</v>
      </c>
      <c r="AQ786" s="5797"/>
      <c r="AR786" s="5201"/>
      <c r="AS786" s="5931"/>
      <c r="AT786" s="5797"/>
      <c r="AU786" s="3812"/>
      <c r="AV786" s="3812"/>
      <c r="AW786" s="3812"/>
      <c r="AX786" s="3812"/>
      <c r="AY786" s="3812"/>
      <c r="AZ786" s="3812"/>
      <c r="BA786" s="5146"/>
      <c r="BB786" s="5146"/>
      <c r="BC786" s="3812"/>
      <c r="BD786" s="5146"/>
      <c r="BE786" s="5146"/>
      <c r="BF786" s="5146"/>
      <c r="BG786" s="5146"/>
      <c r="BH786" s="5948"/>
      <c r="BI786" s="5146"/>
      <c r="BJ786" s="5146"/>
      <c r="BK786" s="5146"/>
      <c r="BL786" s="5146"/>
      <c r="BM786" s="5296"/>
      <c r="BN786" s="5263"/>
      <c r="BO786" s="5273"/>
      <c r="BP786" s="5146"/>
      <c r="BQ786" s="5146"/>
      <c r="BR786" s="5146"/>
      <c r="BS786" s="5146"/>
      <c r="BT786" s="5146"/>
      <c r="BU786" s="5146"/>
      <c r="BV786" s="5146"/>
      <c r="BW786" s="5146"/>
      <c r="BX786" s="5146"/>
      <c r="BY786" s="5146"/>
      <c r="BZ786" s="5146"/>
      <c r="CA786" s="5296"/>
      <c r="CB786" s="5282"/>
      <c r="CC786" s="5309"/>
      <c r="CD786" s="5059"/>
      <c r="CE786" s="5154"/>
      <c r="CF786" s="5154"/>
      <c r="CG786" s="5154"/>
      <c r="CH786" s="5154"/>
    </row>
    <row r="787" s="4980" customFormat="1" ht="30" customHeight="1" spans="1:86">
      <c r="A787" s="3812"/>
      <c r="B787" s="857"/>
      <c r="C787" s="857"/>
      <c r="D787" s="5059"/>
      <c r="E787" s="5059"/>
      <c r="F787" s="5059"/>
      <c r="G787" s="1032"/>
      <c r="H787" s="5059"/>
      <c r="I787" s="5205"/>
      <c r="J787" s="5059"/>
      <c r="K787" s="1032"/>
      <c r="L787" s="5059"/>
      <c r="M787" s="3812"/>
      <c r="N787" s="3812"/>
      <c r="O787" s="3812"/>
      <c r="P787" s="3812"/>
      <c r="Q787" s="3812"/>
      <c r="R787" s="3812"/>
      <c r="S787" s="3812"/>
      <c r="T787" s="3812"/>
      <c r="U787" s="3812"/>
      <c r="V787" s="3812"/>
      <c r="W787" s="3812"/>
      <c r="X787" s="3812"/>
      <c r="Y787" s="3812"/>
      <c r="Z787" s="3812"/>
      <c r="AA787" s="3812"/>
      <c r="AB787" s="3812"/>
      <c r="AC787" s="1032" t="s">
        <v>1674</v>
      </c>
      <c r="AD787" s="5714" t="s">
        <v>1675</v>
      </c>
      <c r="AE787" s="5929">
        <v>0.1</v>
      </c>
      <c r="AF787" s="5930">
        <v>14774.44</v>
      </c>
      <c r="AG787" s="5201">
        <f t="shared" si="157"/>
        <v>6396.2795</v>
      </c>
      <c r="AH787" s="5930" t="s">
        <v>122</v>
      </c>
      <c r="AI787" s="5201">
        <v>44659</v>
      </c>
      <c r="AJ787" s="5201">
        <v>6396.2795</v>
      </c>
      <c r="AK787" s="5201">
        <v>44659</v>
      </c>
      <c r="AL787" s="5201">
        <v>6396.2795</v>
      </c>
      <c r="AM787" s="5201">
        <v>44858</v>
      </c>
      <c r="AN787" s="5201">
        <f t="shared" si="158"/>
        <v>6396.28</v>
      </c>
      <c r="AO787" s="5201">
        <v>45071</v>
      </c>
      <c r="AP787" s="5201">
        <f t="shared" si="156"/>
        <v>-0.000500000000101863</v>
      </c>
      <c r="AQ787" s="5945"/>
      <c r="AR787" s="5201"/>
      <c r="AS787" s="5931"/>
      <c r="AT787" s="5797"/>
      <c r="AU787" s="3812"/>
      <c r="AV787" s="3812"/>
      <c r="AW787" s="3812"/>
      <c r="AX787" s="3812"/>
      <c r="AY787" s="3812"/>
      <c r="AZ787" s="3812"/>
      <c r="BA787" s="5146"/>
      <c r="BB787" s="5146"/>
      <c r="BC787" s="3812"/>
      <c r="BD787" s="5146"/>
      <c r="BE787" s="5146"/>
      <c r="BF787" s="5146"/>
      <c r="BG787" s="5146"/>
      <c r="BH787" s="5152"/>
      <c r="BI787" s="5146"/>
      <c r="BJ787" s="5146"/>
      <c r="BK787" s="5146"/>
      <c r="BL787" s="5146"/>
      <c r="BM787" s="5296"/>
      <c r="BN787" s="5263">
        <v>6396.2795</v>
      </c>
      <c r="BO787" s="5273"/>
      <c r="BP787" s="5146"/>
      <c r="BQ787" s="5146"/>
      <c r="BR787" s="5146"/>
      <c r="BS787" s="5146"/>
      <c r="BT787" s="5146"/>
      <c r="BU787" s="5146"/>
      <c r="BV787" s="5146"/>
      <c r="BW787" s="5146"/>
      <c r="BX787" s="5146"/>
      <c r="BY787" s="5146"/>
      <c r="BZ787" s="5146"/>
      <c r="CA787" s="5296"/>
      <c r="CB787" s="5282">
        <v>6396.28</v>
      </c>
      <c r="CC787" s="5309"/>
      <c r="CD787" s="5059"/>
      <c r="CE787" s="5154"/>
      <c r="CF787" s="5154"/>
      <c r="CG787" s="5154"/>
      <c r="CH787" s="5154"/>
    </row>
    <row r="788" s="4980" customFormat="1" ht="30" customHeight="1" spans="1:86">
      <c r="A788" s="3812"/>
      <c r="B788" s="857"/>
      <c r="C788" s="857"/>
      <c r="D788" s="5059"/>
      <c r="E788" s="5059"/>
      <c r="F788" s="5059"/>
      <c r="G788" s="1032"/>
      <c r="H788" s="5059"/>
      <c r="I788" s="5205"/>
      <c r="J788" s="5059"/>
      <c r="K788" s="1032"/>
      <c r="L788" s="5059"/>
      <c r="M788" s="3812"/>
      <c r="N788" s="3812"/>
      <c r="O788" s="3812"/>
      <c r="P788" s="3812"/>
      <c r="Q788" s="3812"/>
      <c r="R788" s="3812"/>
      <c r="S788" s="3812"/>
      <c r="T788" s="3812"/>
      <c r="U788" s="3812"/>
      <c r="V788" s="3812"/>
      <c r="W788" s="3812"/>
      <c r="X788" s="3812"/>
      <c r="Y788" s="3812"/>
      <c r="Z788" s="3812"/>
      <c r="AA788" s="3812"/>
      <c r="AB788" s="3812"/>
      <c r="AC788" s="1032"/>
      <c r="AD788" s="5714"/>
      <c r="AE788" s="5929"/>
      <c r="AF788" s="5930"/>
      <c r="AG788" s="5201">
        <f t="shared" ref="AG788:AG794" si="159">SUM(BA788:BN788)</f>
        <v>0</v>
      </c>
      <c r="AH788" s="5201"/>
      <c r="AI788" s="5201"/>
      <c r="AJ788" s="5201"/>
      <c r="AK788" s="5201"/>
      <c r="AL788" s="5201"/>
      <c r="AM788" s="5201"/>
      <c r="AN788" s="5201">
        <f t="shared" ref="AN788:AN793" si="160">SUM(BO788:CB788)</f>
        <v>0</v>
      </c>
      <c r="AO788" s="5201"/>
      <c r="AP788" s="5201">
        <f t="shared" ref="AP788:AP793" si="161">AG788-AN788</f>
        <v>0</v>
      </c>
      <c r="AQ788" s="5945"/>
      <c r="AR788" s="5201"/>
      <c r="AS788" s="5931"/>
      <c r="AT788" s="5797"/>
      <c r="AU788" s="3812"/>
      <c r="AV788" s="3812"/>
      <c r="AW788" s="3812"/>
      <c r="AX788" s="3812"/>
      <c r="AY788" s="3812"/>
      <c r="AZ788" s="3812"/>
      <c r="BA788" s="5146"/>
      <c r="BB788" s="5146"/>
      <c r="BC788" s="3812"/>
      <c r="BD788" s="5146"/>
      <c r="BE788" s="5146"/>
      <c r="BF788" s="5146"/>
      <c r="BG788" s="5146"/>
      <c r="BH788" s="5948"/>
      <c r="BI788" s="5146"/>
      <c r="BJ788" s="5146"/>
      <c r="BK788" s="5146"/>
      <c r="BL788" s="5146"/>
      <c r="BM788" s="5296"/>
      <c r="BN788" s="5263"/>
      <c r="BO788" s="5273"/>
      <c r="BP788" s="5146"/>
      <c r="BQ788" s="5146"/>
      <c r="BR788" s="5146"/>
      <c r="BS788" s="5146"/>
      <c r="BT788" s="5146"/>
      <c r="BU788" s="5146"/>
      <c r="BV788" s="5146"/>
      <c r="BW788" s="5146"/>
      <c r="BX788" s="5146"/>
      <c r="BY788" s="5146"/>
      <c r="BZ788" s="5146"/>
      <c r="CA788" s="5296"/>
      <c r="CB788" s="5282"/>
      <c r="CC788" s="5309"/>
      <c r="CD788" s="5059"/>
      <c r="CE788" s="5154"/>
      <c r="CF788" s="5154"/>
      <c r="CG788" s="5154"/>
      <c r="CH788" s="5154"/>
    </row>
    <row r="789" s="4980" customFormat="1" ht="30" customHeight="1" spans="1:86">
      <c r="A789" s="3812"/>
      <c r="B789" s="857"/>
      <c r="C789" s="857"/>
      <c r="D789" s="5059"/>
      <c r="E789" s="5059"/>
      <c r="F789" s="5059"/>
      <c r="G789" s="1032"/>
      <c r="H789" s="5059"/>
      <c r="I789" s="5205"/>
      <c r="J789" s="5059"/>
      <c r="K789" s="1032"/>
      <c r="L789" s="5059"/>
      <c r="M789" s="3812"/>
      <c r="N789" s="3812"/>
      <c r="O789" s="3812"/>
      <c r="P789" s="3812"/>
      <c r="Q789" s="3812"/>
      <c r="R789" s="3812"/>
      <c r="S789" s="3812"/>
      <c r="T789" s="3812"/>
      <c r="U789" s="3812"/>
      <c r="V789" s="3812"/>
      <c r="W789" s="3812"/>
      <c r="X789" s="3812"/>
      <c r="Y789" s="3812"/>
      <c r="Z789" s="3812"/>
      <c r="AA789" s="3812"/>
      <c r="AB789" s="3812"/>
      <c r="AC789" s="1032"/>
      <c r="AD789" s="5714" t="s">
        <v>1676</v>
      </c>
      <c r="AE789" s="5714">
        <v>0.35</v>
      </c>
      <c r="AF789" s="5930">
        <v>51710.54</v>
      </c>
      <c r="AG789" s="5201">
        <f t="shared" si="159"/>
        <v>22386.97825</v>
      </c>
      <c r="AH789" s="5930" t="s">
        <v>122</v>
      </c>
      <c r="AI789" s="5201">
        <v>44659</v>
      </c>
      <c r="AJ789" s="5201">
        <v>22386.97825</v>
      </c>
      <c r="AK789" s="5201">
        <v>44659</v>
      </c>
      <c r="AL789" s="5201">
        <v>22386.97825</v>
      </c>
      <c r="AM789" s="5201">
        <v>44858</v>
      </c>
      <c r="AN789" s="5201">
        <f t="shared" si="160"/>
        <v>22386.98</v>
      </c>
      <c r="AO789" s="5201">
        <v>45071</v>
      </c>
      <c r="AP789" s="5201">
        <f t="shared" si="161"/>
        <v>-0.00174999999944703</v>
      </c>
      <c r="AQ789" s="5797"/>
      <c r="AR789" s="5201"/>
      <c r="AS789" s="5931"/>
      <c r="AT789" s="5797"/>
      <c r="AU789" s="3812"/>
      <c r="AV789" s="3812"/>
      <c r="AW789" s="3812"/>
      <c r="AX789" s="3812"/>
      <c r="AY789" s="3812"/>
      <c r="AZ789" s="3812"/>
      <c r="BA789" s="5146"/>
      <c r="BB789" s="5146"/>
      <c r="BC789" s="3812"/>
      <c r="BD789" s="5146"/>
      <c r="BE789" s="5146"/>
      <c r="BF789" s="5146"/>
      <c r="BG789" s="5146"/>
      <c r="BH789" s="5152"/>
      <c r="BI789" s="5146"/>
      <c r="BJ789" s="5146"/>
      <c r="BK789" s="5146"/>
      <c r="BL789" s="5146"/>
      <c r="BM789" s="5296"/>
      <c r="BN789" s="5263">
        <v>22386.97825</v>
      </c>
      <c r="BO789" s="5273"/>
      <c r="BP789" s="5146"/>
      <c r="BQ789" s="5146"/>
      <c r="BR789" s="5146"/>
      <c r="BS789" s="5146"/>
      <c r="BT789" s="5146"/>
      <c r="BU789" s="5146"/>
      <c r="BV789" s="5146"/>
      <c r="BW789" s="5146"/>
      <c r="BX789" s="5146"/>
      <c r="BY789" s="5146"/>
      <c r="BZ789" s="5146"/>
      <c r="CA789" s="5296"/>
      <c r="CB789" s="5282">
        <v>22386.98</v>
      </c>
      <c r="CC789" s="5309"/>
      <c r="CD789" s="5059"/>
      <c r="CE789" s="5154"/>
      <c r="CF789" s="5154"/>
      <c r="CG789" s="5154"/>
      <c r="CH789" s="5154"/>
    </row>
    <row r="790" s="4980" customFormat="1" ht="30" customHeight="1" spans="1:86">
      <c r="A790" s="3812"/>
      <c r="B790" s="857"/>
      <c r="C790" s="857"/>
      <c r="D790" s="5059"/>
      <c r="E790" s="5059"/>
      <c r="F790" s="5059"/>
      <c r="G790" s="1032"/>
      <c r="H790" s="5059"/>
      <c r="I790" s="5205"/>
      <c r="J790" s="5059"/>
      <c r="K790" s="1032"/>
      <c r="L790" s="5059"/>
      <c r="M790" s="3812"/>
      <c r="N790" s="3812"/>
      <c r="O790" s="3812"/>
      <c r="P790" s="3812"/>
      <c r="Q790" s="3812"/>
      <c r="R790" s="3812"/>
      <c r="S790" s="3812"/>
      <c r="T790" s="3812"/>
      <c r="U790" s="3812"/>
      <c r="V790" s="3812"/>
      <c r="W790" s="3812"/>
      <c r="X790" s="3812"/>
      <c r="Y790" s="3812"/>
      <c r="Z790" s="3812"/>
      <c r="AA790" s="3812"/>
      <c r="AB790" s="3812"/>
      <c r="AC790" s="1032"/>
      <c r="AD790" s="5714"/>
      <c r="AE790" s="5714"/>
      <c r="AF790" s="5930"/>
      <c r="AG790" s="5201">
        <f t="shared" si="159"/>
        <v>0</v>
      </c>
      <c r="AH790" s="5201"/>
      <c r="AI790" s="5201"/>
      <c r="AJ790" s="5930"/>
      <c r="AK790" s="5201"/>
      <c r="AL790" s="5201"/>
      <c r="AM790" s="5201"/>
      <c r="AN790" s="5201">
        <f t="shared" si="160"/>
        <v>0</v>
      </c>
      <c r="AO790" s="5201"/>
      <c r="AP790" s="5201">
        <f t="shared" si="161"/>
        <v>0</v>
      </c>
      <c r="AQ790" s="5797"/>
      <c r="AR790" s="5201"/>
      <c r="AS790" s="5931"/>
      <c r="AT790" s="5797"/>
      <c r="AU790" s="3812"/>
      <c r="AV790" s="3812"/>
      <c r="AW790" s="3812"/>
      <c r="AX790" s="3812"/>
      <c r="AY790" s="3812"/>
      <c r="AZ790" s="3812"/>
      <c r="BA790" s="5146"/>
      <c r="BB790" s="5146"/>
      <c r="BC790" s="3812"/>
      <c r="BD790" s="5146"/>
      <c r="BE790" s="5146"/>
      <c r="BF790" s="5146"/>
      <c r="BG790" s="5146"/>
      <c r="BH790" s="5948"/>
      <c r="BI790" s="5146"/>
      <c r="BJ790" s="5146"/>
      <c r="BK790" s="5146"/>
      <c r="BL790" s="5146"/>
      <c r="BM790" s="5296"/>
      <c r="BN790" s="5263"/>
      <c r="BO790" s="5273"/>
      <c r="BP790" s="5146"/>
      <c r="BQ790" s="5146"/>
      <c r="BR790" s="5146"/>
      <c r="BS790" s="5146"/>
      <c r="BT790" s="5146"/>
      <c r="BU790" s="5146"/>
      <c r="BV790" s="5146"/>
      <c r="BW790" s="5146"/>
      <c r="BX790" s="5146"/>
      <c r="BY790" s="5146"/>
      <c r="BZ790" s="5146"/>
      <c r="CA790" s="5296"/>
      <c r="CB790" s="5915"/>
      <c r="CC790" s="5309"/>
      <c r="CD790" s="5059"/>
      <c r="CE790" s="5154"/>
      <c r="CF790" s="5154"/>
      <c r="CG790" s="5154"/>
      <c r="CH790" s="5154"/>
    </row>
    <row r="791" s="4980" customFormat="1" ht="30" customHeight="1" spans="1:86">
      <c r="A791" s="3812"/>
      <c r="B791" s="857"/>
      <c r="C791" s="857"/>
      <c r="D791" s="5059"/>
      <c r="E791" s="5059"/>
      <c r="F791" s="5059"/>
      <c r="G791" s="1032"/>
      <c r="H791" s="5059"/>
      <c r="I791" s="5205"/>
      <c r="J791" s="5059"/>
      <c r="K791" s="1032"/>
      <c r="L791" s="5059"/>
      <c r="M791" s="3812"/>
      <c r="N791" s="3812"/>
      <c r="O791" s="3812"/>
      <c r="P791" s="3812"/>
      <c r="Q791" s="3812"/>
      <c r="R791" s="3812"/>
      <c r="S791" s="3812"/>
      <c r="T791" s="3812"/>
      <c r="U791" s="3812"/>
      <c r="V791" s="3812"/>
      <c r="W791" s="3812"/>
      <c r="X791" s="3812"/>
      <c r="Y791" s="3812"/>
      <c r="Z791" s="3812"/>
      <c r="AA791" s="3812"/>
      <c r="AB791" s="3812"/>
      <c r="AC791" s="1032"/>
      <c r="AD791" s="5714" t="s">
        <v>1677</v>
      </c>
      <c r="AE791" s="5929">
        <v>0.45</v>
      </c>
      <c r="AF791" s="5930">
        <v>66484.98</v>
      </c>
      <c r="AG791" s="5201">
        <f t="shared" si="159"/>
        <v>0</v>
      </c>
      <c r="AH791" s="5201"/>
      <c r="AI791" s="5201"/>
      <c r="AJ791" s="5201"/>
      <c r="AK791" s="5201"/>
      <c r="AL791" s="5201"/>
      <c r="AM791" s="5201"/>
      <c r="AN791" s="5201">
        <f t="shared" si="160"/>
        <v>0</v>
      </c>
      <c r="AO791" s="5201"/>
      <c r="AP791" s="5201">
        <f t="shared" si="161"/>
        <v>0</v>
      </c>
      <c r="AQ791" s="5797"/>
      <c r="AR791" s="5201"/>
      <c r="AS791" s="5931"/>
      <c r="AT791" s="5797"/>
      <c r="AU791" s="3812"/>
      <c r="AV791" s="3812"/>
      <c r="AW791" s="3812"/>
      <c r="AX791" s="3812"/>
      <c r="AY791" s="3812"/>
      <c r="AZ791" s="3812"/>
      <c r="BA791" s="5146"/>
      <c r="BB791" s="5146"/>
      <c r="BC791" s="3812"/>
      <c r="BD791" s="5146"/>
      <c r="BE791" s="5146"/>
      <c r="BF791" s="5146"/>
      <c r="BG791" s="5146"/>
      <c r="BH791" s="5948"/>
      <c r="BI791" s="5146"/>
      <c r="BJ791" s="5146"/>
      <c r="BK791" s="5146"/>
      <c r="BL791" s="5146"/>
      <c r="BM791" s="5296"/>
      <c r="BN791" s="5263"/>
      <c r="BO791" s="5273"/>
      <c r="BP791" s="5146"/>
      <c r="BQ791" s="5146"/>
      <c r="BR791" s="5146"/>
      <c r="BS791" s="5146"/>
      <c r="BT791" s="5146"/>
      <c r="BU791" s="5146"/>
      <c r="BV791" s="5146"/>
      <c r="BW791" s="5146"/>
      <c r="BX791" s="5146"/>
      <c r="BY791" s="5146"/>
      <c r="BZ791" s="5146"/>
      <c r="CA791" s="5296"/>
      <c r="CB791" s="5915"/>
      <c r="CC791" s="5309"/>
      <c r="CD791" s="5059"/>
      <c r="CE791" s="5154"/>
      <c r="CF791" s="5154"/>
      <c r="CG791" s="5154"/>
      <c r="CH791" s="5154"/>
    </row>
    <row r="792" s="4980" customFormat="1" ht="30" customHeight="1" spans="1:86">
      <c r="A792" s="3812"/>
      <c r="B792" s="857"/>
      <c r="C792" s="857"/>
      <c r="D792" s="5059"/>
      <c r="E792" s="5059"/>
      <c r="F792" s="5059"/>
      <c r="G792" s="1032"/>
      <c r="H792" s="5059"/>
      <c r="I792" s="5205"/>
      <c r="J792" s="5059"/>
      <c r="K792" s="1032"/>
      <c r="L792" s="5059"/>
      <c r="M792" s="3812"/>
      <c r="N792" s="3812"/>
      <c r="O792" s="3812"/>
      <c r="P792" s="3812"/>
      <c r="Q792" s="3812"/>
      <c r="R792" s="3812"/>
      <c r="S792" s="3812"/>
      <c r="T792" s="3812"/>
      <c r="U792" s="3812"/>
      <c r="V792" s="3812"/>
      <c r="W792" s="3812"/>
      <c r="X792" s="3812"/>
      <c r="Y792" s="3812"/>
      <c r="Z792" s="3812"/>
      <c r="AA792" s="3812"/>
      <c r="AB792" s="3812"/>
      <c r="AC792" s="1032"/>
      <c r="AD792" s="5714"/>
      <c r="AE792" s="5929"/>
      <c r="AF792" s="5930"/>
      <c r="AG792" s="5201">
        <f t="shared" si="159"/>
        <v>0</v>
      </c>
      <c r="AH792" s="5201"/>
      <c r="AI792" s="5201"/>
      <c r="AJ792" s="5201"/>
      <c r="AK792" s="5201"/>
      <c r="AL792" s="5201"/>
      <c r="AM792" s="5201"/>
      <c r="AN792" s="5201">
        <f t="shared" si="160"/>
        <v>0</v>
      </c>
      <c r="AO792" s="5201"/>
      <c r="AP792" s="5201">
        <f t="shared" si="161"/>
        <v>0</v>
      </c>
      <c r="AQ792" s="5797"/>
      <c r="AR792" s="5201"/>
      <c r="AS792" s="5931"/>
      <c r="AT792" s="5797"/>
      <c r="AU792" s="3812"/>
      <c r="AV792" s="3812"/>
      <c r="AW792" s="3812"/>
      <c r="AX792" s="3812"/>
      <c r="AY792" s="3812"/>
      <c r="AZ792" s="3812"/>
      <c r="BA792" s="5146"/>
      <c r="BB792" s="5146"/>
      <c r="BC792" s="3812"/>
      <c r="BD792" s="5146"/>
      <c r="BE792" s="5146"/>
      <c r="BF792" s="5146"/>
      <c r="BG792" s="5146"/>
      <c r="BH792" s="5948"/>
      <c r="BI792" s="5146"/>
      <c r="BJ792" s="5146"/>
      <c r="BK792" s="5146"/>
      <c r="BL792" s="5146"/>
      <c r="BM792" s="5296"/>
      <c r="BN792" s="5263"/>
      <c r="BO792" s="5273"/>
      <c r="BP792" s="5146"/>
      <c r="BQ792" s="5146"/>
      <c r="BR792" s="5146"/>
      <c r="BS792" s="5146"/>
      <c r="BT792" s="5146"/>
      <c r="BU792" s="5146"/>
      <c r="BV792" s="5146"/>
      <c r="BW792" s="5146"/>
      <c r="BX792" s="5146"/>
      <c r="BY792" s="5146"/>
      <c r="BZ792" s="5146"/>
      <c r="CA792" s="5296"/>
      <c r="CB792" s="5915"/>
      <c r="CC792" s="5309"/>
      <c r="CD792" s="5059"/>
      <c r="CE792" s="5154"/>
      <c r="CF792" s="5154"/>
      <c r="CG792" s="5154"/>
      <c r="CH792" s="5154"/>
    </row>
    <row r="793" s="4980" customFormat="1" ht="30" customHeight="1" spans="1:86">
      <c r="A793" s="3812"/>
      <c r="B793" s="857"/>
      <c r="C793" s="857"/>
      <c r="D793" s="5059"/>
      <c r="E793" s="5059"/>
      <c r="F793" s="5059"/>
      <c r="G793" s="1032"/>
      <c r="H793" s="5059"/>
      <c r="I793" s="5205"/>
      <c r="J793" s="5059"/>
      <c r="K793" s="1032"/>
      <c r="L793" s="5059"/>
      <c r="M793" s="3812"/>
      <c r="N793" s="3812"/>
      <c r="O793" s="3812"/>
      <c r="P793" s="3812"/>
      <c r="Q793" s="3812"/>
      <c r="R793" s="3812"/>
      <c r="S793" s="3812"/>
      <c r="T793" s="3812"/>
      <c r="U793" s="3812"/>
      <c r="V793" s="3812"/>
      <c r="W793" s="3812"/>
      <c r="X793" s="3812"/>
      <c r="Y793" s="3812"/>
      <c r="Z793" s="3812"/>
      <c r="AA793" s="3812"/>
      <c r="AB793" s="3812"/>
      <c r="AC793" s="1032"/>
      <c r="AD793" s="5714" t="s">
        <v>1678</v>
      </c>
      <c r="AE793" s="5929">
        <v>0.1</v>
      </c>
      <c r="AF793" s="5930">
        <v>14774.44</v>
      </c>
      <c r="AG793" s="5201">
        <f t="shared" si="159"/>
        <v>0</v>
      </c>
      <c r="AH793" s="5201"/>
      <c r="AI793" s="5201"/>
      <c r="AJ793" s="5201"/>
      <c r="AK793" s="5201"/>
      <c r="AL793" s="5201"/>
      <c r="AM793" s="5201"/>
      <c r="AN793" s="5201">
        <f t="shared" si="160"/>
        <v>0</v>
      </c>
      <c r="AO793" s="5201"/>
      <c r="AP793" s="5201">
        <f t="shared" si="161"/>
        <v>0</v>
      </c>
      <c r="AQ793" s="5797"/>
      <c r="AR793" s="5201"/>
      <c r="AS793" s="5931"/>
      <c r="AT793" s="5797"/>
      <c r="AU793" s="3812"/>
      <c r="AV793" s="3812"/>
      <c r="AW793" s="3812"/>
      <c r="AX793" s="3812"/>
      <c r="AY793" s="3812"/>
      <c r="AZ793" s="3812"/>
      <c r="BA793" s="5146"/>
      <c r="BB793" s="5146"/>
      <c r="BC793" s="3812"/>
      <c r="BD793" s="5146"/>
      <c r="BE793" s="5146"/>
      <c r="BF793" s="5146"/>
      <c r="BG793" s="5146"/>
      <c r="BH793" s="5948"/>
      <c r="BI793" s="5146"/>
      <c r="BJ793" s="5146"/>
      <c r="BK793" s="5146"/>
      <c r="BL793" s="5146"/>
      <c r="BM793" s="5296"/>
      <c r="BN793" s="5263"/>
      <c r="BO793" s="5273"/>
      <c r="BP793" s="5146"/>
      <c r="BQ793" s="5146"/>
      <c r="BR793" s="5146"/>
      <c r="BS793" s="5146"/>
      <c r="BT793" s="5146"/>
      <c r="BU793" s="5146"/>
      <c r="BV793" s="5146"/>
      <c r="BW793" s="5146"/>
      <c r="BX793" s="5146"/>
      <c r="BY793" s="5146"/>
      <c r="BZ793" s="5146"/>
      <c r="CA793" s="5296"/>
      <c r="CB793" s="5915"/>
      <c r="CC793" s="5309"/>
      <c r="CD793" s="5059"/>
      <c r="CE793" s="5154"/>
      <c r="CF793" s="5154"/>
      <c r="CG793" s="5154"/>
      <c r="CH793" s="5154"/>
    </row>
    <row r="794" s="4980" customFormat="1" ht="30" customHeight="1" spans="1:86">
      <c r="A794" s="3812"/>
      <c r="B794" s="857"/>
      <c r="C794" s="857"/>
      <c r="D794" s="5059"/>
      <c r="E794" s="5059"/>
      <c r="F794" s="5059"/>
      <c r="G794" s="1032"/>
      <c r="H794" s="5059"/>
      <c r="I794" s="5206"/>
      <c r="J794" s="5059"/>
      <c r="K794" s="1032"/>
      <c r="L794" s="5059"/>
      <c r="M794" s="3812"/>
      <c r="N794" s="3812"/>
      <c r="O794" s="3812"/>
      <c r="P794" s="3812"/>
      <c r="Q794" s="3812"/>
      <c r="R794" s="3812"/>
      <c r="S794" s="3812"/>
      <c r="T794" s="3812"/>
      <c r="U794" s="3812"/>
      <c r="V794" s="3812"/>
      <c r="W794" s="3812"/>
      <c r="X794" s="3812"/>
      <c r="Y794" s="3812"/>
      <c r="Z794" s="3812"/>
      <c r="AA794" s="3812"/>
      <c r="AB794" s="3812"/>
      <c r="AC794" s="1032"/>
      <c r="AD794" s="5931"/>
      <c r="AE794" s="5929"/>
      <c r="AF794" s="5930"/>
      <c r="AG794" s="5201">
        <f t="shared" si="159"/>
        <v>0</v>
      </c>
      <c r="AH794" s="5201"/>
      <c r="AI794" s="5201"/>
      <c r="AJ794" s="5201"/>
      <c r="AK794" s="5201"/>
      <c r="AL794" s="5201"/>
      <c r="AM794" s="5201"/>
      <c r="AN794" s="5201">
        <f t="shared" ref="AN794:AN809" si="162">SUM(BO794:CB794)</f>
        <v>0</v>
      </c>
      <c r="AO794" s="5201"/>
      <c r="AP794" s="5201">
        <f t="shared" ref="AP794:AP809" si="163">AG794-AN794</f>
        <v>0</v>
      </c>
      <c r="AQ794" s="5797"/>
      <c r="AR794" s="5201"/>
      <c r="AS794" s="5931"/>
      <c r="AT794" s="5797"/>
      <c r="AU794" s="3812"/>
      <c r="AV794" s="3812"/>
      <c r="AW794" s="3812"/>
      <c r="AX794" s="3812"/>
      <c r="AY794" s="3812"/>
      <c r="AZ794" s="3812"/>
      <c r="BA794" s="5146"/>
      <c r="BB794" s="5146"/>
      <c r="BC794" s="3812"/>
      <c r="BD794" s="5146"/>
      <c r="BE794" s="5146"/>
      <c r="BF794" s="5146"/>
      <c r="BG794" s="5146"/>
      <c r="BH794" s="5948"/>
      <c r="BI794" s="5146"/>
      <c r="BJ794" s="5146"/>
      <c r="BK794" s="5146"/>
      <c r="BL794" s="5146"/>
      <c r="BM794" s="5296"/>
      <c r="BN794" s="5263"/>
      <c r="BO794" s="5790"/>
      <c r="BP794" s="5791"/>
      <c r="BQ794" s="5791"/>
      <c r="BR794" s="5791"/>
      <c r="BS794" s="5791"/>
      <c r="BT794" s="5791"/>
      <c r="BU794" s="5791"/>
      <c r="BV794" s="5791"/>
      <c r="BW794" s="5791"/>
      <c r="BX794" s="5791"/>
      <c r="BY794" s="5791"/>
      <c r="BZ794" s="5791"/>
      <c r="CA794" s="5918"/>
      <c r="CB794" s="5919"/>
      <c r="CC794" s="5309"/>
      <c r="CD794" s="5059"/>
      <c r="CE794" s="5154"/>
      <c r="CF794" s="5154"/>
      <c r="CG794" s="5154"/>
      <c r="CH794" s="5154"/>
    </row>
    <row r="795" s="4980" customFormat="1" ht="35" customHeight="1" spans="1:86">
      <c r="A795" s="3812">
        <v>19</v>
      </c>
      <c r="B795" s="857" t="s">
        <v>111</v>
      </c>
      <c r="C795" s="857">
        <v>44454</v>
      </c>
      <c r="D795" s="5059" t="s">
        <v>1679</v>
      </c>
      <c r="E795" s="5059" t="s">
        <v>171</v>
      </c>
      <c r="F795" s="1032" t="s">
        <v>1680</v>
      </c>
      <c r="G795" s="1032" t="s">
        <v>1681</v>
      </c>
      <c r="H795" s="5059" t="s">
        <v>1682</v>
      </c>
      <c r="I795" s="5214"/>
      <c r="J795" s="1032" t="s">
        <v>1683</v>
      </c>
      <c r="K795" s="1032">
        <v>505300.22</v>
      </c>
      <c r="L795" s="1032" t="s">
        <v>1684</v>
      </c>
      <c r="M795" s="3812">
        <f>SUM(N795:AB815)</f>
        <v>804065</v>
      </c>
      <c r="N795" s="5123">
        <v>0</v>
      </c>
      <c r="O795" s="5123">
        <v>0</v>
      </c>
      <c r="P795" s="5123">
        <v>0</v>
      </c>
      <c r="Q795" s="5123">
        <v>36548.5</v>
      </c>
      <c r="R795" s="5123">
        <v>0</v>
      </c>
      <c r="S795" s="5123">
        <v>0</v>
      </c>
      <c r="T795" s="5089">
        <v>0</v>
      </c>
      <c r="U795" s="5123">
        <v>0</v>
      </c>
      <c r="V795" s="5123">
        <v>0</v>
      </c>
      <c r="W795" s="5123">
        <v>0</v>
      </c>
      <c r="X795" s="5123">
        <v>0</v>
      </c>
      <c r="Y795" s="5123"/>
      <c r="Z795" s="5123"/>
      <c r="AA795" s="5123">
        <v>767516.5</v>
      </c>
      <c r="AB795" s="3406" t="s">
        <v>126</v>
      </c>
      <c r="AC795" s="1032" t="s">
        <v>1685</v>
      </c>
      <c r="AD795" s="5241" t="s">
        <v>1686</v>
      </c>
      <c r="AE795" s="5878">
        <v>0.577</v>
      </c>
      <c r="AF795" s="857">
        <f>142896*AE795</f>
        <v>82450.992</v>
      </c>
      <c r="AG795" s="3812">
        <f t="shared" ref="AG794:AG808" si="164">SUM(BA795:BN795)</f>
        <v>0</v>
      </c>
      <c r="AH795" s="3812"/>
      <c r="AI795" s="3812"/>
      <c r="AJ795" s="857"/>
      <c r="AK795" s="3812"/>
      <c r="AL795" s="3812"/>
      <c r="AM795" s="3812"/>
      <c r="AN795" s="3812">
        <f t="shared" si="162"/>
        <v>0</v>
      </c>
      <c r="AO795" s="3812"/>
      <c r="AP795" s="3812">
        <f t="shared" si="163"/>
        <v>0</v>
      </c>
      <c r="AQ795" s="5943"/>
      <c r="AR795" s="3812"/>
      <c r="AS795" s="5241"/>
      <c r="AT795" s="5146"/>
      <c r="AU795" s="5201">
        <f>SUM(AG795:AG815)</f>
        <v>352831.82</v>
      </c>
      <c r="AV795" s="5201">
        <f>SUM(AL795:AL815)</f>
        <v>352831.82</v>
      </c>
      <c r="AW795" s="5201">
        <f>SUM(AN795:AN815)</f>
        <v>352831.82</v>
      </c>
      <c r="AX795" s="5201">
        <f>M795-AU795</f>
        <v>451233.18</v>
      </c>
      <c r="AY795" s="5201">
        <f>AU795-AV795</f>
        <v>0</v>
      </c>
      <c r="AZ795" s="5201">
        <f>AV795-AW795</f>
        <v>0</v>
      </c>
      <c r="BA795" s="5146"/>
      <c r="BB795" s="5146"/>
      <c r="BC795" s="3812"/>
      <c r="BD795" s="5146"/>
      <c r="BE795" s="5146"/>
      <c r="BF795" s="5146"/>
      <c r="BG795" s="5146"/>
      <c r="BH795" s="5948"/>
      <c r="BI795" s="5146"/>
      <c r="BJ795" s="5146"/>
      <c r="BK795" s="5146"/>
      <c r="BL795" s="5146"/>
      <c r="BM795" s="5146"/>
      <c r="BN795" s="3812"/>
      <c r="BO795" s="5792"/>
      <c r="BP795" s="5792"/>
      <c r="BQ795" s="5792"/>
      <c r="BR795" s="5792"/>
      <c r="BS795" s="5792"/>
      <c r="BT795" s="5792"/>
      <c r="BU795" s="5792"/>
      <c r="BV795" s="5792"/>
      <c r="BW795" s="5792"/>
      <c r="BX795" s="5792"/>
      <c r="BY795" s="5792"/>
      <c r="BZ795" s="5792"/>
      <c r="CA795" s="5792"/>
      <c r="CB795" s="5350"/>
      <c r="CC795" s="3812" t="s">
        <v>166</v>
      </c>
      <c r="CD795" s="5059" t="s">
        <v>154</v>
      </c>
      <c r="CE795" s="5154"/>
      <c r="CF795" s="5154"/>
      <c r="CG795" s="5154"/>
      <c r="CH795" s="5154"/>
    </row>
    <row r="796" s="4980" customFormat="1" ht="31" spans="1:86">
      <c r="A796" s="3812"/>
      <c r="B796" s="857"/>
      <c r="C796" s="857"/>
      <c r="D796" s="5059"/>
      <c r="E796" s="5059"/>
      <c r="F796" s="1032"/>
      <c r="G796" s="1032"/>
      <c r="H796" s="5059"/>
      <c r="I796" s="5074"/>
      <c r="J796" s="5059"/>
      <c r="K796" s="1032"/>
      <c r="L796" s="5059"/>
      <c r="M796" s="3812"/>
      <c r="N796" s="5123"/>
      <c r="O796" s="5123"/>
      <c r="P796" s="5123"/>
      <c r="Q796" s="5123"/>
      <c r="R796" s="5123"/>
      <c r="S796" s="5123"/>
      <c r="T796" s="5123"/>
      <c r="U796" s="5123"/>
      <c r="V796" s="5123"/>
      <c r="W796" s="5123"/>
      <c r="X796" s="5123"/>
      <c r="Y796" s="5123"/>
      <c r="Z796" s="5123"/>
      <c r="AA796" s="5123"/>
      <c r="AB796" s="5123"/>
      <c r="AC796" s="1032"/>
      <c r="AD796" s="5241" t="s">
        <v>1687</v>
      </c>
      <c r="AE796" s="5878">
        <v>0.423</v>
      </c>
      <c r="AF796" s="857">
        <v>60462.92</v>
      </c>
      <c r="AG796" s="3812">
        <f t="shared" si="164"/>
        <v>60462.92</v>
      </c>
      <c r="AH796" s="857" t="s">
        <v>122</v>
      </c>
      <c r="AI796" s="3812">
        <v>44897</v>
      </c>
      <c r="AJ796" s="3812">
        <f>SUM(BD796:BQ796)</f>
        <v>60462.92</v>
      </c>
      <c r="AK796" s="3812">
        <v>44897</v>
      </c>
      <c r="AL796" s="3812">
        <v>60462.92</v>
      </c>
      <c r="AM796" s="3812">
        <v>44971</v>
      </c>
      <c r="AN796" s="3812">
        <f t="shared" si="162"/>
        <v>60462.92</v>
      </c>
      <c r="AO796" s="3812">
        <v>45015</v>
      </c>
      <c r="AP796" s="3812">
        <f t="shared" si="163"/>
        <v>0</v>
      </c>
      <c r="AQ796" s="5256" t="s">
        <v>1688</v>
      </c>
      <c r="AR796" s="3812"/>
      <c r="AS796" s="5241"/>
      <c r="AT796" s="5146"/>
      <c r="AU796" s="5201"/>
      <c r="AV796" s="5201"/>
      <c r="AW796" s="5201"/>
      <c r="AX796" s="5201"/>
      <c r="AY796" s="5201"/>
      <c r="AZ796" s="5201"/>
      <c r="BA796" s="5146"/>
      <c r="BB796" s="5146"/>
      <c r="BC796" s="3812"/>
      <c r="BD796" s="5146"/>
      <c r="BE796" s="5146"/>
      <c r="BF796" s="5146"/>
      <c r="BG796" s="5146"/>
      <c r="BH796" s="5152"/>
      <c r="BI796" s="5146"/>
      <c r="BJ796" s="5146"/>
      <c r="BK796" s="5146"/>
      <c r="BL796" s="5146"/>
      <c r="BM796" s="5146"/>
      <c r="BN796" s="3812">
        <v>60462.92</v>
      </c>
      <c r="BO796" s="5146"/>
      <c r="BP796" s="5146"/>
      <c r="BQ796" s="5146"/>
      <c r="BR796" s="5146"/>
      <c r="BS796" s="5146"/>
      <c r="BT796" s="5146"/>
      <c r="BU796" s="5146"/>
      <c r="BV796" s="5146"/>
      <c r="BW796" s="5146"/>
      <c r="BX796" s="5146"/>
      <c r="BY796" s="5146"/>
      <c r="BZ796" s="5146"/>
      <c r="CA796" s="5146"/>
      <c r="CB796" s="3812">
        <v>60462.92</v>
      </c>
      <c r="CC796" s="3812"/>
      <c r="CD796" s="5059"/>
      <c r="CE796" s="5154"/>
      <c r="CF796" s="5154"/>
      <c r="CG796" s="5154"/>
      <c r="CH796" s="5154"/>
    </row>
    <row r="797" s="4980" customFormat="1" ht="35" customHeight="1" spans="1:86">
      <c r="A797" s="3812"/>
      <c r="B797" s="857"/>
      <c r="C797" s="857"/>
      <c r="D797" s="5059"/>
      <c r="E797" s="5059"/>
      <c r="F797" s="1032"/>
      <c r="G797" s="1032"/>
      <c r="H797" s="5059"/>
      <c r="I797" s="5074"/>
      <c r="J797" s="5059"/>
      <c r="K797" s="1032"/>
      <c r="L797" s="5059"/>
      <c r="M797" s="3812"/>
      <c r="N797" s="5123"/>
      <c r="O797" s="5123"/>
      <c r="P797" s="5123"/>
      <c r="Q797" s="5123"/>
      <c r="R797" s="5123"/>
      <c r="S797" s="5123"/>
      <c r="T797" s="5123"/>
      <c r="U797" s="5123"/>
      <c r="V797" s="5123"/>
      <c r="W797" s="5123"/>
      <c r="X797" s="5123"/>
      <c r="Y797" s="5123"/>
      <c r="Z797" s="5123"/>
      <c r="AA797" s="5123"/>
      <c r="AB797" s="5123"/>
      <c r="AC797" s="1032" t="s">
        <v>1689</v>
      </c>
      <c r="AD797" s="5241" t="s">
        <v>1690</v>
      </c>
      <c r="AE797" s="5878">
        <v>0.212</v>
      </c>
      <c r="AF797" s="857">
        <f>90684*AE797</f>
        <v>19225.008</v>
      </c>
      <c r="AG797" s="3812">
        <f t="shared" si="164"/>
        <v>0</v>
      </c>
      <c r="AH797" s="3812"/>
      <c r="AI797" s="3812"/>
      <c r="AJ797" s="3812"/>
      <c r="AK797" s="3812"/>
      <c r="AL797" s="3812"/>
      <c r="AM797" s="3812"/>
      <c r="AN797" s="3812">
        <f t="shared" si="162"/>
        <v>0</v>
      </c>
      <c r="AO797" s="3812"/>
      <c r="AP797" s="3812">
        <f t="shared" si="163"/>
        <v>0</v>
      </c>
      <c r="AQ797" s="5146"/>
      <c r="AR797" s="3812"/>
      <c r="AS797" s="5241"/>
      <c r="AT797" s="5146"/>
      <c r="AU797" s="5201"/>
      <c r="AV797" s="5201"/>
      <c r="AW797" s="5201"/>
      <c r="AX797" s="5201"/>
      <c r="AY797" s="5201"/>
      <c r="AZ797" s="5201"/>
      <c r="BA797" s="5146"/>
      <c r="BB797" s="5146"/>
      <c r="BC797" s="3812"/>
      <c r="BD797" s="5146"/>
      <c r="BE797" s="5146"/>
      <c r="BF797" s="5146"/>
      <c r="BG797" s="5146"/>
      <c r="BH797" s="5948"/>
      <c r="BI797" s="5146"/>
      <c r="BJ797" s="5146"/>
      <c r="BK797" s="5146"/>
      <c r="BL797" s="5146"/>
      <c r="BM797" s="5146"/>
      <c r="BN797" s="3812"/>
      <c r="BO797" s="5146"/>
      <c r="BP797" s="5146"/>
      <c r="BQ797" s="5146"/>
      <c r="BR797" s="5146"/>
      <c r="BS797" s="5146"/>
      <c r="BT797" s="5146"/>
      <c r="BU797" s="5146"/>
      <c r="BV797" s="5146"/>
      <c r="BW797" s="5146"/>
      <c r="BX797" s="5146"/>
      <c r="BY797" s="5146"/>
      <c r="BZ797" s="5146"/>
      <c r="CA797" s="5146"/>
      <c r="CB797" s="5146"/>
      <c r="CC797" s="3812"/>
      <c r="CD797" s="5059"/>
      <c r="CE797" s="5154"/>
      <c r="CF797" s="5154"/>
      <c r="CG797" s="5154"/>
      <c r="CH797" s="5154"/>
    </row>
    <row r="798" s="4980" customFormat="1" ht="35" customHeight="1" spans="1:86">
      <c r="A798" s="3812"/>
      <c r="B798" s="857"/>
      <c r="C798" s="857"/>
      <c r="D798" s="5059"/>
      <c r="E798" s="5059"/>
      <c r="F798" s="1032"/>
      <c r="G798" s="1032"/>
      <c r="H798" s="5059"/>
      <c r="I798" s="5074"/>
      <c r="J798" s="5059"/>
      <c r="K798" s="1032"/>
      <c r="L798" s="5059"/>
      <c r="M798" s="3812"/>
      <c r="N798" s="5123"/>
      <c r="O798" s="5123"/>
      <c r="P798" s="5123"/>
      <c r="Q798" s="5123"/>
      <c r="R798" s="5123"/>
      <c r="S798" s="5123"/>
      <c r="T798" s="5123"/>
      <c r="U798" s="5123"/>
      <c r="V798" s="5123"/>
      <c r="W798" s="5123"/>
      <c r="X798" s="5123"/>
      <c r="Y798" s="5123"/>
      <c r="Z798" s="5123"/>
      <c r="AA798" s="5123"/>
      <c r="AB798" s="5123"/>
      <c r="AC798" s="1032"/>
      <c r="AD798" s="5241" t="s">
        <v>1691</v>
      </c>
      <c r="AE798" s="5878">
        <v>0.242</v>
      </c>
      <c r="AF798" s="857">
        <f>90684*AE798</f>
        <v>21945.528</v>
      </c>
      <c r="AG798" s="3812">
        <f t="shared" si="164"/>
        <v>0</v>
      </c>
      <c r="AH798" s="3812"/>
      <c r="AI798" s="3812"/>
      <c r="AJ798" s="3812"/>
      <c r="AK798" s="3812"/>
      <c r="AL798" s="3812"/>
      <c r="AM798" s="3812"/>
      <c r="AN798" s="3812">
        <f t="shared" si="162"/>
        <v>0</v>
      </c>
      <c r="AO798" s="3812"/>
      <c r="AP798" s="3812">
        <f t="shared" si="163"/>
        <v>0</v>
      </c>
      <c r="AQ798" s="5146"/>
      <c r="AR798" s="3812"/>
      <c r="AS798" s="5241"/>
      <c r="AT798" s="5146"/>
      <c r="AU798" s="5201"/>
      <c r="AV798" s="5201"/>
      <c r="AW798" s="5201"/>
      <c r="AX798" s="5201"/>
      <c r="AY798" s="5201"/>
      <c r="AZ798" s="5201"/>
      <c r="BA798" s="5146"/>
      <c r="BB798" s="5146"/>
      <c r="BC798" s="3812"/>
      <c r="BD798" s="5146"/>
      <c r="BE798" s="5146"/>
      <c r="BF798" s="5146"/>
      <c r="BG798" s="5146"/>
      <c r="BH798" s="5948"/>
      <c r="BI798" s="5146"/>
      <c r="BJ798" s="5146"/>
      <c r="BK798" s="5146"/>
      <c r="BL798" s="5146"/>
      <c r="BM798" s="5146"/>
      <c r="BN798" s="3812"/>
      <c r="BO798" s="5146"/>
      <c r="BP798" s="5146"/>
      <c r="BQ798" s="5146"/>
      <c r="BR798" s="5146"/>
      <c r="BS798" s="5146"/>
      <c r="BT798" s="5146"/>
      <c r="BU798" s="5146"/>
      <c r="BV798" s="5146"/>
      <c r="BW798" s="5146"/>
      <c r="BX798" s="5146"/>
      <c r="BY798" s="5146"/>
      <c r="BZ798" s="5146"/>
      <c r="CA798" s="5146"/>
      <c r="CB798" s="5146"/>
      <c r="CC798" s="3812"/>
      <c r="CD798" s="5059"/>
      <c r="CE798" s="5154"/>
      <c r="CF798" s="5154"/>
      <c r="CG798" s="5154"/>
      <c r="CH798" s="5154"/>
    </row>
    <row r="799" s="4980" customFormat="1" ht="35" customHeight="1" spans="1:86">
      <c r="A799" s="3812"/>
      <c r="B799" s="857"/>
      <c r="C799" s="857"/>
      <c r="D799" s="5059"/>
      <c r="E799" s="5059"/>
      <c r="F799" s="1032"/>
      <c r="G799" s="1032"/>
      <c r="H799" s="5059"/>
      <c r="I799" s="5074"/>
      <c r="J799" s="5059"/>
      <c r="K799" s="1032"/>
      <c r="L799" s="5059"/>
      <c r="M799" s="3812"/>
      <c r="N799" s="5123"/>
      <c r="O799" s="5123"/>
      <c r="P799" s="5123"/>
      <c r="Q799" s="5123"/>
      <c r="R799" s="5123"/>
      <c r="S799" s="5123"/>
      <c r="T799" s="5123"/>
      <c r="U799" s="5123"/>
      <c r="V799" s="5123"/>
      <c r="W799" s="5123"/>
      <c r="X799" s="5123"/>
      <c r="Y799" s="5123"/>
      <c r="Z799" s="5123"/>
      <c r="AA799" s="5123"/>
      <c r="AB799" s="5123"/>
      <c r="AC799" s="1032"/>
      <c r="AD799" s="5241" t="s">
        <v>1692</v>
      </c>
      <c r="AE799" s="5878">
        <v>0.182</v>
      </c>
      <c r="AF799" s="857">
        <f>90684*AE799</f>
        <v>16504.488</v>
      </c>
      <c r="AG799" s="3812">
        <f t="shared" si="164"/>
        <v>0</v>
      </c>
      <c r="AH799" s="3812"/>
      <c r="AI799" s="3812"/>
      <c r="AJ799" s="3812"/>
      <c r="AK799" s="3812"/>
      <c r="AL799" s="3812"/>
      <c r="AM799" s="3812"/>
      <c r="AN799" s="3812">
        <f t="shared" si="162"/>
        <v>0</v>
      </c>
      <c r="AO799" s="3812"/>
      <c r="AP799" s="3812">
        <f t="shared" si="163"/>
        <v>0</v>
      </c>
      <c r="AQ799" s="5146"/>
      <c r="AR799" s="3812"/>
      <c r="AS799" s="5241"/>
      <c r="AT799" s="5146"/>
      <c r="AU799" s="5201"/>
      <c r="AV799" s="5201"/>
      <c r="AW799" s="5201"/>
      <c r="AX799" s="5201"/>
      <c r="AY799" s="5201"/>
      <c r="AZ799" s="5201"/>
      <c r="BA799" s="5146"/>
      <c r="BB799" s="5146"/>
      <c r="BC799" s="3812"/>
      <c r="BD799" s="5146"/>
      <c r="BE799" s="5146"/>
      <c r="BF799" s="5146"/>
      <c r="BG799" s="5146"/>
      <c r="BH799" s="5948"/>
      <c r="BI799" s="5146"/>
      <c r="BJ799" s="5146"/>
      <c r="BK799" s="5146"/>
      <c r="BL799" s="5146"/>
      <c r="BM799" s="5146"/>
      <c r="BN799" s="3812"/>
      <c r="BO799" s="5146"/>
      <c r="BP799" s="5146"/>
      <c r="BQ799" s="5146"/>
      <c r="BR799" s="5146"/>
      <c r="BS799" s="5146"/>
      <c r="BT799" s="5146"/>
      <c r="BU799" s="5146"/>
      <c r="BV799" s="5146"/>
      <c r="BW799" s="5146"/>
      <c r="BX799" s="5146"/>
      <c r="BY799" s="5146"/>
      <c r="BZ799" s="5146"/>
      <c r="CA799" s="5146"/>
      <c r="CB799" s="5146"/>
      <c r="CC799" s="3812"/>
      <c r="CD799" s="5059"/>
      <c r="CE799" s="5154"/>
      <c r="CF799" s="5154"/>
      <c r="CG799" s="5154"/>
      <c r="CH799" s="5154"/>
    </row>
    <row r="800" s="4980" customFormat="1" ht="35" customHeight="1" spans="1:86">
      <c r="A800" s="3812"/>
      <c r="B800" s="857"/>
      <c r="C800" s="857"/>
      <c r="D800" s="5059"/>
      <c r="E800" s="5059"/>
      <c r="F800" s="1032"/>
      <c r="G800" s="1032"/>
      <c r="H800" s="5059"/>
      <c r="I800" s="5074"/>
      <c r="J800" s="5059"/>
      <c r="K800" s="1032"/>
      <c r="L800" s="5059"/>
      <c r="M800" s="3812"/>
      <c r="N800" s="5123"/>
      <c r="O800" s="5123"/>
      <c r="P800" s="5123"/>
      <c r="Q800" s="5123"/>
      <c r="R800" s="5123"/>
      <c r="S800" s="5123"/>
      <c r="T800" s="5123"/>
      <c r="U800" s="5123"/>
      <c r="V800" s="5123"/>
      <c r="W800" s="5123"/>
      <c r="X800" s="5123"/>
      <c r="Y800" s="5123"/>
      <c r="Z800" s="5123"/>
      <c r="AA800" s="5123"/>
      <c r="AB800" s="5123"/>
      <c r="AC800" s="1032"/>
      <c r="AD800" s="5241" t="s">
        <v>1693</v>
      </c>
      <c r="AE800" s="5878">
        <v>0.182</v>
      </c>
      <c r="AF800" s="857">
        <f>90684*AE800</f>
        <v>16504.488</v>
      </c>
      <c r="AG800" s="3812">
        <f t="shared" si="164"/>
        <v>0</v>
      </c>
      <c r="AH800" s="3812"/>
      <c r="AI800" s="3812"/>
      <c r="AJ800" s="3812"/>
      <c r="AK800" s="3812"/>
      <c r="AL800" s="3812"/>
      <c r="AM800" s="3812"/>
      <c r="AN800" s="3812">
        <f t="shared" si="162"/>
        <v>0</v>
      </c>
      <c r="AO800" s="3812"/>
      <c r="AP800" s="3812">
        <f t="shared" si="163"/>
        <v>0</v>
      </c>
      <c r="AQ800" s="5146"/>
      <c r="AR800" s="3812"/>
      <c r="AS800" s="5241"/>
      <c r="AT800" s="5146"/>
      <c r="AU800" s="5201"/>
      <c r="AV800" s="5201"/>
      <c r="AW800" s="5201"/>
      <c r="AX800" s="5201"/>
      <c r="AY800" s="5201"/>
      <c r="AZ800" s="5201"/>
      <c r="BA800" s="5146"/>
      <c r="BB800" s="5146"/>
      <c r="BC800" s="3812"/>
      <c r="BD800" s="5146"/>
      <c r="BE800" s="5146"/>
      <c r="BF800" s="5146"/>
      <c r="BG800" s="5146"/>
      <c r="BH800" s="5948"/>
      <c r="BI800" s="5146"/>
      <c r="BJ800" s="5146"/>
      <c r="BK800" s="5146"/>
      <c r="BL800" s="5146"/>
      <c r="BM800" s="5146"/>
      <c r="BN800" s="3812"/>
      <c r="BO800" s="5146"/>
      <c r="BP800" s="5146"/>
      <c r="BQ800" s="5146"/>
      <c r="BR800" s="5146"/>
      <c r="BS800" s="5146"/>
      <c r="BT800" s="5146"/>
      <c r="BU800" s="5146"/>
      <c r="BV800" s="5146"/>
      <c r="BW800" s="5146"/>
      <c r="BX800" s="5146"/>
      <c r="BY800" s="5146"/>
      <c r="BZ800" s="5146"/>
      <c r="CA800" s="5146"/>
      <c r="CB800" s="5146"/>
      <c r="CC800" s="3812"/>
      <c r="CD800" s="5059"/>
      <c r="CE800" s="5154"/>
      <c r="CF800" s="5154"/>
      <c r="CG800" s="5154"/>
      <c r="CH800" s="5154"/>
    </row>
    <row r="801" s="4980" customFormat="1" ht="35" customHeight="1" spans="1:86">
      <c r="A801" s="3812"/>
      <c r="B801" s="857"/>
      <c r="C801" s="857"/>
      <c r="D801" s="5059"/>
      <c r="E801" s="5059"/>
      <c r="F801" s="1032"/>
      <c r="G801" s="1032"/>
      <c r="H801" s="5059"/>
      <c r="I801" s="5074"/>
      <c r="J801" s="5059"/>
      <c r="K801" s="1032"/>
      <c r="L801" s="5059"/>
      <c r="M801" s="3812"/>
      <c r="N801" s="5123"/>
      <c r="O801" s="5123"/>
      <c r="P801" s="5123"/>
      <c r="Q801" s="5123"/>
      <c r="R801" s="5123"/>
      <c r="S801" s="5123"/>
      <c r="T801" s="5123"/>
      <c r="U801" s="5123"/>
      <c r="V801" s="5123"/>
      <c r="W801" s="5123"/>
      <c r="X801" s="5123"/>
      <c r="Y801" s="5123"/>
      <c r="Z801" s="5123"/>
      <c r="AA801" s="5123"/>
      <c r="AB801" s="5123"/>
      <c r="AC801" s="1032"/>
      <c r="AD801" s="1032" t="s">
        <v>1694</v>
      </c>
      <c r="AE801" s="5878">
        <v>0.182</v>
      </c>
      <c r="AF801" s="857">
        <f>90684*AE801</f>
        <v>16504.488</v>
      </c>
      <c r="AG801" s="3812">
        <f t="shared" si="164"/>
        <v>0</v>
      </c>
      <c r="AH801" s="3812"/>
      <c r="AI801" s="3812"/>
      <c r="AJ801" s="3812"/>
      <c r="AK801" s="3812"/>
      <c r="AL801" s="3812"/>
      <c r="AM801" s="3812"/>
      <c r="AN801" s="3812">
        <f t="shared" si="162"/>
        <v>0</v>
      </c>
      <c r="AO801" s="3812"/>
      <c r="AP801" s="3812">
        <f t="shared" si="163"/>
        <v>0</v>
      </c>
      <c r="AQ801" s="5146"/>
      <c r="AR801" s="3812"/>
      <c r="AS801" s="5241"/>
      <c r="AT801" s="5146"/>
      <c r="AU801" s="5201"/>
      <c r="AV801" s="5201"/>
      <c r="AW801" s="5201"/>
      <c r="AX801" s="5201"/>
      <c r="AY801" s="5201"/>
      <c r="AZ801" s="5201"/>
      <c r="BA801" s="5146"/>
      <c r="BB801" s="5146"/>
      <c r="BC801" s="3812"/>
      <c r="BD801" s="5146"/>
      <c r="BE801" s="5146"/>
      <c r="BF801" s="5146"/>
      <c r="BG801" s="5146"/>
      <c r="BH801" s="5948"/>
      <c r="BI801" s="5146"/>
      <c r="BJ801" s="5146"/>
      <c r="BK801" s="5146"/>
      <c r="BL801" s="5146"/>
      <c r="BM801" s="5146"/>
      <c r="BN801" s="3812"/>
      <c r="BO801" s="5146"/>
      <c r="BP801" s="5146"/>
      <c r="BQ801" s="5146"/>
      <c r="BR801" s="5146"/>
      <c r="BS801" s="5146"/>
      <c r="BT801" s="5146"/>
      <c r="BU801" s="5146"/>
      <c r="BV801" s="5146"/>
      <c r="BW801" s="5146"/>
      <c r="BX801" s="5146"/>
      <c r="BY801" s="5146"/>
      <c r="BZ801" s="5146"/>
      <c r="CA801" s="5146"/>
      <c r="CB801" s="5146"/>
      <c r="CC801" s="3812"/>
      <c r="CD801" s="5059"/>
      <c r="CE801" s="5154"/>
      <c r="CF801" s="5154"/>
      <c r="CG801" s="5154"/>
      <c r="CH801" s="5154"/>
    </row>
    <row r="802" s="4980" customFormat="1" ht="35" customHeight="1" spans="1:86">
      <c r="A802" s="3812"/>
      <c r="B802" s="857"/>
      <c r="C802" s="857"/>
      <c r="D802" s="5059"/>
      <c r="E802" s="5059"/>
      <c r="F802" s="1032"/>
      <c r="G802" s="1032"/>
      <c r="H802" s="5059"/>
      <c r="I802" s="5074"/>
      <c r="J802" s="5059"/>
      <c r="K802" s="1032"/>
      <c r="L802" s="5059"/>
      <c r="M802" s="3812"/>
      <c r="N802" s="5123"/>
      <c r="O802" s="5123"/>
      <c r="P802" s="5123"/>
      <c r="Q802" s="5123"/>
      <c r="R802" s="5123"/>
      <c r="S802" s="5123"/>
      <c r="T802" s="5123"/>
      <c r="U802" s="5123"/>
      <c r="V802" s="5123"/>
      <c r="W802" s="5123"/>
      <c r="X802" s="5123"/>
      <c r="Y802" s="5123"/>
      <c r="Z802" s="5123"/>
      <c r="AA802" s="5123"/>
      <c r="AB802" s="5123"/>
      <c r="AC802" s="1032" t="s">
        <v>1695</v>
      </c>
      <c r="AD802" s="5241" t="s">
        <v>1696</v>
      </c>
      <c r="AE802" s="5878">
        <v>0.5</v>
      </c>
      <c r="AF802" s="857">
        <f t="shared" ref="AF802:AF806" si="165">32976*AE802</f>
        <v>16488</v>
      </c>
      <c r="AG802" s="3812">
        <f t="shared" si="164"/>
        <v>0</v>
      </c>
      <c r="AH802" s="3812"/>
      <c r="AI802" s="3812"/>
      <c r="AJ802" s="3812"/>
      <c r="AK802" s="3812"/>
      <c r="AL802" s="3812"/>
      <c r="AM802" s="3812"/>
      <c r="AN802" s="3812">
        <f t="shared" si="162"/>
        <v>0</v>
      </c>
      <c r="AO802" s="3812"/>
      <c r="AP802" s="3812">
        <f t="shared" si="163"/>
        <v>0</v>
      </c>
      <c r="AQ802" s="5146"/>
      <c r="AR802" s="3812"/>
      <c r="AS802" s="5833"/>
      <c r="AT802" s="5146"/>
      <c r="AU802" s="5201"/>
      <c r="AV802" s="5201"/>
      <c r="AW802" s="5201"/>
      <c r="AX802" s="5201"/>
      <c r="AY802" s="5201"/>
      <c r="AZ802" s="5201"/>
      <c r="BA802" s="5146"/>
      <c r="BB802" s="5146"/>
      <c r="BC802" s="3812"/>
      <c r="BD802" s="5146"/>
      <c r="BE802" s="5146"/>
      <c r="BF802" s="5146"/>
      <c r="BG802" s="5146"/>
      <c r="BH802" s="5948"/>
      <c r="BI802" s="5146"/>
      <c r="BJ802" s="5146"/>
      <c r="BK802" s="5146"/>
      <c r="BL802" s="5146"/>
      <c r="BM802" s="5146"/>
      <c r="BN802" s="3812"/>
      <c r="BO802" s="5146"/>
      <c r="BP802" s="5146"/>
      <c r="BQ802" s="5146"/>
      <c r="BR802" s="5146"/>
      <c r="BS802" s="5146"/>
      <c r="BT802" s="5146"/>
      <c r="BU802" s="5146"/>
      <c r="BV802" s="5146"/>
      <c r="BW802" s="5146"/>
      <c r="BX802" s="5146"/>
      <c r="BY802" s="5146"/>
      <c r="BZ802" s="5146"/>
      <c r="CA802" s="5146"/>
      <c r="CB802" s="5146"/>
      <c r="CC802" s="3812"/>
      <c r="CD802" s="5059"/>
      <c r="CE802" s="5154"/>
      <c r="CF802" s="5154"/>
      <c r="CG802" s="5154"/>
      <c r="CH802" s="5154"/>
    </row>
    <row r="803" s="4980" customFormat="1" ht="35" customHeight="1" spans="1:86">
      <c r="A803" s="3812"/>
      <c r="B803" s="857"/>
      <c r="C803" s="857"/>
      <c r="D803" s="5059"/>
      <c r="E803" s="5059"/>
      <c r="F803" s="1032"/>
      <c r="G803" s="1032"/>
      <c r="H803" s="5059"/>
      <c r="I803" s="5074"/>
      <c r="J803" s="5059"/>
      <c r="K803" s="1032"/>
      <c r="L803" s="5059"/>
      <c r="M803" s="3812"/>
      <c r="N803" s="5123"/>
      <c r="O803" s="5123"/>
      <c r="P803" s="5123"/>
      <c r="Q803" s="5123"/>
      <c r="R803" s="5123"/>
      <c r="S803" s="5123"/>
      <c r="T803" s="5123"/>
      <c r="U803" s="5123"/>
      <c r="V803" s="5123"/>
      <c r="W803" s="5123"/>
      <c r="X803" s="5123"/>
      <c r="Y803" s="5123"/>
      <c r="Z803" s="5123"/>
      <c r="AA803" s="5123"/>
      <c r="AB803" s="5123"/>
      <c r="AC803" s="1032"/>
      <c r="AD803" s="5241" t="s">
        <v>1697</v>
      </c>
      <c r="AE803" s="5878">
        <v>0.5</v>
      </c>
      <c r="AF803" s="857">
        <f t="shared" si="165"/>
        <v>16488</v>
      </c>
      <c r="AG803" s="3812">
        <f t="shared" si="164"/>
        <v>0</v>
      </c>
      <c r="AH803" s="3812"/>
      <c r="AI803" s="3812"/>
      <c r="AJ803" s="857"/>
      <c r="AK803" s="3812"/>
      <c r="AL803" s="3812"/>
      <c r="AM803" s="3812"/>
      <c r="AN803" s="3812">
        <f t="shared" si="162"/>
        <v>0</v>
      </c>
      <c r="AO803" s="3812"/>
      <c r="AP803" s="3812">
        <f t="shared" si="163"/>
        <v>0</v>
      </c>
      <c r="AQ803" s="5943"/>
      <c r="AR803" s="3812"/>
      <c r="AS803" s="5241"/>
      <c r="AT803" s="5146"/>
      <c r="AU803" s="5201"/>
      <c r="AV803" s="5201"/>
      <c r="AW803" s="5201"/>
      <c r="AX803" s="5201"/>
      <c r="AY803" s="5201"/>
      <c r="AZ803" s="5201"/>
      <c r="BA803" s="5146"/>
      <c r="BB803" s="5146"/>
      <c r="BC803" s="3812"/>
      <c r="BD803" s="5146"/>
      <c r="BE803" s="5146"/>
      <c r="BF803" s="5146"/>
      <c r="BG803" s="5146"/>
      <c r="BH803" s="5948"/>
      <c r="BI803" s="5146"/>
      <c r="BJ803" s="5146"/>
      <c r="BK803" s="5146"/>
      <c r="BL803" s="5146"/>
      <c r="BM803" s="5146"/>
      <c r="BN803" s="3812"/>
      <c r="BO803" s="5146"/>
      <c r="BP803" s="5146"/>
      <c r="BQ803" s="5146"/>
      <c r="BR803" s="5146"/>
      <c r="BS803" s="5146"/>
      <c r="BT803" s="5146"/>
      <c r="BU803" s="5146"/>
      <c r="BV803" s="5146"/>
      <c r="BW803" s="5146"/>
      <c r="BX803" s="5146"/>
      <c r="BY803" s="5146"/>
      <c r="BZ803" s="5146"/>
      <c r="CA803" s="5146"/>
      <c r="CB803" s="4813"/>
      <c r="CC803" s="3812"/>
      <c r="CD803" s="5059"/>
      <c r="CE803" s="5154"/>
      <c r="CF803" s="5154"/>
      <c r="CG803" s="5154"/>
      <c r="CH803" s="5154"/>
    </row>
    <row r="804" s="4980" customFormat="1" ht="35" customHeight="1" spans="1:86">
      <c r="A804" s="3812"/>
      <c r="B804" s="857"/>
      <c r="C804" s="857"/>
      <c r="D804" s="5059"/>
      <c r="E804" s="5059"/>
      <c r="F804" s="1032"/>
      <c r="G804" s="1032"/>
      <c r="H804" s="5059"/>
      <c r="I804" s="5074"/>
      <c r="J804" s="5059"/>
      <c r="K804" s="1032"/>
      <c r="L804" s="5059"/>
      <c r="M804" s="3812"/>
      <c r="N804" s="5123"/>
      <c r="O804" s="5123"/>
      <c r="P804" s="5123"/>
      <c r="Q804" s="5123"/>
      <c r="R804" s="5123"/>
      <c r="S804" s="5123"/>
      <c r="T804" s="5123"/>
      <c r="U804" s="5123"/>
      <c r="V804" s="5123"/>
      <c r="W804" s="5123"/>
      <c r="X804" s="5123"/>
      <c r="Y804" s="5123"/>
      <c r="Z804" s="5123"/>
      <c r="AA804" s="5123"/>
      <c r="AB804" s="5123"/>
      <c r="AC804" s="1032" t="s">
        <v>1698</v>
      </c>
      <c r="AD804" s="5241" t="s">
        <v>1698</v>
      </c>
      <c r="AE804" s="5878">
        <f>AF804/244572</f>
        <v>0.255879659159675</v>
      </c>
      <c r="AF804" s="857">
        <v>62581</v>
      </c>
      <c r="AG804" s="3812">
        <f t="shared" si="164"/>
        <v>62581</v>
      </c>
      <c r="AH804" s="857" t="s">
        <v>122</v>
      </c>
      <c r="AI804" s="3812">
        <v>44557</v>
      </c>
      <c r="AJ804" s="3812">
        <v>62581</v>
      </c>
      <c r="AK804" s="3812">
        <v>44551</v>
      </c>
      <c r="AL804" s="3812">
        <v>62581</v>
      </c>
      <c r="AM804" s="3812">
        <v>44971</v>
      </c>
      <c r="AN804" s="3812">
        <f t="shared" si="162"/>
        <v>62581</v>
      </c>
      <c r="AO804" s="3812">
        <v>45519</v>
      </c>
      <c r="AP804" s="3812">
        <f t="shared" si="163"/>
        <v>0</v>
      </c>
      <c r="AQ804" s="5154"/>
      <c r="AR804" s="3812"/>
      <c r="AS804" s="5241"/>
      <c r="AT804" s="5146"/>
      <c r="AU804" s="5201"/>
      <c r="AV804" s="5201"/>
      <c r="AW804" s="5201"/>
      <c r="AX804" s="5201"/>
      <c r="AY804" s="5201"/>
      <c r="AZ804" s="5201"/>
      <c r="BA804" s="5146"/>
      <c r="BB804" s="5146"/>
      <c r="BC804" s="3812"/>
      <c r="BD804" s="5146"/>
      <c r="BE804" s="5146"/>
      <c r="BF804" s="5146"/>
      <c r="BG804" s="5146"/>
      <c r="BH804" s="5152"/>
      <c r="BI804" s="5146"/>
      <c r="BJ804" s="5146"/>
      <c r="BK804" s="5146"/>
      <c r="BL804" s="5146"/>
      <c r="BM804" s="5146"/>
      <c r="BN804" s="3812">
        <v>62581</v>
      </c>
      <c r="BO804" s="5146"/>
      <c r="BP804" s="5146"/>
      <c r="BQ804" s="5146"/>
      <c r="BR804" s="5146"/>
      <c r="BS804" s="5146"/>
      <c r="BT804" s="5146"/>
      <c r="BU804" s="5146"/>
      <c r="BV804" s="5146"/>
      <c r="BW804" s="5146"/>
      <c r="BX804" s="5146"/>
      <c r="BY804" s="5146"/>
      <c r="BZ804" s="5146"/>
      <c r="CA804" s="5146"/>
      <c r="CB804" s="3812">
        <v>62581</v>
      </c>
      <c r="CC804" s="3812"/>
      <c r="CD804" s="5059"/>
      <c r="CE804" s="5154"/>
      <c r="CF804" s="5154"/>
      <c r="CG804" s="5154"/>
      <c r="CH804" s="5154"/>
    </row>
    <row r="805" s="4980" customFormat="1" ht="35" customHeight="1" spans="1:86">
      <c r="A805" s="3812"/>
      <c r="B805" s="857"/>
      <c r="C805" s="857"/>
      <c r="D805" s="5059"/>
      <c r="E805" s="5059"/>
      <c r="F805" s="1032"/>
      <c r="G805" s="1032"/>
      <c r="H805" s="5059"/>
      <c r="I805" s="5074"/>
      <c r="J805" s="5059"/>
      <c r="K805" s="1032"/>
      <c r="L805" s="5059"/>
      <c r="M805" s="3812"/>
      <c r="N805" s="5123"/>
      <c r="O805" s="5123"/>
      <c r="P805" s="5123"/>
      <c r="Q805" s="5123"/>
      <c r="R805" s="5123"/>
      <c r="S805" s="5123"/>
      <c r="T805" s="5123"/>
      <c r="U805" s="5123"/>
      <c r="V805" s="5123"/>
      <c r="W805" s="5123"/>
      <c r="X805" s="5123"/>
      <c r="Y805" s="5123"/>
      <c r="Z805" s="5123"/>
      <c r="AA805" s="5123"/>
      <c r="AB805" s="5123"/>
      <c r="AC805" s="1032"/>
      <c r="AD805" s="5241" t="s">
        <v>1699</v>
      </c>
      <c r="AE805" s="5878">
        <f>AF805/244572</f>
        <v>0.744120340840325</v>
      </c>
      <c r="AF805" s="857">
        <v>181991</v>
      </c>
      <c r="AG805" s="3812">
        <f t="shared" si="164"/>
        <v>0</v>
      </c>
      <c r="AH805" s="3812"/>
      <c r="AI805" s="3812"/>
      <c r="AJ805" s="3812"/>
      <c r="AK805" s="3812"/>
      <c r="AL805" s="3812"/>
      <c r="AM805" s="3812"/>
      <c r="AN805" s="3812">
        <f t="shared" si="162"/>
        <v>0</v>
      </c>
      <c r="AO805" s="3812"/>
      <c r="AP805" s="3812">
        <f t="shared" si="163"/>
        <v>0</v>
      </c>
      <c r="AQ805" s="5146"/>
      <c r="AR805" s="3812"/>
      <c r="AS805" s="5241"/>
      <c r="AT805" s="5146"/>
      <c r="AU805" s="5201"/>
      <c r="AV805" s="5201"/>
      <c r="AW805" s="5201"/>
      <c r="AX805" s="5201"/>
      <c r="AY805" s="5201"/>
      <c r="AZ805" s="5201"/>
      <c r="BA805" s="5146"/>
      <c r="BB805" s="5146"/>
      <c r="BC805" s="3812"/>
      <c r="BD805" s="5146"/>
      <c r="BE805" s="5146"/>
      <c r="BF805" s="5146"/>
      <c r="BG805" s="5146"/>
      <c r="BH805" s="5948"/>
      <c r="BI805" s="5146"/>
      <c r="BJ805" s="5146"/>
      <c r="BK805" s="5146"/>
      <c r="BL805" s="5146"/>
      <c r="BM805" s="5146"/>
      <c r="BN805" s="3812"/>
      <c r="BO805" s="5146"/>
      <c r="BP805" s="5146"/>
      <c r="BQ805" s="5146"/>
      <c r="BR805" s="5146"/>
      <c r="BS805" s="5146"/>
      <c r="BT805" s="5146"/>
      <c r="BU805" s="5146"/>
      <c r="BV805" s="5146"/>
      <c r="BW805" s="5146"/>
      <c r="BX805" s="5146"/>
      <c r="BY805" s="5146"/>
      <c r="BZ805" s="5146"/>
      <c r="CA805" s="5146"/>
      <c r="CB805" s="3812"/>
      <c r="CC805" s="3812"/>
      <c r="CD805" s="5059"/>
      <c r="CE805" s="5154"/>
      <c r="CF805" s="5154"/>
      <c r="CG805" s="5154"/>
      <c r="CH805" s="5154"/>
    </row>
    <row r="806" s="4980" customFormat="1" ht="35" customHeight="1" spans="1:86">
      <c r="A806" s="3812"/>
      <c r="B806" s="857"/>
      <c r="C806" s="857"/>
      <c r="D806" s="5059"/>
      <c r="E806" s="5059"/>
      <c r="F806" s="1032"/>
      <c r="G806" s="1032"/>
      <c r="H806" s="5059"/>
      <c r="I806" s="5074"/>
      <c r="J806" s="5059"/>
      <c r="K806" s="1032"/>
      <c r="L806" s="5059"/>
      <c r="M806" s="3812"/>
      <c r="N806" s="5123"/>
      <c r="O806" s="5123"/>
      <c r="P806" s="5123"/>
      <c r="Q806" s="5123"/>
      <c r="R806" s="5123"/>
      <c r="S806" s="5123"/>
      <c r="T806" s="5123"/>
      <c r="U806" s="5123"/>
      <c r="V806" s="5123"/>
      <c r="W806" s="5123"/>
      <c r="X806" s="5123"/>
      <c r="Y806" s="5123"/>
      <c r="Z806" s="5123"/>
      <c r="AA806" s="5123"/>
      <c r="AB806" s="5123"/>
      <c r="AC806" s="1032" t="s">
        <v>1700</v>
      </c>
      <c r="AD806" s="5241" t="s">
        <v>1701</v>
      </c>
      <c r="AE806" s="5878">
        <v>0.125</v>
      </c>
      <c r="AF806" s="857">
        <f>219840*AE806</f>
        <v>27480</v>
      </c>
      <c r="AG806" s="3812">
        <f t="shared" si="164"/>
        <v>27480</v>
      </c>
      <c r="AH806" s="857" t="s">
        <v>122</v>
      </c>
      <c r="AI806" s="3812">
        <v>44897</v>
      </c>
      <c r="AJ806" s="3812">
        <f>SUM(BD806:BQ806)</f>
        <v>27480</v>
      </c>
      <c r="AK806" s="3812">
        <v>44897</v>
      </c>
      <c r="AL806" s="3812">
        <v>27480</v>
      </c>
      <c r="AM806" s="3812">
        <v>44971</v>
      </c>
      <c r="AN806" s="3812">
        <f t="shared" si="162"/>
        <v>27480</v>
      </c>
      <c r="AO806" s="3812">
        <v>45128</v>
      </c>
      <c r="AP806" s="3812">
        <f t="shared" si="163"/>
        <v>0</v>
      </c>
      <c r="AQ806" s="5073" t="s">
        <v>1702</v>
      </c>
      <c r="AR806" s="3812"/>
      <c r="AS806" s="5073" t="s">
        <v>1703</v>
      </c>
      <c r="AT806" s="5146"/>
      <c r="AU806" s="5201"/>
      <c r="AV806" s="5201"/>
      <c r="AW806" s="5201"/>
      <c r="AX806" s="5201"/>
      <c r="AY806" s="5201"/>
      <c r="AZ806" s="5201"/>
      <c r="BA806" s="5146"/>
      <c r="BB806" s="5146"/>
      <c r="BC806" s="3812"/>
      <c r="BD806" s="5146"/>
      <c r="BE806" s="5146"/>
      <c r="BF806" s="5146"/>
      <c r="BG806" s="5146"/>
      <c r="BH806" s="5152"/>
      <c r="BI806" s="5146"/>
      <c r="BJ806" s="5146"/>
      <c r="BK806" s="5146"/>
      <c r="BL806" s="5146"/>
      <c r="BM806" s="5146"/>
      <c r="BN806" s="857">
        <v>27480</v>
      </c>
      <c r="BO806" s="5146"/>
      <c r="BP806" s="5146"/>
      <c r="BQ806" s="5146"/>
      <c r="BR806" s="5146"/>
      <c r="BS806" s="5146"/>
      <c r="BT806" s="5146"/>
      <c r="BU806" s="5146"/>
      <c r="BV806" s="5146"/>
      <c r="BW806" s="5146"/>
      <c r="BX806" s="5146"/>
      <c r="BY806" s="5146"/>
      <c r="BZ806" s="5146"/>
      <c r="CA806" s="5146"/>
      <c r="CB806" s="857">
        <v>27480</v>
      </c>
      <c r="CC806" s="3812"/>
      <c r="CD806" s="5059"/>
      <c r="CE806" s="5154"/>
      <c r="CF806" s="5154"/>
      <c r="CG806" s="5154"/>
      <c r="CH806" s="5154"/>
    </row>
    <row r="807" s="4980" customFormat="1" ht="35" customHeight="1" spans="1:86">
      <c r="A807" s="3812"/>
      <c r="B807" s="857"/>
      <c r="C807" s="857"/>
      <c r="D807" s="5059"/>
      <c r="E807" s="5059"/>
      <c r="F807" s="1032"/>
      <c r="G807" s="1032"/>
      <c r="H807" s="5059"/>
      <c r="I807" s="5074"/>
      <c r="J807" s="5059"/>
      <c r="K807" s="1032"/>
      <c r="L807" s="5059"/>
      <c r="M807" s="3812"/>
      <c r="N807" s="5123"/>
      <c r="O807" s="5123"/>
      <c r="P807" s="5123"/>
      <c r="Q807" s="5123"/>
      <c r="R807" s="5123"/>
      <c r="S807" s="5123"/>
      <c r="T807" s="5123"/>
      <c r="U807" s="5123"/>
      <c r="V807" s="5123"/>
      <c r="W807" s="5123"/>
      <c r="X807" s="5123"/>
      <c r="Y807" s="5123"/>
      <c r="Z807" s="5123"/>
      <c r="AA807" s="5123"/>
      <c r="AB807" s="5123"/>
      <c r="AC807" s="1032"/>
      <c r="AD807" s="5241" t="s">
        <v>1704</v>
      </c>
      <c r="AE807" s="5878">
        <v>0.3125</v>
      </c>
      <c r="AF807" s="857">
        <f>219840*AE807</f>
        <v>68700</v>
      </c>
      <c r="AG807" s="3812">
        <f t="shared" si="164"/>
        <v>68700</v>
      </c>
      <c r="AH807" s="857" t="s">
        <v>122</v>
      </c>
      <c r="AI807" s="3812">
        <v>44897</v>
      </c>
      <c r="AJ807" s="3812">
        <f>SUM(BD807:BQ807)</f>
        <v>68700</v>
      </c>
      <c r="AK807" s="3812">
        <v>44897</v>
      </c>
      <c r="AL807" s="3812">
        <v>68700</v>
      </c>
      <c r="AM807" s="3812">
        <v>44971</v>
      </c>
      <c r="AN807" s="3812">
        <f t="shared" si="162"/>
        <v>68700</v>
      </c>
      <c r="AO807" s="3812">
        <v>45128</v>
      </c>
      <c r="AP807" s="3812">
        <f t="shared" si="163"/>
        <v>0</v>
      </c>
      <c r="AQ807" s="5074"/>
      <c r="AR807" s="3812"/>
      <c r="AS807" s="5205"/>
      <c r="AT807" s="5146"/>
      <c r="AU807" s="5201"/>
      <c r="AV807" s="5201"/>
      <c r="AW807" s="5201"/>
      <c r="AX807" s="5201"/>
      <c r="AY807" s="5201"/>
      <c r="AZ807" s="5201"/>
      <c r="BA807" s="5146"/>
      <c r="BB807" s="5146"/>
      <c r="BC807" s="3812"/>
      <c r="BD807" s="5146"/>
      <c r="BE807" s="5146"/>
      <c r="BF807" s="5146"/>
      <c r="BG807" s="5146"/>
      <c r="BH807" s="5152"/>
      <c r="BI807" s="5146"/>
      <c r="BJ807" s="5146"/>
      <c r="BK807" s="5146"/>
      <c r="BL807" s="5146"/>
      <c r="BM807" s="5146"/>
      <c r="BN807" s="857">
        <v>68700</v>
      </c>
      <c r="BO807" s="5146"/>
      <c r="BP807" s="5146"/>
      <c r="BQ807" s="5146"/>
      <c r="BR807" s="5146"/>
      <c r="BS807" s="5146"/>
      <c r="BT807" s="5146"/>
      <c r="BU807" s="5146"/>
      <c r="BV807" s="5146"/>
      <c r="BW807" s="5146"/>
      <c r="BX807" s="5146"/>
      <c r="BY807" s="5146"/>
      <c r="BZ807" s="5146"/>
      <c r="CA807" s="5146"/>
      <c r="CB807" s="857">
        <v>68700</v>
      </c>
      <c r="CC807" s="3812"/>
      <c r="CD807" s="5059"/>
      <c r="CE807" s="5154"/>
      <c r="CF807" s="5154"/>
      <c r="CG807" s="5154"/>
      <c r="CH807" s="5154"/>
    </row>
    <row r="808" s="4980" customFormat="1" ht="35" customHeight="1" spans="1:86">
      <c r="A808" s="3812"/>
      <c r="B808" s="857"/>
      <c r="C808" s="857"/>
      <c r="D808" s="5059"/>
      <c r="E808" s="5059"/>
      <c r="F808" s="1032"/>
      <c r="G808" s="1032"/>
      <c r="H808" s="5059"/>
      <c r="I808" s="5074"/>
      <c r="J808" s="5059"/>
      <c r="K808" s="1032"/>
      <c r="L808" s="5059"/>
      <c r="M808" s="3812"/>
      <c r="N808" s="5123"/>
      <c r="O808" s="5123"/>
      <c r="P808" s="5123"/>
      <c r="Q808" s="5123"/>
      <c r="R808" s="5123"/>
      <c r="S808" s="5123"/>
      <c r="T808" s="5123"/>
      <c r="U808" s="5123"/>
      <c r="V808" s="5123"/>
      <c r="W808" s="5123"/>
      <c r="X808" s="5123"/>
      <c r="Y808" s="5123"/>
      <c r="Z808" s="5123"/>
      <c r="AA808" s="5123"/>
      <c r="AB808" s="5123"/>
      <c r="AC808" s="1032"/>
      <c r="AD808" s="5241" t="s">
        <v>1705</v>
      </c>
      <c r="AE808" s="5878">
        <v>0.125</v>
      </c>
      <c r="AF808" s="857">
        <f>219840*AE808</f>
        <v>27480</v>
      </c>
      <c r="AG808" s="3812">
        <f t="shared" si="164"/>
        <v>27480</v>
      </c>
      <c r="AH808" s="857" t="s">
        <v>122</v>
      </c>
      <c r="AI808" s="3812">
        <v>44897</v>
      </c>
      <c r="AJ808" s="3812">
        <f>SUM(BD808:BQ808)</f>
        <v>27480</v>
      </c>
      <c r="AK808" s="3812">
        <v>44897</v>
      </c>
      <c r="AL808" s="3812">
        <v>27480</v>
      </c>
      <c r="AM808" s="3812">
        <v>44971</v>
      </c>
      <c r="AN808" s="3812">
        <f t="shared" si="162"/>
        <v>27480</v>
      </c>
      <c r="AO808" s="3812">
        <v>45128</v>
      </c>
      <c r="AP808" s="3812">
        <f t="shared" si="163"/>
        <v>0</v>
      </c>
      <c r="AQ808" s="5074"/>
      <c r="AR808" s="3812"/>
      <c r="AS808" s="5205"/>
      <c r="AT808" s="5146"/>
      <c r="AU808" s="5201"/>
      <c r="AV808" s="5201"/>
      <c r="AW808" s="5201"/>
      <c r="AX808" s="5201"/>
      <c r="AY808" s="5201"/>
      <c r="AZ808" s="5201"/>
      <c r="BA808" s="5146"/>
      <c r="BB808" s="5146"/>
      <c r="BC808" s="3812"/>
      <c r="BD808" s="5146"/>
      <c r="BE808" s="5146"/>
      <c r="BF808" s="5146"/>
      <c r="BG808" s="5146"/>
      <c r="BH808" s="5152"/>
      <c r="BI808" s="5146"/>
      <c r="BJ808" s="5146"/>
      <c r="BK808" s="5146"/>
      <c r="BL808" s="5146"/>
      <c r="BM808" s="5146"/>
      <c r="BN808" s="857">
        <v>27480</v>
      </c>
      <c r="BO808" s="5146"/>
      <c r="BP808" s="5146"/>
      <c r="BQ808" s="5146"/>
      <c r="BR808" s="5146"/>
      <c r="BS808" s="5146"/>
      <c r="BT808" s="5146"/>
      <c r="BU808" s="5146"/>
      <c r="BV808" s="5146"/>
      <c r="BW808" s="5146"/>
      <c r="BX808" s="5146"/>
      <c r="BY808" s="5146"/>
      <c r="BZ808" s="5146"/>
      <c r="CA808" s="5146"/>
      <c r="CB808" s="857">
        <v>27480</v>
      </c>
      <c r="CC808" s="3812"/>
      <c r="CD808" s="5059"/>
      <c r="CE808" s="5154"/>
      <c r="CF808" s="5154"/>
      <c r="CG808" s="5154"/>
      <c r="CH808" s="5154"/>
    </row>
    <row r="809" s="4980" customFormat="1" ht="35" customHeight="1" spans="1:86">
      <c r="A809" s="3812"/>
      <c r="B809" s="857"/>
      <c r="C809" s="857"/>
      <c r="D809" s="5059"/>
      <c r="E809" s="5059"/>
      <c r="F809" s="1032"/>
      <c r="G809" s="1032"/>
      <c r="H809" s="5059"/>
      <c r="I809" s="5074"/>
      <c r="J809" s="5059"/>
      <c r="K809" s="1032"/>
      <c r="L809" s="5059"/>
      <c r="M809" s="3812"/>
      <c r="N809" s="5123"/>
      <c r="O809" s="5123"/>
      <c r="P809" s="5123"/>
      <c r="Q809" s="5123"/>
      <c r="R809" s="5123"/>
      <c r="S809" s="5123"/>
      <c r="T809" s="5123"/>
      <c r="U809" s="5123"/>
      <c r="V809" s="5123"/>
      <c r="W809" s="5123"/>
      <c r="X809" s="5123"/>
      <c r="Y809" s="5123"/>
      <c r="Z809" s="5123"/>
      <c r="AA809" s="5123"/>
      <c r="AB809" s="5123"/>
      <c r="AC809" s="1032"/>
      <c r="AD809" s="5242" t="s">
        <v>1706</v>
      </c>
      <c r="AE809" s="5921">
        <v>0.25</v>
      </c>
      <c r="AF809" s="3366">
        <f>219840*AE809</f>
        <v>54960</v>
      </c>
      <c r="AG809" s="4840">
        <f>SUM(BA809:BN810)</f>
        <v>54960</v>
      </c>
      <c r="AH809" s="3366" t="s">
        <v>122</v>
      </c>
      <c r="AI809" s="4840">
        <v>44897</v>
      </c>
      <c r="AJ809" s="4840">
        <f>SUM(BA809:BN810)</f>
        <v>54960</v>
      </c>
      <c r="AK809" s="4840">
        <v>44897</v>
      </c>
      <c r="AL809" s="4840">
        <v>54960</v>
      </c>
      <c r="AM809" s="4840">
        <v>44971</v>
      </c>
      <c r="AN809" s="3812">
        <f t="shared" si="162"/>
        <v>15877.08</v>
      </c>
      <c r="AO809" s="3812">
        <v>45128</v>
      </c>
      <c r="AP809" s="3812">
        <f t="shared" si="163"/>
        <v>39082.92</v>
      </c>
      <c r="AQ809" s="5075"/>
      <c r="AR809" s="3812"/>
      <c r="AS809" s="5206"/>
      <c r="AT809" s="5146"/>
      <c r="AU809" s="5201"/>
      <c r="AV809" s="5201"/>
      <c r="AW809" s="5201"/>
      <c r="AX809" s="5201"/>
      <c r="AY809" s="5201"/>
      <c r="AZ809" s="5201"/>
      <c r="BA809" s="5146"/>
      <c r="BB809" s="5146"/>
      <c r="BC809" s="3812"/>
      <c r="BD809" s="5146"/>
      <c r="BE809" s="5146"/>
      <c r="BF809" s="5146"/>
      <c r="BG809" s="5146"/>
      <c r="BH809" s="5152"/>
      <c r="BI809" s="5146"/>
      <c r="BJ809" s="5146"/>
      <c r="BK809" s="5146"/>
      <c r="BL809" s="5146"/>
      <c r="BM809" s="5910"/>
      <c r="BN809" s="3366">
        <v>54960</v>
      </c>
      <c r="BO809" s="5146"/>
      <c r="BP809" s="5146"/>
      <c r="BQ809" s="5146"/>
      <c r="BR809" s="5146"/>
      <c r="BS809" s="5146"/>
      <c r="BT809" s="5146"/>
      <c r="BU809" s="5146"/>
      <c r="BV809" s="5146"/>
      <c r="BW809" s="5146"/>
      <c r="BX809" s="5146"/>
      <c r="BY809" s="5146"/>
      <c r="BZ809" s="5146"/>
      <c r="CA809" s="5146"/>
      <c r="CB809" s="857">
        <v>15877.08</v>
      </c>
      <c r="CC809" s="3812"/>
      <c r="CD809" s="5059"/>
      <c r="CE809" s="5154"/>
      <c r="CF809" s="5154"/>
      <c r="CG809" s="5154"/>
      <c r="CH809" s="5154"/>
    </row>
    <row r="810" s="4980" customFormat="1" ht="35" customHeight="1" spans="1:86">
      <c r="A810" s="3812"/>
      <c r="B810" s="857"/>
      <c r="C810" s="857"/>
      <c r="D810" s="5059"/>
      <c r="E810" s="5059"/>
      <c r="F810" s="1032"/>
      <c r="G810" s="1032"/>
      <c r="H810" s="5059"/>
      <c r="I810" s="5074"/>
      <c r="J810" s="5059"/>
      <c r="K810" s="1032"/>
      <c r="L810" s="5059"/>
      <c r="M810" s="3812"/>
      <c r="N810" s="5123"/>
      <c r="O810" s="5123"/>
      <c r="P810" s="5123"/>
      <c r="Q810" s="5123"/>
      <c r="R810" s="5123"/>
      <c r="S810" s="5123"/>
      <c r="T810" s="5123"/>
      <c r="U810" s="5123"/>
      <c r="V810" s="5123"/>
      <c r="W810" s="5123"/>
      <c r="X810" s="5123"/>
      <c r="Y810" s="5123"/>
      <c r="Z810" s="5123"/>
      <c r="AA810" s="5123"/>
      <c r="AB810" s="5123"/>
      <c r="AC810" s="1032"/>
      <c r="AD810" s="5942"/>
      <c r="AE810" s="5922"/>
      <c r="AF810" s="3409"/>
      <c r="AG810" s="4842"/>
      <c r="AH810" s="3409"/>
      <c r="AI810" s="4842"/>
      <c r="AJ810" s="4842"/>
      <c r="AK810" s="4842"/>
      <c r="AL810" s="4842"/>
      <c r="AM810" s="4842"/>
      <c r="AN810" s="3812">
        <f t="shared" ref="AN810:AN827" si="166">SUM(BO810:CB810)</f>
        <v>39082.92</v>
      </c>
      <c r="AO810" s="3812">
        <v>45519</v>
      </c>
      <c r="AP810" s="3812">
        <f>AG809-(AN809+AN810)</f>
        <v>0</v>
      </c>
      <c r="AQ810" s="5146"/>
      <c r="AR810" s="3812"/>
      <c r="AS810" s="5241"/>
      <c r="AT810" s="5146"/>
      <c r="AU810" s="5201"/>
      <c r="AV810" s="5201"/>
      <c r="AW810" s="5201"/>
      <c r="AX810" s="5201"/>
      <c r="AY810" s="5201"/>
      <c r="AZ810" s="5201"/>
      <c r="BA810" s="5146"/>
      <c r="BB810" s="5146"/>
      <c r="BC810" s="3812"/>
      <c r="BD810" s="5146"/>
      <c r="BE810" s="5146"/>
      <c r="BF810" s="5146"/>
      <c r="BG810" s="5146"/>
      <c r="BH810" s="5152"/>
      <c r="BI810" s="5146"/>
      <c r="BJ810" s="5146"/>
      <c r="BK810" s="5146"/>
      <c r="BL810" s="5146"/>
      <c r="BM810" s="5792"/>
      <c r="BN810" s="3409"/>
      <c r="BO810" s="5146"/>
      <c r="BP810" s="5146"/>
      <c r="BQ810" s="5146"/>
      <c r="BR810" s="5146"/>
      <c r="BS810" s="5146"/>
      <c r="BT810" s="5146"/>
      <c r="BU810" s="5146"/>
      <c r="BV810" s="5146"/>
      <c r="BW810" s="5146"/>
      <c r="BX810" s="5146"/>
      <c r="BY810" s="5146"/>
      <c r="BZ810" s="5146"/>
      <c r="CA810" s="5146"/>
      <c r="CB810" s="857">
        <v>39082.92</v>
      </c>
      <c r="CC810" s="3812"/>
      <c r="CD810" s="5059"/>
      <c r="CE810" s="5154"/>
      <c r="CF810" s="5154"/>
      <c r="CG810" s="5154"/>
      <c r="CH810" s="5154"/>
    </row>
    <row r="811" s="4980" customFormat="1" ht="35" customHeight="1" spans="1:86">
      <c r="A811" s="3812"/>
      <c r="B811" s="857"/>
      <c r="C811" s="857"/>
      <c r="D811" s="5059"/>
      <c r="E811" s="5059"/>
      <c r="F811" s="1032"/>
      <c r="G811" s="1032"/>
      <c r="H811" s="5059"/>
      <c r="I811" s="5074"/>
      <c r="J811" s="5059"/>
      <c r="K811" s="1032"/>
      <c r="L811" s="5059"/>
      <c r="M811" s="3812"/>
      <c r="N811" s="5123"/>
      <c r="O811" s="5123"/>
      <c r="P811" s="5123"/>
      <c r="Q811" s="5123"/>
      <c r="R811" s="5123"/>
      <c r="S811" s="5123"/>
      <c r="T811" s="5123"/>
      <c r="U811" s="5123"/>
      <c r="V811" s="5123"/>
      <c r="W811" s="5123"/>
      <c r="X811" s="5123"/>
      <c r="Y811" s="5123"/>
      <c r="Z811" s="5123"/>
      <c r="AA811" s="5123"/>
      <c r="AB811" s="5123"/>
      <c r="AC811" s="1032" t="s">
        <v>1707</v>
      </c>
      <c r="AD811" s="5241" t="s">
        <v>1701</v>
      </c>
      <c r="AE811" s="5878">
        <v>0.0625</v>
      </c>
      <c r="AF811" s="857">
        <f>219840*AE811</f>
        <v>13740</v>
      </c>
      <c r="AG811" s="3812">
        <f t="shared" ref="AG810:AG825" si="167">SUM(BA811:BN811)</f>
        <v>0</v>
      </c>
      <c r="AH811" s="3812"/>
      <c r="AI811" s="3812"/>
      <c r="AJ811" s="3812"/>
      <c r="AK811" s="3812"/>
      <c r="AL811" s="3812"/>
      <c r="AM811" s="3812"/>
      <c r="AN811" s="3812">
        <f t="shared" si="166"/>
        <v>0</v>
      </c>
      <c r="AO811" s="3812"/>
      <c r="AP811" s="3812">
        <f t="shared" ref="AP810:AP824" si="168">AG811-AN811</f>
        <v>0</v>
      </c>
      <c r="AQ811" s="5146"/>
      <c r="AR811" s="3812"/>
      <c r="AS811" s="5241"/>
      <c r="AT811" s="5146"/>
      <c r="AU811" s="5201"/>
      <c r="AV811" s="5201"/>
      <c r="AW811" s="5201"/>
      <c r="AX811" s="5201"/>
      <c r="AY811" s="5201"/>
      <c r="AZ811" s="5201"/>
      <c r="BA811" s="5146"/>
      <c r="BB811" s="5146"/>
      <c r="BC811" s="3812"/>
      <c r="BD811" s="5146"/>
      <c r="BE811" s="5146"/>
      <c r="BF811" s="5146"/>
      <c r="BG811" s="5146"/>
      <c r="BH811" s="5948"/>
      <c r="BI811" s="5146"/>
      <c r="BJ811" s="5146"/>
      <c r="BK811" s="5146"/>
      <c r="BL811" s="5146"/>
      <c r="BM811" s="5146"/>
      <c r="BN811" s="3812"/>
      <c r="BO811" s="5146"/>
      <c r="BP811" s="5146"/>
      <c r="BQ811" s="5146"/>
      <c r="BR811" s="5146"/>
      <c r="BS811" s="5146"/>
      <c r="BT811" s="5146"/>
      <c r="BU811" s="5146"/>
      <c r="BV811" s="5146"/>
      <c r="BW811" s="5146"/>
      <c r="BX811" s="5146"/>
      <c r="BY811" s="5146"/>
      <c r="BZ811" s="5146"/>
      <c r="CA811" s="5146"/>
      <c r="CB811" s="3812"/>
      <c r="CC811" s="3812"/>
      <c r="CD811" s="5059"/>
      <c r="CE811" s="5154"/>
      <c r="CF811" s="5154"/>
      <c r="CG811" s="5154"/>
      <c r="CH811" s="5154"/>
    </row>
    <row r="812" s="4980" customFormat="1" ht="35" customHeight="1" spans="1:86">
      <c r="A812" s="3812"/>
      <c r="B812" s="857"/>
      <c r="C812" s="857"/>
      <c r="D812" s="5059"/>
      <c r="E812" s="5059"/>
      <c r="F812" s="1032"/>
      <c r="G812" s="1032"/>
      <c r="H812" s="5059"/>
      <c r="I812" s="5074"/>
      <c r="J812" s="5059"/>
      <c r="K812" s="1032"/>
      <c r="L812" s="5059"/>
      <c r="M812" s="3812"/>
      <c r="N812" s="5123"/>
      <c r="O812" s="5123"/>
      <c r="P812" s="5123"/>
      <c r="Q812" s="5123"/>
      <c r="R812" s="5123"/>
      <c r="S812" s="5123"/>
      <c r="T812" s="5123"/>
      <c r="U812" s="5123"/>
      <c r="V812" s="5123"/>
      <c r="W812" s="5123"/>
      <c r="X812" s="5123"/>
      <c r="Y812" s="5123"/>
      <c r="Z812" s="5123"/>
      <c r="AA812" s="5123"/>
      <c r="AB812" s="5123"/>
      <c r="AC812" s="1032"/>
      <c r="AD812" s="5241" t="s">
        <v>1704</v>
      </c>
      <c r="AE812" s="5878">
        <v>0.0625</v>
      </c>
      <c r="AF812" s="857">
        <f>219840*AE812</f>
        <v>13740</v>
      </c>
      <c r="AG812" s="3812">
        <f t="shared" si="167"/>
        <v>0</v>
      </c>
      <c r="AH812" s="3812"/>
      <c r="AI812" s="3812"/>
      <c r="AJ812" s="3812"/>
      <c r="AK812" s="3812"/>
      <c r="AL812" s="3812"/>
      <c r="AM812" s="3812"/>
      <c r="AN812" s="3812">
        <f t="shared" si="166"/>
        <v>0</v>
      </c>
      <c r="AO812" s="3812"/>
      <c r="AP812" s="3812">
        <f t="shared" si="168"/>
        <v>0</v>
      </c>
      <c r="AQ812" s="5146"/>
      <c r="AR812" s="3812"/>
      <c r="AS812" s="5241"/>
      <c r="AT812" s="5146"/>
      <c r="AU812" s="5201"/>
      <c r="AV812" s="5201"/>
      <c r="AW812" s="5201"/>
      <c r="AX812" s="5201"/>
      <c r="AY812" s="5201"/>
      <c r="AZ812" s="5201"/>
      <c r="BA812" s="5146"/>
      <c r="BB812" s="5146"/>
      <c r="BC812" s="3812"/>
      <c r="BD812" s="5146"/>
      <c r="BE812" s="5146"/>
      <c r="BF812" s="5146"/>
      <c r="BG812" s="5146"/>
      <c r="BH812" s="5948"/>
      <c r="BI812" s="5146"/>
      <c r="BJ812" s="5146"/>
      <c r="BK812" s="5146"/>
      <c r="BL812" s="5146"/>
      <c r="BM812" s="5146"/>
      <c r="BN812" s="3812"/>
      <c r="BO812" s="5146"/>
      <c r="BP812" s="5146"/>
      <c r="BQ812" s="5146"/>
      <c r="BR812" s="5146"/>
      <c r="BS812" s="5146"/>
      <c r="BT812" s="5146"/>
      <c r="BU812" s="5146"/>
      <c r="BV812" s="5146"/>
      <c r="BW812" s="5146"/>
      <c r="BX812" s="5146"/>
      <c r="BY812" s="5146"/>
      <c r="BZ812" s="5146"/>
      <c r="CA812" s="5146"/>
      <c r="CB812" s="3812"/>
      <c r="CC812" s="3812"/>
      <c r="CD812" s="5059"/>
      <c r="CE812" s="5154"/>
      <c r="CF812" s="5154"/>
      <c r="CG812" s="5154"/>
      <c r="CH812" s="5154"/>
    </row>
    <row r="813" s="4980" customFormat="1" ht="35" customHeight="1" spans="1:86">
      <c r="A813" s="3812"/>
      <c r="B813" s="857"/>
      <c r="C813" s="857"/>
      <c r="D813" s="5059"/>
      <c r="E813" s="5059"/>
      <c r="F813" s="1032"/>
      <c r="G813" s="1032"/>
      <c r="H813" s="5059"/>
      <c r="I813" s="5074"/>
      <c r="J813" s="5059"/>
      <c r="K813" s="1032"/>
      <c r="L813" s="5059"/>
      <c r="M813" s="3812"/>
      <c r="N813" s="5123"/>
      <c r="O813" s="5123"/>
      <c r="P813" s="5123"/>
      <c r="Q813" s="5123"/>
      <c r="R813" s="5123"/>
      <c r="S813" s="5123"/>
      <c r="T813" s="5123"/>
      <c r="U813" s="5123"/>
      <c r="V813" s="5123"/>
      <c r="W813" s="5123"/>
      <c r="X813" s="5123"/>
      <c r="Y813" s="5123"/>
      <c r="Z813" s="5123"/>
      <c r="AA813" s="5123"/>
      <c r="AB813" s="5123"/>
      <c r="AC813" s="1032"/>
      <c r="AD813" s="5241" t="s">
        <v>1705</v>
      </c>
      <c r="AE813" s="5878">
        <v>0.0625</v>
      </c>
      <c r="AF813" s="857">
        <f>219840*AE813</f>
        <v>13740</v>
      </c>
      <c r="AG813" s="3812">
        <f t="shared" si="167"/>
        <v>0</v>
      </c>
      <c r="AH813" s="3812"/>
      <c r="AI813" s="3812"/>
      <c r="AJ813" s="3812"/>
      <c r="AK813" s="3812"/>
      <c r="AL813" s="3812"/>
      <c r="AM813" s="3812"/>
      <c r="AN813" s="3812">
        <f t="shared" si="166"/>
        <v>0</v>
      </c>
      <c r="AO813" s="3812"/>
      <c r="AP813" s="3812">
        <f t="shared" si="168"/>
        <v>0</v>
      </c>
      <c r="AQ813" s="5146"/>
      <c r="AR813" s="3812"/>
      <c r="AS813" s="5833"/>
      <c r="AT813" s="5146"/>
      <c r="AU813" s="5201"/>
      <c r="AV813" s="5201"/>
      <c r="AW813" s="5201"/>
      <c r="AX813" s="5201"/>
      <c r="AY813" s="5201"/>
      <c r="AZ813" s="5201"/>
      <c r="BA813" s="5146"/>
      <c r="BB813" s="5146"/>
      <c r="BC813" s="3812"/>
      <c r="BD813" s="5146"/>
      <c r="BE813" s="5146"/>
      <c r="BF813" s="5146"/>
      <c r="BG813" s="5146"/>
      <c r="BH813" s="5948"/>
      <c r="BI813" s="5146"/>
      <c r="BJ813" s="5146"/>
      <c r="BK813" s="5146"/>
      <c r="BL813" s="5146"/>
      <c r="BM813" s="5146"/>
      <c r="BN813" s="3812"/>
      <c r="BO813" s="5146"/>
      <c r="BP813" s="5146"/>
      <c r="BQ813" s="5146"/>
      <c r="BR813" s="5146"/>
      <c r="BS813" s="5146"/>
      <c r="BT813" s="5146"/>
      <c r="BU813" s="5146"/>
      <c r="BV813" s="5146"/>
      <c r="BW813" s="5146"/>
      <c r="BX813" s="5146"/>
      <c r="BY813" s="5146"/>
      <c r="BZ813" s="5146"/>
      <c r="CA813" s="5146"/>
      <c r="CB813" s="3812"/>
      <c r="CC813" s="3812"/>
      <c r="CD813" s="5059"/>
      <c r="CE813" s="5154"/>
      <c r="CF813" s="5154"/>
      <c r="CG813" s="5154"/>
      <c r="CH813" s="5154"/>
    </row>
    <row r="814" s="4980" customFormat="1" ht="76" spans="1:86">
      <c r="A814" s="3812"/>
      <c r="B814" s="857"/>
      <c r="C814" s="857"/>
      <c r="D814" s="5059"/>
      <c r="E814" s="5059"/>
      <c r="F814" s="1032"/>
      <c r="G814" s="1032"/>
      <c r="H814" s="5059"/>
      <c r="I814" s="5074"/>
      <c r="J814" s="5059"/>
      <c r="K814" s="1032"/>
      <c r="L814" s="5059"/>
      <c r="M814" s="3812"/>
      <c r="N814" s="5123"/>
      <c r="O814" s="5123"/>
      <c r="P814" s="5123"/>
      <c r="Q814" s="5123"/>
      <c r="R814" s="5123"/>
      <c r="S814" s="5123"/>
      <c r="T814" s="5123"/>
      <c r="U814" s="5123"/>
      <c r="V814" s="5123"/>
      <c r="W814" s="5123"/>
      <c r="X814" s="5123"/>
      <c r="Y814" s="5123"/>
      <c r="Z814" s="5123"/>
      <c r="AA814" s="5123"/>
      <c r="AB814" s="5123"/>
      <c r="AC814" s="1032" t="s">
        <v>1708</v>
      </c>
      <c r="AD814" s="5241" t="s">
        <v>1709</v>
      </c>
      <c r="AE814" s="5878">
        <v>0.7</v>
      </c>
      <c r="AF814" s="857">
        <f>73097*AE814</f>
        <v>51167.9</v>
      </c>
      <c r="AG814" s="3812">
        <f t="shared" si="167"/>
        <v>51167.9</v>
      </c>
      <c r="AH814" s="857" t="s">
        <v>122</v>
      </c>
      <c r="AI814" s="3812">
        <v>44897</v>
      </c>
      <c r="AJ814" s="3812">
        <f>SUM(BD814:BQ814)</f>
        <v>51167.9</v>
      </c>
      <c r="AK814" s="3812">
        <v>44897</v>
      </c>
      <c r="AL814" s="3812">
        <v>51167.9</v>
      </c>
      <c r="AM814" s="3812">
        <v>44971</v>
      </c>
      <c r="AN814" s="3812">
        <f t="shared" si="166"/>
        <v>51167.9</v>
      </c>
      <c r="AO814" s="3812">
        <v>45519</v>
      </c>
      <c r="AP814" s="3812">
        <f t="shared" si="168"/>
        <v>0</v>
      </c>
      <c r="AQ814" s="5943"/>
      <c r="AR814" s="3812"/>
      <c r="AS814" s="5241"/>
      <c r="AT814" s="5146"/>
      <c r="AU814" s="5201"/>
      <c r="AV814" s="5201"/>
      <c r="AW814" s="5201"/>
      <c r="AX814" s="5201"/>
      <c r="AY814" s="5201"/>
      <c r="AZ814" s="5201"/>
      <c r="BA814" s="5146"/>
      <c r="BB814" s="5146"/>
      <c r="BC814" s="3812"/>
      <c r="BD814" s="5146">
        <v>25583.95</v>
      </c>
      <c r="BE814" s="5146"/>
      <c r="BF814" s="5146"/>
      <c r="BG814" s="5146"/>
      <c r="BH814" s="5152"/>
      <c r="BI814" s="5146"/>
      <c r="BJ814" s="5146"/>
      <c r="BK814" s="5146"/>
      <c r="BL814" s="5146"/>
      <c r="BM814" s="5146"/>
      <c r="BN814" s="3812">
        <v>25583.95</v>
      </c>
      <c r="BO814" s="5146"/>
      <c r="BP814" s="5146"/>
      <c r="BQ814" s="5146"/>
      <c r="BR814" s="5146">
        <v>25583.95</v>
      </c>
      <c r="BS814" s="5146"/>
      <c r="BT814" s="5146"/>
      <c r="BU814" s="5146"/>
      <c r="BV814" s="5146"/>
      <c r="BW814" s="5146"/>
      <c r="BX814" s="5146"/>
      <c r="BY814" s="5146"/>
      <c r="BZ814" s="5146"/>
      <c r="CA814" s="5146"/>
      <c r="CB814" s="3812">
        <v>25583.95</v>
      </c>
      <c r="CC814" s="3812"/>
      <c r="CD814" s="5059"/>
      <c r="CE814" s="5154"/>
      <c r="CF814" s="5154"/>
      <c r="CG814" s="5154"/>
      <c r="CH814" s="5154"/>
    </row>
    <row r="815" s="4980" customFormat="1" ht="76" spans="1:86">
      <c r="A815" s="3812"/>
      <c r="B815" s="857"/>
      <c r="C815" s="857"/>
      <c r="D815" s="5059"/>
      <c r="E815" s="5059"/>
      <c r="F815" s="1032"/>
      <c r="G815" s="1032"/>
      <c r="H815" s="5059"/>
      <c r="I815" s="5075"/>
      <c r="J815" s="5059"/>
      <c r="K815" s="1032"/>
      <c r="L815" s="5059"/>
      <c r="M815" s="3812"/>
      <c r="N815" s="5123"/>
      <c r="O815" s="5123"/>
      <c r="P815" s="5123"/>
      <c r="Q815" s="5123"/>
      <c r="R815" s="5123"/>
      <c r="S815" s="5123"/>
      <c r="T815" s="5123"/>
      <c r="U815" s="5123"/>
      <c r="V815" s="5123"/>
      <c r="W815" s="5123"/>
      <c r="X815" s="5123"/>
      <c r="Y815" s="5123"/>
      <c r="Z815" s="5123"/>
      <c r="AA815" s="5123"/>
      <c r="AB815" s="5123"/>
      <c r="AC815" s="1032"/>
      <c r="AD815" s="5241" t="s">
        <v>1710</v>
      </c>
      <c r="AE815" s="5878">
        <v>0.3</v>
      </c>
      <c r="AF815" s="857">
        <f>73097*AE815</f>
        <v>21929.1</v>
      </c>
      <c r="AG815" s="3812">
        <f t="shared" si="167"/>
        <v>0</v>
      </c>
      <c r="AH815" s="3812"/>
      <c r="AI815" s="3812"/>
      <c r="AJ815" s="857"/>
      <c r="AK815" s="3812"/>
      <c r="AL815" s="3812"/>
      <c r="AM815" s="3812"/>
      <c r="AN815" s="3812">
        <f t="shared" si="166"/>
        <v>0</v>
      </c>
      <c r="AO815" s="3812"/>
      <c r="AP815" s="3812">
        <f t="shared" si="168"/>
        <v>0</v>
      </c>
      <c r="AQ815" s="5146"/>
      <c r="AR815" s="3812"/>
      <c r="AS815" s="5241"/>
      <c r="AT815" s="5146"/>
      <c r="AU815" s="5201"/>
      <c r="AV815" s="5201"/>
      <c r="AW815" s="5201"/>
      <c r="AX815" s="5201"/>
      <c r="AY815" s="5201"/>
      <c r="AZ815" s="5201"/>
      <c r="BA815" s="5146"/>
      <c r="BB815" s="5146"/>
      <c r="BC815" s="3812"/>
      <c r="BD815" s="5146"/>
      <c r="BE815" s="5146"/>
      <c r="BF815" s="5146"/>
      <c r="BG815" s="5146"/>
      <c r="BH815" s="5948"/>
      <c r="BI815" s="5146"/>
      <c r="BJ815" s="5146"/>
      <c r="BK815" s="5146"/>
      <c r="BL815" s="5146"/>
      <c r="BM815" s="5146"/>
      <c r="BN815" s="3812"/>
      <c r="BO815" s="5146"/>
      <c r="BP815" s="5146"/>
      <c r="BQ815" s="5146"/>
      <c r="BR815" s="5146"/>
      <c r="BS815" s="5146"/>
      <c r="BT815" s="5146"/>
      <c r="BU815" s="5146"/>
      <c r="BV815" s="5146"/>
      <c r="BW815" s="5146"/>
      <c r="BX815" s="5146"/>
      <c r="BY815" s="5146"/>
      <c r="BZ815" s="5146"/>
      <c r="CA815" s="5146"/>
      <c r="CB815" s="5146"/>
      <c r="CC815" s="3812"/>
      <c r="CD815" s="5059"/>
      <c r="CE815" s="5154"/>
      <c r="CF815" s="5154"/>
      <c r="CG815" s="5154"/>
      <c r="CH815" s="5154"/>
    </row>
    <row r="816" s="4981" customFormat="1" ht="35.85" customHeight="1" spans="1:86">
      <c r="A816" s="3812"/>
      <c r="B816" s="3812" t="s">
        <v>111</v>
      </c>
      <c r="C816" s="3812">
        <v>44515</v>
      </c>
      <c r="D816" s="1032" t="s">
        <v>1679</v>
      </c>
      <c r="E816" s="3812" t="s">
        <v>113</v>
      </c>
      <c r="F816" s="1032" t="s">
        <v>1711</v>
      </c>
      <c r="G816" s="1032" t="s">
        <v>1712</v>
      </c>
      <c r="H816" s="1032" t="s">
        <v>1682</v>
      </c>
      <c r="I816" s="5073" t="s">
        <v>1713</v>
      </c>
      <c r="J816" s="1032" t="s">
        <v>1520</v>
      </c>
      <c r="K816" s="3812">
        <v>317912.41</v>
      </c>
      <c r="L816" s="1032" t="s">
        <v>1684</v>
      </c>
      <c r="M816" s="3812">
        <f>SUM(N816:AA836)</f>
        <v>506198</v>
      </c>
      <c r="N816" s="5201">
        <v>0</v>
      </c>
      <c r="O816" s="5201">
        <v>0</v>
      </c>
      <c r="P816" s="5201">
        <v>0</v>
      </c>
      <c r="Q816" s="5201">
        <v>23009</v>
      </c>
      <c r="R816" s="5201">
        <v>0</v>
      </c>
      <c r="S816" s="5201">
        <v>0</v>
      </c>
      <c r="T816" s="5967">
        <v>0</v>
      </c>
      <c r="U816" s="5201">
        <v>0</v>
      </c>
      <c r="V816" s="5201">
        <v>0</v>
      </c>
      <c r="W816" s="5201">
        <v>0</v>
      </c>
      <c r="X816" s="5201">
        <v>0</v>
      </c>
      <c r="Y816" s="5201"/>
      <c r="Z816" s="5201"/>
      <c r="AA816" s="5201">
        <v>483189</v>
      </c>
      <c r="AB816" s="5930" t="s">
        <v>126</v>
      </c>
      <c r="AC816" s="1032" t="s">
        <v>1685</v>
      </c>
      <c r="AD816" s="5241" t="s">
        <v>1686</v>
      </c>
      <c r="AE816" s="1095">
        <v>0.577</v>
      </c>
      <c r="AF816" s="3812">
        <f>89960*AE816</f>
        <v>51906.92</v>
      </c>
      <c r="AG816" s="3812">
        <f t="shared" si="167"/>
        <v>0</v>
      </c>
      <c r="AH816" s="3812"/>
      <c r="AI816" s="3812"/>
      <c r="AJ816" s="5968"/>
      <c r="AK816" s="3812"/>
      <c r="AL816" s="3812"/>
      <c r="AM816" s="5059"/>
      <c r="AN816" s="3812">
        <f t="shared" si="166"/>
        <v>0</v>
      </c>
      <c r="AO816" s="5059"/>
      <c r="AP816" s="3812">
        <f t="shared" si="168"/>
        <v>0</v>
      </c>
      <c r="AQ816" s="5146"/>
      <c r="AR816" s="3812"/>
      <c r="AS816" s="5059"/>
      <c r="AT816" s="3812"/>
      <c r="AU816" s="5201">
        <f>SUM(AG816:AG836)</f>
        <v>336685.68</v>
      </c>
      <c r="AV816" s="5201">
        <f>SUM(AL816:AL836)</f>
        <v>336685.68</v>
      </c>
      <c r="AW816" s="5201">
        <f>SUBTOTAL(9,AN816:AN836)</f>
        <v>336685.68</v>
      </c>
      <c r="AX816" s="5201">
        <f>M816-AU816</f>
        <v>169512.32</v>
      </c>
      <c r="AY816" s="5201">
        <f>AU816-AV816</f>
        <v>0</v>
      </c>
      <c r="AZ816" s="5201">
        <f>AV816-AW816</f>
        <v>0</v>
      </c>
      <c r="BA816" s="3812"/>
      <c r="BB816" s="3812"/>
      <c r="BC816" s="3812"/>
      <c r="BD816" s="3812"/>
      <c r="BE816" s="3812"/>
      <c r="BF816" s="3812"/>
      <c r="BG816" s="3812"/>
      <c r="BH816" s="5948"/>
      <c r="BI816" s="3812"/>
      <c r="BJ816" s="3812"/>
      <c r="BK816" s="3812"/>
      <c r="BL816" s="3812"/>
      <c r="BM816" s="3812"/>
      <c r="BN816" s="3812"/>
      <c r="BO816" s="3812"/>
      <c r="BP816" s="3812"/>
      <c r="BQ816" s="3812"/>
      <c r="BR816" s="3812"/>
      <c r="BS816" s="3812"/>
      <c r="BT816" s="3812"/>
      <c r="BU816" s="3812"/>
      <c r="BV816" s="4813"/>
      <c r="BW816" s="3812"/>
      <c r="BX816" s="3812"/>
      <c r="BY816" s="3812"/>
      <c r="BZ816" s="3812"/>
      <c r="CA816" s="3812"/>
      <c r="CB816" s="3812"/>
      <c r="CC816" s="3524" t="s">
        <v>1112</v>
      </c>
      <c r="CD816" s="3524" t="s">
        <v>154</v>
      </c>
      <c r="CE816" s="5920"/>
      <c r="CF816" s="5920"/>
      <c r="CG816" s="5920"/>
      <c r="CH816" s="5920"/>
    </row>
    <row r="817" s="4981" customFormat="1" ht="55" customHeight="1" spans="1:86">
      <c r="A817" s="3812"/>
      <c r="B817" s="3812"/>
      <c r="C817" s="3812"/>
      <c r="D817" s="1032"/>
      <c r="E817" s="3812"/>
      <c r="F817" s="1032"/>
      <c r="G817" s="1032"/>
      <c r="H817" s="1032"/>
      <c r="I817" s="5205"/>
      <c r="J817" s="1032"/>
      <c r="K817" s="3812"/>
      <c r="L817" s="1032"/>
      <c r="M817" s="3812"/>
      <c r="N817" s="5201"/>
      <c r="O817" s="5201"/>
      <c r="P817" s="5201"/>
      <c r="Q817" s="5201"/>
      <c r="R817" s="5201"/>
      <c r="S817" s="5201"/>
      <c r="T817" s="5201"/>
      <c r="U817" s="5201"/>
      <c r="V817" s="5201"/>
      <c r="W817" s="5201"/>
      <c r="X817" s="5201"/>
      <c r="Y817" s="5201"/>
      <c r="Z817" s="5201"/>
      <c r="AA817" s="5201"/>
      <c r="AB817" s="5930"/>
      <c r="AC817" s="1032"/>
      <c r="AD817" s="5241" t="s">
        <v>1687</v>
      </c>
      <c r="AE817" s="1095">
        <v>0.423</v>
      </c>
      <c r="AF817" s="3812">
        <f>89960*AE817</f>
        <v>38053.08</v>
      </c>
      <c r="AG817" s="3812">
        <f t="shared" si="167"/>
        <v>38053.08</v>
      </c>
      <c r="AH817" s="857" t="s">
        <v>122</v>
      </c>
      <c r="AI817" s="3812">
        <v>44897</v>
      </c>
      <c r="AJ817" s="3812">
        <v>38053.08</v>
      </c>
      <c r="AK817" s="3812">
        <v>44897</v>
      </c>
      <c r="AL817" s="3812">
        <v>38053.08</v>
      </c>
      <c r="AM817" s="5059">
        <v>44967</v>
      </c>
      <c r="AN817" s="3812">
        <f t="shared" si="166"/>
        <v>38053.08</v>
      </c>
      <c r="AO817" s="5059">
        <v>45015</v>
      </c>
      <c r="AP817" s="3812">
        <f t="shared" si="168"/>
        <v>0</v>
      </c>
      <c r="AQ817" s="5256" t="s">
        <v>1714</v>
      </c>
      <c r="AR817" s="3812"/>
      <c r="AS817" s="5059"/>
      <c r="AT817" s="3812"/>
      <c r="AU817" s="5201"/>
      <c r="AV817" s="5201"/>
      <c r="AW817" s="5201"/>
      <c r="AX817" s="5201"/>
      <c r="AY817" s="5201"/>
      <c r="AZ817" s="5201"/>
      <c r="BA817" s="3812"/>
      <c r="BB817" s="3812"/>
      <c r="BC817" s="3812"/>
      <c r="BD817" s="3812"/>
      <c r="BE817" s="3812"/>
      <c r="BF817" s="3812"/>
      <c r="BG817" s="3812"/>
      <c r="BH817" s="5152"/>
      <c r="BI817" s="3812"/>
      <c r="BJ817" s="3812"/>
      <c r="BK817" s="3812"/>
      <c r="BL817" s="3812"/>
      <c r="BM817" s="3812"/>
      <c r="BN817" s="3812">
        <v>38053.08</v>
      </c>
      <c r="BO817" s="3812"/>
      <c r="BP817" s="3812"/>
      <c r="BQ817" s="3812"/>
      <c r="BR817" s="3812"/>
      <c r="BS817" s="3812"/>
      <c r="BT817" s="3812"/>
      <c r="BU817" s="3812"/>
      <c r="BV817" s="4813"/>
      <c r="BW817" s="3812"/>
      <c r="BX817" s="3812"/>
      <c r="BY817" s="3812"/>
      <c r="BZ817" s="3812"/>
      <c r="CA817" s="3812"/>
      <c r="CB817" s="3812">
        <v>38053.08</v>
      </c>
      <c r="CC817" s="3524"/>
      <c r="CD817" s="3524"/>
      <c r="CE817" s="5920"/>
      <c r="CF817" s="5920"/>
      <c r="CG817" s="5920"/>
      <c r="CH817" s="5920"/>
    </row>
    <row r="818" s="4981" customFormat="1" ht="35.85" customHeight="1" spans="1:86">
      <c r="A818" s="3812"/>
      <c r="B818" s="3812"/>
      <c r="C818" s="3812"/>
      <c r="D818" s="1032"/>
      <c r="E818" s="3812"/>
      <c r="F818" s="1032"/>
      <c r="G818" s="1032"/>
      <c r="H818" s="1032"/>
      <c r="I818" s="5205"/>
      <c r="J818" s="1032"/>
      <c r="K818" s="3812"/>
      <c r="L818" s="1032"/>
      <c r="M818" s="3812"/>
      <c r="N818" s="5201"/>
      <c r="O818" s="5201"/>
      <c r="P818" s="5201"/>
      <c r="Q818" s="5201"/>
      <c r="R818" s="5201"/>
      <c r="S818" s="5201"/>
      <c r="T818" s="5201"/>
      <c r="U818" s="5201"/>
      <c r="V818" s="5201"/>
      <c r="W818" s="5201"/>
      <c r="X818" s="5201"/>
      <c r="Y818" s="5201"/>
      <c r="Z818" s="5201"/>
      <c r="AA818" s="5201"/>
      <c r="AB818" s="5930"/>
      <c r="AC818" s="1032" t="s">
        <v>1689</v>
      </c>
      <c r="AD818" s="5241" t="s">
        <v>1690</v>
      </c>
      <c r="AE818" s="1095">
        <v>0.212</v>
      </c>
      <c r="AF818" s="3812">
        <f>57090*AE818</f>
        <v>12103.08</v>
      </c>
      <c r="AG818" s="3812">
        <f t="shared" si="167"/>
        <v>0</v>
      </c>
      <c r="AH818" s="3812"/>
      <c r="AI818" s="3812"/>
      <c r="AJ818" s="5968"/>
      <c r="AK818" s="3812"/>
      <c r="AL818" s="3812"/>
      <c r="AM818" s="5059"/>
      <c r="AN818" s="3812">
        <f t="shared" si="166"/>
        <v>0</v>
      </c>
      <c r="AO818" s="5059"/>
      <c r="AP818" s="3812">
        <f t="shared" si="168"/>
        <v>0</v>
      </c>
      <c r="AQ818" s="5146"/>
      <c r="AR818" s="3812"/>
      <c r="AS818" s="5059"/>
      <c r="AT818" s="3812"/>
      <c r="AU818" s="5201"/>
      <c r="AV818" s="5201"/>
      <c r="AW818" s="5201"/>
      <c r="AX818" s="5201"/>
      <c r="AY818" s="5201"/>
      <c r="AZ818" s="5201"/>
      <c r="BA818" s="3812"/>
      <c r="BB818" s="3812"/>
      <c r="BC818" s="3812"/>
      <c r="BD818" s="3812"/>
      <c r="BE818" s="3812"/>
      <c r="BF818" s="3812"/>
      <c r="BG818" s="3812"/>
      <c r="BH818" s="5948"/>
      <c r="BI818" s="3812"/>
      <c r="BJ818" s="3812"/>
      <c r="BK818" s="3812"/>
      <c r="BL818" s="3812"/>
      <c r="BM818" s="3812"/>
      <c r="BN818" s="3812"/>
      <c r="BO818" s="3812"/>
      <c r="BP818" s="3812"/>
      <c r="BQ818" s="3812"/>
      <c r="BR818" s="3812"/>
      <c r="BS818" s="3812"/>
      <c r="BT818" s="3812"/>
      <c r="BU818" s="3812"/>
      <c r="BV818" s="4813"/>
      <c r="BW818" s="3812"/>
      <c r="BX818" s="3812"/>
      <c r="BY818" s="3812"/>
      <c r="BZ818" s="3812"/>
      <c r="CA818" s="3812"/>
      <c r="CB818" s="3812"/>
      <c r="CC818" s="3524"/>
      <c r="CD818" s="3524"/>
      <c r="CE818" s="5920"/>
      <c r="CF818" s="5920"/>
      <c r="CG818" s="5920"/>
      <c r="CH818" s="5920"/>
    </row>
    <row r="819" s="4981" customFormat="1" ht="35.85" customHeight="1" spans="1:86">
      <c r="A819" s="3812"/>
      <c r="B819" s="3812"/>
      <c r="C819" s="3812"/>
      <c r="D819" s="1032"/>
      <c r="E819" s="3812"/>
      <c r="F819" s="1032"/>
      <c r="G819" s="1032"/>
      <c r="H819" s="1032"/>
      <c r="I819" s="5205"/>
      <c r="J819" s="1032"/>
      <c r="K819" s="3812"/>
      <c r="L819" s="1032"/>
      <c r="M819" s="3812"/>
      <c r="N819" s="5201"/>
      <c r="O819" s="5201"/>
      <c r="P819" s="5201"/>
      <c r="Q819" s="5201"/>
      <c r="R819" s="5201"/>
      <c r="S819" s="5201"/>
      <c r="T819" s="5201"/>
      <c r="U819" s="5201"/>
      <c r="V819" s="5201"/>
      <c r="W819" s="5201"/>
      <c r="X819" s="5201"/>
      <c r="Y819" s="5201"/>
      <c r="Z819" s="5201"/>
      <c r="AA819" s="5201"/>
      <c r="AB819" s="5930"/>
      <c r="AC819" s="1032"/>
      <c r="AD819" s="5241" t="s">
        <v>1691</v>
      </c>
      <c r="AE819" s="1095">
        <v>0.242</v>
      </c>
      <c r="AF819" s="3812">
        <f>57090*AE819</f>
        <v>13815.78</v>
      </c>
      <c r="AG819" s="3812">
        <f t="shared" si="167"/>
        <v>0</v>
      </c>
      <c r="AH819" s="3812"/>
      <c r="AI819" s="3812"/>
      <c r="AJ819" s="5968"/>
      <c r="AK819" s="3812"/>
      <c r="AL819" s="3812"/>
      <c r="AM819" s="5059"/>
      <c r="AN819" s="3812">
        <f t="shared" si="166"/>
        <v>0</v>
      </c>
      <c r="AO819" s="5059"/>
      <c r="AP819" s="3812">
        <f t="shared" si="168"/>
        <v>0</v>
      </c>
      <c r="AQ819" s="5146"/>
      <c r="AR819" s="3812"/>
      <c r="AS819" s="5059"/>
      <c r="AT819" s="3812"/>
      <c r="AU819" s="5201"/>
      <c r="AV819" s="5201"/>
      <c r="AW819" s="5201"/>
      <c r="AX819" s="5201"/>
      <c r="AY819" s="5201"/>
      <c r="AZ819" s="5201"/>
      <c r="BA819" s="3812"/>
      <c r="BB819" s="3812"/>
      <c r="BC819" s="3812"/>
      <c r="BD819" s="3812"/>
      <c r="BE819" s="3812"/>
      <c r="BF819" s="3812"/>
      <c r="BG819" s="3812"/>
      <c r="BH819" s="5948"/>
      <c r="BI819" s="3812"/>
      <c r="BJ819" s="3812"/>
      <c r="BK819" s="3812"/>
      <c r="BL819" s="3812"/>
      <c r="BM819" s="3812"/>
      <c r="BN819" s="3812"/>
      <c r="BO819" s="3812"/>
      <c r="BP819" s="3812"/>
      <c r="BQ819" s="3812"/>
      <c r="BR819" s="3812"/>
      <c r="BS819" s="3812"/>
      <c r="BT819" s="3812"/>
      <c r="BU819" s="3812"/>
      <c r="BV819" s="4813"/>
      <c r="BW819" s="3812"/>
      <c r="BX819" s="3812"/>
      <c r="BY819" s="3812"/>
      <c r="BZ819" s="3812"/>
      <c r="CA819" s="3812"/>
      <c r="CB819" s="3812"/>
      <c r="CC819" s="3524"/>
      <c r="CD819" s="3524"/>
      <c r="CE819" s="5920"/>
      <c r="CF819" s="5920"/>
      <c r="CG819" s="5920"/>
      <c r="CH819" s="5920"/>
    </row>
    <row r="820" s="4981" customFormat="1" ht="35.85" customHeight="1" spans="1:86">
      <c r="A820" s="3812"/>
      <c r="B820" s="3812"/>
      <c r="C820" s="3812"/>
      <c r="D820" s="1032"/>
      <c r="E820" s="3812"/>
      <c r="F820" s="1032"/>
      <c r="G820" s="1032"/>
      <c r="H820" s="1032"/>
      <c r="I820" s="5205"/>
      <c r="J820" s="1032"/>
      <c r="K820" s="3812"/>
      <c r="L820" s="1032"/>
      <c r="M820" s="3812"/>
      <c r="N820" s="5201"/>
      <c r="O820" s="5201"/>
      <c r="P820" s="5201"/>
      <c r="Q820" s="5201"/>
      <c r="R820" s="5201"/>
      <c r="S820" s="5201"/>
      <c r="T820" s="5201"/>
      <c r="U820" s="5201"/>
      <c r="V820" s="5201"/>
      <c r="W820" s="5201"/>
      <c r="X820" s="5201"/>
      <c r="Y820" s="5201"/>
      <c r="Z820" s="5201"/>
      <c r="AA820" s="5201"/>
      <c r="AB820" s="5930"/>
      <c r="AC820" s="1032"/>
      <c r="AD820" s="5241" t="s">
        <v>1692</v>
      </c>
      <c r="AE820" s="1095">
        <v>0.182</v>
      </c>
      <c r="AF820" s="3812">
        <f>57090*AE820</f>
        <v>10390.38</v>
      </c>
      <c r="AG820" s="3812">
        <f t="shared" si="167"/>
        <v>0</v>
      </c>
      <c r="AH820" s="3812"/>
      <c r="AI820" s="3812"/>
      <c r="AJ820" s="5968"/>
      <c r="AK820" s="3812"/>
      <c r="AL820" s="3812"/>
      <c r="AM820" s="5059"/>
      <c r="AN820" s="3812">
        <f t="shared" si="166"/>
        <v>0</v>
      </c>
      <c r="AO820" s="5059"/>
      <c r="AP820" s="3812">
        <f t="shared" si="168"/>
        <v>0</v>
      </c>
      <c r="AQ820" s="5146"/>
      <c r="AR820" s="3812"/>
      <c r="AS820" s="5059"/>
      <c r="AT820" s="3812"/>
      <c r="AU820" s="5201"/>
      <c r="AV820" s="5201"/>
      <c r="AW820" s="5201"/>
      <c r="AX820" s="5201"/>
      <c r="AY820" s="5201"/>
      <c r="AZ820" s="5201"/>
      <c r="BA820" s="3812"/>
      <c r="BB820" s="3812"/>
      <c r="BC820" s="3812"/>
      <c r="BD820" s="3812"/>
      <c r="BE820" s="3812"/>
      <c r="BF820" s="3812"/>
      <c r="BG820" s="3812"/>
      <c r="BH820" s="5948"/>
      <c r="BI820" s="3812"/>
      <c r="BJ820" s="3812"/>
      <c r="BK820" s="3812"/>
      <c r="BL820" s="3812"/>
      <c r="BM820" s="3812"/>
      <c r="BN820" s="3812"/>
      <c r="BO820" s="3812"/>
      <c r="BP820" s="3812"/>
      <c r="BQ820" s="3812"/>
      <c r="BR820" s="3812"/>
      <c r="BS820" s="3812"/>
      <c r="BT820" s="3812"/>
      <c r="BU820" s="3812"/>
      <c r="BV820" s="4813"/>
      <c r="BW820" s="3812"/>
      <c r="BX820" s="3812"/>
      <c r="BY820" s="3812"/>
      <c r="BZ820" s="3812"/>
      <c r="CA820" s="3812"/>
      <c r="CB820" s="3812"/>
      <c r="CC820" s="3524"/>
      <c r="CD820" s="3524"/>
      <c r="CE820" s="5920"/>
      <c r="CF820" s="5920"/>
      <c r="CG820" s="5920"/>
      <c r="CH820" s="5920"/>
    </row>
    <row r="821" s="4981" customFormat="1" ht="35.85" customHeight="1" spans="1:86">
      <c r="A821" s="3812"/>
      <c r="B821" s="3812"/>
      <c r="C821" s="3812"/>
      <c r="D821" s="1032"/>
      <c r="E821" s="3812"/>
      <c r="F821" s="1032"/>
      <c r="G821" s="1032"/>
      <c r="H821" s="1032"/>
      <c r="I821" s="5205"/>
      <c r="J821" s="1032"/>
      <c r="K821" s="3812"/>
      <c r="L821" s="1032"/>
      <c r="M821" s="3812"/>
      <c r="N821" s="5201"/>
      <c r="O821" s="5201"/>
      <c r="P821" s="5201"/>
      <c r="Q821" s="5201"/>
      <c r="R821" s="5201"/>
      <c r="S821" s="5201"/>
      <c r="T821" s="5201"/>
      <c r="U821" s="5201"/>
      <c r="V821" s="5201"/>
      <c r="W821" s="5201"/>
      <c r="X821" s="5201"/>
      <c r="Y821" s="5201"/>
      <c r="Z821" s="5201"/>
      <c r="AA821" s="5201"/>
      <c r="AB821" s="5930"/>
      <c r="AC821" s="1032"/>
      <c r="AD821" s="5241" t="s">
        <v>1693</v>
      </c>
      <c r="AE821" s="1095">
        <v>0.182</v>
      </c>
      <c r="AF821" s="3812">
        <f>57090*AE821</f>
        <v>10390.38</v>
      </c>
      <c r="AG821" s="3812">
        <f t="shared" si="167"/>
        <v>0</v>
      </c>
      <c r="AH821" s="3812"/>
      <c r="AI821" s="3812"/>
      <c r="AJ821" s="5968"/>
      <c r="AK821" s="3812"/>
      <c r="AL821" s="3812"/>
      <c r="AM821" s="5059"/>
      <c r="AN821" s="3812">
        <f t="shared" si="166"/>
        <v>0</v>
      </c>
      <c r="AO821" s="5059"/>
      <c r="AP821" s="3812">
        <f t="shared" si="168"/>
        <v>0</v>
      </c>
      <c r="AQ821" s="5146"/>
      <c r="AR821" s="3812"/>
      <c r="AS821" s="5059"/>
      <c r="AT821" s="3812"/>
      <c r="AU821" s="5201"/>
      <c r="AV821" s="5201"/>
      <c r="AW821" s="5201"/>
      <c r="AX821" s="5201"/>
      <c r="AY821" s="5201"/>
      <c r="AZ821" s="5201"/>
      <c r="BA821" s="3812"/>
      <c r="BB821" s="3812"/>
      <c r="BC821" s="3812"/>
      <c r="BD821" s="3812"/>
      <c r="BE821" s="3812"/>
      <c r="BF821" s="3812"/>
      <c r="BG821" s="3812"/>
      <c r="BH821" s="5948"/>
      <c r="BI821" s="3812"/>
      <c r="BJ821" s="3812"/>
      <c r="BK821" s="3812"/>
      <c r="BL821" s="3812"/>
      <c r="BM821" s="3812"/>
      <c r="BN821" s="3812"/>
      <c r="BO821" s="3812"/>
      <c r="BP821" s="3812"/>
      <c r="BQ821" s="3812"/>
      <c r="BR821" s="3812"/>
      <c r="BS821" s="3812"/>
      <c r="BT821" s="3812"/>
      <c r="BU821" s="3812"/>
      <c r="BV821" s="4813"/>
      <c r="BW821" s="3812"/>
      <c r="BX821" s="3812"/>
      <c r="BY821" s="3812"/>
      <c r="BZ821" s="3812"/>
      <c r="CA821" s="3812"/>
      <c r="CB821" s="3812"/>
      <c r="CC821" s="3524"/>
      <c r="CD821" s="3524"/>
      <c r="CE821" s="5920"/>
      <c r="CF821" s="5920"/>
      <c r="CG821" s="5920"/>
      <c r="CH821" s="5920"/>
    </row>
    <row r="822" s="4981" customFormat="1" ht="61" spans="1:86">
      <c r="A822" s="3812"/>
      <c r="B822" s="3812"/>
      <c r="C822" s="3812"/>
      <c r="D822" s="5059"/>
      <c r="E822" s="3812"/>
      <c r="F822" s="5059"/>
      <c r="G822" s="5059"/>
      <c r="H822" s="3812"/>
      <c r="I822" s="5205"/>
      <c r="J822" s="5059"/>
      <c r="K822" s="3812"/>
      <c r="L822" s="5059"/>
      <c r="M822" s="3812"/>
      <c r="N822" s="5201"/>
      <c r="O822" s="5201"/>
      <c r="P822" s="5201"/>
      <c r="Q822" s="5201"/>
      <c r="R822" s="5201"/>
      <c r="S822" s="5201"/>
      <c r="T822" s="5201"/>
      <c r="U822" s="5201"/>
      <c r="V822" s="5201"/>
      <c r="W822" s="5201"/>
      <c r="X822" s="5201"/>
      <c r="Y822" s="5201"/>
      <c r="Z822" s="5201"/>
      <c r="AA822" s="5201"/>
      <c r="AB822" s="5201"/>
      <c r="AC822" s="1032"/>
      <c r="AD822" s="1032" t="s">
        <v>1694</v>
      </c>
      <c r="AE822" s="1095">
        <v>0.182</v>
      </c>
      <c r="AF822" s="3812">
        <f>57090*AE822</f>
        <v>10390.38</v>
      </c>
      <c r="AG822" s="3812">
        <f t="shared" si="167"/>
        <v>0</v>
      </c>
      <c r="AH822" s="3812"/>
      <c r="AI822" s="5059"/>
      <c r="AJ822" s="3812"/>
      <c r="AK822" s="3812"/>
      <c r="AL822" s="3812"/>
      <c r="AM822" s="3812"/>
      <c r="AN822" s="3812">
        <f t="shared" si="166"/>
        <v>0</v>
      </c>
      <c r="AO822" s="5059"/>
      <c r="AP822" s="3812">
        <f t="shared" si="168"/>
        <v>0</v>
      </c>
      <c r="AQ822" s="5146"/>
      <c r="AR822" s="3812"/>
      <c r="AS822" s="5059"/>
      <c r="AT822" s="3812"/>
      <c r="AU822" s="5201"/>
      <c r="AV822" s="5201"/>
      <c r="AW822" s="5201"/>
      <c r="AX822" s="5201"/>
      <c r="AY822" s="5201"/>
      <c r="AZ822" s="5201"/>
      <c r="BA822" s="3812"/>
      <c r="BB822" s="3812"/>
      <c r="BC822" s="3812"/>
      <c r="BD822" s="3812"/>
      <c r="BE822" s="3812"/>
      <c r="BF822" s="3812"/>
      <c r="BG822" s="3812"/>
      <c r="BH822" s="5948"/>
      <c r="BI822" s="3812"/>
      <c r="BJ822" s="3812"/>
      <c r="BK822" s="3812"/>
      <c r="BL822" s="3812"/>
      <c r="BM822" s="3812"/>
      <c r="BN822" s="3812"/>
      <c r="BO822" s="3812"/>
      <c r="BP822" s="3812"/>
      <c r="BQ822" s="3812"/>
      <c r="BR822" s="3812"/>
      <c r="BS822" s="3812"/>
      <c r="BT822" s="3812"/>
      <c r="BU822" s="3812"/>
      <c r="BV822" s="4813"/>
      <c r="BW822" s="3812"/>
      <c r="BX822" s="3812"/>
      <c r="BY822" s="3812"/>
      <c r="BZ822" s="3812"/>
      <c r="CA822" s="3812"/>
      <c r="CB822" s="3812"/>
      <c r="CC822" s="3524"/>
      <c r="CD822" s="3524"/>
      <c r="CE822" s="5920"/>
      <c r="CF822" s="5920"/>
      <c r="CG822" s="5920"/>
      <c r="CH822" s="5920"/>
    </row>
    <row r="823" s="4981" customFormat="1" ht="35.85" customHeight="1" spans="1:86">
      <c r="A823" s="3812"/>
      <c r="B823" s="3812"/>
      <c r="C823" s="3812"/>
      <c r="D823" s="5059"/>
      <c r="E823" s="3812"/>
      <c r="F823" s="5059"/>
      <c r="G823" s="5059"/>
      <c r="H823" s="3812"/>
      <c r="I823" s="5205"/>
      <c r="J823" s="5059"/>
      <c r="K823" s="3812"/>
      <c r="L823" s="5059"/>
      <c r="M823" s="3812"/>
      <c r="N823" s="5201"/>
      <c r="O823" s="5201"/>
      <c r="P823" s="5201"/>
      <c r="Q823" s="5201"/>
      <c r="R823" s="5201"/>
      <c r="S823" s="5201"/>
      <c r="T823" s="5201"/>
      <c r="U823" s="5201"/>
      <c r="V823" s="5201"/>
      <c r="W823" s="5201"/>
      <c r="X823" s="5201"/>
      <c r="Y823" s="5201"/>
      <c r="Z823" s="5201"/>
      <c r="AA823" s="5201"/>
      <c r="AB823" s="5201"/>
      <c r="AC823" s="1032" t="s">
        <v>1695</v>
      </c>
      <c r="AD823" s="5241" t="s">
        <v>1696</v>
      </c>
      <c r="AE823" s="1095">
        <v>0.5</v>
      </c>
      <c r="AF823" s="3812">
        <f>20760*AE823</f>
        <v>10380</v>
      </c>
      <c r="AG823" s="3812">
        <f t="shared" si="167"/>
        <v>0</v>
      </c>
      <c r="AH823" s="3812"/>
      <c r="AI823" s="3812"/>
      <c r="AJ823" s="3812"/>
      <c r="AK823" s="3812"/>
      <c r="AL823" s="3812"/>
      <c r="AM823" s="3812"/>
      <c r="AN823" s="3812">
        <f t="shared" si="166"/>
        <v>0</v>
      </c>
      <c r="AO823" s="3812"/>
      <c r="AP823" s="3812">
        <f t="shared" si="168"/>
        <v>0</v>
      </c>
      <c r="AQ823" s="5146"/>
      <c r="AR823" s="3812"/>
      <c r="AS823" s="5059"/>
      <c r="AT823" s="3812"/>
      <c r="AU823" s="5201"/>
      <c r="AV823" s="5201"/>
      <c r="AW823" s="5201"/>
      <c r="AX823" s="5201"/>
      <c r="AY823" s="5201"/>
      <c r="AZ823" s="5201"/>
      <c r="BA823" s="3812"/>
      <c r="BB823" s="3812"/>
      <c r="BC823" s="3812"/>
      <c r="BD823" s="3812"/>
      <c r="BE823" s="3812"/>
      <c r="BF823" s="3812"/>
      <c r="BG823" s="3812"/>
      <c r="BH823" s="5948"/>
      <c r="BI823" s="3812"/>
      <c r="BJ823" s="3812"/>
      <c r="BK823" s="3812"/>
      <c r="BL823" s="3812"/>
      <c r="BM823" s="3812"/>
      <c r="BN823" s="3812"/>
      <c r="BO823" s="3812"/>
      <c r="BP823" s="3812"/>
      <c r="BQ823" s="3812"/>
      <c r="BR823" s="3812"/>
      <c r="BS823" s="3812"/>
      <c r="BT823" s="3812"/>
      <c r="BU823" s="3812"/>
      <c r="BV823" s="3812"/>
      <c r="BW823" s="3812"/>
      <c r="BX823" s="3812"/>
      <c r="BY823" s="3812"/>
      <c r="BZ823" s="3812"/>
      <c r="CA823" s="3812"/>
      <c r="CB823" s="3812"/>
      <c r="CC823" s="3524"/>
      <c r="CD823" s="3524"/>
      <c r="CE823" s="5920"/>
      <c r="CF823" s="5920"/>
      <c r="CG823" s="5920"/>
      <c r="CH823" s="5920"/>
    </row>
    <row r="824" s="4981" customFormat="1" ht="35.85" customHeight="1" spans="1:86">
      <c r="A824" s="3812"/>
      <c r="B824" s="3812"/>
      <c r="C824" s="3812"/>
      <c r="D824" s="5059"/>
      <c r="E824" s="3812"/>
      <c r="F824" s="5059"/>
      <c r="G824" s="5059"/>
      <c r="H824" s="3812"/>
      <c r="I824" s="5205"/>
      <c r="J824" s="5059"/>
      <c r="K824" s="3812"/>
      <c r="L824" s="5059"/>
      <c r="M824" s="3812"/>
      <c r="N824" s="5201"/>
      <c r="O824" s="5201"/>
      <c r="P824" s="5201"/>
      <c r="Q824" s="5201"/>
      <c r="R824" s="5201"/>
      <c r="S824" s="5201"/>
      <c r="T824" s="5201"/>
      <c r="U824" s="5201"/>
      <c r="V824" s="5201"/>
      <c r="W824" s="5201"/>
      <c r="X824" s="5201"/>
      <c r="Y824" s="5201"/>
      <c r="Z824" s="5201"/>
      <c r="AA824" s="5201"/>
      <c r="AB824" s="5201"/>
      <c r="AC824" s="1032"/>
      <c r="AD824" s="5241" t="s">
        <v>1697</v>
      </c>
      <c r="AE824" s="1095">
        <v>0.5</v>
      </c>
      <c r="AF824" s="3812">
        <f>20760*AE824</f>
        <v>10380</v>
      </c>
      <c r="AG824" s="3812">
        <f t="shared" si="167"/>
        <v>0</v>
      </c>
      <c r="AH824" s="3812"/>
      <c r="AI824" s="3812"/>
      <c r="AJ824" s="3812"/>
      <c r="AK824" s="3812"/>
      <c r="AL824" s="3812"/>
      <c r="AM824" s="3812"/>
      <c r="AN824" s="3812">
        <f t="shared" si="166"/>
        <v>0</v>
      </c>
      <c r="AO824" s="3812"/>
      <c r="AP824" s="3812">
        <f t="shared" si="168"/>
        <v>0</v>
      </c>
      <c r="AQ824" s="5146"/>
      <c r="AR824" s="3812"/>
      <c r="AS824" s="5059"/>
      <c r="AT824" s="3812"/>
      <c r="AU824" s="5201"/>
      <c r="AV824" s="5201"/>
      <c r="AW824" s="5201"/>
      <c r="AX824" s="5201"/>
      <c r="AY824" s="5201"/>
      <c r="AZ824" s="5201"/>
      <c r="BA824" s="3812"/>
      <c r="BB824" s="3812"/>
      <c r="BC824" s="3812"/>
      <c r="BD824" s="3812"/>
      <c r="BE824" s="3812"/>
      <c r="BF824" s="3812"/>
      <c r="BG824" s="3812"/>
      <c r="BH824" s="5948"/>
      <c r="BI824" s="3812"/>
      <c r="BJ824" s="3812"/>
      <c r="BK824" s="3812"/>
      <c r="BL824" s="3812"/>
      <c r="BM824" s="3812"/>
      <c r="BN824" s="3812"/>
      <c r="BO824" s="3812"/>
      <c r="BP824" s="3812"/>
      <c r="BQ824" s="3812"/>
      <c r="BR824" s="3812"/>
      <c r="BS824" s="3812"/>
      <c r="BT824" s="3812"/>
      <c r="BU824" s="3812"/>
      <c r="BV824" s="3812"/>
      <c r="BW824" s="3812"/>
      <c r="BX824" s="3812"/>
      <c r="BY824" s="3812"/>
      <c r="BZ824" s="3812"/>
      <c r="CA824" s="3812"/>
      <c r="CB824" s="3812"/>
      <c r="CC824" s="3524"/>
      <c r="CD824" s="3524"/>
      <c r="CE824" s="5920"/>
      <c r="CF824" s="5920"/>
      <c r="CG824" s="5920"/>
      <c r="CH824" s="5920"/>
    </row>
    <row r="825" s="4981" customFormat="1" ht="52.5" customHeight="1" spans="1:86">
      <c r="A825" s="3812"/>
      <c r="B825" s="3812"/>
      <c r="C825" s="3812"/>
      <c r="D825" s="5059"/>
      <c r="E825" s="3812"/>
      <c r="F825" s="5059"/>
      <c r="G825" s="5059"/>
      <c r="H825" s="3812"/>
      <c r="I825" s="5205"/>
      <c r="J825" s="5059"/>
      <c r="K825" s="3812"/>
      <c r="L825" s="5059"/>
      <c r="M825" s="3812"/>
      <c r="N825" s="5201"/>
      <c r="O825" s="5201"/>
      <c r="P825" s="5201"/>
      <c r="Q825" s="5201"/>
      <c r="R825" s="5201"/>
      <c r="S825" s="5201"/>
      <c r="T825" s="5201"/>
      <c r="U825" s="5201"/>
      <c r="V825" s="5201"/>
      <c r="W825" s="5201"/>
      <c r="X825" s="5201"/>
      <c r="Y825" s="5201"/>
      <c r="Z825" s="5201"/>
      <c r="AA825" s="5201"/>
      <c r="AB825" s="5201"/>
      <c r="AC825" s="1032" t="s">
        <v>1698</v>
      </c>
      <c r="AD825" s="1032" t="s">
        <v>1715</v>
      </c>
      <c r="AE825" s="1095">
        <v>1</v>
      </c>
      <c r="AF825" s="3812">
        <f>153970*AE825</f>
        <v>153970</v>
      </c>
      <c r="AG825" s="3812">
        <f t="shared" si="167"/>
        <v>153970</v>
      </c>
      <c r="AH825" s="857" t="s">
        <v>122</v>
      </c>
      <c r="AI825" s="3812">
        <v>44557</v>
      </c>
      <c r="AJ825" s="3812">
        <v>153970</v>
      </c>
      <c r="AK825" s="3812">
        <v>44551</v>
      </c>
      <c r="AL825" s="3812">
        <v>153970</v>
      </c>
      <c r="AM825" s="5059">
        <v>44967</v>
      </c>
      <c r="AN825" s="3812">
        <f t="shared" si="166"/>
        <v>61946.92</v>
      </c>
      <c r="AO825" s="3812">
        <v>45044</v>
      </c>
      <c r="AP825" s="3812">
        <f>AG825-(AN825+AN827)</f>
        <v>87550</v>
      </c>
      <c r="AQ825" s="5146"/>
      <c r="AR825" s="3812"/>
      <c r="AS825" s="1032" t="s">
        <v>1716</v>
      </c>
      <c r="AT825" s="3812"/>
      <c r="AU825" s="5201"/>
      <c r="AV825" s="5201"/>
      <c r="AW825" s="5201"/>
      <c r="AX825" s="5201"/>
      <c r="AY825" s="5201"/>
      <c r="AZ825" s="5201"/>
      <c r="BA825" s="3812"/>
      <c r="BB825" s="3812"/>
      <c r="BC825" s="3812"/>
      <c r="BD825" s="3812"/>
      <c r="BE825" s="3812"/>
      <c r="BF825" s="3812"/>
      <c r="BG825" s="3812"/>
      <c r="BH825" s="5152"/>
      <c r="BI825" s="3812"/>
      <c r="BJ825" s="3812"/>
      <c r="BK825" s="3812"/>
      <c r="BL825" s="3812"/>
      <c r="BM825" s="3812"/>
      <c r="BN825" s="3812">
        <v>153970</v>
      </c>
      <c r="BO825" s="3812"/>
      <c r="BP825" s="3812"/>
      <c r="BQ825" s="3812"/>
      <c r="BR825" s="3812"/>
      <c r="BS825" s="3812"/>
      <c r="BT825" s="3812"/>
      <c r="BU825" s="3812"/>
      <c r="BV825" s="3812"/>
      <c r="BW825" s="3812"/>
      <c r="BX825" s="3812"/>
      <c r="BY825" s="3812"/>
      <c r="BZ825" s="3812"/>
      <c r="CA825" s="3812"/>
      <c r="CB825" s="3812">
        <v>61946.92</v>
      </c>
      <c r="CC825" s="3524"/>
      <c r="CD825" s="3524"/>
      <c r="CE825" s="5920"/>
      <c r="CF825" s="5920"/>
      <c r="CG825" s="5920"/>
      <c r="CH825" s="5920"/>
    </row>
    <row r="826" s="4981" customFormat="1" ht="31" spans="1:86">
      <c r="A826" s="3812"/>
      <c r="B826" s="3812"/>
      <c r="C826" s="3812"/>
      <c r="D826" s="5059"/>
      <c r="E826" s="3812"/>
      <c r="F826" s="5059"/>
      <c r="G826" s="5059"/>
      <c r="H826" s="3812"/>
      <c r="I826" s="5205"/>
      <c r="J826" s="5059"/>
      <c r="K826" s="3812"/>
      <c r="L826" s="5059"/>
      <c r="M826" s="3812"/>
      <c r="N826" s="5201"/>
      <c r="O826" s="5201"/>
      <c r="P826" s="5201"/>
      <c r="Q826" s="5201"/>
      <c r="R826" s="5201"/>
      <c r="S826" s="5201"/>
      <c r="T826" s="5201"/>
      <c r="U826" s="5201"/>
      <c r="V826" s="5201"/>
      <c r="W826" s="5201"/>
      <c r="X826" s="5201"/>
      <c r="Y826" s="5201"/>
      <c r="Z826" s="5201"/>
      <c r="AA826" s="5201"/>
      <c r="AB826" s="5201"/>
      <c r="AC826" s="1032"/>
      <c r="AD826" s="1032"/>
      <c r="AE826" s="1095"/>
      <c r="AF826" s="3812"/>
      <c r="AG826" s="3812"/>
      <c r="AH826" s="857"/>
      <c r="AI826" s="3812"/>
      <c r="AJ826" s="3812"/>
      <c r="AK826" s="3812"/>
      <c r="AL826" s="3812"/>
      <c r="AM826" s="5059"/>
      <c r="AN826" s="3812">
        <f t="shared" si="166"/>
        <v>87550</v>
      </c>
      <c r="AO826" s="3812">
        <v>45076</v>
      </c>
      <c r="AP826" s="3812"/>
      <c r="AQ826" s="1032" t="s">
        <v>1717</v>
      </c>
      <c r="AR826" s="3812"/>
      <c r="AS826" s="1032" t="s">
        <v>1718</v>
      </c>
      <c r="AT826" s="3812"/>
      <c r="AU826" s="5201"/>
      <c r="AV826" s="5201"/>
      <c r="AW826" s="5201"/>
      <c r="AX826" s="5201"/>
      <c r="AY826" s="5201"/>
      <c r="AZ826" s="5201"/>
      <c r="BA826" s="3812"/>
      <c r="BB826" s="3812"/>
      <c r="BC826" s="3812"/>
      <c r="BD826" s="3812"/>
      <c r="BE826" s="3812"/>
      <c r="BF826" s="3812"/>
      <c r="BG826" s="3812"/>
      <c r="BH826" s="5152"/>
      <c r="BI826" s="3812"/>
      <c r="BJ826" s="3812"/>
      <c r="BK826" s="3812"/>
      <c r="BL826" s="3812"/>
      <c r="BM826" s="3812"/>
      <c r="BN826" s="3812"/>
      <c r="BO826" s="3812"/>
      <c r="BP826" s="3812"/>
      <c r="BQ826" s="3812"/>
      <c r="BR826" s="3812"/>
      <c r="BS826" s="3812"/>
      <c r="BT826" s="3812"/>
      <c r="BU826" s="3812"/>
      <c r="BV826" s="3812"/>
      <c r="BW826" s="3812"/>
      <c r="BX826" s="3812"/>
      <c r="BY826" s="3812"/>
      <c r="BZ826" s="3812"/>
      <c r="CA826" s="3812"/>
      <c r="CB826" s="3812">
        <v>87550</v>
      </c>
      <c r="CC826" s="3524"/>
      <c r="CD826" s="3524"/>
      <c r="CE826" s="5920"/>
      <c r="CF826" s="5920"/>
      <c r="CG826" s="5920"/>
      <c r="CH826" s="5920"/>
    </row>
    <row r="827" s="4981" customFormat="1" ht="35" customHeight="1" spans="1:86">
      <c r="A827" s="3812"/>
      <c r="B827" s="3812"/>
      <c r="C827" s="3812"/>
      <c r="D827" s="5059"/>
      <c r="E827" s="3812"/>
      <c r="F827" s="5059"/>
      <c r="G827" s="5059"/>
      <c r="H827" s="3812"/>
      <c r="I827" s="5205"/>
      <c r="J827" s="5059"/>
      <c r="K827" s="3812"/>
      <c r="L827" s="5059"/>
      <c r="M827" s="3812"/>
      <c r="N827" s="5201"/>
      <c r="O827" s="5201"/>
      <c r="P827" s="5201"/>
      <c r="Q827" s="5201"/>
      <c r="R827" s="5201"/>
      <c r="S827" s="5201"/>
      <c r="T827" s="5201"/>
      <c r="U827" s="5201"/>
      <c r="V827" s="5201"/>
      <c r="W827" s="5201"/>
      <c r="X827" s="5201"/>
      <c r="Y827" s="5201"/>
      <c r="Z827" s="5201"/>
      <c r="AA827" s="5201"/>
      <c r="AB827" s="5201"/>
      <c r="AC827" s="1032"/>
      <c r="AD827" s="1032"/>
      <c r="AE827" s="1095"/>
      <c r="AF827" s="3812"/>
      <c r="AG827" s="3812"/>
      <c r="AH827" s="857"/>
      <c r="AI827" s="3812"/>
      <c r="AJ827" s="3812"/>
      <c r="AK827" s="3812"/>
      <c r="AL827" s="3812"/>
      <c r="AM827" s="5059"/>
      <c r="AN827" s="3812">
        <f t="shared" si="166"/>
        <v>4473.08</v>
      </c>
      <c r="AO827" s="3812">
        <v>45519</v>
      </c>
      <c r="AP827" s="3812"/>
      <c r="AQ827" s="5146"/>
      <c r="AR827" s="3812"/>
      <c r="AS827" s="5059"/>
      <c r="AT827" s="3812"/>
      <c r="AU827" s="5201"/>
      <c r="AV827" s="5201"/>
      <c r="AW827" s="5201"/>
      <c r="AX827" s="5201"/>
      <c r="AY827" s="5201"/>
      <c r="AZ827" s="5201"/>
      <c r="BA827" s="3812"/>
      <c r="BB827" s="3812"/>
      <c r="BC827" s="3812"/>
      <c r="BD827" s="3812"/>
      <c r="BE827" s="3812"/>
      <c r="BF827" s="3812"/>
      <c r="BG827" s="3812"/>
      <c r="BH827" s="5152"/>
      <c r="BI827" s="3812"/>
      <c r="BJ827" s="3812"/>
      <c r="BK827" s="3812"/>
      <c r="BL827" s="3812"/>
      <c r="BM827" s="3812"/>
      <c r="BN827" s="3812"/>
      <c r="BO827" s="3812"/>
      <c r="BP827" s="3812"/>
      <c r="BQ827" s="3812"/>
      <c r="BR827" s="3812"/>
      <c r="BS827" s="3812"/>
      <c r="BT827" s="3812"/>
      <c r="BU827" s="3812"/>
      <c r="BV827" s="3812"/>
      <c r="BW827" s="3812"/>
      <c r="BX827" s="3812"/>
      <c r="BY827" s="3812"/>
      <c r="BZ827" s="3812"/>
      <c r="CA827" s="3812"/>
      <c r="CB827" s="3812">
        <v>4473.08</v>
      </c>
      <c r="CC827" s="3524"/>
      <c r="CD827" s="3524"/>
      <c r="CE827" s="5920"/>
      <c r="CF827" s="5920"/>
      <c r="CG827" s="5920"/>
      <c r="CH827" s="5920"/>
    </row>
    <row r="828" s="4981" customFormat="1" ht="35.85" customHeight="1" spans="1:86">
      <c r="A828" s="3812"/>
      <c r="B828" s="3812"/>
      <c r="C828" s="3812"/>
      <c r="D828" s="5059"/>
      <c r="E828" s="3812"/>
      <c r="F828" s="5059"/>
      <c r="G828" s="5059"/>
      <c r="H828" s="3812"/>
      <c r="I828" s="5205"/>
      <c r="J828" s="5059"/>
      <c r="K828" s="3812"/>
      <c r="L828" s="5059"/>
      <c r="M828" s="3812"/>
      <c r="N828" s="5201"/>
      <c r="O828" s="5201"/>
      <c r="P828" s="5201"/>
      <c r="Q828" s="5201"/>
      <c r="R828" s="5201"/>
      <c r="S828" s="5201"/>
      <c r="T828" s="5201"/>
      <c r="U828" s="5201"/>
      <c r="V828" s="5201"/>
      <c r="W828" s="5201"/>
      <c r="X828" s="5201"/>
      <c r="Y828" s="5201"/>
      <c r="Z828" s="5201"/>
      <c r="AA828" s="5201"/>
      <c r="AB828" s="5201"/>
      <c r="AC828" s="1032" t="s">
        <v>1700</v>
      </c>
      <c r="AD828" s="5241" t="s">
        <v>1701</v>
      </c>
      <c r="AE828" s="1095">
        <v>0.125</v>
      </c>
      <c r="AF828" s="3812">
        <f>138400*AE828</f>
        <v>17300</v>
      </c>
      <c r="AG828" s="3812">
        <f t="shared" ref="AG828:AG846" si="169">SUM(BA828:BN828)</f>
        <v>17300</v>
      </c>
      <c r="AH828" s="857" t="s">
        <v>122</v>
      </c>
      <c r="AI828" s="3812">
        <v>44897</v>
      </c>
      <c r="AJ828" s="3812">
        <v>17300</v>
      </c>
      <c r="AK828" s="3812">
        <v>44897</v>
      </c>
      <c r="AL828" s="3812">
        <v>17300</v>
      </c>
      <c r="AM828" s="5059">
        <v>44967</v>
      </c>
      <c r="AN828" s="3812">
        <f t="shared" ref="AN828:AN835" si="170">SUM(BO828:CB828)</f>
        <v>17300</v>
      </c>
      <c r="AO828" s="3812">
        <v>45076</v>
      </c>
      <c r="AP828" s="3812">
        <f t="shared" ref="AP828:AP842" si="171">AG828-AN828</f>
        <v>0</v>
      </c>
      <c r="AQ828" s="1032" t="s">
        <v>1717</v>
      </c>
      <c r="AR828" s="3812"/>
      <c r="AS828" s="5073" t="s">
        <v>1719</v>
      </c>
      <c r="AT828" s="3812"/>
      <c r="AU828" s="5201"/>
      <c r="AV828" s="5201"/>
      <c r="AW828" s="5201"/>
      <c r="AX828" s="5201"/>
      <c r="AY828" s="5201"/>
      <c r="AZ828" s="5201"/>
      <c r="BA828" s="3812"/>
      <c r="BB828" s="3812"/>
      <c r="BC828" s="3812"/>
      <c r="BD828" s="3812"/>
      <c r="BE828" s="3812"/>
      <c r="BF828" s="3812"/>
      <c r="BG828" s="3812"/>
      <c r="BH828" s="5152"/>
      <c r="BI828" s="3812"/>
      <c r="BJ828" s="3812"/>
      <c r="BK828" s="3812"/>
      <c r="BL828" s="3812"/>
      <c r="BM828" s="3812"/>
      <c r="BN828" s="3812">
        <v>17300</v>
      </c>
      <c r="BO828" s="3812"/>
      <c r="BP828" s="3812"/>
      <c r="BQ828" s="3812"/>
      <c r="BR828" s="3812"/>
      <c r="BS828" s="3812"/>
      <c r="BT828" s="3812"/>
      <c r="BU828" s="3812"/>
      <c r="BV828" s="3812"/>
      <c r="BW828" s="3812"/>
      <c r="BX828" s="3812"/>
      <c r="BY828" s="3812"/>
      <c r="BZ828" s="3812"/>
      <c r="CA828" s="3812"/>
      <c r="CB828" s="3812">
        <v>17300</v>
      </c>
      <c r="CC828" s="3524"/>
      <c r="CD828" s="3524"/>
      <c r="CE828" s="5920"/>
      <c r="CF828" s="5920"/>
      <c r="CG828" s="5920"/>
      <c r="CH828" s="5920"/>
    </row>
    <row r="829" s="4981" customFormat="1" ht="35.85" customHeight="1" spans="1:86">
      <c r="A829" s="3812"/>
      <c r="B829" s="3812"/>
      <c r="C829" s="3812"/>
      <c r="D829" s="5059"/>
      <c r="E829" s="3812"/>
      <c r="F829" s="5059"/>
      <c r="G829" s="5059"/>
      <c r="H829" s="3812"/>
      <c r="I829" s="5205"/>
      <c r="J829" s="5059"/>
      <c r="K829" s="3812"/>
      <c r="L829" s="5059"/>
      <c r="M829" s="3812"/>
      <c r="N829" s="5201"/>
      <c r="O829" s="5201"/>
      <c r="P829" s="5201"/>
      <c r="Q829" s="5201"/>
      <c r="R829" s="5201"/>
      <c r="S829" s="5201"/>
      <c r="T829" s="5201"/>
      <c r="U829" s="5201"/>
      <c r="V829" s="5201"/>
      <c r="W829" s="5201"/>
      <c r="X829" s="5201"/>
      <c r="Y829" s="5201"/>
      <c r="Z829" s="5201"/>
      <c r="AA829" s="5201"/>
      <c r="AB829" s="5201"/>
      <c r="AC829" s="1032"/>
      <c r="AD829" s="5241" t="s">
        <v>1704</v>
      </c>
      <c r="AE829" s="1095">
        <v>0.3125</v>
      </c>
      <c r="AF829" s="3812">
        <f t="shared" ref="AF829:AF834" si="172">138400*AE829</f>
        <v>43250</v>
      </c>
      <c r="AG829" s="3812">
        <f t="shared" si="169"/>
        <v>43250</v>
      </c>
      <c r="AH829" s="857" t="s">
        <v>122</v>
      </c>
      <c r="AI829" s="3812">
        <v>44897</v>
      </c>
      <c r="AJ829" s="3812">
        <v>43250</v>
      </c>
      <c r="AK829" s="3812">
        <v>44897</v>
      </c>
      <c r="AL829" s="3812">
        <v>43250</v>
      </c>
      <c r="AM829" s="5059">
        <v>44967</v>
      </c>
      <c r="AN829" s="3812">
        <f t="shared" si="170"/>
        <v>43250</v>
      </c>
      <c r="AO829" s="3812">
        <v>45076</v>
      </c>
      <c r="AP829" s="3812">
        <f t="shared" si="171"/>
        <v>0</v>
      </c>
      <c r="AQ829" s="5059"/>
      <c r="AR829" s="3812"/>
      <c r="AS829" s="5074"/>
      <c r="AT829" s="3812"/>
      <c r="AU829" s="5201"/>
      <c r="AV829" s="5201"/>
      <c r="AW829" s="5201"/>
      <c r="AX829" s="5201"/>
      <c r="AY829" s="5201"/>
      <c r="AZ829" s="5201"/>
      <c r="BA829" s="3812"/>
      <c r="BB829" s="3812"/>
      <c r="BC829" s="3812"/>
      <c r="BD829" s="3812"/>
      <c r="BE829" s="3812"/>
      <c r="BF829" s="3812"/>
      <c r="BG829" s="3812"/>
      <c r="BH829" s="5152"/>
      <c r="BI829" s="3812"/>
      <c r="BJ829" s="3812"/>
      <c r="BK829" s="3812"/>
      <c r="BL829" s="3812"/>
      <c r="BM829" s="3812"/>
      <c r="BN829" s="3812">
        <v>43250</v>
      </c>
      <c r="BO829" s="3812"/>
      <c r="BP829" s="3812"/>
      <c r="BQ829" s="3812"/>
      <c r="BR829" s="3812"/>
      <c r="BS829" s="3812"/>
      <c r="BT829" s="3812"/>
      <c r="BU829" s="3812"/>
      <c r="BV829" s="3812"/>
      <c r="BW829" s="3812"/>
      <c r="BX829" s="3812"/>
      <c r="BY829" s="3812"/>
      <c r="BZ829" s="3812"/>
      <c r="CA829" s="3812"/>
      <c r="CB829" s="3812">
        <v>43250</v>
      </c>
      <c r="CC829" s="3524"/>
      <c r="CD829" s="3524"/>
      <c r="CE829" s="5920"/>
      <c r="CF829" s="5920"/>
      <c r="CG829" s="5920"/>
      <c r="CH829" s="5920"/>
    </row>
    <row r="830" s="4981" customFormat="1" ht="35.85" customHeight="1" spans="1:86">
      <c r="A830" s="3812"/>
      <c r="B830" s="3812"/>
      <c r="C830" s="3812"/>
      <c r="D830" s="5059"/>
      <c r="E830" s="3812"/>
      <c r="F830" s="5059"/>
      <c r="G830" s="5059"/>
      <c r="H830" s="3812"/>
      <c r="I830" s="5205"/>
      <c r="J830" s="5059"/>
      <c r="K830" s="3812"/>
      <c r="L830" s="5059"/>
      <c r="M830" s="3812"/>
      <c r="N830" s="5201"/>
      <c r="O830" s="5201"/>
      <c r="P830" s="5201"/>
      <c r="Q830" s="5201"/>
      <c r="R830" s="5201"/>
      <c r="S830" s="5201"/>
      <c r="T830" s="5201"/>
      <c r="U830" s="5201"/>
      <c r="V830" s="5201"/>
      <c r="W830" s="5201"/>
      <c r="X830" s="5201"/>
      <c r="Y830" s="5201"/>
      <c r="Z830" s="5201"/>
      <c r="AA830" s="5201"/>
      <c r="AB830" s="5201"/>
      <c r="AC830" s="1032"/>
      <c r="AD830" s="5241" t="s">
        <v>1705</v>
      </c>
      <c r="AE830" s="1095">
        <v>0.125</v>
      </c>
      <c r="AF830" s="3812">
        <f t="shared" si="172"/>
        <v>17300</v>
      </c>
      <c r="AG830" s="3812">
        <f t="shared" si="169"/>
        <v>17300</v>
      </c>
      <c r="AH830" s="857" t="s">
        <v>122</v>
      </c>
      <c r="AI830" s="3812">
        <v>44897</v>
      </c>
      <c r="AJ830" s="3812">
        <v>17300</v>
      </c>
      <c r="AK830" s="3812">
        <v>44897</v>
      </c>
      <c r="AL830" s="3812">
        <v>17300</v>
      </c>
      <c r="AM830" s="5059">
        <v>44967</v>
      </c>
      <c r="AN830" s="3812">
        <f t="shared" si="170"/>
        <v>17300</v>
      </c>
      <c r="AO830" s="3812">
        <v>45076</v>
      </c>
      <c r="AP830" s="3812">
        <f t="shared" si="171"/>
        <v>0</v>
      </c>
      <c r="AQ830" s="5059"/>
      <c r="AR830" s="3812"/>
      <c r="AS830" s="5074"/>
      <c r="AT830" s="3812"/>
      <c r="AU830" s="5201"/>
      <c r="AV830" s="5201"/>
      <c r="AW830" s="5201"/>
      <c r="AX830" s="5201"/>
      <c r="AY830" s="5201"/>
      <c r="AZ830" s="5201"/>
      <c r="BA830" s="3812"/>
      <c r="BB830" s="3812"/>
      <c r="BC830" s="3812"/>
      <c r="BD830" s="3812"/>
      <c r="BE830" s="3812"/>
      <c r="BF830" s="3812"/>
      <c r="BG830" s="3812"/>
      <c r="BH830" s="5152"/>
      <c r="BI830" s="3812"/>
      <c r="BJ830" s="3812"/>
      <c r="BK830" s="3812"/>
      <c r="BL830" s="3812"/>
      <c r="BM830" s="3812"/>
      <c r="BN830" s="3812">
        <v>17300</v>
      </c>
      <c r="BO830" s="3812"/>
      <c r="BP830" s="3812"/>
      <c r="BQ830" s="3812"/>
      <c r="BR830" s="3812"/>
      <c r="BS830" s="3812"/>
      <c r="BT830" s="3812"/>
      <c r="BU830" s="3812"/>
      <c r="BV830" s="3812"/>
      <c r="BW830" s="3812"/>
      <c r="BX830" s="3812"/>
      <c r="BY830" s="3812"/>
      <c r="BZ830" s="3812"/>
      <c r="CA830" s="3812"/>
      <c r="CB830" s="3812">
        <v>17300</v>
      </c>
      <c r="CC830" s="3524"/>
      <c r="CD830" s="3524"/>
      <c r="CE830" s="5920"/>
      <c r="CF830" s="5920"/>
      <c r="CG830" s="5920"/>
      <c r="CH830" s="5920"/>
    </row>
    <row r="831" s="4981" customFormat="1" ht="35.85" customHeight="1" spans="1:86">
      <c r="A831" s="3812"/>
      <c r="B831" s="3812"/>
      <c r="C831" s="3812"/>
      <c r="D831" s="5059"/>
      <c r="E831" s="3812"/>
      <c r="F831" s="5059"/>
      <c r="G831" s="5059"/>
      <c r="H831" s="3812"/>
      <c r="I831" s="5205"/>
      <c r="J831" s="5059"/>
      <c r="K831" s="3812"/>
      <c r="L831" s="5059"/>
      <c r="M831" s="3812"/>
      <c r="N831" s="5201"/>
      <c r="O831" s="5201"/>
      <c r="P831" s="5201"/>
      <c r="Q831" s="5201"/>
      <c r="R831" s="5201"/>
      <c r="S831" s="5201"/>
      <c r="T831" s="5201"/>
      <c r="U831" s="5201"/>
      <c r="V831" s="5201"/>
      <c r="W831" s="5201"/>
      <c r="X831" s="5201"/>
      <c r="Y831" s="5201"/>
      <c r="Z831" s="5201"/>
      <c r="AA831" s="5201"/>
      <c r="AB831" s="5201"/>
      <c r="AC831" s="1032"/>
      <c r="AD831" s="5241" t="s">
        <v>1706</v>
      </c>
      <c r="AE831" s="1095">
        <v>0.25</v>
      </c>
      <c r="AF831" s="3812">
        <f t="shared" si="172"/>
        <v>34600</v>
      </c>
      <c r="AG831" s="3812">
        <f t="shared" si="169"/>
        <v>34600</v>
      </c>
      <c r="AH831" s="857" t="s">
        <v>122</v>
      </c>
      <c r="AI831" s="3812">
        <v>44897</v>
      </c>
      <c r="AJ831" s="3812">
        <v>34600</v>
      </c>
      <c r="AK831" s="3812">
        <v>44897</v>
      </c>
      <c r="AL831" s="3812">
        <v>34600</v>
      </c>
      <c r="AM831" s="5059">
        <v>44967</v>
      </c>
      <c r="AN831" s="3812">
        <f t="shared" si="170"/>
        <v>34600</v>
      </c>
      <c r="AO831" s="3812">
        <v>45076</v>
      </c>
      <c r="AP831" s="3812">
        <f t="shared" si="171"/>
        <v>0</v>
      </c>
      <c r="AQ831" s="5059"/>
      <c r="AR831" s="3812"/>
      <c r="AS831" s="5075"/>
      <c r="AT831" s="3812"/>
      <c r="AU831" s="5201"/>
      <c r="AV831" s="5201"/>
      <c r="AW831" s="5201"/>
      <c r="AX831" s="5201"/>
      <c r="AY831" s="5201"/>
      <c r="AZ831" s="5201"/>
      <c r="BA831" s="3812"/>
      <c r="BB831" s="3812"/>
      <c r="BC831" s="3812"/>
      <c r="BD831" s="3812"/>
      <c r="BE831" s="3812"/>
      <c r="BF831" s="3812"/>
      <c r="BG831" s="3812"/>
      <c r="BH831" s="5152"/>
      <c r="BI831" s="3812"/>
      <c r="BJ831" s="3812"/>
      <c r="BK831" s="3812"/>
      <c r="BL831" s="3812"/>
      <c r="BM831" s="3812"/>
      <c r="BN831" s="3812">
        <v>34600</v>
      </c>
      <c r="BO831" s="3812"/>
      <c r="BP831" s="3812"/>
      <c r="BQ831" s="3812"/>
      <c r="BR831" s="3812"/>
      <c r="BS831" s="3812"/>
      <c r="BT831" s="3812"/>
      <c r="BU831" s="3812"/>
      <c r="BV831" s="3812"/>
      <c r="BW831" s="3812"/>
      <c r="BX831" s="3812"/>
      <c r="BY831" s="3812"/>
      <c r="BZ831" s="3812"/>
      <c r="CA831" s="3812"/>
      <c r="CB831" s="3812">
        <v>34600</v>
      </c>
      <c r="CC831" s="3524"/>
      <c r="CD831" s="3524"/>
      <c r="CE831" s="5920"/>
      <c r="CF831" s="5920"/>
      <c r="CG831" s="5920"/>
      <c r="CH831" s="5920"/>
    </row>
    <row r="832" s="4981" customFormat="1" ht="35.85" customHeight="1" spans="1:86">
      <c r="A832" s="3812"/>
      <c r="B832" s="3812"/>
      <c r="C832" s="3812"/>
      <c r="D832" s="5059"/>
      <c r="E832" s="3812"/>
      <c r="F832" s="5059"/>
      <c r="G832" s="5059"/>
      <c r="H832" s="3812"/>
      <c r="I832" s="5205"/>
      <c r="J832" s="5059"/>
      <c r="K832" s="3812"/>
      <c r="L832" s="5059"/>
      <c r="M832" s="3812"/>
      <c r="N832" s="5201"/>
      <c r="O832" s="5201"/>
      <c r="P832" s="5201"/>
      <c r="Q832" s="5201"/>
      <c r="R832" s="5201"/>
      <c r="S832" s="5201"/>
      <c r="T832" s="5201"/>
      <c r="U832" s="5201"/>
      <c r="V832" s="5201"/>
      <c r="W832" s="5201"/>
      <c r="X832" s="5201"/>
      <c r="Y832" s="5201"/>
      <c r="Z832" s="5201"/>
      <c r="AA832" s="5201"/>
      <c r="AB832" s="5201"/>
      <c r="AC832" s="1032" t="s">
        <v>1707</v>
      </c>
      <c r="AD832" s="5241" t="s">
        <v>1701</v>
      </c>
      <c r="AE832" s="1095">
        <v>0.0625</v>
      </c>
      <c r="AF832" s="3812">
        <f t="shared" si="172"/>
        <v>8650</v>
      </c>
      <c r="AG832" s="3812">
        <f t="shared" si="169"/>
        <v>0</v>
      </c>
      <c r="AH832" s="3812"/>
      <c r="AI832" s="3812"/>
      <c r="AJ832" s="3812"/>
      <c r="AK832" s="3812"/>
      <c r="AL832" s="3812"/>
      <c r="AM832" s="3812"/>
      <c r="AN832" s="3812">
        <f t="shared" si="170"/>
        <v>0</v>
      </c>
      <c r="AO832" s="3812"/>
      <c r="AP832" s="3812">
        <f t="shared" si="171"/>
        <v>0</v>
      </c>
      <c r="AQ832" s="5146"/>
      <c r="AR832" s="3812"/>
      <c r="AS832" s="5059"/>
      <c r="AT832" s="3812"/>
      <c r="AU832" s="5201"/>
      <c r="AV832" s="5201"/>
      <c r="AW832" s="5201"/>
      <c r="AX832" s="5201"/>
      <c r="AY832" s="5201"/>
      <c r="AZ832" s="5201"/>
      <c r="BA832" s="3812"/>
      <c r="BB832" s="3812"/>
      <c r="BC832" s="3812"/>
      <c r="BD832" s="3812"/>
      <c r="BE832" s="3812"/>
      <c r="BF832" s="3812"/>
      <c r="BG832" s="3812"/>
      <c r="BH832" s="5948"/>
      <c r="BI832" s="3812"/>
      <c r="BJ832" s="3812"/>
      <c r="BK832" s="3812"/>
      <c r="BL832" s="3812"/>
      <c r="BM832" s="3812"/>
      <c r="BN832" s="3812"/>
      <c r="BO832" s="3812"/>
      <c r="BP832" s="3812"/>
      <c r="BQ832" s="3812"/>
      <c r="BR832" s="3812"/>
      <c r="BS832" s="3812"/>
      <c r="BT832" s="3812"/>
      <c r="BU832" s="3812"/>
      <c r="BV832" s="3812"/>
      <c r="BW832" s="3812"/>
      <c r="BX832" s="3812"/>
      <c r="BY832" s="3812"/>
      <c r="BZ832" s="3812"/>
      <c r="CA832" s="3812"/>
      <c r="CB832" s="3812"/>
      <c r="CC832" s="3524"/>
      <c r="CD832" s="3524"/>
      <c r="CE832" s="5920"/>
      <c r="CF832" s="5920"/>
      <c r="CG832" s="5920"/>
      <c r="CH832" s="5920"/>
    </row>
    <row r="833" s="4981" customFormat="1" ht="35.85" customHeight="1" spans="1:86">
      <c r="A833" s="3812"/>
      <c r="B833" s="3812"/>
      <c r="C833" s="3812"/>
      <c r="D833" s="5059"/>
      <c r="E833" s="3812"/>
      <c r="F833" s="5059"/>
      <c r="G833" s="5059"/>
      <c r="H833" s="3812"/>
      <c r="I833" s="5205"/>
      <c r="J833" s="5059"/>
      <c r="K833" s="3812"/>
      <c r="L833" s="5059"/>
      <c r="M833" s="3812"/>
      <c r="N833" s="5201"/>
      <c r="O833" s="5201"/>
      <c r="P833" s="5201"/>
      <c r="Q833" s="5201"/>
      <c r="R833" s="5201"/>
      <c r="S833" s="5201"/>
      <c r="T833" s="5201"/>
      <c r="U833" s="5201"/>
      <c r="V833" s="5201"/>
      <c r="W833" s="5201"/>
      <c r="X833" s="5201"/>
      <c r="Y833" s="5201"/>
      <c r="Z833" s="5201"/>
      <c r="AA833" s="5201"/>
      <c r="AB833" s="5201"/>
      <c r="AC833" s="1032"/>
      <c r="AD833" s="5241" t="s">
        <v>1704</v>
      </c>
      <c r="AE833" s="1095">
        <v>0.0625</v>
      </c>
      <c r="AF833" s="3812">
        <f t="shared" si="172"/>
        <v>8650</v>
      </c>
      <c r="AG833" s="3812">
        <f t="shared" si="169"/>
        <v>0</v>
      </c>
      <c r="AH833" s="3812"/>
      <c r="AI833" s="3812"/>
      <c r="AJ833" s="3812"/>
      <c r="AK833" s="3812"/>
      <c r="AL833" s="3812"/>
      <c r="AM833" s="3812"/>
      <c r="AN833" s="3812">
        <f t="shared" si="170"/>
        <v>0</v>
      </c>
      <c r="AO833" s="3812"/>
      <c r="AP833" s="3812">
        <f t="shared" si="171"/>
        <v>0</v>
      </c>
      <c r="AQ833" s="5146"/>
      <c r="AR833" s="3812"/>
      <c r="AS833" s="5059"/>
      <c r="AT833" s="3812"/>
      <c r="AU833" s="5201"/>
      <c r="AV833" s="5201"/>
      <c r="AW833" s="5201"/>
      <c r="AX833" s="5201"/>
      <c r="AY833" s="5201"/>
      <c r="AZ833" s="5201"/>
      <c r="BA833" s="3812"/>
      <c r="BB833" s="3812"/>
      <c r="BC833" s="3812"/>
      <c r="BD833" s="3812"/>
      <c r="BE833" s="3812"/>
      <c r="BF833" s="3812"/>
      <c r="BG833" s="3812"/>
      <c r="BH833" s="5948"/>
      <c r="BI833" s="3812"/>
      <c r="BJ833" s="3812"/>
      <c r="BK833" s="3812"/>
      <c r="BL833" s="3812"/>
      <c r="BM833" s="3812"/>
      <c r="BN833" s="3812"/>
      <c r="BO833" s="3812"/>
      <c r="BP833" s="3812"/>
      <c r="BQ833" s="3812"/>
      <c r="BR833" s="3812"/>
      <c r="BS833" s="3812"/>
      <c r="BT833" s="3812"/>
      <c r="BU833" s="3812"/>
      <c r="BV833" s="3812"/>
      <c r="BW833" s="3812"/>
      <c r="BX833" s="3812"/>
      <c r="BY833" s="3812"/>
      <c r="BZ833" s="3812"/>
      <c r="CA833" s="3812"/>
      <c r="CB833" s="3812"/>
      <c r="CC833" s="3524"/>
      <c r="CD833" s="3524"/>
      <c r="CE833" s="5920"/>
      <c r="CF833" s="5920"/>
      <c r="CG833" s="5920"/>
      <c r="CH833" s="5920"/>
    </row>
    <row r="834" s="4981" customFormat="1" ht="35.85" customHeight="1" spans="1:86">
      <c r="A834" s="3812"/>
      <c r="B834" s="3812"/>
      <c r="C834" s="3812"/>
      <c r="D834" s="5059"/>
      <c r="E834" s="3812"/>
      <c r="F834" s="5059"/>
      <c r="G834" s="5059"/>
      <c r="H834" s="3812"/>
      <c r="I834" s="5205"/>
      <c r="J834" s="5059"/>
      <c r="K834" s="3812"/>
      <c r="L834" s="5059"/>
      <c r="M834" s="3812"/>
      <c r="N834" s="5201"/>
      <c r="O834" s="5201"/>
      <c r="P834" s="5201"/>
      <c r="Q834" s="5201"/>
      <c r="R834" s="5201"/>
      <c r="S834" s="5201"/>
      <c r="T834" s="5201"/>
      <c r="U834" s="5201"/>
      <c r="V834" s="5201"/>
      <c r="W834" s="5201"/>
      <c r="X834" s="5201"/>
      <c r="Y834" s="5201"/>
      <c r="Z834" s="5201"/>
      <c r="AA834" s="5201"/>
      <c r="AB834" s="5201"/>
      <c r="AC834" s="1032"/>
      <c r="AD834" s="5241" t="s">
        <v>1705</v>
      </c>
      <c r="AE834" s="1095">
        <v>0.0625</v>
      </c>
      <c r="AF834" s="3812">
        <f t="shared" si="172"/>
        <v>8650</v>
      </c>
      <c r="AG834" s="3812">
        <f t="shared" si="169"/>
        <v>0</v>
      </c>
      <c r="AH834" s="3812"/>
      <c r="AI834" s="3812"/>
      <c r="AJ834" s="3812"/>
      <c r="AK834" s="3812"/>
      <c r="AL834" s="3812"/>
      <c r="AM834" s="3812"/>
      <c r="AN834" s="3812">
        <f t="shared" si="170"/>
        <v>0</v>
      </c>
      <c r="AO834" s="3812"/>
      <c r="AP834" s="3812">
        <f t="shared" si="171"/>
        <v>0</v>
      </c>
      <c r="AQ834" s="5146"/>
      <c r="AR834" s="3812"/>
      <c r="AS834" s="5059"/>
      <c r="AT834" s="3812"/>
      <c r="AU834" s="5201"/>
      <c r="AV834" s="5201"/>
      <c r="AW834" s="5201"/>
      <c r="AX834" s="5201"/>
      <c r="AY834" s="5201"/>
      <c r="AZ834" s="5201"/>
      <c r="BA834" s="3812"/>
      <c r="BB834" s="3812"/>
      <c r="BC834" s="3812"/>
      <c r="BD834" s="3812"/>
      <c r="BE834" s="3812"/>
      <c r="BF834" s="3812"/>
      <c r="BG834" s="3812"/>
      <c r="BH834" s="5948"/>
      <c r="BI834" s="3812"/>
      <c r="BJ834" s="3812"/>
      <c r="BK834" s="3812"/>
      <c r="BL834" s="3812"/>
      <c r="BM834" s="3812"/>
      <c r="BN834" s="3812"/>
      <c r="BO834" s="3812"/>
      <c r="BP834" s="3812"/>
      <c r="BQ834" s="3812"/>
      <c r="BR834" s="3812"/>
      <c r="BS834" s="3812"/>
      <c r="BT834" s="3812"/>
      <c r="BU834" s="3812"/>
      <c r="BV834" s="3812"/>
      <c r="BW834" s="3812"/>
      <c r="BX834" s="3812"/>
      <c r="BY834" s="3812"/>
      <c r="BZ834" s="3812"/>
      <c r="CA834" s="3812"/>
      <c r="CB834" s="3812"/>
      <c r="CC834" s="3524"/>
      <c r="CD834" s="3524"/>
      <c r="CE834" s="5920"/>
      <c r="CF834" s="5920"/>
      <c r="CG834" s="5920"/>
      <c r="CH834" s="5920"/>
    </row>
    <row r="835" s="4981" customFormat="1" ht="76" spans="1:86">
      <c r="A835" s="3812"/>
      <c r="B835" s="3812"/>
      <c r="C835" s="3812"/>
      <c r="D835" s="5059"/>
      <c r="E835" s="3812"/>
      <c r="F835" s="5059"/>
      <c r="G835" s="5059"/>
      <c r="H835" s="3812"/>
      <c r="I835" s="5205"/>
      <c r="J835" s="5059"/>
      <c r="K835" s="3812"/>
      <c r="L835" s="5059"/>
      <c r="M835" s="3812"/>
      <c r="N835" s="5201"/>
      <c r="O835" s="5201"/>
      <c r="P835" s="5201"/>
      <c r="Q835" s="5201"/>
      <c r="R835" s="5201"/>
      <c r="S835" s="5201"/>
      <c r="T835" s="5201"/>
      <c r="U835" s="5201"/>
      <c r="V835" s="5201"/>
      <c r="W835" s="5201"/>
      <c r="X835" s="5201"/>
      <c r="Y835" s="5201"/>
      <c r="Z835" s="5201"/>
      <c r="AA835" s="5201"/>
      <c r="AB835" s="5201"/>
      <c r="AC835" s="1032" t="s">
        <v>1708</v>
      </c>
      <c r="AD835" s="5241" t="s">
        <v>1709</v>
      </c>
      <c r="AE835" s="1095">
        <v>0.7</v>
      </c>
      <c r="AF835" s="3812">
        <f>46018*AE835</f>
        <v>32212.6</v>
      </c>
      <c r="AG835" s="3812">
        <f t="shared" si="169"/>
        <v>32212.6</v>
      </c>
      <c r="AH835" s="857" t="s">
        <v>122</v>
      </c>
      <c r="AI835" s="3812">
        <v>44897</v>
      </c>
      <c r="AJ835" s="3812">
        <v>32212.6</v>
      </c>
      <c r="AK835" s="3812">
        <v>44897</v>
      </c>
      <c r="AL835" s="3812">
        <v>32212.6</v>
      </c>
      <c r="AM835" s="5059">
        <v>44967</v>
      </c>
      <c r="AN835" s="3812">
        <f t="shared" si="170"/>
        <v>32212.6</v>
      </c>
      <c r="AO835" s="3812">
        <v>45519</v>
      </c>
      <c r="AP835" s="3812">
        <f t="shared" si="171"/>
        <v>0</v>
      </c>
      <c r="AQ835" s="5146"/>
      <c r="AR835" s="3812"/>
      <c r="AS835" s="5059"/>
      <c r="AT835" s="3812"/>
      <c r="AU835" s="5201"/>
      <c r="AV835" s="5201"/>
      <c r="AW835" s="5201"/>
      <c r="AX835" s="5201"/>
      <c r="AY835" s="5201"/>
      <c r="AZ835" s="5201"/>
      <c r="BA835" s="3812"/>
      <c r="BB835" s="3812"/>
      <c r="BC835" s="3812"/>
      <c r="BD835" s="3812">
        <v>16106.3</v>
      </c>
      <c r="BE835" s="3812"/>
      <c r="BF835" s="3812"/>
      <c r="BG835" s="3812"/>
      <c r="BH835" s="5152"/>
      <c r="BI835" s="3812"/>
      <c r="BJ835" s="3812"/>
      <c r="BK835" s="3812"/>
      <c r="BL835" s="3812"/>
      <c r="BM835" s="3812"/>
      <c r="BN835" s="3812">
        <v>16106.3</v>
      </c>
      <c r="BO835" s="3812"/>
      <c r="BP835" s="3812"/>
      <c r="BQ835" s="3812"/>
      <c r="BR835" s="3812">
        <v>16106.3</v>
      </c>
      <c r="BS835" s="3812"/>
      <c r="BT835" s="3812"/>
      <c r="BU835" s="3812"/>
      <c r="BV835" s="3812"/>
      <c r="BW835" s="3812"/>
      <c r="BX835" s="3812"/>
      <c r="BY835" s="3812"/>
      <c r="BZ835" s="3812"/>
      <c r="CA835" s="3812"/>
      <c r="CB835" s="3812">
        <v>16106.3</v>
      </c>
      <c r="CC835" s="3524"/>
      <c r="CD835" s="3524"/>
      <c r="CE835" s="5920"/>
      <c r="CF835" s="5920"/>
      <c r="CG835" s="5920"/>
      <c r="CH835" s="5920"/>
    </row>
    <row r="836" s="4981" customFormat="1" ht="76" spans="1:86">
      <c r="A836" s="3812"/>
      <c r="B836" s="3812"/>
      <c r="C836" s="3812"/>
      <c r="D836" s="5059"/>
      <c r="E836" s="3812"/>
      <c r="F836" s="5059"/>
      <c r="G836" s="5059"/>
      <c r="H836" s="3812"/>
      <c r="I836" s="5206"/>
      <c r="J836" s="5059"/>
      <c r="K836" s="3812"/>
      <c r="L836" s="5059"/>
      <c r="M836" s="3812"/>
      <c r="N836" s="5201"/>
      <c r="O836" s="5201"/>
      <c r="P836" s="5201"/>
      <c r="Q836" s="5201"/>
      <c r="R836" s="5201"/>
      <c r="S836" s="5201"/>
      <c r="T836" s="5201"/>
      <c r="U836" s="5201"/>
      <c r="V836" s="5201"/>
      <c r="W836" s="5201"/>
      <c r="X836" s="5201"/>
      <c r="Y836" s="5201"/>
      <c r="Z836" s="5201"/>
      <c r="AA836" s="5201"/>
      <c r="AB836" s="5201"/>
      <c r="AC836" s="1032"/>
      <c r="AD836" s="5241" t="s">
        <v>1710</v>
      </c>
      <c r="AE836" s="1095">
        <v>0.3</v>
      </c>
      <c r="AF836" s="3812">
        <f>46018*AE836</f>
        <v>13805.4</v>
      </c>
      <c r="AG836" s="3812">
        <f t="shared" si="169"/>
        <v>0</v>
      </c>
      <c r="AH836" s="3812"/>
      <c r="AI836" s="5059"/>
      <c r="AJ836" s="3812"/>
      <c r="AK836" s="5059"/>
      <c r="AL836" s="5123"/>
      <c r="AM836" s="5346"/>
      <c r="AN836" s="3812">
        <f t="shared" ref="AN836:AN865" si="173">SUM(BO836:CB836)</f>
        <v>0</v>
      </c>
      <c r="AO836" s="5346"/>
      <c r="AP836" s="3812">
        <f t="shared" si="171"/>
        <v>0</v>
      </c>
      <c r="AQ836" s="5146"/>
      <c r="AR836" s="3812"/>
      <c r="AS836" s="5059"/>
      <c r="AT836" s="3812"/>
      <c r="AU836" s="5201"/>
      <c r="AV836" s="5201"/>
      <c r="AW836" s="5201"/>
      <c r="AX836" s="5201"/>
      <c r="AY836" s="5201"/>
      <c r="AZ836" s="5201"/>
      <c r="BA836" s="3812"/>
      <c r="BB836" s="3812"/>
      <c r="BC836" s="3812"/>
      <c r="BD836" s="3812"/>
      <c r="BE836" s="3812"/>
      <c r="BF836" s="3812"/>
      <c r="BG836" s="3812"/>
      <c r="BH836" s="5948"/>
      <c r="BI836" s="3812"/>
      <c r="BJ836" s="3812"/>
      <c r="BK836" s="3812"/>
      <c r="BL836" s="3812"/>
      <c r="BM836" s="3812"/>
      <c r="BN836" s="3812"/>
      <c r="BO836" s="3812"/>
      <c r="BP836" s="3812"/>
      <c r="BQ836" s="3812"/>
      <c r="BR836" s="3812"/>
      <c r="BS836" s="3812"/>
      <c r="BT836" s="3812"/>
      <c r="BU836" s="3812"/>
      <c r="BV836" s="5123"/>
      <c r="BW836" s="3812"/>
      <c r="BX836" s="3812"/>
      <c r="BY836" s="3812"/>
      <c r="BZ836" s="3812"/>
      <c r="CA836" s="3812"/>
      <c r="CB836" s="3812"/>
      <c r="CC836" s="3524"/>
      <c r="CD836" s="3524"/>
      <c r="CE836" s="5920"/>
      <c r="CF836" s="5920"/>
      <c r="CG836" s="5920"/>
      <c r="CH836" s="5920"/>
    </row>
    <row r="837" s="4981" customFormat="1" ht="35.85" customHeight="1" spans="1:86">
      <c r="A837" s="3812"/>
      <c r="B837" s="3812" t="s">
        <v>111</v>
      </c>
      <c r="C837" s="3812">
        <v>44515</v>
      </c>
      <c r="D837" s="1032" t="s">
        <v>1679</v>
      </c>
      <c r="E837" s="3812" t="s">
        <v>113</v>
      </c>
      <c r="F837" s="1032" t="s">
        <v>1720</v>
      </c>
      <c r="G837" s="1032" t="s">
        <v>1721</v>
      </c>
      <c r="H837" s="1032" t="s">
        <v>1682</v>
      </c>
      <c r="I837" s="5073" t="s">
        <v>1722</v>
      </c>
      <c r="J837" s="1032" t="s">
        <v>1600</v>
      </c>
      <c r="K837" s="3812">
        <v>1015330.95</v>
      </c>
      <c r="L837" s="1032" t="s">
        <v>1684</v>
      </c>
      <c r="M837" s="3812">
        <f>SUM(N837:AA867)</f>
        <v>1615737</v>
      </c>
      <c r="N837" s="5201">
        <v>0</v>
      </c>
      <c r="O837" s="5201">
        <v>0</v>
      </c>
      <c r="P837" s="5201">
        <v>0</v>
      </c>
      <c r="Q837" s="5201">
        <v>73443</v>
      </c>
      <c r="R837" s="5201">
        <v>0</v>
      </c>
      <c r="S837" s="5201">
        <v>0</v>
      </c>
      <c r="T837" s="5967">
        <v>0</v>
      </c>
      <c r="U837" s="5201">
        <v>0</v>
      </c>
      <c r="V837" s="5201">
        <v>0</v>
      </c>
      <c r="W837" s="5201">
        <v>0</v>
      </c>
      <c r="X837" s="5201">
        <v>0</v>
      </c>
      <c r="Y837" s="5201"/>
      <c r="Z837" s="5201"/>
      <c r="AA837" s="5201">
        <v>1542294</v>
      </c>
      <c r="AB837" s="5930" t="s">
        <v>126</v>
      </c>
      <c r="AC837" s="1032" t="s">
        <v>1685</v>
      </c>
      <c r="AD837" s="5241" t="s">
        <v>1686</v>
      </c>
      <c r="AE837" s="1095">
        <v>0.3093</v>
      </c>
      <c r="AF837" s="3812">
        <v>165660</v>
      </c>
      <c r="AG837" s="3812">
        <f t="shared" si="169"/>
        <v>0</v>
      </c>
      <c r="AH837" s="3812"/>
      <c r="AI837" s="3812"/>
      <c r="AJ837" s="5968"/>
      <c r="AK837" s="3812"/>
      <c r="AL837" s="3812"/>
      <c r="AM837" s="5059"/>
      <c r="AN837" s="3812">
        <f t="shared" si="173"/>
        <v>0</v>
      </c>
      <c r="AO837" s="5059"/>
      <c r="AP837" s="3812">
        <f t="shared" si="171"/>
        <v>0</v>
      </c>
      <c r="AQ837" s="5146"/>
      <c r="AR837" s="3812"/>
      <c r="AS837" s="5059"/>
      <c r="AT837" s="3812"/>
      <c r="AU837" s="5201">
        <f>SUM(AG837:AG867)</f>
        <v>856183.2</v>
      </c>
      <c r="AV837" s="5201">
        <f>SUM(AL837:AL867)</f>
        <v>856183.2</v>
      </c>
      <c r="AW837" s="5201">
        <f>SUBTOTAL(9,AN837:AN867)</f>
        <v>856183.2</v>
      </c>
      <c r="AX837" s="5201">
        <f>M837-AU837</f>
        <v>759553.8</v>
      </c>
      <c r="AY837" s="5201">
        <f>AU837-AV837</f>
        <v>0</v>
      </c>
      <c r="AZ837" s="5201">
        <f>AV837-AW837</f>
        <v>0</v>
      </c>
      <c r="BA837" s="3812"/>
      <c r="BB837" s="3812"/>
      <c r="BC837" s="3812"/>
      <c r="BD837" s="3812"/>
      <c r="BE837" s="3812"/>
      <c r="BF837" s="3812"/>
      <c r="BG837" s="3812"/>
      <c r="BH837" s="5948"/>
      <c r="BI837" s="3812"/>
      <c r="BJ837" s="3812"/>
      <c r="BK837" s="3812"/>
      <c r="BL837" s="3812"/>
      <c r="BM837" s="3812"/>
      <c r="BN837" s="3812"/>
      <c r="BO837" s="3812"/>
      <c r="BP837" s="3812"/>
      <c r="BQ837" s="3812"/>
      <c r="BR837" s="3812"/>
      <c r="BS837" s="3812"/>
      <c r="BT837" s="3812"/>
      <c r="BU837" s="3812"/>
      <c r="BV837" s="4813"/>
      <c r="BW837" s="3812"/>
      <c r="BX837" s="3812"/>
      <c r="BY837" s="3812"/>
      <c r="BZ837" s="3812"/>
      <c r="CA837" s="3812"/>
      <c r="CB837" s="3812"/>
      <c r="CC837" s="3524" t="s">
        <v>1112</v>
      </c>
      <c r="CD837" s="3524" t="s">
        <v>154</v>
      </c>
      <c r="CE837" s="5920"/>
      <c r="CF837" s="5920"/>
      <c r="CG837" s="5920"/>
      <c r="CH837" s="5920"/>
    </row>
    <row r="838" s="4981" customFormat="1" ht="39.15" customHeight="1" spans="1:86">
      <c r="A838" s="3812"/>
      <c r="B838" s="3812"/>
      <c r="C838" s="3812"/>
      <c r="D838" s="1032"/>
      <c r="E838" s="3812"/>
      <c r="F838" s="1032"/>
      <c r="G838" s="1032"/>
      <c r="H838" s="1032"/>
      <c r="I838" s="5205"/>
      <c r="J838" s="1032"/>
      <c r="K838" s="3812"/>
      <c r="L838" s="1032"/>
      <c r="M838" s="3812"/>
      <c r="N838" s="5201"/>
      <c r="O838" s="5201"/>
      <c r="P838" s="5201"/>
      <c r="Q838" s="5201"/>
      <c r="R838" s="5201"/>
      <c r="S838" s="5201"/>
      <c r="T838" s="5201"/>
      <c r="U838" s="5201"/>
      <c r="V838" s="5201"/>
      <c r="W838" s="5201"/>
      <c r="X838" s="5201"/>
      <c r="Y838" s="5201"/>
      <c r="Z838" s="5201"/>
      <c r="AA838" s="5201"/>
      <c r="AB838" s="5930"/>
      <c r="AC838" s="1032"/>
      <c r="AD838" s="5241" t="s">
        <v>1687</v>
      </c>
      <c r="AE838" s="1095">
        <v>0.2268</v>
      </c>
      <c r="AF838" s="3812">
        <v>121484</v>
      </c>
      <c r="AG838" s="3812">
        <f t="shared" si="169"/>
        <v>121484</v>
      </c>
      <c r="AH838" s="857" t="s">
        <v>122</v>
      </c>
      <c r="AI838" s="3812">
        <v>44897</v>
      </c>
      <c r="AJ838" s="3812">
        <v>121484</v>
      </c>
      <c r="AK838" s="3812">
        <v>44897</v>
      </c>
      <c r="AL838" s="3812">
        <v>121484</v>
      </c>
      <c r="AM838" s="5059">
        <v>44967</v>
      </c>
      <c r="AN838" s="3812">
        <f t="shared" si="173"/>
        <v>121484</v>
      </c>
      <c r="AO838" s="5059">
        <v>45015</v>
      </c>
      <c r="AP838" s="3812">
        <f t="shared" si="171"/>
        <v>0</v>
      </c>
      <c r="AQ838" s="5256" t="s">
        <v>1723</v>
      </c>
      <c r="AR838" s="3812"/>
      <c r="AS838" s="5059"/>
      <c r="AT838" s="3812"/>
      <c r="AU838" s="5201"/>
      <c r="AV838" s="5201"/>
      <c r="AW838" s="5201"/>
      <c r="AX838" s="5201"/>
      <c r="AY838" s="5201"/>
      <c r="AZ838" s="5201"/>
      <c r="BA838" s="3812"/>
      <c r="BB838" s="3812"/>
      <c r="BC838" s="3812"/>
      <c r="BD838" s="3812"/>
      <c r="BE838" s="3812"/>
      <c r="BF838" s="3812"/>
      <c r="BG838" s="3812"/>
      <c r="BH838" s="5152"/>
      <c r="BI838" s="3812"/>
      <c r="BJ838" s="3812"/>
      <c r="BK838" s="3812"/>
      <c r="BL838" s="3812"/>
      <c r="BM838" s="3812"/>
      <c r="BN838" s="3812">
        <v>121484</v>
      </c>
      <c r="BO838" s="3812"/>
      <c r="BP838" s="3812"/>
      <c r="BQ838" s="3812"/>
      <c r="BR838" s="3812"/>
      <c r="BS838" s="3812"/>
      <c r="BT838" s="3812"/>
      <c r="BU838" s="3812"/>
      <c r="BV838" s="4813"/>
      <c r="BW838" s="3812"/>
      <c r="BX838" s="3812"/>
      <c r="BY838" s="3812"/>
      <c r="BZ838" s="3812"/>
      <c r="CA838" s="3812"/>
      <c r="CB838" s="3812">
        <v>121484</v>
      </c>
      <c r="CC838" s="3524"/>
      <c r="CD838" s="3524"/>
      <c r="CE838" s="5920"/>
      <c r="CF838" s="5920"/>
      <c r="CG838" s="5920"/>
      <c r="CH838" s="5920"/>
    </row>
    <row r="839" s="4981" customFormat="1" ht="30" customHeight="1" spans="1:86">
      <c r="A839" s="3812"/>
      <c r="B839" s="3812"/>
      <c r="C839" s="3812"/>
      <c r="D839" s="1032"/>
      <c r="E839" s="3812"/>
      <c r="F839" s="1032"/>
      <c r="G839" s="1032"/>
      <c r="H839" s="1032"/>
      <c r="I839" s="5205"/>
      <c r="J839" s="1032"/>
      <c r="K839" s="3812"/>
      <c r="L839" s="1032"/>
      <c r="M839" s="3812"/>
      <c r="N839" s="5201"/>
      <c r="O839" s="5201"/>
      <c r="P839" s="5201"/>
      <c r="Q839" s="5201"/>
      <c r="R839" s="5201"/>
      <c r="S839" s="5201"/>
      <c r="T839" s="5201"/>
      <c r="U839" s="5201"/>
      <c r="V839" s="5201"/>
      <c r="W839" s="5201"/>
      <c r="X839" s="5201"/>
      <c r="Y839" s="5201"/>
      <c r="Z839" s="5201"/>
      <c r="AA839" s="5201"/>
      <c r="AB839" s="5930"/>
      <c r="AC839" s="1032" t="s">
        <v>1689</v>
      </c>
      <c r="AD839" s="5241" t="s">
        <v>1690</v>
      </c>
      <c r="AE839" s="1095">
        <v>0.0722</v>
      </c>
      <c r="AF839" s="3812">
        <v>38654</v>
      </c>
      <c r="AG839" s="3812">
        <f t="shared" si="169"/>
        <v>0</v>
      </c>
      <c r="AH839" s="3812"/>
      <c r="AI839" s="3812"/>
      <c r="AJ839" s="5968"/>
      <c r="AK839" s="3812"/>
      <c r="AL839" s="3812"/>
      <c r="AM839" s="5059"/>
      <c r="AN839" s="3812">
        <f t="shared" si="173"/>
        <v>0</v>
      </c>
      <c r="AO839" s="5059"/>
      <c r="AP839" s="3812">
        <f t="shared" si="171"/>
        <v>0</v>
      </c>
      <c r="AQ839" s="5146"/>
      <c r="AR839" s="3812"/>
      <c r="AS839" s="5059"/>
      <c r="AT839" s="3812"/>
      <c r="AU839" s="5201"/>
      <c r="AV839" s="5201"/>
      <c r="AW839" s="5201"/>
      <c r="AX839" s="5201"/>
      <c r="AY839" s="5201"/>
      <c r="AZ839" s="5201"/>
      <c r="BA839" s="3812"/>
      <c r="BB839" s="3812"/>
      <c r="BC839" s="3812"/>
      <c r="BD839" s="3812"/>
      <c r="BE839" s="3812"/>
      <c r="BF839" s="3812"/>
      <c r="BG839" s="3812"/>
      <c r="BH839" s="5948"/>
      <c r="BI839" s="3812"/>
      <c r="BJ839" s="3812"/>
      <c r="BK839" s="3812"/>
      <c r="BL839" s="3812"/>
      <c r="BM839" s="3812"/>
      <c r="BN839" s="3812"/>
      <c r="BO839" s="3812"/>
      <c r="BP839" s="3812"/>
      <c r="BQ839" s="3812"/>
      <c r="BR839" s="3812"/>
      <c r="BS839" s="3812"/>
      <c r="BT839" s="3812"/>
      <c r="BU839" s="3812"/>
      <c r="BV839" s="4813"/>
      <c r="BW839" s="3812"/>
      <c r="BX839" s="3812"/>
      <c r="BY839" s="3812"/>
      <c r="BZ839" s="3812"/>
      <c r="CA839" s="3812"/>
      <c r="CB839" s="3812"/>
      <c r="CC839" s="3524"/>
      <c r="CD839" s="3524"/>
      <c r="CE839" s="5920"/>
      <c r="CF839" s="5920"/>
      <c r="CG839" s="5920"/>
      <c r="CH839" s="5920"/>
    </row>
    <row r="840" s="4981" customFormat="1" ht="30" customHeight="1" spans="1:86">
      <c r="A840" s="3812"/>
      <c r="B840" s="3812"/>
      <c r="C840" s="3812"/>
      <c r="D840" s="1032"/>
      <c r="E840" s="3812"/>
      <c r="F840" s="1032"/>
      <c r="G840" s="1032"/>
      <c r="H840" s="1032"/>
      <c r="I840" s="5205"/>
      <c r="J840" s="1032"/>
      <c r="K840" s="3812"/>
      <c r="L840" s="1032"/>
      <c r="M840" s="3812"/>
      <c r="N840" s="5201"/>
      <c r="O840" s="5201"/>
      <c r="P840" s="5201"/>
      <c r="Q840" s="5201"/>
      <c r="R840" s="5201"/>
      <c r="S840" s="5201"/>
      <c r="T840" s="5201"/>
      <c r="U840" s="5201"/>
      <c r="V840" s="5201"/>
      <c r="W840" s="5201"/>
      <c r="X840" s="5201"/>
      <c r="Y840" s="5201"/>
      <c r="Z840" s="5201"/>
      <c r="AA840" s="5201"/>
      <c r="AB840" s="5930"/>
      <c r="AC840" s="1032"/>
      <c r="AD840" s="5241" t="s">
        <v>1691</v>
      </c>
      <c r="AE840" s="1095">
        <v>0.0825</v>
      </c>
      <c r="AF840" s="3812">
        <v>44176</v>
      </c>
      <c r="AG840" s="3812">
        <f t="shared" si="169"/>
        <v>0</v>
      </c>
      <c r="AH840" s="3812"/>
      <c r="AI840" s="3812"/>
      <c r="AJ840" s="5968"/>
      <c r="AK840" s="3812"/>
      <c r="AL840" s="3812"/>
      <c r="AM840" s="5059"/>
      <c r="AN840" s="3812">
        <f t="shared" si="173"/>
        <v>0</v>
      </c>
      <c r="AO840" s="5059"/>
      <c r="AP840" s="3812">
        <f t="shared" si="171"/>
        <v>0</v>
      </c>
      <c r="AQ840" s="5146"/>
      <c r="AR840" s="3812"/>
      <c r="AS840" s="5059"/>
      <c r="AT840" s="3812"/>
      <c r="AU840" s="5201"/>
      <c r="AV840" s="5201"/>
      <c r="AW840" s="5201"/>
      <c r="AX840" s="5201"/>
      <c r="AY840" s="5201"/>
      <c r="AZ840" s="5201"/>
      <c r="BA840" s="3812"/>
      <c r="BB840" s="3812"/>
      <c r="BC840" s="3812"/>
      <c r="BD840" s="3812"/>
      <c r="BE840" s="3812"/>
      <c r="BF840" s="3812"/>
      <c r="BG840" s="3812"/>
      <c r="BH840" s="5948"/>
      <c r="BI840" s="3812"/>
      <c r="BJ840" s="3812"/>
      <c r="BK840" s="3812"/>
      <c r="BL840" s="3812"/>
      <c r="BM840" s="3812"/>
      <c r="BN840" s="3812"/>
      <c r="BO840" s="3812"/>
      <c r="BP840" s="3812"/>
      <c r="BQ840" s="3812"/>
      <c r="BR840" s="3812"/>
      <c r="BS840" s="3812"/>
      <c r="BT840" s="3812"/>
      <c r="BU840" s="3812"/>
      <c r="BV840" s="4813"/>
      <c r="BW840" s="3812"/>
      <c r="BX840" s="3812"/>
      <c r="BY840" s="3812"/>
      <c r="BZ840" s="3812"/>
      <c r="CA840" s="3812"/>
      <c r="CB840" s="3812"/>
      <c r="CC840" s="3524"/>
      <c r="CD840" s="3524"/>
      <c r="CE840" s="5920"/>
      <c r="CF840" s="5920"/>
      <c r="CG840" s="5920"/>
      <c r="CH840" s="5920"/>
    </row>
    <row r="841" s="4981" customFormat="1" ht="30" customHeight="1" spans="1:86">
      <c r="A841" s="3812"/>
      <c r="B841" s="3812"/>
      <c r="C841" s="3812"/>
      <c r="D841" s="1032"/>
      <c r="E841" s="3812"/>
      <c r="F841" s="1032"/>
      <c r="G841" s="1032"/>
      <c r="H841" s="1032"/>
      <c r="I841" s="5205"/>
      <c r="J841" s="1032"/>
      <c r="K841" s="3812"/>
      <c r="L841" s="1032"/>
      <c r="M841" s="3812"/>
      <c r="N841" s="5201"/>
      <c r="O841" s="5201"/>
      <c r="P841" s="5201"/>
      <c r="Q841" s="5201"/>
      <c r="R841" s="5201"/>
      <c r="S841" s="5201"/>
      <c r="T841" s="5201"/>
      <c r="U841" s="5201"/>
      <c r="V841" s="5201"/>
      <c r="W841" s="5201"/>
      <c r="X841" s="5201"/>
      <c r="Y841" s="5201"/>
      <c r="Z841" s="5201"/>
      <c r="AA841" s="5201"/>
      <c r="AB841" s="5930"/>
      <c r="AC841" s="1032"/>
      <c r="AD841" s="5241" t="s">
        <v>1692</v>
      </c>
      <c r="AE841" s="1095">
        <v>0.0619</v>
      </c>
      <c r="AF841" s="3812">
        <v>33132</v>
      </c>
      <c r="AG841" s="3812">
        <f t="shared" si="169"/>
        <v>0</v>
      </c>
      <c r="AH841" s="3812"/>
      <c r="AI841" s="3812"/>
      <c r="AJ841" s="5968"/>
      <c r="AK841" s="3812"/>
      <c r="AL841" s="3812"/>
      <c r="AM841" s="5059"/>
      <c r="AN841" s="3812">
        <f t="shared" si="173"/>
        <v>0</v>
      </c>
      <c r="AO841" s="5059"/>
      <c r="AP841" s="3812">
        <f t="shared" si="171"/>
        <v>0</v>
      </c>
      <c r="AQ841" s="5146"/>
      <c r="AR841" s="3812"/>
      <c r="AS841" s="5059"/>
      <c r="AT841" s="3812"/>
      <c r="AU841" s="5201"/>
      <c r="AV841" s="5201"/>
      <c r="AW841" s="5201"/>
      <c r="AX841" s="5201"/>
      <c r="AY841" s="5201"/>
      <c r="AZ841" s="5201"/>
      <c r="BA841" s="3812"/>
      <c r="BB841" s="3812"/>
      <c r="BC841" s="3812"/>
      <c r="BD841" s="3812"/>
      <c r="BE841" s="3812"/>
      <c r="BF841" s="3812"/>
      <c r="BG841" s="3812"/>
      <c r="BH841" s="5948"/>
      <c r="BI841" s="3812"/>
      <c r="BJ841" s="3812"/>
      <c r="BK841" s="3812"/>
      <c r="BL841" s="3812"/>
      <c r="BM841" s="3812"/>
      <c r="BN841" s="3812"/>
      <c r="BO841" s="3812"/>
      <c r="BP841" s="3812"/>
      <c r="BQ841" s="3812"/>
      <c r="BR841" s="3812"/>
      <c r="BS841" s="3812"/>
      <c r="BT841" s="3812"/>
      <c r="BU841" s="3812"/>
      <c r="BV841" s="4813"/>
      <c r="BW841" s="3812"/>
      <c r="BX841" s="3812"/>
      <c r="BY841" s="3812"/>
      <c r="BZ841" s="3812"/>
      <c r="CA841" s="3812"/>
      <c r="CB841" s="3812"/>
      <c r="CC841" s="3524"/>
      <c r="CD841" s="3524"/>
      <c r="CE841" s="5920"/>
      <c r="CF841" s="5920"/>
      <c r="CG841" s="5920"/>
      <c r="CH841" s="5920"/>
    </row>
    <row r="842" s="4981" customFormat="1" ht="30" customHeight="1" spans="1:86">
      <c r="A842" s="3812"/>
      <c r="B842" s="3812"/>
      <c r="C842" s="3812"/>
      <c r="D842" s="1032"/>
      <c r="E842" s="3812"/>
      <c r="F842" s="1032"/>
      <c r="G842" s="1032"/>
      <c r="H842" s="1032"/>
      <c r="I842" s="5205"/>
      <c r="J842" s="1032"/>
      <c r="K842" s="3812"/>
      <c r="L842" s="1032"/>
      <c r="M842" s="3812"/>
      <c r="N842" s="5201"/>
      <c r="O842" s="5201"/>
      <c r="P842" s="5201"/>
      <c r="Q842" s="5201"/>
      <c r="R842" s="5201"/>
      <c r="S842" s="5201"/>
      <c r="T842" s="5201"/>
      <c r="U842" s="5201"/>
      <c r="V842" s="5201"/>
      <c r="W842" s="5201"/>
      <c r="X842" s="5201"/>
      <c r="Y842" s="5201"/>
      <c r="Z842" s="5201"/>
      <c r="AA842" s="5201"/>
      <c r="AB842" s="5930"/>
      <c r="AC842" s="1032"/>
      <c r="AD842" s="5241" t="s">
        <v>1693</v>
      </c>
      <c r="AE842" s="1095">
        <v>0.0619</v>
      </c>
      <c r="AF842" s="3812">
        <v>33132</v>
      </c>
      <c r="AG842" s="3812">
        <f t="shared" si="169"/>
        <v>0</v>
      </c>
      <c r="AH842" s="3812"/>
      <c r="AI842" s="3812"/>
      <c r="AJ842" s="5968"/>
      <c r="AK842" s="3812"/>
      <c r="AL842" s="3812"/>
      <c r="AM842" s="5059"/>
      <c r="AN842" s="3812">
        <f t="shared" si="173"/>
        <v>0</v>
      </c>
      <c r="AO842" s="5059"/>
      <c r="AP842" s="3812">
        <f t="shared" si="171"/>
        <v>0</v>
      </c>
      <c r="AQ842" s="5146"/>
      <c r="AR842" s="3812"/>
      <c r="AS842" s="5059"/>
      <c r="AT842" s="3812"/>
      <c r="AU842" s="5201"/>
      <c r="AV842" s="5201"/>
      <c r="AW842" s="5201"/>
      <c r="AX842" s="5201"/>
      <c r="AY842" s="5201"/>
      <c r="AZ842" s="5201"/>
      <c r="BA842" s="3812"/>
      <c r="BB842" s="3812"/>
      <c r="BC842" s="3812"/>
      <c r="BD842" s="3812"/>
      <c r="BE842" s="3812"/>
      <c r="BF842" s="3812"/>
      <c r="BG842" s="3812"/>
      <c r="BH842" s="5948"/>
      <c r="BI842" s="3812"/>
      <c r="BJ842" s="3812"/>
      <c r="BK842" s="3812"/>
      <c r="BL842" s="3812"/>
      <c r="BM842" s="3812"/>
      <c r="BN842" s="3812"/>
      <c r="BO842" s="3812"/>
      <c r="BP842" s="3812"/>
      <c r="BQ842" s="3812"/>
      <c r="BR842" s="3812"/>
      <c r="BS842" s="3812"/>
      <c r="BT842" s="3812"/>
      <c r="BU842" s="3812"/>
      <c r="BV842" s="4813"/>
      <c r="BW842" s="3812"/>
      <c r="BX842" s="3812"/>
      <c r="BY842" s="3812"/>
      <c r="BZ842" s="3812"/>
      <c r="CA842" s="3812"/>
      <c r="CB842" s="3812"/>
      <c r="CC842" s="3524"/>
      <c r="CD842" s="3524"/>
      <c r="CE842" s="5920"/>
      <c r="CF842" s="5920"/>
      <c r="CG842" s="5920"/>
      <c r="CH842" s="5920"/>
    </row>
    <row r="843" s="4981" customFormat="1" ht="61" spans="1:86">
      <c r="A843" s="3812"/>
      <c r="B843" s="3812"/>
      <c r="C843" s="3812"/>
      <c r="D843" s="5059"/>
      <c r="E843" s="3812"/>
      <c r="F843" s="5059"/>
      <c r="G843" s="5059"/>
      <c r="H843" s="3812"/>
      <c r="I843" s="5205"/>
      <c r="J843" s="5059"/>
      <c r="K843" s="3812"/>
      <c r="L843" s="5059"/>
      <c r="M843" s="3812"/>
      <c r="N843" s="5201"/>
      <c r="O843" s="5201"/>
      <c r="P843" s="5201"/>
      <c r="Q843" s="5201"/>
      <c r="R843" s="5201"/>
      <c r="S843" s="5201"/>
      <c r="T843" s="5201"/>
      <c r="U843" s="5201"/>
      <c r="V843" s="5201"/>
      <c r="W843" s="5201"/>
      <c r="X843" s="5201"/>
      <c r="Y843" s="5201"/>
      <c r="Z843" s="5201"/>
      <c r="AA843" s="5201"/>
      <c r="AB843" s="5201"/>
      <c r="AC843" s="1032"/>
      <c r="AD843" s="1032" t="s">
        <v>1694</v>
      </c>
      <c r="AE843" s="1095">
        <v>0.0619</v>
      </c>
      <c r="AF843" s="3812">
        <v>33132</v>
      </c>
      <c r="AG843" s="3812">
        <f t="shared" si="169"/>
        <v>0</v>
      </c>
      <c r="AH843" s="3812"/>
      <c r="AI843" s="5059"/>
      <c r="AJ843" s="3812"/>
      <c r="AK843" s="3812"/>
      <c r="AL843" s="3812"/>
      <c r="AM843" s="3812"/>
      <c r="AN843" s="3812">
        <f t="shared" si="173"/>
        <v>0</v>
      </c>
      <c r="AO843" s="5059"/>
      <c r="AP843" s="3812">
        <f t="shared" ref="AP843:AP845" si="174">AG843-AN843</f>
        <v>0</v>
      </c>
      <c r="AQ843" s="5146"/>
      <c r="AR843" s="3812"/>
      <c r="AS843" s="5059"/>
      <c r="AT843" s="3812"/>
      <c r="AU843" s="5201"/>
      <c r="AV843" s="5201"/>
      <c r="AW843" s="5201"/>
      <c r="AX843" s="5201"/>
      <c r="AY843" s="5201"/>
      <c r="AZ843" s="5201"/>
      <c r="BA843" s="3812"/>
      <c r="BB843" s="3812"/>
      <c r="BC843" s="3812"/>
      <c r="BD843" s="3812"/>
      <c r="BE843" s="3812"/>
      <c r="BF843" s="3812"/>
      <c r="BG843" s="3812"/>
      <c r="BH843" s="5948"/>
      <c r="BI843" s="3812"/>
      <c r="BJ843" s="3812"/>
      <c r="BK843" s="3812"/>
      <c r="BL843" s="3812"/>
      <c r="BM843" s="3812"/>
      <c r="BN843" s="3812"/>
      <c r="BO843" s="3812"/>
      <c r="BP843" s="3812"/>
      <c r="BQ843" s="3812"/>
      <c r="BR843" s="3812"/>
      <c r="BS843" s="3812"/>
      <c r="BT843" s="3812"/>
      <c r="BU843" s="3812"/>
      <c r="BV843" s="4813"/>
      <c r="BW843" s="3812"/>
      <c r="BX843" s="3812"/>
      <c r="BY843" s="3812"/>
      <c r="BZ843" s="3812"/>
      <c r="CA843" s="3812"/>
      <c r="CB843" s="3812"/>
      <c r="CC843" s="3524"/>
      <c r="CD843" s="3524"/>
      <c r="CE843" s="5920"/>
      <c r="CF843" s="5920"/>
      <c r="CG843" s="5920"/>
      <c r="CH843" s="5920"/>
    </row>
    <row r="844" s="4981" customFormat="1" ht="29.15" customHeight="1" spans="1:86">
      <c r="A844" s="3812"/>
      <c r="B844" s="3812"/>
      <c r="C844" s="3812"/>
      <c r="D844" s="5059"/>
      <c r="E844" s="3812"/>
      <c r="F844" s="5059"/>
      <c r="G844" s="5059"/>
      <c r="H844" s="3812"/>
      <c r="I844" s="5205"/>
      <c r="J844" s="5059"/>
      <c r="K844" s="3812"/>
      <c r="L844" s="5059"/>
      <c r="M844" s="3812"/>
      <c r="N844" s="5201"/>
      <c r="O844" s="5201"/>
      <c r="P844" s="5201"/>
      <c r="Q844" s="5201"/>
      <c r="R844" s="5201"/>
      <c r="S844" s="5201"/>
      <c r="T844" s="5201"/>
      <c r="U844" s="5201"/>
      <c r="V844" s="5201"/>
      <c r="W844" s="5201"/>
      <c r="X844" s="5201"/>
      <c r="Y844" s="5201"/>
      <c r="Z844" s="5201"/>
      <c r="AA844" s="5201"/>
      <c r="AB844" s="5201"/>
      <c r="AC844" s="1032" t="s">
        <v>1695</v>
      </c>
      <c r="AD844" s="5241" t="s">
        <v>1696</v>
      </c>
      <c r="AE844" s="1095">
        <v>0.0619</v>
      </c>
      <c r="AF844" s="3812">
        <v>33132</v>
      </c>
      <c r="AG844" s="3812">
        <f t="shared" si="169"/>
        <v>0</v>
      </c>
      <c r="AH844" s="3812"/>
      <c r="AI844" s="3812"/>
      <c r="AJ844" s="3812"/>
      <c r="AK844" s="3812"/>
      <c r="AL844" s="3812"/>
      <c r="AM844" s="3812"/>
      <c r="AN844" s="3812">
        <f t="shared" si="173"/>
        <v>0</v>
      </c>
      <c r="AO844" s="3812"/>
      <c r="AP844" s="3812">
        <f t="shared" si="174"/>
        <v>0</v>
      </c>
      <c r="AQ844" s="5146"/>
      <c r="AR844" s="3812"/>
      <c r="AS844" s="5059"/>
      <c r="AT844" s="3812"/>
      <c r="AU844" s="5201"/>
      <c r="AV844" s="5201"/>
      <c r="AW844" s="5201"/>
      <c r="AX844" s="5201"/>
      <c r="AY844" s="5201"/>
      <c r="AZ844" s="5201"/>
      <c r="BA844" s="3812"/>
      <c r="BB844" s="3812"/>
      <c r="BC844" s="3812"/>
      <c r="BD844" s="3812"/>
      <c r="BE844" s="3812"/>
      <c r="BF844" s="3812"/>
      <c r="BG844" s="3812"/>
      <c r="BH844" s="5948"/>
      <c r="BI844" s="3812"/>
      <c r="BJ844" s="3812"/>
      <c r="BK844" s="3812"/>
      <c r="BL844" s="3812"/>
      <c r="BM844" s="3812"/>
      <c r="BN844" s="3812"/>
      <c r="BO844" s="3812"/>
      <c r="BP844" s="3812"/>
      <c r="BQ844" s="3812"/>
      <c r="BR844" s="3812"/>
      <c r="BS844" s="3812"/>
      <c r="BT844" s="3812"/>
      <c r="BU844" s="3812"/>
      <c r="BV844" s="3812"/>
      <c r="BW844" s="3812"/>
      <c r="BX844" s="3812"/>
      <c r="BY844" s="3812"/>
      <c r="BZ844" s="3812"/>
      <c r="CA844" s="3812"/>
      <c r="CB844" s="3812"/>
      <c r="CC844" s="3524"/>
      <c r="CD844" s="3524"/>
      <c r="CE844" s="5920"/>
      <c r="CF844" s="5920"/>
      <c r="CG844" s="5920"/>
      <c r="CH844" s="5920"/>
    </row>
    <row r="845" s="4981" customFormat="1" ht="29.15" customHeight="1" spans="1:86">
      <c r="A845" s="3812"/>
      <c r="B845" s="3812"/>
      <c r="C845" s="3812"/>
      <c r="D845" s="5059"/>
      <c r="E845" s="3812"/>
      <c r="F845" s="5059"/>
      <c r="G845" s="5059"/>
      <c r="H845" s="3812"/>
      <c r="I845" s="5205"/>
      <c r="J845" s="5059"/>
      <c r="K845" s="3812"/>
      <c r="L845" s="5059"/>
      <c r="M845" s="3812"/>
      <c r="N845" s="5201"/>
      <c r="O845" s="5201"/>
      <c r="P845" s="5201"/>
      <c r="Q845" s="5201"/>
      <c r="R845" s="5201"/>
      <c r="S845" s="5201"/>
      <c r="T845" s="5201"/>
      <c r="U845" s="5201"/>
      <c r="V845" s="5201"/>
      <c r="W845" s="5201"/>
      <c r="X845" s="5201"/>
      <c r="Y845" s="5201"/>
      <c r="Z845" s="5201"/>
      <c r="AA845" s="5201"/>
      <c r="AB845" s="5201"/>
      <c r="AC845" s="1032"/>
      <c r="AD845" s="5241" t="s">
        <v>1697</v>
      </c>
      <c r="AE845" s="1095">
        <v>0.0619</v>
      </c>
      <c r="AF845" s="3812">
        <v>33132</v>
      </c>
      <c r="AG845" s="3812">
        <f t="shared" si="169"/>
        <v>0</v>
      </c>
      <c r="AH845" s="3812"/>
      <c r="AI845" s="3812"/>
      <c r="AJ845" s="3812"/>
      <c r="AK845" s="3812"/>
      <c r="AL845" s="3812"/>
      <c r="AM845" s="3812"/>
      <c r="AN845" s="3812">
        <f t="shared" si="173"/>
        <v>0</v>
      </c>
      <c r="AO845" s="3812"/>
      <c r="AP845" s="3812">
        <f t="shared" si="174"/>
        <v>0</v>
      </c>
      <c r="AQ845" s="5146"/>
      <c r="AR845" s="3812"/>
      <c r="AS845" s="5059"/>
      <c r="AT845" s="3812"/>
      <c r="AU845" s="5201"/>
      <c r="AV845" s="5201"/>
      <c r="AW845" s="5201"/>
      <c r="AX845" s="5201"/>
      <c r="AY845" s="5201"/>
      <c r="AZ845" s="5201"/>
      <c r="BA845" s="3812"/>
      <c r="BB845" s="3812"/>
      <c r="BC845" s="3812"/>
      <c r="BD845" s="3812"/>
      <c r="BE845" s="3812"/>
      <c r="BF845" s="3812"/>
      <c r="BG845" s="3812"/>
      <c r="BH845" s="5948"/>
      <c r="BI845" s="3812"/>
      <c r="BJ845" s="3812"/>
      <c r="BK845" s="3812"/>
      <c r="BL845" s="3812"/>
      <c r="BM845" s="3812"/>
      <c r="BN845" s="3812"/>
      <c r="BO845" s="3812"/>
      <c r="BP845" s="3812"/>
      <c r="BQ845" s="3812"/>
      <c r="BR845" s="3812"/>
      <c r="BS845" s="3812"/>
      <c r="BT845" s="3812"/>
      <c r="BU845" s="3812"/>
      <c r="BV845" s="3812"/>
      <c r="BW845" s="3812"/>
      <c r="BX845" s="3812"/>
      <c r="BY845" s="3812"/>
      <c r="BZ845" s="3812"/>
      <c r="CA845" s="3812"/>
      <c r="CB845" s="3812"/>
      <c r="CC845" s="3524"/>
      <c r="CD845" s="3524"/>
      <c r="CE845" s="5920"/>
      <c r="CF845" s="5920"/>
      <c r="CG845" s="5920"/>
      <c r="CH845" s="5920"/>
    </row>
    <row r="846" s="4981" customFormat="1" ht="31" spans="1:86">
      <c r="A846" s="3812"/>
      <c r="B846" s="3812"/>
      <c r="C846" s="3812"/>
      <c r="D846" s="5059"/>
      <c r="E846" s="3812"/>
      <c r="F846" s="5059"/>
      <c r="G846" s="5059"/>
      <c r="H846" s="3812"/>
      <c r="I846" s="5205"/>
      <c r="J846" s="5059"/>
      <c r="K846" s="3812"/>
      <c r="L846" s="5059"/>
      <c r="M846" s="3812"/>
      <c r="N846" s="5201"/>
      <c r="O846" s="5201"/>
      <c r="P846" s="5201"/>
      <c r="Q846" s="5201"/>
      <c r="R846" s="5201"/>
      <c r="S846" s="5201"/>
      <c r="T846" s="5201"/>
      <c r="U846" s="5201"/>
      <c r="V846" s="5201"/>
      <c r="W846" s="5201"/>
      <c r="X846" s="5201"/>
      <c r="Y846" s="5201"/>
      <c r="Z846" s="5201"/>
      <c r="AA846" s="5201"/>
      <c r="AB846" s="5201"/>
      <c r="AC846" s="1032" t="s">
        <v>1724</v>
      </c>
      <c r="AD846" s="5241" t="s">
        <v>1725</v>
      </c>
      <c r="AE846" s="1095">
        <v>0.5554</v>
      </c>
      <c r="AF846" s="3812">
        <v>272949</v>
      </c>
      <c r="AG846" s="3812">
        <f t="shared" si="169"/>
        <v>272949</v>
      </c>
      <c r="AH846" s="857" t="s">
        <v>122</v>
      </c>
      <c r="AI846" s="3812">
        <v>44557</v>
      </c>
      <c r="AJ846" s="3812">
        <v>272949</v>
      </c>
      <c r="AK846" s="3812">
        <v>44551</v>
      </c>
      <c r="AL846" s="3812">
        <v>272949</v>
      </c>
      <c r="AM846" s="5059">
        <v>44967</v>
      </c>
      <c r="AN846" s="3812">
        <f t="shared" si="173"/>
        <v>38053.08</v>
      </c>
      <c r="AO846" s="3812">
        <v>45044</v>
      </c>
      <c r="AP846" s="3812">
        <f>AG846-(AN846+AN849)</f>
        <v>210462.92</v>
      </c>
      <c r="AQ846" s="5256" t="s">
        <v>1714</v>
      </c>
      <c r="AR846" s="3812"/>
      <c r="AS846" s="1032" t="s">
        <v>1716</v>
      </c>
      <c r="AT846" s="3812"/>
      <c r="AU846" s="5201"/>
      <c r="AV846" s="5201"/>
      <c r="AW846" s="5201"/>
      <c r="AX846" s="5201"/>
      <c r="AY846" s="5201"/>
      <c r="AZ846" s="5201"/>
      <c r="BA846" s="3812"/>
      <c r="BB846" s="3812"/>
      <c r="BC846" s="3812"/>
      <c r="BD846" s="3812"/>
      <c r="BE846" s="3812"/>
      <c r="BF846" s="3812"/>
      <c r="BG846" s="3812"/>
      <c r="BH846" s="5152"/>
      <c r="BI846" s="3812"/>
      <c r="BJ846" s="3812"/>
      <c r="BK846" s="3812"/>
      <c r="BL846" s="3812"/>
      <c r="BM846" s="4840"/>
      <c r="BN846" s="4840">
        <v>272949</v>
      </c>
      <c r="BO846" s="3812"/>
      <c r="BP846" s="3812"/>
      <c r="BQ846" s="3812"/>
      <c r="BR846" s="3812"/>
      <c r="BS846" s="3812"/>
      <c r="BT846" s="3812"/>
      <c r="BU846" s="3812"/>
      <c r="BV846" s="3812"/>
      <c r="BW846" s="3812"/>
      <c r="BX846" s="3812"/>
      <c r="BY846" s="3812"/>
      <c r="BZ846" s="3812"/>
      <c r="CA846" s="3812"/>
      <c r="CB846" s="3812">
        <v>38053.08</v>
      </c>
      <c r="CC846" s="3524"/>
      <c r="CD846" s="3524"/>
      <c r="CE846" s="5920"/>
      <c r="CF846" s="5920"/>
      <c r="CG846" s="5920"/>
      <c r="CH846" s="5920"/>
    </row>
    <row r="847" s="4981" customFormat="1" spans="1:86">
      <c r="A847" s="3812"/>
      <c r="B847" s="3812"/>
      <c r="C847" s="3812"/>
      <c r="D847" s="5059"/>
      <c r="E847" s="3812"/>
      <c r="F847" s="5059"/>
      <c r="G847" s="5059"/>
      <c r="H847" s="3812"/>
      <c r="I847" s="5205"/>
      <c r="J847" s="5059"/>
      <c r="K847" s="3812"/>
      <c r="L847" s="5059"/>
      <c r="M847" s="3812"/>
      <c r="N847" s="5201"/>
      <c r="O847" s="5201"/>
      <c r="P847" s="5201"/>
      <c r="Q847" s="5201"/>
      <c r="R847" s="5201"/>
      <c r="S847" s="5201"/>
      <c r="T847" s="5201"/>
      <c r="U847" s="5201"/>
      <c r="V847" s="5201"/>
      <c r="W847" s="5201"/>
      <c r="X847" s="5201"/>
      <c r="Y847" s="5201"/>
      <c r="Z847" s="5201"/>
      <c r="AA847" s="5201"/>
      <c r="AB847" s="5201"/>
      <c r="AC847" s="1032"/>
      <c r="AD847" s="5241"/>
      <c r="AE847" s="1095"/>
      <c r="AF847" s="3812"/>
      <c r="AG847" s="3812"/>
      <c r="AH847" s="857"/>
      <c r="AI847" s="3812"/>
      <c r="AJ847" s="3812"/>
      <c r="AK847" s="3812"/>
      <c r="AL847" s="3812"/>
      <c r="AM847" s="5059"/>
      <c r="AN847" s="3812">
        <f t="shared" si="173"/>
        <v>150000</v>
      </c>
      <c r="AO847" s="3812">
        <v>45127</v>
      </c>
      <c r="AP847" s="3812"/>
      <c r="AQ847" s="5256" t="s">
        <v>1726</v>
      </c>
      <c r="AR847" s="3812"/>
      <c r="AS847" s="5073" t="s">
        <v>1727</v>
      </c>
      <c r="AT847" s="3812"/>
      <c r="AU847" s="5201"/>
      <c r="AV847" s="5201"/>
      <c r="AW847" s="5201"/>
      <c r="AX847" s="5201"/>
      <c r="AY847" s="5201"/>
      <c r="AZ847" s="5201"/>
      <c r="BA847" s="3812"/>
      <c r="BB847" s="3812"/>
      <c r="BC847" s="3812"/>
      <c r="BD847" s="3812"/>
      <c r="BE847" s="3812"/>
      <c r="BF847" s="3812"/>
      <c r="BG847" s="3812"/>
      <c r="BH847" s="5152"/>
      <c r="BI847" s="3812"/>
      <c r="BJ847" s="3812"/>
      <c r="BK847" s="3812"/>
      <c r="BL847" s="3812"/>
      <c r="BM847" s="4841"/>
      <c r="BN847" s="4841"/>
      <c r="BO847" s="3812"/>
      <c r="BP847" s="3812"/>
      <c r="BQ847" s="3812"/>
      <c r="BR847" s="3812"/>
      <c r="BS847" s="3812"/>
      <c r="BT847" s="3812"/>
      <c r="BU847" s="3812"/>
      <c r="BV847" s="3812"/>
      <c r="BW847" s="3812"/>
      <c r="BX847" s="3812"/>
      <c r="BY847" s="3812"/>
      <c r="BZ847" s="3812"/>
      <c r="CA847" s="3812"/>
      <c r="CB847" s="3812">
        <v>150000</v>
      </c>
      <c r="CC847" s="3524"/>
      <c r="CD847" s="3524"/>
      <c r="CE847" s="5920"/>
      <c r="CF847" s="5920"/>
      <c r="CG847" s="5920"/>
      <c r="CH847" s="5920"/>
    </row>
    <row r="848" s="4981" customFormat="1" ht="31" spans="1:86">
      <c r="A848" s="3812"/>
      <c r="B848" s="3812"/>
      <c r="C848" s="3812"/>
      <c r="D848" s="5059"/>
      <c r="E848" s="3812"/>
      <c r="F848" s="5059"/>
      <c r="G848" s="5059"/>
      <c r="H848" s="3812"/>
      <c r="I848" s="5205"/>
      <c r="J848" s="5059"/>
      <c r="K848" s="3812"/>
      <c r="L848" s="5059"/>
      <c r="M848" s="3812"/>
      <c r="N848" s="5201"/>
      <c r="O848" s="5201"/>
      <c r="P848" s="5201"/>
      <c r="Q848" s="5201"/>
      <c r="R848" s="5201"/>
      <c r="S848" s="5201"/>
      <c r="T848" s="5201"/>
      <c r="U848" s="5201"/>
      <c r="V848" s="5201"/>
      <c r="W848" s="5201"/>
      <c r="X848" s="5201"/>
      <c r="Y848" s="5201"/>
      <c r="Z848" s="5201"/>
      <c r="AA848" s="5201"/>
      <c r="AB848" s="5201"/>
      <c r="AC848" s="1032"/>
      <c r="AD848" s="5241"/>
      <c r="AE848" s="1095"/>
      <c r="AF848" s="3812"/>
      <c r="AG848" s="3812"/>
      <c r="AH848" s="857"/>
      <c r="AI848" s="3812"/>
      <c r="AJ848" s="3812"/>
      <c r="AK848" s="3812"/>
      <c r="AL848" s="3812"/>
      <c r="AM848" s="5059"/>
      <c r="AN848" s="3812">
        <f t="shared" si="173"/>
        <v>60462.92</v>
      </c>
      <c r="AO848" s="3812">
        <v>45128</v>
      </c>
      <c r="AP848" s="3812"/>
      <c r="AQ848" s="5256" t="s">
        <v>1702</v>
      </c>
      <c r="AR848" s="3812"/>
      <c r="AS848" s="5206"/>
      <c r="AT848" s="3812"/>
      <c r="AU848" s="5201"/>
      <c r="AV848" s="5201"/>
      <c r="AW848" s="5201"/>
      <c r="AX848" s="5201"/>
      <c r="AY848" s="5201"/>
      <c r="AZ848" s="5201"/>
      <c r="BA848" s="3812"/>
      <c r="BB848" s="3812"/>
      <c r="BC848" s="3812"/>
      <c r="BD848" s="3812"/>
      <c r="BE848" s="3812"/>
      <c r="BF848" s="3812"/>
      <c r="BG848" s="3812"/>
      <c r="BH848" s="5152"/>
      <c r="BI848" s="3812"/>
      <c r="BJ848" s="3812"/>
      <c r="BK848" s="3812"/>
      <c r="BL848" s="3812"/>
      <c r="BM848" s="4841"/>
      <c r="BN848" s="4841"/>
      <c r="BO848" s="3812"/>
      <c r="BP848" s="3812"/>
      <c r="BQ848" s="3812"/>
      <c r="BR848" s="3812"/>
      <c r="BS848" s="3812"/>
      <c r="BT848" s="3812"/>
      <c r="BU848" s="3812"/>
      <c r="BV848" s="3812"/>
      <c r="BW848" s="3812"/>
      <c r="BX848" s="3812"/>
      <c r="BY848" s="3812"/>
      <c r="BZ848" s="3812"/>
      <c r="CA848" s="3812"/>
      <c r="CB848" s="3812">
        <v>60462.92</v>
      </c>
      <c r="CC848" s="3524"/>
      <c r="CD848" s="3524"/>
      <c r="CE848" s="5920"/>
      <c r="CF848" s="5920"/>
      <c r="CG848" s="5920"/>
      <c r="CH848" s="5920"/>
    </row>
    <row r="849" s="4981" customFormat="1" ht="45" customHeight="1" spans="1:86">
      <c r="A849" s="3812"/>
      <c r="B849" s="3812"/>
      <c r="C849" s="3812"/>
      <c r="D849" s="5059"/>
      <c r="E849" s="3812"/>
      <c r="F849" s="5059"/>
      <c r="G849" s="5059"/>
      <c r="H849" s="3812"/>
      <c r="I849" s="5205"/>
      <c r="J849" s="5059"/>
      <c r="K849" s="3812"/>
      <c r="L849" s="5059"/>
      <c r="M849" s="3812"/>
      <c r="N849" s="5201"/>
      <c r="O849" s="5201"/>
      <c r="P849" s="5201"/>
      <c r="Q849" s="5201"/>
      <c r="R849" s="5201"/>
      <c r="S849" s="5201"/>
      <c r="T849" s="5201"/>
      <c r="U849" s="5201"/>
      <c r="V849" s="5201"/>
      <c r="W849" s="5201"/>
      <c r="X849" s="5201"/>
      <c r="Y849" s="5201"/>
      <c r="Z849" s="5201"/>
      <c r="AA849" s="5201"/>
      <c r="AB849" s="5201"/>
      <c r="AC849" s="1032"/>
      <c r="AD849" s="5241"/>
      <c r="AE849" s="1095"/>
      <c r="AF849" s="3812"/>
      <c r="AG849" s="3812"/>
      <c r="AH849" s="857"/>
      <c r="AI849" s="3812"/>
      <c r="AJ849" s="3812"/>
      <c r="AK849" s="3812"/>
      <c r="AL849" s="3812"/>
      <c r="AM849" s="5059"/>
      <c r="AN849" s="3812">
        <f t="shared" si="173"/>
        <v>24433</v>
      </c>
      <c r="AO849" s="3812">
        <v>45259</v>
      </c>
      <c r="AP849" s="3812"/>
      <c r="AQ849" s="5256" t="s">
        <v>1728</v>
      </c>
      <c r="AR849" s="3812"/>
      <c r="AS849" s="5059"/>
      <c r="AT849" s="3812"/>
      <c r="AU849" s="5201"/>
      <c r="AV849" s="5201"/>
      <c r="AW849" s="5201"/>
      <c r="AX849" s="5201"/>
      <c r="AY849" s="5201"/>
      <c r="AZ849" s="5201"/>
      <c r="BA849" s="3812"/>
      <c r="BB849" s="3812"/>
      <c r="BC849" s="3812"/>
      <c r="BD849" s="3812"/>
      <c r="BE849" s="3812"/>
      <c r="BF849" s="3812"/>
      <c r="BG849" s="3812"/>
      <c r="BH849" s="5948"/>
      <c r="BI849" s="3812"/>
      <c r="BJ849" s="3812"/>
      <c r="BK849" s="3812"/>
      <c r="BL849" s="3812"/>
      <c r="BM849" s="4842"/>
      <c r="BN849" s="4842"/>
      <c r="BO849" s="3812"/>
      <c r="BP849" s="3812"/>
      <c r="BQ849" s="3812"/>
      <c r="BR849" s="3812"/>
      <c r="BS849" s="3812"/>
      <c r="BT849" s="3812"/>
      <c r="BU849" s="3812"/>
      <c r="BV849" s="3812"/>
      <c r="BW849" s="3812"/>
      <c r="BX849" s="3812"/>
      <c r="BY849" s="3812"/>
      <c r="BZ849" s="3812"/>
      <c r="CA849" s="3812"/>
      <c r="CB849" s="3812">
        <v>24433</v>
      </c>
      <c r="CC849" s="3524"/>
      <c r="CD849" s="3524"/>
      <c r="CE849" s="5920"/>
      <c r="CF849" s="5920"/>
      <c r="CG849" s="5920"/>
      <c r="CH849" s="5920"/>
    </row>
    <row r="850" s="4981" customFormat="1" ht="31.65" customHeight="1" spans="1:86">
      <c r="A850" s="3812"/>
      <c r="B850" s="3812"/>
      <c r="C850" s="3812"/>
      <c r="D850" s="5059"/>
      <c r="E850" s="3812"/>
      <c r="F850" s="5059"/>
      <c r="G850" s="5059"/>
      <c r="H850" s="3812"/>
      <c r="I850" s="5205"/>
      <c r="J850" s="5059"/>
      <c r="K850" s="3812"/>
      <c r="L850" s="5059"/>
      <c r="M850" s="3812"/>
      <c r="N850" s="5201"/>
      <c r="O850" s="5201"/>
      <c r="P850" s="5201"/>
      <c r="Q850" s="5201"/>
      <c r="R850" s="5201"/>
      <c r="S850" s="5201"/>
      <c r="T850" s="5201"/>
      <c r="U850" s="5201"/>
      <c r="V850" s="5201"/>
      <c r="W850" s="5201"/>
      <c r="X850" s="5201"/>
      <c r="Y850" s="5201"/>
      <c r="Z850" s="5201"/>
      <c r="AA850" s="5201"/>
      <c r="AB850" s="5201"/>
      <c r="AC850" s="1032"/>
      <c r="AD850" s="5241" t="s">
        <v>1729</v>
      </c>
      <c r="AE850" s="1095">
        <v>0.144</v>
      </c>
      <c r="AF850" s="3812">
        <v>70769</v>
      </c>
      <c r="AG850" s="3812">
        <f t="shared" ref="AG850:AG855" si="175">SUM(BA850:BN850)</f>
        <v>0</v>
      </c>
      <c r="AH850" s="3812"/>
      <c r="AI850" s="3812"/>
      <c r="AJ850" s="3812"/>
      <c r="AK850" s="3812"/>
      <c r="AL850" s="3812"/>
      <c r="AM850" s="3812"/>
      <c r="AN850" s="3812">
        <f t="shared" si="173"/>
        <v>0</v>
      </c>
      <c r="AO850" s="3812"/>
      <c r="AP850" s="3812">
        <f t="shared" ref="AP850:AP858" si="176">AG850-AN850</f>
        <v>0</v>
      </c>
      <c r="AQ850" s="5146"/>
      <c r="AR850" s="3812"/>
      <c r="AS850" s="5059"/>
      <c r="AT850" s="3812"/>
      <c r="AU850" s="5201"/>
      <c r="AV850" s="5201"/>
      <c r="AW850" s="5201"/>
      <c r="AX850" s="5201"/>
      <c r="AY850" s="5201"/>
      <c r="AZ850" s="5201"/>
      <c r="BA850" s="3812"/>
      <c r="BB850" s="3812"/>
      <c r="BC850" s="3812"/>
      <c r="BD850" s="3812"/>
      <c r="BE850" s="3812"/>
      <c r="BF850" s="3812"/>
      <c r="BG850" s="3812"/>
      <c r="BH850" s="5948"/>
      <c r="BI850" s="3812"/>
      <c r="BJ850" s="3812"/>
      <c r="BK850" s="3812"/>
      <c r="BL850" s="3812"/>
      <c r="BM850" s="3812"/>
      <c r="BN850" s="3812"/>
      <c r="BO850" s="3812"/>
      <c r="BP850" s="3812"/>
      <c r="BQ850" s="3812"/>
      <c r="BR850" s="3812"/>
      <c r="BS850" s="3812"/>
      <c r="BT850" s="3812"/>
      <c r="BU850" s="3812"/>
      <c r="BV850" s="3812"/>
      <c r="BW850" s="3812"/>
      <c r="BX850" s="3812"/>
      <c r="BY850" s="3812"/>
      <c r="BZ850" s="3812"/>
      <c r="CA850" s="3812"/>
      <c r="CB850" s="3812"/>
      <c r="CC850" s="3524"/>
      <c r="CD850" s="3524"/>
      <c r="CE850" s="5920"/>
      <c r="CF850" s="5920"/>
      <c r="CG850" s="5920"/>
      <c r="CH850" s="5920"/>
    </row>
    <row r="851" s="4981" customFormat="1" ht="31" spans="1:86">
      <c r="A851" s="3812"/>
      <c r="B851" s="3812"/>
      <c r="C851" s="3812"/>
      <c r="D851" s="5059"/>
      <c r="E851" s="3812"/>
      <c r="F851" s="5059"/>
      <c r="G851" s="5059"/>
      <c r="H851" s="3812"/>
      <c r="I851" s="5205"/>
      <c r="J851" s="5059"/>
      <c r="K851" s="3812"/>
      <c r="L851" s="5059"/>
      <c r="M851" s="3812"/>
      <c r="N851" s="5201"/>
      <c r="O851" s="5201"/>
      <c r="P851" s="5201"/>
      <c r="Q851" s="5201"/>
      <c r="R851" s="5201"/>
      <c r="S851" s="5201"/>
      <c r="T851" s="5201"/>
      <c r="U851" s="5201"/>
      <c r="V851" s="5201"/>
      <c r="W851" s="5201"/>
      <c r="X851" s="5201"/>
      <c r="Y851" s="5201"/>
      <c r="Z851" s="5201"/>
      <c r="AA851" s="5201"/>
      <c r="AB851" s="5201"/>
      <c r="AC851" s="1032"/>
      <c r="AD851" s="5241" t="s">
        <v>1730</v>
      </c>
      <c r="AE851" s="1095">
        <v>0.1423</v>
      </c>
      <c r="AF851" s="3812">
        <v>69918</v>
      </c>
      <c r="AG851" s="3812">
        <f t="shared" si="175"/>
        <v>0</v>
      </c>
      <c r="AH851" s="3812"/>
      <c r="AI851" s="3812"/>
      <c r="AJ851" s="3812"/>
      <c r="AK851" s="3812"/>
      <c r="AL851" s="3812"/>
      <c r="AM851" s="3812"/>
      <c r="AN851" s="3812">
        <f t="shared" si="173"/>
        <v>0</v>
      </c>
      <c r="AO851" s="3812"/>
      <c r="AP851" s="3812">
        <f t="shared" si="176"/>
        <v>0</v>
      </c>
      <c r="AQ851" s="5146"/>
      <c r="AR851" s="3812"/>
      <c r="AS851" s="5059"/>
      <c r="AT851" s="3812"/>
      <c r="AU851" s="5201"/>
      <c r="AV851" s="5201"/>
      <c r="AW851" s="5201"/>
      <c r="AX851" s="5201"/>
      <c r="AY851" s="5201"/>
      <c r="AZ851" s="5201"/>
      <c r="BA851" s="3812"/>
      <c r="BB851" s="3812"/>
      <c r="BC851" s="3812"/>
      <c r="BD851" s="3812"/>
      <c r="BE851" s="3812"/>
      <c r="BF851" s="3812"/>
      <c r="BG851" s="3812"/>
      <c r="BH851" s="5948"/>
      <c r="BI851" s="3812"/>
      <c r="BJ851" s="3812"/>
      <c r="BK851" s="3812"/>
      <c r="BL851" s="3812"/>
      <c r="BM851" s="3812"/>
      <c r="BN851" s="3812"/>
      <c r="BO851" s="3812"/>
      <c r="BP851" s="3812"/>
      <c r="BQ851" s="3812"/>
      <c r="BR851" s="3812"/>
      <c r="BS851" s="3812"/>
      <c r="BT851" s="3812"/>
      <c r="BU851" s="3812"/>
      <c r="BV851" s="3812"/>
      <c r="BW851" s="3812"/>
      <c r="BX851" s="3812"/>
      <c r="BY851" s="3812"/>
      <c r="BZ851" s="3812"/>
      <c r="CA851" s="3812"/>
      <c r="CB851" s="3812"/>
      <c r="CC851" s="3524"/>
      <c r="CD851" s="3524"/>
      <c r="CE851" s="5920"/>
      <c r="CF851" s="5920"/>
      <c r="CG851" s="5920"/>
      <c r="CH851" s="5920"/>
    </row>
    <row r="852" s="4981" customFormat="1" ht="31" spans="1:86">
      <c r="A852" s="3812"/>
      <c r="B852" s="3812"/>
      <c r="C852" s="3812"/>
      <c r="D852" s="5059"/>
      <c r="E852" s="3812"/>
      <c r="F852" s="5059"/>
      <c r="G852" s="5059"/>
      <c r="H852" s="3812"/>
      <c r="I852" s="5205"/>
      <c r="J852" s="5059"/>
      <c r="K852" s="3812"/>
      <c r="L852" s="5059"/>
      <c r="M852" s="3812"/>
      <c r="N852" s="5201"/>
      <c r="O852" s="5201"/>
      <c r="P852" s="5201"/>
      <c r="Q852" s="5201"/>
      <c r="R852" s="5201"/>
      <c r="S852" s="5201"/>
      <c r="T852" s="5201"/>
      <c r="U852" s="5201"/>
      <c r="V852" s="5201"/>
      <c r="W852" s="5201"/>
      <c r="X852" s="5201"/>
      <c r="Y852" s="5201"/>
      <c r="Z852" s="5201"/>
      <c r="AA852" s="5201"/>
      <c r="AB852" s="5201"/>
      <c r="AC852" s="1032"/>
      <c r="AD852" s="5241" t="s">
        <v>1731</v>
      </c>
      <c r="AE852" s="1095">
        <v>0.0486</v>
      </c>
      <c r="AF852" s="3812">
        <v>23885</v>
      </c>
      <c r="AG852" s="3812">
        <f t="shared" si="175"/>
        <v>0</v>
      </c>
      <c r="AH852" s="3812"/>
      <c r="AI852" s="3812"/>
      <c r="AJ852" s="3812"/>
      <c r="AK852" s="3812"/>
      <c r="AL852" s="3812"/>
      <c r="AM852" s="3812"/>
      <c r="AN852" s="3812">
        <f t="shared" si="173"/>
        <v>0</v>
      </c>
      <c r="AO852" s="3812"/>
      <c r="AP852" s="3812">
        <f t="shared" si="176"/>
        <v>0</v>
      </c>
      <c r="AQ852" s="5146"/>
      <c r="AR852" s="3812"/>
      <c r="AS852" s="5059"/>
      <c r="AT852" s="3812"/>
      <c r="AU852" s="5201"/>
      <c r="AV852" s="5201"/>
      <c r="AW852" s="5201"/>
      <c r="AX852" s="5201"/>
      <c r="AY852" s="5201"/>
      <c r="AZ852" s="5201"/>
      <c r="BA852" s="3812"/>
      <c r="BB852" s="3812"/>
      <c r="BC852" s="3812"/>
      <c r="BD852" s="3812"/>
      <c r="BE852" s="3812"/>
      <c r="BF852" s="3812"/>
      <c r="BG852" s="3812"/>
      <c r="BH852" s="5948"/>
      <c r="BI852" s="3812"/>
      <c r="BJ852" s="3812"/>
      <c r="BK852" s="3812"/>
      <c r="BL852" s="3812"/>
      <c r="BM852" s="3812"/>
      <c r="BN852" s="3812"/>
      <c r="BO852" s="3812"/>
      <c r="BP852" s="3812"/>
      <c r="BQ852" s="3812"/>
      <c r="BR852" s="3812"/>
      <c r="BS852" s="3812"/>
      <c r="BT852" s="3812"/>
      <c r="BU852" s="3812"/>
      <c r="BV852" s="3812"/>
      <c r="BW852" s="3812"/>
      <c r="BX852" s="3812"/>
      <c r="BY852" s="3812"/>
      <c r="BZ852" s="3812"/>
      <c r="CA852" s="3812"/>
      <c r="CB852" s="3812"/>
      <c r="CC852" s="3524"/>
      <c r="CD852" s="3524"/>
      <c r="CE852" s="5920"/>
      <c r="CF852" s="5920"/>
      <c r="CG852" s="5920"/>
      <c r="CH852" s="5920"/>
    </row>
    <row r="853" s="4981" customFormat="1" ht="31" spans="1:86">
      <c r="A853" s="3812"/>
      <c r="B853" s="3812"/>
      <c r="C853" s="3812"/>
      <c r="D853" s="5059"/>
      <c r="E853" s="3812"/>
      <c r="F853" s="5059"/>
      <c r="G853" s="5059"/>
      <c r="H853" s="3812"/>
      <c r="I853" s="5205"/>
      <c r="J853" s="5059"/>
      <c r="K853" s="3812"/>
      <c r="L853" s="5059"/>
      <c r="M853" s="3812"/>
      <c r="N853" s="5201"/>
      <c r="O853" s="5201"/>
      <c r="P853" s="5201"/>
      <c r="Q853" s="5201"/>
      <c r="R853" s="5201"/>
      <c r="S853" s="5201"/>
      <c r="T853" s="5201"/>
      <c r="U853" s="5201"/>
      <c r="V853" s="5201"/>
      <c r="W853" s="5201"/>
      <c r="X853" s="5201"/>
      <c r="Y853" s="5201"/>
      <c r="Z853" s="5201"/>
      <c r="AA853" s="5201"/>
      <c r="AB853" s="5201"/>
      <c r="AC853" s="1032"/>
      <c r="AD853" s="5241" t="s">
        <v>1732</v>
      </c>
      <c r="AE853" s="1095">
        <v>0.1097</v>
      </c>
      <c r="AF853" s="3812">
        <v>53937</v>
      </c>
      <c r="AG853" s="3812">
        <f t="shared" si="175"/>
        <v>0</v>
      </c>
      <c r="AH853" s="857"/>
      <c r="AI853" s="3812"/>
      <c r="AJ853" s="3812"/>
      <c r="AK853" s="3812"/>
      <c r="AL853" s="3812"/>
      <c r="AM853" s="3812"/>
      <c r="AN853" s="3812">
        <f t="shared" si="173"/>
        <v>0</v>
      </c>
      <c r="AO853" s="3812"/>
      <c r="AP853" s="3812">
        <f t="shared" si="176"/>
        <v>0</v>
      </c>
      <c r="AQ853" s="5146"/>
      <c r="AR853" s="3812"/>
      <c r="AS853" s="5059"/>
      <c r="AT853" s="3812"/>
      <c r="AU853" s="5201"/>
      <c r="AV853" s="5201"/>
      <c r="AW853" s="5201"/>
      <c r="AX853" s="5201"/>
      <c r="AY853" s="5201"/>
      <c r="AZ853" s="5201"/>
      <c r="BA853" s="3812"/>
      <c r="BB853" s="3812"/>
      <c r="BC853" s="3812"/>
      <c r="BD853" s="3812"/>
      <c r="BE853" s="3812"/>
      <c r="BF853" s="3812"/>
      <c r="BG853" s="3812"/>
      <c r="BH853" s="5948"/>
      <c r="BI853" s="3812"/>
      <c r="BJ853" s="3812"/>
      <c r="BK853" s="3812"/>
      <c r="BL853" s="3812"/>
      <c r="BM853" s="3812"/>
      <c r="BN853" s="3812"/>
      <c r="BO853" s="3812"/>
      <c r="BP853" s="3812"/>
      <c r="BQ853" s="3812"/>
      <c r="BR853" s="3812"/>
      <c r="BS853" s="3812"/>
      <c r="BT853" s="3812"/>
      <c r="BU853" s="3812"/>
      <c r="BV853" s="3812"/>
      <c r="BW853" s="3812"/>
      <c r="BX853" s="3812"/>
      <c r="BY853" s="3812"/>
      <c r="BZ853" s="3812"/>
      <c r="CA853" s="3812"/>
      <c r="CB853" s="3812"/>
      <c r="CC853" s="3524"/>
      <c r="CD853" s="3524"/>
      <c r="CE853" s="5920"/>
      <c r="CF853" s="5920"/>
      <c r="CG853" s="5920"/>
      <c r="CH853" s="5920"/>
    </row>
    <row r="854" s="4981" customFormat="1" ht="35.85" customHeight="1" spans="1:86">
      <c r="A854" s="3812"/>
      <c r="B854" s="3812"/>
      <c r="C854" s="3812"/>
      <c r="D854" s="5059"/>
      <c r="E854" s="3812"/>
      <c r="F854" s="5059"/>
      <c r="G854" s="5059"/>
      <c r="H854" s="3812"/>
      <c r="I854" s="5205"/>
      <c r="J854" s="5059"/>
      <c r="K854" s="3812"/>
      <c r="L854" s="5059"/>
      <c r="M854" s="3812"/>
      <c r="N854" s="5201"/>
      <c r="O854" s="5201"/>
      <c r="P854" s="5201"/>
      <c r="Q854" s="5201"/>
      <c r="R854" s="5201"/>
      <c r="S854" s="5201"/>
      <c r="T854" s="5201"/>
      <c r="U854" s="5201"/>
      <c r="V854" s="5201"/>
      <c r="W854" s="5201"/>
      <c r="X854" s="5201"/>
      <c r="Y854" s="5201"/>
      <c r="Z854" s="5201"/>
      <c r="AA854" s="5201"/>
      <c r="AB854" s="5201"/>
      <c r="AC854" s="5073" t="s">
        <v>1700</v>
      </c>
      <c r="AD854" s="5241" t="s">
        <v>1701</v>
      </c>
      <c r="AE854" s="1095">
        <v>0.125</v>
      </c>
      <c r="AF854" s="3812">
        <f>441760*AE854</f>
        <v>55220</v>
      </c>
      <c r="AG854" s="3812">
        <f t="shared" si="175"/>
        <v>55220</v>
      </c>
      <c r="AH854" s="857" t="s">
        <v>122</v>
      </c>
      <c r="AI854" s="3812">
        <v>44897</v>
      </c>
      <c r="AJ854" s="3812">
        <v>55220</v>
      </c>
      <c r="AK854" s="3812">
        <v>44897</v>
      </c>
      <c r="AL854" s="3812">
        <v>55220</v>
      </c>
      <c r="AM854" s="5059">
        <v>44967</v>
      </c>
      <c r="AN854" s="3812">
        <f t="shared" si="173"/>
        <v>55220</v>
      </c>
      <c r="AO854" s="3812">
        <v>45075</v>
      </c>
      <c r="AP854" s="3812">
        <f t="shared" si="176"/>
        <v>0</v>
      </c>
      <c r="AQ854" s="1032" t="s">
        <v>1726</v>
      </c>
      <c r="AR854" s="3812"/>
      <c r="AS854" s="5073" t="s">
        <v>1719</v>
      </c>
      <c r="AT854" s="3812"/>
      <c r="AU854" s="5201"/>
      <c r="AV854" s="5201"/>
      <c r="AW854" s="5201"/>
      <c r="AX854" s="5201"/>
      <c r="AY854" s="5201"/>
      <c r="AZ854" s="5201"/>
      <c r="BA854" s="3812"/>
      <c r="BB854" s="3812"/>
      <c r="BC854" s="3812"/>
      <c r="BD854" s="3812"/>
      <c r="BE854" s="3812"/>
      <c r="BF854" s="3812"/>
      <c r="BG854" s="3812"/>
      <c r="BH854" s="5152"/>
      <c r="BI854" s="3812"/>
      <c r="BJ854" s="3812"/>
      <c r="BK854" s="3812"/>
      <c r="BL854" s="3812"/>
      <c r="BM854" s="3812"/>
      <c r="BN854" s="3812">
        <v>55220</v>
      </c>
      <c r="BO854" s="3812"/>
      <c r="BP854" s="3812"/>
      <c r="BQ854" s="3812"/>
      <c r="BR854" s="3812"/>
      <c r="BS854" s="3812"/>
      <c r="BT854" s="3812"/>
      <c r="BU854" s="3812"/>
      <c r="BV854" s="3812"/>
      <c r="BW854" s="3812"/>
      <c r="BX854" s="3812"/>
      <c r="BY854" s="3812"/>
      <c r="BZ854" s="3812"/>
      <c r="CA854" s="3812"/>
      <c r="CB854" s="3812">
        <v>55220</v>
      </c>
      <c r="CC854" s="3524"/>
      <c r="CD854" s="3524"/>
      <c r="CE854" s="5920"/>
      <c r="CF854" s="5920"/>
      <c r="CG854" s="5920"/>
      <c r="CH854" s="5920"/>
    </row>
    <row r="855" s="4981" customFormat="1" ht="35.85" customHeight="1" spans="1:86">
      <c r="A855" s="3812"/>
      <c r="B855" s="3812"/>
      <c r="C855" s="3812"/>
      <c r="D855" s="5059"/>
      <c r="E855" s="3812"/>
      <c r="F855" s="5059"/>
      <c r="G855" s="5059"/>
      <c r="H855" s="3812"/>
      <c r="I855" s="5205"/>
      <c r="J855" s="5059"/>
      <c r="K855" s="3812"/>
      <c r="L855" s="5059"/>
      <c r="M855" s="3812"/>
      <c r="N855" s="5201"/>
      <c r="O855" s="5201"/>
      <c r="P855" s="5201"/>
      <c r="Q855" s="5201"/>
      <c r="R855" s="5201"/>
      <c r="S855" s="5201"/>
      <c r="T855" s="5201"/>
      <c r="U855" s="5201"/>
      <c r="V855" s="5201"/>
      <c r="W855" s="5201"/>
      <c r="X855" s="5201"/>
      <c r="Y855" s="5201"/>
      <c r="Z855" s="5201"/>
      <c r="AA855" s="5201"/>
      <c r="AB855" s="5201"/>
      <c r="AC855" s="5205"/>
      <c r="AD855" s="5241" t="s">
        <v>1704</v>
      </c>
      <c r="AE855" s="1095">
        <v>0.3125</v>
      </c>
      <c r="AF855" s="3812">
        <f>441760*AE855</f>
        <v>138050</v>
      </c>
      <c r="AG855" s="3812">
        <f t="shared" si="175"/>
        <v>138050</v>
      </c>
      <c r="AH855" s="857" t="s">
        <v>122</v>
      </c>
      <c r="AI855" s="3812">
        <v>44897</v>
      </c>
      <c r="AJ855" s="3812">
        <v>138050</v>
      </c>
      <c r="AK855" s="3812">
        <v>44897</v>
      </c>
      <c r="AL855" s="3812">
        <v>138050</v>
      </c>
      <c r="AM855" s="5059">
        <v>44967</v>
      </c>
      <c r="AN855" s="3812">
        <f t="shared" si="173"/>
        <v>43369.9</v>
      </c>
      <c r="AO855" s="3812">
        <v>45075</v>
      </c>
      <c r="AP855" s="3812">
        <f t="shared" si="176"/>
        <v>94680.1</v>
      </c>
      <c r="AQ855" s="5059"/>
      <c r="AR855" s="3812"/>
      <c r="AS855" s="5075"/>
      <c r="AT855" s="3812"/>
      <c r="AU855" s="5201"/>
      <c r="AV855" s="5201"/>
      <c r="AW855" s="5201"/>
      <c r="AX855" s="5201"/>
      <c r="AY855" s="5201"/>
      <c r="AZ855" s="5201"/>
      <c r="BA855" s="3812"/>
      <c r="BB855" s="3812"/>
      <c r="BC855" s="3812"/>
      <c r="BD855" s="3812"/>
      <c r="BE855" s="3812"/>
      <c r="BF855" s="3812"/>
      <c r="BG855" s="3812"/>
      <c r="BH855" s="5152"/>
      <c r="BI855" s="3812"/>
      <c r="BJ855" s="3812"/>
      <c r="BK855" s="3812"/>
      <c r="BL855" s="3812"/>
      <c r="BM855" s="3812"/>
      <c r="BN855" s="3812">
        <v>138050</v>
      </c>
      <c r="BO855" s="3812"/>
      <c r="BP855" s="3812"/>
      <c r="BQ855" s="3812"/>
      <c r="BR855" s="3812"/>
      <c r="BS855" s="3812"/>
      <c r="BT855" s="3812"/>
      <c r="BU855" s="3812"/>
      <c r="BV855" s="3812"/>
      <c r="BW855" s="3812"/>
      <c r="BX855" s="3812"/>
      <c r="BY855" s="3812"/>
      <c r="BZ855" s="3812"/>
      <c r="CA855" s="3812"/>
      <c r="CB855" s="3812">
        <v>43369.9</v>
      </c>
      <c r="CC855" s="3524"/>
      <c r="CD855" s="3524"/>
      <c r="CE855" s="5920"/>
      <c r="CF855" s="5920"/>
      <c r="CG855" s="5920"/>
      <c r="CH855" s="5920"/>
    </row>
    <row r="856" s="4981" customFormat="1" ht="35.85" customHeight="1" spans="1:86">
      <c r="A856" s="3812"/>
      <c r="B856" s="3812"/>
      <c r="C856" s="3812"/>
      <c r="D856" s="5059"/>
      <c r="E856" s="3812"/>
      <c r="F856" s="5059"/>
      <c r="G856" s="5059"/>
      <c r="H856" s="3812"/>
      <c r="I856" s="5205"/>
      <c r="J856" s="5059"/>
      <c r="K856" s="3812"/>
      <c r="L856" s="5059"/>
      <c r="M856" s="3812"/>
      <c r="N856" s="5201"/>
      <c r="O856" s="5201"/>
      <c r="P856" s="5201"/>
      <c r="Q856" s="5201"/>
      <c r="R856" s="5201"/>
      <c r="S856" s="5201"/>
      <c r="T856" s="5201"/>
      <c r="U856" s="5201"/>
      <c r="V856" s="5201"/>
      <c r="W856" s="5201"/>
      <c r="X856" s="5201"/>
      <c r="Y856" s="5201"/>
      <c r="Z856" s="5201"/>
      <c r="AA856" s="5201"/>
      <c r="AB856" s="5201"/>
      <c r="AC856" s="5205"/>
      <c r="AD856" s="5241"/>
      <c r="AE856" s="1095"/>
      <c r="AF856" s="3812"/>
      <c r="AG856" s="3812"/>
      <c r="AH856" s="857"/>
      <c r="AI856" s="3812"/>
      <c r="AJ856" s="3812"/>
      <c r="AK856" s="3812"/>
      <c r="AL856" s="3812"/>
      <c r="AM856" s="5059"/>
      <c r="AN856" s="3812">
        <f t="shared" si="173"/>
        <v>94680.1</v>
      </c>
      <c r="AO856" s="3812">
        <v>45259</v>
      </c>
      <c r="AP856" s="3812">
        <f t="shared" si="176"/>
        <v>-94680.1</v>
      </c>
      <c r="AQ856" s="5073" t="s">
        <v>1728</v>
      </c>
      <c r="AR856" s="3812"/>
      <c r="AS856" s="5059"/>
      <c r="AT856" s="3812"/>
      <c r="AU856" s="5201"/>
      <c r="AV856" s="5201"/>
      <c r="AW856" s="5201"/>
      <c r="AX856" s="5201"/>
      <c r="AY856" s="5201"/>
      <c r="AZ856" s="5201"/>
      <c r="BA856" s="3812"/>
      <c r="BB856" s="3812"/>
      <c r="BC856" s="3812"/>
      <c r="BD856" s="3812"/>
      <c r="BE856" s="3812"/>
      <c r="BF856" s="3812"/>
      <c r="BG856" s="3812"/>
      <c r="BH856" s="5152"/>
      <c r="BI856" s="3812"/>
      <c r="BJ856" s="3812"/>
      <c r="BK856" s="3812"/>
      <c r="BL856" s="3812"/>
      <c r="BM856" s="3812"/>
      <c r="BN856" s="3812"/>
      <c r="BO856" s="3812"/>
      <c r="BP856" s="3812"/>
      <c r="BQ856" s="3812"/>
      <c r="BR856" s="3812"/>
      <c r="BS856" s="3812"/>
      <c r="BT856" s="3812"/>
      <c r="BU856" s="3812"/>
      <c r="BV856" s="3812"/>
      <c r="BW856" s="3812"/>
      <c r="BX856" s="3812"/>
      <c r="BY856" s="3812"/>
      <c r="BZ856" s="3812"/>
      <c r="CA856" s="3812"/>
      <c r="CB856" s="3812">
        <v>94680.1</v>
      </c>
      <c r="CC856" s="3524"/>
      <c r="CD856" s="3524"/>
      <c r="CE856" s="5920"/>
      <c r="CF856" s="5920"/>
      <c r="CG856" s="5920"/>
      <c r="CH856" s="5920"/>
    </row>
    <row r="857" s="4981" customFormat="1" ht="35.85" customHeight="1" spans="1:86">
      <c r="A857" s="3812"/>
      <c r="B857" s="3812"/>
      <c r="C857" s="3812"/>
      <c r="D857" s="5059"/>
      <c r="E857" s="3812"/>
      <c r="F857" s="5059"/>
      <c r="G857" s="5059"/>
      <c r="H857" s="3812"/>
      <c r="I857" s="5205"/>
      <c r="J857" s="5059"/>
      <c r="K857" s="3812"/>
      <c r="L857" s="5059"/>
      <c r="M857" s="3812"/>
      <c r="N857" s="5201"/>
      <c r="O857" s="5201"/>
      <c r="P857" s="5201"/>
      <c r="Q857" s="5201"/>
      <c r="R857" s="5201"/>
      <c r="S857" s="5201"/>
      <c r="T857" s="5201"/>
      <c r="U857" s="5201"/>
      <c r="V857" s="5201"/>
      <c r="W857" s="5201"/>
      <c r="X857" s="5201"/>
      <c r="Y857" s="5201"/>
      <c r="Z857" s="5201"/>
      <c r="AA857" s="5201"/>
      <c r="AB857" s="5201"/>
      <c r="AC857" s="5205"/>
      <c r="AD857" s="5241" t="s">
        <v>1705</v>
      </c>
      <c r="AE857" s="1095">
        <v>0.125</v>
      </c>
      <c r="AF857" s="3812">
        <f>441760*AE857</f>
        <v>55220</v>
      </c>
      <c r="AG857" s="3812">
        <f>SUM(BA857:BN857)</f>
        <v>55220</v>
      </c>
      <c r="AH857" s="857" t="s">
        <v>122</v>
      </c>
      <c r="AI857" s="3812">
        <v>44897</v>
      </c>
      <c r="AJ857" s="3812">
        <v>55220</v>
      </c>
      <c r="AK857" s="3812">
        <v>44897</v>
      </c>
      <c r="AL857" s="3812">
        <v>55220</v>
      </c>
      <c r="AM857" s="5059">
        <v>44967</v>
      </c>
      <c r="AN857" s="3812">
        <f t="shared" si="173"/>
        <v>55220</v>
      </c>
      <c r="AO857" s="3812">
        <v>45259</v>
      </c>
      <c r="AP857" s="3812">
        <f t="shared" si="176"/>
        <v>0</v>
      </c>
      <c r="AQ857" s="5206"/>
      <c r="AR857" s="3812"/>
      <c r="AS857" s="5059"/>
      <c r="AT857" s="3812"/>
      <c r="AU857" s="5201"/>
      <c r="AV857" s="5201"/>
      <c r="AW857" s="5201"/>
      <c r="AX857" s="5201"/>
      <c r="AY857" s="5201"/>
      <c r="AZ857" s="5201"/>
      <c r="BA857" s="3812"/>
      <c r="BB857" s="3812"/>
      <c r="BC857" s="3812"/>
      <c r="BD857" s="3812"/>
      <c r="BE857" s="3812"/>
      <c r="BF857" s="3812"/>
      <c r="BG857" s="3812"/>
      <c r="BH857" s="5152"/>
      <c r="BI857" s="3812"/>
      <c r="BJ857" s="3812"/>
      <c r="BK857" s="3812"/>
      <c r="BL857" s="3812"/>
      <c r="BM857" s="3812"/>
      <c r="BN857" s="3812">
        <v>55220</v>
      </c>
      <c r="BO857" s="3812"/>
      <c r="BP857" s="3812"/>
      <c r="BQ857" s="3812"/>
      <c r="BR857" s="3812"/>
      <c r="BS857" s="3812"/>
      <c r="BT857" s="3812"/>
      <c r="BU857" s="3812"/>
      <c r="BV857" s="3812"/>
      <c r="BW857" s="3812"/>
      <c r="BX857" s="3812"/>
      <c r="BY857" s="3812"/>
      <c r="BZ857" s="3812"/>
      <c r="CA857" s="3812"/>
      <c r="CB857" s="3812">
        <v>55220</v>
      </c>
      <c r="CC857" s="3524"/>
      <c r="CD857" s="3524"/>
      <c r="CE857" s="5920"/>
      <c r="CF857" s="5920"/>
      <c r="CG857" s="5920"/>
      <c r="CH857" s="5920"/>
    </row>
    <row r="858" s="4981" customFormat="1" ht="35.85" customHeight="1" spans="1:86">
      <c r="A858" s="3812"/>
      <c r="B858" s="3812"/>
      <c r="C858" s="3812"/>
      <c r="D858" s="5059"/>
      <c r="E858" s="3812"/>
      <c r="F858" s="5059"/>
      <c r="G858" s="5059"/>
      <c r="H858" s="3812"/>
      <c r="I858" s="5205"/>
      <c r="J858" s="5059"/>
      <c r="K858" s="3812"/>
      <c r="L858" s="5059"/>
      <c r="M858" s="3812"/>
      <c r="N858" s="5201"/>
      <c r="O858" s="5201"/>
      <c r="P858" s="5201"/>
      <c r="Q858" s="5201"/>
      <c r="R858" s="5201"/>
      <c r="S858" s="5201"/>
      <c r="T858" s="5201"/>
      <c r="U858" s="5201"/>
      <c r="V858" s="5201"/>
      <c r="W858" s="5201"/>
      <c r="X858" s="5201"/>
      <c r="Y858" s="5201"/>
      <c r="Z858" s="5201"/>
      <c r="AA858" s="5201"/>
      <c r="AB858" s="5201"/>
      <c r="AC858" s="5205"/>
      <c r="AD858" s="5073" t="s">
        <v>1706</v>
      </c>
      <c r="AE858" s="1083">
        <v>0.25</v>
      </c>
      <c r="AF858" s="4840">
        <f>441760*AE858</f>
        <v>110440</v>
      </c>
      <c r="AG858" s="4840">
        <f>SUM(BA858:BN858)</f>
        <v>110440</v>
      </c>
      <c r="AH858" s="3366" t="s">
        <v>122</v>
      </c>
      <c r="AI858" s="4840">
        <v>44897</v>
      </c>
      <c r="AJ858" s="4840">
        <v>110440</v>
      </c>
      <c r="AK858" s="4840">
        <v>44897</v>
      </c>
      <c r="AL858" s="4840">
        <v>110440</v>
      </c>
      <c r="AM858" s="5214">
        <v>44967</v>
      </c>
      <c r="AN858" s="3812">
        <f t="shared" si="173"/>
        <v>56183.42</v>
      </c>
      <c r="AO858" s="857">
        <v>45469</v>
      </c>
      <c r="AP858" s="3812">
        <f t="shared" si="176"/>
        <v>54256.58</v>
      </c>
      <c r="AQ858" s="5979" t="s">
        <v>1733</v>
      </c>
      <c r="AR858" s="3812"/>
      <c r="AS858" s="5059"/>
      <c r="AT858" s="3812"/>
      <c r="AU858" s="5201"/>
      <c r="AV858" s="5201"/>
      <c r="AW858" s="5201"/>
      <c r="AX858" s="5201"/>
      <c r="AY858" s="5201"/>
      <c r="AZ858" s="5201"/>
      <c r="BA858" s="3812"/>
      <c r="BB858" s="3812"/>
      <c r="BC858" s="3812"/>
      <c r="BD858" s="3812"/>
      <c r="BE858" s="3812"/>
      <c r="BF858" s="3812"/>
      <c r="BG858" s="3812"/>
      <c r="BH858" s="5152"/>
      <c r="BI858" s="3812"/>
      <c r="BJ858" s="3812"/>
      <c r="BK858" s="3812"/>
      <c r="BL858" s="3812"/>
      <c r="BM858" s="4840"/>
      <c r="BN858" s="4840">
        <v>110440</v>
      </c>
      <c r="BO858" s="3812"/>
      <c r="BP858" s="3812"/>
      <c r="BQ858" s="3812"/>
      <c r="BR858" s="3812"/>
      <c r="BS858" s="3812"/>
      <c r="BT858" s="3812"/>
      <c r="BU858" s="3812"/>
      <c r="BV858" s="3812"/>
      <c r="BW858" s="3812"/>
      <c r="BX858" s="3812"/>
      <c r="BY858" s="3812"/>
      <c r="BZ858" s="3812"/>
      <c r="CA858" s="3812"/>
      <c r="CB858" s="3812">
        <f>110440-54256.58</f>
        <v>56183.42</v>
      </c>
      <c r="CC858" s="3524"/>
      <c r="CD858" s="3524"/>
      <c r="CE858" s="5920"/>
      <c r="CF858" s="5920"/>
      <c r="CG858" s="5920"/>
      <c r="CH858" s="5920"/>
    </row>
    <row r="859" s="4981" customFormat="1" ht="35.85" customHeight="1" spans="1:86">
      <c r="A859" s="3812"/>
      <c r="B859" s="3812"/>
      <c r="C859" s="3812"/>
      <c r="D859" s="5059"/>
      <c r="E859" s="3812"/>
      <c r="F859" s="5059"/>
      <c r="G859" s="5059"/>
      <c r="H859" s="3812"/>
      <c r="I859" s="5205"/>
      <c r="J859" s="5059"/>
      <c r="K859" s="3812"/>
      <c r="L859" s="5059"/>
      <c r="M859" s="3812"/>
      <c r="N859" s="5201"/>
      <c r="O859" s="5201"/>
      <c r="P859" s="5201"/>
      <c r="Q859" s="5201"/>
      <c r="R859" s="5201"/>
      <c r="S859" s="5201"/>
      <c r="T859" s="5201"/>
      <c r="U859" s="5201"/>
      <c r="V859" s="5201"/>
      <c r="W859" s="5201"/>
      <c r="X859" s="5201"/>
      <c r="Y859" s="5201"/>
      <c r="Z859" s="5201"/>
      <c r="AA859" s="5201"/>
      <c r="AB859" s="5201"/>
      <c r="AC859" s="5206"/>
      <c r="AD859" s="5206"/>
      <c r="AE859" s="1085"/>
      <c r="AF859" s="4842"/>
      <c r="AG859" s="4842"/>
      <c r="AH859" s="3409"/>
      <c r="AI859" s="4842"/>
      <c r="AJ859" s="4842"/>
      <c r="AK859" s="4842"/>
      <c r="AL859" s="4842"/>
      <c r="AM859" s="5075"/>
      <c r="AN859" s="3812">
        <f t="shared" si="173"/>
        <v>54256.58</v>
      </c>
      <c r="AO859" s="3812">
        <v>45520</v>
      </c>
      <c r="AP859" s="3812"/>
      <c r="AQ859" s="5980"/>
      <c r="AR859" s="3812"/>
      <c r="AS859" s="5059"/>
      <c r="AT859" s="3812"/>
      <c r="AU859" s="5201"/>
      <c r="AV859" s="5201"/>
      <c r="AW859" s="5201"/>
      <c r="AX859" s="5201"/>
      <c r="AY859" s="5201"/>
      <c r="AZ859" s="5201"/>
      <c r="BA859" s="3812"/>
      <c r="BB859" s="3812"/>
      <c r="BC859" s="3812"/>
      <c r="BD859" s="3812"/>
      <c r="BE859" s="3812"/>
      <c r="BF859" s="3812"/>
      <c r="BG859" s="3812"/>
      <c r="BH859" s="5948"/>
      <c r="BI859" s="3812"/>
      <c r="BJ859" s="3812"/>
      <c r="BK859" s="3812"/>
      <c r="BL859" s="3812"/>
      <c r="BM859" s="4842"/>
      <c r="BN859" s="4842"/>
      <c r="BO859" s="3812"/>
      <c r="BP859" s="3812"/>
      <c r="BQ859" s="3812"/>
      <c r="BR859" s="3812"/>
      <c r="BS859" s="3812"/>
      <c r="BT859" s="3812"/>
      <c r="BU859" s="3812"/>
      <c r="BV859" s="3812"/>
      <c r="BW859" s="3812"/>
      <c r="BX859" s="3812"/>
      <c r="BY859" s="3812"/>
      <c r="BZ859" s="3812"/>
      <c r="CA859" s="3812"/>
      <c r="CB859" s="3812">
        <f>110440-CB858</f>
        <v>54256.58</v>
      </c>
      <c r="CC859" s="3524"/>
      <c r="CD859" s="3524"/>
      <c r="CE859" s="5920"/>
      <c r="CF859" s="5920"/>
      <c r="CG859" s="5920"/>
      <c r="CH859" s="5920"/>
    </row>
    <row r="860" s="4981" customFormat="1" ht="35.85" customHeight="1" spans="1:86">
      <c r="A860" s="3812"/>
      <c r="B860" s="3812"/>
      <c r="C860" s="3812"/>
      <c r="D860" s="5059"/>
      <c r="E860" s="3812"/>
      <c r="F860" s="5059"/>
      <c r="G860" s="5059"/>
      <c r="H860" s="3812"/>
      <c r="I860" s="5205"/>
      <c r="J860" s="5059"/>
      <c r="K860" s="3812"/>
      <c r="L860" s="5059"/>
      <c r="M860" s="3812"/>
      <c r="N860" s="5201"/>
      <c r="O860" s="5201"/>
      <c r="P860" s="5201"/>
      <c r="Q860" s="5201"/>
      <c r="R860" s="5201"/>
      <c r="S860" s="5201"/>
      <c r="T860" s="5201"/>
      <c r="U860" s="5201"/>
      <c r="V860" s="5201"/>
      <c r="W860" s="5201"/>
      <c r="X860" s="5201"/>
      <c r="Y860" s="5201"/>
      <c r="Z860" s="5201"/>
      <c r="AA860" s="5201"/>
      <c r="AB860" s="5201"/>
      <c r="AC860" s="1032" t="s">
        <v>1707</v>
      </c>
      <c r="AD860" s="5241" t="s">
        <v>1701</v>
      </c>
      <c r="AE860" s="1095">
        <v>0.0625</v>
      </c>
      <c r="AF860" s="3812">
        <f>441760*AE860</f>
        <v>27610</v>
      </c>
      <c r="AG860" s="3812">
        <f>SUM(BA860:BN860)</f>
        <v>0</v>
      </c>
      <c r="AH860" s="3812"/>
      <c r="AI860" s="3812"/>
      <c r="AJ860" s="3812"/>
      <c r="AK860" s="3812"/>
      <c r="AL860" s="3812"/>
      <c r="AM860" s="3812"/>
      <c r="AN860" s="3812">
        <f t="shared" si="173"/>
        <v>0</v>
      </c>
      <c r="AO860" s="3812"/>
      <c r="AP860" s="3812">
        <f t="shared" ref="AP860:AP867" si="177">AG860-AN860</f>
        <v>0</v>
      </c>
      <c r="AQ860" s="5146"/>
      <c r="AR860" s="3812"/>
      <c r="AS860" s="5059"/>
      <c r="AT860" s="3812"/>
      <c r="AU860" s="5201"/>
      <c r="AV860" s="5201"/>
      <c r="AW860" s="5201"/>
      <c r="AX860" s="5201"/>
      <c r="AY860" s="5201"/>
      <c r="AZ860" s="5201"/>
      <c r="BA860" s="3812"/>
      <c r="BB860" s="3812"/>
      <c r="BC860" s="3812"/>
      <c r="BD860" s="3812"/>
      <c r="BE860" s="3812"/>
      <c r="BF860" s="3812"/>
      <c r="BG860" s="3812"/>
      <c r="BH860" s="5948"/>
      <c r="BI860" s="3812"/>
      <c r="BJ860" s="3812"/>
      <c r="BK860" s="3812"/>
      <c r="BL860" s="3812"/>
      <c r="BM860" s="3812"/>
      <c r="BN860" s="3812"/>
      <c r="BO860" s="3812"/>
      <c r="BP860" s="3812"/>
      <c r="BQ860" s="3812"/>
      <c r="BR860" s="3812"/>
      <c r="BS860" s="3812"/>
      <c r="BT860" s="3812"/>
      <c r="BU860" s="3812"/>
      <c r="BV860" s="3812"/>
      <c r="BW860" s="3812"/>
      <c r="BX860" s="3812"/>
      <c r="BY860" s="3812"/>
      <c r="BZ860" s="3812"/>
      <c r="CA860" s="3812"/>
      <c r="CB860" s="3812"/>
      <c r="CC860" s="3524"/>
      <c r="CD860" s="3524"/>
      <c r="CE860" s="5920"/>
      <c r="CF860" s="5920"/>
      <c r="CG860" s="5920"/>
      <c r="CH860" s="5920"/>
    </row>
    <row r="861" s="4981" customFormat="1" ht="35.85" customHeight="1" spans="1:86">
      <c r="A861" s="3812"/>
      <c r="B861" s="3812"/>
      <c r="C861" s="3812"/>
      <c r="D861" s="5059"/>
      <c r="E861" s="3812"/>
      <c r="F861" s="5059"/>
      <c r="G861" s="5059"/>
      <c r="H861" s="3812"/>
      <c r="I861" s="5205"/>
      <c r="J861" s="5059"/>
      <c r="K861" s="3812"/>
      <c r="L861" s="5059"/>
      <c r="M861" s="3812"/>
      <c r="N861" s="5201"/>
      <c r="O861" s="5201"/>
      <c r="P861" s="5201"/>
      <c r="Q861" s="5201"/>
      <c r="R861" s="5201"/>
      <c r="S861" s="5201"/>
      <c r="T861" s="5201"/>
      <c r="U861" s="5201"/>
      <c r="V861" s="5201"/>
      <c r="W861" s="5201"/>
      <c r="X861" s="5201"/>
      <c r="Y861" s="5201"/>
      <c r="Z861" s="5201"/>
      <c r="AA861" s="5201"/>
      <c r="AB861" s="5201"/>
      <c r="AC861" s="1032"/>
      <c r="AD861" s="5241" t="s">
        <v>1704</v>
      </c>
      <c r="AE861" s="1095">
        <v>0.0625</v>
      </c>
      <c r="AF861" s="3812">
        <f>441760*AE861</f>
        <v>27610</v>
      </c>
      <c r="AG861" s="3812">
        <f>SUM(BA861:BN861)</f>
        <v>0</v>
      </c>
      <c r="AH861" s="3812"/>
      <c r="AI861" s="3812"/>
      <c r="AJ861" s="3812"/>
      <c r="AK861" s="3812"/>
      <c r="AL861" s="3812"/>
      <c r="AM861" s="3812"/>
      <c r="AN861" s="3812">
        <f t="shared" si="173"/>
        <v>0</v>
      </c>
      <c r="AO861" s="3812"/>
      <c r="AP861" s="3812">
        <f t="shared" si="177"/>
        <v>0</v>
      </c>
      <c r="AQ861" s="5146"/>
      <c r="AR861" s="3812"/>
      <c r="AS861" s="5059"/>
      <c r="AT861" s="3812"/>
      <c r="AU861" s="5201"/>
      <c r="AV861" s="5201"/>
      <c r="AW861" s="5201"/>
      <c r="AX861" s="5201"/>
      <c r="AY861" s="5201"/>
      <c r="AZ861" s="5201"/>
      <c r="BA861" s="3812"/>
      <c r="BB861" s="3812"/>
      <c r="BC861" s="3812"/>
      <c r="BD861" s="3812"/>
      <c r="BE861" s="3812"/>
      <c r="BF861" s="3812"/>
      <c r="BG861" s="3812"/>
      <c r="BH861" s="5948"/>
      <c r="BI861" s="3812"/>
      <c r="BJ861" s="3812"/>
      <c r="BK861" s="3812"/>
      <c r="BL861" s="3812"/>
      <c r="BM861" s="3812"/>
      <c r="BN861" s="3812"/>
      <c r="BO861" s="3812"/>
      <c r="BP861" s="3812"/>
      <c r="BQ861" s="3812"/>
      <c r="BR861" s="3812"/>
      <c r="BS861" s="3812"/>
      <c r="BT861" s="3812"/>
      <c r="BU861" s="3812"/>
      <c r="BV861" s="3812"/>
      <c r="BW861" s="3812"/>
      <c r="BX861" s="3812"/>
      <c r="BY861" s="3812"/>
      <c r="BZ861" s="3812"/>
      <c r="CA861" s="3812"/>
      <c r="CB861" s="3812"/>
      <c r="CC861" s="3524"/>
      <c r="CD861" s="3524"/>
      <c r="CE861" s="5920"/>
      <c r="CF861" s="5920"/>
      <c r="CG861" s="5920"/>
      <c r="CH861" s="5920"/>
    </row>
    <row r="862" s="4981" customFormat="1" ht="35.85" customHeight="1" spans="1:86">
      <c r="A862" s="3812"/>
      <c r="B862" s="3812"/>
      <c r="C862" s="3812"/>
      <c r="D862" s="5059"/>
      <c r="E862" s="3812"/>
      <c r="F862" s="5059"/>
      <c r="G862" s="5059"/>
      <c r="H862" s="3812"/>
      <c r="I862" s="5205"/>
      <c r="J862" s="5059"/>
      <c r="K862" s="3812"/>
      <c r="L862" s="5059"/>
      <c r="M862" s="3812"/>
      <c r="N862" s="5201"/>
      <c r="O862" s="5201"/>
      <c r="P862" s="5201"/>
      <c r="Q862" s="5201"/>
      <c r="R862" s="5201"/>
      <c r="S862" s="5201"/>
      <c r="T862" s="5201"/>
      <c r="U862" s="5201"/>
      <c r="V862" s="5201"/>
      <c r="W862" s="5201"/>
      <c r="X862" s="5201"/>
      <c r="Y862" s="5201"/>
      <c r="Z862" s="5201"/>
      <c r="AA862" s="5201"/>
      <c r="AB862" s="5201"/>
      <c r="AC862" s="1032"/>
      <c r="AD862" s="5241" t="s">
        <v>1705</v>
      </c>
      <c r="AE862" s="1095">
        <v>0.0625</v>
      </c>
      <c r="AF862" s="3812">
        <f>441760*AE862</f>
        <v>27610</v>
      </c>
      <c r="AG862" s="3812">
        <f>SUM(BA862:BN862)</f>
        <v>0</v>
      </c>
      <c r="AH862" s="3812"/>
      <c r="AI862" s="3812"/>
      <c r="AJ862" s="3812"/>
      <c r="AK862" s="3812"/>
      <c r="AL862" s="3812"/>
      <c r="AM862" s="3812"/>
      <c r="AN862" s="3812">
        <f t="shared" si="173"/>
        <v>0</v>
      </c>
      <c r="AO862" s="3812"/>
      <c r="AP862" s="3812">
        <f t="shared" si="177"/>
        <v>0</v>
      </c>
      <c r="AQ862" s="5146"/>
      <c r="AR862" s="3812"/>
      <c r="AS862" s="5059"/>
      <c r="AT862" s="3812"/>
      <c r="AU862" s="5201"/>
      <c r="AV862" s="5201"/>
      <c r="AW862" s="5201"/>
      <c r="AX862" s="5201"/>
      <c r="AY862" s="5201"/>
      <c r="AZ862" s="5201"/>
      <c r="BA862" s="3812"/>
      <c r="BB862" s="3812"/>
      <c r="BC862" s="3812"/>
      <c r="BD862" s="3812"/>
      <c r="BE862" s="3812"/>
      <c r="BF862" s="3812"/>
      <c r="BG862" s="3812"/>
      <c r="BH862" s="5948"/>
      <c r="BI862" s="3812"/>
      <c r="BJ862" s="3812"/>
      <c r="BK862" s="3812"/>
      <c r="BL862" s="3812"/>
      <c r="BM862" s="3812"/>
      <c r="BN862" s="3812"/>
      <c r="BO862" s="3812"/>
      <c r="BP862" s="3812"/>
      <c r="BQ862" s="3812"/>
      <c r="BR862" s="3812"/>
      <c r="BS862" s="3812"/>
      <c r="BT862" s="3812"/>
      <c r="BU862" s="3812"/>
      <c r="BV862" s="3812"/>
      <c r="BW862" s="3812"/>
      <c r="BX862" s="3812"/>
      <c r="BY862" s="3812"/>
      <c r="BZ862" s="3812"/>
      <c r="CA862" s="3812"/>
      <c r="CB862" s="3812"/>
      <c r="CC862" s="3524"/>
      <c r="CD862" s="3524"/>
      <c r="CE862" s="5920"/>
      <c r="CF862" s="5920"/>
      <c r="CG862" s="5920"/>
      <c r="CH862" s="5920"/>
    </row>
    <row r="863" s="4981" customFormat="1" ht="29.15" customHeight="1" spans="1:86">
      <c r="A863" s="3812"/>
      <c r="B863" s="3812"/>
      <c r="C863" s="3812"/>
      <c r="D863" s="5059"/>
      <c r="E863" s="3812"/>
      <c r="F863" s="5059"/>
      <c r="G863" s="5059"/>
      <c r="H863" s="3812"/>
      <c r="I863" s="5205"/>
      <c r="J863" s="5059"/>
      <c r="K863" s="3812"/>
      <c r="L863" s="5059"/>
      <c r="M863" s="3812"/>
      <c r="N863" s="5201"/>
      <c r="O863" s="5201"/>
      <c r="P863" s="5201"/>
      <c r="Q863" s="5201"/>
      <c r="R863" s="5201"/>
      <c r="S863" s="5201"/>
      <c r="T863" s="5201"/>
      <c r="U863" s="5201"/>
      <c r="V863" s="5201"/>
      <c r="W863" s="5201"/>
      <c r="X863" s="5201"/>
      <c r="Y863" s="5201"/>
      <c r="Z863" s="5201"/>
      <c r="AA863" s="5201"/>
      <c r="AB863" s="5201"/>
      <c r="AC863" s="1032" t="s">
        <v>1708</v>
      </c>
      <c r="AD863" s="1032" t="s">
        <v>1709</v>
      </c>
      <c r="AE863" s="1095">
        <v>0.7</v>
      </c>
      <c r="AF863" s="3812">
        <f>146886*AE863</f>
        <v>102820.2</v>
      </c>
      <c r="AG863" s="3812">
        <f>SUM(BA863:BN866)</f>
        <v>102820.2</v>
      </c>
      <c r="AH863" s="857" t="s">
        <v>122</v>
      </c>
      <c r="AI863" s="3812">
        <v>44897</v>
      </c>
      <c r="AJ863" s="3812">
        <v>102820.2</v>
      </c>
      <c r="AK863" s="3812">
        <v>44897</v>
      </c>
      <c r="AL863" s="3812">
        <v>102820.2</v>
      </c>
      <c r="AM863" s="5059">
        <v>44967</v>
      </c>
      <c r="AN863" s="3812">
        <f t="shared" si="173"/>
        <v>51410.1</v>
      </c>
      <c r="AO863" s="3812">
        <v>45075</v>
      </c>
      <c r="AP863" s="3812">
        <f t="shared" si="177"/>
        <v>51410.1</v>
      </c>
      <c r="AQ863" s="5256" t="s">
        <v>1726</v>
      </c>
      <c r="AR863" s="3812"/>
      <c r="AS863" s="5059"/>
      <c r="AT863" s="3812"/>
      <c r="AU863" s="5201"/>
      <c r="AV863" s="5201"/>
      <c r="AW863" s="5201"/>
      <c r="AX863" s="5201"/>
      <c r="AY863" s="5201"/>
      <c r="AZ863" s="5201"/>
      <c r="BA863" s="3812"/>
      <c r="BB863" s="3812"/>
      <c r="BC863" s="3812"/>
      <c r="BD863" s="3812">
        <v>51410.1</v>
      </c>
      <c r="BE863" s="3812"/>
      <c r="BF863" s="3812"/>
      <c r="BG863" s="3812"/>
      <c r="BH863" s="5152"/>
      <c r="BI863" s="3812"/>
      <c r="BJ863" s="3812"/>
      <c r="BK863" s="3812"/>
      <c r="BL863" s="3812"/>
      <c r="BM863" s="3812"/>
      <c r="BN863" s="3812"/>
      <c r="BO863" s="3812"/>
      <c r="BP863" s="3812"/>
      <c r="BQ863" s="3812"/>
      <c r="BR863" s="3812">
        <v>51410.1</v>
      </c>
      <c r="BS863" s="3812"/>
      <c r="BT863" s="3812"/>
      <c r="BU863" s="3812"/>
      <c r="BV863" s="3812"/>
      <c r="BW863" s="3812"/>
      <c r="BX863" s="3812"/>
      <c r="BY863" s="3812"/>
      <c r="BZ863" s="3812"/>
      <c r="CA863" s="3812"/>
      <c r="CB863" s="3812"/>
      <c r="CC863" s="3524"/>
      <c r="CD863" s="3524"/>
      <c r="CE863" s="5920"/>
      <c r="CF863" s="5920"/>
      <c r="CG863" s="5920"/>
      <c r="CH863" s="5920"/>
    </row>
    <row r="864" s="4981" customFormat="1" ht="43.5" customHeight="1" spans="1:86">
      <c r="A864" s="3812"/>
      <c r="B864" s="3812"/>
      <c r="C864" s="3812"/>
      <c r="D864" s="5059"/>
      <c r="E864" s="3812"/>
      <c r="F864" s="5059"/>
      <c r="G864" s="5059"/>
      <c r="H864" s="3812"/>
      <c r="I864" s="5205"/>
      <c r="J864" s="5059"/>
      <c r="K864" s="3812"/>
      <c r="L864" s="5059"/>
      <c r="M864" s="3812"/>
      <c r="N864" s="5201"/>
      <c r="O864" s="5201"/>
      <c r="P864" s="5201"/>
      <c r="Q864" s="5201"/>
      <c r="R864" s="5201"/>
      <c r="S864" s="5201"/>
      <c r="T864" s="5201"/>
      <c r="U864" s="5201"/>
      <c r="V864" s="5201"/>
      <c r="W864" s="5201"/>
      <c r="X864" s="5201"/>
      <c r="Y864" s="5201"/>
      <c r="Z864" s="5201"/>
      <c r="AA864" s="5201"/>
      <c r="AB864" s="5201"/>
      <c r="AC864" s="1032"/>
      <c r="AD864" s="1032"/>
      <c r="AE864" s="1095"/>
      <c r="AF864" s="3812"/>
      <c r="AG864" s="3812"/>
      <c r="AH864" s="857"/>
      <c r="AI864" s="3812"/>
      <c r="AJ864" s="3812"/>
      <c r="AK864" s="3812"/>
      <c r="AL864" s="3812"/>
      <c r="AM864" s="5059"/>
      <c r="AN864" s="3812">
        <f t="shared" si="173"/>
        <v>25666.9</v>
      </c>
      <c r="AO864" s="3812">
        <v>45259</v>
      </c>
      <c r="AP864" s="3812">
        <f t="shared" si="177"/>
        <v>-25666.9</v>
      </c>
      <c r="AQ864" s="5256" t="s">
        <v>1728</v>
      </c>
      <c r="AR864" s="3812"/>
      <c r="AS864" s="5059"/>
      <c r="AT864" s="3812"/>
      <c r="AU864" s="5201"/>
      <c r="AV864" s="5201"/>
      <c r="AW864" s="5201"/>
      <c r="AX864" s="5201"/>
      <c r="AY864" s="5201"/>
      <c r="AZ864" s="5201"/>
      <c r="BA864" s="3812"/>
      <c r="BB864" s="3812"/>
      <c r="BC864" s="3812"/>
      <c r="BD864" s="3812"/>
      <c r="BE864" s="3812"/>
      <c r="BF864" s="3812"/>
      <c r="BG864" s="3812"/>
      <c r="BH864" s="5152"/>
      <c r="BI864" s="3812"/>
      <c r="BJ864" s="3812"/>
      <c r="BK864" s="3812"/>
      <c r="BL864" s="3812"/>
      <c r="BM864" s="4840"/>
      <c r="BN864" s="4840">
        <v>51410.1</v>
      </c>
      <c r="BO864" s="3812"/>
      <c r="BP864" s="3812"/>
      <c r="BQ864" s="3812"/>
      <c r="BR864" s="3812"/>
      <c r="BS864" s="3812"/>
      <c r="BT864" s="3812"/>
      <c r="BU864" s="3812"/>
      <c r="BV864" s="3812"/>
      <c r="BW864" s="3812"/>
      <c r="BX864" s="3812"/>
      <c r="BY864" s="3812"/>
      <c r="BZ864" s="3812"/>
      <c r="CA864" s="3812"/>
      <c r="CB864" s="3812">
        <v>25666.9</v>
      </c>
      <c r="CC864" s="3524"/>
      <c r="CD864" s="3524"/>
      <c r="CE864" s="5920"/>
      <c r="CF864" s="5920"/>
      <c r="CG864" s="5920"/>
      <c r="CH864" s="5920"/>
    </row>
    <row r="865" s="4981" customFormat="1" ht="43.5" customHeight="1" spans="1:86">
      <c r="A865" s="3812"/>
      <c r="B865" s="3812"/>
      <c r="C865" s="3812"/>
      <c r="D865" s="5059"/>
      <c r="E865" s="3812"/>
      <c r="F865" s="5059"/>
      <c r="G865" s="5059"/>
      <c r="H865" s="3812"/>
      <c r="I865" s="5205"/>
      <c r="J865" s="5059"/>
      <c r="K865" s="3812"/>
      <c r="L865" s="5059"/>
      <c r="M865" s="3812"/>
      <c r="N865" s="5201"/>
      <c r="O865" s="5201"/>
      <c r="P865" s="5201"/>
      <c r="Q865" s="5201"/>
      <c r="R865" s="5201"/>
      <c r="S865" s="5201"/>
      <c r="T865" s="5201"/>
      <c r="U865" s="5201"/>
      <c r="V865" s="5201"/>
      <c r="W865" s="5201"/>
      <c r="X865" s="5201"/>
      <c r="Y865" s="5201"/>
      <c r="Z865" s="5201"/>
      <c r="AA865" s="5201"/>
      <c r="AB865" s="5201"/>
      <c r="AC865" s="1032"/>
      <c r="AD865" s="1032"/>
      <c r="AE865" s="1095"/>
      <c r="AF865" s="3812"/>
      <c r="AG865" s="3812"/>
      <c r="AH865" s="857"/>
      <c r="AI865" s="3812"/>
      <c r="AJ865" s="3812"/>
      <c r="AK865" s="3812"/>
      <c r="AL865" s="3812"/>
      <c r="AM865" s="5059"/>
      <c r="AN865" s="3812">
        <f t="shared" si="173"/>
        <v>23816.58</v>
      </c>
      <c r="AO865" s="3812">
        <v>45469</v>
      </c>
      <c r="AP865" s="3812">
        <f t="shared" si="177"/>
        <v>-23816.58</v>
      </c>
      <c r="AQ865" s="5979" t="s">
        <v>1733</v>
      </c>
      <c r="AR865" s="3812"/>
      <c r="AS865" s="5059"/>
      <c r="AT865" s="3812"/>
      <c r="AU865" s="5201"/>
      <c r="AV865" s="5201"/>
      <c r="AW865" s="5201"/>
      <c r="AX865" s="5201"/>
      <c r="AY865" s="5201"/>
      <c r="AZ865" s="5201"/>
      <c r="BA865" s="3812"/>
      <c r="BB865" s="3812"/>
      <c r="BC865" s="3812"/>
      <c r="BD865" s="3812"/>
      <c r="BE865" s="3812"/>
      <c r="BF865" s="3812"/>
      <c r="BG865" s="3812"/>
      <c r="BH865" s="5152"/>
      <c r="BI865" s="3812"/>
      <c r="BJ865" s="3812"/>
      <c r="BK865" s="3812"/>
      <c r="BL865" s="3812"/>
      <c r="BM865" s="4841"/>
      <c r="BN865" s="4841"/>
      <c r="BO865" s="3812"/>
      <c r="BP865" s="3812"/>
      <c r="BQ865" s="3812"/>
      <c r="BR865" s="3812"/>
      <c r="BS865" s="3812"/>
      <c r="BT865" s="3812"/>
      <c r="BU865" s="3812"/>
      <c r="BV865" s="3812"/>
      <c r="BW865" s="3812"/>
      <c r="BX865" s="3812"/>
      <c r="BY865" s="3812"/>
      <c r="BZ865" s="3812"/>
      <c r="CA865" s="3812"/>
      <c r="CB865" s="3812">
        <v>23816.58</v>
      </c>
      <c r="CC865" s="3524"/>
      <c r="CD865" s="3524"/>
      <c r="CE865" s="5920"/>
      <c r="CF865" s="5920"/>
      <c r="CG865" s="5920"/>
      <c r="CH865" s="5920"/>
    </row>
    <row r="866" s="4981" customFormat="1" ht="36" customHeight="1" spans="1:86">
      <c r="A866" s="3812"/>
      <c r="B866" s="3812"/>
      <c r="C866" s="3812"/>
      <c r="D866" s="5059"/>
      <c r="E866" s="3812"/>
      <c r="F866" s="5059"/>
      <c r="G866" s="5059"/>
      <c r="H866" s="3812"/>
      <c r="I866" s="5205"/>
      <c r="J866" s="5059"/>
      <c r="K866" s="3812"/>
      <c r="L866" s="5059"/>
      <c r="M866" s="3812"/>
      <c r="N866" s="5201"/>
      <c r="O866" s="5201"/>
      <c r="P866" s="5201"/>
      <c r="Q866" s="5201"/>
      <c r="R866" s="5201"/>
      <c r="S866" s="5201"/>
      <c r="T866" s="5201"/>
      <c r="U866" s="5201"/>
      <c r="V866" s="5201"/>
      <c r="W866" s="5201"/>
      <c r="X866" s="5201"/>
      <c r="Y866" s="5201"/>
      <c r="Z866" s="5201"/>
      <c r="AA866" s="5201"/>
      <c r="AB866" s="5201"/>
      <c r="AC866" s="1032"/>
      <c r="AD866" s="1032"/>
      <c r="AE866" s="1095"/>
      <c r="AF866" s="3812"/>
      <c r="AG866" s="3812"/>
      <c r="AH866" s="857"/>
      <c r="AI866" s="3812"/>
      <c r="AJ866" s="3812"/>
      <c r="AK866" s="3812"/>
      <c r="AL866" s="3812"/>
      <c r="AM866" s="5059"/>
      <c r="AN866" s="3812">
        <f t="shared" ref="AN866:AN872" si="178">SUM(BO866:CB866)</f>
        <v>1926.62</v>
      </c>
      <c r="AO866" s="3812">
        <v>45520</v>
      </c>
      <c r="AP866" s="3812">
        <f t="shared" si="177"/>
        <v>-1926.62</v>
      </c>
      <c r="AQ866" s="5920"/>
      <c r="AR866" s="3812"/>
      <c r="AS866" s="5059"/>
      <c r="AT866" s="3812"/>
      <c r="AU866" s="5201"/>
      <c r="AV866" s="5201"/>
      <c r="AW866" s="5201"/>
      <c r="AX866" s="5201"/>
      <c r="AY866" s="5201"/>
      <c r="AZ866" s="5201"/>
      <c r="BA866" s="3812"/>
      <c r="BB866" s="3812"/>
      <c r="BC866" s="3812"/>
      <c r="BD866" s="3812"/>
      <c r="BE866" s="3812"/>
      <c r="BF866" s="3812"/>
      <c r="BG866" s="3812"/>
      <c r="BH866" s="5948"/>
      <c r="BI866" s="3812"/>
      <c r="BJ866" s="3812"/>
      <c r="BK866" s="3812"/>
      <c r="BL866" s="3812"/>
      <c r="BM866" s="4842"/>
      <c r="BN866" s="4842"/>
      <c r="BO866" s="3812"/>
      <c r="BP866" s="3812"/>
      <c r="BQ866" s="3812"/>
      <c r="BR866" s="3812"/>
      <c r="BS866" s="3812"/>
      <c r="BT866" s="3812"/>
      <c r="BU866" s="3812"/>
      <c r="BV866" s="5123"/>
      <c r="BW866" s="3812"/>
      <c r="BX866" s="3812"/>
      <c r="BY866" s="3812"/>
      <c r="BZ866" s="3812"/>
      <c r="CA866" s="3812"/>
      <c r="CB866" s="3812">
        <f>25743.2-CB865</f>
        <v>1926.62</v>
      </c>
      <c r="CC866" s="3524"/>
      <c r="CD866" s="3524"/>
      <c r="CE866" s="5920"/>
      <c r="CF866" s="5920"/>
      <c r="CG866" s="5920"/>
      <c r="CH866" s="5920"/>
    </row>
    <row r="867" s="4981" customFormat="1" ht="76" spans="1:86">
      <c r="A867" s="3812"/>
      <c r="B867" s="3812"/>
      <c r="C867" s="3812"/>
      <c r="D867" s="5059"/>
      <c r="E867" s="3812"/>
      <c r="F867" s="5059"/>
      <c r="G867" s="5059"/>
      <c r="H867" s="3812"/>
      <c r="I867" s="5206"/>
      <c r="J867" s="5059"/>
      <c r="K867" s="3812"/>
      <c r="L867" s="5059"/>
      <c r="M867" s="3812"/>
      <c r="N867" s="5201"/>
      <c r="O867" s="5201"/>
      <c r="P867" s="5201"/>
      <c r="Q867" s="5201"/>
      <c r="R867" s="5201"/>
      <c r="S867" s="5201"/>
      <c r="T867" s="5201"/>
      <c r="U867" s="5201"/>
      <c r="V867" s="5201"/>
      <c r="W867" s="5201"/>
      <c r="X867" s="5201"/>
      <c r="Y867" s="5201"/>
      <c r="Z867" s="5201"/>
      <c r="AA867" s="5201"/>
      <c r="AB867" s="5201"/>
      <c r="AC867" s="1032"/>
      <c r="AD867" s="5241" t="s">
        <v>1710</v>
      </c>
      <c r="AE867" s="1095">
        <v>0.3</v>
      </c>
      <c r="AF867" s="3812">
        <f>146886*AE867</f>
        <v>44065.8</v>
      </c>
      <c r="AG867" s="3812">
        <f t="shared" ref="AG867:AG872" si="179">SUM(BA867:BN867)</f>
        <v>0</v>
      </c>
      <c r="AH867" s="3812"/>
      <c r="AI867" s="5059"/>
      <c r="AJ867" s="3812"/>
      <c r="AK867" s="5059"/>
      <c r="AL867" s="5123"/>
      <c r="AM867" s="5346"/>
      <c r="AN867" s="3812">
        <f t="shared" si="178"/>
        <v>0</v>
      </c>
      <c r="AO867" s="5346"/>
      <c r="AP867" s="3812">
        <f t="shared" si="177"/>
        <v>0</v>
      </c>
      <c r="AQ867" s="5146"/>
      <c r="AR867" s="3812"/>
      <c r="AS867" s="5059"/>
      <c r="AT867" s="3812"/>
      <c r="AU867" s="5201"/>
      <c r="AV867" s="5201"/>
      <c r="AW867" s="5201"/>
      <c r="AX867" s="5201"/>
      <c r="AY867" s="5201"/>
      <c r="AZ867" s="5201"/>
      <c r="BA867" s="3812"/>
      <c r="BB867" s="3812"/>
      <c r="BC867" s="3812"/>
      <c r="BD867" s="3812"/>
      <c r="BE867" s="3812"/>
      <c r="BF867" s="3812"/>
      <c r="BG867" s="3812"/>
      <c r="BH867" s="5948"/>
      <c r="BI867" s="3812"/>
      <c r="BJ867" s="3812"/>
      <c r="BK867" s="3812"/>
      <c r="BL867" s="3812"/>
      <c r="BM867" s="3812"/>
      <c r="BN867" s="3812"/>
      <c r="BO867" s="3812"/>
      <c r="BP867" s="3812"/>
      <c r="BQ867" s="3812"/>
      <c r="BR867" s="3812"/>
      <c r="BS867" s="3812"/>
      <c r="BT867" s="3812"/>
      <c r="BU867" s="3812"/>
      <c r="BV867" s="5123"/>
      <c r="BW867" s="3812"/>
      <c r="BX867" s="3812"/>
      <c r="BY867" s="3812"/>
      <c r="BZ867" s="3812"/>
      <c r="CA867" s="3812"/>
      <c r="CB867" s="3812"/>
      <c r="CC867" s="3524"/>
      <c r="CD867" s="3524"/>
      <c r="CE867" s="5920"/>
      <c r="CF867" s="5920"/>
      <c r="CG867" s="5920"/>
      <c r="CH867" s="5920"/>
    </row>
    <row r="868" s="4973" customFormat="1" ht="61" customHeight="1" spans="1:86">
      <c r="A868" s="2680">
        <v>10</v>
      </c>
      <c r="B868" s="5969" t="s">
        <v>1186</v>
      </c>
      <c r="C868" s="3091">
        <v>43298</v>
      </c>
      <c r="D868" s="1125" t="s">
        <v>1734</v>
      </c>
      <c r="E868" s="5054" t="s">
        <v>171</v>
      </c>
      <c r="F868" s="5054" t="s">
        <v>1735</v>
      </c>
      <c r="G868" s="5338" t="s">
        <v>1736</v>
      </c>
      <c r="H868" s="3058" t="s">
        <v>31</v>
      </c>
      <c r="I868" s="5320"/>
      <c r="J868" s="1125" t="s">
        <v>1737</v>
      </c>
      <c r="K868" s="5338">
        <v>154032.03</v>
      </c>
      <c r="L868" s="5054" t="s">
        <v>1486</v>
      </c>
      <c r="M868" s="5054">
        <f>SUM(N868:AB871)</f>
        <v>1041810.7</v>
      </c>
      <c r="N868" s="2680">
        <v>0</v>
      </c>
      <c r="O868" s="2680">
        <v>0</v>
      </c>
      <c r="P868" s="2680">
        <v>0</v>
      </c>
      <c r="Q868" s="2680">
        <v>0</v>
      </c>
      <c r="R868" s="2680">
        <v>0</v>
      </c>
      <c r="S868" s="2680">
        <v>0</v>
      </c>
      <c r="T868" s="2680"/>
      <c r="U868" s="2680">
        <v>1041810.7</v>
      </c>
      <c r="V868" s="2680">
        <v>0</v>
      </c>
      <c r="W868" s="2680">
        <v>0</v>
      </c>
      <c r="X868" s="2680">
        <v>0</v>
      </c>
      <c r="Y868" s="2680"/>
      <c r="Z868" s="2680"/>
      <c r="AA868" s="2680">
        <v>0</v>
      </c>
      <c r="AB868" s="2680"/>
      <c r="AC868" s="3058">
        <v>1</v>
      </c>
      <c r="AD868" s="5974" t="s">
        <v>1738</v>
      </c>
      <c r="AE868" s="5975">
        <v>0.2</v>
      </c>
      <c r="AF868" s="3091">
        <v>215644.842</v>
      </c>
      <c r="AG868" s="3057">
        <f t="shared" si="179"/>
        <v>215644</v>
      </c>
      <c r="AH868" s="5054" t="s">
        <v>206</v>
      </c>
      <c r="AI868" s="3058">
        <v>43368</v>
      </c>
      <c r="AJ868" s="3058" t="s">
        <v>171</v>
      </c>
      <c r="AK868" s="3058" t="s">
        <v>171</v>
      </c>
      <c r="AL868" s="3058">
        <v>215644.84</v>
      </c>
      <c r="AM868" s="3058">
        <v>43368</v>
      </c>
      <c r="AN868" s="3057">
        <f t="shared" si="178"/>
        <v>215644</v>
      </c>
      <c r="AO868" s="3058">
        <v>43475</v>
      </c>
      <c r="AP868" s="3057">
        <f t="shared" ref="AP868:AP890" si="180">AG868-AN868</f>
        <v>0</v>
      </c>
      <c r="AQ868" s="5138"/>
      <c r="AR868" s="3058"/>
      <c r="AS868" s="5982"/>
      <c r="AT868" s="5138"/>
      <c r="AU868" s="2680">
        <f>SUM(AG868:AG871)</f>
        <v>1033802.47</v>
      </c>
      <c r="AV868" s="2680">
        <f>SUM(AL868:AL871)</f>
        <v>1041811.54</v>
      </c>
      <c r="AW868" s="2680">
        <f>SUM(AN868:AN871)</f>
        <v>1041810.7</v>
      </c>
      <c r="AX868" s="2680">
        <f>M868-AU868</f>
        <v>8008.22999999986</v>
      </c>
      <c r="AY868" s="2680">
        <f>AU868-AV868</f>
        <v>-8009.06999999995</v>
      </c>
      <c r="AZ868" s="2680">
        <f>AV868-AW868</f>
        <v>0.839999999967404</v>
      </c>
      <c r="BA868" s="5150"/>
      <c r="BB868" s="5150"/>
      <c r="BC868" s="3057"/>
      <c r="BD868" s="5150"/>
      <c r="BE868" s="5150"/>
      <c r="BF868" s="5150"/>
      <c r="BG868" s="5150"/>
      <c r="BH868" s="5988">
        <v>215644</v>
      </c>
      <c r="BI868" s="5150"/>
      <c r="BJ868" s="5150"/>
      <c r="BK868" s="5150"/>
      <c r="BL868" s="5150"/>
      <c r="BM868" s="5150"/>
      <c r="BN868" s="5150"/>
      <c r="BO868" s="5138"/>
      <c r="BP868" s="5138"/>
      <c r="BQ868" s="5138"/>
      <c r="BR868" s="5138"/>
      <c r="BS868" s="5138"/>
      <c r="BT868" s="5138"/>
      <c r="BU868" s="5138"/>
      <c r="BV868" s="5138">
        <v>215644</v>
      </c>
      <c r="BW868" s="5138"/>
      <c r="BX868" s="5138"/>
      <c r="BY868" s="5138"/>
      <c r="BZ868" s="5138"/>
      <c r="CA868" s="5138"/>
      <c r="CB868" s="5138"/>
      <c r="CC868" s="3058" t="s">
        <v>1739</v>
      </c>
      <c r="CD868" s="3058"/>
      <c r="CE868" s="5171"/>
      <c r="CF868" s="5171"/>
      <c r="CG868" s="5171"/>
      <c r="CH868" s="5171"/>
    </row>
    <row r="869" s="4973" customFormat="1" ht="61" customHeight="1" spans="1:86">
      <c r="A869" s="2680"/>
      <c r="B869" s="5969"/>
      <c r="C869" s="3091"/>
      <c r="D869" s="5054"/>
      <c r="E869" s="5054"/>
      <c r="F869" s="5054"/>
      <c r="G869" s="5338"/>
      <c r="H869" s="3058"/>
      <c r="I869" s="5321"/>
      <c r="J869" s="5054"/>
      <c r="K869" s="5338"/>
      <c r="L869" s="5054"/>
      <c r="M869" s="5054"/>
      <c r="N869" s="2680"/>
      <c r="O869" s="2680"/>
      <c r="P869" s="2680"/>
      <c r="Q869" s="2680"/>
      <c r="R869" s="2680"/>
      <c r="S869" s="2680"/>
      <c r="T869" s="2680"/>
      <c r="U869" s="2680"/>
      <c r="V869" s="2680"/>
      <c r="W869" s="2680"/>
      <c r="X869" s="2680"/>
      <c r="Y869" s="2680"/>
      <c r="Z869" s="2680"/>
      <c r="AA869" s="2680"/>
      <c r="AB869" s="2680"/>
      <c r="AC869" s="3058">
        <v>2</v>
      </c>
      <c r="AD869" s="5974" t="s">
        <v>1740</v>
      </c>
      <c r="AE869" s="5338">
        <v>0.3</v>
      </c>
      <c r="AF869" s="3091">
        <v>323467.263</v>
      </c>
      <c r="AG869" s="3057">
        <f t="shared" si="179"/>
        <v>331477.02</v>
      </c>
      <c r="AH869" s="584" t="s">
        <v>122</v>
      </c>
      <c r="AI869" s="3058">
        <v>43460</v>
      </c>
      <c r="AJ869" s="3058">
        <v>331477.02</v>
      </c>
      <c r="AK869" s="3058">
        <v>43822</v>
      </c>
      <c r="AL869" s="3058">
        <v>331477.02</v>
      </c>
      <c r="AM869" s="3058">
        <v>43822</v>
      </c>
      <c r="AN869" s="3057">
        <f t="shared" si="178"/>
        <v>331477.02</v>
      </c>
      <c r="AO869" s="3058">
        <v>43843</v>
      </c>
      <c r="AP869" s="3057">
        <f t="shared" si="180"/>
        <v>0</v>
      </c>
      <c r="AQ869" s="5138"/>
      <c r="AR869" s="3058"/>
      <c r="AS869" s="5982"/>
      <c r="AT869" s="5138"/>
      <c r="AU869" s="2680"/>
      <c r="AV869" s="2680"/>
      <c r="AW869" s="2680"/>
      <c r="AX869" s="2680"/>
      <c r="AY869" s="2680"/>
      <c r="AZ869" s="2680"/>
      <c r="BA869" s="5150"/>
      <c r="BB869" s="5150"/>
      <c r="BC869" s="3057"/>
      <c r="BD869" s="5150"/>
      <c r="BE869" s="5150"/>
      <c r="BF869" s="5150"/>
      <c r="BG869" s="5150"/>
      <c r="BH869" s="5988">
        <v>331477.02</v>
      </c>
      <c r="BI869" s="5150"/>
      <c r="BJ869" s="5150"/>
      <c r="BK869" s="5150"/>
      <c r="BL869" s="5150"/>
      <c r="BM869" s="5150"/>
      <c r="BN869" s="5150"/>
      <c r="BO869" s="5138"/>
      <c r="BP869" s="5138"/>
      <c r="BQ869" s="5138"/>
      <c r="BR869" s="5138"/>
      <c r="BS869" s="5138"/>
      <c r="BT869" s="5138"/>
      <c r="BU869" s="5138"/>
      <c r="BV869" s="5138">
        <v>331477.02</v>
      </c>
      <c r="BW869" s="5138"/>
      <c r="BX869" s="5138"/>
      <c r="BY869" s="5138"/>
      <c r="BZ869" s="5138"/>
      <c r="CA869" s="5138"/>
      <c r="CB869" s="5138"/>
      <c r="CC869" s="3058"/>
      <c r="CD869" s="3058"/>
      <c r="CE869" s="5171"/>
      <c r="CF869" s="5171"/>
      <c r="CG869" s="5171"/>
      <c r="CH869" s="5171"/>
    </row>
    <row r="870" s="4973" customFormat="1" ht="61" customHeight="1" spans="1:86">
      <c r="A870" s="2680"/>
      <c r="B870" s="5969"/>
      <c r="C870" s="3091"/>
      <c r="D870" s="5054"/>
      <c r="E870" s="5054"/>
      <c r="F870" s="5054"/>
      <c r="G870" s="5338"/>
      <c r="H870" s="3058"/>
      <c r="I870" s="5321"/>
      <c r="J870" s="5054"/>
      <c r="K870" s="5338"/>
      <c r="L870" s="5054"/>
      <c r="M870" s="5054"/>
      <c r="N870" s="2680"/>
      <c r="O870" s="2680"/>
      <c r="P870" s="2680"/>
      <c r="Q870" s="2680"/>
      <c r="R870" s="2680"/>
      <c r="S870" s="2680"/>
      <c r="T870" s="2680"/>
      <c r="U870" s="2680"/>
      <c r="V870" s="2680"/>
      <c r="W870" s="2680"/>
      <c r="X870" s="2680"/>
      <c r="Y870" s="2680"/>
      <c r="Z870" s="2680"/>
      <c r="AA870" s="2680"/>
      <c r="AB870" s="2680"/>
      <c r="AC870" s="3058">
        <v>3</v>
      </c>
      <c r="AD870" s="5974" t="s">
        <v>1741</v>
      </c>
      <c r="AE870" s="5338">
        <v>0.4</v>
      </c>
      <c r="AF870" s="3091">
        <v>431289.684</v>
      </c>
      <c r="AG870" s="3057">
        <f t="shared" si="179"/>
        <v>423280.77</v>
      </c>
      <c r="AH870" s="584" t="s">
        <v>122</v>
      </c>
      <c r="AI870" s="3058">
        <v>43460</v>
      </c>
      <c r="AJ870" s="3058" t="s">
        <v>171</v>
      </c>
      <c r="AK870" s="3058" t="s">
        <v>171</v>
      </c>
      <c r="AL870" s="3058">
        <v>431289</v>
      </c>
      <c r="AM870" s="3058">
        <v>43999</v>
      </c>
      <c r="AN870" s="3057">
        <f t="shared" si="178"/>
        <v>431289</v>
      </c>
      <c r="AO870" s="3057">
        <v>44028</v>
      </c>
      <c r="AP870" s="3057">
        <f t="shared" si="180"/>
        <v>-8008.22999999998</v>
      </c>
      <c r="AQ870" s="5054" t="s">
        <v>1742</v>
      </c>
      <c r="AR870" s="3058"/>
      <c r="AS870" s="5837" t="s">
        <v>1505</v>
      </c>
      <c r="AT870" s="5138"/>
      <c r="AU870" s="2680"/>
      <c r="AV870" s="2680"/>
      <c r="AW870" s="2680"/>
      <c r="AX870" s="2680"/>
      <c r="AY870" s="2680"/>
      <c r="AZ870" s="2680"/>
      <c r="BA870" s="5150"/>
      <c r="BB870" s="5150"/>
      <c r="BC870" s="3057"/>
      <c r="BD870" s="5150"/>
      <c r="BE870" s="5150"/>
      <c r="BF870" s="5150"/>
      <c r="BG870" s="5150"/>
      <c r="BH870" s="5988">
        <v>423280.77</v>
      </c>
      <c r="BI870" s="5150"/>
      <c r="BJ870" s="5150"/>
      <c r="BK870" s="5150"/>
      <c r="BL870" s="5150"/>
      <c r="BM870" s="5150"/>
      <c r="BN870" s="5150"/>
      <c r="BO870" s="5138"/>
      <c r="BP870" s="5138"/>
      <c r="BQ870" s="5138"/>
      <c r="BR870" s="5138"/>
      <c r="BS870" s="5138"/>
      <c r="BT870" s="5138"/>
      <c r="BU870" s="5138"/>
      <c r="BV870" s="5159">
        <v>431289</v>
      </c>
      <c r="BW870" s="5138"/>
      <c r="BX870" s="5138"/>
      <c r="BY870" s="5138"/>
      <c r="BZ870" s="5138"/>
      <c r="CA870" s="5138"/>
      <c r="CB870" s="5138"/>
      <c r="CC870" s="3058"/>
      <c r="CD870" s="3058"/>
      <c r="CE870" s="5171"/>
      <c r="CF870" s="5171"/>
      <c r="CG870" s="5171"/>
      <c r="CH870" s="5171"/>
    </row>
    <row r="871" s="4973" customFormat="1" ht="61" customHeight="1" spans="1:86">
      <c r="A871" s="2680"/>
      <c r="B871" s="5969"/>
      <c r="C871" s="3091"/>
      <c r="D871" s="5054"/>
      <c r="E871" s="5054"/>
      <c r="F871" s="5054"/>
      <c r="G871" s="5338"/>
      <c r="H871" s="3058"/>
      <c r="I871" s="5322"/>
      <c r="J871" s="5054"/>
      <c r="K871" s="5338"/>
      <c r="L871" s="5054"/>
      <c r="M871" s="5054"/>
      <c r="N871" s="2680"/>
      <c r="O871" s="2680"/>
      <c r="P871" s="2680"/>
      <c r="Q871" s="2680"/>
      <c r="R871" s="2680"/>
      <c r="S871" s="2680"/>
      <c r="T871" s="2680"/>
      <c r="U871" s="2680"/>
      <c r="V871" s="2680"/>
      <c r="W871" s="2680"/>
      <c r="X871" s="2680"/>
      <c r="Y871" s="2680"/>
      <c r="Z871" s="2680"/>
      <c r="AA871" s="2680"/>
      <c r="AB871" s="2680"/>
      <c r="AC871" s="3058">
        <v>4</v>
      </c>
      <c r="AD871" s="5974" t="s">
        <v>1743</v>
      </c>
      <c r="AE871" s="5975">
        <v>0.1</v>
      </c>
      <c r="AF871" s="3091">
        <v>107822.421</v>
      </c>
      <c r="AG871" s="3057">
        <f t="shared" si="179"/>
        <v>63400.68</v>
      </c>
      <c r="AH871" s="584" t="s">
        <v>122</v>
      </c>
      <c r="AI871" s="3057">
        <v>44555</v>
      </c>
      <c r="AJ871" s="3057">
        <f>SUM(BD871:BQ871)</f>
        <v>63400.68</v>
      </c>
      <c r="AK871" s="3057">
        <v>44545</v>
      </c>
      <c r="AL871" s="3057">
        <v>63400.68</v>
      </c>
      <c r="AM871" s="3057">
        <v>44851</v>
      </c>
      <c r="AN871" s="3057">
        <f t="shared" si="178"/>
        <v>63400.68</v>
      </c>
      <c r="AO871" s="3057">
        <v>44889</v>
      </c>
      <c r="AP871" s="3057">
        <f t="shared" si="180"/>
        <v>0</v>
      </c>
      <c r="AQ871" s="5131"/>
      <c r="AR871" s="3058"/>
      <c r="AS871" s="5982"/>
      <c r="AT871" s="5138"/>
      <c r="AU871" s="2680"/>
      <c r="AV871" s="2680"/>
      <c r="AW871" s="2680"/>
      <c r="AX871" s="2680"/>
      <c r="AY871" s="2680"/>
      <c r="AZ871" s="2680"/>
      <c r="BA871" s="5150"/>
      <c r="BB871" s="5150"/>
      <c r="BC871" s="3057"/>
      <c r="BD871" s="5150"/>
      <c r="BE871" s="5150"/>
      <c r="BF871" s="5150"/>
      <c r="BG871" s="5150"/>
      <c r="BH871" s="5988">
        <v>63400.68</v>
      </c>
      <c r="BI871" s="5150"/>
      <c r="BJ871" s="5150"/>
      <c r="BK871" s="5150"/>
      <c r="BL871" s="5150"/>
      <c r="BM871" s="5150"/>
      <c r="BN871" s="5150"/>
      <c r="BO871" s="5138"/>
      <c r="BP871" s="5138"/>
      <c r="BQ871" s="5138"/>
      <c r="BR871" s="5138"/>
      <c r="BS871" s="5138"/>
      <c r="BT871" s="5138"/>
      <c r="BU871" s="5138"/>
      <c r="BV871" s="5138">
        <v>63400.68</v>
      </c>
      <c r="BW871" s="5138"/>
      <c r="BX871" s="5138"/>
      <c r="BY871" s="5138"/>
      <c r="BZ871" s="5138"/>
      <c r="CA871" s="5138"/>
      <c r="CB871" s="5138"/>
      <c r="CC871" s="3058"/>
      <c r="CD871" s="3058"/>
      <c r="CE871" s="5171"/>
      <c r="CF871" s="5171"/>
      <c r="CG871" s="5171"/>
      <c r="CH871" s="5171"/>
    </row>
    <row r="872" s="4973" customFormat="1" ht="52.5" customHeight="1" spans="1:86">
      <c r="A872" s="2680">
        <v>10</v>
      </c>
      <c r="B872" s="5969" t="s">
        <v>1186</v>
      </c>
      <c r="C872" s="3091">
        <v>44029</v>
      </c>
      <c r="D872" s="1125" t="s">
        <v>1744</v>
      </c>
      <c r="E872" s="5054" t="s">
        <v>1745</v>
      </c>
      <c r="F872" s="5054" t="s">
        <v>1746</v>
      </c>
      <c r="G872" s="5338" t="s">
        <v>1747</v>
      </c>
      <c r="H872" s="3058" t="s">
        <v>31</v>
      </c>
      <c r="I872" s="3058"/>
      <c r="J872" s="5054" t="s">
        <v>1748</v>
      </c>
      <c r="K872" s="5338">
        <v>133965.1</v>
      </c>
      <c r="L872" s="5054" t="s">
        <v>1749</v>
      </c>
      <c r="M872" s="5054">
        <f>SUM(N872:AA874)</f>
        <v>669825.5</v>
      </c>
      <c r="N872" s="2680">
        <v>0</v>
      </c>
      <c r="O872" s="2680">
        <v>0</v>
      </c>
      <c r="P872" s="2680">
        <v>0</v>
      </c>
      <c r="Q872" s="2680">
        <v>0</v>
      </c>
      <c r="R872" s="2680">
        <v>0</v>
      </c>
      <c r="S872" s="2680">
        <v>0</v>
      </c>
      <c r="T872" s="5823">
        <v>0</v>
      </c>
      <c r="U872" s="2680">
        <v>669825.5</v>
      </c>
      <c r="V872" s="2680">
        <v>0</v>
      </c>
      <c r="W872" s="2680">
        <v>0</v>
      </c>
      <c r="X872" s="2680">
        <v>0</v>
      </c>
      <c r="Y872" s="2680"/>
      <c r="Z872" s="2680"/>
      <c r="AA872" s="2680">
        <v>0</v>
      </c>
      <c r="AB872" s="2680"/>
      <c r="AC872" s="3058">
        <v>1</v>
      </c>
      <c r="AD872" s="5974" t="s">
        <v>1750</v>
      </c>
      <c r="AE872" s="5975">
        <v>0.2</v>
      </c>
      <c r="AF872" s="3091">
        <f>M872*AE872</f>
        <v>133965.1</v>
      </c>
      <c r="AG872" s="3057">
        <f t="shared" si="179"/>
        <v>535860.4</v>
      </c>
      <c r="AH872" s="5054" t="s">
        <v>206</v>
      </c>
      <c r="AI872" s="3058">
        <v>44060</v>
      </c>
      <c r="AJ872" s="3058">
        <v>535860.68</v>
      </c>
      <c r="AK872" s="3058">
        <v>44060</v>
      </c>
      <c r="AL872" s="3058">
        <v>535860.4</v>
      </c>
      <c r="AM872" s="3058">
        <v>44060</v>
      </c>
      <c r="AN872" s="3057">
        <f t="shared" si="178"/>
        <v>535860.4</v>
      </c>
      <c r="AO872" s="3057">
        <v>44134</v>
      </c>
      <c r="AP872" s="3057">
        <f t="shared" si="180"/>
        <v>0</v>
      </c>
      <c r="AQ872" s="1125" t="s">
        <v>1463</v>
      </c>
      <c r="AR872" s="584" t="s">
        <v>1463</v>
      </c>
      <c r="AS872" s="5054" t="s">
        <v>1751</v>
      </c>
      <c r="AT872" s="5138"/>
      <c r="AU872" s="2680">
        <f>SUM(AG872:AG874)</f>
        <v>669825.5</v>
      </c>
      <c r="AV872" s="2680">
        <f>SUM(AL872:AL874)</f>
        <v>669825.5</v>
      </c>
      <c r="AW872" s="2680">
        <f>SUM(AN872:AN874)</f>
        <v>669825.5</v>
      </c>
      <c r="AX872" s="2680">
        <f>M872-AU872</f>
        <v>0</v>
      </c>
      <c r="AY872" s="2680">
        <f>AU872-AV872</f>
        <v>0</v>
      </c>
      <c r="AZ872" s="2680">
        <f>AV872-AW872</f>
        <v>0</v>
      </c>
      <c r="BA872" s="5150"/>
      <c r="BB872" s="5150"/>
      <c r="BC872" s="3057"/>
      <c r="BD872" s="5150"/>
      <c r="BE872" s="5150"/>
      <c r="BF872" s="5150"/>
      <c r="BG872" s="5150"/>
      <c r="BH872" s="5988">
        <v>535860.4</v>
      </c>
      <c r="BI872" s="5150"/>
      <c r="BJ872" s="5150"/>
      <c r="BK872" s="5150"/>
      <c r="BL872" s="5150"/>
      <c r="BM872" s="5150"/>
      <c r="BN872" s="5150"/>
      <c r="BO872" s="5138"/>
      <c r="BP872" s="5138"/>
      <c r="BQ872" s="5138"/>
      <c r="BR872" s="5138"/>
      <c r="BS872" s="5138"/>
      <c r="BT872" s="5138"/>
      <c r="BU872" s="5138"/>
      <c r="BV872" s="3057">
        <v>535860.4</v>
      </c>
      <c r="BW872" s="5138"/>
      <c r="BX872" s="5138"/>
      <c r="BY872" s="5138"/>
      <c r="BZ872" s="5138"/>
      <c r="CA872" s="5138"/>
      <c r="CB872" s="5138"/>
      <c r="CC872" s="3058" t="s">
        <v>166</v>
      </c>
      <c r="CD872" s="3058" t="s">
        <v>154</v>
      </c>
      <c r="CE872" s="5171"/>
      <c r="CF872" s="5171"/>
      <c r="CG872" s="5171"/>
      <c r="CH872" s="5171"/>
    </row>
    <row r="873" s="4973" customFormat="1" ht="61" customHeight="1" spans="1:86">
      <c r="A873" s="3524"/>
      <c r="B873" s="5969"/>
      <c r="C873" s="3091"/>
      <c r="D873" s="5054"/>
      <c r="E873" s="5054"/>
      <c r="F873" s="5054"/>
      <c r="G873" s="5338"/>
      <c r="H873" s="3058"/>
      <c r="I873" s="3058"/>
      <c r="J873" s="5054"/>
      <c r="K873" s="5338"/>
      <c r="L873" s="5054"/>
      <c r="M873" s="5054"/>
      <c r="N873" s="5970"/>
      <c r="O873" s="5970"/>
      <c r="P873" s="5970"/>
      <c r="Q873" s="5970"/>
      <c r="R873" s="5970"/>
      <c r="S873" s="5970"/>
      <c r="T873" s="5970"/>
      <c r="U873" s="5970"/>
      <c r="V873" s="5970"/>
      <c r="W873" s="5970"/>
      <c r="X873" s="5970"/>
      <c r="Y873" s="5970"/>
      <c r="Z873" s="5970"/>
      <c r="AA873" s="5970"/>
      <c r="AB873" s="5970"/>
      <c r="AC873" s="3058">
        <v>2</v>
      </c>
      <c r="AD873" s="5974" t="s">
        <v>1752</v>
      </c>
      <c r="AE873" s="5338">
        <v>0.6</v>
      </c>
      <c r="AF873" s="3091">
        <f>M872*AE873</f>
        <v>401895.3</v>
      </c>
      <c r="AG873" s="3057"/>
      <c r="AH873" s="5054"/>
      <c r="AI873" s="3058"/>
      <c r="AJ873" s="3058"/>
      <c r="AK873" s="3058"/>
      <c r="AL873" s="3058"/>
      <c r="AM873" s="3058"/>
      <c r="AN873" s="3057"/>
      <c r="AO873" s="3057"/>
      <c r="AP873" s="3057">
        <f t="shared" si="180"/>
        <v>0</v>
      </c>
      <c r="AQ873" s="5054"/>
      <c r="AR873" s="3058"/>
      <c r="AS873" s="5054"/>
      <c r="AT873" s="5138"/>
      <c r="AU873" s="5970"/>
      <c r="AV873" s="5970"/>
      <c r="AW873" s="5970"/>
      <c r="AX873" s="5970"/>
      <c r="AY873" s="5970"/>
      <c r="AZ873" s="5970"/>
      <c r="BA873" s="5150"/>
      <c r="BB873" s="5150"/>
      <c r="BC873" s="3057"/>
      <c r="BD873" s="5150"/>
      <c r="BE873" s="5150"/>
      <c r="BF873" s="5150"/>
      <c r="BG873" s="5150"/>
      <c r="BH873" s="5988"/>
      <c r="BI873" s="5150"/>
      <c r="BJ873" s="5150"/>
      <c r="BK873" s="5150"/>
      <c r="BL873" s="5150"/>
      <c r="BM873" s="5150"/>
      <c r="BN873" s="5150"/>
      <c r="BO873" s="5138"/>
      <c r="BP873" s="5138"/>
      <c r="BQ873" s="5138"/>
      <c r="BR873" s="5138"/>
      <c r="BS873" s="5138"/>
      <c r="BT873" s="5138"/>
      <c r="BU873" s="5138"/>
      <c r="BV873" s="3057"/>
      <c r="BW873" s="5138"/>
      <c r="BX873" s="5138"/>
      <c r="BY873" s="5138"/>
      <c r="BZ873" s="5138"/>
      <c r="CA873" s="5138"/>
      <c r="CB873" s="5138"/>
      <c r="CC873" s="3058"/>
      <c r="CD873" s="3058"/>
      <c r="CE873" s="5171"/>
      <c r="CF873" s="5171"/>
      <c r="CG873" s="5171"/>
      <c r="CH873" s="5171"/>
    </row>
    <row r="874" s="4973" customFormat="1" ht="50.85" customHeight="1" spans="1:86">
      <c r="A874" s="2680"/>
      <c r="B874" s="5969"/>
      <c r="C874" s="3091"/>
      <c r="D874" s="5054"/>
      <c r="E874" s="5054"/>
      <c r="F874" s="5054"/>
      <c r="G874" s="5338"/>
      <c r="H874" s="3058"/>
      <c r="I874" s="3058"/>
      <c r="J874" s="5054"/>
      <c r="K874" s="5338"/>
      <c r="L874" s="5054"/>
      <c r="M874" s="5054"/>
      <c r="N874" s="2680"/>
      <c r="O874" s="2680"/>
      <c r="P874" s="2680"/>
      <c r="Q874" s="2680"/>
      <c r="R874" s="2680"/>
      <c r="S874" s="2680"/>
      <c r="T874" s="2680"/>
      <c r="U874" s="2680"/>
      <c r="V874" s="2680"/>
      <c r="W874" s="2680"/>
      <c r="X874" s="2680"/>
      <c r="Y874" s="2680"/>
      <c r="Z874" s="2680"/>
      <c r="AA874" s="2680"/>
      <c r="AB874" s="2680"/>
      <c r="AC874" s="3058">
        <v>3</v>
      </c>
      <c r="AD874" s="5974" t="s">
        <v>1753</v>
      </c>
      <c r="AE874" s="5338">
        <v>0.2</v>
      </c>
      <c r="AF874" s="3091">
        <f>M872*AE874</f>
        <v>133965.1</v>
      </c>
      <c r="AG874" s="3057">
        <f t="shared" ref="AG874:AG882" si="181">SUM(BA874:BN874)</f>
        <v>133965.1</v>
      </c>
      <c r="AH874" s="584" t="s">
        <v>122</v>
      </c>
      <c r="AI874" s="3057">
        <v>44060</v>
      </c>
      <c r="AJ874" s="3057">
        <v>133965.1</v>
      </c>
      <c r="AK874" s="3057">
        <v>44060</v>
      </c>
      <c r="AL874" s="3057">
        <v>133965.1</v>
      </c>
      <c r="AM874" s="3057">
        <v>44428</v>
      </c>
      <c r="AN874" s="3057">
        <f t="shared" ref="AN874:AN888" si="182">SUM(BO874:CB874)</f>
        <v>133965.1</v>
      </c>
      <c r="AO874" s="3057">
        <v>44468</v>
      </c>
      <c r="AP874" s="3057">
        <f t="shared" si="180"/>
        <v>0</v>
      </c>
      <c r="AQ874" s="5054"/>
      <c r="AR874" s="3058"/>
      <c r="AS874" s="5837" t="s">
        <v>1754</v>
      </c>
      <c r="AT874" s="5138"/>
      <c r="AU874" s="2680"/>
      <c r="AV874" s="2680"/>
      <c r="AW874" s="2680"/>
      <c r="AX874" s="2680"/>
      <c r="AY874" s="2680"/>
      <c r="AZ874" s="2680"/>
      <c r="BA874" s="5150"/>
      <c r="BB874" s="5150"/>
      <c r="BC874" s="3057"/>
      <c r="BD874" s="5150"/>
      <c r="BE874" s="5150"/>
      <c r="BF874" s="5150"/>
      <c r="BG874" s="5150"/>
      <c r="BH874" s="5988">
        <v>133965.1</v>
      </c>
      <c r="BI874" s="5150"/>
      <c r="BJ874" s="5150"/>
      <c r="BK874" s="5150"/>
      <c r="BL874" s="5150"/>
      <c r="BM874" s="5150"/>
      <c r="BN874" s="5150"/>
      <c r="BO874" s="5138"/>
      <c r="BP874" s="5138"/>
      <c r="BQ874" s="5138"/>
      <c r="BR874" s="5138"/>
      <c r="BS874" s="5138"/>
      <c r="BT874" s="5138"/>
      <c r="BU874" s="5138"/>
      <c r="BV874" s="3057">
        <v>133965.1</v>
      </c>
      <c r="BW874" s="5138"/>
      <c r="BX874" s="5138"/>
      <c r="BY874" s="5138"/>
      <c r="BZ874" s="5138"/>
      <c r="CA874" s="5138"/>
      <c r="CB874" s="5138"/>
      <c r="CC874" s="3058"/>
      <c r="CD874" s="3058"/>
      <c r="CE874" s="5171"/>
      <c r="CF874" s="5171"/>
      <c r="CG874" s="5171"/>
      <c r="CH874" s="5171"/>
    </row>
    <row r="875" s="4973" customFormat="1" ht="61" customHeight="1" spans="1:86">
      <c r="A875" s="2680">
        <v>10</v>
      </c>
      <c r="B875" s="5969" t="s">
        <v>1186</v>
      </c>
      <c r="C875" s="3091">
        <v>44120</v>
      </c>
      <c r="D875" s="1125" t="s">
        <v>1755</v>
      </c>
      <c r="E875" s="5054" t="s">
        <v>1756</v>
      </c>
      <c r="F875" s="5054" t="s">
        <v>1757</v>
      </c>
      <c r="G875" s="5338" t="s">
        <v>1758</v>
      </c>
      <c r="H875" s="3058" t="s">
        <v>31</v>
      </c>
      <c r="I875" s="5320"/>
      <c r="J875" s="5054" t="s">
        <v>1748</v>
      </c>
      <c r="K875" s="5338">
        <v>100254.49</v>
      </c>
      <c r="L875" s="5054" t="s">
        <v>1749</v>
      </c>
      <c r="M875" s="5054">
        <f>SUM(N875:AA877)</f>
        <v>501272.45</v>
      </c>
      <c r="N875" s="2680">
        <v>0</v>
      </c>
      <c r="O875" s="2680">
        <v>0</v>
      </c>
      <c r="P875" s="2680">
        <v>0</v>
      </c>
      <c r="Q875" s="2680">
        <v>0</v>
      </c>
      <c r="R875" s="2680">
        <v>0</v>
      </c>
      <c r="S875" s="2680">
        <v>0</v>
      </c>
      <c r="T875" s="5823">
        <v>0</v>
      </c>
      <c r="U875" s="2680">
        <v>501272.45</v>
      </c>
      <c r="V875" s="2680">
        <v>0</v>
      </c>
      <c r="W875" s="2680">
        <v>0</v>
      </c>
      <c r="X875" s="2680">
        <v>0</v>
      </c>
      <c r="Y875" s="2680"/>
      <c r="Z875" s="2680"/>
      <c r="AA875" s="2680">
        <v>0</v>
      </c>
      <c r="AB875" s="2680"/>
      <c r="AC875" s="3058">
        <v>1</v>
      </c>
      <c r="AD875" s="5974" t="s">
        <v>1750</v>
      </c>
      <c r="AE875" s="5975">
        <v>0.2</v>
      </c>
      <c r="AF875" s="3091">
        <f>M875*AE875</f>
        <v>100254.49</v>
      </c>
      <c r="AG875" s="3057">
        <f t="shared" si="181"/>
        <v>100254.49</v>
      </c>
      <c r="AH875" s="5054" t="s">
        <v>206</v>
      </c>
      <c r="AI875" s="3057">
        <v>44160</v>
      </c>
      <c r="AJ875" s="3057">
        <f>SUM(BD875:BQ875)</f>
        <v>100254.49</v>
      </c>
      <c r="AK875" s="3057">
        <v>44160</v>
      </c>
      <c r="AL875" s="3057">
        <v>100254.49</v>
      </c>
      <c r="AM875" s="3058">
        <v>44179</v>
      </c>
      <c r="AN875" s="3057">
        <f t="shared" si="182"/>
        <v>100254.49</v>
      </c>
      <c r="AO875" s="3057">
        <v>44224</v>
      </c>
      <c r="AP875" s="3057">
        <f t="shared" si="180"/>
        <v>0</v>
      </c>
      <c r="AQ875" s="584" t="s">
        <v>1463</v>
      </c>
      <c r="AR875" s="584" t="s">
        <v>1463</v>
      </c>
      <c r="AS875" s="5054"/>
      <c r="AT875" s="5138"/>
      <c r="AU875" s="2680">
        <f>SUM(AG875:AG877)</f>
        <v>501272.45</v>
      </c>
      <c r="AV875" s="2680">
        <f>SUM(AL875:AL877)</f>
        <v>501272.45</v>
      </c>
      <c r="AW875" s="2680">
        <f>SUM(AN875:AN877)</f>
        <v>501272.45</v>
      </c>
      <c r="AX875" s="2680">
        <f>M875-AU875</f>
        <v>0</v>
      </c>
      <c r="AY875" s="2680">
        <f>AU875-AV875</f>
        <v>0</v>
      </c>
      <c r="AZ875" s="2680">
        <f>AV875-AW875</f>
        <v>0</v>
      </c>
      <c r="BA875" s="5150"/>
      <c r="BB875" s="5150"/>
      <c r="BC875" s="3057"/>
      <c r="BD875" s="5150"/>
      <c r="BE875" s="5150"/>
      <c r="BF875" s="5150"/>
      <c r="BG875" s="5150"/>
      <c r="BH875" s="5988">
        <v>100254.49</v>
      </c>
      <c r="BI875" s="5150"/>
      <c r="BJ875" s="5150"/>
      <c r="BK875" s="5150"/>
      <c r="BL875" s="5150"/>
      <c r="BM875" s="5150"/>
      <c r="BN875" s="5150"/>
      <c r="BO875" s="5150"/>
      <c r="BP875" s="5150"/>
      <c r="BQ875" s="5150"/>
      <c r="BR875" s="5150"/>
      <c r="BS875" s="5150"/>
      <c r="BT875" s="5150"/>
      <c r="BU875" s="5150"/>
      <c r="BV875" s="3057">
        <v>100254.49</v>
      </c>
      <c r="BW875" s="5150"/>
      <c r="BX875" s="5150"/>
      <c r="BY875" s="5150"/>
      <c r="BZ875" s="5150"/>
      <c r="CA875" s="5150"/>
      <c r="CB875" s="5150"/>
      <c r="CC875" s="3058" t="s">
        <v>166</v>
      </c>
      <c r="CD875" s="3058" t="s">
        <v>154</v>
      </c>
      <c r="CE875" s="5171"/>
      <c r="CF875" s="5171"/>
      <c r="CG875" s="5171"/>
      <c r="CH875" s="5171"/>
    </row>
    <row r="876" s="4973" customFormat="1" ht="61" customHeight="1" spans="1:86">
      <c r="A876" s="2680"/>
      <c r="B876" s="5969"/>
      <c r="C876" s="3091"/>
      <c r="D876" s="5054"/>
      <c r="E876" s="5054"/>
      <c r="F876" s="5054"/>
      <c r="G876" s="5338"/>
      <c r="H876" s="3058"/>
      <c r="I876" s="5321"/>
      <c r="J876" s="5054"/>
      <c r="K876" s="5338"/>
      <c r="L876" s="5054"/>
      <c r="M876" s="5054"/>
      <c r="N876" s="2680"/>
      <c r="O876" s="2680"/>
      <c r="P876" s="2680"/>
      <c r="Q876" s="2680"/>
      <c r="R876" s="2680"/>
      <c r="S876" s="2680"/>
      <c r="T876" s="2680"/>
      <c r="U876" s="2680"/>
      <c r="V876" s="2680"/>
      <c r="W876" s="2680"/>
      <c r="X876" s="2680"/>
      <c r="Y876" s="2680"/>
      <c r="Z876" s="2680"/>
      <c r="AA876" s="2680"/>
      <c r="AB876" s="2680"/>
      <c r="AC876" s="3058">
        <v>2</v>
      </c>
      <c r="AD876" s="5974" t="s">
        <v>1752</v>
      </c>
      <c r="AE876" s="5338">
        <v>0.6</v>
      </c>
      <c r="AF876" s="3091">
        <f>M875*AE876</f>
        <v>300763.47</v>
      </c>
      <c r="AG876" s="3057">
        <f t="shared" si="181"/>
        <v>300763.47</v>
      </c>
      <c r="AH876" s="5054"/>
      <c r="AI876" s="3057">
        <v>44160</v>
      </c>
      <c r="AJ876" s="3057">
        <f>SUM(BD876:BQ876)</f>
        <v>300763.47</v>
      </c>
      <c r="AK876" s="3057">
        <v>44160</v>
      </c>
      <c r="AL876" s="3057">
        <v>300763.47</v>
      </c>
      <c r="AM876" s="3058">
        <v>44179</v>
      </c>
      <c r="AN876" s="3057">
        <f t="shared" si="182"/>
        <v>300763.47</v>
      </c>
      <c r="AO876" s="3057">
        <v>44224</v>
      </c>
      <c r="AP876" s="3057">
        <f t="shared" si="180"/>
        <v>0</v>
      </c>
      <c r="AQ876" s="3058"/>
      <c r="AR876" s="3058"/>
      <c r="AS876" s="5054"/>
      <c r="AT876" s="5138"/>
      <c r="AU876" s="2680"/>
      <c r="AV876" s="2680"/>
      <c r="AW876" s="2680"/>
      <c r="AX876" s="2680"/>
      <c r="AY876" s="2680"/>
      <c r="AZ876" s="2680"/>
      <c r="BA876" s="5150"/>
      <c r="BB876" s="5150"/>
      <c r="BC876" s="3057"/>
      <c r="BD876" s="5150"/>
      <c r="BE876" s="5150"/>
      <c r="BF876" s="5150"/>
      <c r="BG876" s="5150"/>
      <c r="BH876" s="5988">
        <v>300763.47</v>
      </c>
      <c r="BI876" s="5150"/>
      <c r="BJ876" s="5150"/>
      <c r="BK876" s="5150"/>
      <c r="BL876" s="5150"/>
      <c r="BM876" s="5150"/>
      <c r="BN876" s="5150"/>
      <c r="BO876" s="5150"/>
      <c r="BP876" s="5150"/>
      <c r="BQ876" s="5150"/>
      <c r="BR876" s="5150"/>
      <c r="BS876" s="5150"/>
      <c r="BT876" s="5150"/>
      <c r="BU876" s="5150"/>
      <c r="BV876" s="3057">
        <v>300763.47</v>
      </c>
      <c r="BW876" s="5150"/>
      <c r="BX876" s="5150"/>
      <c r="BY876" s="5150"/>
      <c r="BZ876" s="5150"/>
      <c r="CA876" s="5150"/>
      <c r="CB876" s="5150"/>
      <c r="CC876" s="3058"/>
      <c r="CD876" s="3058"/>
      <c r="CE876" s="5171"/>
      <c r="CF876" s="5171"/>
      <c r="CG876" s="5171"/>
      <c r="CH876" s="5171"/>
    </row>
    <row r="877" s="4973" customFormat="1" ht="61" customHeight="1" spans="1:86">
      <c r="A877" s="2680"/>
      <c r="B877" s="5969"/>
      <c r="C877" s="3091"/>
      <c r="D877" s="5054"/>
      <c r="E877" s="5054"/>
      <c r="F877" s="5054"/>
      <c r="G877" s="5338"/>
      <c r="H877" s="3058"/>
      <c r="I877" s="5322"/>
      <c r="J877" s="5054"/>
      <c r="K877" s="5338"/>
      <c r="L877" s="5054"/>
      <c r="M877" s="5054"/>
      <c r="N877" s="2680"/>
      <c r="O877" s="2680"/>
      <c r="P877" s="2680"/>
      <c r="Q877" s="2680"/>
      <c r="R877" s="2680"/>
      <c r="S877" s="2680"/>
      <c r="T877" s="2680"/>
      <c r="U877" s="2680"/>
      <c r="V877" s="2680"/>
      <c r="W877" s="2680"/>
      <c r="X877" s="2680"/>
      <c r="Y877" s="2680"/>
      <c r="Z877" s="2680"/>
      <c r="AA877" s="2680"/>
      <c r="AB877" s="2680"/>
      <c r="AC877" s="3058">
        <v>3</v>
      </c>
      <c r="AD877" s="5974" t="s">
        <v>1753</v>
      </c>
      <c r="AE877" s="5338">
        <v>0.2</v>
      </c>
      <c r="AF877" s="3091">
        <f>M875*AE877</f>
        <v>100254.49</v>
      </c>
      <c r="AG877" s="3057">
        <f t="shared" si="181"/>
        <v>100254.49</v>
      </c>
      <c r="AH877" s="5054" t="s">
        <v>122</v>
      </c>
      <c r="AI877" s="3057">
        <v>44160</v>
      </c>
      <c r="AJ877" s="3057">
        <f>SUM(BD877:BQ877)</f>
        <v>100254.49</v>
      </c>
      <c r="AK877" s="3057">
        <v>44160</v>
      </c>
      <c r="AL877" s="3057">
        <v>100254.49</v>
      </c>
      <c r="AM877" s="3057">
        <v>44428</v>
      </c>
      <c r="AN877" s="3057">
        <f t="shared" si="182"/>
        <v>100254.49</v>
      </c>
      <c r="AO877" s="3057">
        <v>44468</v>
      </c>
      <c r="AP877" s="3057">
        <f t="shared" si="180"/>
        <v>0</v>
      </c>
      <c r="AQ877" s="3058"/>
      <c r="AR877" s="3058"/>
      <c r="AS877" s="5837"/>
      <c r="AT877" s="5138"/>
      <c r="AU877" s="2680"/>
      <c r="AV877" s="2680"/>
      <c r="AW877" s="2680"/>
      <c r="AX877" s="2680"/>
      <c r="AY877" s="2680"/>
      <c r="AZ877" s="2680"/>
      <c r="BA877" s="5150"/>
      <c r="BB877" s="5150"/>
      <c r="BC877" s="3057"/>
      <c r="BD877" s="5150"/>
      <c r="BE877" s="5150"/>
      <c r="BF877" s="5150"/>
      <c r="BG877" s="5150"/>
      <c r="BH877" s="5988">
        <v>100254.49</v>
      </c>
      <c r="BI877" s="5150"/>
      <c r="BJ877" s="5150"/>
      <c r="BK877" s="5150"/>
      <c r="BL877" s="5150"/>
      <c r="BM877" s="5150"/>
      <c r="BN877" s="5150"/>
      <c r="BO877" s="5138"/>
      <c r="BP877" s="5138"/>
      <c r="BQ877" s="5138"/>
      <c r="BR877" s="5138"/>
      <c r="BS877" s="5138"/>
      <c r="BT877" s="5138"/>
      <c r="BU877" s="5138"/>
      <c r="BV877" s="3057">
        <v>100254.49</v>
      </c>
      <c r="BW877" s="5138"/>
      <c r="BX877" s="5138"/>
      <c r="BY877" s="5138"/>
      <c r="BZ877" s="5138"/>
      <c r="CA877" s="5138"/>
      <c r="CB877" s="5138"/>
      <c r="CC877" s="3058"/>
      <c r="CD877" s="3058"/>
      <c r="CE877" s="5171"/>
      <c r="CF877" s="5171"/>
      <c r="CG877" s="5171"/>
      <c r="CH877" s="5171"/>
    </row>
    <row r="878" s="4984" customFormat="1" ht="61" customHeight="1" spans="1:86">
      <c r="A878" s="2678">
        <v>10</v>
      </c>
      <c r="B878" s="584" t="s">
        <v>1186</v>
      </c>
      <c r="C878" s="584">
        <v>44211</v>
      </c>
      <c r="D878" s="1125" t="s">
        <v>1759</v>
      </c>
      <c r="E878" s="5056" t="s">
        <v>1760</v>
      </c>
      <c r="F878" s="5056" t="s">
        <v>1761</v>
      </c>
      <c r="G878" s="1125" t="s">
        <v>1762</v>
      </c>
      <c r="H878" s="3057" t="s">
        <v>31</v>
      </c>
      <c r="I878" s="4183"/>
      <c r="J878" s="5056" t="s">
        <v>1748</v>
      </c>
      <c r="K878" s="1125">
        <v>129435.817</v>
      </c>
      <c r="L878" s="5056" t="s">
        <v>1749</v>
      </c>
      <c r="M878" s="5056">
        <f>SUM(N878:AB880)</f>
        <v>642915.04</v>
      </c>
      <c r="N878" s="2680">
        <v>0</v>
      </c>
      <c r="O878" s="2680">
        <v>0</v>
      </c>
      <c r="P878" s="2680">
        <v>0</v>
      </c>
      <c r="Q878" s="2680">
        <v>0</v>
      </c>
      <c r="R878" s="2680">
        <v>0</v>
      </c>
      <c r="S878" s="2680">
        <v>0</v>
      </c>
      <c r="T878" s="5823">
        <v>0</v>
      </c>
      <c r="U878" s="2680">
        <v>642915.04</v>
      </c>
      <c r="V878" s="2680">
        <v>0</v>
      </c>
      <c r="W878" s="2680">
        <v>0</v>
      </c>
      <c r="X878" s="2680">
        <v>0</v>
      </c>
      <c r="Y878" s="2680"/>
      <c r="Z878" s="2680"/>
      <c r="AA878" s="2680">
        <v>0</v>
      </c>
      <c r="AB878" s="2680">
        <v>0</v>
      </c>
      <c r="AC878" s="3057">
        <v>1</v>
      </c>
      <c r="AD878" s="5837" t="s">
        <v>1750</v>
      </c>
      <c r="AE878" s="5976">
        <v>0.2</v>
      </c>
      <c r="AF878" s="584">
        <f>M878*AE878</f>
        <v>128583.008</v>
      </c>
      <c r="AG878" s="3057">
        <f t="shared" si="181"/>
        <v>128583</v>
      </c>
      <c r="AH878" s="5054" t="s">
        <v>122</v>
      </c>
      <c r="AI878" s="3057">
        <v>44515</v>
      </c>
      <c r="AJ878" s="3057">
        <v>128583.008</v>
      </c>
      <c r="AK878" s="3057">
        <v>44515</v>
      </c>
      <c r="AL878" s="3057">
        <f>SUM(BK878:BX878)</f>
        <v>128583</v>
      </c>
      <c r="AM878" s="3057">
        <v>44515</v>
      </c>
      <c r="AN878" s="3057">
        <f t="shared" si="182"/>
        <v>128583</v>
      </c>
      <c r="AO878" s="3057">
        <v>44558</v>
      </c>
      <c r="AP878" s="3057">
        <f t="shared" si="180"/>
        <v>0</v>
      </c>
      <c r="AQ878" s="584" t="s">
        <v>1463</v>
      </c>
      <c r="AR878" s="4059"/>
      <c r="AS878" s="5057"/>
      <c r="AT878" s="5159"/>
      <c r="AU878" s="2678">
        <f>SUM(AG878:AG880)</f>
        <v>642915.04</v>
      </c>
      <c r="AV878" s="2678">
        <f>SUM(AL878:AL880)</f>
        <v>642915.04</v>
      </c>
      <c r="AW878" s="2678">
        <f>SUM(AN878:AN880)</f>
        <v>642915.04</v>
      </c>
      <c r="AX878" s="2678">
        <f>M878-AU878</f>
        <v>0</v>
      </c>
      <c r="AY878" s="2678">
        <f>AU878-AV878</f>
        <v>0</v>
      </c>
      <c r="AZ878" s="2678">
        <f>AV878-AW878</f>
        <v>0</v>
      </c>
      <c r="BA878" s="5150"/>
      <c r="BB878" s="5150"/>
      <c r="BC878" s="3057"/>
      <c r="BD878" s="5150"/>
      <c r="BE878" s="5150"/>
      <c r="BF878" s="5150"/>
      <c r="BG878" s="5150"/>
      <c r="BH878" s="3057">
        <v>128583</v>
      </c>
      <c r="BI878" s="5150"/>
      <c r="BJ878" s="5150"/>
      <c r="BK878" s="5150"/>
      <c r="BL878" s="5150"/>
      <c r="BM878" s="5150"/>
      <c r="BN878" s="5150"/>
      <c r="BO878" s="5150"/>
      <c r="BP878" s="5150"/>
      <c r="BQ878" s="5150"/>
      <c r="BR878" s="5150"/>
      <c r="BS878" s="5150"/>
      <c r="BT878" s="5150"/>
      <c r="BU878" s="5150"/>
      <c r="BV878" s="3057">
        <v>128583</v>
      </c>
      <c r="BW878" s="5150"/>
      <c r="BX878" s="5150"/>
      <c r="BY878" s="5150"/>
      <c r="BZ878" s="5150"/>
      <c r="CA878" s="5150"/>
      <c r="CB878" s="5150"/>
      <c r="CC878" s="3058" t="s">
        <v>166</v>
      </c>
      <c r="CD878" s="3058" t="s">
        <v>154</v>
      </c>
      <c r="CE878" s="5989"/>
      <c r="CF878" s="5989"/>
      <c r="CG878" s="5989"/>
      <c r="CH878" s="5989"/>
    </row>
    <row r="879" s="4984" customFormat="1" ht="61" customHeight="1" spans="1:86">
      <c r="A879" s="2678"/>
      <c r="B879" s="584"/>
      <c r="C879" s="584"/>
      <c r="D879" s="5056"/>
      <c r="E879" s="5056"/>
      <c r="F879" s="5056"/>
      <c r="G879" s="1125"/>
      <c r="H879" s="3057"/>
      <c r="I879" s="4184"/>
      <c r="J879" s="5056"/>
      <c r="K879" s="1125"/>
      <c r="L879" s="5056"/>
      <c r="M879" s="5056"/>
      <c r="N879" s="2680"/>
      <c r="O879" s="2680"/>
      <c r="P879" s="2680"/>
      <c r="Q879" s="2680"/>
      <c r="R879" s="2680"/>
      <c r="S879" s="2680"/>
      <c r="T879" s="2680"/>
      <c r="U879" s="2680"/>
      <c r="V879" s="2680"/>
      <c r="W879" s="2680"/>
      <c r="X879" s="2680"/>
      <c r="Y879" s="2680"/>
      <c r="Z879" s="2680"/>
      <c r="AA879" s="2680"/>
      <c r="AB879" s="2680"/>
      <c r="AC879" s="3057">
        <v>2</v>
      </c>
      <c r="AD879" s="5837" t="s">
        <v>1752</v>
      </c>
      <c r="AE879" s="1125">
        <v>0.6</v>
      </c>
      <c r="AF879" s="584">
        <f>M878*AE879</f>
        <v>385749.024</v>
      </c>
      <c r="AG879" s="3057">
        <f t="shared" si="181"/>
        <v>385749</v>
      </c>
      <c r="AH879" s="5054" t="s">
        <v>122</v>
      </c>
      <c r="AI879" s="3057">
        <v>44515</v>
      </c>
      <c r="AJ879" s="3057">
        <v>385749.024</v>
      </c>
      <c r="AK879" s="3057">
        <v>44515</v>
      </c>
      <c r="AL879" s="3057">
        <f>SUM(BK879:BX879)</f>
        <v>385749</v>
      </c>
      <c r="AM879" s="3057">
        <v>44515</v>
      </c>
      <c r="AN879" s="3057">
        <f t="shared" si="182"/>
        <v>385749</v>
      </c>
      <c r="AO879" s="3057">
        <v>44558</v>
      </c>
      <c r="AP879" s="3057">
        <f t="shared" si="180"/>
        <v>0</v>
      </c>
      <c r="AQ879" s="3057"/>
      <c r="AR879" s="4059"/>
      <c r="AS879" s="5057"/>
      <c r="AT879" s="5159"/>
      <c r="AU879" s="2678"/>
      <c r="AV879" s="2678"/>
      <c r="AW879" s="2678"/>
      <c r="AX879" s="2678"/>
      <c r="AY879" s="2678"/>
      <c r="AZ879" s="2678"/>
      <c r="BA879" s="5150"/>
      <c r="BB879" s="5150"/>
      <c r="BC879" s="3057"/>
      <c r="BD879" s="5150"/>
      <c r="BE879" s="5150"/>
      <c r="BF879" s="5150"/>
      <c r="BG879" s="5150"/>
      <c r="BH879" s="5125">
        <v>385749</v>
      </c>
      <c r="BI879" s="5150"/>
      <c r="BJ879" s="5150"/>
      <c r="BK879" s="5150"/>
      <c r="BL879" s="5150"/>
      <c r="BM879" s="5150"/>
      <c r="BN879" s="5150"/>
      <c r="BO879" s="5150"/>
      <c r="BP879" s="5150"/>
      <c r="BQ879" s="5150"/>
      <c r="BR879" s="5150"/>
      <c r="BS879" s="5150"/>
      <c r="BT879" s="5150"/>
      <c r="BU879" s="5150"/>
      <c r="BV879" s="3057">
        <v>385749</v>
      </c>
      <c r="BW879" s="5150"/>
      <c r="BX879" s="5150"/>
      <c r="BY879" s="5150"/>
      <c r="BZ879" s="5150"/>
      <c r="CA879" s="5150"/>
      <c r="CB879" s="5150"/>
      <c r="CC879" s="3058"/>
      <c r="CD879" s="3058"/>
      <c r="CE879" s="5989"/>
      <c r="CF879" s="5989"/>
      <c r="CG879" s="5989"/>
      <c r="CH879" s="5989"/>
    </row>
    <row r="880" s="4984" customFormat="1" ht="61" customHeight="1" spans="1:86">
      <c r="A880" s="2678"/>
      <c r="B880" s="584"/>
      <c r="C880" s="584"/>
      <c r="D880" s="5056"/>
      <c r="E880" s="5056"/>
      <c r="F880" s="5056"/>
      <c r="G880" s="1125"/>
      <c r="H880" s="3057"/>
      <c r="I880" s="4185"/>
      <c r="J880" s="5056"/>
      <c r="K880" s="1125"/>
      <c r="L880" s="5056"/>
      <c r="M880" s="5056"/>
      <c r="N880" s="2680"/>
      <c r="O880" s="2680"/>
      <c r="P880" s="2680"/>
      <c r="Q880" s="2680"/>
      <c r="R880" s="2680"/>
      <c r="S880" s="2680"/>
      <c r="T880" s="2680"/>
      <c r="U880" s="2680"/>
      <c r="V880" s="2680"/>
      <c r="W880" s="2680"/>
      <c r="X880" s="2680"/>
      <c r="Y880" s="2680"/>
      <c r="Z880" s="2680"/>
      <c r="AA880" s="2680"/>
      <c r="AB880" s="2680"/>
      <c r="AC880" s="3057">
        <v>3</v>
      </c>
      <c r="AD880" s="5837" t="s">
        <v>1753</v>
      </c>
      <c r="AE880" s="1125">
        <v>0.2</v>
      </c>
      <c r="AF880" s="584">
        <f>M878*AE880</f>
        <v>128583.008</v>
      </c>
      <c r="AG880" s="3057">
        <f t="shared" si="181"/>
        <v>128583.04</v>
      </c>
      <c r="AH880" s="5054" t="s">
        <v>122</v>
      </c>
      <c r="AI880" s="3057">
        <v>44515</v>
      </c>
      <c r="AJ880" s="3057">
        <v>128583.008</v>
      </c>
      <c r="AK880" s="3057">
        <v>44515</v>
      </c>
      <c r="AL880" s="3057">
        <v>128583.04</v>
      </c>
      <c r="AM880" s="3057">
        <v>44804</v>
      </c>
      <c r="AN880" s="3057">
        <f t="shared" si="182"/>
        <v>128583.04</v>
      </c>
      <c r="AO880" s="3057">
        <v>44834</v>
      </c>
      <c r="AP880" s="3057">
        <f t="shared" si="180"/>
        <v>0</v>
      </c>
      <c r="AQ880" s="3057"/>
      <c r="AR880" s="4059"/>
      <c r="AS880" s="5983"/>
      <c r="AT880" s="5159"/>
      <c r="AU880" s="2678"/>
      <c r="AV880" s="2678"/>
      <c r="AW880" s="2678"/>
      <c r="AX880" s="2678"/>
      <c r="AY880" s="2678"/>
      <c r="AZ880" s="2678"/>
      <c r="BA880" s="5150"/>
      <c r="BB880" s="5150"/>
      <c r="BC880" s="3057"/>
      <c r="BD880" s="5150"/>
      <c r="BE880" s="5150"/>
      <c r="BF880" s="5150"/>
      <c r="BG880" s="5150"/>
      <c r="BH880" s="5125">
        <v>128583.04</v>
      </c>
      <c r="BI880" s="5150"/>
      <c r="BJ880" s="5150"/>
      <c r="BK880" s="5150"/>
      <c r="BL880" s="5150"/>
      <c r="BM880" s="5150"/>
      <c r="BN880" s="5150"/>
      <c r="BO880" s="5150"/>
      <c r="BP880" s="5150"/>
      <c r="BQ880" s="5150"/>
      <c r="BR880" s="5150"/>
      <c r="BS880" s="5150"/>
      <c r="BT880" s="5150"/>
      <c r="BU880" s="5150"/>
      <c r="BV880" s="3057">
        <v>128583.04</v>
      </c>
      <c r="BW880" s="5150"/>
      <c r="BX880" s="5150"/>
      <c r="BY880" s="5150"/>
      <c r="BZ880" s="5150"/>
      <c r="CA880" s="5150"/>
      <c r="CB880" s="5150"/>
      <c r="CC880" s="3058"/>
      <c r="CD880" s="3058"/>
      <c r="CE880" s="5989"/>
      <c r="CF880" s="5989"/>
      <c r="CG880" s="5989"/>
      <c r="CH880" s="5989"/>
    </row>
    <row r="881" s="4974" customFormat="1" ht="25" customHeight="1" spans="1:86">
      <c r="A881" s="3812"/>
      <c r="B881" s="857" t="s">
        <v>111</v>
      </c>
      <c r="C881" s="3812">
        <v>45404</v>
      </c>
      <c r="D881" s="1032" t="s">
        <v>1763</v>
      </c>
      <c r="E881" s="1032"/>
      <c r="F881" s="1032" t="s">
        <v>1764</v>
      </c>
      <c r="G881" s="1032" t="s">
        <v>1765</v>
      </c>
      <c r="H881" s="1032" t="s">
        <v>1766</v>
      </c>
      <c r="I881" s="5073" t="s">
        <v>1767</v>
      </c>
      <c r="J881" s="1032" t="s">
        <v>1768</v>
      </c>
      <c r="K881" s="1032" t="s">
        <v>1769</v>
      </c>
      <c r="L881" s="1032" t="s">
        <v>1770</v>
      </c>
      <c r="M881" s="3812">
        <f>SUM(N881:AA941)</f>
        <v>12698912.08</v>
      </c>
      <c r="N881" s="4127">
        <v>0</v>
      </c>
      <c r="O881" s="4127">
        <v>0</v>
      </c>
      <c r="P881" s="4127">
        <v>7351185.24</v>
      </c>
      <c r="Q881" s="4127">
        <v>0</v>
      </c>
      <c r="R881" s="4127">
        <v>0</v>
      </c>
      <c r="S881" s="4127">
        <v>0</v>
      </c>
      <c r="T881" s="5971">
        <v>0</v>
      </c>
      <c r="U881" s="4127">
        <v>2447281.43</v>
      </c>
      <c r="V881" s="4127">
        <v>79200</v>
      </c>
      <c r="W881" s="4127">
        <v>0</v>
      </c>
      <c r="X881" s="4127">
        <v>0</v>
      </c>
      <c r="Y881" s="4127">
        <v>0</v>
      </c>
      <c r="Z881" s="4127">
        <v>0</v>
      </c>
      <c r="AA881" s="4127">
        <v>2821245.41</v>
      </c>
      <c r="AB881" s="5972" t="s">
        <v>171</v>
      </c>
      <c r="AC881" s="5059" t="s">
        <v>1055</v>
      </c>
      <c r="AD881" s="5241" t="s">
        <v>342</v>
      </c>
      <c r="AE881" s="1032">
        <v>0.2</v>
      </c>
      <c r="AF881" s="3812">
        <f>8130662.55*AE881</f>
        <v>1626132.51</v>
      </c>
      <c r="AG881" s="3812">
        <f t="shared" si="181"/>
        <v>1602320.13</v>
      </c>
      <c r="AH881" s="1032" t="s">
        <v>122</v>
      </c>
      <c r="AI881" s="3812">
        <v>45423</v>
      </c>
      <c r="AJ881" s="3812">
        <v>1626132.50987</v>
      </c>
      <c r="AK881" s="3812">
        <v>45423</v>
      </c>
      <c r="AL881" s="3812">
        <v>1602320.13</v>
      </c>
      <c r="AM881" s="3812">
        <v>45468</v>
      </c>
      <c r="AN881" s="3812">
        <f t="shared" si="182"/>
        <v>1602320.13</v>
      </c>
      <c r="AO881" s="3812">
        <v>45657</v>
      </c>
      <c r="AP881" s="3812"/>
      <c r="AQ881" s="5241" t="s">
        <v>1771</v>
      </c>
      <c r="AR881" s="3812"/>
      <c r="AS881" s="5984" t="s">
        <v>1772</v>
      </c>
      <c r="AT881" s="3812"/>
      <c r="AU881" s="3812">
        <f>SUM(AG881:AG941)</f>
        <v>10499011.54987</v>
      </c>
      <c r="AV881" s="3812">
        <f>SUM(AL881:AL941)</f>
        <v>6342190.585</v>
      </c>
      <c r="AW881" s="3812">
        <f>SUM(AN881:AN941)</f>
        <v>6143502.01</v>
      </c>
      <c r="AX881" s="3812">
        <f>M881-AU881</f>
        <v>2199900.53013</v>
      </c>
      <c r="AY881" s="3812">
        <f>AU881-AV881</f>
        <v>4156820.96487</v>
      </c>
      <c r="AZ881" s="3812">
        <f>AV881-AW881</f>
        <v>198688.575</v>
      </c>
      <c r="BA881" s="3812"/>
      <c r="BB881" s="3812"/>
      <c r="BC881" s="3812">
        <v>1468273.96</v>
      </c>
      <c r="BD881" s="3812"/>
      <c r="BE881" s="3812"/>
      <c r="BF881" s="3812"/>
      <c r="BG881" s="3812"/>
      <c r="BH881" s="3812">
        <v>117784.84</v>
      </c>
      <c r="BI881" s="3812"/>
      <c r="BJ881" s="3812"/>
      <c r="BK881" s="3812"/>
      <c r="BL881" s="3812"/>
      <c r="BM881" s="3812"/>
      <c r="BN881" s="3812">
        <v>16261.33</v>
      </c>
      <c r="BO881" s="3812"/>
      <c r="BP881" s="3812"/>
      <c r="BQ881" s="3812">
        <v>1468273.96</v>
      </c>
      <c r="BR881" s="3812"/>
      <c r="BS881" s="3812"/>
      <c r="BT881" s="3812"/>
      <c r="BU881" s="3812"/>
      <c r="BV881" s="3812">
        <f>141597.22-23812.38</f>
        <v>117784.84</v>
      </c>
      <c r="BW881" s="3812"/>
      <c r="BX881" s="3812"/>
      <c r="BY881" s="3812"/>
      <c r="BZ881" s="3812"/>
      <c r="CA881" s="3812"/>
      <c r="CB881" s="3812">
        <v>16261.33</v>
      </c>
      <c r="CC881" s="3812"/>
      <c r="CD881" s="3812"/>
      <c r="CE881" s="5310"/>
      <c r="CF881" s="5310"/>
      <c r="CG881" s="5310"/>
      <c r="CH881" s="5310"/>
    </row>
    <row r="882" s="4974" customFormat="1" ht="25" customHeight="1" spans="1:86">
      <c r="A882" s="3812"/>
      <c r="B882" s="3812"/>
      <c r="C882" s="3812"/>
      <c r="D882" s="5059"/>
      <c r="E882" s="5059"/>
      <c r="F882" s="5059"/>
      <c r="G882" s="5059"/>
      <c r="H882" s="5059"/>
      <c r="I882" s="5205"/>
      <c r="J882" s="5059"/>
      <c r="K882" s="5059"/>
      <c r="L882" s="5059"/>
      <c r="M882" s="3812"/>
      <c r="N882" s="5711"/>
      <c r="O882" s="5711"/>
      <c r="P882" s="5711"/>
      <c r="Q882" s="5711"/>
      <c r="R882" s="5711"/>
      <c r="S882" s="5711"/>
      <c r="T882" s="5711"/>
      <c r="U882" s="5711"/>
      <c r="V882" s="5711"/>
      <c r="W882" s="5711"/>
      <c r="X882" s="5711"/>
      <c r="Y882" s="5711"/>
      <c r="Z882" s="5711"/>
      <c r="AA882" s="5711"/>
      <c r="AB882" s="5972"/>
      <c r="AC882" s="5214" t="s">
        <v>1057</v>
      </c>
      <c r="AD882" s="5073" t="s">
        <v>344</v>
      </c>
      <c r="AE882" s="5073">
        <v>0.3</v>
      </c>
      <c r="AF882" s="4840">
        <f>8130662.55*AE882</f>
        <v>2439198.765</v>
      </c>
      <c r="AG882" s="4840">
        <f t="shared" si="181"/>
        <v>2439198.77</v>
      </c>
      <c r="AH882" s="5073" t="s">
        <v>122</v>
      </c>
      <c r="AI882" s="4840">
        <v>45423</v>
      </c>
      <c r="AJ882" s="4840">
        <v>2439198.764805</v>
      </c>
      <c r="AK882" s="4840">
        <v>45423</v>
      </c>
      <c r="AL882" s="4840">
        <v>1409011.37</v>
      </c>
      <c r="AM882" s="4840">
        <v>45800</v>
      </c>
      <c r="AN882" s="3812">
        <f t="shared" si="182"/>
        <v>352119.67</v>
      </c>
      <c r="AO882" s="3812">
        <v>45868</v>
      </c>
      <c r="AP882" s="3812"/>
      <c r="AQ882" s="5241" t="s">
        <v>1773</v>
      </c>
      <c r="AR882" s="3812"/>
      <c r="AS882" s="5985"/>
      <c r="AT882" s="3812"/>
      <c r="AU882" s="3812"/>
      <c r="AV882" s="3812"/>
      <c r="AW882" s="3812"/>
      <c r="AX882" s="3812"/>
      <c r="AY882" s="3812"/>
      <c r="AZ882" s="3812"/>
      <c r="BA882" s="3812"/>
      <c r="BB882" s="3812"/>
      <c r="BC882" s="4840">
        <v>2202410.94</v>
      </c>
      <c r="BD882" s="4840"/>
      <c r="BE882" s="3812"/>
      <c r="BF882" s="3812"/>
      <c r="BG882" s="3812"/>
      <c r="BH882" s="4840">
        <v>212395.84</v>
      </c>
      <c r="BI882" s="3812"/>
      <c r="BJ882" s="3812"/>
      <c r="BK882" s="3812"/>
      <c r="BL882" s="3812"/>
      <c r="BM882" s="4840"/>
      <c r="BN882" s="4840">
        <v>24391.99</v>
      </c>
      <c r="BO882" s="3812"/>
      <c r="BP882" s="3812"/>
      <c r="BQ882" s="4813">
        <v>320000</v>
      </c>
      <c r="BR882" s="4813"/>
      <c r="BS882" s="4813"/>
      <c r="BT882" s="4813"/>
      <c r="BU882" s="4813"/>
      <c r="BV882" s="4813">
        <v>18029.56</v>
      </c>
      <c r="BW882" s="4813"/>
      <c r="BX882" s="4813"/>
      <c r="BY882" s="4813"/>
      <c r="BZ882" s="4813"/>
      <c r="CA882" s="4813"/>
      <c r="CB882" s="4813">
        <v>14090.11</v>
      </c>
      <c r="CC882" s="3812"/>
      <c r="CD882" s="3812"/>
      <c r="CE882" s="5310"/>
      <c r="CF882" s="5310"/>
      <c r="CG882" s="5310"/>
      <c r="CH882" s="5310"/>
    </row>
    <row r="883" s="4974" customFormat="1" ht="25" customHeight="1" spans="1:86">
      <c r="A883" s="3812"/>
      <c r="B883" s="3812"/>
      <c r="C883" s="3812"/>
      <c r="D883" s="5059"/>
      <c r="E883" s="5059"/>
      <c r="F883" s="5059"/>
      <c r="G883" s="5059"/>
      <c r="H883" s="5059"/>
      <c r="I883" s="5205"/>
      <c r="J883" s="5059"/>
      <c r="K883" s="5059"/>
      <c r="L883" s="5059"/>
      <c r="M883" s="3812"/>
      <c r="N883" s="5711"/>
      <c r="O883" s="5711"/>
      <c r="P883" s="5711"/>
      <c r="Q883" s="5711"/>
      <c r="R883" s="5711"/>
      <c r="S883" s="5711"/>
      <c r="T883" s="5711"/>
      <c r="U883" s="5711"/>
      <c r="V883" s="5711"/>
      <c r="W883" s="5711"/>
      <c r="X883" s="5711"/>
      <c r="Y883" s="5711"/>
      <c r="Z883" s="5711"/>
      <c r="AA883" s="5711"/>
      <c r="AB883" s="5972"/>
      <c r="AC883" s="5074"/>
      <c r="AD883" s="5205"/>
      <c r="AE883" s="5205"/>
      <c r="AF883" s="4841"/>
      <c r="AG883" s="4841"/>
      <c r="AH883" s="5205"/>
      <c r="AI883" s="4841"/>
      <c r="AJ883" s="4841"/>
      <c r="AK883" s="4841"/>
      <c r="AL883" s="4841"/>
      <c r="AM883" s="4841"/>
      <c r="AN883" s="5690">
        <f t="shared" si="182"/>
        <v>426895.22</v>
      </c>
      <c r="AO883" s="3812">
        <v>45911</v>
      </c>
      <c r="AP883" s="3812"/>
      <c r="AQ883" s="5981" t="s">
        <v>1774</v>
      </c>
      <c r="AR883" s="3812"/>
      <c r="AS883" s="5985"/>
      <c r="AT883" s="3812"/>
      <c r="AU883" s="3812"/>
      <c r="AV883" s="3812"/>
      <c r="AW883" s="3812"/>
      <c r="AX883" s="3812"/>
      <c r="AY883" s="3812"/>
      <c r="AZ883" s="3812"/>
      <c r="BA883" s="3812"/>
      <c r="BB883" s="3812"/>
      <c r="BC883" s="4841"/>
      <c r="BD883" s="4840"/>
      <c r="BE883" s="3812"/>
      <c r="BF883" s="3812"/>
      <c r="BG883" s="3812"/>
      <c r="BH883" s="4841"/>
      <c r="BI883" s="3812"/>
      <c r="BJ883" s="3812"/>
      <c r="BK883" s="3812"/>
      <c r="BL883" s="3812"/>
      <c r="BM883" s="4841"/>
      <c r="BN883" s="4841"/>
      <c r="BO883" s="3812"/>
      <c r="BP883" s="3812"/>
      <c r="BQ883" s="4813">
        <v>389722.86</v>
      </c>
      <c r="BR883" s="4813"/>
      <c r="BS883" s="4813"/>
      <c r="BT883" s="4813"/>
      <c r="BU883" s="4813"/>
      <c r="BV883" s="4813">
        <v>37172.36</v>
      </c>
      <c r="BW883" s="4813"/>
      <c r="BX883" s="4813"/>
      <c r="BY883" s="4813"/>
      <c r="BZ883" s="4813"/>
      <c r="CA883" s="4813"/>
      <c r="CB883" s="4813"/>
      <c r="CC883" s="3812"/>
      <c r="CD883" s="3812"/>
      <c r="CE883" s="5310"/>
      <c r="CF883" s="5310"/>
      <c r="CG883" s="5310"/>
      <c r="CH883" s="5310"/>
    </row>
    <row r="884" s="4974" customFormat="1" ht="25" customHeight="1" spans="1:86">
      <c r="A884" s="5123"/>
      <c r="B884" s="3812"/>
      <c r="C884" s="3812"/>
      <c r="D884" s="5059"/>
      <c r="E884" s="5059"/>
      <c r="F884" s="5059"/>
      <c r="G884" s="5059"/>
      <c r="H884" s="5059"/>
      <c r="I884" s="5205"/>
      <c r="J884" s="5059"/>
      <c r="K884" s="5059"/>
      <c r="L884" s="5059"/>
      <c r="M884" s="3812"/>
      <c r="N884" s="5711"/>
      <c r="O884" s="5711"/>
      <c r="P884" s="5711"/>
      <c r="Q884" s="5711"/>
      <c r="R884" s="5711"/>
      <c r="S884" s="5711"/>
      <c r="T884" s="5711"/>
      <c r="U884" s="5711"/>
      <c r="V884" s="5711"/>
      <c r="W884" s="5711"/>
      <c r="X884" s="5711"/>
      <c r="Y884" s="5711"/>
      <c r="Z884" s="5711"/>
      <c r="AA884" s="5711"/>
      <c r="AB884" s="5972"/>
      <c r="AC884" s="5074"/>
      <c r="AD884" s="5205"/>
      <c r="AE884" s="5205"/>
      <c r="AF884" s="4841"/>
      <c r="AG884" s="4841"/>
      <c r="AH884" s="5205"/>
      <c r="AI884" s="4841"/>
      <c r="AJ884" s="4841"/>
      <c r="AK884" s="4841"/>
      <c r="AL884" s="4841"/>
      <c r="AM884" s="4842"/>
      <c r="AN884" s="4813">
        <f t="shared" si="182"/>
        <v>629996.48</v>
      </c>
      <c r="AO884" s="4813">
        <v>45988</v>
      </c>
      <c r="AP884" s="3812"/>
      <c r="AQ884" s="5241"/>
      <c r="AR884" s="5123"/>
      <c r="AS884" s="5986"/>
      <c r="AT884" s="5123"/>
      <c r="AU884" s="3812"/>
      <c r="AV884" s="3812"/>
      <c r="AW884" s="3812"/>
      <c r="AX884" s="3812"/>
      <c r="AY884" s="3812"/>
      <c r="AZ884" s="3812"/>
      <c r="BA884" s="3812"/>
      <c r="BB884" s="3812"/>
      <c r="BC884" s="4841"/>
      <c r="BD884" s="5248"/>
      <c r="BE884" s="4813"/>
      <c r="BF884" s="4813"/>
      <c r="BG884" s="4813"/>
      <c r="BH884" s="4841"/>
      <c r="BI884" s="3812"/>
      <c r="BJ884" s="3812"/>
      <c r="BK884" s="3812"/>
      <c r="BL884" s="3812"/>
      <c r="BM884" s="4841"/>
      <c r="BN884" s="4841"/>
      <c r="BO884" s="3812"/>
      <c r="BP884" s="3812"/>
      <c r="BQ884" s="3812">
        <v>575138.86</v>
      </c>
      <c r="BR884" s="3812"/>
      <c r="BS884" s="3812"/>
      <c r="BT884" s="3812"/>
      <c r="BU884" s="3812"/>
      <c r="BV884" s="3812">
        <v>54857.62</v>
      </c>
      <c r="BW884" s="3812"/>
      <c r="BX884" s="3812"/>
      <c r="BY884" s="3812"/>
      <c r="BZ884" s="3812"/>
      <c r="CA884" s="3812"/>
      <c r="CB884" s="3812"/>
      <c r="CC884" s="3812"/>
      <c r="CD884" s="3812"/>
      <c r="CE884" s="5310"/>
      <c r="CF884" s="5310"/>
      <c r="CG884" s="5310"/>
      <c r="CH884" s="5310"/>
    </row>
    <row r="885" s="4974" customFormat="1" ht="25" customHeight="1" spans="1:86">
      <c r="A885" s="5123"/>
      <c r="B885" s="3812"/>
      <c r="C885" s="3812"/>
      <c r="D885" s="5059"/>
      <c r="E885" s="5059"/>
      <c r="F885" s="5059"/>
      <c r="G885" s="5059"/>
      <c r="H885" s="5059"/>
      <c r="I885" s="5205"/>
      <c r="J885" s="5059"/>
      <c r="K885" s="5059"/>
      <c r="L885" s="5059"/>
      <c r="M885" s="3812"/>
      <c r="N885" s="5711"/>
      <c r="O885" s="5711"/>
      <c r="P885" s="5711"/>
      <c r="Q885" s="5711"/>
      <c r="R885" s="5711"/>
      <c r="S885" s="5711"/>
      <c r="T885" s="5711"/>
      <c r="U885" s="5711"/>
      <c r="V885" s="5711"/>
      <c r="W885" s="5711"/>
      <c r="X885" s="5711"/>
      <c r="Y885" s="5711"/>
      <c r="Z885" s="5711"/>
      <c r="AA885" s="5711"/>
      <c r="AB885" s="5972"/>
      <c r="AC885" s="5074"/>
      <c r="AD885" s="5205"/>
      <c r="AE885" s="5205"/>
      <c r="AF885" s="4841"/>
      <c r="AG885" s="4841"/>
      <c r="AH885" s="5205"/>
      <c r="AI885" s="4841"/>
      <c r="AJ885" s="4841"/>
      <c r="AK885" s="4841"/>
      <c r="AL885" s="5978">
        <v>743505.53</v>
      </c>
      <c r="AM885" s="5978">
        <v>45882</v>
      </c>
      <c r="AN885" s="4813">
        <f t="shared" si="182"/>
        <v>370003.52</v>
      </c>
      <c r="AO885" s="4813">
        <v>45988</v>
      </c>
      <c r="AP885" s="3812"/>
      <c r="AQ885" s="5241"/>
      <c r="AR885" s="5123"/>
      <c r="AS885" s="5986"/>
      <c r="AT885" s="5123"/>
      <c r="AU885" s="3812"/>
      <c r="AV885" s="3812"/>
      <c r="AW885" s="3812"/>
      <c r="AX885" s="3812"/>
      <c r="AY885" s="3812"/>
      <c r="AZ885" s="3812"/>
      <c r="BA885" s="3812"/>
      <c r="BB885" s="3812"/>
      <c r="BC885" s="4841"/>
      <c r="BD885" s="5248"/>
      <c r="BE885" s="4813"/>
      <c r="BF885" s="4813"/>
      <c r="BG885" s="4813"/>
      <c r="BH885" s="4841"/>
      <c r="BI885" s="3812"/>
      <c r="BJ885" s="3812"/>
      <c r="BK885" s="3812"/>
      <c r="BL885" s="3812"/>
      <c r="BM885" s="4841"/>
      <c r="BN885" s="4841"/>
      <c r="BO885" s="3812"/>
      <c r="BP885" s="3812"/>
      <c r="BQ885" s="3812">
        <v>370003.52</v>
      </c>
      <c r="BR885" s="3812"/>
      <c r="BS885" s="3812"/>
      <c r="BT885" s="3812"/>
      <c r="BU885" s="3812"/>
      <c r="BV885" s="3812"/>
      <c r="BW885" s="3812"/>
      <c r="BX885" s="3812"/>
      <c r="BY885" s="3812"/>
      <c r="BZ885" s="3812"/>
      <c r="CA885" s="3812"/>
      <c r="CB885" s="3812"/>
      <c r="CC885" s="3812"/>
      <c r="CD885" s="3812"/>
      <c r="CE885" s="5310"/>
      <c r="CF885" s="5310"/>
      <c r="CG885" s="5310"/>
      <c r="CH885" s="5310"/>
    </row>
    <row r="886" s="4974" customFormat="1" ht="25" customHeight="1" spans="1:86">
      <c r="A886" s="3812"/>
      <c r="B886" s="3812"/>
      <c r="C886" s="3812"/>
      <c r="D886" s="5059"/>
      <c r="E886" s="5059"/>
      <c r="F886" s="5059"/>
      <c r="G886" s="5059"/>
      <c r="H886" s="5059"/>
      <c r="I886" s="5205"/>
      <c r="J886" s="5059"/>
      <c r="K886" s="5059"/>
      <c r="L886" s="5059"/>
      <c r="M886" s="3812"/>
      <c r="N886" s="5711"/>
      <c r="O886" s="5711"/>
      <c r="P886" s="5711"/>
      <c r="Q886" s="5711"/>
      <c r="R886" s="5711"/>
      <c r="S886" s="5711"/>
      <c r="T886" s="5711"/>
      <c r="U886" s="5711"/>
      <c r="V886" s="5711"/>
      <c r="W886" s="5711"/>
      <c r="X886" s="5711"/>
      <c r="Y886" s="5711"/>
      <c r="Z886" s="5711"/>
      <c r="AA886" s="5711"/>
      <c r="AB886" s="5972"/>
      <c r="AC886" s="5074"/>
      <c r="AD886" s="5205"/>
      <c r="AE886" s="5205"/>
      <c r="AF886" s="4842"/>
      <c r="AG886" s="4841"/>
      <c r="AH886" s="5206"/>
      <c r="AI886" s="4842"/>
      <c r="AJ886" s="4841"/>
      <c r="AK886" s="4842"/>
      <c r="AL886" s="5978"/>
      <c r="AM886" s="5350"/>
      <c r="AN886" s="4815">
        <f t="shared" si="182"/>
        <v>373502.01</v>
      </c>
      <c r="AO886" s="4815">
        <v>46111</v>
      </c>
      <c r="AP886" s="3812"/>
      <c r="AQ886" s="5241" t="s">
        <v>1775</v>
      </c>
      <c r="AR886" s="3812"/>
      <c r="AS886" s="5985"/>
      <c r="AT886" s="3812"/>
      <c r="AU886" s="3812"/>
      <c r="AV886" s="3812"/>
      <c r="AW886" s="3812"/>
      <c r="AX886" s="3812"/>
      <c r="AY886" s="3812"/>
      <c r="AZ886" s="3812"/>
      <c r="BA886" s="3812"/>
      <c r="BB886" s="3812"/>
      <c r="BC886" s="4842"/>
      <c r="BD886" s="5248"/>
      <c r="BE886" s="4813"/>
      <c r="BF886" s="4813"/>
      <c r="BG886" s="4813"/>
      <c r="BH886" s="4842"/>
      <c r="BI886" s="3812"/>
      <c r="BJ886" s="3812"/>
      <c r="BK886" s="3812"/>
      <c r="BL886" s="3812"/>
      <c r="BM886" s="4842"/>
      <c r="BN886" s="4842"/>
      <c r="BO886" s="3812"/>
      <c r="BP886" s="3812"/>
      <c r="BQ886" s="3812">
        <v>373502.01</v>
      </c>
      <c r="BR886" s="3812"/>
      <c r="BS886" s="3812"/>
      <c r="BT886" s="3812"/>
      <c r="BU886" s="3812"/>
      <c r="BV886" s="3812"/>
      <c r="BW886" s="3812"/>
      <c r="BX886" s="3812"/>
      <c r="BY886" s="3812"/>
      <c r="BZ886" s="3812"/>
      <c r="CA886" s="3812"/>
      <c r="CB886" s="3812"/>
      <c r="CC886" s="3812"/>
      <c r="CD886" s="3812"/>
      <c r="CE886" s="5310"/>
      <c r="CF886" s="5310"/>
      <c r="CG886" s="5310"/>
      <c r="CH886" s="5310"/>
    </row>
    <row r="887" s="4974" customFormat="1" ht="25" customHeight="1" spans="1:86">
      <c r="A887" s="3812"/>
      <c r="B887" s="3812"/>
      <c r="C887" s="3812"/>
      <c r="D887" s="5059"/>
      <c r="E887" s="5059"/>
      <c r="F887" s="5059"/>
      <c r="G887" s="5059"/>
      <c r="H887" s="5059"/>
      <c r="I887" s="5205"/>
      <c r="J887" s="5059"/>
      <c r="K887" s="5059"/>
      <c r="L887" s="5059"/>
      <c r="M887" s="3812"/>
      <c r="N887" s="5711"/>
      <c r="O887" s="5711"/>
      <c r="P887" s="5711"/>
      <c r="Q887" s="5711"/>
      <c r="R887" s="5711"/>
      <c r="S887" s="5711"/>
      <c r="T887" s="5711"/>
      <c r="U887" s="5711"/>
      <c r="V887" s="5711"/>
      <c r="W887" s="5711"/>
      <c r="X887" s="5711"/>
      <c r="Y887" s="5711"/>
      <c r="Z887" s="5711"/>
      <c r="AA887" s="5711"/>
      <c r="AB887" s="5972"/>
      <c r="AC887" s="5059" t="s">
        <v>1059</v>
      </c>
      <c r="AD887" s="5241" t="s">
        <v>346</v>
      </c>
      <c r="AE887" s="1032">
        <v>0.2</v>
      </c>
      <c r="AF887" s="3812">
        <f>8130662.55*AE887</f>
        <v>1626132.51</v>
      </c>
      <c r="AG887" s="3812">
        <f t="shared" ref="AG887:AG897" si="183">SUM(BA887:BN887)</f>
        <v>1626132.50987</v>
      </c>
      <c r="AH887" s="1032" t="s">
        <v>122</v>
      </c>
      <c r="AI887" s="3812">
        <v>45423</v>
      </c>
      <c r="AJ887" s="3812">
        <v>1626132.50987</v>
      </c>
      <c r="AK887" s="3812">
        <v>45423</v>
      </c>
      <c r="AL887" s="3812"/>
      <c r="AM887" s="3812"/>
      <c r="AN887" s="3812">
        <f t="shared" si="182"/>
        <v>0</v>
      </c>
      <c r="AO887" s="3812"/>
      <c r="AP887" s="3812"/>
      <c r="AQ887" s="5241"/>
      <c r="AR887" s="3812"/>
      <c r="AS887" s="5985"/>
      <c r="AT887" s="3812"/>
      <c r="AU887" s="3812"/>
      <c r="AV887" s="3812"/>
      <c r="AW887" s="3812"/>
      <c r="AX887" s="3812"/>
      <c r="AY887" s="3812"/>
      <c r="AZ887" s="3812"/>
      <c r="BA887" s="3812"/>
      <c r="BB887" s="3812"/>
      <c r="BC887" s="3812">
        <v>1468273.96</v>
      </c>
      <c r="BD887" s="4813"/>
      <c r="BE887" s="4813"/>
      <c r="BF887" s="4813"/>
      <c r="BG887" s="4813"/>
      <c r="BH887" s="3812">
        <v>141597.22477</v>
      </c>
      <c r="BI887" s="3812"/>
      <c r="BJ887" s="3812"/>
      <c r="BK887" s="3812"/>
      <c r="BL887" s="3812"/>
      <c r="BM887" s="3812"/>
      <c r="BN887" s="5201">
        <v>16261.3251</v>
      </c>
      <c r="BO887" s="3812"/>
      <c r="BP887" s="3812"/>
      <c r="BQ887" s="3812"/>
      <c r="BR887" s="3812"/>
      <c r="BS887" s="3812"/>
      <c r="BT887" s="3812"/>
      <c r="BU887" s="3812"/>
      <c r="BV887" s="3812"/>
      <c r="BW887" s="3812"/>
      <c r="BX887" s="3812"/>
      <c r="BY887" s="3812"/>
      <c r="BZ887" s="3812"/>
      <c r="CA887" s="3812"/>
      <c r="CB887" s="3812"/>
      <c r="CC887" s="3812"/>
      <c r="CD887" s="3812"/>
      <c r="CE887" s="5310"/>
      <c r="CF887" s="5310"/>
      <c r="CG887" s="5310"/>
      <c r="CH887" s="5310"/>
    </row>
    <row r="888" s="4974" customFormat="1" ht="25" customHeight="1" spans="1:86">
      <c r="A888" s="3812"/>
      <c r="B888" s="3812"/>
      <c r="C888" s="3812"/>
      <c r="D888" s="5059"/>
      <c r="E888" s="5059"/>
      <c r="F888" s="5059"/>
      <c r="G888" s="5059"/>
      <c r="H888" s="5059"/>
      <c r="I888" s="5205"/>
      <c r="J888" s="5059"/>
      <c r="K888" s="5059"/>
      <c r="L888" s="5059"/>
      <c r="M888" s="3812"/>
      <c r="N888" s="5711"/>
      <c r="O888" s="5711"/>
      <c r="P888" s="5711"/>
      <c r="Q888" s="5711"/>
      <c r="R888" s="5711"/>
      <c r="S888" s="5711"/>
      <c r="T888" s="5711"/>
      <c r="U888" s="5711"/>
      <c r="V888" s="5711"/>
      <c r="W888" s="5711"/>
      <c r="X888" s="5711"/>
      <c r="Y888" s="5711"/>
      <c r="Z888" s="5711"/>
      <c r="AA888" s="5711"/>
      <c r="AB888" s="5972"/>
      <c r="AC888" s="5214" t="s">
        <v>1061</v>
      </c>
      <c r="AD888" s="5242" t="s">
        <v>348</v>
      </c>
      <c r="AE888" s="5073">
        <v>0.2</v>
      </c>
      <c r="AF888" s="4840">
        <f>8130662.55*AE888</f>
        <v>1626132.51</v>
      </c>
      <c r="AG888" s="3812">
        <f t="shared" si="183"/>
        <v>457805.75</v>
      </c>
      <c r="AH888" s="1032" t="s">
        <v>122</v>
      </c>
      <c r="AI888" s="3812">
        <v>45642</v>
      </c>
      <c r="AJ888" s="3812">
        <v>457805.75</v>
      </c>
      <c r="AK888" s="3812">
        <v>45642</v>
      </c>
      <c r="AL888" s="3812"/>
      <c r="AM888" s="3812"/>
      <c r="AN888" s="3812">
        <f t="shared" si="182"/>
        <v>0</v>
      </c>
      <c r="AO888" s="3812"/>
      <c r="AP888" s="3812"/>
      <c r="AQ888" s="5981" t="s">
        <v>1642</v>
      </c>
      <c r="AR888" s="3812"/>
      <c r="AS888" s="5985"/>
      <c r="AT888" s="3812"/>
      <c r="AU888" s="3812"/>
      <c r="AV888" s="3812"/>
      <c r="AW888" s="3812"/>
      <c r="AX888" s="3812"/>
      <c r="AY888" s="3812"/>
      <c r="AZ888" s="3812"/>
      <c r="BA888" s="3812"/>
      <c r="BB888" s="3812"/>
      <c r="BC888" s="3812">
        <v>413363.77</v>
      </c>
      <c r="BD888" s="3812"/>
      <c r="BE888" s="3812"/>
      <c r="BF888" s="3812"/>
      <c r="BG888" s="3812"/>
      <c r="BH888" s="3812">
        <v>39863.92</v>
      </c>
      <c r="BI888" s="3812"/>
      <c r="BJ888" s="3812"/>
      <c r="BK888" s="3812"/>
      <c r="BL888" s="3812"/>
      <c r="BM888" s="3812"/>
      <c r="BN888" s="5201">
        <v>4578.06</v>
      </c>
      <c r="BO888" s="3812"/>
      <c r="BP888" s="3812"/>
      <c r="BQ888" s="3812"/>
      <c r="BR888" s="3812"/>
      <c r="BS888" s="3812"/>
      <c r="BT888" s="3812"/>
      <c r="BU888" s="3812"/>
      <c r="BV888" s="3812"/>
      <c r="BW888" s="3812"/>
      <c r="BX888" s="3812"/>
      <c r="BY888" s="3812"/>
      <c r="BZ888" s="3812"/>
      <c r="CA888" s="3812"/>
      <c r="CB888" s="3812"/>
      <c r="CC888" s="3812"/>
      <c r="CD888" s="3812"/>
      <c r="CE888" s="5310"/>
      <c r="CF888" s="5310"/>
      <c r="CG888" s="5310"/>
      <c r="CH888" s="5310"/>
    </row>
    <row r="889" s="4974" customFormat="1" ht="25" customHeight="1" spans="1:86">
      <c r="A889" s="3812"/>
      <c r="B889" s="3812"/>
      <c r="C889" s="3812"/>
      <c r="D889" s="5059"/>
      <c r="E889" s="5059"/>
      <c r="F889" s="5059"/>
      <c r="G889" s="5059"/>
      <c r="H889" s="5059"/>
      <c r="I889" s="5205"/>
      <c r="J889" s="5059"/>
      <c r="K889" s="5059"/>
      <c r="L889" s="5059"/>
      <c r="M889" s="3812"/>
      <c r="N889" s="5711"/>
      <c r="O889" s="5711"/>
      <c r="P889" s="5711"/>
      <c r="Q889" s="5711"/>
      <c r="R889" s="5711"/>
      <c r="S889" s="5711"/>
      <c r="T889" s="5711"/>
      <c r="U889" s="5711"/>
      <c r="V889" s="5711"/>
      <c r="W889" s="5711"/>
      <c r="X889" s="5711"/>
      <c r="Y889" s="5711"/>
      <c r="Z889" s="5711"/>
      <c r="AA889" s="5711"/>
      <c r="AB889" s="5972"/>
      <c r="AC889" s="5074"/>
      <c r="AD889" s="5977"/>
      <c r="AE889" s="5205"/>
      <c r="AF889" s="4841"/>
      <c r="AG889" s="3812">
        <f t="shared" si="183"/>
        <v>0</v>
      </c>
      <c r="AH889" s="5199"/>
      <c r="AI889" s="4813"/>
      <c r="AJ889" s="3812"/>
      <c r="AK889" s="3812"/>
      <c r="AL889" s="3812"/>
      <c r="AM889" s="3812"/>
      <c r="AN889" s="3812"/>
      <c r="AO889" s="3812"/>
      <c r="AP889" s="3812"/>
      <c r="AQ889" s="5241"/>
      <c r="AR889" s="3812"/>
      <c r="AS889" s="5985"/>
      <c r="AT889" s="3812"/>
      <c r="AU889" s="3812"/>
      <c r="AV889" s="3812"/>
      <c r="AW889" s="3812"/>
      <c r="AX889" s="3812"/>
      <c r="AY889" s="3812"/>
      <c r="AZ889" s="3812"/>
      <c r="BA889" s="3812"/>
      <c r="BB889" s="3812"/>
      <c r="BC889" s="3812"/>
      <c r="BD889" s="3812"/>
      <c r="BE889" s="3812"/>
      <c r="BF889" s="3812"/>
      <c r="BG889" s="3812"/>
      <c r="BH889" s="3812"/>
      <c r="BI889" s="3812"/>
      <c r="BJ889" s="3812"/>
      <c r="BK889" s="3812"/>
      <c r="BL889" s="3812"/>
      <c r="BM889" s="3812"/>
      <c r="BN889" s="3812"/>
      <c r="BO889" s="3812"/>
      <c r="BP889" s="3812"/>
      <c r="BQ889" s="3812"/>
      <c r="BR889" s="3812"/>
      <c r="BS889" s="3812"/>
      <c r="BT889" s="3812"/>
      <c r="BU889" s="3812"/>
      <c r="BV889" s="3812"/>
      <c r="BW889" s="3812"/>
      <c r="BX889" s="3812"/>
      <c r="BY889" s="3812"/>
      <c r="BZ889" s="3812"/>
      <c r="CA889" s="3812"/>
      <c r="CB889" s="3812"/>
      <c r="CC889" s="3812"/>
      <c r="CD889" s="3812"/>
      <c r="CE889" s="5310"/>
      <c r="CF889" s="5310"/>
      <c r="CG889" s="5310"/>
      <c r="CH889" s="5310"/>
    </row>
    <row r="890" s="4974" customFormat="1" ht="25" customHeight="1" spans="1:86">
      <c r="A890" s="3812"/>
      <c r="B890" s="3812"/>
      <c r="C890" s="3812"/>
      <c r="D890" s="5059"/>
      <c r="E890" s="5059"/>
      <c r="F890" s="5059"/>
      <c r="G890" s="5059"/>
      <c r="H890" s="5059"/>
      <c r="I890" s="5205"/>
      <c r="J890" s="5059"/>
      <c r="K890" s="5059"/>
      <c r="L890" s="5059"/>
      <c r="M890" s="3812"/>
      <c r="N890" s="5711"/>
      <c r="O890" s="5711"/>
      <c r="P890" s="5711"/>
      <c r="Q890" s="5711"/>
      <c r="R890" s="5711"/>
      <c r="S890" s="5711"/>
      <c r="T890" s="5711"/>
      <c r="U890" s="5711"/>
      <c r="V890" s="5711"/>
      <c r="W890" s="5711"/>
      <c r="X890" s="5711"/>
      <c r="Y890" s="5711"/>
      <c r="Z890" s="5711"/>
      <c r="AA890" s="5711"/>
      <c r="AB890" s="5972"/>
      <c r="AC890" s="5074"/>
      <c r="AD890" s="5977"/>
      <c r="AE890" s="5205"/>
      <c r="AF890" s="4841"/>
      <c r="AG890" s="3812">
        <f t="shared" si="183"/>
        <v>0</v>
      </c>
      <c r="AH890" s="5199"/>
      <c r="AI890" s="4813"/>
      <c r="AJ890" s="3812"/>
      <c r="AK890" s="3812"/>
      <c r="AL890" s="3812"/>
      <c r="AM890" s="3812"/>
      <c r="AN890" s="3812"/>
      <c r="AO890" s="3812"/>
      <c r="AP890" s="3812"/>
      <c r="AQ890" s="5241"/>
      <c r="AR890" s="3812"/>
      <c r="AS890" s="5985"/>
      <c r="AT890" s="3812"/>
      <c r="AU890" s="3812"/>
      <c r="AV890" s="3812"/>
      <c r="AW890" s="3812"/>
      <c r="AX890" s="3812"/>
      <c r="AY890" s="3812"/>
      <c r="AZ890" s="3812"/>
      <c r="BA890" s="3812"/>
      <c r="BB890" s="3812"/>
      <c r="BC890" s="3812"/>
      <c r="BD890" s="3812"/>
      <c r="BE890" s="3812"/>
      <c r="BF890" s="3812"/>
      <c r="BG890" s="3812"/>
      <c r="BH890" s="3812"/>
      <c r="BI890" s="3812"/>
      <c r="BJ890" s="3812"/>
      <c r="BK890" s="3812"/>
      <c r="BL890" s="3812"/>
      <c r="BM890" s="3812"/>
      <c r="BN890" s="3812"/>
      <c r="BO890" s="3812"/>
      <c r="BP890" s="3812"/>
      <c r="BQ890" s="3812"/>
      <c r="BR890" s="3812"/>
      <c r="BS890" s="3812"/>
      <c r="BT890" s="3812"/>
      <c r="BU890" s="3812"/>
      <c r="BV890" s="3812"/>
      <c r="BW890" s="3812"/>
      <c r="BX890" s="3812"/>
      <c r="BY890" s="3812"/>
      <c r="BZ890" s="3812"/>
      <c r="CA890" s="3812"/>
      <c r="CB890" s="3812"/>
      <c r="CC890" s="3812"/>
      <c r="CD890" s="3812"/>
      <c r="CE890" s="5310"/>
      <c r="CF890" s="5310"/>
      <c r="CG890" s="5310"/>
      <c r="CH890" s="5310"/>
    </row>
    <row r="891" s="4974" customFormat="1" ht="25" customHeight="1" spans="1:86">
      <c r="A891" s="3812"/>
      <c r="B891" s="3812"/>
      <c r="C891" s="3812"/>
      <c r="D891" s="5059"/>
      <c r="E891" s="5059"/>
      <c r="F891" s="5059"/>
      <c r="G891" s="5059"/>
      <c r="H891" s="5059"/>
      <c r="I891" s="5205"/>
      <c r="J891" s="5059"/>
      <c r="K891" s="5059"/>
      <c r="L891" s="5059"/>
      <c r="M891" s="3812"/>
      <c r="N891" s="5711"/>
      <c r="O891" s="5711"/>
      <c r="P891" s="5711"/>
      <c r="Q891" s="5711"/>
      <c r="R891" s="5711"/>
      <c r="S891" s="5711"/>
      <c r="T891" s="5711"/>
      <c r="U891" s="5711"/>
      <c r="V891" s="5711"/>
      <c r="W891" s="5711"/>
      <c r="X891" s="5711"/>
      <c r="Y891" s="5711"/>
      <c r="Z891" s="5711"/>
      <c r="AA891" s="5711"/>
      <c r="AB891" s="5972"/>
      <c r="AC891" s="5075"/>
      <c r="AD891" s="5942"/>
      <c r="AE891" s="5206"/>
      <c r="AF891" s="4842"/>
      <c r="AG891" s="3812">
        <f t="shared" si="183"/>
        <v>0</v>
      </c>
      <c r="AH891" s="5199"/>
      <c r="AI891" s="4813"/>
      <c r="AJ891" s="3812"/>
      <c r="AK891" s="3812"/>
      <c r="AL891" s="3812"/>
      <c r="AM891" s="3812"/>
      <c r="AN891" s="3812"/>
      <c r="AO891" s="3812"/>
      <c r="AP891" s="3812"/>
      <c r="AQ891" s="5241"/>
      <c r="AR891" s="3812"/>
      <c r="AS891" s="5985"/>
      <c r="AT891" s="3812"/>
      <c r="AU891" s="3812"/>
      <c r="AV891" s="3812"/>
      <c r="AW891" s="3812"/>
      <c r="AX891" s="3812"/>
      <c r="AY891" s="3812"/>
      <c r="AZ891" s="3812"/>
      <c r="BA891" s="3812"/>
      <c r="BB891" s="3812"/>
      <c r="BC891" s="3812"/>
      <c r="BD891" s="3812"/>
      <c r="BE891" s="3812"/>
      <c r="BF891" s="3812"/>
      <c r="BG891" s="3812"/>
      <c r="BH891" s="3812"/>
      <c r="BI891" s="3812"/>
      <c r="BJ891" s="3812"/>
      <c r="BK891" s="3812"/>
      <c r="BL891" s="3812"/>
      <c r="BM891" s="3812"/>
      <c r="BN891" s="3812"/>
      <c r="BO891" s="3812"/>
      <c r="BP891" s="3812"/>
      <c r="BQ891" s="3812"/>
      <c r="BR891" s="3812"/>
      <c r="BS891" s="3812"/>
      <c r="BT891" s="3812"/>
      <c r="BU891" s="3812"/>
      <c r="BV891" s="3812"/>
      <c r="BW891" s="3812"/>
      <c r="BX891" s="3812"/>
      <c r="BY891" s="3812"/>
      <c r="BZ891" s="3812"/>
      <c r="CA891" s="3812"/>
      <c r="CB891" s="3812"/>
      <c r="CC891" s="3812"/>
      <c r="CD891" s="3812"/>
      <c r="CE891" s="5310"/>
      <c r="CF891" s="5310"/>
      <c r="CG891" s="5310"/>
      <c r="CH891" s="5310"/>
    </row>
    <row r="892" s="4974" customFormat="1" ht="25" customHeight="1" spans="1:86">
      <c r="A892" s="3812"/>
      <c r="B892" s="3812"/>
      <c r="C892" s="3812"/>
      <c r="D892" s="5059"/>
      <c r="E892" s="5059"/>
      <c r="F892" s="5059"/>
      <c r="G892" s="5059"/>
      <c r="H892" s="5059"/>
      <c r="I892" s="5205"/>
      <c r="J892" s="5059"/>
      <c r="K892" s="5059"/>
      <c r="L892" s="5059"/>
      <c r="M892" s="3812"/>
      <c r="N892" s="5711"/>
      <c r="O892" s="5711"/>
      <c r="P892" s="5711"/>
      <c r="Q892" s="5711"/>
      <c r="R892" s="5711"/>
      <c r="S892" s="5711"/>
      <c r="T892" s="5711"/>
      <c r="U892" s="5711"/>
      <c r="V892" s="5711"/>
      <c r="W892" s="5711"/>
      <c r="X892" s="5711"/>
      <c r="Y892" s="5711"/>
      <c r="Z892" s="5711"/>
      <c r="AA892" s="5711"/>
      <c r="AB892" s="5972"/>
      <c r="AC892" s="5073" t="s">
        <v>1063</v>
      </c>
      <c r="AD892" s="5073" t="s">
        <v>351</v>
      </c>
      <c r="AE892" s="5073">
        <v>0.1</v>
      </c>
      <c r="AF892" s="4840">
        <f>8130662.55*AE892</f>
        <v>813066.255</v>
      </c>
      <c r="AG892" s="3812">
        <f t="shared" si="183"/>
        <v>459786.58</v>
      </c>
      <c r="AH892" s="5199"/>
      <c r="AI892" s="4813"/>
      <c r="AJ892" s="3812"/>
      <c r="AK892" s="4813"/>
      <c r="AL892" s="3812"/>
      <c r="AM892" s="3812"/>
      <c r="AN892" s="3812">
        <f>SUM(BO892:CB892)</f>
        <v>0</v>
      </c>
      <c r="AO892" s="3812"/>
      <c r="AP892" s="3812"/>
      <c r="AQ892" s="5241"/>
      <c r="AR892" s="3812"/>
      <c r="AS892" s="5985"/>
      <c r="AT892" s="3812"/>
      <c r="AU892" s="3812"/>
      <c r="AV892" s="3812"/>
      <c r="AW892" s="3812"/>
      <c r="AX892" s="3812"/>
      <c r="AY892" s="3812"/>
      <c r="AZ892" s="3812"/>
      <c r="BA892" s="3812"/>
      <c r="BB892" s="3812"/>
      <c r="BC892" s="3812">
        <v>459786.58</v>
      </c>
      <c r="BD892" s="3812"/>
      <c r="BE892" s="3812"/>
      <c r="BF892" s="3812"/>
      <c r="BG892" s="3812"/>
      <c r="BH892" s="3812"/>
      <c r="BI892" s="3812"/>
      <c r="BJ892" s="3812"/>
      <c r="BK892" s="3812"/>
      <c r="BL892" s="3812"/>
      <c r="BM892" s="3812"/>
      <c r="BN892" s="3812"/>
      <c r="BO892" s="3812"/>
      <c r="BP892" s="3812"/>
      <c r="BQ892" s="3812"/>
      <c r="BR892" s="3812"/>
      <c r="BS892" s="3812"/>
      <c r="BT892" s="3812"/>
      <c r="BU892" s="3812"/>
      <c r="BV892" s="3812"/>
      <c r="BW892" s="3812"/>
      <c r="BX892" s="3812"/>
      <c r="BY892" s="3812"/>
      <c r="BZ892" s="3812"/>
      <c r="CA892" s="3812"/>
      <c r="CB892" s="3812"/>
      <c r="CC892" s="3812"/>
      <c r="CD892" s="3812"/>
      <c r="CE892" s="5310"/>
      <c r="CF892" s="5310"/>
      <c r="CG892" s="5310"/>
      <c r="CH892" s="5310"/>
    </row>
    <row r="893" s="4974" customFormat="1" ht="25" customHeight="1" spans="1:86">
      <c r="A893" s="3812"/>
      <c r="B893" s="3812"/>
      <c r="C893" s="3812"/>
      <c r="D893" s="5059"/>
      <c r="E893" s="5059"/>
      <c r="F893" s="5059"/>
      <c r="G893" s="5059"/>
      <c r="H893" s="5059"/>
      <c r="I893" s="5205"/>
      <c r="J893" s="5059"/>
      <c r="K893" s="5059"/>
      <c r="L893" s="5059"/>
      <c r="M893" s="3812"/>
      <c r="N893" s="5711"/>
      <c r="O893" s="5711"/>
      <c r="P893" s="5711"/>
      <c r="Q893" s="5711"/>
      <c r="R893" s="5711"/>
      <c r="S893" s="5711"/>
      <c r="T893" s="5711"/>
      <c r="U893" s="5711"/>
      <c r="V893" s="5711"/>
      <c r="W893" s="5711"/>
      <c r="X893" s="5711"/>
      <c r="Y893" s="5711"/>
      <c r="Z893" s="5711"/>
      <c r="AA893" s="5711"/>
      <c r="AB893" s="5972"/>
      <c r="AC893" s="5205"/>
      <c r="AD893" s="5205"/>
      <c r="AE893" s="5205"/>
      <c r="AF893" s="4841"/>
      <c r="AG893" s="3812"/>
      <c r="AH893" s="5199"/>
      <c r="AI893" s="4813"/>
      <c r="AJ893" s="3812"/>
      <c r="AK893" s="4813"/>
      <c r="AL893" s="3812"/>
      <c r="AM893" s="3812"/>
      <c r="AN893" s="3812"/>
      <c r="AO893" s="3812"/>
      <c r="AP893" s="3812"/>
      <c r="AQ893" s="5241"/>
      <c r="AR893" s="3812"/>
      <c r="AS893" s="5985"/>
      <c r="AT893" s="3812"/>
      <c r="AU893" s="3812"/>
      <c r="AV893" s="3812"/>
      <c r="AW893" s="3812"/>
      <c r="AX893" s="3812"/>
      <c r="AY893" s="3812"/>
      <c r="AZ893" s="3812"/>
      <c r="BA893" s="3812"/>
      <c r="BB893" s="3812"/>
      <c r="BC893" s="3812"/>
      <c r="BD893" s="3812"/>
      <c r="BE893" s="3812"/>
      <c r="BF893" s="3812"/>
      <c r="BG893" s="3812"/>
      <c r="BH893" s="3812"/>
      <c r="BI893" s="3812"/>
      <c r="BJ893" s="3812"/>
      <c r="BK893" s="3812"/>
      <c r="BL893" s="3812"/>
      <c r="BM893" s="3812"/>
      <c r="BN893" s="3812"/>
      <c r="BO893" s="3812"/>
      <c r="BP893" s="3812"/>
      <c r="BQ893" s="3812"/>
      <c r="BR893" s="3812"/>
      <c r="BS893" s="3812"/>
      <c r="BT893" s="3812"/>
      <c r="BU893" s="3812"/>
      <c r="BV893" s="3812"/>
      <c r="BW893" s="3812"/>
      <c r="BX893" s="3812"/>
      <c r="BY893" s="3812"/>
      <c r="BZ893" s="3812"/>
      <c r="CA893" s="3812"/>
      <c r="CB893" s="3812"/>
      <c r="CC893" s="3812"/>
      <c r="CD893" s="3812"/>
      <c r="CE893" s="5310"/>
      <c r="CF893" s="5310"/>
      <c r="CG893" s="5310"/>
      <c r="CH893" s="5310"/>
    </row>
    <row r="894" s="4974" customFormat="1" ht="25" customHeight="1" spans="1:86">
      <c r="A894" s="3812"/>
      <c r="B894" s="3812"/>
      <c r="C894" s="3812"/>
      <c r="D894" s="5059"/>
      <c r="E894" s="5059"/>
      <c r="F894" s="5059"/>
      <c r="G894" s="5059"/>
      <c r="H894" s="5059"/>
      <c r="I894" s="5205"/>
      <c r="J894" s="5059"/>
      <c r="K894" s="5059"/>
      <c r="L894" s="5059"/>
      <c r="M894" s="3812"/>
      <c r="N894" s="5667"/>
      <c r="O894" s="5667"/>
      <c r="P894" s="5667"/>
      <c r="Q894" s="5667"/>
      <c r="R894" s="5667"/>
      <c r="S894" s="5667"/>
      <c r="T894" s="5667"/>
      <c r="U894" s="5667"/>
      <c r="V894" s="5667"/>
      <c r="W894" s="5667"/>
      <c r="X894" s="5667"/>
      <c r="Y894" s="5667"/>
      <c r="Z894" s="5667"/>
      <c r="AA894" s="5667"/>
      <c r="AB894" s="5973"/>
      <c r="AC894" s="5206"/>
      <c r="AD894" s="5206"/>
      <c r="AE894" s="5206"/>
      <c r="AF894" s="4842"/>
      <c r="AG894" s="3812"/>
      <c r="AH894" s="1032"/>
      <c r="AI894" s="4813"/>
      <c r="AJ894" s="3812"/>
      <c r="AK894" s="4813"/>
      <c r="AL894" s="4813"/>
      <c r="AM894" s="4813"/>
      <c r="AN894" s="4813"/>
      <c r="AO894" s="4813"/>
      <c r="AP894" s="3812"/>
      <c r="AQ894" s="5241"/>
      <c r="AR894" s="3812"/>
      <c r="AS894" s="5985"/>
      <c r="AT894" s="3812"/>
      <c r="AU894" s="3812"/>
      <c r="AV894" s="3812"/>
      <c r="AW894" s="3812"/>
      <c r="AX894" s="3812"/>
      <c r="AY894" s="3812"/>
      <c r="AZ894" s="3812"/>
      <c r="BA894" s="3812"/>
      <c r="BB894" s="3812"/>
      <c r="BC894" s="3812">
        <f>734136.98-BC892</f>
        <v>274350.4</v>
      </c>
      <c r="BD894" s="3812"/>
      <c r="BE894" s="3812"/>
      <c r="BF894" s="3812"/>
      <c r="BG894" s="3812"/>
      <c r="BH894" s="3812">
        <v>70798.612385</v>
      </c>
      <c r="BI894" s="3812"/>
      <c r="BJ894" s="3812"/>
      <c r="BK894" s="3812"/>
      <c r="BL894" s="3812"/>
      <c r="BM894" s="3812"/>
      <c r="BN894" s="3812">
        <v>8130.66255</v>
      </c>
      <c r="BO894" s="3812"/>
      <c r="BP894" s="3812"/>
      <c r="BQ894" s="3812"/>
      <c r="BR894" s="3812"/>
      <c r="BS894" s="3812"/>
      <c r="BT894" s="3812"/>
      <c r="BU894" s="3812"/>
      <c r="BV894" s="3812"/>
      <c r="BW894" s="3812"/>
      <c r="BX894" s="3812"/>
      <c r="BY894" s="3812"/>
      <c r="BZ894" s="3812"/>
      <c r="CA894" s="3812"/>
      <c r="CB894" s="3812"/>
      <c r="CC894" s="3812"/>
      <c r="CD894" s="3812"/>
      <c r="CE894" s="5310"/>
      <c r="CF894" s="5310"/>
      <c r="CG894" s="5310"/>
      <c r="CH894" s="5310"/>
    </row>
    <row r="895" s="4985" customFormat="1" ht="25" customHeight="1" spans="1:86">
      <c r="A895" s="5201"/>
      <c r="B895" s="5201"/>
      <c r="C895" s="5201"/>
      <c r="D895" s="5708"/>
      <c r="E895" s="5708"/>
      <c r="F895" s="5708"/>
      <c r="G895" s="5708"/>
      <c r="H895" s="5059"/>
      <c r="I895" s="5205"/>
      <c r="J895" s="5059"/>
      <c r="K895" s="5059"/>
      <c r="L895" s="5059"/>
      <c r="M895" s="5201"/>
      <c r="N895" s="5667"/>
      <c r="O895" s="5667"/>
      <c r="P895" s="5667"/>
      <c r="Q895" s="5667"/>
      <c r="R895" s="5667"/>
      <c r="S895" s="5667"/>
      <c r="T895" s="5667"/>
      <c r="U895" s="5667"/>
      <c r="V895" s="5667"/>
      <c r="W895" s="5667"/>
      <c r="X895" s="5667"/>
      <c r="Y895" s="5667"/>
      <c r="Z895" s="5667"/>
      <c r="AA895" s="5667"/>
      <c r="AB895" s="5973"/>
      <c r="AC895" s="5892" t="s">
        <v>1110</v>
      </c>
      <c r="AD895" s="5892" t="s">
        <v>1776</v>
      </c>
      <c r="AE895" s="5892">
        <v>0.2</v>
      </c>
      <c r="AF895" s="5934">
        <f>1766778.53*AE895</f>
        <v>353355.706</v>
      </c>
      <c r="AG895" s="5934">
        <f>SUM(BA895:BN895)</f>
        <v>353355.71</v>
      </c>
      <c r="AH895" s="5892" t="s">
        <v>122</v>
      </c>
      <c r="AI895" s="5934">
        <v>45423</v>
      </c>
      <c r="AJ895" s="5934">
        <v>353355.705</v>
      </c>
      <c r="AK895" s="5934">
        <v>45423</v>
      </c>
      <c r="AL895" s="5201">
        <v>353355.705</v>
      </c>
      <c r="AM895" s="5201">
        <v>45468</v>
      </c>
      <c r="AN895" s="5201">
        <f t="shared" ref="AN895:AN905" si="184">SUM(BO895:CB895)</f>
        <v>353355.71</v>
      </c>
      <c r="AO895" s="5201">
        <v>45657</v>
      </c>
      <c r="AP895" s="5201"/>
      <c r="AQ895" s="5931" t="s">
        <v>1771</v>
      </c>
      <c r="AR895" s="5201"/>
      <c r="AS895" s="5987"/>
      <c r="AT895" s="5201"/>
      <c r="AU895" s="3812"/>
      <c r="AV895" s="3812"/>
      <c r="AW895" s="3812"/>
      <c r="AX895" s="3812"/>
      <c r="AY895" s="3812"/>
      <c r="AZ895" s="3812"/>
      <c r="BA895" s="5201"/>
      <c r="BB895" s="5201"/>
      <c r="BC895" s="3812">
        <v>1963.09</v>
      </c>
      <c r="BD895" s="5201"/>
      <c r="BE895" s="5201"/>
      <c r="BF895" s="5201"/>
      <c r="BG895" s="5201"/>
      <c r="BH895" s="5201">
        <v>347859.06</v>
      </c>
      <c r="BI895" s="5201"/>
      <c r="BJ895" s="5201"/>
      <c r="BK895" s="5201"/>
      <c r="BL895" s="5201"/>
      <c r="BM895" s="5201"/>
      <c r="BN895" s="5201">
        <v>3533.56</v>
      </c>
      <c r="BO895" s="5201"/>
      <c r="BP895" s="5201"/>
      <c r="BQ895" s="5201">
        <v>1963.09</v>
      </c>
      <c r="BR895" s="5201"/>
      <c r="BS895" s="5201"/>
      <c r="BT895" s="5201"/>
      <c r="BU895" s="5201"/>
      <c r="BV895" s="5201">
        <v>347859.06</v>
      </c>
      <c r="BW895" s="5201"/>
      <c r="BX895" s="5201"/>
      <c r="BY895" s="5201"/>
      <c r="BZ895" s="5201"/>
      <c r="CA895" s="5201"/>
      <c r="CB895" s="5201">
        <v>3533.56</v>
      </c>
      <c r="CC895" s="5201"/>
      <c r="CD895" s="5201"/>
      <c r="CE895" s="5990"/>
      <c r="CF895" s="5990"/>
      <c r="CG895" s="5990"/>
      <c r="CH895" s="5990"/>
    </row>
    <row r="896" s="4974" customFormat="1" ht="25" customHeight="1" spans="1:86">
      <c r="A896" s="3812"/>
      <c r="B896" s="3812"/>
      <c r="C896" s="3812"/>
      <c r="D896" s="5059"/>
      <c r="E896" s="5059"/>
      <c r="F896" s="5059"/>
      <c r="G896" s="5059"/>
      <c r="H896" s="5059"/>
      <c r="I896" s="5205"/>
      <c r="J896" s="5059"/>
      <c r="K896" s="5059"/>
      <c r="L896" s="5059"/>
      <c r="M896" s="3812"/>
      <c r="N896" s="5667"/>
      <c r="O896" s="5667"/>
      <c r="P896" s="5667"/>
      <c r="Q896" s="5667"/>
      <c r="R896" s="5667"/>
      <c r="S896" s="5667"/>
      <c r="T896" s="5667"/>
      <c r="U896" s="5667"/>
      <c r="V896" s="5667"/>
      <c r="W896" s="5667"/>
      <c r="X896" s="5667"/>
      <c r="Y896" s="5667"/>
      <c r="Z896" s="5667"/>
      <c r="AA896" s="5667"/>
      <c r="AB896" s="5973"/>
      <c r="AC896" s="5073" t="s">
        <v>1113</v>
      </c>
      <c r="AD896" s="5073" t="s">
        <v>1777</v>
      </c>
      <c r="AE896" s="5073">
        <v>0.4</v>
      </c>
      <c r="AF896" s="4840">
        <f>1766778.53*AE896</f>
        <v>706711.412</v>
      </c>
      <c r="AG896" s="3812">
        <f>SUM(BA896:BN896)</f>
        <v>188643.91</v>
      </c>
      <c r="AH896" s="1032" t="s">
        <v>122</v>
      </c>
      <c r="AI896" s="3812">
        <v>45423</v>
      </c>
      <c r="AJ896" s="3812">
        <v>188643.91</v>
      </c>
      <c r="AK896" s="3812">
        <v>45423</v>
      </c>
      <c r="AL896" s="3812">
        <v>188643.91</v>
      </c>
      <c r="AM896" s="3812">
        <v>45468</v>
      </c>
      <c r="AN896" s="3812">
        <f t="shared" si="184"/>
        <v>188643.91</v>
      </c>
      <c r="AO896" s="3812">
        <v>45657</v>
      </c>
      <c r="AP896" s="3812"/>
      <c r="AQ896" s="5242" t="s">
        <v>1778</v>
      </c>
      <c r="AR896" s="3812"/>
      <c r="AS896" s="5985"/>
      <c r="AT896" s="3812"/>
      <c r="AU896" s="3812"/>
      <c r="AV896" s="3812"/>
      <c r="AW896" s="3812"/>
      <c r="AX896" s="3812"/>
      <c r="AY896" s="3812"/>
      <c r="AZ896" s="3812"/>
      <c r="BA896" s="3812"/>
      <c r="BB896" s="3812"/>
      <c r="BC896" s="3812">
        <v>3926.17</v>
      </c>
      <c r="BD896" s="3812"/>
      <c r="BE896" s="3812"/>
      <c r="BF896" s="3812"/>
      <c r="BG896" s="3812"/>
      <c r="BH896" s="3812">
        <v>177650.63</v>
      </c>
      <c r="BI896" s="3812"/>
      <c r="BJ896" s="3812"/>
      <c r="BK896" s="3812"/>
      <c r="BL896" s="3812"/>
      <c r="BM896" s="3812"/>
      <c r="BN896" s="3812">
        <v>7067.11</v>
      </c>
      <c r="BO896" s="3812"/>
      <c r="BP896" s="3812"/>
      <c r="BQ896" s="3812">
        <v>3926.17</v>
      </c>
      <c r="BR896" s="3812"/>
      <c r="BS896" s="3812"/>
      <c r="BT896" s="3812"/>
      <c r="BU896" s="3812"/>
      <c r="BV896" s="3812">
        <v>177650.63</v>
      </c>
      <c r="BW896" s="3812"/>
      <c r="BX896" s="3812"/>
      <c r="BY896" s="3812"/>
      <c r="BZ896" s="3812"/>
      <c r="CA896" s="3812"/>
      <c r="CB896" s="3812">
        <v>7067.11</v>
      </c>
      <c r="CC896" s="3812"/>
      <c r="CD896" s="3812"/>
      <c r="CE896" s="5310"/>
      <c r="CF896" s="5310"/>
      <c r="CG896" s="5310"/>
      <c r="CH896" s="5310"/>
    </row>
    <row r="897" s="4974" customFormat="1" ht="29.15" customHeight="1" spans="1:86">
      <c r="A897" s="3812"/>
      <c r="B897" s="3812"/>
      <c r="C897" s="3812"/>
      <c r="D897" s="5059"/>
      <c r="E897" s="5059"/>
      <c r="F897" s="5059"/>
      <c r="G897" s="5059"/>
      <c r="H897" s="5059"/>
      <c r="I897" s="5205"/>
      <c r="J897" s="5059"/>
      <c r="K897" s="5059"/>
      <c r="L897" s="5059"/>
      <c r="M897" s="3812"/>
      <c r="N897" s="5667"/>
      <c r="O897" s="5667"/>
      <c r="P897" s="5667"/>
      <c r="Q897" s="5667"/>
      <c r="R897" s="5667"/>
      <c r="S897" s="5667"/>
      <c r="T897" s="5667"/>
      <c r="U897" s="5667"/>
      <c r="V897" s="5667"/>
      <c r="W897" s="5667"/>
      <c r="X897" s="5667"/>
      <c r="Y897" s="5667"/>
      <c r="Z897" s="5667"/>
      <c r="AA897" s="5667"/>
      <c r="AB897" s="5973"/>
      <c r="AC897" s="5205"/>
      <c r="AD897" s="5205"/>
      <c r="AE897" s="5205"/>
      <c r="AF897" s="4841"/>
      <c r="AG897" s="3812">
        <f>SUM(BA897:BN897)</f>
        <v>5895.32</v>
      </c>
      <c r="AH897" s="1032" t="s">
        <v>122</v>
      </c>
      <c r="AI897" s="3812">
        <v>45642</v>
      </c>
      <c r="AJ897" s="3812">
        <v>5776.4</v>
      </c>
      <c r="AK897" s="3812">
        <v>45642</v>
      </c>
      <c r="AL897" s="3812">
        <v>5895.32</v>
      </c>
      <c r="AM897" s="3812">
        <v>45468</v>
      </c>
      <c r="AN897" s="3812">
        <f t="shared" si="184"/>
        <v>5895.32</v>
      </c>
      <c r="AO897" s="3812">
        <v>45657</v>
      </c>
      <c r="AP897" s="3812"/>
      <c r="AQ897" s="5977"/>
      <c r="AR897" s="3812"/>
      <c r="AS897" s="5985"/>
      <c r="AT897" s="3812"/>
      <c r="AU897" s="3812"/>
      <c r="AV897" s="3812"/>
      <c r="AW897" s="3812"/>
      <c r="AX897" s="3812"/>
      <c r="AY897" s="3812"/>
      <c r="AZ897" s="3812"/>
      <c r="BA897" s="3812"/>
      <c r="BB897" s="3812"/>
      <c r="BC897" s="3812">
        <v>32.75</v>
      </c>
      <c r="BD897" s="3812"/>
      <c r="BE897" s="3812"/>
      <c r="BF897" s="3812"/>
      <c r="BG897" s="3812"/>
      <c r="BH897" s="3812">
        <v>5803.62</v>
      </c>
      <c r="BI897" s="3812"/>
      <c r="BJ897" s="3812"/>
      <c r="BK897" s="3812"/>
      <c r="BL897" s="3812"/>
      <c r="BM897" s="3812"/>
      <c r="BN897" s="3812">
        <v>58.95</v>
      </c>
      <c r="BO897" s="3812"/>
      <c r="BP897" s="3812"/>
      <c r="BQ897" s="3812">
        <v>32.75</v>
      </c>
      <c r="BR897" s="3812"/>
      <c r="BS897" s="3812"/>
      <c r="BT897" s="3812"/>
      <c r="BU897" s="3812"/>
      <c r="BV897" s="3812">
        <v>5803.62</v>
      </c>
      <c r="BW897" s="3812"/>
      <c r="BX897" s="3812"/>
      <c r="BY897" s="3812"/>
      <c r="BZ897" s="3812"/>
      <c r="CA897" s="3812"/>
      <c r="CB897" s="3812">
        <v>58.95</v>
      </c>
      <c r="CC897" s="3812"/>
      <c r="CD897" s="3812"/>
      <c r="CE897" s="5310"/>
      <c r="CF897" s="5310"/>
      <c r="CG897" s="5310"/>
      <c r="CH897" s="5310"/>
    </row>
    <row r="898" s="4974" customFormat="1" ht="24.15" customHeight="1" spans="1:86">
      <c r="A898" s="3812"/>
      <c r="B898" s="3812"/>
      <c r="C898" s="3812"/>
      <c r="D898" s="5059"/>
      <c r="E898" s="5059"/>
      <c r="F898" s="5059"/>
      <c r="G898" s="5059"/>
      <c r="H898" s="5059"/>
      <c r="I898" s="5205"/>
      <c r="J898" s="5059"/>
      <c r="K898" s="5059"/>
      <c r="L898" s="5059"/>
      <c r="M898" s="3812"/>
      <c r="N898" s="5667"/>
      <c r="O898" s="5667"/>
      <c r="P898" s="5667"/>
      <c r="Q898" s="5667"/>
      <c r="R898" s="5667"/>
      <c r="S898" s="5667"/>
      <c r="T898" s="5667"/>
      <c r="U898" s="5667"/>
      <c r="V898" s="5667"/>
      <c r="W898" s="5667"/>
      <c r="X898" s="5667"/>
      <c r="Y898" s="5667"/>
      <c r="Z898" s="5667"/>
      <c r="AA898" s="5667"/>
      <c r="AB898" s="5973"/>
      <c r="AC898" s="5205"/>
      <c r="AD898" s="5205"/>
      <c r="AE898" s="5205"/>
      <c r="AF898" s="4841"/>
      <c r="AG898" s="4840">
        <f>SUM(BA898:BN898)</f>
        <v>184990.78</v>
      </c>
      <c r="AH898" s="5073" t="s">
        <v>122</v>
      </c>
      <c r="AI898" s="4840">
        <v>45642</v>
      </c>
      <c r="AJ898" s="4840">
        <v>184990.78</v>
      </c>
      <c r="AK898" s="4840">
        <v>45642</v>
      </c>
      <c r="AL898" s="3812">
        <v>20765.2</v>
      </c>
      <c r="AM898" s="3812">
        <v>45800</v>
      </c>
      <c r="AN898" s="3812">
        <f t="shared" si="184"/>
        <v>20765.2</v>
      </c>
      <c r="AO898" s="3812">
        <v>45868</v>
      </c>
      <c r="AP898" s="3812"/>
      <c r="AQ898" s="5241" t="s">
        <v>1779</v>
      </c>
      <c r="AR898" s="3812"/>
      <c r="AS898" s="5985"/>
      <c r="AT898" s="3812"/>
      <c r="AU898" s="3812"/>
      <c r="AV898" s="3812"/>
      <c r="AW898" s="3812"/>
      <c r="AX898" s="3812"/>
      <c r="AY898" s="3812"/>
      <c r="AZ898" s="3812"/>
      <c r="BA898" s="3812"/>
      <c r="BB898" s="3812"/>
      <c r="BC898" s="4840">
        <v>1027.73</v>
      </c>
      <c r="BD898" s="3812"/>
      <c r="BE898" s="3812"/>
      <c r="BF898" s="3812"/>
      <c r="BG898" s="3812"/>
      <c r="BH898" s="4840">
        <v>182113.14</v>
      </c>
      <c r="BI898" s="3812"/>
      <c r="BJ898" s="3812"/>
      <c r="BK898" s="3812"/>
      <c r="BL898" s="3812"/>
      <c r="BM898" s="4840"/>
      <c r="BN898" s="4840">
        <v>1849.91</v>
      </c>
      <c r="BO898" s="3812"/>
      <c r="BP898" s="3812"/>
      <c r="BQ898" s="4813">
        <v>115.36</v>
      </c>
      <c r="BR898" s="4813"/>
      <c r="BS898" s="4813"/>
      <c r="BT898" s="4813"/>
      <c r="BU898" s="4813"/>
      <c r="BV898" s="4813">
        <v>20442.19</v>
      </c>
      <c r="BW898" s="4813"/>
      <c r="BX898" s="4813"/>
      <c r="BY898" s="4813"/>
      <c r="BZ898" s="4813"/>
      <c r="CA898" s="4813"/>
      <c r="CB898" s="4813">
        <v>207.65</v>
      </c>
      <c r="CC898" s="3812"/>
      <c r="CD898" s="3812"/>
      <c r="CE898" s="5310"/>
      <c r="CF898" s="5310"/>
      <c r="CG898" s="5310"/>
      <c r="CH898" s="5310"/>
    </row>
    <row r="899" s="4974" customFormat="1" ht="25" customHeight="1" spans="1:86">
      <c r="A899" s="3812"/>
      <c r="B899" s="3812"/>
      <c r="C899" s="3812"/>
      <c r="D899" s="5059"/>
      <c r="E899" s="5059"/>
      <c r="F899" s="5059"/>
      <c r="G899" s="5059"/>
      <c r="H899" s="5059"/>
      <c r="I899" s="5205"/>
      <c r="J899" s="5059"/>
      <c r="K899" s="5059"/>
      <c r="L899" s="5059"/>
      <c r="M899" s="3812"/>
      <c r="N899" s="5667"/>
      <c r="O899" s="5667"/>
      <c r="P899" s="5667"/>
      <c r="Q899" s="5667"/>
      <c r="R899" s="5667"/>
      <c r="S899" s="5667"/>
      <c r="T899" s="5667"/>
      <c r="U899" s="5667"/>
      <c r="V899" s="5667"/>
      <c r="W899" s="5667"/>
      <c r="X899" s="5667"/>
      <c r="Y899" s="5667"/>
      <c r="Z899" s="5667"/>
      <c r="AA899" s="5667"/>
      <c r="AB899" s="5973"/>
      <c r="AC899" s="5205"/>
      <c r="AD899" s="5205"/>
      <c r="AE899" s="5205"/>
      <c r="AF899" s="4841"/>
      <c r="AG899" s="4842"/>
      <c r="AH899" s="5206"/>
      <c r="AI899" s="4842"/>
      <c r="AJ899" s="4842"/>
      <c r="AK899" s="4842"/>
      <c r="AL899" s="3812">
        <f>AJ898-AL898</f>
        <v>164225.58</v>
      </c>
      <c r="AM899" s="3812"/>
      <c r="AN899" s="3812">
        <f t="shared" si="184"/>
        <v>0</v>
      </c>
      <c r="AO899" s="3812"/>
      <c r="AP899" s="3812"/>
      <c r="AQ899" s="5241"/>
      <c r="AR899" s="3812"/>
      <c r="AS899" s="5985"/>
      <c r="AT899" s="3812"/>
      <c r="AU899" s="3812"/>
      <c r="AV899" s="3812"/>
      <c r="AW899" s="3812"/>
      <c r="AX899" s="3812"/>
      <c r="AY899" s="3812"/>
      <c r="AZ899" s="3812"/>
      <c r="BA899" s="3812"/>
      <c r="BB899" s="3812"/>
      <c r="BC899" s="4842"/>
      <c r="BD899" s="3812"/>
      <c r="BE899" s="3812"/>
      <c r="BF899" s="3812"/>
      <c r="BG899" s="3812"/>
      <c r="BH899" s="4842"/>
      <c r="BI899" s="3812"/>
      <c r="BJ899" s="3812"/>
      <c r="BK899" s="3812"/>
      <c r="BL899" s="3812"/>
      <c r="BM899" s="4842"/>
      <c r="BN899" s="5938"/>
      <c r="BO899" s="3812"/>
      <c r="BP899" s="3812"/>
      <c r="BQ899" s="4813"/>
      <c r="BR899" s="4813"/>
      <c r="BS899" s="4813"/>
      <c r="BT899" s="4813"/>
      <c r="BU899" s="4813"/>
      <c r="BV899" s="4813"/>
      <c r="BW899" s="4813"/>
      <c r="BX899" s="4813"/>
      <c r="BY899" s="4813"/>
      <c r="BZ899" s="4813"/>
      <c r="CA899" s="4813"/>
      <c r="CB899" s="4813"/>
      <c r="CC899" s="3812"/>
      <c r="CD899" s="3812"/>
      <c r="CE899" s="5310"/>
      <c r="CF899" s="5310"/>
      <c r="CG899" s="5310"/>
      <c r="CH899" s="5310"/>
    </row>
    <row r="900" s="4974" customFormat="1" ht="25" customHeight="1" spans="1:86">
      <c r="A900" s="3812"/>
      <c r="B900" s="3812"/>
      <c r="C900" s="3812"/>
      <c r="D900" s="5059"/>
      <c r="E900" s="5059"/>
      <c r="F900" s="5059"/>
      <c r="G900" s="5059"/>
      <c r="H900" s="5059"/>
      <c r="I900" s="5205"/>
      <c r="J900" s="5059"/>
      <c r="K900" s="5059"/>
      <c r="L900" s="5059"/>
      <c r="M900" s="3812"/>
      <c r="N900" s="5667"/>
      <c r="O900" s="5667"/>
      <c r="P900" s="5667"/>
      <c r="Q900" s="5667"/>
      <c r="R900" s="5667"/>
      <c r="S900" s="5667"/>
      <c r="T900" s="5667"/>
      <c r="U900" s="5667"/>
      <c r="V900" s="5667"/>
      <c r="W900" s="5667"/>
      <c r="X900" s="5667"/>
      <c r="Y900" s="5667"/>
      <c r="Z900" s="5667"/>
      <c r="AA900" s="5667"/>
      <c r="AB900" s="5973"/>
      <c r="AC900" s="5205"/>
      <c r="AD900" s="5205"/>
      <c r="AE900" s="5205"/>
      <c r="AF900" s="4841"/>
      <c r="AG900" s="3812">
        <f>SUM(BA900:BN900)</f>
        <v>0</v>
      </c>
      <c r="AH900" s="1032"/>
      <c r="AI900" s="3812"/>
      <c r="AJ900" s="3812"/>
      <c r="AK900" s="3812"/>
      <c r="AL900" s="3812"/>
      <c r="AM900" s="3812"/>
      <c r="AN900" s="3812">
        <f t="shared" si="184"/>
        <v>0</v>
      </c>
      <c r="AO900" s="3812"/>
      <c r="AP900" s="3812"/>
      <c r="AQ900" s="5241" t="s">
        <v>1780</v>
      </c>
      <c r="AR900" s="3812"/>
      <c r="AS900" s="5985"/>
      <c r="AT900" s="3812"/>
      <c r="AU900" s="3812"/>
      <c r="AV900" s="3812"/>
      <c r="AW900" s="3812"/>
      <c r="AX900" s="3812"/>
      <c r="AY900" s="3812"/>
      <c r="AZ900" s="3812"/>
      <c r="BA900" s="3812"/>
      <c r="BB900" s="3812"/>
      <c r="BC900" s="3812"/>
      <c r="BD900" s="3812"/>
      <c r="BE900" s="3812"/>
      <c r="BF900" s="3812"/>
      <c r="BG900" s="3812"/>
      <c r="BH900" s="3812"/>
      <c r="BI900" s="3812"/>
      <c r="BJ900" s="3812"/>
      <c r="BK900" s="3812"/>
      <c r="BL900" s="3812"/>
      <c r="BM900" s="3812"/>
      <c r="BN900" s="3812"/>
      <c r="BO900" s="3812"/>
      <c r="BP900" s="3812"/>
      <c r="BQ900" s="4813"/>
      <c r="BR900" s="4813"/>
      <c r="BS900" s="4813"/>
      <c r="BT900" s="4813"/>
      <c r="BU900" s="4813"/>
      <c r="BV900" s="4813"/>
      <c r="BW900" s="4813"/>
      <c r="BX900" s="4813"/>
      <c r="BY900" s="4813"/>
      <c r="BZ900" s="4813"/>
      <c r="CA900" s="4813"/>
      <c r="CB900" s="4813"/>
      <c r="CC900" s="3812"/>
      <c r="CD900" s="3812"/>
      <c r="CE900" s="5310"/>
      <c r="CF900" s="5310"/>
      <c r="CG900" s="5310"/>
      <c r="CH900" s="5310"/>
    </row>
    <row r="901" s="4974" customFormat="1" ht="25" customHeight="1" spans="1:86">
      <c r="A901" s="3812"/>
      <c r="B901" s="3812"/>
      <c r="C901" s="3812"/>
      <c r="D901" s="5059"/>
      <c r="E901" s="5059"/>
      <c r="F901" s="5059"/>
      <c r="G901" s="5059"/>
      <c r="H901" s="5059"/>
      <c r="I901" s="5205"/>
      <c r="J901" s="5059"/>
      <c r="K901" s="5059"/>
      <c r="L901" s="5059"/>
      <c r="M901" s="3812"/>
      <c r="N901" s="5667"/>
      <c r="O901" s="5667"/>
      <c r="P901" s="5667"/>
      <c r="Q901" s="5667"/>
      <c r="R901" s="5667"/>
      <c r="S901" s="5667"/>
      <c r="T901" s="5667"/>
      <c r="U901" s="5667"/>
      <c r="V901" s="5667"/>
      <c r="W901" s="5667"/>
      <c r="X901" s="5667"/>
      <c r="Y901" s="5667"/>
      <c r="Z901" s="5667"/>
      <c r="AA901" s="5667"/>
      <c r="AB901" s="5973"/>
      <c r="AC901" s="5205"/>
      <c r="AD901" s="5205"/>
      <c r="AE901" s="5205"/>
      <c r="AF901" s="4842"/>
      <c r="AG901" s="3812">
        <f>SUM(BA901:BN901)</f>
        <v>0</v>
      </c>
      <c r="AH901" s="1032"/>
      <c r="AI901" s="3812"/>
      <c r="AJ901" s="3812"/>
      <c r="AK901" s="3812"/>
      <c r="AL901" s="3812"/>
      <c r="AM901" s="3812"/>
      <c r="AN901" s="3812">
        <f t="shared" si="184"/>
        <v>0</v>
      </c>
      <c r="AO901" s="5123"/>
      <c r="AP901" s="3812"/>
      <c r="AQ901" s="5241" t="s">
        <v>1781</v>
      </c>
      <c r="AR901" s="3812"/>
      <c r="AS901" s="5985"/>
      <c r="AT901" s="3812"/>
      <c r="AU901" s="3812"/>
      <c r="AV901" s="3812"/>
      <c r="AW901" s="3812"/>
      <c r="AX901" s="3812"/>
      <c r="AY901" s="3812"/>
      <c r="AZ901" s="3812"/>
      <c r="BA901" s="3812"/>
      <c r="BB901" s="3812"/>
      <c r="BC901" s="3812"/>
      <c r="BD901" s="3812"/>
      <c r="BE901" s="3812"/>
      <c r="BF901" s="3812"/>
      <c r="BG901" s="3812"/>
      <c r="BH901" s="3812"/>
      <c r="BI901" s="3812"/>
      <c r="BJ901" s="3812"/>
      <c r="BK901" s="3812"/>
      <c r="BL901" s="3812"/>
      <c r="BM901" s="3812"/>
      <c r="BN901" s="3812"/>
      <c r="BO901" s="3812"/>
      <c r="BP901" s="3812"/>
      <c r="BQ901" s="4813"/>
      <c r="BR901" s="4813"/>
      <c r="BS901" s="4813"/>
      <c r="BT901" s="4813"/>
      <c r="BU901" s="4813"/>
      <c r="BV901" s="4813"/>
      <c r="BW901" s="4813"/>
      <c r="BX901" s="4813"/>
      <c r="BY901" s="4813"/>
      <c r="BZ901" s="4813"/>
      <c r="CA901" s="4813"/>
      <c r="CB901" s="4813"/>
      <c r="CC901" s="3812"/>
      <c r="CD901" s="3812"/>
      <c r="CE901" s="5310"/>
      <c r="CF901" s="5310"/>
      <c r="CG901" s="5310"/>
      <c r="CH901" s="5310"/>
    </row>
    <row r="902" s="4974" customFormat="1" ht="25" customHeight="1" spans="1:86">
      <c r="A902" s="3812"/>
      <c r="B902" s="3812"/>
      <c r="C902" s="3812"/>
      <c r="D902" s="5059"/>
      <c r="E902" s="5059"/>
      <c r="F902" s="5059"/>
      <c r="G902" s="5059"/>
      <c r="H902" s="5059"/>
      <c r="I902" s="5205"/>
      <c r="J902" s="5059"/>
      <c r="K902" s="5059"/>
      <c r="L902" s="5059"/>
      <c r="M902" s="3812"/>
      <c r="N902" s="5667"/>
      <c r="O902" s="5667"/>
      <c r="P902" s="5667"/>
      <c r="Q902" s="5667"/>
      <c r="R902" s="5667"/>
      <c r="S902" s="5667"/>
      <c r="T902" s="5667"/>
      <c r="U902" s="5667"/>
      <c r="V902" s="5667"/>
      <c r="W902" s="5667"/>
      <c r="X902" s="5667"/>
      <c r="Y902" s="5667"/>
      <c r="Z902" s="5667"/>
      <c r="AA902" s="5667"/>
      <c r="AB902" s="5973"/>
      <c r="AC902" s="5073" t="s">
        <v>1115</v>
      </c>
      <c r="AD902" s="5073" t="s">
        <v>1782</v>
      </c>
      <c r="AE902" s="5073">
        <v>0.4</v>
      </c>
      <c r="AF902" s="4840">
        <f>1766778.53*AE902</f>
        <v>706711.412</v>
      </c>
      <c r="AG902" s="4840">
        <f>SUM(BA902:BN902)</f>
        <v>194420.31</v>
      </c>
      <c r="AH902" s="5073" t="s">
        <v>122</v>
      </c>
      <c r="AI902" s="4840">
        <v>45642</v>
      </c>
      <c r="AJ902" s="4840">
        <v>194420.31</v>
      </c>
      <c r="AK902" s="4840">
        <v>45642</v>
      </c>
      <c r="AL902" s="4840">
        <v>194420.29</v>
      </c>
      <c r="AM902" s="4840">
        <v>45800</v>
      </c>
      <c r="AN902" s="3812">
        <f t="shared" si="184"/>
        <v>142259.11</v>
      </c>
      <c r="AO902" s="3812">
        <v>45868</v>
      </c>
      <c r="AP902" s="3812"/>
      <c r="AQ902" s="5241" t="s">
        <v>1783</v>
      </c>
      <c r="AR902" s="3812"/>
      <c r="AS902" s="5985"/>
      <c r="AT902" s="3812"/>
      <c r="AU902" s="3812"/>
      <c r="AV902" s="3812"/>
      <c r="AW902" s="3812"/>
      <c r="AX902" s="3812"/>
      <c r="AY902" s="3812"/>
      <c r="AZ902" s="3812"/>
      <c r="BA902" s="3812"/>
      <c r="BB902" s="3812"/>
      <c r="BC902" s="4840">
        <v>3958.26</v>
      </c>
      <c r="BD902" s="3812"/>
      <c r="BE902" s="3812"/>
      <c r="BF902" s="3812"/>
      <c r="BG902" s="3812"/>
      <c r="BH902" s="4840">
        <v>183337.18</v>
      </c>
      <c r="BI902" s="3812"/>
      <c r="BJ902" s="3812"/>
      <c r="BK902" s="3812"/>
      <c r="BL902" s="3812"/>
      <c r="BM902" s="4840"/>
      <c r="BN902" s="4840">
        <v>7124.87</v>
      </c>
      <c r="BO902" s="3812"/>
      <c r="BP902" s="3812"/>
      <c r="BQ902" s="4813">
        <v>1080.11</v>
      </c>
      <c r="BR902" s="4813"/>
      <c r="BS902" s="4813"/>
      <c r="BT902" s="4813"/>
      <c r="BU902" s="4813"/>
      <c r="BV902" s="4813">
        <v>139234.8</v>
      </c>
      <c r="BW902" s="4813"/>
      <c r="BX902" s="4813"/>
      <c r="BY902" s="4813"/>
      <c r="BZ902" s="4813"/>
      <c r="CA902" s="4813"/>
      <c r="CB902" s="4813">
        <v>1944.2</v>
      </c>
      <c r="CC902" s="3812"/>
      <c r="CD902" s="3812"/>
      <c r="CE902" s="5310"/>
      <c r="CF902" s="5310"/>
      <c r="CG902" s="5310"/>
      <c r="CH902" s="5310"/>
    </row>
    <row r="903" s="4974" customFormat="1" ht="25" customHeight="1" spans="1:86">
      <c r="A903" s="3812"/>
      <c r="B903" s="3812"/>
      <c r="C903" s="3812"/>
      <c r="D903" s="5059"/>
      <c r="E903" s="5059"/>
      <c r="F903" s="5059"/>
      <c r="G903" s="5059"/>
      <c r="H903" s="5059"/>
      <c r="I903" s="5205"/>
      <c r="J903" s="5059"/>
      <c r="K903" s="5059"/>
      <c r="L903" s="5059"/>
      <c r="M903" s="3812"/>
      <c r="N903" s="5667"/>
      <c r="O903" s="5667"/>
      <c r="P903" s="5667"/>
      <c r="Q903" s="5667"/>
      <c r="R903" s="5667"/>
      <c r="S903" s="5667"/>
      <c r="T903" s="5667"/>
      <c r="U903" s="5667"/>
      <c r="V903" s="5667"/>
      <c r="W903" s="5667"/>
      <c r="X903" s="5667"/>
      <c r="Y903" s="5667"/>
      <c r="Z903" s="5667"/>
      <c r="AA903" s="5667"/>
      <c r="AB903" s="5973"/>
      <c r="AC903" s="5205"/>
      <c r="AD903" s="5205"/>
      <c r="AE903" s="5205"/>
      <c r="AF903" s="4841"/>
      <c r="AG903" s="4842"/>
      <c r="AH903" s="5206"/>
      <c r="AI903" s="4842"/>
      <c r="AJ903" s="4842"/>
      <c r="AK903" s="4842"/>
      <c r="AL903" s="4842"/>
      <c r="AM903" s="4842"/>
      <c r="AN903" s="5730">
        <f t="shared" si="184"/>
        <v>52161.18</v>
      </c>
      <c r="AO903" s="4813">
        <v>45911</v>
      </c>
      <c r="AP903" s="3812"/>
      <c r="AQ903" s="5981" t="s">
        <v>1774</v>
      </c>
      <c r="AR903" s="3812"/>
      <c r="AS903" s="5985"/>
      <c r="AT903" s="3812"/>
      <c r="AU903" s="3812"/>
      <c r="AV903" s="3812"/>
      <c r="AW903" s="3812"/>
      <c r="AX903" s="3812"/>
      <c r="AY903" s="3812"/>
      <c r="AZ903" s="3812"/>
      <c r="BA903" s="3812"/>
      <c r="BB903" s="3812"/>
      <c r="BC903" s="4842"/>
      <c r="BD903" s="3812"/>
      <c r="BE903" s="3812"/>
      <c r="BF903" s="3812"/>
      <c r="BG903" s="3812"/>
      <c r="BH903" s="4842"/>
      <c r="BI903" s="3812"/>
      <c r="BJ903" s="3812"/>
      <c r="BK903" s="3812"/>
      <c r="BL903" s="3812"/>
      <c r="BM903" s="4842"/>
      <c r="BN903" s="4842"/>
      <c r="BO903" s="3812"/>
      <c r="BP903" s="3812"/>
      <c r="BQ903" s="4813"/>
      <c r="BR903" s="4813"/>
      <c r="BS903" s="4813"/>
      <c r="BT903" s="4813"/>
      <c r="BU903" s="4813"/>
      <c r="BV903" s="4813">
        <f>191395.98-BV902</f>
        <v>52161.18</v>
      </c>
      <c r="BW903" s="4813"/>
      <c r="BX903" s="4813"/>
      <c r="BY903" s="4813"/>
      <c r="BZ903" s="4813"/>
      <c r="CA903" s="4813"/>
      <c r="CB903" s="4813"/>
      <c r="CC903" s="3812"/>
      <c r="CD903" s="3812"/>
      <c r="CE903" s="5310"/>
      <c r="CF903" s="5310"/>
      <c r="CG903" s="5310"/>
      <c r="CH903" s="5310"/>
    </row>
    <row r="904" s="4974" customFormat="1" ht="25" customHeight="1" spans="1:86">
      <c r="A904" s="3812"/>
      <c r="B904" s="3812"/>
      <c r="C904" s="3812"/>
      <c r="D904" s="5059"/>
      <c r="E904" s="5059"/>
      <c r="F904" s="5059"/>
      <c r="G904" s="5059"/>
      <c r="H904" s="5059"/>
      <c r="I904" s="5205"/>
      <c r="J904" s="5059"/>
      <c r="K904" s="5059"/>
      <c r="L904" s="5059"/>
      <c r="M904" s="3812"/>
      <c r="N904" s="5667"/>
      <c r="O904" s="5667"/>
      <c r="P904" s="5667"/>
      <c r="Q904" s="5667"/>
      <c r="R904" s="5667"/>
      <c r="S904" s="5667"/>
      <c r="T904" s="5667"/>
      <c r="U904" s="5667"/>
      <c r="V904" s="5667"/>
      <c r="W904" s="5667"/>
      <c r="X904" s="5667"/>
      <c r="Y904" s="5667"/>
      <c r="Z904" s="5667"/>
      <c r="AA904" s="5667"/>
      <c r="AB904" s="5973"/>
      <c r="AC904" s="5205"/>
      <c r="AD904" s="5205"/>
      <c r="AE904" s="5205"/>
      <c r="AF904" s="4841"/>
      <c r="AG904" s="4840">
        <f>SUM(BA904:BN904)</f>
        <v>184990.78</v>
      </c>
      <c r="AH904" s="5073" t="s">
        <v>122</v>
      </c>
      <c r="AI904" s="4840">
        <v>45642</v>
      </c>
      <c r="AJ904" s="4840">
        <v>184990.78</v>
      </c>
      <c r="AK904" s="4840">
        <v>45642</v>
      </c>
      <c r="AL904" s="4840">
        <v>184990.78</v>
      </c>
      <c r="AM904" s="4840">
        <v>45800</v>
      </c>
      <c r="AN904" s="5730">
        <f t="shared" si="184"/>
        <v>107838.82</v>
      </c>
      <c r="AO904" s="4813">
        <v>45911</v>
      </c>
      <c r="AP904" s="3812"/>
      <c r="AQ904" s="6007" t="s">
        <v>1784</v>
      </c>
      <c r="AR904" s="3812"/>
      <c r="AS904" s="5985"/>
      <c r="AT904" s="3812"/>
      <c r="AU904" s="3812"/>
      <c r="AV904" s="3812"/>
      <c r="AW904" s="3812"/>
      <c r="AX904" s="3812"/>
      <c r="AY904" s="3812"/>
      <c r="AZ904" s="3812"/>
      <c r="BA904" s="3812"/>
      <c r="BB904" s="3812"/>
      <c r="BC904" s="4840">
        <v>1027.73</v>
      </c>
      <c r="BD904" s="3812"/>
      <c r="BE904" s="3812"/>
      <c r="BF904" s="3812"/>
      <c r="BG904" s="3812"/>
      <c r="BH904" s="4840">
        <v>182113.14</v>
      </c>
      <c r="BI904" s="3812"/>
      <c r="BJ904" s="3812"/>
      <c r="BK904" s="3812"/>
      <c r="BL904" s="3812"/>
      <c r="BM904" s="4840"/>
      <c r="BN904" s="4840">
        <v>1849.91</v>
      </c>
      <c r="BO904" s="3812"/>
      <c r="BP904" s="3812"/>
      <c r="BQ904" s="4813">
        <v>1027.73</v>
      </c>
      <c r="BR904" s="4813"/>
      <c r="BS904" s="4813"/>
      <c r="BT904" s="4813"/>
      <c r="BU904" s="4813"/>
      <c r="BV904" s="4813">
        <v>104961.17</v>
      </c>
      <c r="BW904" s="4813"/>
      <c r="BX904" s="4813"/>
      <c r="BY904" s="4813"/>
      <c r="BZ904" s="4813"/>
      <c r="CA904" s="4813"/>
      <c r="CB904" s="4813">
        <v>1849.92</v>
      </c>
      <c r="CC904" s="3812"/>
      <c r="CD904" s="3812"/>
      <c r="CE904" s="5310"/>
      <c r="CF904" s="5310"/>
      <c r="CG904" s="5310"/>
      <c r="CH904" s="5310"/>
    </row>
    <row r="905" s="4974" customFormat="1" ht="25" customHeight="1" spans="1:86">
      <c r="A905" s="3812"/>
      <c r="B905" s="3812"/>
      <c r="C905" s="3812"/>
      <c r="D905" s="5059"/>
      <c r="E905" s="5059"/>
      <c r="F905" s="5059"/>
      <c r="G905" s="5059"/>
      <c r="H905" s="5059"/>
      <c r="I905" s="5205"/>
      <c r="J905" s="5059"/>
      <c r="K905" s="5059"/>
      <c r="L905" s="5059"/>
      <c r="M905" s="3812"/>
      <c r="N905" s="5667"/>
      <c r="O905" s="5667"/>
      <c r="P905" s="5667"/>
      <c r="Q905" s="5667"/>
      <c r="R905" s="5667"/>
      <c r="S905" s="5667"/>
      <c r="T905" s="5667"/>
      <c r="U905" s="5667"/>
      <c r="V905" s="5667"/>
      <c r="W905" s="5667"/>
      <c r="X905" s="5667"/>
      <c r="Y905" s="5667"/>
      <c r="Z905" s="5667"/>
      <c r="AA905" s="5667"/>
      <c r="AB905" s="5973"/>
      <c r="AC905" s="5205"/>
      <c r="AD905" s="5205"/>
      <c r="AE905" s="5205"/>
      <c r="AF905" s="4841"/>
      <c r="AG905" s="4842"/>
      <c r="AH905" s="5206"/>
      <c r="AI905" s="4842"/>
      <c r="AJ905" s="4842"/>
      <c r="AK905" s="4842"/>
      <c r="AL905" s="4842"/>
      <c r="AM905" s="4842"/>
      <c r="AN905" s="5730">
        <f t="shared" si="184"/>
        <v>77151.96</v>
      </c>
      <c r="AO905" s="4813">
        <v>45911</v>
      </c>
      <c r="AP905" s="3812"/>
      <c r="AQ905" s="5942"/>
      <c r="AR905" s="3812"/>
      <c r="AS905" s="5985"/>
      <c r="AT905" s="3812"/>
      <c r="AU905" s="3812"/>
      <c r="AV905" s="3812"/>
      <c r="AW905" s="3812"/>
      <c r="AX905" s="3812"/>
      <c r="AY905" s="3812"/>
      <c r="AZ905" s="3812"/>
      <c r="BA905" s="3812"/>
      <c r="BB905" s="3812"/>
      <c r="BC905" s="4842"/>
      <c r="BD905" s="3812"/>
      <c r="BE905" s="3812"/>
      <c r="BF905" s="3812"/>
      <c r="BG905" s="3812"/>
      <c r="BH905" s="4842"/>
      <c r="BI905" s="3812"/>
      <c r="BJ905" s="3812"/>
      <c r="BK905" s="3812"/>
      <c r="BL905" s="3812"/>
      <c r="BM905" s="4842"/>
      <c r="BN905" s="4842"/>
      <c r="BO905" s="3812"/>
      <c r="BP905" s="3812"/>
      <c r="BQ905" s="4813"/>
      <c r="BR905" s="4813"/>
      <c r="BS905" s="4813"/>
      <c r="BT905" s="4813"/>
      <c r="BU905" s="4813"/>
      <c r="BV905" s="4813">
        <f>182113.13-BV904</f>
        <v>77151.96</v>
      </c>
      <c r="BW905" s="4813"/>
      <c r="BX905" s="4813"/>
      <c r="BY905" s="4813"/>
      <c r="BZ905" s="4813"/>
      <c r="CA905" s="4813"/>
      <c r="CB905" s="4813"/>
      <c r="CC905" s="3812"/>
      <c r="CD905" s="3812"/>
      <c r="CE905" s="5310"/>
      <c r="CF905" s="5310"/>
      <c r="CG905" s="5310"/>
      <c r="CH905" s="5310"/>
    </row>
    <row r="906" s="4974" customFormat="1" ht="25" customHeight="1" spans="1:86">
      <c r="A906" s="3812"/>
      <c r="B906" s="3812"/>
      <c r="C906" s="3812"/>
      <c r="D906" s="5059"/>
      <c r="E906" s="5059"/>
      <c r="F906" s="5059"/>
      <c r="G906" s="5059"/>
      <c r="H906" s="5059"/>
      <c r="I906" s="5205"/>
      <c r="J906" s="5059"/>
      <c r="K906" s="5059"/>
      <c r="L906" s="5059"/>
      <c r="M906" s="3812"/>
      <c r="N906" s="5667"/>
      <c r="O906" s="5667"/>
      <c r="P906" s="5667"/>
      <c r="Q906" s="5667"/>
      <c r="R906" s="5667"/>
      <c r="S906" s="5667"/>
      <c r="T906" s="5667"/>
      <c r="U906" s="5667"/>
      <c r="V906" s="5667"/>
      <c r="W906" s="5667"/>
      <c r="X906" s="5667"/>
      <c r="Y906" s="5667"/>
      <c r="Z906" s="5667"/>
      <c r="AA906" s="5667"/>
      <c r="AB906" s="5973"/>
      <c r="AC906" s="5205"/>
      <c r="AD906" s="5205"/>
      <c r="AE906" s="5205"/>
      <c r="AF906" s="4841"/>
      <c r="AG906" s="3812">
        <f>SUM(BA906:BN906)</f>
        <v>0</v>
      </c>
      <c r="AH906" s="5199"/>
      <c r="AI906" s="4813"/>
      <c r="AJ906" s="3812"/>
      <c r="AK906" s="3812"/>
      <c r="AL906" s="3812"/>
      <c r="AM906" s="3812"/>
      <c r="AN906" s="3812">
        <f t="shared" ref="AN906:AN916" si="185">SUM(BO906:CB906)</f>
        <v>0</v>
      </c>
      <c r="AO906" s="5123"/>
      <c r="AP906" s="3812"/>
      <c r="AQ906" s="5241"/>
      <c r="AR906" s="3812"/>
      <c r="AS906" s="5985"/>
      <c r="AT906" s="3812"/>
      <c r="AU906" s="3812"/>
      <c r="AV906" s="3812"/>
      <c r="AW906" s="3812"/>
      <c r="AX906" s="3812"/>
      <c r="AY906" s="3812"/>
      <c r="AZ906" s="3812"/>
      <c r="BA906" s="3812"/>
      <c r="BB906" s="3812"/>
      <c r="BC906" s="3812"/>
      <c r="BD906" s="3812"/>
      <c r="BE906" s="3812"/>
      <c r="BF906" s="3812"/>
      <c r="BG906" s="3812"/>
      <c r="BH906" s="3812"/>
      <c r="BI906" s="3812"/>
      <c r="BJ906" s="3812"/>
      <c r="BK906" s="3812"/>
      <c r="BL906" s="3812"/>
      <c r="BM906" s="3812"/>
      <c r="BN906" s="3812"/>
      <c r="BO906" s="3812"/>
      <c r="BP906" s="3812"/>
      <c r="BQ906" s="3812"/>
      <c r="BR906" s="3812"/>
      <c r="BS906" s="3812"/>
      <c r="BT906" s="3812"/>
      <c r="BU906" s="3812"/>
      <c r="BV906" s="5123"/>
      <c r="BW906" s="3812"/>
      <c r="BX906" s="3812"/>
      <c r="BY906" s="3812"/>
      <c r="BZ906" s="3812"/>
      <c r="CA906" s="3812"/>
      <c r="CB906" s="3812"/>
      <c r="CC906" s="3812"/>
      <c r="CD906" s="3812"/>
      <c r="CE906" s="5310"/>
      <c r="CF906" s="5310"/>
      <c r="CG906" s="5310"/>
      <c r="CH906" s="5310"/>
    </row>
    <row r="907" s="4974" customFormat="1" ht="25" customHeight="1" spans="1:86">
      <c r="A907" s="3812"/>
      <c r="B907" s="3812"/>
      <c r="C907" s="3812"/>
      <c r="D907" s="5059"/>
      <c r="E907" s="5059"/>
      <c r="F907" s="5059"/>
      <c r="G907" s="5059"/>
      <c r="H907" s="5059"/>
      <c r="I907" s="5205"/>
      <c r="J907" s="5059"/>
      <c r="K907" s="5059"/>
      <c r="L907" s="5059"/>
      <c r="M907" s="3812"/>
      <c r="N907" s="5667"/>
      <c r="O907" s="5667"/>
      <c r="P907" s="5667"/>
      <c r="Q907" s="5667"/>
      <c r="R907" s="5667"/>
      <c r="S907" s="5667"/>
      <c r="T907" s="5667"/>
      <c r="U907" s="5667"/>
      <c r="V907" s="5667"/>
      <c r="W907" s="5667"/>
      <c r="X907" s="5667"/>
      <c r="Y907" s="5667"/>
      <c r="Z907" s="5667"/>
      <c r="AA907" s="5667"/>
      <c r="AB907" s="5973"/>
      <c r="AC907" s="5206"/>
      <c r="AD907" s="5206"/>
      <c r="AE907" s="5206"/>
      <c r="AF907" s="4842"/>
      <c r="AG907" s="3812">
        <f>SUM(BA907:BN907)</f>
        <v>0</v>
      </c>
      <c r="AH907" s="1032"/>
      <c r="AI907" s="4813"/>
      <c r="AJ907" s="3812"/>
      <c r="AK907" s="4813"/>
      <c r="AL907" s="4813"/>
      <c r="AM907" s="4813"/>
      <c r="AN907" s="3812">
        <f t="shared" si="185"/>
        <v>0</v>
      </c>
      <c r="AO907" s="4815"/>
      <c r="AP907" s="3812"/>
      <c r="AQ907" s="5241"/>
      <c r="AR907" s="3812"/>
      <c r="AS907" s="5985"/>
      <c r="AT907" s="3812"/>
      <c r="AU907" s="3812"/>
      <c r="AV907" s="3812"/>
      <c r="AW907" s="3812"/>
      <c r="AX907" s="3812"/>
      <c r="AY907" s="3812"/>
      <c r="AZ907" s="3812"/>
      <c r="BA907" s="3812"/>
      <c r="BB907" s="3812"/>
      <c r="BC907" s="3812"/>
      <c r="BD907" s="3812"/>
      <c r="BE907" s="3812"/>
      <c r="BF907" s="3812"/>
      <c r="BG907" s="3812"/>
      <c r="BH907" s="3812"/>
      <c r="BI907" s="3812"/>
      <c r="BJ907" s="3812"/>
      <c r="BK907" s="3812"/>
      <c r="BL907" s="3812"/>
      <c r="BM907" s="3812"/>
      <c r="BN907" s="3812"/>
      <c r="BO907" s="3812"/>
      <c r="BP907" s="3812"/>
      <c r="BQ907" s="3812"/>
      <c r="BR907" s="3812"/>
      <c r="BS907" s="3812"/>
      <c r="BT907" s="3812"/>
      <c r="BU907" s="3812"/>
      <c r="BV907" s="3812"/>
      <c r="BW907" s="3812"/>
      <c r="BX907" s="3812"/>
      <c r="BY907" s="3812"/>
      <c r="BZ907" s="3812"/>
      <c r="CA907" s="3812"/>
      <c r="CB907" s="3812"/>
      <c r="CC907" s="3812"/>
      <c r="CD907" s="3812"/>
      <c r="CE907" s="5310"/>
      <c r="CF907" s="5310"/>
      <c r="CG907" s="5310"/>
      <c r="CH907" s="5310"/>
    </row>
    <row r="908" s="4974" customFormat="1" ht="25" customHeight="1" spans="1:86">
      <c r="A908" s="3812"/>
      <c r="B908" s="3812"/>
      <c r="C908" s="3812"/>
      <c r="D908" s="5059"/>
      <c r="E908" s="5059"/>
      <c r="F908" s="5059"/>
      <c r="G908" s="5059"/>
      <c r="H908" s="5059"/>
      <c r="I908" s="5205"/>
      <c r="J908" s="5059"/>
      <c r="K908" s="5059"/>
      <c r="L908" s="5059"/>
      <c r="M908" s="3812"/>
      <c r="N908" s="5667"/>
      <c r="O908" s="5667"/>
      <c r="P908" s="5667"/>
      <c r="Q908" s="5667"/>
      <c r="R908" s="5667"/>
      <c r="S908" s="5667"/>
      <c r="T908" s="5667"/>
      <c r="U908" s="5667"/>
      <c r="V908" s="5667"/>
      <c r="W908" s="5667"/>
      <c r="X908" s="5667"/>
      <c r="Y908" s="5667"/>
      <c r="Z908" s="5667"/>
      <c r="AA908" s="5667"/>
      <c r="AB908" s="5973"/>
      <c r="AC908" s="5073" t="s">
        <v>193</v>
      </c>
      <c r="AD908" s="5073" t="s">
        <v>1785</v>
      </c>
      <c r="AE908" s="5073">
        <v>1</v>
      </c>
      <c r="AF908" s="4840">
        <f>80000*AE908</f>
        <v>80000</v>
      </c>
      <c r="AG908" s="4840">
        <f>SUM(BA908:BN908)</f>
        <v>80000</v>
      </c>
      <c r="AH908" s="5073" t="s">
        <v>122</v>
      </c>
      <c r="AI908" s="4840">
        <v>45423</v>
      </c>
      <c r="AJ908" s="4840">
        <v>80000</v>
      </c>
      <c r="AK908" s="4840">
        <v>45423</v>
      </c>
      <c r="AL908" s="4840">
        <v>80000</v>
      </c>
      <c r="AM908" s="4840">
        <v>45468</v>
      </c>
      <c r="AN908" s="3812">
        <f t="shared" si="185"/>
        <v>75143.98</v>
      </c>
      <c r="AO908" s="3812">
        <v>45657</v>
      </c>
      <c r="AP908" s="3812"/>
      <c r="AQ908" s="5241" t="s">
        <v>1771</v>
      </c>
      <c r="AR908" s="3812"/>
      <c r="AS908" s="5985"/>
      <c r="AT908" s="3812"/>
      <c r="AU908" s="3812"/>
      <c r="AV908" s="3812"/>
      <c r="AW908" s="3812"/>
      <c r="AX908" s="3812"/>
      <c r="AY908" s="3812"/>
      <c r="AZ908" s="3812"/>
      <c r="BA908" s="3812"/>
      <c r="BB908" s="3812"/>
      <c r="BC908" s="3812"/>
      <c r="BD908" s="3812"/>
      <c r="BE908" s="3812"/>
      <c r="BF908" s="3812"/>
      <c r="BG908" s="3812"/>
      <c r="BH908" s="3812"/>
      <c r="BI908" s="4840">
        <v>79200</v>
      </c>
      <c r="BJ908" s="3812"/>
      <c r="BK908" s="3812"/>
      <c r="BL908" s="3812"/>
      <c r="BM908" s="4840"/>
      <c r="BN908" s="4840">
        <v>800</v>
      </c>
      <c r="BO908" s="3812"/>
      <c r="BP908" s="3812"/>
      <c r="BQ908" s="3812"/>
      <c r="BR908" s="3812"/>
      <c r="BS908" s="3812"/>
      <c r="BT908" s="3812"/>
      <c r="BU908" s="3812"/>
      <c r="BV908" s="3812"/>
      <c r="BW908" s="3812">
        <v>74343.98</v>
      </c>
      <c r="BX908" s="3812"/>
      <c r="BY908" s="3812"/>
      <c r="BZ908" s="3812"/>
      <c r="CA908" s="3812"/>
      <c r="CB908" s="3812">
        <v>800</v>
      </c>
      <c r="CC908" s="3812"/>
      <c r="CD908" s="3812"/>
      <c r="CE908" s="5310"/>
      <c r="CF908" s="5310"/>
      <c r="CG908" s="5310"/>
      <c r="CH908" s="5310"/>
    </row>
    <row r="909" s="4985" customFormat="1" ht="25" customHeight="1" spans="1:86">
      <c r="A909" s="5201"/>
      <c r="B909" s="5201"/>
      <c r="C909" s="5201"/>
      <c r="D909" s="5708"/>
      <c r="E909" s="5059"/>
      <c r="F909" s="5708"/>
      <c r="G909" s="5708"/>
      <c r="H909" s="5708"/>
      <c r="I909" s="5205"/>
      <c r="J909" s="5708"/>
      <c r="K909" s="5708"/>
      <c r="L909" s="5708"/>
      <c r="M909" s="5201"/>
      <c r="N909" s="5999"/>
      <c r="O909" s="5999"/>
      <c r="P909" s="5999"/>
      <c r="Q909" s="5999"/>
      <c r="R909" s="5999"/>
      <c r="S909" s="5999"/>
      <c r="T909" s="5999"/>
      <c r="U909" s="5999"/>
      <c r="V909" s="5999"/>
      <c r="W909" s="5999"/>
      <c r="X909" s="5999"/>
      <c r="Y909" s="5999"/>
      <c r="Z909" s="5999"/>
      <c r="AA909" s="5999"/>
      <c r="AB909" s="6000"/>
      <c r="AC909" s="5206"/>
      <c r="AD909" s="5206"/>
      <c r="AE909" s="5206"/>
      <c r="AF909" s="4842"/>
      <c r="AG909" s="4842"/>
      <c r="AH909" s="5206"/>
      <c r="AI909" s="4842"/>
      <c r="AJ909" s="4842"/>
      <c r="AK909" s="4842"/>
      <c r="AL909" s="4842"/>
      <c r="AM909" s="4842"/>
      <c r="AN909" s="3812">
        <f t="shared" si="185"/>
        <v>4856.02</v>
      </c>
      <c r="AO909" s="3812">
        <v>45868</v>
      </c>
      <c r="AP909" s="3812"/>
      <c r="AQ909" s="5241" t="s">
        <v>1773</v>
      </c>
      <c r="AR909" s="5201"/>
      <c r="AS909" s="5985"/>
      <c r="AT909" s="5201"/>
      <c r="AU909" s="3812"/>
      <c r="AV909" s="3812"/>
      <c r="AW909" s="3812"/>
      <c r="AX909" s="3812"/>
      <c r="AY909" s="3812"/>
      <c r="AZ909" s="3812"/>
      <c r="BA909" s="5201"/>
      <c r="BB909" s="5201"/>
      <c r="BC909" s="5201"/>
      <c r="BD909" s="5201"/>
      <c r="BE909" s="5201"/>
      <c r="BF909" s="5201"/>
      <c r="BG909" s="5201"/>
      <c r="BH909" s="5201"/>
      <c r="BI909" s="4842"/>
      <c r="BJ909" s="5201"/>
      <c r="BK909" s="5201"/>
      <c r="BL909" s="5201"/>
      <c r="BM909" s="5938"/>
      <c r="BN909" s="4842"/>
      <c r="BO909" s="5201"/>
      <c r="BP909" s="5201"/>
      <c r="BQ909" s="5201"/>
      <c r="BR909" s="5201"/>
      <c r="BS909" s="5201"/>
      <c r="BT909" s="5201"/>
      <c r="BU909" s="5201"/>
      <c r="BV909" s="5201"/>
      <c r="BW909" s="5201">
        <v>4856.02</v>
      </c>
      <c r="BX909" s="5201"/>
      <c r="BY909" s="5201"/>
      <c r="BZ909" s="5201"/>
      <c r="CA909" s="5201"/>
      <c r="CB909" s="5201"/>
      <c r="CC909" s="5201"/>
      <c r="CD909" s="5201"/>
      <c r="CE909" s="5990"/>
      <c r="CF909" s="5990"/>
      <c r="CG909" s="5990"/>
      <c r="CH909" s="5990"/>
    </row>
    <row r="910" s="4985" customFormat="1" ht="25" customHeight="1" spans="1:86">
      <c r="A910" s="5201"/>
      <c r="B910" s="5201"/>
      <c r="C910" s="5201"/>
      <c r="D910" s="5708"/>
      <c r="E910" s="5059"/>
      <c r="F910" s="5708"/>
      <c r="G910" s="5708"/>
      <c r="H910" s="5708"/>
      <c r="I910" s="5205"/>
      <c r="J910" s="5708"/>
      <c r="K910" s="5708"/>
      <c r="L910" s="5708"/>
      <c r="M910" s="5201"/>
      <c r="N910" s="5999"/>
      <c r="O910" s="5999"/>
      <c r="P910" s="5999"/>
      <c r="Q910" s="5999"/>
      <c r="R910" s="5999"/>
      <c r="S910" s="5999"/>
      <c r="T910" s="5999"/>
      <c r="U910" s="5999"/>
      <c r="V910" s="5999"/>
      <c r="W910" s="5999"/>
      <c r="X910" s="5999"/>
      <c r="Y910" s="5999"/>
      <c r="Z910" s="5999"/>
      <c r="AA910" s="5999"/>
      <c r="AB910" s="6000"/>
      <c r="AC910" s="5714" t="s">
        <v>1786</v>
      </c>
      <c r="AD910" s="5931" t="s">
        <v>1787</v>
      </c>
      <c r="AE910" s="5714">
        <v>0.1</v>
      </c>
      <c r="AF910" s="5201">
        <f>1665804.8*AE910</f>
        <v>166580.48</v>
      </c>
      <c r="AG910" s="5201">
        <f>SUM(BA910:BN910)</f>
        <v>166580.48</v>
      </c>
      <c r="AH910" s="5714" t="s">
        <v>122</v>
      </c>
      <c r="AI910" s="5201">
        <v>45423</v>
      </c>
      <c r="AJ910" s="5201">
        <v>166580.48</v>
      </c>
      <c r="AK910" s="5201">
        <v>45423</v>
      </c>
      <c r="AL910" s="5201">
        <v>166580.48</v>
      </c>
      <c r="AM910" s="5201">
        <v>45468</v>
      </c>
      <c r="AN910" s="5201">
        <f t="shared" si="185"/>
        <v>166580.48</v>
      </c>
      <c r="AO910" s="5201">
        <v>45657</v>
      </c>
      <c r="AP910" s="5201"/>
      <c r="AQ910" s="6008" t="s">
        <v>1788</v>
      </c>
      <c r="AR910" s="6009"/>
      <c r="AS910" s="5985"/>
      <c r="AT910" s="5201"/>
      <c r="AU910" s="3812"/>
      <c r="AV910" s="3812"/>
      <c r="AW910" s="3812"/>
      <c r="AX910" s="3812"/>
      <c r="AY910" s="3812"/>
      <c r="AZ910" s="3812"/>
      <c r="BA910" s="5201"/>
      <c r="BB910" s="5201"/>
      <c r="BC910" s="5201"/>
      <c r="BD910" s="5201"/>
      <c r="BE910" s="5201"/>
      <c r="BF910" s="5201"/>
      <c r="BG910" s="5201"/>
      <c r="BH910" s="5201"/>
      <c r="BI910" s="5201"/>
      <c r="BJ910" s="5201"/>
      <c r="BK910" s="5201"/>
      <c r="BL910" s="5201"/>
      <c r="BM910" s="5201"/>
      <c r="BN910" s="5201">
        <v>166580.48</v>
      </c>
      <c r="BO910" s="5201"/>
      <c r="BP910" s="5201"/>
      <c r="BQ910" s="5201"/>
      <c r="BR910" s="5201"/>
      <c r="BS910" s="5201"/>
      <c r="BT910" s="5201"/>
      <c r="BU910" s="5201"/>
      <c r="BV910" s="5201"/>
      <c r="BW910" s="5201"/>
      <c r="BX910" s="5201"/>
      <c r="BY910" s="5201"/>
      <c r="BZ910" s="5201"/>
      <c r="CA910" s="5201"/>
      <c r="CB910" s="5201">
        <v>166580.48</v>
      </c>
      <c r="CC910" s="5201"/>
      <c r="CD910" s="5201"/>
      <c r="CE910" s="5990"/>
      <c r="CF910" s="5990"/>
      <c r="CG910" s="5990"/>
      <c r="CH910" s="5990"/>
    </row>
    <row r="911" s="4974" customFormat="1" ht="18.75" customHeight="1" spans="1:86">
      <c r="A911" s="3812"/>
      <c r="B911" s="3812"/>
      <c r="C911" s="3812"/>
      <c r="D911" s="5059"/>
      <c r="E911" s="5059"/>
      <c r="F911" s="5059"/>
      <c r="G911" s="5059"/>
      <c r="H911" s="5059"/>
      <c r="I911" s="5205"/>
      <c r="J911" s="5059"/>
      <c r="K911" s="5059"/>
      <c r="L911" s="5059"/>
      <c r="M911" s="3812"/>
      <c r="N911" s="5999"/>
      <c r="O911" s="5999"/>
      <c r="P911" s="5999"/>
      <c r="Q911" s="5999"/>
      <c r="R911" s="5999"/>
      <c r="S911" s="5999"/>
      <c r="T911" s="5999"/>
      <c r="U911" s="5999"/>
      <c r="V911" s="5999"/>
      <c r="W911" s="5999"/>
      <c r="X911" s="5999"/>
      <c r="Y911" s="5999"/>
      <c r="Z911" s="5999"/>
      <c r="AA911" s="5999"/>
      <c r="AB911" s="6000"/>
      <c r="AC911" s="5073" t="s">
        <v>1789</v>
      </c>
      <c r="AD911" s="5073" t="s">
        <v>1790</v>
      </c>
      <c r="AE911" s="5073">
        <v>0.15</v>
      </c>
      <c r="AF911" s="4840">
        <f>1665804.8*AE911</f>
        <v>249870.72</v>
      </c>
      <c r="AG911" s="4840">
        <f>SUM(BA911:BN911)</f>
        <v>249870.72</v>
      </c>
      <c r="AH911" s="5073" t="s">
        <v>122</v>
      </c>
      <c r="AI911" s="4840">
        <v>45423</v>
      </c>
      <c r="AJ911" s="4840">
        <v>249870.72</v>
      </c>
      <c r="AK911" s="4840">
        <v>45423</v>
      </c>
      <c r="AL911" s="4840">
        <v>137002.93</v>
      </c>
      <c r="AM911" s="4840">
        <v>45468</v>
      </c>
      <c r="AN911" s="3812">
        <f t="shared" si="185"/>
        <v>137002.93</v>
      </c>
      <c r="AO911" s="3812">
        <v>45657</v>
      </c>
      <c r="AP911" s="3812"/>
      <c r="AQ911" s="6010"/>
      <c r="AR911" s="5309"/>
      <c r="AS911" s="5985"/>
      <c r="AT911" s="3812"/>
      <c r="AU911" s="3812"/>
      <c r="AV911" s="3812"/>
      <c r="AW911" s="3812"/>
      <c r="AX911" s="3812"/>
      <c r="AY911" s="3812"/>
      <c r="AZ911" s="3812"/>
      <c r="BA911" s="3812"/>
      <c r="BB911" s="3812"/>
      <c r="BC911" s="3812"/>
      <c r="BD911" s="3812"/>
      <c r="BE911" s="3812"/>
      <c r="BF911" s="3812"/>
      <c r="BG911" s="3812"/>
      <c r="BH911" s="3812"/>
      <c r="BI911" s="3812"/>
      <c r="BJ911" s="3812"/>
      <c r="BK911" s="3812"/>
      <c r="BL911" s="3812"/>
      <c r="BM911" s="4840"/>
      <c r="BN911" s="4840">
        <v>249870.72</v>
      </c>
      <c r="BO911" s="3812"/>
      <c r="BP911" s="3812"/>
      <c r="BQ911" s="3812"/>
      <c r="BR911" s="3812"/>
      <c r="BS911" s="3812"/>
      <c r="BT911" s="3812"/>
      <c r="BU911" s="3812"/>
      <c r="BV911" s="3812"/>
      <c r="BW911" s="3812"/>
      <c r="BX911" s="3812"/>
      <c r="BY911" s="3812"/>
      <c r="BZ911" s="3812"/>
      <c r="CA911" s="3812"/>
      <c r="CB911" s="3812">
        <v>137002.93</v>
      </c>
      <c r="CC911" s="3812"/>
      <c r="CD911" s="3812"/>
      <c r="CE911" s="5310"/>
      <c r="CF911" s="5310"/>
      <c r="CG911" s="5310"/>
      <c r="CH911" s="5310"/>
    </row>
    <row r="912" s="4974" customFormat="1" ht="18.75" customHeight="1" spans="1:86">
      <c r="A912" s="3812"/>
      <c r="B912" s="3812"/>
      <c r="C912" s="3812"/>
      <c r="D912" s="5059"/>
      <c r="E912" s="5059"/>
      <c r="F912" s="5059"/>
      <c r="G912" s="5059"/>
      <c r="H912" s="5059"/>
      <c r="I912" s="5205"/>
      <c r="J912" s="5059"/>
      <c r="K912" s="5059"/>
      <c r="L912" s="5059"/>
      <c r="M912" s="3812"/>
      <c r="N912" s="5999"/>
      <c r="O912" s="5999"/>
      <c r="P912" s="5999"/>
      <c r="Q912" s="5999"/>
      <c r="R912" s="5999"/>
      <c r="S912" s="5999"/>
      <c r="T912" s="5999"/>
      <c r="U912" s="5999"/>
      <c r="V912" s="5999"/>
      <c r="W912" s="5999"/>
      <c r="X912" s="5999"/>
      <c r="Y912" s="5999"/>
      <c r="Z912" s="5999"/>
      <c r="AA912" s="5999"/>
      <c r="AB912" s="6000"/>
      <c r="AC912" s="5205"/>
      <c r="AD912" s="5205"/>
      <c r="AE912" s="5205"/>
      <c r="AF912" s="4841"/>
      <c r="AG912" s="4841"/>
      <c r="AH912" s="5205"/>
      <c r="AI912" s="4841"/>
      <c r="AJ912" s="4841"/>
      <c r="AK912" s="4841"/>
      <c r="AL912" s="4840"/>
      <c r="AM912" s="4840"/>
      <c r="AN912" s="3812"/>
      <c r="AO912" s="3812"/>
      <c r="AP912" s="3812"/>
      <c r="AQ912" s="6010"/>
      <c r="AR912" s="5309"/>
      <c r="AS912" s="5985"/>
      <c r="AT912" s="3812"/>
      <c r="AU912" s="3812"/>
      <c r="AV912" s="3812"/>
      <c r="AW912" s="3812"/>
      <c r="AX912" s="3812"/>
      <c r="AY912" s="3812"/>
      <c r="AZ912" s="3812"/>
      <c r="BA912" s="3812"/>
      <c r="BB912" s="3812"/>
      <c r="BC912" s="3812"/>
      <c r="BD912" s="3812"/>
      <c r="BE912" s="3812"/>
      <c r="BF912" s="3812"/>
      <c r="BG912" s="3812"/>
      <c r="BH912" s="3812"/>
      <c r="BI912" s="3812"/>
      <c r="BJ912" s="3812"/>
      <c r="BK912" s="3812"/>
      <c r="BL912" s="3812"/>
      <c r="BM912" s="4841"/>
      <c r="BN912" s="5936"/>
      <c r="BO912" s="3812"/>
      <c r="BP912" s="3812"/>
      <c r="BQ912" s="3812"/>
      <c r="BR912" s="3812"/>
      <c r="BS912" s="3812"/>
      <c r="BT912" s="3812"/>
      <c r="BU912" s="3812"/>
      <c r="BV912" s="3812"/>
      <c r="BW912" s="3812"/>
      <c r="BX912" s="3812"/>
      <c r="BY912" s="3812"/>
      <c r="BZ912" s="3812"/>
      <c r="CA912" s="3812"/>
      <c r="CB912" s="3812"/>
      <c r="CC912" s="3812"/>
      <c r="CD912" s="3812"/>
      <c r="CE912" s="5310"/>
      <c r="CF912" s="5310"/>
      <c r="CG912" s="5310"/>
      <c r="CH912" s="5310"/>
    </row>
    <row r="913" s="4974" customFormat="1" ht="18.75" customHeight="1" spans="1:86">
      <c r="A913" s="3812"/>
      <c r="B913" s="3812"/>
      <c r="C913" s="3812"/>
      <c r="D913" s="5059"/>
      <c r="E913" s="5059"/>
      <c r="F913" s="5059"/>
      <c r="G913" s="5059"/>
      <c r="H913" s="5059"/>
      <c r="I913" s="5205"/>
      <c r="J913" s="5059"/>
      <c r="K913" s="5059"/>
      <c r="L913" s="5059"/>
      <c r="M913" s="3812"/>
      <c r="N913" s="5999"/>
      <c r="O913" s="5999"/>
      <c r="P913" s="5999"/>
      <c r="Q913" s="5999"/>
      <c r="R913" s="5999"/>
      <c r="S913" s="5999"/>
      <c r="T913" s="5999"/>
      <c r="U913" s="5999"/>
      <c r="V913" s="5999"/>
      <c r="W913" s="5999"/>
      <c r="X913" s="5999"/>
      <c r="Y913" s="5999"/>
      <c r="Z913" s="5999"/>
      <c r="AA913" s="5999"/>
      <c r="AB913" s="6000"/>
      <c r="AC913" s="5205"/>
      <c r="AD913" s="5205"/>
      <c r="AE913" s="5205"/>
      <c r="AF913" s="4841"/>
      <c r="AG913" s="4841"/>
      <c r="AH913" s="5205"/>
      <c r="AI913" s="4841"/>
      <c r="AJ913" s="4841"/>
      <c r="AK913" s="4841"/>
      <c r="AL913" s="4840"/>
      <c r="AM913" s="4840"/>
      <c r="AN913" s="3812"/>
      <c r="AO913" s="3812"/>
      <c r="AP913" s="3812"/>
      <c r="AQ913" s="6010"/>
      <c r="AR913" s="5309"/>
      <c r="AS913" s="5985"/>
      <c r="AT913" s="3812"/>
      <c r="AU913" s="3812"/>
      <c r="AV913" s="3812"/>
      <c r="AW913" s="3812"/>
      <c r="AX913" s="3812"/>
      <c r="AY913" s="3812"/>
      <c r="AZ913" s="3812"/>
      <c r="BA913" s="3812"/>
      <c r="BB913" s="3812"/>
      <c r="BC913" s="3812"/>
      <c r="BD913" s="3812"/>
      <c r="BE913" s="3812"/>
      <c r="BF913" s="3812"/>
      <c r="BG913" s="3812"/>
      <c r="BH913" s="3812"/>
      <c r="BI913" s="3812"/>
      <c r="BJ913" s="3812"/>
      <c r="BK913" s="3812"/>
      <c r="BL913" s="3812"/>
      <c r="BM913" s="4841"/>
      <c r="BN913" s="5936"/>
      <c r="BO913" s="3812"/>
      <c r="BP913" s="3812"/>
      <c r="BQ913" s="3812"/>
      <c r="BR913" s="3812"/>
      <c r="BS913" s="3812"/>
      <c r="BT913" s="3812"/>
      <c r="BU913" s="3812"/>
      <c r="BV913" s="3812"/>
      <c r="BW913" s="3812"/>
      <c r="BX913" s="3812"/>
      <c r="BY913" s="3812"/>
      <c r="BZ913" s="3812"/>
      <c r="CA913" s="3812"/>
      <c r="CB913" s="3812"/>
      <c r="CC913" s="3812"/>
      <c r="CD913" s="3812"/>
      <c r="CE913" s="5310"/>
      <c r="CF913" s="5310"/>
      <c r="CG913" s="5310"/>
      <c r="CH913" s="5310"/>
    </row>
    <row r="914" s="4974" customFormat="1" ht="18.75" customHeight="1" spans="1:86">
      <c r="A914" s="3812"/>
      <c r="B914" s="3812"/>
      <c r="C914" s="3812"/>
      <c r="D914" s="5059"/>
      <c r="E914" s="5059"/>
      <c r="F914" s="5059"/>
      <c r="G914" s="5059"/>
      <c r="H914" s="5059"/>
      <c r="I914" s="5205"/>
      <c r="J914" s="5059"/>
      <c r="K914" s="5059"/>
      <c r="L914" s="5059"/>
      <c r="M914" s="3812"/>
      <c r="N914" s="5999"/>
      <c r="O914" s="5999"/>
      <c r="P914" s="5999"/>
      <c r="Q914" s="5999"/>
      <c r="R914" s="5999"/>
      <c r="S914" s="5999"/>
      <c r="T914" s="5999"/>
      <c r="U914" s="5999"/>
      <c r="V914" s="5999"/>
      <c r="W914" s="5999"/>
      <c r="X914" s="5999"/>
      <c r="Y914" s="5999"/>
      <c r="Z914" s="5999"/>
      <c r="AA914" s="5999"/>
      <c r="AB914" s="6000"/>
      <c r="AC914" s="5073" t="s">
        <v>1789</v>
      </c>
      <c r="AD914" s="5242" t="s">
        <v>1791</v>
      </c>
      <c r="AE914" s="5073">
        <v>0.2</v>
      </c>
      <c r="AF914" s="4840">
        <f>1665804.8*AE914</f>
        <v>333160.96</v>
      </c>
      <c r="AG914" s="4840">
        <f>SUM(BA914:BN914)</f>
        <v>333160.96</v>
      </c>
      <c r="AH914" s="5073" t="s">
        <v>122</v>
      </c>
      <c r="AI914" s="4840">
        <v>45423</v>
      </c>
      <c r="AJ914" s="4840">
        <v>333160.96</v>
      </c>
      <c r="AK914" s="4840">
        <v>45423</v>
      </c>
      <c r="AL914" s="3812">
        <v>182670.58</v>
      </c>
      <c r="AM914" s="3812">
        <v>45468</v>
      </c>
      <c r="AN914" s="3812">
        <f>SUM(BO914:CB914)</f>
        <v>182670.58</v>
      </c>
      <c r="AO914" s="3812">
        <v>45657</v>
      </c>
      <c r="AP914" s="3812"/>
      <c r="AQ914" s="6010"/>
      <c r="AR914" s="5309"/>
      <c r="AS914" s="5985"/>
      <c r="AT914" s="3812"/>
      <c r="AU914" s="3812"/>
      <c r="AV914" s="3812"/>
      <c r="AW914" s="3812"/>
      <c r="AX914" s="3812"/>
      <c r="AY914" s="3812"/>
      <c r="AZ914" s="3812"/>
      <c r="BA914" s="3812"/>
      <c r="BB914" s="3812"/>
      <c r="BC914" s="3812"/>
      <c r="BD914" s="3812"/>
      <c r="BE914" s="3812"/>
      <c r="BF914" s="3812"/>
      <c r="BG914" s="3812"/>
      <c r="BH914" s="3812"/>
      <c r="BI914" s="3812"/>
      <c r="BJ914" s="3812"/>
      <c r="BK914" s="3812"/>
      <c r="BL914" s="3812"/>
      <c r="BM914" s="4840"/>
      <c r="BN914" s="4840">
        <v>333160.96</v>
      </c>
      <c r="BO914" s="3812"/>
      <c r="BP914" s="3812"/>
      <c r="BQ914" s="3812"/>
      <c r="BR914" s="3812"/>
      <c r="BS914" s="3812"/>
      <c r="BT914" s="3812"/>
      <c r="BU914" s="3812"/>
      <c r="BV914" s="3812"/>
      <c r="BW914" s="3812"/>
      <c r="BX914" s="3812"/>
      <c r="BY914" s="3812"/>
      <c r="BZ914" s="3812"/>
      <c r="CA914" s="3812"/>
      <c r="CB914" s="3812">
        <v>182670.58</v>
      </c>
      <c r="CC914" s="3812"/>
      <c r="CD914" s="3812"/>
      <c r="CE914" s="5310"/>
      <c r="CF914" s="5310"/>
      <c r="CG914" s="5310"/>
      <c r="CH914" s="5310"/>
    </row>
    <row r="915" s="4974" customFormat="1" ht="18.75" customHeight="1" spans="1:86">
      <c r="A915" s="3812"/>
      <c r="B915" s="3812"/>
      <c r="C915" s="3812"/>
      <c r="D915" s="5059"/>
      <c r="E915" s="5059"/>
      <c r="F915" s="5059"/>
      <c r="G915" s="5059"/>
      <c r="H915" s="5059"/>
      <c r="I915" s="5205"/>
      <c r="J915" s="5059"/>
      <c r="K915" s="5059"/>
      <c r="L915" s="5059"/>
      <c r="M915" s="3812"/>
      <c r="N915" s="5999"/>
      <c r="O915" s="5999"/>
      <c r="P915" s="5999"/>
      <c r="Q915" s="5999"/>
      <c r="R915" s="5999"/>
      <c r="S915" s="5999"/>
      <c r="T915" s="5999"/>
      <c r="U915" s="5999"/>
      <c r="V915" s="5999"/>
      <c r="W915" s="5999"/>
      <c r="X915" s="5999"/>
      <c r="Y915" s="5999"/>
      <c r="Z915" s="5999"/>
      <c r="AA915" s="5999"/>
      <c r="AB915" s="6000"/>
      <c r="AC915" s="5205"/>
      <c r="AD915" s="5977"/>
      <c r="AE915" s="5205"/>
      <c r="AF915" s="4841"/>
      <c r="AG915" s="4841"/>
      <c r="AH915" s="5205"/>
      <c r="AI915" s="4841"/>
      <c r="AJ915" s="4841"/>
      <c r="AK915" s="4841"/>
      <c r="AL915" s="5123"/>
      <c r="AM915" s="3812"/>
      <c r="AN915" s="3812"/>
      <c r="AO915" s="3812"/>
      <c r="AP915" s="5263"/>
      <c r="AQ915" s="6010"/>
      <c r="AR915" s="5309"/>
      <c r="AS915" s="5985"/>
      <c r="AT915" s="3812"/>
      <c r="AU915" s="3812"/>
      <c r="AV915" s="3812"/>
      <c r="AW915" s="3812"/>
      <c r="AX915" s="3812"/>
      <c r="AY915" s="3812"/>
      <c r="AZ915" s="3812"/>
      <c r="BA915" s="3812"/>
      <c r="BB915" s="3812"/>
      <c r="BC915" s="3812"/>
      <c r="BD915" s="3812"/>
      <c r="BE915" s="3812"/>
      <c r="BF915" s="3812"/>
      <c r="BG915" s="3812"/>
      <c r="BH915" s="3812"/>
      <c r="BI915" s="3812"/>
      <c r="BJ915" s="3812"/>
      <c r="BK915" s="3812"/>
      <c r="BL915" s="3812"/>
      <c r="BM915" s="4841"/>
      <c r="BN915" s="5936"/>
      <c r="BO915" s="3812"/>
      <c r="BP915" s="3812"/>
      <c r="BQ915" s="3812"/>
      <c r="BR915" s="3812"/>
      <c r="BS915" s="3812"/>
      <c r="BT915" s="3812"/>
      <c r="BU915" s="3812"/>
      <c r="BV915" s="3812"/>
      <c r="BW915" s="3812"/>
      <c r="BX915" s="3812"/>
      <c r="BY915" s="3812"/>
      <c r="BZ915" s="3812"/>
      <c r="CA915" s="3812"/>
      <c r="CB915" s="3812"/>
      <c r="CC915" s="3812"/>
      <c r="CD915" s="3812"/>
      <c r="CE915" s="5310"/>
      <c r="CF915" s="5310"/>
      <c r="CG915" s="5310"/>
      <c r="CH915" s="5310"/>
    </row>
    <row r="916" s="4974" customFormat="1" ht="18.75" customHeight="1" spans="1:86">
      <c r="A916" s="3812"/>
      <c r="B916" s="3812"/>
      <c r="C916" s="3812"/>
      <c r="D916" s="5059"/>
      <c r="E916" s="5059"/>
      <c r="F916" s="5059"/>
      <c r="G916" s="5059"/>
      <c r="H916" s="5059"/>
      <c r="I916" s="5205"/>
      <c r="J916" s="5059"/>
      <c r="K916" s="5059"/>
      <c r="L916" s="5059"/>
      <c r="M916" s="3812"/>
      <c r="N916" s="5999"/>
      <c r="O916" s="5999"/>
      <c r="P916" s="5999"/>
      <c r="Q916" s="5999"/>
      <c r="R916" s="5999"/>
      <c r="S916" s="5999"/>
      <c r="T916" s="5999"/>
      <c r="U916" s="5999"/>
      <c r="V916" s="5999"/>
      <c r="W916" s="5999"/>
      <c r="X916" s="5999"/>
      <c r="Y916" s="5999"/>
      <c r="Z916" s="5999"/>
      <c r="AA916" s="5999"/>
      <c r="AB916" s="6000"/>
      <c r="AC916" s="5206"/>
      <c r="AD916" s="5942"/>
      <c r="AE916" s="5206"/>
      <c r="AF916" s="4842"/>
      <c r="AG916" s="4842"/>
      <c r="AH916" s="5206"/>
      <c r="AI916" s="4842"/>
      <c r="AJ916" s="4842"/>
      <c r="AK916" s="4842"/>
      <c r="AL916" s="4813"/>
      <c r="AM916" s="4815"/>
      <c r="AN916" s="3812">
        <f>SUM(BO916:CB916)</f>
        <v>0</v>
      </c>
      <c r="AO916" s="4815"/>
      <c r="AP916" s="5263"/>
      <c r="AQ916" s="5241"/>
      <c r="AR916" s="5309"/>
      <c r="AS916" s="5985"/>
      <c r="AT916" s="3812"/>
      <c r="AU916" s="3812"/>
      <c r="AV916" s="3812"/>
      <c r="AW916" s="3812"/>
      <c r="AX916" s="3812"/>
      <c r="AY916" s="3812"/>
      <c r="AZ916" s="3812"/>
      <c r="BA916" s="3812"/>
      <c r="BB916" s="3812"/>
      <c r="BC916" s="3812"/>
      <c r="BD916" s="3812"/>
      <c r="BE916" s="3812"/>
      <c r="BF916" s="3812"/>
      <c r="BG916" s="3812"/>
      <c r="BH916" s="3812"/>
      <c r="BI916" s="3812"/>
      <c r="BJ916" s="3812"/>
      <c r="BK916" s="3812"/>
      <c r="BL916" s="3812"/>
      <c r="BM916" s="4842"/>
      <c r="BN916" s="5938"/>
      <c r="BO916" s="3812"/>
      <c r="BP916" s="3812"/>
      <c r="BQ916" s="3812"/>
      <c r="BR916" s="3812"/>
      <c r="BS916" s="3812"/>
      <c r="BT916" s="3812"/>
      <c r="BU916" s="3812"/>
      <c r="BV916" s="3812"/>
      <c r="BW916" s="3812"/>
      <c r="BX916" s="3812"/>
      <c r="BY916" s="3812"/>
      <c r="BZ916" s="3812"/>
      <c r="CA916" s="3812"/>
      <c r="CB916" s="4813"/>
      <c r="CC916" s="3812"/>
      <c r="CD916" s="3812"/>
      <c r="CE916" s="5310"/>
      <c r="CF916" s="5310"/>
      <c r="CG916" s="5310"/>
      <c r="CH916" s="5310"/>
    </row>
    <row r="917" s="4974" customFormat="1" ht="20" customHeight="1" spans="1:86">
      <c r="A917" s="3812"/>
      <c r="B917" s="3812"/>
      <c r="C917" s="3812"/>
      <c r="D917" s="5059"/>
      <c r="E917" s="5059"/>
      <c r="F917" s="5059"/>
      <c r="G917" s="5059"/>
      <c r="H917" s="5059"/>
      <c r="I917" s="5205"/>
      <c r="J917" s="5059"/>
      <c r="K917" s="5059"/>
      <c r="L917" s="5059"/>
      <c r="M917" s="3812"/>
      <c r="N917" s="5999"/>
      <c r="O917" s="5999"/>
      <c r="P917" s="5999"/>
      <c r="Q917" s="5999"/>
      <c r="R917" s="5999"/>
      <c r="S917" s="5999"/>
      <c r="T917" s="5999"/>
      <c r="U917" s="5999"/>
      <c r="V917" s="5999"/>
      <c r="W917" s="5999"/>
      <c r="X917" s="5999"/>
      <c r="Y917" s="5999"/>
      <c r="Z917" s="5999"/>
      <c r="AA917" s="5999"/>
      <c r="AB917" s="6000"/>
      <c r="AC917" s="5073" t="s">
        <v>1789</v>
      </c>
      <c r="AD917" s="1032" t="s">
        <v>1792</v>
      </c>
      <c r="AE917" s="1032">
        <v>0.15</v>
      </c>
      <c r="AF917" s="3812">
        <f>1665804.8*AE917</f>
        <v>249870.72</v>
      </c>
      <c r="AG917" s="4840">
        <f>SUM(BA917:BN917)</f>
        <v>249870.72</v>
      </c>
      <c r="AH917" s="5073" t="s">
        <v>122</v>
      </c>
      <c r="AI917" s="4840">
        <v>45423</v>
      </c>
      <c r="AJ917" s="4840">
        <v>249870.72</v>
      </c>
      <c r="AK917" s="4840">
        <v>45423</v>
      </c>
      <c r="AL917" s="3812">
        <v>58386.96</v>
      </c>
      <c r="AM917" s="3812">
        <v>45468</v>
      </c>
      <c r="AN917" s="3812">
        <f>SUM(BO917:CB917)</f>
        <v>58386.96</v>
      </c>
      <c r="AO917" s="3812">
        <v>45657</v>
      </c>
      <c r="AP917" s="3812"/>
      <c r="AQ917" s="5242" t="s">
        <v>1793</v>
      </c>
      <c r="AR917" s="3812"/>
      <c r="AS917" s="5985"/>
      <c r="AT917" s="3812"/>
      <c r="AU917" s="3812"/>
      <c r="AV917" s="3812"/>
      <c r="AW917" s="3812"/>
      <c r="AX917" s="3812"/>
      <c r="AY917" s="3812"/>
      <c r="AZ917" s="3812"/>
      <c r="BA917" s="3812"/>
      <c r="BB917" s="3812"/>
      <c r="BC917" s="3812"/>
      <c r="BD917" s="3812"/>
      <c r="BE917" s="3812"/>
      <c r="BF917" s="3812"/>
      <c r="BG917" s="3812"/>
      <c r="BH917" s="3812"/>
      <c r="BI917" s="3812"/>
      <c r="BJ917" s="3812"/>
      <c r="BK917" s="3812"/>
      <c r="BL917" s="3812"/>
      <c r="BM917" s="4840"/>
      <c r="BN917" s="4840">
        <v>249870.72</v>
      </c>
      <c r="BO917" s="3812"/>
      <c r="BP917" s="3812"/>
      <c r="BQ917" s="3812"/>
      <c r="BR917" s="3812"/>
      <c r="BS917" s="3812"/>
      <c r="BT917" s="3812"/>
      <c r="BU917" s="3812"/>
      <c r="BV917" s="3812"/>
      <c r="BW917" s="3812"/>
      <c r="BX917" s="3812"/>
      <c r="BY917" s="3812"/>
      <c r="BZ917" s="3812"/>
      <c r="CA917" s="3812"/>
      <c r="CB917" s="3812">
        <v>58386.96</v>
      </c>
      <c r="CC917" s="3812"/>
      <c r="CD917" s="3812"/>
      <c r="CE917" s="5310"/>
      <c r="CF917" s="5310"/>
      <c r="CG917" s="5310"/>
      <c r="CH917" s="5310"/>
    </row>
    <row r="918" s="4974" customFormat="1" ht="29.25" customHeight="1" spans="1:86">
      <c r="A918" s="3812"/>
      <c r="B918" s="3812"/>
      <c r="C918" s="3812"/>
      <c r="D918" s="5059"/>
      <c r="E918" s="5059"/>
      <c r="F918" s="5059"/>
      <c r="G918" s="5059"/>
      <c r="H918" s="5059"/>
      <c r="I918" s="5205"/>
      <c r="J918" s="5059"/>
      <c r="K918" s="5059"/>
      <c r="L918" s="5059"/>
      <c r="M918" s="3812"/>
      <c r="N918" s="5999"/>
      <c r="O918" s="5999"/>
      <c r="P918" s="5999"/>
      <c r="Q918" s="5999"/>
      <c r="R918" s="5999"/>
      <c r="S918" s="5999"/>
      <c r="T918" s="5999"/>
      <c r="U918" s="5999"/>
      <c r="V918" s="5999"/>
      <c r="W918" s="5999"/>
      <c r="X918" s="5999"/>
      <c r="Y918" s="5999"/>
      <c r="Z918" s="5999"/>
      <c r="AA918" s="5999"/>
      <c r="AB918" s="6000"/>
      <c r="AC918" s="5205"/>
      <c r="AD918" s="1032"/>
      <c r="AE918" s="1032"/>
      <c r="AF918" s="3812"/>
      <c r="AG918" s="4841"/>
      <c r="AH918" s="5205"/>
      <c r="AI918" s="4841"/>
      <c r="AJ918" s="4841"/>
      <c r="AK918" s="4841"/>
      <c r="AL918" s="3812">
        <v>13604.75</v>
      </c>
      <c r="AM918" s="3812">
        <v>45800</v>
      </c>
      <c r="AN918" s="3812">
        <f>SUM(BO918:CB918)</f>
        <v>13604.75</v>
      </c>
      <c r="AO918" s="3812">
        <v>45868</v>
      </c>
      <c r="AP918" s="3812"/>
      <c r="AQ918" s="5942"/>
      <c r="AR918" s="3812"/>
      <c r="AS918" s="5985"/>
      <c r="AT918" s="3812"/>
      <c r="AU918" s="3812"/>
      <c r="AV918" s="3812"/>
      <c r="AW918" s="3812"/>
      <c r="AX918" s="3812"/>
      <c r="AY918" s="3812"/>
      <c r="AZ918" s="3812"/>
      <c r="BA918" s="3812"/>
      <c r="BB918" s="3812"/>
      <c r="BC918" s="3812"/>
      <c r="BD918" s="3812"/>
      <c r="BE918" s="3812"/>
      <c r="BF918" s="3812"/>
      <c r="BG918" s="3812"/>
      <c r="BH918" s="3812"/>
      <c r="BI918" s="3812"/>
      <c r="BJ918" s="3812"/>
      <c r="BK918" s="3812"/>
      <c r="BL918" s="3812"/>
      <c r="BM918" s="4841"/>
      <c r="BN918" s="4841"/>
      <c r="BO918" s="3812"/>
      <c r="BP918" s="3812"/>
      <c r="BQ918" s="3812"/>
      <c r="BR918" s="3812"/>
      <c r="BS918" s="3812"/>
      <c r="BT918" s="3812"/>
      <c r="BU918" s="3812"/>
      <c r="BV918" s="3812"/>
      <c r="BW918" s="3812"/>
      <c r="BX918" s="3812"/>
      <c r="BY918" s="3812"/>
      <c r="BZ918" s="3812"/>
      <c r="CA918" s="3812"/>
      <c r="CB918" s="4813">
        <v>13604.75</v>
      </c>
      <c r="CC918" s="3812"/>
      <c r="CD918" s="3812"/>
      <c r="CE918" s="5310"/>
      <c r="CF918" s="5310"/>
      <c r="CG918" s="5310"/>
      <c r="CH918" s="5310"/>
    </row>
    <row r="919" s="4974" customFormat="1" ht="20" customHeight="1" spans="1:86">
      <c r="A919" s="3812"/>
      <c r="B919" s="3812"/>
      <c r="C919" s="3812"/>
      <c r="D919" s="5059"/>
      <c r="E919" s="5059"/>
      <c r="F919" s="5059"/>
      <c r="G919" s="5059"/>
      <c r="H919" s="5059"/>
      <c r="I919" s="5205"/>
      <c r="J919" s="5059"/>
      <c r="K919" s="5059"/>
      <c r="L919" s="5059"/>
      <c r="M919" s="3812"/>
      <c r="N919" s="5999"/>
      <c r="O919" s="5999"/>
      <c r="P919" s="5999"/>
      <c r="Q919" s="5999"/>
      <c r="R919" s="5999"/>
      <c r="S919" s="5999"/>
      <c r="T919" s="5999"/>
      <c r="U919" s="5999"/>
      <c r="V919" s="5999"/>
      <c r="W919" s="5999"/>
      <c r="X919" s="5999"/>
      <c r="Y919" s="5999"/>
      <c r="Z919" s="5999"/>
      <c r="AA919" s="5999"/>
      <c r="AB919" s="6000"/>
      <c r="AC919" s="5205"/>
      <c r="AD919" s="1032"/>
      <c r="AE919" s="1032"/>
      <c r="AF919" s="3812"/>
      <c r="AG919" s="4841"/>
      <c r="AH919" s="5205"/>
      <c r="AI919" s="4841"/>
      <c r="AJ919" s="4841"/>
      <c r="AK919" s="4841"/>
      <c r="AL919" s="4813"/>
      <c r="AM919" s="4813"/>
      <c r="AN919" s="3812">
        <f>SUM(BO919:CB919)</f>
        <v>0</v>
      </c>
      <c r="AO919" s="5123"/>
      <c r="AP919" s="3812"/>
      <c r="AQ919" s="5241"/>
      <c r="AR919" s="3812"/>
      <c r="AS919" s="5985"/>
      <c r="AT919" s="3812"/>
      <c r="AU919" s="3812"/>
      <c r="AV919" s="3812"/>
      <c r="AW919" s="3812"/>
      <c r="AX919" s="3812"/>
      <c r="AY919" s="3812"/>
      <c r="AZ919" s="3812"/>
      <c r="BA919" s="3812"/>
      <c r="BB919" s="3812"/>
      <c r="BC919" s="3812"/>
      <c r="BD919" s="3812"/>
      <c r="BE919" s="3812"/>
      <c r="BF919" s="3812"/>
      <c r="BG919" s="3812"/>
      <c r="BH919" s="3812"/>
      <c r="BI919" s="3812"/>
      <c r="BJ919" s="3812"/>
      <c r="BK919" s="3812"/>
      <c r="BL919" s="3812"/>
      <c r="BM919" s="4841"/>
      <c r="BN919" s="5936"/>
      <c r="BO919" s="3812"/>
      <c r="BP919" s="3812"/>
      <c r="BQ919" s="3812"/>
      <c r="BR919" s="3812"/>
      <c r="BS919" s="3812"/>
      <c r="BT919" s="3812"/>
      <c r="BU919" s="3812"/>
      <c r="BV919" s="3812"/>
      <c r="BW919" s="3812"/>
      <c r="BX919" s="3812"/>
      <c r="BY919" s="3812"/>
      <c r="BZ919" s="3812"/>
      <c r="CA919" s="3812"/>
      <c r="CB919" s="4813"/>
      <c r="CC919" s="3812"/>
      <c r="CD919" s="3812"/>
      <c r="CE919" s="5310"/>
      <c r="CF919" s="5310"/>
      <c r="CG919" s="5310"/>
      <c r="CH919" s="5310"/>
    </row>
    <row r="920" s="4974" customFormat="1" ht="20" customHeight="1" spans="1:86">
      <c r="A920" s="3812"/>
      <c r="B920" s="3812"/>
      <c r="C920" s="3812"/>
      <c r="D920" s="5059"/>
      <c r="E920" s="5059"/>
      <c r="F920" s="5059"/>
      <c r="G920" s="5059"/>
      <c r="H920" s="5059"/>
      <c r="I920" s="5205"/>
      <c r="J920" s="5059"/>
      <c r="K920" s="5059"/>
      <c r="L920" s="5059"/>
      <c r="M920" s="3812"/>
      <c r="N920" s="5999"/>
      <c r="O920" s="5999"/>
      <c r="P920" s="5999"/>
      <c r="Q920" s="5999"/>
      <c r="R920" s="5999"/>
      <c r="S920" s="5999"/>
      <c r="T920" s="5999"/>
      <c r="U920" s="5999"/>
      <c r="V920" s="5999"/>
      <c r="W920" s="5999"/>
      <c r="X920" s="5999"/>
      <c r="Y920" s="5999"/>
      <c r="Z920" s="5999"/>
      <c r="AA920" s="5999"/>
      <c r="AB920" s="6000"/>
      <c r="AC920" s="5206"/>
      <c r="AD920" s="1032"/>
      <c r="AE920" s="1032"/>
      <c r="AF920" s="3812"/>
      <c r="AG920" s="4842"/>
      <c r="AH920" s="5206"/>
      <c r="AI920" s="4842"/>
      <c r="AJ920" s="4842"/>
      <c r="AK920" s="4842"/>
      <c r="AL920" s="4813"/>
      <c r="AM920" s="4813"/>
      <c r="AN920" s="3812">
        <f t="shared" ref="AN920:AN931" si="186">SUM(BO920:CB920)</f>
        <v>0</v>
      </c>
      <c r="AO920" s="5123"/>
      <c r="AP920" s="3812"/>
      <c r="AQ920" s="5241"/>
      <c r="AR920" s="3812"/>
      <c r="AS920" s="5985"/>
      <c r="AT920" s="3812"/>
      <c r="AU920" s="3812"/>
      <c r="AV920" s="3812"/>
      <c r="AW920" s="3812"/>
      <c r="AX920" s="3812"/>
      <c r="AY920" s="3812"/>
      <c r="AZ920" s="3812"/>
      <c r="BA920" s="3812"/>
      <c r="BB920" s="3812"/>
      <c r="BC920" s="3812"/>
      <c r="BD920" s="3812"/>
      <c r="BE920" s="3812"/>
      <c r="BF920" s="3812"/>
      <c r="BG920" s="3812"/>
      <c r="BH920" s="3812"/>
      <c r="BI920" s="3812"/>
      <c r="BJ920" s="3812"/>
      <c r="BK920" s="3812"/>
      <c r="BL920" s="3812"/>
      <c r="BM920" s="4842"/>
      <c r="BN920" s="5938"/>
      <c r="BO920" s="3812"/>
      <c r="BP920" s="3812"/>
      <c r="BQ920" s="3812"/>
      <c r="BR920" s="3812"/>
      <c r="BS920" s="3812"/>
      <c r="BT920" s="3812"/>
      <c r="BU920" s="3812"/>
      <c r="BV920" s="3812"/>
      <c r="BW920" s="3812"/>
      <c r="BX920" s="3812"/>
      <c r="BY920" s="3812"/>
      <c r="BZ920" s="3812"/>
      <c r="CA920" s="3812"/>
      <c r="CB920" s="4813"/>
      <c r="CC920" s="3812"/>
      <c r="CD920" s="3812"/>
      <c r="CE920" s="5310"/>
      <c r="CF920" s="5310"/>
      <c r="CG920" s="5310"/>
      <c r="CH920" s="5310"/>
    </row>
    <row r="921" s="4974" customFormat="1" ht="27" customHeight="1" spans="1:86">
      <c r="A921" s="3812"/>
      <c r="B921" s="3812"/>
      <c r="C921" s="3812"/>
      <c r="D921" s="5059"/>
      <c r="E921" s="5059"/>
      <c r="F921" s="5059"/>
      <c r="G921" s="5059"/>
      <c r="H921" s="5059"/>
      <c r="I921" s="5205"/>
      <c r="J921" s="5059"/>
      <c r="K921" s="5059"/>
      <c r="L921" s="5059"/>
      <c r="M921" s="3812"/>
      <c r="N921" s="5999"/>
      <c r="O921" s="5999"/>
      <c r="P921" s="5999"/>
      <c r="Q921" s="5999"/>
      <c r="R921" s="5999"/>
      <c r="S921" s="5999"/>
      <c r="T921" s="5999"/>
      <c r="U921" s="5999"/>
      <c r="V921" s="5999"/>
      <c r="W921" s="5999"/>
      <c r="X921" s="5999"/>
      <c r="Y921" s="5999"/>
      <c r="Z921" s="5999"/>
      <c r="AA921" s="5999"/>
      <c r="AB921" s="6000"/>
      <c r="AC921" s="5205" t="s">
        <v>1789</v>
      </c>
      <c r="AD921" s="1032" t="s">
        <v>1794</v>
      </c>
      <c r="AE921" s="1032">
        <v>0.2</v>
      </c>
      <c r="AF921" s="3812">
        <f>1665804.8*AE921</f>
        <v>333160.96</v>
      </c>
      <c r="AG921" s="4841">
        <f>SUM(BA921:BN923)</f>
        <v>333160.96</v>
      </c>
      <c r="AH921" s="5205" t="s">
        <v>122</v>
      </c>
      <c r="AI921" s="4841">
        <v>45642</v>
      </c>
      <c r="AJ921" s="4841">
        <v>333160.96</v>
      </c>
      <c r="AK921" s="4841">
        <v>45642</v>
      </c>
      <c r="AL921" s="3812">
        <v>95667.11</v>
      </c>
      <c r="AM921" s="3812">
        <v>45800</v>
      </c>
      <c r="AN921" s="3812">
        <f t="shared" si="186"/>
        <v>95667.11</v>
      </c>
      <c r="AO921" s="3812">
        <v>45868</v>
      </c>
      <c r="AP921" s="3812"/>
      <c r="AQ921" s="5241" t="s">
        <v>1795</v>
      </c>
      <c r="AR921" s="3812"/>
      <c r="AS921" s="5985"/>
      <c r="AT921" s="3812"/>
      <c r="AU921" s="3812"/>
      <c r="AV921" s="3812"/>
      <c r="AW921" s="3812"/>
      <c r="AX921" s="3812"/>
      <c r="AY921" s="3812"/>
      <c r="AZ921" s="3812"/>
      <c r="BA921" s="3812"/>
      <c r="BB921" s="3812"/>
      <c r="BC921" s="3812"/>
      <c r="BD921" s="3812"/>
      <c r="BE921" s="3812"/>
      <c r="BF921" s="3812"/>
      <c r="BG921" s="3812"/>
      <c r="BH921" s="3812"/>
      <c r="BI921" s="3812"/>
      <c r="BJ921" s="3812"/>
      <c r="BK921" s="3812"/>
      <c r="BL921" s="3812"/>
      <c r="BM921" s="4840"/>
      <c r="BN921" s="4840">
        <v>333160.96</v>
      </c>
      <c r="BO921" s="3812"/>
      <c r="BP921" s="3812"/>
      <c r="BQ921" s="3812"/>
      <c r="BR921" s="3812"/>
      <c r="BS921" s="3812"/>
      <c r="BT921" s="3812"/>
      <c r="BU921" s="3812"/>
      <c r="BV921" s="3812"/>
      <c r="BW921" s="3812"/>
      <c r="BX921" s="3812"/>
      <c r="BY921" s="3812"/>
      <c r="BZ921" s="3812"/>
      <c r="CA921" s="3812"/>
      <c r="CB921" s="4813">
        <v>95667.11</v>
      </c>
      <c r="CC921" s="3812"/>
      <c r="CD921" s="3812"/>
      <c r="CE921" s="5310"/>
      <c r="CF921" s="5310"/>
      <c r="CG921" s="5310"/>
      <c r="CH921" s="5310"/>
    </row>
    <row r="922" s="4974" customFormat="1" ht="20" customHeight="1" spans="1:86">
      <c r="A922" s="3812"/>
      <c r="B922" s="3812"/>
      <c r="C922" s="3812"/>
      <c r="D922" s="5059"/>
      <c r="E922" s="5059"/>
      <c r="F922" s="5059"/>
      <c r="G922" s="5059"/>
      <c r="H922" s="5059"/>
      <c r="I922" s="5205"/>
      <c r="J922" s="5059"/>
      <c r="K922" s="5059"/>
      <c r="L922" s="5059"/>
      <c r="M922" s="3812"/>
      <c r="N922" s="5999"/>
      <c r="O922" s="5999"/>
      <c r="P922" s="5999"/>
      <c r="Q922" s="5999"/>
      <c r="R922" s="5999"/>
      <c r="S922" s="5999"/>
      <c r="T922" s="5999"/>
      <c r="U922" s="5999"/>
      <c r="V922" s="5999"/>
      <c r="W922" s="5999"/>
      <c r="X922" s="5999"/>
      <c r="Y922" s="5999"/>
      <c r="Z922" s="5999"/>
      <c r="AA922" s="5999"/>
      <c r="AB922" s="6000"/>
      <c r="AC922" s="5205"/>
      <c r="AD922" s="1032"/>
      <c r="AE922" s="1032"/>
      <c r="AF922" s="3812"/>
      <c r="AG922" s="4841"/>
      <c r="AH922" s="5205"/>
      <c r="AI922" s="4841"/>
      <c r="AJ922" s="4841"/>
      <c r="AK922" s="4841"/>
      <c r="AL922" s="4813"/>
      <c r="AM922" s="4815"/>
      <c r="AN922" s="3812">
        <f t="shared" si="186"/>
        <v>0</v>
      </c>
      <c r="AO922" s="5123"/>
      <c r="AP922" s="3812"/>
      <c r="AQ922" s="5241"/>
      <c r="AR922" s="3812"/>
      <c r="AS922" s="5985"/>
      <c r="AT922" s="3812"/>
      <c r="AU922" s="3812"/>
      <c r="AV922" s="3812"/>
      <c r="AW922" s="3812"/>
      <c r="AX922" s="3812"/>
      <c r="AY922" s="3812"/>
      <c r="AZ922" s="3812"/>
      <c r="BA922" s="3812"/>
      <c r="BB922" s="3812"/>
      <c r="BC922" s="3812"/>
      <c r="BD922" s="3812"/>
      <c r="BE922" s="3812"/>
      <c r="BF922" s="3812"/>
      <c r="BG922" s="3812"/>
      <c r="BH922" s="3812"/>
      <c r="BI922" s="3812"/>
      <c r="BJ922" s="3812"/>
      <c r="BK922" s="3812"/>
      <c r="BL922" s="3812"/>
      <c r="BM922" s="4841"/>
      <c r="BN922" s="5936"/>
      <c r="BO922" s="3812"/>
      <c r="BP922" s="3812"/>
      <c r="BQ922" s="3812"/>
      <c r="BR922" s="3812"/>
      <c r="BS922" s="3812"/>
      <c r="BT922" s="3812"/>
      <c r="BU922" s="3812"/>
      <c r="BV922" s="3812"/>
      <c r="BW922" s="3812"/>
      <c r="BX922" s="3812"/>
      <c r="BY922" s="3812"/>
      <c r="BZ922" s="3812"/>
      <c r="CA922" s="3812"/>
      <c r="CB922" s="4813"/>
      <c r="CC922" s="3812"/>
      <c r="CD922" s="3812"/>
      <c r="CE922" s="5310"/>
      <c r="CF922" s="5310"/>
      <c r="CG922" s="5310"/>
      <c r="CH922" s="5310"/>
    </row>
    <row r="923" s="4974" customFormat="1" ht="20" customHeight="1" spans="1:86">
      <c r="A923" s="3812"/>
      <c r="B923" s="3812"/>
      <c r="C923" s="3812"/>
      <c r="D923" s="5059"/>
      <c r="E923" s="5059"/>
      <c r="F923" s="5059"/>
      <c r="G923" s="5059"/>
      <c r="H923" s="5059"/>
      <c r="I923" s="5205"/>
      <c r="J923" s="5059"/>
      <c r="K923" s="5059"/>
      <c r="L923" s="5059"/>
      <c r="M923" s="3812"/>
      <c r="N923" s="5999"/>
      <c r="O923" s="5999"/>
      <c r="P923" s="5999"/>
      <c r="Q923" s="5999"/>
      <c r="R923" s="5999"/>
      <c r="S923" s="5999"/>
      <c r="T923" s="5999"/>
      <c r="U923" s="5999"/>
      <c r="V923" s="5999"/>
      <c r="W923" s="5999"/>
      <c r="X923" s="5999"/>
      <c r="Y923" s="5999"/>
      <c r="Z923" s="5999"/>
      <c r="AA923" s="5999"/>
      <c r="AB923" s="6000"/>
      <c r="AC923" s="5206"/>
      <c r="AD923" s="5241"/>
      <c r="AE923" s="1032"/>
      <c r="AF923" s="3812"/>
      <c r="AG923" s="4842"/>
      <c r="AH923" s="5206"/>
      <c r="AI923" s="4842"/>
      <c r="AJ923" s="4842"/>
      <c r="AK923" s="4842"/>
      <c r="AL923" s="4813"/>
      <c r="AM923" s="4815"/>
      <c r="AN923" s="3812">
        <f t="shared" si="186"/>
        <v>0</v>
      </c>
      <c r="AO923" s="5123"/>
      <c r="AP923" s="3812"/>
      <c r="AQ923" s="5241"/>
      <c r="AR923" s="3812"/>
      <c r="AS923" s="5985"/>
      <c r="AT923" s="3812"/>
      <c r="AU923" s="3812"/>
      <c r="AV923" s="3812"/>
      <c r="AW923" s="3812"/>
      <c r="AX923" s="3812"/>
      <c r="AY923" s="3812"/>
      <c r="AZ923" s="3812"/>
      <c r="BA923" s="3812"/>
      <c r="BB923" s="3812"/>
      <c r="BC923" s="3812"/>
      <c r="BD923" s="3812"/>
      <c r="BE923" s="3812"/>
      <c r="BF923" s="3812"/>
      <c r="BG923" s="3812"/>
      <c r="BH923" s="3812"/>
      <c r="BI923" s="3812"/>
      <c r="BJ923" s="3812"/>
      <c r="BK923" s="3812"/>
      <c r="BL923" s="3812"/>
      <c r="BM923" s="4842"/>
      <c r="BN923" s="5938"/>
      <c r="BO923" s="3812"/>
      <c r="BP923" s="3812"/>
      <c r="BQ923" s="3812"/>
      <c r="BR923" s="3812"/>
      <c r="BS923" s="3812"/>
      <c r="BT923" s="3812"/>
      <c r="BU923" s="3812"/>
      <c r="BV923" s="3812"/>
      <c r="BW923" s="3812"/>
      <c r="BX923" s="3812"/>
      <c r="BY923" s="3812"/>
      <c r="BZ923" s="3812"/>
      <c r="CA923" s="3812"/>
      <c r="CB923" s="4813"/>
      <c r="CC923" s="3812"/>
      <c r="CD923" s="3812"/>
      <c r="CE923" s="5310"/>
      <c r="CF923" s="5310"/>
      <c r="CG923" s="5310"/>
      <c r="CH923" s="5310"/>
    </row>
    <row r="924" s="4974" customFormat="1" ht="31" spans="1:86">
      <c r="A924" s="3812"/>
      <c r="B924" s="3812"/>
      <c r="C924" s="3812"/>
      <c r="D924" s="5059"/>
      <c r="E924" s="5059"/>
      <c r="F924" s="5059"/>
      <c r="G924" s="5059"/>
      <c r="H924" s="5059"/>
      <c r="I924" s="5205"/>
      <c r="J924" s="5059"/>
      <c r="K924" s="5059"/>
      <c r="L924" s="5059"/>
      <c r="M924" s="3812"/>
      <c r="N924" s="5999"/>
      <c r="O924" s="5999"/>
      <c r="P924" s="5999"/>
      <c r="Q924" s="5999"/>
      <c r="R924" s="5999"/>
      <c r="S924" s="5999"/>
      <c r="T924" s="5999"/>
      <c r="U924" s="5999"/>
      <c r="V924" s="5999"/>
      <c r="W924" s="5999"/>
      <c r="X924" s="5999"/>
      <c r="Y924" s="5999"/>
      <c r="Z924" s="5999"/>
      <c r="AA924" s="5999"/>
      <c r="AB924" s="6000"/>
      <c r="AC924" s="1032" t="s">
        <v>1789</v>
      </c>
      <c r="AD924" s="5241" t="s">
        <v>1796</v>
      </c>
      <c r="AE924" s="1032">
        <v>0.05</v>
      </c>
      <c r="AF924" s="3812">
        <f>1665804.8*AE924</f>
        <v>83290.24</v>
      </c>
      <c r="AG924" s="3812">
        <f t="shared" ref="AG923:AG932" si="187">SUM(BA924:BN924)</f>
        <v>83290.24</v>
      </c>
      <c r="AH924" s="1032"/>
      <c r="AI924" s="3812"/>
      <c r="AJ924" s="3812"/>
      <c r="AK924" s="3812"/>
      <c r="AL924" s="3812"/>
      <c r="AM924" s="3812"/>
      <c r="AN924" s="3812">
        <f t="shared" si="186"/>
        <v>0</v>
      </c>
      <c r="AO924" s="5123"/>
      <c r="AP924" s="3812"/>
      <c r="AQ924" s="5241"/>
      <c r="AR924" s="3812"/>
      <c r="AS924" s="5985"/>
      <c r="AT924" s="3812"/>
      <c r="AU924" s="3812"/>
      <c r="AV924" s="3812"/>
      <c r="AW924" s="3812"/>
      <c r="AX924" s="3812"/>
      <c r="AY924" s="3812"/>
      <c r="AZ924" s="3812"/>
      <c r="BA924" s="3812"/>
      <c r="BB924" s="3812"/>
      <c r="BC924" s="3812"/>
      <c r="BD924" s="3812"/>
      <c r="BE924" s="3812"/>
      <c r="BF924" s="3812"/>
      <c r="BG924" s="3812"/>
      <c r="BH924" s="3812"/>
      <c r="BI924" s="3812"/>
      <c r="BJ924" s="3812"/>
      <c r="BK924" s="3812"/>
      <c r="BL924" s="3812"/>
      <c r="BM924" s="3812"/>
      <c r="BN924" s="3812">
        <v>83290.24</v>
      </c>
      <c r="BO924" s="3812"/>
      <c r="BP924" s="3812"/>
      <c r="BQ924" s="3812"/>
      <c r="BR924" s="3812"/>
      <c r="BS924" s="3812"/>
      <c r="BT924" s="3812"/>
      <c r="BU924" s="3812"/>
      <c r="BV924" s="3812"/>
      <c r="BW924" s="3812"/>
      <c r="BX924" s="3812"/>
      <c r="BY924" s="3812"/>
      <c r="BZ924" s="3812"/>
      <c r="CA924" s="3812"/>
      <c r="CB924" s="3812"/>
      <c r="CC924" s="3812"/>
      <c r="CD924" s="3812"/>
      <c r="CE924" s="5310"/>
      <c r="CF924" s="5310"/>
      <c r="CG924" s="5310"/>
      <c r="CH924" s="5310"/>
    </row>
    <row r="925" s="4974" customFormat="1" ht="30" customHeight="1" spans="1:86">
      <c r="A925" s="3812"/>
      <c r="B925" s="3812"/>
      <c r="C925" s="3812"/>
      <c r="D925" s="5059"/>
      <c r="E925" s="5059"/>
      <c r="F925" s="5059"/>
      <c r="G925" s="5059"/>
      <c r="H925" s="5059"/>
      <c r="I925" s="5205"/>
      <c r="J925" s="5059"/>
      <c r="K925" s="5059"/>
      <c r="L925" s="5059"/>
      <c r="M925" s="3812"/>
      <c r="N925" s="5999"/>
      <c r="O925" s="5999"/>
      <c r="P925" s="5999"/>
      <c r="Q925" s="5999"/>
      <c r="R925" s="5999"/>
      <c r="S925" s="5999"/>
      <c r="T925" s="5999"/>
      <c r="U925" s="5999"/>
      <c r="V925" s="5999"/>
      <c r="W925" s="5999"/>
      <c r="X925" s="5999"/>
      <c r="Y925" s="5999"/>
      <c r="Z925" s="5999"/>
      <c r="AA925" s="5999"/>
      <c r="AB925" s="6000"/>
      <c r="AC925" s="1032" t="s">
        <v>1786</v>
      </c>
      <c r="AD925" s="5241" t="s">
        <v>361</v>
      </c>
      <c r="AE925" s="1032">
        <v>0.15</v>
      </c>
      <c r="AF925" s="3812">
        <f>1665804.8*AE925</f>
        <v>249870.72</v>
      </c>
      <c r="AG925" s="3812">
        <f t="shared" si="187"/>
        <v>249870.72</v>
      </c>
      <c r="AH925" s="1032"/>
      <c r="AI925" s="3812"/>
      <c r="AJ925" s="3812"/>
      <c r="AK925" s="3812"/>
      <c r="AL925" s="3812"/>
      <c r="AM925" s="3812"/>
      <c r="AN925" s="3812">
        <f t="shared" si="186"/>
        <v>0</v>
      </c>
      <c r="AO925" s="5123"/>
      <c r="AP925" s="3812"/>
      <c r="AQ925" s="5241"/>
      <c r="AR925" s="3812"/>
      <c r="AS925" s="5985"/>
      <c r="AT925" s="3812"/>
      <c r="AU925" s="3812"/>
      <c r="AV925" s="3812"/>
      <c r="AW925" s="3812"/>
      <c r="AX925" s="3812"/>
      <c r="AY925" s="3812"/>
      <c r="AZ925" s="3812"/>
      <c r="BA925" s="3812"/>
      <c r="BB925" s="3812"/>
      <c r="BC925" s="3812"/>
      <c r="BD925" s="3812"/>
      <c r="BE925" s="3812"/>
      <c r="BF925" s="3812"/>
      <c r="BG925" s="3812"/>
      <c r="BH925" s="3812"/>
      <c r="BI925" s="3812"/>
      <c r="BJ925" s="3812"/>
      <c r="BK925" s="3812"/>
      <c r="BL925" s="3812"/>
      <c r="BM925" s="3812"/>
      <c r="BN925" s="3812">
        <v>249870.72</v>
      </c>
      <c r="BO925" s="3812"/>
      <c r="BP925" s="3812"/>
      <c r="BQ925" s="3812"/>
      <c r="BR925" s="3812"/>
      <c r="BS925" s="3812"/>
      <c r="BT925" s="3812"/>
      <c r="BU925" s="3812"/>
      <c r="BV925" s="3812"/>
      <c r="BW925" s="3812"/>
      <c r="BX925" s="3812"/>
      <c r="BY925" s="3812"/>
      <c r="BZ925" s="3812"/>
      <c r="CA925" s="3812"/>
      <c r="CB925" s="3812"/>
      <c r="CC925" s="3812"/>
      <c r="CD925" s="3812"/>
      <c r="CE925" s="5310"/>
      <c r="CF925" s="5310"/>
      <c r="CG925" s="5310"/>
      <c r="CH925" s="5310"/>
    </row>
    <row r="926" s="4985" customFormat="1" ht="30" customHeight="1" spans="1:86">
      <c r="A926" s="5201"/>
      <c r="B926" s="5201"/>
      <c r="C926" s="5201"/>
      <c r="D926" s="5708"/>
      <c r="E926" s="5059"/>
      <c r="F926" s="5708"/>
      <c r="G926" s="5708"/>
      <c r="H926" s="5708"/>
      <c r="I926" s="5205"/>
      <c r="J926" s="5708"/>
      <c r="K926" s="5708"/>
      <c r="L926" s="5708"/>
      <c r="M926" s="5201"/>
      <c r="N926" s="5667"/>
      <c r="O926" s="5667"/>
      <c r="P926" s="5667"/>
      <c r="Q926" s="5667"/>
      <c r="R926" s="5667"/>
      <c r="S926" s="5667"/>
      <c r="T926" s="5667"/>
      <c r="U926" s="5667"/>
      <c r="V926" s="5667"/>
      <c r="W926" s="5667"/>
      <c r="X926" s="5667"/>
      <c r="Y926" s="5667"/>
      <c r="Z926" s="5667"/>
      <c r="AA926" s="5667"/>
      <c r="AB926" s="5973"/>
      <c r="AC926" s="5714" t="s">
        <v>1797</v>
      </c>
      <c r="AD926" s="5931" t="s">
        <v>1798</v>
      </c>
      <c r="AE926" s="5714">
        <v>0.2</v>
      </c>
      <c r="AF926" s="5201">
        <f>449135*AE926</f>
        <v>89827</v>
      </c>
      <c r="AG926" s="5201">
        <f t="shared" si="187"/>
        <v>89827</v>
      </c>
      <c r="AH926" s="5714" t="s">
        <v>122</v>
      </c>
      <c r="AI926" s="5201">
        <v>45423</v>
      </c>
      <c r="AJ926" s="5201">
        <v>89827</v>
      </c>
      <c r="AK926" s="5201">
        <v>45423</v>
      </c>
      <c r="AL926" s="5934">
        <v>359308</v>
      </c>
      <c r="AM926" s="5934">
        <v>45800</v>
      </c>
      <c r="AN926" s="5201">
        <f t="shared" si="186"/>
        <v>160000</v>
      </c>
      <c r="AO926" s="5201">
        <v>45868</v>
      </c>
      <c r="AP926" s="5201"/>
      <c r="AQ926" s="5931" t="s">
        <v>1773</v>
      </c>
      <c r="AR926" s="5201"/>
      <c r="AS926" s="5985"/>
      <c r="AT926" s="5201"/>
      <c r="AU926" s="3812"/>
      <c r="AV926" s="3812"/>
      <c r="AW926" s="3812"/>
      <c r="AX926" s="3812"/>
      <c r="AY926" s="3812"/>
      <c r="AZ926" s="3812"/>
      <c r="BA926" s="5201"/>
      <c r="BB926" s="5201"/>
      <c r="BC926" s="5201"/>
      <c r="BD926" s="5201"/>
      <c r="BE926" s="5201"/>
      <c r="BF926" s="5201"/>
      <c r="BG926" s="5201"/>
      <c r="BH926" s="5201"/>
      <c r="BI926" s="5201"/>
      <c r="BJ926" s="5201"/>
      <c r="BK926" s="5201"/>
      <c r="BL926" s="5201"/>
      <c r="BM926" s="5201"/>
      <c r="BN926" s="5201">
        <v>89827</v>
      </c>
      <c r="BO926" s="5201"/>
      <c r="BP926" s="5201"/>
      <c r="BQ926" s="5201"/>
      <c r="BR926" s="5201"/>
      <c r="BS926" s="5201"/>
      <c r="BT926" s="5201"/>
      <c r="BU926" s="5201"/>
      <c r="BV926" s="5201"/>
      <c r="BW926" s="5201"/>
      <c r="BX926" s="5201"/>
      <c r="BY926" s="5201"/>
      <c r="BZ926" s="5201"/>
      <c r="CA926" s="5201"/>
      <c r="CB926" s="6015">
        <v>160000</v>
      </c>
      <c r="CC926" s="5201"/>
      <c r="CD926" s="5201"/>
      <c r="CE926" s="5990"/>
      <c r="CF926" s="5990"/>
      <c r="CG926" s="5990"/>
      <c r="CH926" s="5990"/>
    </row>
    <row r="927" s="4974" customFormat="1" ht="30" customHeight="1" spans="1:86">
      <c r="A927" s="3812"/>
      <c r="B927" s="3812"/>
      <c r="C927" s="3812"/>
      <c r="D927" s="5059"/>
      <c r="E927" s="5059"/>
      <c r="F927" s="5059"/>
      <c r="G927" s="5059"/>
      <c r="H927" s="5059"/>
      <c r="I927" s="5205"/>
      <c r="J927" s="5059"/>
      <c r="K927" s="5059"/>
      <c r="L927" s="5059"/>
      <c r="M927" s="3812"/>
      <c r="N927" s="5667"/>
      <c r="O927" s="5667"/>
      <c r="P927" s="5667"/>
      <c r="Q927" s="5667"/>
      <c r="R927" s="5667"/>
      <c r="S927" s="5667"/>
      <c r="T927" s="5667"/>
      <c r="U927" s="5667"/>
      <c r="V927" s="5667"/>
      <c r="W927" s="5667"/>
      <c r="X927" s="5667"/>
      <c r="Y927" s="5667"/>
      <c r="Z927" s="5667"/>
      <c r="AA927" s="5667"/>
      <c r="AB927" s="5973"/>
      <c r="AC927" s="1032" t="s">
        <v>1797</v>
      </c>
      <c r="AD927" s="5241" t="s">
        <v>1799</v>
      </c>
      <c r="AE927" s="1032">
        <v>0.2</v>
      </c>
      <c r="AF927" s="3812">
        <f>449135*AE927</f>
        <v>89827</v>
      </c>
      <c r="AG927" s="3812">
        <f t="shared" si="187"/>
        <v>89827</v>
      </c>
      <c r="AH927" s="1032" t="s">
        <v>122</v>
      </c>
      <c r="AI927" s="3812">
        <v>45423</v>
      </c>
      <c r="AJ927" s="3812">
        <v>89827</v>
      </c>
      <c r="AK927" s="3812">
        <v>45423</v>
      </c>
      <c r="AL927" s="5936"/>
      <c r="AM927" s="5936"/>
      <c r="AN927" s="3812">
        <f t="shared" si="186"/>
        <v>50728.14</v>
      </c>
      <c r="AO927" s="3812">
        <v>45868</v>
      </c>
      <c r="AP927" s="3812"/>
      <c r="AQ927" s="5241" t="s">
        <v>1800</v>
      </c>
      <c r="AR927" s="3812"/>
      <c r="AS927" s="5985"/>
      <c r="AT927" s="3812"/>
      <c r="AU927" s="3812"/>
      <c r="AV927" s="3812"/>
      <c r="AW927" s="3812"/>
      <c r="AX927" s="3812"/>
      <c r="AY927" s="3812"/>
      <c r="AZ927" s="3812"/>
      <c r="BA927" s="3812"/>
      <c r="BB927" s="3812"/>
      <c r="BC927" s="3812"/>
      <c r="BD927" s="3812"/>
      <c r="BE927" s="3812"/>
      <c r="BF927" s="3812"/>
      <c r="BG927" s="3812"/>
      <c r="BH927" s="3812"/>
      <c r="BI927" s="3812"/>
      <c r="BJ927" s="3812"/>
      <c r="BK927" s="3812"/>
      <c r="BL927" s="3812"/>
      <c r="BM927" s="3812"/>
      <c r="BN927" s="3812">
        <v>89827</v>
      </c>
      <c r="BO927" s="3812"/>
      <c r="BP927" s="3812"/>
      <c r="BQ927" s="3812"/>
      <c r="BR927" s="3812"/>
      <c r="BS927" s="3812"/>
      <c r="BT927" s="3812"/>
      <c r="BU927" s="3812"/>
      <c r="BV927" s="3812"/>
      <c r="BW927" s="3812"/>
      <c r="BX927" s="3812"/>
      <c r="BY927" s="3812"/>
      <c r="BZ927" s="3812"/>
      <c r="CA927" s="3812"/>
      <c r="CB927" s="4813">
        <v>50728.14</v>
      </c>
      <c r="CC927" s="3812"/>
      <c r="CD927" s="3812"/>
      <c r="CE927" s="5310"/>
      <c r="CF927" s="5310"/>
      <c r="CG927" s="5310"/>
      <c r="CH927" s="5310"/>
    </row>
    <row r="928" s="4974" customFormat="1" ht="30" customHeight="1" spans="1:86">
      <c r="A928" s="3812"/>
      <c r="B928" s="3812"/>
      <c r="C928" s="3812"/>
      <c r="D928" s="5059"/>
      <c r="E928" s="5059"/>
      <c r="F928" s="5059"/>
      <c r="G928" s="5059"/>
      <c r="H928" s="5059"/>
      <c r="I928" s="5205"/>
      <c r="J928" s="5059"/>
      <c r="K928" s="5059"/>
      <c r="L928" s="5059"/>
      <c r="M928" s="3812"/>
      <c r="N928" s="5667"/>
      <c r="O928" s="5667"/>
      <c r="P928" s="5667"/>
      <c r="Q928" s="5667"/>
      <c r="R928" s="5667"/>
      <c r="S928" s="5667"/>
      <c r="T928" s="5667"/>
      <c r="U928" s="5667"/>
      <c r="V928" s="5667"/>
      <c r="W928" s="5667"/>
      <c r="X928" s="5667"/>
      <c r="Y928" s="5667"/>
      <c r="Z928" s="5667"/>
      <c r="AA928" s="5667"/>
      <c r="AB928" s="5973"/>
      <c r="AC928" s="1032" t="s">
        <v>1797</v>
      </c>
      <c r="AD928" s="5241" t="s">
        <v>1801</v>
      </c>
      <c r="AE928" s="1032">
        <v>0.2</v>
      </c>
      <c r="AF928" s="3812">
        <f>449135*AE928</f>
        <v>89827</v>
      </c>
      <c r="AG928" s="3812">
        <f t="shared" si="187"/>
        <v>89827</v>
      </c>
      <c r="AH928" s="1032" t="s">
        <v>122</v>
      </c>
      <c r="AI928" s="3812">
        <v>45423</v>
      </c>
      <c r="AJ928" s="3812">
        <v>89827</v>
      </c>
      <c r="AK928" s="3812">
        <v>45423</v>
      </c>
      <c r="AL928" s="5936"/>
      <c r="AM928" s="5936"/>
      <c r="AN928" s="3812">
        <f t="shared" si="186"/>
        <v>58752.86</v>
      </c>
      <c r="AO928" s="3812">
        <v>45911</v>
      </c>
      <c r="AP928" s="3812"/>
      <c r="AQ928" s="5241" t="s">
        <v>1802</v>
      </c>
      <c r="AR928" s="3812"/>
      <c r="AS928" s="5985"/>
      <c r="AT928" s="3812"/>
      <c r="AU928" s="3812"/>
      <c r="AV928" s="3812"/>
      <c r="AW928" s="3812"/>
      <c r="AX928" s="3812"/>
      <c r="AY928" s="3812"/>
      <c r="AZ928" s="3812"/>
      <c r="BA928" s="3812"/>
      <c r="BB928" s="3812"/>
      <c r="BC928" s="3812"/>
      <c r="BD928" s="3812"/>
      <c r="BE928" s="3812"/>
      <c r="BF928" s="3812"/>
      <c r="BG928" s="3812"/>
      <c r="BH928" s="3812"/>
      <c r="BI928" s="3812"/>
      <c r="BJ928" s="3812"/>
      <c r="BK928" s="3812"/>
      <c r="BL928" s="3812"/>
      <c r="BM928" s="3812"/>
      <c r="BN928" s="3812">
        <v>89827</v>
      </c>
      <c r="BO928" s="3812"/>
      <c r="BP928" s="3812"/>
      <c r="BQ928" s="3812"/>
      <c r="BR928" s="3812"/>
      <c r="BS928" s="3812"/>
      <c r="BT928" s="3812"/>
      <c r="BU928" s="3812"/>
      <c r="BV928" s="3812"/>
      <c r="BW928" s="3812"/>
      <c r="BX928" s="3812"/>
      <c r="BY928" s="3812"/>
      <c r="BZ928" s="3812"/>
      <c r="CA928" s="3812"/>
      <c r="CB928" s="3812">
        <v>58752.86</v>
      </c>
      <c r="CC928" s="3812"/>
      <c r="CD928" s="3812"/>
      <c r="CE928" s="5310"/>
      <c r="CF928" s="5310"/>
      <c r="CG928" s="5310"/>
      <c r="CH928" s="5310"/>
    </row>
    <row r="929" s="4974" customFormat="1" ht="30" customHeight="1" spans="1:86">
      <c r="A929" s="3812"/>
      <c r="B929" s="3812"/>
      <c r="C929" s="3812"/>
      <c r="D929" s="5059"/>
      <c r="E929" s="5059"/>
      <c r="F929" s="5059"/>
      <c r="G929" s="5059"/>
      <c r="H929" s="5059"/>
      <c r="I929" s="5205"/>
      <c r="J929" s="5059"/>
      <c r="K929" s="5059"/>
      <c r="L929" s="5059"/>
      <c r="M929" s="3812"/>
      <c r="N929" s="5667"/>
      <c r="O929" s="5667"/>
      <c r="P929" s="5667"/>
      <c r="Q929" s="5667"/>
      <c r="R929" s="5667"/>
      <c r="S929" s="5667"/>
      <c r="T929" s="5667"/>
      <c r="U929" s="5667"/>
      <c r="V929" s="5667"/>
      <c r="W929" s="5667"/>
      <c r="X929" s="5667"/>
      <c r="Y929" s="5667"/>
      <c r="Z929" s="5667"/>
      <c r="AA929" s="5667"/>
      <c r="AB929" s="5973"/>
      <c r="AC929" s="1032" t="s">
        <v>1797</v>
      </c>
      <c r="AD929" s="5241" t="s">
        <v>1803</v>
      </c>
      <c r="AE929" s="1032">
        <v>0.2</v>
      </c>
      <c r="AF929" s="3812">
        <f>449135*AE929</f>
        <v>89827</v>
      </c>
      <c r="AG929" s="3812">
        <f t="shared" si="187"/>
        <v>89827</v>
      </c>
      <c r="AH929" s="1032" t="s">
        <v>122</v>
      </c>
      <c r="AI929" s="3812">
        <v>45423</v>
      </c>
      <c r="AJ929" s="3812">
        <v>89827</v>
      </c>
      <c r="AK929" s="3812">
        <v>45423</v>
      </c>
      <c r="AL929" s="5938"/>
      <c r="AM929" s="5938"/>
      <c r="AN929" s="3812">
        <f t="shared" si="186"/>
        <v>89827</v>
      </c>
      <c r="AO929" s="3812">
        <v>45911</v>
      </c>
      <c r="AP929" s="3812"/>
      <c r="AQ929" s="5241" t="s">
        <v>1774</v>
      </c>
      <c r="AR929" s="3812"/>
      <c r="AS929" s="5985"/>
      <c r="AT929" s="3812"/>
      <c r="AU929" s="3812"/>
      <c r="AV929" s="3812"/>
      <c r="AW929" s="3812"/>
      <c r="AX929" s="3812"/>
      <c r="AY929" s="3812"/>
      <c r="AZ929" s="3812"/>
      <c r="BA929" s="3812"/>
      <c r="BB929" s="3812"/>
      <c r="BC929" s="3812"/>
      <c r="BD929" s="3812"/>
      <c r="BE929" s="3812"/>
      <c r="BF929" s="3812"/>
      <c r="BG929" s="3812"/>
      <c r="BH929" s="3812"/>
      <c r="BI929" s="3812"/>
      <c r="BJ929" s="3812"/>
      <c r="BK929" s="3812"/>
      <c r="BL929" s="3812"/>
      <c r="BM929" s="3812"/>
      <c r="BN929" s="3812">
        <v>89827</v>
      </c>
      <c r="BO929" s="3812"/>
      <c r="BP929" s="3812"/>
      <c r="BQ929" s="3812"/>
      <c r="BR929" s="3812"/>
      <c r="BS929" s="3812"/>
      <c r="BT929" s="3812"/>
      <c r="BU929" s="3812"/>
      <c r="BV929" s="3812"/>
      <c r="BW929" s="3812"/>
      <c r="BX929" s="3812"/>
      <c r="BY929" s="3812"/>
      <c r="BZ929" s="3812"/>
      <c r="CA929" s="3812"/>
      <c r="CB929" s="3812">
        <v>89827</v>
      </c>
      <c r="CC929" s="3812"/>
      <c r="CD929" s="3812"/>
      <c r="CE929" s="5310"/>
      <c r="CF929" s="5310"/>
      <c r="CG929" s="5310"/>
      <c r="CH929" s="5310"/>
    </row>
    <row r="930" s="4974" customFormat="1" ht="24" customHeight="1" spans="1:86">
      <c r="A930" s="3812"/>
      <c r="B930" s="3812"/>
      <c r="C930" s="3812"/>
      <c r="D930" s="5059"/>
      <c r="E930" s="5059"/>
      <c r="F930" s="5059"/>
      <c r="G930" s="5059"/>
      <c r="H930" s="5059"/>
      <c r="I930" s="5205"/>
      <c r="J930" s="5059"/>
      <c r="K930" s="5059"/>
      <c r="L930" s="5059"/>
      <c r="M930" s="3812"/>
      <c r="N930" s="5667"/>
      <c r="O930" s="5667"/>
      <c r="P930" s="5667"/>
      <c r="Q930" s="5667"/>
      <c r="R930" s="5667"/>
      <c r="S930" s="5667"/>
      <c r="T930" s="5667"/>
      <c r="U930" s="5667"/>
      <c r="V930" s="5667"/>
      <c r="W930" s="5667"/>
      <c r="X930" s="5667"/>
      <c r="Y930" s="5667"/>
      <c r="Z930" s="5667"/>
      <c r="AA930" s="5667"/>
      <c r="AB930" s="5973"/>
      <c r="AC930" s="1032" t="s">
        <v>1797</v>
      </c>
      <c r="AD930" s="5241" t="s">
        <v>1804</v>
      </c>
      <c r="AE930" s="1032">
        <v>0.2</v>
      </c>
      <c r="AF930" s="3812">
        <f>449135*AE930</f>
        <v>89827</v>
      </c>
      <c r="AG930" s="3812">
        <f t="shared" si="187"/>
        <v>89827</v>
      </c>
      <c r="AH930" s="857"/>
      <c r="AI930" s="5257"/>
      <c r="AJ930" s="3812"/>
      <c r="AK930" s="3812"/>
      <c r="AL930" s="4813"/>
      <c r="AM930" s="3812"/>
      <c r="AN930" s="3812">
        <f t="shared" si="186"/>
        <v>0</v>
      </c>
      <c r="AO930" s="5886"/>
      <c r="AP930" s="3812"/>
      <c r="AQ930" s="5241"/>
      <c r="AR930" s="3812"/>
      <c r="AS930" s="5985"/>
      <c r="AT930" s="3812"/>
      <c r="AU930" s="3812"/>
      <c r="AV930" s="3812"/>
      <c r="AW930" s="3812"/>
      <c r="AX930" s="3812"/>
      <c r="AY930" s="3812"/>
      <c r="AZ930" s="3812"/>
      <c r="BA930" s="3812"/>
      <c r="BB930" s="3812"/>
      <c r="BC930" s="3812"/>
      <c r="BD930" s="3812"/>
      <c r="BE930" s="3812"/>
      <c r="BF930" s="3812"/>
      <c r="BG930" s="3812"/>
      <c r="BH930" s="3812"/>
      <c r="BI930" s="3812"/>
      <c r="BJ930" s="3812"/>
      <c r="BK930" s="3812"/>
      <c r="BL930" s="3812"/>
      <c r="BM930" s="3812"/>
      <c r="BN930" s="3812">
        <v>89827</v>
      </c>
      <c r="BO930" s="3812"/>
      <c r="BP930" s="3812"/>
      <c r="BQ930" s="3812"/>
      <c r="BR930" s="3812"/>
      <c r="BS930" s="3812"/>
      <c r="BT930" s="3812"/>
      <c r="BU930" s="3812"/>
      <c r="BV930" s="3812"/>
      <c r="BW930" s="3812"/>
      <c r="BX930" s="3812"/>
      <c r="BY930" s="3812"/>
      <c r="BZ930" s="3812"/>
      <c r="CA930" s="3812"/>
      <c r="CB930" s="4813"/>
      <c r="CC930" s="3812"/>
      <c r="CD930" s="3812"/>
      <c r="CE930" s="5310"/>
      <c r="CF930" s="5310"/>
      <c r="CG930" s="5310"/>
      <c r="CH930" s="5310"/>
    </row>
    <row r="931" s="4985" customFormat="1" ht="30" customHeight="1" spans="1:86">
      <c r="A931" s="5201"/>
      <c r="B931" s="5201"/>
      <c r="C931" s="5201"/>
      <c r="D931" s="5708"/>
      <c r="E931" s="5059"/>
      <c r="F931" s="5708"/>
      <c r="G931" s="5708"/>
      <c r="H931" s="5708"/>
      <c r="I931" s="5205"/>
      <c r="J931" s="5708"/>
      <c r="K931" s="5708"/>
      <c r="L931" s="5708"/>
      <c r="M931" s="5201"/>
      <c r="N931" s="5667"/>
      <c r="O931" s="5667"/>
      <c r="P931" s="5667"/>
      <c r="Q931" s="5667"/>
      <c r="R931" s="5667"/>
      <c r="S931" s="5667"/>
      <c r="T931" s="5667"/>
      <c r="U931" s="5667"/>
      <c r="V931" s="5667"/>
      <c r="W931" s="5667"/>
      <c r="X931" s="5667"/>
      <c r="Y931" s="5667"/>
      <c r="Z931" s="5667"/>
      <c r="AA931" s="5667"/>
      <c r="AB931" s="5973"/>
      <c r="AC931" s="5892" t="s">
        <v>1805</v>
      </c>
      <c r="AD931" s="5892" t="s">
        <v>1798</v>
      </c>
      <c r="AE931" s="5892">
        <v>0.2</v>
      </c>
      <c r="AF931" s="5934">
        <f>606531.2*AE931</f>
        <v>121306.24</v>
      </c>
      <c r="AG931" s="5934">
        <f t="shared" si="187"/>
        <v>121306.24</v>
      </c>
      <c r="AH931" s="5892" t="s">
        <v>122</v>
      </c>
      <c r="AI931" s="5934">
        <v>45423</v>
      </c>
      <c r="AJ931" s="5934">
        <v>121306.24</v>
      </c>
      <c r="AK931" s="5934">
        <v>45423</v>
      </c>
      <c r="AL931" s="5201">
        <v>86843.24</v>
      </c>
      <c r="AM931" s="5201">
        <v>45800</v>
      </c>
      <c r="AN931" s="5201">
        <f t="shared" si="186"/>
        <v>86843.24</v>
      </c>
      <c r="AO931" s="5201">
        <v>45868</v>
      </c>
      <c r="AP931" s="5201"/>
      <c r="AQ931" s="5931" t="s">
        <v>1773</v>
      </c>
      <c r="AR931" s="5201"/>
      <c r="AS931" s="5985"/>
      <c r="AT931" s="5201"/>
      <c r="AU931" s="3812"/>
      <c r="AV931" s="3812"/>
      <c r="AW931" s="3812"/>
      <c r="AX931" s="3812"/>
      <c r="AY931" s="3812"/>
      <c r="AZ931" s="3812"/>
      <c r="BA931" s="5201"/>
      <c r="BB931" s="5201"/>
      <c r="BC931" s="5201"/>
      <c r="BD931" s="5201"/>
      <c r="BE931" s="5201"/>
      <c r="BF931" s="5201"/>
      <c r="BG931" s="5201"/>
      <c r="BH931" s="5201"/>
      <c r="BI931" s="5201"/>
      <c r="BJ931" s="5201"/>
      <c r="BK931" s="5201"/>
      <c r="BL931" s="5201"/>
      <c r="BM931" s="5934"/>
      <c r="BN931" s="5934">
        <v>121306.24</v>
      </c>
      <c r="BO931" s="5201"/>
      <c r="BP931" s="5201"/>
      <c r="BQ931" s="5201"/>
      <c r="BR931" s="5201"/>
      <c r="BS931" s="5201"/>
      <c r="BT931" s="5201"/>
      <c r="BU931" s="5201"/>
      <c r="BV931" s="5201"/>
      <c r="BW931" s="5201"/>
      <c r="BX931" s="5201"/>
      <c r="BY931" s="5201"/>
      <c r="BZ931" s="5201"/>
      <c r="CA931" s="5201"/>
      <c r="CB931" s="6015">
        <v>86843.24</v>
      </c>
      <c r="CC931" s="5201"/>
      <c r="CD931" s="5201"/>
      <c r="CE931" s="5990"/>
      <c r="CF931" s="5990"/>
      <c r="CG931" s="5990"/>
      <c r="CH931" s="5990"/>
    </row>
    <row r="932" s="4974" customFormat="1" ht="30" customHeight="1" spans="1:86">
      <c r="A932" s="3812"/>
      <c r="B932" s="3812"/>
      <c r="C932" s="3812"/>
      <c r="D932" s="5059"/>
      <c r="E932" s="5059"/>
      <c r="F932" s="5059"/>
      <c r="G932" s="5059"/>
      <c r="H932" s="5059"/>
      <c r="I932" s="5205"/>
      <c r="J932" s="5059"/>
      <c r="K932" s="5059"/>
      <c r="L932" s="5059"/>
      <c r="M932" s="3812"/>
      <c r="N932" s="5667"/>
      <c r="O932" s="5667"/>
      <c r="P932" s="5667"/>
      <c r="Q932" s="5667"/>
      <c r="R932" s="5667"/>
      <c r="S932" s="5667"/>
      <c r="T932" s="5667"/>
      <c r="U932" s="5667"/>
      <c r="V932" s="5667"/>
      <c r="W932" s="5667"/>
      <c r="X932" s="5667"/>
      <c r="Y932" s="5667"/>
      <c r="Z932" s="5667"/>
      <c r="AA932" s="5667"/>
      <c r="AB932" s="5973"/>
      <c r="AC932" s="5893"/>
      <c r="AD932" s="5893"/>
      <c r="AE932" s="5893"/>
      <c r="AF932" s="5938"/>
      <c r="AG932" s="5938"/>
      <c r="AH932" s="5893"/>
      <c r="AI932" s="5938"/>
      <c r="AJ932" s="5938"/>
      <c r="AK932" s="5938"/>
      <c r="AL932" s="3812">
        <f>AJ931-AL931</f>
        <v>34463</v>
      </c>
      <c r="AM932" s="5123"/>
      <c r="AN932" s="3812"/>
      <c r="AO932" s="5123"/>
      <c r="AP932" s="3812"/>
      <c r="AQ932" s="5241"/>
      <c r="AR932" s="3812"/>
      <c r="AS932" s="5985"/>
      <c r="AT932" s="3812"/>
      <c r="AU932" s="3812"/>
      <c r="AV932" s="3812"/>
      <c r="AW932" s="3812"/>
      <c r="AX932" s="3812"/>
      <c r="AY932" s="3812"/>
      <c r="AZ932" s="3812"/>
      <c r="BA932" s="3812"/>
      <c r="BB932" s="3812"/>
      <c r="BC932" s="3812"/>
      <c r="BD932" s="3812"/>
      <c r="BE932" s="3812"/>
      <c r="BF932" s="3812"/>
      <c r="BG932" s="3812"/>
      <c r="BH932" s="3812"/>
      <c r="BI932" s="3812"/>
      <c r="BJ932" s="3812"/>
      <c r="BK932" s="3812"/>
      <c r="BL932" s="3812"/>
      <c r="BM932" s="4842"/>
      <c r="BN932" s="5938"/>
      <c r="BO932" s="3812"/>
      <c r="BP932" s="3812"/>
      <c r="BQ932" s="3812"/>
      <c r="BR932" s="3812"/>
      <c r="BS932" s="3812"/>
      <c r="BT932" s="3812"/>
      <c r="BU932" s="3812"/>
      <c r="BV932" s="3812"/>
      <c r="BW932" s="3812"/>
      <c r="BX932" s="3812"/>
      <c r="BY932" s="3812"/>
      <c r="BZ932" s="3812"/>
      <c r="CA932" s="3812"/>
      <c r="CB932" s="4813"/>
      <c r="CC932" s="3812"/>
      <c r="CD932" s="3812"/>
      <c r="CE932" s="5310"/>
      <c r="CF932" s="5310"/>
      <c r="CG932" s="5310"/>
      <c r="CH932" s="5310"/>
    </row>
    <row r="933" s="4974" customFormat="1" ht="30" customHeight="1" spans="1:86">
      <c r="A933" s="3812"/>
      <c r="B933" s="3812"/>
      <c r="C933" s="3812"/>
      <c r="D933" s="5059"/>
      <c r="E933" s="5059"/>
      <c r="F933" s="5059"/>
      <c r="G933" s="5059"/>
      <c r="H933" s="5059"/>
      <c r="I933" s="5205"/>
      <c r="J933" s="5059"/>
      <c r="K933" s="5059"/>
      <c r="L933" s="5059"/>
      <c r="M933" s="3812"/>
      <c r="N933" s="5667"/>
      <c r="O933" s="5667"/>
      <c r="P933" s="5667"/>
      <c r="Q933" s="5667"/>
      <c r="R933" s="5667"/>
      <c r="S933" s="5667"/>
      <c r="T933" s="5667"/>
      <c r="U933" s="5667"/>
      <c r="V933" s="5667"/>
      <c r="W933" s="5667"/>
      <c r="X933" s="5667"/>
      <c r="Y933" s="5667"/>
      <c r="Z933" s="5667"/>
      <c r="AA933" s="5667"/>
      <c r="AB933" s="5973"/>
      <c r="AC933" s="5073" t="s">
        <v>1806</v>
      </c>
      <c r="AD933" s="5073" t="s">
        <v>1799</v>
      </c>
      <c r="AE933" s="5073">
        <v>0.2</v>
      </c>
      <c r="AF933" s="4840">
        <f>606531.2*AE933</f>
        <v>121306.24</v>
      </c>
      <c r="AG933" s="4840">
        <f>SUM(BA933:BN933)</f>
        <v>121306.24</v>
      </c>
      <c r="AH933" s="5073" t="s">
        <v>122</v>
      </c>
      <c r="AI933" s="4840">
        <v>45423</v>
      </c>
      <c r="AJ933" s="4840">
        <v>121306.24</v>
      </c>
      <c r="AK933" s="4840">
        <v>45423</v>
      </c>
      <c r="AL933" s="4840">
        <v>86843.24</v>
      </c>
      <c r="AM933" s="4840">
        <v>45800</v>
      </c>
      <c r="AN933" s="3812">
        <f>SUM(BO933:CB933)</f>
        <v>73156.76</v>
      </c>
      <c r="AO933" s="3812">
        <v>45868</v>
      </c>
      <c r="AP933" s="3812"/>
      <c r="AQ933" s="5241" t="s">
        <v>1773</v>
      </c>
      <c r="AR933" s="3812"/>
      <c r="AS933" s="5985"/>
      <c r="AT933" s="3812"/>
      <c r="AU933" s="3812"/>
      <c r="AV933" s="3812"/>
      <c r="AW933" s="3812"/>
      <c r="AX933" s="3812"/>
      <c r="AY933" s="3812"/>
      <c r="AZ933" s="3812"/>
      <c r="BA933" s="3812"/>
      <c r="BB933" s="3812"/>
      <c r="BC933" s="3812"/>
      <c r="BD933" s="3812"/>
      <c r="BE933" s="3812"/>
      <c r="BF933" s="3812"/>
      <c r="BG933" s="3812"/>
      <c r="BH933" s="3812"/>
      <c r="BI933" s="3812"/>
      <c r="BJ933" s="3812"/>
      <c r="BK933" s="3812"/>
      <c r="BL933" s="3812"/>
      <c r="BM933" s="4840"/>
      <c r="BN933" s="4840">
        <v>121306.24</v>
      </c>
      <c r="BO933" s="3812"/>
      <c r="BP933" s="3812"/>
      <c r="BQ933" s="3812"/>
      <c r="BR933" s="3812"/>
      <c r="BS933" s="3812"/>
      <c r="BT933" s="3812"/>
      <c r="BU933" s="3812"/>
      <c r="BV933" s="3812"/>
      <c r="BW933" s="3812"/>
      <c r="BX933" s="3812"/>
      <c r="BY933" s="3812"/>
      <c r="BZ933" s="3812"/>
      <c r="CA933" s="3812"/>
      <c r="CB933" s="4813">
        <v>73156.76</v>
      </c>
      <c r="CC933" s="3812"/>
      <c r="CD933" s="3812"/>
      <c r="CE933" s="5310"/>
      <c r="CF933" s="5310"/>
      <c r="CG933" s="5310"/>
      <c r="CH933" s="5310"/>
    </row>
    <row r="934" s="4974" customFormat="1" ht="30" customHeight="1" spans="1:86">
      <c r="A934" s="3812"/>
      <c r="B934" s="3812"/>
      <c r="C934" s="3812"/>
      <c r="D934" s="5059"/>
      <c r="E934" s="5059"/>
      <c r="F934" s="5059"/>
      <c r="G934" s="5059"/>
      <c r="H934" s="5059"/>
      <c r="I934" s="5205"/>
      <c r="J934" s="5059"/>
      <c r="K934" s="5059"/>
      <c r="L934" s="5059"/>
      <c r="M934" s="3812"/>
      <c r="N934" s="5667"/>
      <c r="O934" s="5667"/>
      <c r="P934" s="5667"/>
      <c r="Q934" s="5667"/>
      <c r="R934" s="5667"/>
      <c r="S934" s="5667"/>
      <c r="T934" s="5667"/>
      <c r="U934" s="5667"/>
      <c r="V934" s="5667"/>
      <c r="W934" s="5667"/>
      <c r="X934" s="5667"/>
      <c r="Y934" s="5667"/>
      <c r="Z934" s="5667"/>
      <c r="AA934" s="5667"/>
      <c r="AB934" s="5973"/>
      <c r="AC934" s="5205"/>
      <c r="AD934" s="5205"/>
      <c r="AE934" s="5205"/>
      <c r="AF934" s="4841"/>
      <c r="AG934" s="4841"/>
      <c r="AH934" s="5205"/>
      <c r="AI934" s="4841"/>
      <c r="AJ934" s="4841"/>
      <c r="AK934" s="4841"/>
      <c r="AL934" s="4842"/>
      <c r="AM934" s="4842"/>
      <c r="AN934" s="4813">
        <f>SUM(BO934:CB934)</f>
        <v>13686.48</v>
      </c>
      <c r="AO934" s="4813">
        <v>45911</v>
      </c>
      <c r="AP934" s="3812"/>
      <c r="AQ934" s="5241" t="s">
        <v>1774</v>
      </c>
      <c r="AR934" s="3812"/>
      <c r="AS934" s="5985"/>
      <c r="AT934" s="3812"/>
      <c r="AU934" s="3812"/>
      <c r="AV934" s="3812"/>
      <c r="AW934" s="3812"/>
      <c r="AX934" s="3812"/>
      <c r="AY934" s="3812"/>
      <c r="AZ934" s="3812"/>
      <c r="BA934" s="3812"/>
      <c r="BB934" s="3812"/>
      <c r="BC934" s="3812"/>
      <c r="BD934" s="3812"/>
      <c r="BE934" s="3812"/>
      <c r="BF934" s="3812"/>
      <c r="BG934" s="3812"/>
      <c r="BH934" s="3812"/>
      <c r="BI934" s="3812"/>
      <c r="BJ934" s="3812"/>
      <c r="BK934" s="3812"/>
      <c r="BL934" s="3812"/>
      <c r="BM934" s="4841"/>
      <c r="BN934" s="4841"/>
      <c r="BO934" s="3812"/>
      <c r="BP934" s="3812"/>
      <c r="BQ934" s="3812"/>
      <c r="BR934" s="3812"/>
      <c r="BS934" s="3812"/>
      <c r="BT934" s="3812"/>
      <c r="BU934" s="3812"/>
      <c r="BV934" s="3812"/>
      <c r="BW934" s="3812"/>
      <c r="BX934" s="3812"/>
      <c r="BY934" s="3812"/>
      <c r="BZ934" s="3812"/>
      <c r="CA934" s="3812"/>
      <c r="CB934" s="4813">
        <v>13686.48</v>
      </c>
      <c r="CC934" s="3812"/>
      <c r="CD934" s="3812"/>
      <c r="CE934" s="5310"/>
      <c r="CF934" s="5310"/>
      <c r="CG934" s="5310"/>
      <c r="CH934" s="5310"/>
    </row>
    <row r="935" s="4974" customFormat="1" ht="30" customHeight="1" spans="1:86">
      <c r="A935" s="3812"/>
      <c r="B935" s="3812"/>
      <c r="C935" s="3812"/>
      <c r="D935" s="5059"/>
      <c r="E935" s="5059"/>
      <c r="F935" s="5059"/>
      <c r="G935" s="5059"/>
      <c r="H935" s="5059"/>
      <c r="I935" s="5205"/>
      <c r="J935" s="5059"/>
      <c r="K935" s="5059"/>
      <c r="L935" s="5059"/>
      <c r="M935" s="3812"/>
      <c r="N935" s="5667"/>
      <c r="O935" s="5667"/>
      <c r="P935" s="5667"/>
      <c r="Q935" s="5667"/>
      <c r="R935" s="5667"/>
      <c r="S935" s="5667"/>
      <c r="T935" s="5667"/>
      <c r="U935" s="5667"/>
      <c r="V935" s="5667"/>
      <c r="W935" s="5667"/>
      <c r="X935" s="5667"/>
      <c r="Y935" s="5667"/>
      <c r="Z935" s="5667"/>
      <c r="AA935" s="5667"/>
      <c r="AB935" s="5973"/>
      <c r="AC935" s="5205"/>
      <c r="AD935" s="5205"/>
      <c r="AE935" s="5205"/>
      <c r="AF935" s="4841"/>
      <c r="AG935" s="4841"/>
      <c r="AH935" s="5205"/>
      <c r="AI935" s="4841"/>
      <c r="AJ935" s="4841"/>
      <c r="AK935" s="4841"/>
      <c r="AL935" s="3812"/>
      <c r="AM935" s="5123"/>
      <c r="AN935" s="3812"/>
      <c r="AO935" s="4815"/>
      <c r="AP935" s="3812"/>
      <c r="AQ935" s="5241"/>
      <c r="AR935" s="3812"/>
      <c r="AS935" s="5985"/>
      <c r="AT935" s="3812"/>
      <c r="AU935" s="3812"/>
      <c r="AV935" s="3812"/>
      <c r="AW935" s="3812"/>
      <c r="AX935" s="3812"/>
      <c r="AY935" s="3812"/>
      <c r="AZ935" s="3812"/>
      <c r="BA935" s="3812"/>
      <c r="BB935" s="3812"/>
      <c r="BC935" s="3812"/>
      <c r="BD935" s="3812"/>
      <c r="BE935" s="3812"/>
      <c r="BF935" s="3812"/>
      <c r="BG935" s="3812"/>
      <c r="BH935" s="3812"/>
      <c r="BI935" s="3812"/>
      <c r="BJ935" s="3812"/>
      <c r="BK935" s="3812"/>
      <c r="BL935" s="3812"/>
      <c r="BM935" s="4842"/>
      <c r="BN935" s="5938"/>
      <c r="BO935" s="3812"/>
      <c r="BP935" s="3812"/>
      <c r="BQ935" s="3812"/>
      <c r="BR935" s="3812"/>
      <c r="BS935" s="3812"/>
      <c r="BT935" s="3812"/>
      <c r="BU935" s="3812"/>
      <c r="BV935" s="3812"/>
      <c r="BW935" s="3812"/>
      <c r="BX935" s="3812"/>
      <c r="BY935" s="3812"/>
      <c r="BZ935" s="3812"/>
      <c r="CA935" s="3812"/>
      <c r="CB935" s="4813"/>
      <c r="CC935" s="3812"/>
      <c r="CD935" s="3812"/>
      <c r="CE935" s="5310"/>
      <c r="CF935" s="5310"/>
      <c r="CG935" s="5310"/>
      <c r="CH935" s="5310"/>
    </row>
    <row r="936" s="4974" customFormat="1" ht="30" customHeight="1" spans="1:86">
      <c r="A936" s="3812"/>
      <c r="B936" s="3812"/>
      <c r="C936" s="3812"/>
      <c r="D936" s="5059"/>
      <c r="E936" s="5059"/>
      <c r="F936" s="5059"/>
      <c r="G936" s="5059"/>
      <c r="H936" s="5059"/>
      <c r="I936" s="5205"/>
      <c r="J936" s="5059"/>
      <c r="K936" s="5059"/>
      <c r="L936" s="5059"/>
      <c r="M936" s="3812"/>
      <c r="N936" s="5667"/>
      <c r="O936" s="5667"/>
      <c r="P936" s="5667"/>
      <c r="Q936" s="5667"/>
      <c r="R936" s="5667"/>
      <c r="S936" s="5667"/>
      <c r="T936" s="5667"/>
      <c r="U936" s="5667"/>
      <c r="V936" s="5667"/>
      <c r="W936" s="5667"/>
      <c r="X936" s="5667"/>
      <c r="Y936" s="5667"/>
      <c r="Z936" s="5667"/>
      <c r="AA936" s="5667"/>
      <c r="AB936" s="5973"/>
      <c r="AC936" s="5073" t="s">
        <v>1807</v>
      </c>
      <c r="AD936" s="5073" t="s">
        <v>1801</v>
      </c>
      <c r="AE936" s="5073">
        <v>0.2</v>
      </c>
      <c r="AF936" s="4840">
        <f>606531.2*AE936</f>
        <v>121306.24</v>
      </c>
      <c r="AG936" s="4840">
        <f>SUM(BA936:BN936)</f>
        <v>121306.24</v>
      </c>
      <c r="AH936" s="5073" t="s">
        <v>122</v>
      </c>
      <c r="AI936" s="4840">
        <v>45423</v>
      </c>
      <c r="AJ936" s="4840">
        <v>121306.24</v>
      </c>
      <c r="AK936" s="4840">
        <v>45423</v>
      </c>
      <c r="AL936" s="3812">
        <v>86843.24</v>
      </c>
      <c r="AM936" s="3812">
        <v>45800</v>
      </c>
      <c r="AN936" s="4813">
        <f>SUM(BO936:CB936)</f>
        <v>86843.24</v>
      </c>
      <c r="AO936" s="4813">
        <v>45911</v>
      </c>
      <c r="AP936" s="3812"/>
      <c r="AQ936" s="5981" t="s">
        <v>1774</v>
      </c>
      <c r="AR936" s="3812"/>
      <c r="AS936" s="5985"/>
      <c r="AT936" s="3812"/>
      <c r="AU936" s="3812"/>
      <c r="AV936" s="3812"/>
      <c r="AW936" s="3812"/>
      <c r="AX936" s="3812"/>
      <c r="AY936" s="3812"/>
      <c r="AZ936" s="3812"/>
      <c r="BA936" s="3812"/>
      <c r="BB936" s="3812"/>
      <c r="BC936" s="3812"/>
      <c r="BD936" s="3812"/>
      <c r="BE936" s="3812"/>
      <c r="BF936" s="3812"/>
      <c r="BG936" s="3812"/>
      <c r="BH936" s="3812"/>
      <c r="BI936" s="3812"/>
      <c r="BJ936" s="3812"/>
      <c r="BK936" s="3812"/>
      <c r="BL936" s="3812"/>
      <c r="BM936" s="4840"/>
      <c r="BN936" s="4840">
        <v>121306.24</v>
      </c>
      <c r="BO936" s="3812"/>
      <c r="BP936" s="3812"/>
      <c r="BQ936" s="3812"/>
      <c r="BR936" s="3812"/>
      <c r="BS936" s="3812"/>
      <c r="BT936" s="3812"/>
      <c r="BU936" s="3812"/>
      <c r="BV936" s="3812"/>
      <c r="BW936" s="3812"/>
      <c r="BX936" s="3812"/>
      <c r="BY936" s="3812"/>
      <c r="BZ936" s="3812"/>
      <c r="CA936" s="3812"/>
      <c r="CB936" s="4813">
        <v>86843.24</v>
      </c>
      <c r="CC936" s="3812"/>
      <c r="CD936" s="3812"/>
      <c r="CE936" s="5310"/>
      <c r="CF936" s="5310"/>
      <c r="CG936" s="5310"/>
      <c r="CH936" s="5310"/>
    </row>
    <row r="937" s="4974" customFormat="1" ht="30" customHeight="1" spans="1:86">
      <c r="A937" s="3812"/>
      <c r="B937" s="3812"/>
      <c r="C937" s="3812"/>
      <c r="D937" s="5059"/>
      <c r="E937" s="5059"/>
      <c r="F937" s="5059"/>
      <c r="G937" s="5059"/>
      <c r="H937" s="5059"/>
      <c r="I937" s="5205"/>
      <c r="J937" s="5059"/>
      <c r="K937" s="5059"/>
      <c r="L937" s="5059"/>
      <c r="M937" s="3812"/>
      <c r="N937" s="5667"/>
      <c r="O937" s="5667"/>
      <c r="P937" s="5667"/>
      <c r="Q937" s="5667"/>
      <c r="R937" s="5667"/>
      <c r="S937" s="5667"/>
      <c r="T937" s="5667"/>
      <c r="U937" s="5667"/>
      <c r="V937" s="5667"/>
      <c r="W937" s="5667"/>
      <c r="X937" s="5667"/>
      <c r="Y937" s="5667"/>
      <c r="Z937" s="5667"/>
      <c r="AA937" s="5667"/>
      <c r="AB937" s="5973"/>
      <c r="AC937" s="5206"/>
      <c r="AD937" s="5206"/>
      <c r="AE937" s="5206"/>
      <c r="AF937" s="4842"/>
      <c r="AG937" s="4842"/>
      <c r="AH937" s="5206"/>
      <c r="AI937" s="4842"/>
      <c r="AJ937" s="4842"/>
      <c r="AK937" s="4842"/>
      <c r="AL937" s="3812"/>
      <c r="AM937" s="5123"/>
      <c r="AN937" s="3812"/>
      <c r="AO937" s="4815"/>
      <c r="AP937" s="3812"/>
      <c r="AQ937" s="5241"/>
      <c r="AR937" s="3812"/>
      <c r="AS937" s="5985"/>
      <c r="AT937" s="3812"/>
      <c r="AU937" s="3812"/>
      <c r="AV937" s="3812"/>
      <c r="AW937" s="3812"/>
      <c r="AX937" s="3812"/>
      <c r="AY937" s="3812"/>
      <c r="AZ937" s="3812"/>
      <c r="BA937" s="3812"/>
      <c r="BB937" s="3812"/>
      <c r="BC937" s="3812"/>
      <c r="BD937" s="3812"/>
      <c r="BE937" s="3812"/>
      <c r="BF937" s="3812"/>
      <c r="BG937" s="3812"/>
      <c r="BH937" s="3812"/>
      <c r="BI937" s="3812"/>
      <c r="BJ937" s="3812"/>
      <c r="BK937" s="3812"/>
      <c r="BL937" s="3812"/>
      <c r="BM937" s="4842"/>
      <c r="BN937" s="5938"/>
      <c r="BO937" s="3812"/>
      <c r="BP937" s="3812"/>
      <c r="BQ937" s="3812"/>
      <c r="BR937" s="3812"/>
      <c r="BS937" s="3812"/>
      <c r="BT937" s="3812"/>
      <c r="BU937" s="3812"/>
      <c r="BV937" s="3812"/>
      <c r="BW937" s="3812"/>
      <c r="BX937" s="3812"/>
      <c r="BY937" s="3812"/>
      <c r="BZ937" s="3812"/>
      <c r="CA937" s="3812"/>
      <c r="CB937" s="4813"/>
      <c r="CC937" s="3812"/>
      <c r="CD937" s="3812"/>
      <c r="CE937" s="5310"/>
      <c r="CF937" s="5310"/>
      <c r="CG937" s="5310"/>
      <c r="CH937" s="5310"/>
    </row>
    <row r="938" s="4974" customFormat="1" ht="30" customHeight="1" spans="1:86">
      <c r="A938" s="3812"/>
      <c r="B938" s="3812"/>
      <c r="C938" s="3812"/>
      <c r="D938" s="5059"/>
      <c r="E938" s="5059"/>
      <c r="F938" s="5059"/>
      <c r="G938" s="5059"/>
      <c r="H938" s="5059"/>
      <c r="I938" s="5205"/>
      <c r="J938" s="5059"/>
      <c r="K938" s="5059"/>
      <c r="L938" s="5059"/>
      <c r="M938" s="3812"/>
      <c r="N938" s="5667"/>
      <c r="O938" s="5667"/>
      <c r="P938" s="5667"/>
      <c r="Q938" s="5667"/>
      <c r="R938" s="5667"/>
      <c r="S938" s="5667"/>
      <c r="T938" s="5667"/>
      <c r="U938" s="5667"/>
      <c r="V938" s="5667"/>
      <c r="W938" s="5667"/>
      <c r="X938" s="5667"/>
      <c r="Y938" s="5667"/>
      <c r="Z938" s="5667"/>
      <c r="AA938" s="5667"/>
      <c r="AB938" s="5973"/>
      <c r="AC938" s="5073" t="s">
        <v>1808</v>
      </c>
      <c r="AD938" s="5073" t="s">
        <v>1803</v>
      </c>
      <c r="AE938" s="5073">
        <v>0.2</v>
      </c>
      <c r="AF938" s="4840">
        <f>606531.2*AE938</f>
        <v>121306.24</v>
      </c>
      <c r="AG938" s="4840">
        <f>SUM(BA938:BN938)</f>
        <v>121306.24</v>
      </c>
      <c r="AH938" s="5073" t="s">
        <v>122</v>
      </c>
      <c r="AI938" s="4840">
        <v>45423</v>
      </c>
      <c r="AJ938" s="4840">
        <v>121306.24</v>
      </c>
      <c r="AK938" s="4840">
        <v>45423</v>
      </c>
      <c r="AL938" s="4840">
        <v>86843.24</v>
      </c>
      <c r="AM938" s="4840">
        <v>45800</v>
      </c>
      <c r="AN938" s="4813">
        <f>SUM(BO938:CB938)</f>
        <v>59470.28</v>
      </c>
      <c r="AO938" s="4813">
        <v>45911</v>
      </c>
      <c r="AP938" s="3812"/>
      <c r="AQ938" s="5981" t="s">
        <v>1774</v>
      </c>
      <c r="AR938" s="3812"/>
      <c r="AS938" s="5985"/>
      <c r="AT938" s="3812"/>
      <c r="AU938" s="3812"/>
      <c r="AV938" s="3812"/>
      <c r="AW938" s="3812"/>
      <c r="AX938" s="3812"/>
      <c r="AY938" s="3812"/>
      <c r="AZ938" s="3812"/>
      <c r="BA938" s="3812"/>
      <c r="BB938" s="3812"/>
      <c r="BC938" s="3812"/>
      <c r="BD938" s="3812"/>
      <c r="BE938" s="3812"/>
      <c r="BF938" s="3812"/>
      <c r="BG938" s="3812"/>
      <c r="BH938" s="3812"/>
      <c r="BI938" s="3812"/>
      <c r="BJ938" s="3812"/>
      <c r="BK938" s="3812"/>
      <c r="BL938" s="3812"/>
      <c r="BM938" s="4840"/>
      <c r="BN938" s="4840">
        <v>121306.24</v>
      </c>
      <c r="BO938" s="3812"/>
      <c r="BP938" s="3812"/>
      <c r="BQ938" s="3812"/>
      <c r="BR938" s="3812"/>
      <c r="BS938" s="3812"/>
      <c r="BT938" s="3812"/>
      <c r="BU938" s="3812"/>
      <c r="BV938" s="3812"/>
      <c r="BW938" s="3812"/>
      <c r="BX938" s="3812"/>
      <c r="BY938" s="3812"/>
      <c r="BZ938" s="3812"/>
      <c r="CA938" s="3812"/>
      <c r="CB938" s="4813">
        <v>59470.28</v>
      </c>
      <c r="CC938" s="3812"/>
      <c r="CD938" s="3812"/>
      <c r="CE938" s="5310"/>
      <c r="CF938" s="5310"/>
      <c r="CG938" s="5310"/>
      <c r="CH938" s="5310"/>
    </row>
    <row r="939" s="4974" customFormat="1" ht="30" customHeight="1" spans="1:86">
      <c r="A939" s="3812"/>
      <c r="B939" s="3812"/>
      <c r="C939" s="3812"/>
      <c r="D939" s="5059"/>
      <c r="E939" s="5059"/>
      <c r="F939" s="5059"/>
      <c r="G939" s="5059"/>
      <c r="H939" s="5059"/>
      <c r="I939" s="5205"/>
      <c r="J939" s="5059"/>
      <c r="K939" s="5059"/>
      <c r="L939" s="5059"/>
      <c r="M939" s="3812"/>
      <c r="N939" s="5667"/>
      <c r="O939" s="5667"/>
      <c r="P939" s="5667"/>
      <c r="Q939" s="5667"/>
      <c r="R939" s="5667"/>
      <c r="S939" s="5667"/>
      <c r="T939" s="5667"/>
      <c r="U939" s="5667"/>
      <c r="V939" s="5667"/>
      <c r="W939" s="5667"/>
      <c r="X939" s="5667"/>
      <c r="Y939" s="5667"/>
      <c r="Z939" s="5667"/>
      <c r="AA939" s="5667"/>
      <c r="AB939" s="5973"/>
      <c r="AC939" s="5205"/>
      <c r="AD939" s="5205"/>
      <c r="AE939" s="5205"/>
      <c r="AF939" s="4841"/>
      <c r="AG939" s="4841"/>
      <c r="AH939" s="5205"/>
      <c r="AI939" s="4841"/>
      <c r="AJ939" s="4841"/>
      <c r="AK939" s="4841"/>
      <c r="AL939" s="4842"/>
      <c r="AM939" s="4842"/>
      <c r="AN939" s="4813">
        <f>SUM(BO939:CB939)</f>
        <v>27372.96</v>
      </c>
      <c r="AO939" s="4813">
        <v>45911</v>
      </c>
      <c r="AP939" s="3812"/>
      <c r="AQ939" s="5981" t="s">
        <v>1774</v>
      </c>
      <c r="AR939" s="3812"/>
      <c r="AS939" s="5985"/>
      <c r="AT939" s="3812"/>
      <c r="AU939" s="3812"/>
      <c r="AV939" s="3812"/>
      <c r="AW939" s="3812"/>
      <c r="AX939" s="3812"/>
      <c r="AY939" s="3812"/>
      <c r="AZ939" s="3812"/>
      <c r="BA939" s="3812"/>
      <c r="BB939" s="3812"/>
      <c r="BC939" s="3812"/>
      <c r="BD939" s="3812"/>
      <c r="BE939" s="3812"/>
      <c r="BF939" s="3812"/>
      <c r="BG939" s="3812"/>
      <c r="BH939" s="3812"/>
      <c r="BI939" s="3812"/>
      <c r="BJ939" s="3812"/>
      <c r="BK939" s="3812"/>
      <c r="BL939" s="3812"/>
      <c r="BM939" s="4841"/>
      <c r="BN939" s="4841"/>
      <c r="BO939" s="3812"/>
      <c r="BP939" s="3812"/>
      <c r="BQ939" s="3812"/>
      <c r="BR939" s="3812"/>
      <c r="BS939" s="3812"/>
      <c r="BT939" s="3812"/>
      <c r="BU939" s="3812"/>
      <c r="BV939" s="3812"/>
      <c r="BW939" s="3812"/>
      <c r="BX939" s="3812"/>
      <c r="BY939" s="3812"/>
      <c r="BZ939" s="3812"/>
      <c r="CA939" s="3812"/>
      <c r="CB939" s="4813">
        <v>27372.96</v>
      </c>
      <c r="CC939" s="3812"/>
      <c r="CD939" s="3812"/>
      <c r="CE939" s="5310"/>
      <c r="CF939" s="5310"/>
      <c r="CG939" s="5310"/>
      <c r="CH939" s="5310"/>
    </row>
    <row r="940" s="4974" customFormat="1" ht="30" customHeight="1" spans="1:86">
      <c r="A940" s="3812"/>
      <c r="B940" s="3812"/>
      <c r="C940" s="3812"/>
      <c r="D940" s="5059"/>
      <c r="E940" s="5059"/>
      <c r="F940" s="5059"/>
      <c r="G940" s="5059"/>
      <c r="H940" s="5059"/>
      <c r="I940" s="5205"/>
      <c r="J940" s="5059"/>
      <c r="K940" s="5059"/>
      <c r="L940" s="5059"/>
      <c r="M940" s="3812"/>
      <c r="N940" s="5667"/>
      <c r="O940" s="5667"/>
      <c r="P940" s="5667"/>
      <c r="Q940" s="5667"/>
      <c r="R940" s="5667"/>
      <c r="S940" s="5667"/>
      <c r="T940" s="5667"/>
      <c r="U940" s="5667"/>
      <c r="V940" s="5667"/>
      <c r="W940" s="5667"/>
      <c r="X940" s="5667"/>
      <c r="Y940" s="5667"/>
      <c r="Z940" s="5667"/>
      <c r="AA940" s="5667"/>
      <c r="AB940" s="5973"/>
      <c r="AC940" s="5206"/>
      <c r="AD940" s="5206"/>
      <c r="AE940" s="5206"/>
      <c r="AF940" s="4842"/>
      <c r="AG940" s="4842"/>
      <c r="AH940" s="5206"/>
      <c r="AI940" s="4842"/>
      <c r="AJ940" s="4842"/>
      <c r="AK940" s="4842"/>
      <c r="AL940" s="3812"/>
      <c r="AM940" s="3812"/>
      <c r="AN940" s="3812"/>
      <c r="AO940" s="5123"/>
      <c r="AP940" s="3812"/>
      <c r="AQ940" s="5241"/>
      <c r="AR940" s="3812"/>
      <c r="AS940" s="5985"/>
      <c r="AT940" s="3812"/>
      <c r="AU940" s="3812"/>
      <c r="AV940" s="3812"/>
      <c r="AW940" s="3812"/>
      <c r="AX940" s="3812"/>
      <c r="AY940" s="3812"/>
      <c r="AZ940" s="3812"/>
      <c r="BA940" s="3812"/>
      <c r="BB940" s="3812"/>
      <c r="BC940" s="3812"/>
      <c r="BD940" s="3812"/>
      <c r="BE940" s="3812"/>
      <c r="BF940" s="3812"/>
      <c r="BG940" s="3812"/>
      <c r="BH940" s="3812"/>
      <c r="BI940" s="3812"/>
      <c r="BJ940" s="3812"/>
      <c r="BK940" s="3812"/>
      <c r="BL940" s="3812"/>
      <c r="BM940" s="4842"/>
      <c r="BN940" s="5938"/>
      <c r="BO940" s="3812"/>
      <c r="BP940" s="3812"/>
      <c r="BQ940" s="3812"/>
      <c r="BR940" s="3812"/>
      <c r="BS940" s="3812"/>
      <c r="BT940" s="3812"/>
      <c r="BU940" s="3812"/>
      <c r="BV940" s="3812"/>
      <c r="BW940" s="3812"/>
      <c r="BX940" s="3812"/>
      <c r="BY940" s="3812"/>
      <c r="BZ940" s="3812"/>
      <c r="CA940" s="3812"/>
      <c r="CB940" s="3812"/>
      <c r="CC940" s="3812"/>
      <c r="CD940" s="3812"/>
      <c r="CE940" s="5310"/>
      <c r="CF940" s="5310"/>
      <c r="CG940" s="5310"/>
      <c r="CH940" s="5310"/>
    </row>
    <row r="941" s="4974" customFormat="1" ht="30" customHeight="1" spans="1:86">
      <c r="A941" s="3812"/>
      <c r="B941" s="3812"/>
      <c r="C941" s="3812"/>
      <c r="D941" s="5059"/>
      <c r="E941" s="5059"/>
      <c r="F941" s="5059"/>
      <c r="G941" s="5059"/>
      <c r="H941" s="5059"/>
      <c r="I941" s="5206"/>
      <c r="J941" s="5059"/>
      <c r="K941" s="5059"/>
      <c r="L941" s="5059"/>
      <c r="M941" s="3812"/>
      <c r="N941" s="5667"/>
      <c r="O941" s="5667"/>
      <c r="P941" s="5667"/>
      <c r="Q941" s="5667"/>
      <c r="R941" s="5667"/>
      <c r="S941" s="5667"/>
      <c r="T941" s="5667"/>
      <c r="U941" s="5667"/>
      <c r="V941" s="5667"/>
      <c r="W941" s="5667"/>
      <c r="X941" s="5667"/>
      <c r="Y941" s="5667"/>
      <c r="Z941" s="5667"/>
      <c r="AA941" s="5667"/>
      <c r="AB941" s="5973"/>
      <c r="AC941" s="1032" t="s">
        <v>1809</v>
      </c>
      <c r="AD941" s="5241" t="s">
        <v>1804</v>
      </c>
      <c r="AE941" s="1032">
        <v>0.2</v>
      </c>
      <c r="AF941" s="3812">
        <f>606531.2*AE941</f>
        <v>121306.24</v>
      </c>
      <c r="AG941" s="3812">
        <f t="shared" ref="AG941:AG958" si="188">SUM(BA941:BN941)</f>
        <v>121306.24</v>
      </c>
      <c r="AH941" s="857"/>
      <c r="AI941" s="3812"/>
      <c r="AJ941" s="3812"/>
      <c r="AK941" s="3812"/>
      <c r="AL941" s="3812"/>
      <c r="AM941" s="3812"/>
      <c r="AN941" s="3812">
        <f>SUM(BO941:CB941)</f>
        <v>0</v>
      </c>
      <c r="AO941" s="5123"/>
      <c r="AP941" s="3812"/>
      <c r="AQ941" s="5241"/>
      <c r="AR941" s="3812"/>
      <c r="AS941" s="6011"/>
      <c r="AT941" s="3812"/>
      <c r="AU941" s="3812"/>
      <c r="AV941" s="3812"/>
      <c r="AW941" s="3812"/>
      <c r="AX941" s="3812"/>
      <c r="AY941" s="3812"/>
      <c r="AZ941" s="3812"/>
      <c r="BA941" s="3812"/>
      <c r="BB941" s="3812"/>
      <c r="BC941" s="3812"/>
      <c r="BD941" s="3812"/>
      <c r="BE941" s="3812"/>
      <c r="BF941" s="3812"/>
      <c r="BG941" s="3812"/>
      <c r="BH941" s="3812"/>
      <c r="BI941" s="3812"/>
      <c r="BJ941" s="3812"/>
      <c r="BK941" s="3812"/>
      <c r="BL941" s="3812"/>
      <c r="BM941" s="3812"/>
      <c r="BN941" s="3812">
        <v>121306.24</v>
      </c>
      <c r="BO941" s="3812"/>
      <c r="BP941" s="3812"/>
      <c r="BQ941" s="3812"/>
      <c r="BR941" s="3812"/>
      <c r="BS941" s="3812"/>
      <c r="BT941" s="3812"/>
      <c r="BU941" s="3812"/>
      <c r="BV941" s="3812"/>
      <c r="BW941" s="3812"/>
      <c r="BX941" s="3812"/>
      <c r="BY941" s="3812"/>
      <c r="BZ941" s="3812"/>
      <c r="CA941" s="3812"/>
      <c r="CB941" s="3812"/>
      <c r="CC941" s="3812"/>
      <c r="CD941" s="3812"/>
      <c r="CE941" s="5310"/>
      <c r="CF941" s="5310"/>
      <c r="CG941" s="5310"/>
      <c r="CH941" s="5310"/>
    </row>
    <row r="942" s="4973" customFormat="1" ht="61" customHeight="1" spans="1:86">
      <c r="A942" s="3058">
        <v>11</v>
      </c>
      <c r="B942" s="5969" t="s">
        <v>1186</v>
      </c>
      <c r="C942" s="3091">
        <v>43255</v>
      </c>
      <c r="D942" s="5991" t="s">
        <v>1810</v>
      </c>
      <c r="E942" s="3742" t="s">
        <v>171</v>
      </c>
      <c r="F942" s="1125" t="s">
        <v>1811</v>
      </c>
      <c r="G942" s="5338" t="s">
        <v>1812</v>
      </c>
      <c r="H942" s="3058" t="s">
        <v>31</v>
      </c>
      <c r="I942" s="5066"/>
      <c r="J942" s="5054" t="s">
        <v>1813</v>
      </c>
      <c r="K942" s="5338">
        <v>501165</v>
      </c>
      <c r="L942" s="5054" t="s">
        <v>1486</v>
      </c>
      <c r="M942" s="5054">
        <f>SUM(N942:AB947)</f>
        <v>3508155</v>
      </c>
      <c r="N942" s="2680">
        <v>0</v>
      </c>
      <c r="O942" s="2680">
        <v>0</v>
      </c>
      <c r="P942" s="2680">
        <v>0</v>
      </c>
      <c r="Q942" s="2680">
        <v>0</v>
      </c>
      <c r="R942" s="2680">
        <v>0</v>
      </c>
      <c r="S942" s="2680">
        <v>0</v>
      </c>
      <c r="T942" s="5823">
        <v>0</v>
      </c>
      <c r="U942" s="2680">
        <v>3508155</v>
      </c>
      <c r="V942" s="2680">
        <v>0</v>
      </c>
      <c r="W942" s="2680">
        <v>0</v>
      </c>
      <c r="X942" s="2680">
        <v>0</v>
      </c>
      <c r="Y942" s="2680"/>
      <c r="Z942" s="2680"/>
      <c r="AA942" s="2680">
        <v>0</v>
      </c>
      <c r="AB942" s="2680">
        <v>0</v>
      </c>
      <c r="AC942" s="5054">
        <v>1</v>
      </c>
      <c r="AD942" s="5974" t="s">
        <v>1738</v>
      </c>
      <c r="AE942" s="5975">
        <v>0.2</v>
      </c>
      <c r="AF942" s="3091">
        <v>701631</v>
      </c>
      <c r="AG942" s="3057">
        <f t="shared" si="188"/>
        <v>701631</v>
      </c>
      <c r="AH942" s="5054" t="s">
        <v>206</v>
      </c>
      <c r="AI942" s="3058">
        <v>43405</v>
      </c>
      <c r="AJ942" s="3058" t="s">
        <v>171</v>
      </c>
      <c r="AK942" s="3058" t="s">
        <v>171</v>
      </c>
      <c r="AL942" s="3058">
        <v>701631</v>
      </c>
      <c r="AM942" s="3058">
        <v>43405</v>
      </c>
      <c r="AN942" s="3057">
        <f>SUM(BO942:CB942)</f>
        <v>701631</v>
      </c>
      <c r="AO942" s="3058">
        <v>43435</v>
      </c>
      <c r="AP942" s="3057">
        <f>AG942-AN942</f>
        <v>0</v>
      </c>
      <c r="AQ942" s="5138"/>
      <c r="AR942" s="3058"/>
      <c r="AS942" s="5982"/>
      <c r="AT942" s="5138"/>
      <c r="AU942" s="2680">
        <f>SUM(AG942:AG947)</f>
        <v>3793869.94</v>
      </c>
      <c r="AV942" s="2680">
        <f>SUM(AL942:AL947)</f>
        <v>3793869.94</v>
      </c>
      <c r="AW942" s="2680">
        <f>SUM(AN942:AN947)</f>
        <v>3793869.94</v>
      </c>
      <c r="AX942" s="2680">
        <f>M942-AU942</f>
        <v>-285714.94</v>
      </c>
      <c r="AY942" s="2680">
        <f>AU942-AV942</f>
        <v>0</v>
      </c>
      <c r="AZ942" s="2680">
        <f>AV942-AW942</f>
        <v>0</v>
      </c>
      <c r="BA942" s="5150"/>
      <c r="BB942" s="5150"/>
      <c r="BC942" s="3057"/>
      <c r="BD942" s="5150"/>
      <c r="BE942" s="5150"/>
      <c r="BF942" s="5150"/>
      <c r="BG942" s="5150"/>
      <c r="BH942" s="5988">
        <v>701631</v>
      </c>
      <c r="BI942" s="5150"/>
      <c r="BJ942" s="5150"/>
      <c r="BK942" s="5150"/>
      <c r="BL942" s="5150"/>
      <c r="BM942" s="5150"/>
      <c r="BN942" s="5150"/>
      <c r="BO942" s="5138"/>
      <c r="BP942" s="5138"/>
      <c r="BQ942" s="5138"/>
      <c r="BR942" s="5138"/>
      <c r="BS942" s="5138"/>
      <c r="BT942" s="5138"/>
      <c r="BU942" s="5138"/>
      <c r="BV942" s="3058">
        <v>701631</v>
      </c>
      <c r="BW942" s="5138"/>
      <c r="BX942" s="5138"/>
      <c r="BY942" s="5138"/>
      <c r="BZ942" s="5138"/>
      <c r="CA942" s="5138"/>
      <c r="CB942" s="5138"/>
      <c r="CC942" s="3058" t="s">
        <v>1739</v>
      </c>
      <c r="CD942" s="3058"/>
      <c r="CE942" s="5171"/>
      <c r="CF942" s="5171"/>
      <c r="CG942" s="5171"/>
      <c r="CH942" s="5171"/>
    </row>
    <row r="943" s="4973" customFormat="1" ht="61" customHeight="1" spans="1:86">
      <c r="A943" s="3058"/>
      <c r="B943" s="5969"/>
      <c r="C943" s="3091"/>
      <c r="D943" s="5054"/>
      <c r="E943" s="3742"/>
      <c r="F943" s="5054"/>
      <c r="G943" s="5338"/>
      <c r="H943" s="3058"/>
      <c r="I943" s="5067"/>
      <c r="J943" s="5054"/>
      <c r="K943" s="5338"/>
      <c r="L943" s="5054"/>
      <c r="M943" s="5054"/>
      <c r="N943" s="2680"/>
      <c r="O943" s="2680"/>
      <c r="P943" s="2680"/>
      <c r="Q943" s="2680"/>
      <c r="R943" s="2680"/>
      <c r="S943" s="2680"/>
      <c r="T943" s="2680"/>
      <c r="U943" s="2680"/>
      <c r="V943" s="2680"/>
      <c r="W943" s="2680"/>
      <c r="X943" s="2680"/>
      <c r="Y943" s="2680"/>
      <c r="Z943" s="2680"/>
      <c r="AA943" s="2680"/>
      <c r="AB943" s="2680"/>
      <c r="AC943" s="5054">
        <v>2</v>
      </c>
      <c r="AD943" s="5974" t="s">
        <v>1740</v>
      </c>
      <c r="AE943" s="5338">
        <v>0.3</v>
      </c>
      <c r="AF943" s="3091">
        <v>1052446.5</v>
      </c>
      <c r="AG943" s="3057">
        <f t="shared" si="188"/>
        <v>1052446.5</v>
      </c>
      <c r="AH943" s="5054" t="s">
        <v>206</v>
      </c>
      <c r="AI943" s="3058">
        <v>43822</v>
      </c>
      <c r="AJ943" s="3057">
        <f>SUM(BD943:BQ943)</f>
        <v>1052446.5</v>
      </c>
      <c r="AK943" s="3058">
        <v>43822</v>
      </c>
      <c r="AL943" s="3058">
        <v>1052446.5</v>
      </c>
      <c r="AM943" s="3058">
        <v>43822</v>
      </c>
      <c r="AN943" s="3057">
        <f>SUM(BO943:CB943)</f>
        <v>1052446.5</v>
      </c>
      <c r="AO943" s="3058">
        <v>43846</v>
      </c>
      <c r="AP943" s="3057">
        <f>AG943-AN943</f>
        <v>0</v>
      </c>
      <c r="AQ943" s="5138"/>
      <c r="AR943" s="3058"/>
      <c r="AS943" s="5982"/>
      <c r="AT943" s="5138"/>
      <c r="AU943" s="2680"/>
      <c r="AV943" s="2680"/>
      <c r="AW943" s="2680"/>
      <c r="AX943" s="2680"/>
      <c r="AY943" s="2680"/>
      <c r="AZ943" s="2680"/>
      <c r="BA943" s="5150"/>
      <c r="BB943" s="5150"/>
      <c r="BC943" s="3057"/>
      <c r="BD943" s="5150"/>
      <c r="BE943" s="5150"/>
      <c r="BF943" s="5150"/>
      <c r="BG943" s="5150"/>
      <c r="BH943" s="5988">
        <v>1052446.5</v>
      </c>
      <c r="BI943" s="5150"/>
      <c r="BJ943" s="5150"/>
      <c r="BK943" s="5150"/>
      <c r="BL943" s="5150"/>
      <c r="BM943" s="5150"/>
      <c r="BN943" s="5150"/>
      <c r="BO943" s="5138"/>
      <c r="BP943" s="5138"/>
      <c r="BQ943" s="5138"/>
      <c r="BR943" s="5138"/>
      <c r="BS943" s="5138"/>
      <c r="BT943" s="5138"/>
      <c r="BU943" s="5138"/>
      <c r="BV943" s="3058">
        <v>1052446.5</v>
      </c>
      <c r="BW943" s="5138"/>
      <c r="BX943" s="5138"/>
      <c r="BY943" s="5138"/>
      <c r="BZ943" s="5138"/>
      <c r="CA943" s="5138"/>
      <c r="CB943" s="5138"/>
      <c r="CC943" s="3058"/>
      <c r="CD943" s="3058"/>
      <c r="CE943" s="5171"/>
      <c r="CF943" s="5171"/>
      <c r="CG943" s="5171"/>
      <c r="CH943" s="5171"/>
    </row>
    <row r="944" s="4973" customFormat="1" ht="61" customHeight="1" spans="1:86">
      <c r="A944" s="3058"/>
      <c r="B944" s="5969"/>
      <c r="C944" s="3091"/>
      <c r="D944" s="5054"/>
      <c r="E944" s="3742"/>
      <c r="F944" s="5054"/>
      <c r="G944" s="5338"/>
      <c r="H944" s="3058"/>
      <c r="I944" s="5067"/>
      <c r="J944" s="5054"/>
      <c r="K944" s="5338"/>
      <c r="L944" s="5054"/>
      <c r="M944" s="5054"/>
      <c r="N944" s="2680"/>
      <c r="O944" s="2680"/>
      <c r="P944" s="2680"/>
      <c r="Q944" s="2680"/>
      <c r="R944" s="2680"/>
      <c r="S944" s="2680"/>
      <c r="T944" s="2680"/>
      <c r="U944" s="2680"/>
      <c r="V944" s="2680"/>
      <c r="W944" s="2680"/>
      <c r="X944" s="2680"/>
      <c r="Y944" s="2680"/>
      <c r="Z944" s="2680"/>
      <c r="AA944" s="2680"/>
      <c r="AB944" s="2680"/>
      <c r="AC944" s="5054">
        <v>3</v>
      </c>
      <c r="AD944" s="5974" t="s">
        <v>1741</v>
      </c>
      <c r="AE944" s="5338">
        <v>0.4</v>
      </c>
      <c r="AF944" s="3091">
        <v>1403262</v>
      </c>
      <c r="AG944" s="3057">
        <f t="shared" si="188"/>
        <v>1095584</v>
      </c>
      <c r="AH944" s="5054" t="s">
        <v>206</v>
      </c>
      <c r="AI944" s="3058">
        <v>43822</v>
      </c>
      <c r="AJ944" s="3057">
        <f>SUM(BD944:BQ944)</f>
        <v>1095584</v>
      </c>
      <c r="AK944" s="3058">
        <v>43822</v>
      </c>
      <c r="AL944" s="3058">
        <v>1095584</v>
      </c>
      <c r="AM944" s="3058">
        <v>43822</v>
      </c>
      <c r="AN944" s="3057">
        <f>SUM(BO944:CB944)</f>
        <v>1095584</v>
      </c>
      <c r="AO944" s="3058">
        <v>43846</v>
      </c>
      <c r="AP944" s="3057">
        <f>AG944-AN944</f>
        <v>0</v>
      </c>
      <c r="AQ944" s="5138"/>
      <c r="AR944" s="3058"/>
      <c r="AS944" s="5982"/>
      <c r="AT944" s="5138"/>
      <c r="AU944" s="2680"/>
      <c r="AV944" s="2680"/>
      <c r="AW944" s="2680"/>
      <c r="AX944" s="2680"/>
      <c r="AY944" s="2680"/>
      <c r="AZ944" s="2680"/>
      <c r="BA944" s="5150"/>
      <c r="BB944" s="5150"/>
      <c r="BC944" s="3057"/>
      <c r="BD944" s="5150"/>
      <c r="BE944" s="5150"/>
      <c r="BF944" s="5150"/>
      <c r="BG944" s="5150"/>
      <c r="BH944" s="5988">
        <v>1095584</v>
      </c>
      <c r="BI944" s="5150"/>
      <c r="BJ944" s="5150"/>
      <c r="BK944" s="5150"/>
      <c r="BL944" s="5150"/>
      <c r="BM944" s="5150"/>
      <c r="BN944" s="5150"/>
      <c r="BO944" s="5138"/>
      <c r="BP944" s="5138"/>
      <c r="BQ944" s="5138"/>
      <c r="BR944" s="5138"/>
      <c r="BS944" s="5138"/>
      <c r="BT944" s="5138"/>
      <c r="BU944" s="5138"/>
      <c r="BV944" s="5138">
        <v>1095584</v>
      </c>
      <c r="BW944" s="5138"/>
      <c r="BX944" s="5138"/>
      <c r="BY944" s="5138"/>
      <c r="BZ944" s="5138"/>
      <c r="CA944" s="5138"/>
      <c r="CB944" s="5138"/>
      <c r="CC944" s="3058"/>
      <c r="CD944" s="3058"/>
      <c r="CE944" s="5171"/>
      <c r="CF944" s="5171"/>
      <c r="CG944" s="5171"/>
      <c r="CH944" s="5171"/>
    </row>
    <row r="945" s="4973" customFormat="1" ht="61" customHeight="1" spans="1:86">
      <c r="A945" s="3058"/>
      <c r="B945" s="5969"/>
      <c r="C945" s="3091"/>
      <c r="D945" s="5054"/>
      <c r="E945" s="3742"/>
      <c r="F945" s="5054"/>
      <c r="G945" s="5338"/>
      <c r="H945" s="3058"/>
      <c r="I945" s="5067"/>
      <c r="J945" s="5054"/>
      <c r="K945" s="5338"/>
      <c r="L945" s="5054"/>
      <c r="M945" s="5054"/>
      <c r="N945" s="2680"/>
      <c r="O945" s="2680"/>
      <c r="P945" s="2680"/>
      <c r="Q945" s="2680"/>
      <c r="R945" s="2680"/>
      <c r="S945" s="2680"/>
      <c r="T945" s="2680"/>
      <c r="U945" s="2680"/>
      <c r="V945" s="2680"/>
      <c r="W945" s="2680"/>
      <c r="X945" s="2680"/>
      <c r="Y945" s="2680"/>
      <c r="Z945" s="2680"/>
      <c r="AA945" s="2680"/>
      <c r="AB945" s="2680"/>
      <c r="AC945" s="5054"/>
      <c r="AD945" s="5974"/>
      <c r="AE945" s="5338"/>
      <c r="AF945" s="3091"/>
      <c r="AG945" s="3057">
        <f t="shared" si="188"/>
        <v>24866.32</v>
      </c>
      <c r="AH945" s="5056" t="s">
        <v>122</v>
      </c>
      <c r="AI945" s="3057">
        <v>45121</v>
      </c>
      <c r="AJ945" s="3057">
        <v>24866.32</v>
      </c>
      <c r="AK945" s="3057">
        <v>45121</v>
      </c>
      <c r="AL945" s="4183">
        <v>332544.32</v>
      </c>
      <c r="AM945" s="4183">
        <v>45124</v>
      </c>
      <c r="AN945" s="4183">
        <f>SUM(BO945:CB945)</f>
        <v>332544.32</v>
      </c>
      <c r="AO945" s="4183">
        <v>45168</v>
      </c>
      <c r="AP945" s="4183">
        <f>(AG945+AG946)-AN946</f>
        <v>332544.32</v>
      </c>
      <c r="AQ945" s="1125" t="s">
        <v>1814</v>
      </c>
      <c r="AR945" s="3058"/>
      <c r="AS945" s="5982"/>
      <c r="AT945" s="5138"/>
      <c r="AU945" s="2680"/>
      <c r="AV945" s="2680"/>
      <c r="AW945" s="2680"/>
      <c r="AX945" s="2680"/>
      <c r="AY945" s="2680"/>
      <c r="AZ945" s="2680"/>
      <c r="BA945" s="5138"/>
      <c r="BB945" s="5138"/>
      <c r="BC945" s="3058"/>
      <c r="BD945" s="5138"/>
      <c r="BE945" s="5138"/>
      <c r="BF945" s="5138"/>
      <c r="BG945" s="5138"/>
      <c r="BH945" s="5988">
        <v>24866.32</v>
      </c>
      <c r="BI945" s="5138"/>
      <c r="BJ945" s="5138"/>
      <c r="BK945" s="5138"/>
      <c r="BL945" s="5138"/>
      <c r="BM945" s="5138"/>
      <c r="BN945" s="5138"/>
      <c r="BO945" s="5138"/>
      <c r="BP945" s="5138"/>
      <c r="BQ945" s="5138"/>
      <c r="BR945" s="5138"/>
      <c r="BS945" s="5138"/>
      <c r="BT945" s="5138"/>
      <c r="BU945" s="5138"/>
      <c r="BV945" s="5320">
        <v>332544.32</v>
      </c>
      <c r="BW945" s="5138"/>
      <c r="BX945" s="5138"/>
      <c r="BY945" s="5138"/>
      <c r="BZ945" s="5138"/>
      <c r="CA945" s="5138"/>
      <c r="CB945" s="5138"/>
      <c r="CC945" s="3058"/>
      <c r="CD945" s="3058"/>
      <c r="CE945" s="5171"/>
      <c r="CF945" s="5171"/>
      <c r="CG945" s="5171"/>
      <c r="CH945" s="5171"/>
    </row>
    <row r="946" s="4973" customFormat="1" ht="61" customHeight="1" spans="1:86">
      <c r="A946" s="3058"/>
      <c r="B946" s="5969"/>
      <c r="C946" s="3091"/>
      <c r="D946" s="5054"/>
      <c r="E946" s="3742"/>
      <c r="F946" s="5054"/>
      <c r="G946" s="5338"/>
      <c r="H946" s="3058"/>
      <c r="I946" s="5067"/>
      <c r="J946" s="5054"/>
      <c r="K946" s="5338"/>
      <c r="L946" s="5054"/>
      <c r="M946" s="5054"/>
      <c r="N946" s="2680"/>
      <c r="O946" s="2680"/>
      <c r="P946" s="2680"/>
      <c r="Q946" s="2680"/>
      <c r="R946" s="2680"/>
      <c r="S946" s="2680"/>
      <c r="T946" s="2680"/>
      <c r="U946" s="2680"/>
      <c r="V946" s="2680"/>
      <c r="W946" s="2680"/>
      <c r="X946" s="2680"/>
      <c r="Y946" s="2680"/>
      <c r="Z946" s="2680"/>
      <c r="AA946" s="2680"/>
      <c r="AB946" s="2680"/>
      <c r="AC946" s="5054"/>
      <c r="AD946" s="5974"/>
      <c r="AE946" s="5338"/>
      <c r="AF946" s="3091"/>
      <c r="AG946" s="3057">
        <f t="shared" si="188"/>
        <v>307678</v>
      </c>
      <c r="AH946" s="5056" t="s">
        <v>122</v>
      </c>
      <c r="AI946" s="3057">
        <v>43846</v>
      </c>
      <c r="AJ946" s="3057">
        <v>307678</v>
      </c>
      <c r="AK946" s="3057">
        <v>43846</v>
      </c>
      <c r="AL946" s="4185"/>
      <c r="AM946" s="4185"/>
      <c r="AN946" s="4185"/>
      <c r="AO946" s="4185"/>
      <c r="AP946" s="4185"/>
      <c r="AQ946" s="1125"/>
      <c r="AR946" s="3058"/>
      <c r="AS946" s="5982" t="s">
        <v>1815</v>
      </c>
      <c r="AT946" s="5138"/>
      <c r="AU946" s="2680"/>
      <c r="AV946" s="2680"/>
      <c r="AW946" s="2680"/>
      <c r="AX946" s="2680"/>
      <c r="AY946" s="2680"/>
      <c r="AZ946" s="2680"/>
      <c r="BA946" s="5150"/>
      <c r="BB946" s="5150"/>
      <c r="BC946" s="3057"/>
      <c r="BD946" s="5150"/>
      <c r="BE946" s="5150"/>
      <c r="BF946" s="5150"/>
      <c r="BG946" s="5150"/>
      <c r="BH946" s="5988">
        <v>307678</v>
      </c>
      <c r="BI946" s="5150"/>
      <c r="BJ946" s="5150"/>
      <c r="BK946" s="5150"/>
      <c r="BL946" s="5150"/>
      <c r="BM946" s="5150"/>
      <c r="BN946" s="5150"/>
      <c r="BO946" s="5138"/>
      <c r="BP946" s="5138"/>
      <c r="BQ946" s="5138"/>
      <c r="BR946" s="5138"/>
      <c r="BS946" s="5138"/>
      <c r="BT946" s="5138"/>
      <c r="BU946" s="5138"/>
      <c r="BV946" s="5322"/>
      <c r="BW946" s="5138"/>
      <c r="BX946" s="5138"/>
      <c r="BY946" s="5138"/>
      <c r="BZ946" s="5138"/>
      <c r="CA946" s="5138"/>
      <c r="CB946" s="5138"/>
      <c r="CC946" s="3058"/>
      <c r="CD946" s="3058"/>
      <c r="CE946" s="5171"/>
      <c r="CF946" s="5171"/>
      <c r="CG946" s="5171"/>
      <c r="CH946" s="5171"/>
    </row>
    <row r="947" s="4973" customFormat="1" ht="61" customHeight="1" spans="1:86">
      <c r="A947" s="3058"/>
      <c r="B947" s="5969"/>
      <c r="C947" s="3091"/>
      <c r="D947" s="5054"/>
      <c r="E947" s="3742"/>
      <c r="F947" s="5054"/>
      <c r="G947" s="5338"/>
      <c r="H947" s="3058"/>
      <c r="I947" s="5068"/>
      <c r="J947" s="5054"/>
      <c r="K947" s="5338"/>
      <c r="L947" s="5054"/>
      <c r="M947" s="5054"/>
      <c r="N947" s="2680"/>
      <c r="O947" s="2680"/>
      <c r="P947" s="2680"/>
      <c r="Q947" s="2680"/>
      <c r="R947" s="2680"/>
      <c r="S947" s="2680"/>
      <c r="T947" s="2680"/>
      <c r="U947" s="2680"/>
      <c r="V947" s="2680"/>
      <c r="W947" s="2680"/>
      <c r="X947" s="2680"/>
      <c r="Y947" s="2680"/>
      <c r="Z947" s="2680"/>
      <c r="AA947" s="2680"/>
      <c r="AB947" s="2680"/>
      <c r="AC947" s="5054">
        <v>4</v>
      </c>
      <c r="AD947" s="5974" t="s">
        <v>1743</v>
      </c>
      <c r="AE947" s="5975">
        <v>0.1</v>
      </c>
      <c r="AF947" s="3091">
        <v>350815.5</v>
      </c>
      <c r="AG947" s="3057">
        <f t="shared" si="188"/>
        <v>611664.12</v>
      </c>
      <c r="AH947" s="5056" t="s">
        <v>122</v>
      </c>
      <c r="AI947" s="3057">
        <v>45250</v>
      </c>
      <c r="AJ947" s="3058">
        <v>611664.12</v>
      </c>
      <c r="AK947" s="3058">
        <v>45250</v>
      </c>
      <c r="AL947" s="5864">
        <v>611664.12</v>
      </c>
      <c r="AM947" s="3058">
        <v>45250</v>
      </c>
      <c r="AN947" s="5125">
        <f t="shared" ref="AN947:AN953" si="189">SUM(BO947:CB947)</f>
        <v>611664.12</v>
      </c>
      <c r="AO947" s="584">
        <v>45624</v>
      </c>
      <c r="AP947" s="3057">
        <f t="shared" ref="AP946:AP953" si="190">AG947-AN947</f>
        <v>0</v>
      </c>
      <c r="AQ947" s="5132" t="s">
        <v>1816</v>
      </c>
      <c r="AR947" s="3058"/>
      <c r="AS947" s="5982"/>
      <c r="AT947" s="5138"/>
      <c r="AU947" s="2680"/>
      <c r="AV947" s="2680"/>
      <c r="AW947" s="2680"/>
      <c r="AX947" s="2680"/>
      <c r="AY947" s="2680"/>
      <c r="AZ947" s="2680"/>
      <c r="BA947" s="5138"/>
      <c r="BB947" s="5138"/>
      <c r="BC947" s="3058"/>
      <c r="BD947" s="5138"/>
      <c r="BE947" s="5138"/>
      <c r="BF947" s="5138"/>
      <c r="BG947" s="5138"/>
      <c r="BH947" s="5988">
        <v>611664.12</v>
      </c>
      <c r="BI947" s="5138"/>
      <c r="BJ947" s="5138"/>
      <c r="BK947" s="5138"/>
      <c r="BL947" s="5138"/>
      <c r="BM947" s="5138"/>
      <c r="BN947" s="5138"/>
      <c r="BO947" s="5138"/>
      <c r="BP947" s="5138"/>
      <c r="BQ947" s="5138"/>
      <c r="BR947" s="5138"/>
      <c r="BS947" s="5138"/>
      <c r="BT947" s="5138"/>
      <c r="BU947" s="5138"/>
      <c r="BV947" s="5138">
        <v>611664.12</v>
      </c>
      <c r="BW947" s="5138"/>
      <c r="BX947" s="5138"/>
      <c r="BY947" s="5138"/>
      <c r="BZ947" s="5138"/>
      <c r="CA947" s="5138"/>
      <c r="CB947" s="5138"/>
      <c r="CC947" s="3058"/>
      <c r="CD947" s="3058"/>
      <c r="CE947" s="5171">
        <f>SUBTOTAL(9,BO947:CB947)</f>
        <v>611664.12</v>
      </c>
      <c r="CF947" s="5171">
        <f>AN947-CE947</f>
        <v>0</v>
      </c>
      <c r="CG947" s="5171"/>
      <c r="CH947" s="5171"/>
    </row>
    <row r="948" s="4973" customFormat="1" ht="61" customHeight="1" spans="1:86">
      <c r="A948" s="2680">
        <v>12</v>
      </c>
      <c r="B948" s="5969" t="s">
        <v>1186</v>
      </c>
      <c r="C948" s="5338">
        <v>43435</v>
      </c>
      <c r="D948" s="1125" t="s">
        <v>1817</v>
      </c>
      <c r="E948" s="5338" t="s">
        <v>171</v>
      </c>
      <c r="F948" s="5338" t="s">
        <v>1818</v>
      </c>
      <c r="G948" s="5338" t="s">
        <v>1819</v>
      </c>
      <c r="H948" s="3058" t="s">
        <v>31</v>
      </c>
      <c r="I948" s="3058"/>
      <c r="J948" s="5338" t="s">
        <v>1820</v>
      </c>
      <c r="K948" s="5338">
        <v>221785</v>
      </c>
      <c r="L948" s="5338" t="s">
        <v>1454</v>
      </c>
      <c r="M948" s="3058">
        <f>SUM(N948:AB950)</f>
        <v>1108925</v>
      </c>
      <c r="N948" s="2680">
        <v>0</v>
      </c>
      <c r="O948" s="2680">
        <v>0</v>
      </c>
      <c r="P948" s="2680">
        <v>0</v>
      </c>
      <c r="Q948" s="2680">
        <v>0</v>
      </c>
      <c r="R948" s="2680">
        <v>0</v>
      </c>
      <c r="S948" s="2680">
        <v>0</v>
      </c>
      <c r="T948" s="2680"/>
      <c r="U948" s="2680">
        <v>1108925</v>
      </c>
      <c r="V948" s="2680">
        <v>0</v>
      </c>
      <c r="W948" s="2680">
        <v>0</v>
      </c>
      <c r="X948" s="2680">
        <v>0</v>
      </c>
      <c r="Y948" s="2680"/>
      <c r="Z948" s="2680"/>
      <c r="AA948" s="2680">
        <v>0</v>
      </c>
      <c r="AB948" s="2680">
        <v>0</v>
      </c>
      <c r="AC948" s="3058">
        <v>1</v>
      </c>
      <c r="AD948" s="5974" t="s">
        <v>1821</v>
      </c>
      <c r="AE948" s="5975">
        <v>0.4</v>
      </c>
      <c r="AF948" s="3091">
        <v>443570</v>
      </c>
      <c r="AG948" s="3057">
        <f t="shared" si="188"/>
        <v>443570</v>
      </c>
      <c r="AH948" s="5054" t="s">
        <v>206</v>
      </c>
      <c r="AI948" s="3058">
        <v>43497</v>
      </c>
      <c r="AJ948" s="3058" t="s">
        <v>171</v>
      </c>
      <c r="AK948" s="3058" t="s">
        <v>171</v>
      </c>
      <c r="AL948" s="3091">
        <v>443570</v>
      </c>
      <c r="AM948" s="3058">
        <v>43497</v>
      </c>
      <c r="AN948" s="3057">
        <f t="shared" si="189"/>
        <v>443570</v>
      </c>
      <c r="AO948" s="3058">
        <v>43556</v>
      </c>
      <c r="AP948" s="3057">
        <f t="shared" si="190"/>
        <v>0</v>
      </c>
      <c r="AQ948" s="5138"/>
      <c r="AR948" s="584" t="s">
        <v>1463</v>
      </c>
      <c r="AS948" s="5982"/>
      <c r="AT948" s="5138"/>
      <c r="AU948" s="2680">
        <f>SUM(AG948:AG950)</f>
        <v>1108925</v>
      </c>
      <c r="AV948" s="2680">
        <f>SUM(AL948:AL950)</f>
        <v>1108925</v>
      </c>
      <c r="AW948" s="2680">
        <f>SUM(AN948:AN950)</f>
        <v>1108925</v>
      </c>
      <c r="AX948" s="2680">
        <f>M948-AU948</f>
        <v>0</v>
      </c>
      <c r="AY948" s="2680">
        <f>AU948-AV948</f>
        <v>0</v>
      </c>
      <c r="AZ948" s="2680">
        <f>AV948-AW948</f>
        <v>0</v>
      </c>
      <c r="BA948" s="5150"/>
      <c r="BB948" s="5150"/>
      <c r="BC948" s="3057"/>
      <c r="BD948" s="5150"/>
      <c r="BE948" s="5150"/>
      <c r="BF948" s="5150"/>
      <c r="BG948" s="5150"/>
      <c r="BH948" s="5988">
        <v>443570</v>
      </c>
      <c r="BI948" s="5150"/>
      <c r="BJ948" s="5150"/>
      <c r="BK948" s="5150"/>
      <c r="BL948" s="5150"/>
      <c r="BM948" s="5150"/>
      <c r="BN948" s="5150"/>
      <c r="BO948" s="5138"/>
      <c r="BP948" s="5138"/>
      <c r="BQ948" s="5138"/>
      <c r="BR948" s="5138"/>
      <c r="BS948" s="5138"/>
      <c r="BT948" s="5138"/>
      <c r="BU948" s="5138"/>
      <c r="BV948" s="6013">
        <v>443570</v>
      </c>
      <c r="BW948" s="5138"/>
      <c r="BX948" s="5138"/>
      <c r="BY948" s="5138"/>
      <c r="BZ948" s="5138"/>
      <c r="CA948" s="5138"/>
      <c r="CB948" s="5138"/>
      <c r="CC948" s="3058" t="s">
        <v>1739</v>
      </c>
      <c r="CD948" s="3058"/>
      <c r="CE948" s="5171"/>
      <c r="CF948" s="5171"/>
      <c r="CG948" s="5171"/>
      <c r="CH948" s="5171"/>
    </row>
    <row r="949" s="4973" customFormat="1" ht="61" customHeight="1" spans="1:86">
      <c r="A949" s="2680"/>
      <c r="B949" s="5969"/>
      <c r="C949" s="5338"/>
      <c r="D949" s="5338"/>
      <c r="E949" s="5338"/>
      <c r="F949" s="5338"/>
      <c r="G949" s="5338"/>
      <c r="H949" s="3058"/>
      <c r="I949" s="3058"/>
      <c r="J949" s="5338"/>
      <c r="K949" s="5338"/>
      <c r="L949" s="5338"/>
      <c r="M949" s="3058"/>
      <c r="N949" s="2680"/>
      <c r="O949" s="2680"/>
      <c r="P949" s="2680"/>
      <c r="Q949" s="2680"/>
      <c r="R949" s="2680"/>
      <c r="S949" s="2680"/>
      <c r="T949" s="2680"/>
      <c r="U949" s="2680"/>
      <c r="V949" s="2680"/>
      <c r="W949" s="2680"/>
      <c r="X949" s="2680"/>
      <c r="Y949" s="2680"/>
      <c r="Z949" s="2680"/>
      <c r="AA949" s="2680"/>
      <c r="AB949" s="2680"/>
      <c r="AC949" s="3058">
        <v>2</v>
      </c>
      <c r="AD949" s="5974" t="s">
        <v>1822</v>
      </c>
      <c r="AE949" s="5975">
        <v>0.5</v>
      </c>
      <c r="AF949" s="3091">
        <v>554462.5</v>
      </c>
      <c r="AG949" s="3057">
        <f t="shared" si="188"/>
        <v>554462.5</v>
      </c>
      <c r="AH949" s="5054" t="s">
        <v>206</v>
      </c>
      <c r="AI949" s="3058">
        <v>43739</v>
      </c>
      <c r="AJ949" s="3058" t="s">
        <v>171</v>
      </c>
      <c r="AK949" s="3058" t="s">
        <v>171</v>
      </c>
      <c r="AL949" s="3091">
        <v>554462.5</v>
      </c>
      <c r="AM949" s="3058">
        <v>43739</v>
      </c>
      <c r="AN949" s="3057">
        <f t="shared" si="189"/>
        <v>554462.5</v>
      </c>
      <c r="AO949" s="3058">
        <v>43800</v>
      </c>
      <c r="AP949" s="3057">
        <f t="shared" si="190"/>
        <v>0</v>
      </c>
      <c r="AQ949" s="5138"/>
      <c r="AR949" s="3058"/>
      <c r="AS949" s="5982"/>
      <c r="AT949" s="5138"/>
      <c r="AU949" s="2680"/>
      <c r="AV949" s="2680"/>
      <c r="AW949" s="2680"/>
      <c r="AX949" s="2680"/>
      <c r="AY949" s="2680"/>
      <c r="AZ949" s="2680"/>
      <c r="BA949" s="5150"/>
      <c r="BB949" s="5150"/>
      <c r="BC949" s="3057"/>
      <c r="BD949" s="5150"/>
      <c r="BE949" s="5150"/>
      <c r="BF949" s="5150"/>
      <c r="BG949" s="5150"/>
      <c r="BH949" s="5988">
        <v>554462.5</v>
      </c>
      <c r="BI949" s="5150"/>
      <c r="BJ949" s="5150"/>
      <c r="BK949" s="5150"/>
      <c r="BL949" s="5150"/>
      <c r="BM949" s="5150"/>
      <c r="BN949" s="5150"/>
      <c r="BO949" s="5138"/>
      <c r="BP949" s="5138"/>
      <c r="BQ949" s="5138"/>
      <c r="BR949" s="5138"/>
      <c r="BS949" s="5138"/>
      <c r="BT949" s="5138"/>
      <c r="BU949" s="5138"/>
      <c r="BV949" s="6013">
        <v>554462.5</v>
      </c>
      <c r="BW949" s="5138"/>
      <c r="BX949" s="5138"/>
      <c r="BY949" s="5138"/>
      <c r="BZ949" s="5138"/>
      <c r="CA949" s="5138"/>
      <c r="CB949" s="5138"/>
      <c r="CC949" s="3058"/>
      <c r="CD949" s="3058"/>
      <c r="CE949" s="5171"/>
      <c r="CF949" s="5171"/>
      <c r="CG949" s="5171"/>
      <c r="CH949" s="5171"/>
    </row>
    <row r="950" s="4973" customFormat="1" ht="61" customHeight="1" spans="1:86">
      <c r="A950" s="2680"/>
      <c r="B950" s="5969"/>
      <c r="C950" s="5338"/>
      <c r="D950" s="5338"/>
      <c r="E950" s="5338"/>
      <c r="F950" s="5338"/>
      <c r="G950" s="5338"/>
      <c r="H950" s="3058"/>
      <c r="I950" s="3058"/>
      <c r="J950" s="5338"/>
      <c r="K950" s="5338"/>
      <c r="L950" s="5338"/>
      <c r="M950" s="3058"/>
      <c r="N950" s="2680"/>
      <c r="O950" s="2680"/>
      <c r="P950" s="2680"/>
      <c r="Q950" s="2680"/>
      <c r="R950" s="2680"/>
      <c r="S950" s="2680"/>
      <c r="T950" s="2680"/>
      <c r="U950" s="2680"/>
      <c r="V950" s="2680"/>
      <c r="W950" s="2680"/>
      <c r="X950" s="2680"/>
      <c r="Y950" s="2680"/>
      <c r="Z950" s="2680"/>
      <c r="AA950" s="2680"/>
      <c r="AB950" s="2680"/>
      <c r="AC950" s="3058">
        <v>3</v>
      </c>
      <c r="AD950" s="5974" t="s">
        <v>1823</v>
      </c>
      <c r="AE950" s="5975">
        <v>0.1</v>
      </c>
      <c r="AF950" s="3091">
        <v>110892.5</v>
      </c>
      <c r="AG950" s="3057">
        <f t="shared" si="188"/>
        <v>110892.5</v>
      </c>
      <c r="AH950" s="5054" t="s">
        <v>206</v>
      </c>
      <c r="AI950" s="3058">
        <v>44033</v>
      </c>
      <c r="AJ950" s="3058" t="s">
        <v>171</v>
      </c>
      <c r="AK950" s="3058" t="s">
        <v>171</v>
      </c>
      <c r="AL950" s="3058">
        <v>110892.5</v>
      </c>
      <c r="AM950" s="3058">
        <v>44033</v>
      </c>
      <c r="AN950" s="3057">
        <f t="shared" si="189"/>
        <v>110892.5</v>
      </c>
      <c r="AO950" s="3057">
        <v>44132</v>
      </c>
      <c r="AP950" s="3057">
        <f t="shared" si="190"/>
        <v>0</v>
      </c>
      <c r="AQ950" s="5131"/>
      <c r="AR950" s="3058"/>
      <c r="AS950" s="5131" t="s">
        <v>1824</v>
      </c>
      <c r="AT950" s="5138"/>
      <c r="AU950" s="2680"/>
      <c r="AV950" s="2680"/>
      <c r="AW950" s="2680"/>
      <c r="AX950" s="2680"/>
      <c r="AY950" s="2680"/>
      <c r="AZ950" s="2680"/>
      <c r="BA950" s="5150"/>
      <c r="BB950" s="5150"/>
      <c r="BC950" s="3057"/>
      <c r="BD950" s="5150"/>
      <c r="BE950" s="5150"/>
      <c r="BF950" s="5150"/>
      <c r="BG950" s="5150"/>
      <c r="BH950" s="5988">
        <v>110892.5</v>
      </c>
      <c r="BI950" s="5150"/>
      <c r="BJ950" s="5150"/>
      <c r="BK950" s="5150"/>
      <c r="BL950" s="5150"/>
      <c r="BM950" s="5150"/>
      <c r="BN950" s="5150"/>
      <c r="BO950" s="5138"/>
      <c r="BP950" s="5138"/>
      <c r="BQ950" s="5138"/>
      <c r="BR950" s="5138"/>
      <c r="BS950" s="5138"/>
      <c r="BT950" s="5138"/>
      <c r="BU950" s="5138"/>
      <c r="BV950" s="6014">
        <v>110892.5</v>
      </c>
      <c r="BW950" s="5138"/>
      <c r="BX950" s="5138"/>
      <c r="BY950" s="5138"/>
      <c r="BZ950" s="5138"/>
      <c r="CA950" s="5138"/>
      <c r="CB950" s="5138"/>
      <c r="CC950" s="3058"/>
      <c r="CD950" s="3058"/>
      <c r="CE950" s="5171"/>
      <c r="CF950" s="5171"/>
      <c r="CG950" s="5171"/>
      <c r="CH950" s="5171"/>
    </row>
    <row r="951" s="4965" customFormat="1" ht="61" customHeight="1" spans="1:86">
      <c r="A951" s="2680">
        <v>13</v>
      </c>
      <c r="B951" s="5992" t="s">
        <v>1186</v>
      </c>
      <c r="C951" s="3925">
        <v>43307</v>
      </c>
      <c r="D951" s="5993" t="s">
        <v>1825</v>
      </c>
      <c r="E951" s="3925" t="s">
        <v>171</v>
      </c>
      <c r="F951" s="5873" t="s">
        <v>1826</v>
      </c>
      <c r="G951" s="5820" t="s">
        <v>1827</v>
      </c>
      <c r="H951" s="3925" t="s">
        <v>31</v>
      </c>
      <c r="I951" s="5050" t="s">
        <v>1828</v>
      </c>
      <c r="J951" s="5820" t="s">
        <v>1829</v>
      </c>
      <c r="K951" s="5820" t="s">
        <v>1830</v>
      </c>
      <c r="L951" s="3925" t="s">
        <v>1486</v>
      </c>
      <c r="M951" s="5820">
        <f>SUM(N951:AA957)</f>
        <v>6559781.9</v>
      </c>
      <c r="N951" s="2680">
        <v>0</v>
      </c>
      <c r="O951" s="2680">
        <v>0</v>
      </c>
      <c r="P951" s="2680">
        <v>0</v>
      </c>
      <c r="Q951" s="2680">
        <v>0</v>
      </c>
      <c r="R951" s="2680">
        <v>0</v>
      </c>
      <c r="S951" s="2680">
        <v>0</v>
      </c>
      <c r="T951" s="5823">
        <v>0</v>
      </c>
      <c r="U951" s="2680">
        <v>6559781.9</v>
      </c>
      <c r="V951" s="2680">
        <v>0</v>
      </c>
      <c r="W951" s="2680">
        <v>0</v>
      </c>
      <c r="X951" s="2680">
        <v>0</v>
      </c>
      <c r="Y951" s="2680"/>
      <c r="Z951" s="2680"/>
      <c r="AA951" s="2680">
        <v>0</v>
      </c>
      <c r="AB951" s="2680">
        <v>0</v>
      </c>
      <c r="AC951" s="5820">
        <v>1</v>
      </c>
      <c r="AD951" s="5873" t="s">
        <v>1831</v>
      </c>
      <c r="AE951" s="6001">
        <v>0.5</v>
      </c>
      <c r="AF951" s="5874">
        <v>3279890.95</v>
      </c>
      <c r="AG951" s="3812">
        <f t="shared" si="188"/>
        <v>1272776.225</v>
      </c>
      <c r="AH951" s="5079" t="s">
        <v>206</v>
      </c>
      <c r="AI951" s="2680">
        <v>43374</v>
      </c>
      <c r="AJ951" s="2680" t="s">
        <v>171</v>
      </c>
      <c r="AK951" s="2680" t="s">
        <v>171</v>
      </c>
      <c r="AL951" s="2680">
        <v>1272776.225</v>
      </c>
      <c r="AM951" s="2680">
        <v>43374</v>
      </c>
      <c r="AN951" s="3812">
        <f t="shared" si="189"/>
        <v>1272776.225</v>
      </c>
      <c r="AO951" s="2680">
        <v>43435</v>
      </c>
      <c r="AP951" s="3812">
        <f t="shared" si="190"/>
        <v>0</v>
      </c>
      <c r="AQ951" s="5079"/>
      <c r="AR951" s="2680"/>
      <c r="AS951" s="5079" t="s">
        <v>1832</v>
      </c>
      <c r="AT951" s="5331"/>
      <c r="AU951" s="2680">
        <f>SUM(AG951:AG957)</f>
        <v>5411925.5</v>
      </c>
      <c r="AV951" s="2680">
        <f>SUM(AL951:AL957)</f>
        <v>5021993.27</v>
      </c>
      <c r="AW951" s="2680">
        <f>SUM(AN951:AN957)</f>
        <v>5021993.27</v>
      </c>
      <c r="AX951" s="2680">
        <f>M951-AU951</f>
        <v>1147856.4</v>
      </c>
      <c r="AY951" s="2680">
        <f>AU951-AV951</f>
        <v>389932.23</v>
      </c>
      <c r="AZ951" s="2680">
        <f>AV951-AW951</f>
        <v>0</v>
      </c>
      <c r="BA951" s="5796"/>
      <c r="BB951" s="5796"/>
      <c r="BC951" s="2678"/>
      <c r="BD951" s="5796"/>
      <c r="BE951" s="5796"/>
      <c r="BF951" s="5796"/>
      <c r="BG951" s="5796"/>
      <c r="BH951" s="5152">
        <v>1272776.225</v>
      </c>
      <c r="BI951" s="5796"/>
      <c r="BJ951" s="5796"/>
      <c r="BK951" s="5796"/>
      <c r="BL951" s="5796"/>
      <c r="BM951" s="5796"/>
      <c r="BN951" s="5796"/>
      <c r="BO951" s="5331"/>
      <c r="BP951" s="5331"/>
      <c r="BQ951" s="5331"/>
      <c r="BR951" s="5331"/>
      <c r="BS951" s="5331"/>
      <c r="BT951" s="5331"/>
      <c r="BU951" s="5331"/>
      <c r="BV951" s="2680">
        <v>1272776.225</v>
      </c>
      <c r="BW951" s="5331"/>
      <c r="BX951" s="5331"/>
      <c r="BY951" s="5331"/>
      <c r="BZ951" s="5331"/>
      <c r="CA951" s="5331"/>
      <c r="CB951" s="5331"/>
      <c r="CC951" s="2680"/>
      <c r="CD951" s="2680"/>
      <c r="CE951" s="5169"/>
      <c r="CF951" s="5169"/>
      <c r="CG951" s="5169"/>
      <c r="CH951" s="5169"/>
    </row>
    <row r="952" s="4965" customFormat="1" ht="61" customHeight="1" spans="1:86">
      <c r="A952" s="2680"/>
      <c r="B952" s="5994"/>
      <c r="C952" s="4026"/>
      <c r="D952" s="5995"/>
      <c r="E952" s="4026"/>
      <c r="F952" s="5998"/>
      <c r="G952" s="5821"/>
      <c r="H952" s="4026"/>
      <c r="I952" s="5821"/>
      <c r="J952" s="5821"/>
      <c r="K952" s="5821"/>
      <c r="L952" s="4026"/>
      <c r="M952" s="5821"/>
      <c r="N952" s="2680"/>
      <c r="O952" s="2680"/>
      <c r="P952" s="2680"/>
      <c r="Q952" s="2680"/>
      <c r="R952" s="2680"/>
      <c r="S952" s="2680"/>
      <c r="T952" s="2680"/>
      <c r="U952" s="2680"/>
      <c r="V952" s="2680"/>
      <c r="W952" s="2680"/>
      <c r="X952" s="2680"/>
      <c r="Y952" s="2680"/>
      <c r="Z952" s="2680"/>
      <c r="AA952" s="2680"/>
      <c r="AB952" s="2680"/>
      <c r="AC952" s="5821"/>
      <c r="AD952" s="5998"/>
      <c r="AE952" s="6002"/>
      <c r="AF952" s="6003"/>
      <c r="AG952" s="3812">
        <f t="shared" si="188"/>
        <v>1086806.245</v>
      </c>
      <c r="AH952" s="5079" t="s">
        <v>206</v>
      </c>
      <c r="AI952" s="2680">
        <v>43497</v>
      </c>
      <c r="AJ952" s="2680" t="s">
        <v>171</v>
      </c>
      <c r="AK952" s="2680" t="s">
        <v>171</v>
      </c>
      <c r="AL952" s="2680">
        <v>1086806.245</v>
      </c>
      <c r="AM952" s="2680">
        <v>43497</v>
      </c>
      <c r="AN952" s="3812">
        <f t="shared" si="189"/>
        <v>1086806.245</v>
      </c>
      <c r="AO952" s="2680">
        <v>43739</v>
      </c>
      <c r="AP952" s="3812">
        <f t="shared" si="190"/>
        <v>0</v>
      </c>
      <c r="AQ952" s="5079"/>
      <c r="AR952" s="2680"/>
      <c r="AS952" s="5079" t="s">
        <v>1833</v>
      </c>
      <c r="AT952" s="5331"/>
      <c r="AU952" s="2680"/>
      <c r="AV952" s="2680"/>
      <c r="AW952" s="2680"/>
      <c r="AX952" s="2680"/>
      <c r="AY952" s="2680"/>
      <c r="AZ952" s="2680"/>
      <c r="BA952" s="5796"/>
      <c r="BB952" s="5796"/>
      <c r="BC952" s="2678"/>
      <c r="BD952" s="5796"/>
      <c r="BE952" s="5796"/>
      <c r="BF952" s="5796"/>
      <c r="BG952" s="5796"/>
      <c r="BH952" s="5152">
        <v>1086806.245</v>
      </c>
      <c r="BI952" s="5796"/>
      <c r="BJ952" s="5796"/>
      <c r="BK952" s="5796"/>
      <c r="BL952" s="5796"/>
      <c r="BM952" s="5796"/>
      <c r="BN952" s="5796"/>
      <c r="BO952" s="5331"/>
      <c r="BP952" s="5331"/>
      <c r="BQ952" s="5331"/>
      <c r="BR952" s="5331"/>
      <c r="BS952" s="5331"/>
      <c r="BT952" s="5331"/>
      <c r="BU952" s="5331"/>
      <c r="BV952" s="2680">
        <v>1086806.245</v>
      </c>
      <c r="BW952" s="5331"/>
      <c r="BX952" s="5331"/>
      <c r="BY952" s="5331"/>
      <c r="BZ952" s="5331"/>
      <c r="CA952" s="5331"/>
      <c r="CB952" s="5331"/>
      <c r="CC952" s="2680"/>
      <c r="CD952" s="2680"/>
      <c r="CE952" s="5169"/>
      <c r="CF952" s="5169"/>
      <c r="CG952" s="5169"/>
      <c r="CH952" s="5169"/>
    </row>
    <row r="953" s="4965" customFormat="1" ht="61" customHeight="1" spans="1:86">
      <c r="A953" s="2680"/>
      <c r="B953" s="5994"/>
      <c r="C953" s="4026"/>
      <c r="D953" s="5995"/>
      <c r="E953" s="4026"/>
      <c r="F953" s="5998"/>
      <c r="G953" s="5821"/>
      <c r="H953" s="4026"/>
      <c r="I953" s="5821"/>
      <c r="J953" s="5821"/>
      <c r="K953" s="5821"/>
      <c r="L953" s="4026"/>
      <c r="M953" s="5821"/>
      <c r="N953" s="2680"/>
      <c r="O953" s="2680"/>
      <c r="P953" s="2680"/>
      <c r="Q953" s="2680"/>
      <c r="R953" s="2680"/>
      <c r="S953" s="2680"/>
      <c r="T953" s="2680"/>
      <c r="U953" s="2680"/>
      <c r="V953" s="2680"/>
      <c r="W953" s="2680"/>
      <c r="X953" s="2680"/>
      <c r="Y953" s="2680"/>
      <c r="Z953" s="2680"/>
      <c r="AA953" s="2680"/>
      <c r="AB953" s="2680"/>
      <c r="AC953" s="5821"/>
      <c r="AD953" s="5998"/>
      <c r="AE953" s="6002"/>
      <c r="AF953" s="6003"/>
      <c r="AG953" s="4813">
        <f t="shared" si="188"/>
        <v>151414.17</v>
      </c>
      <c r="AH953" s="6005" t="s">
        <v>206</v>
      </c>
      <c r="AI953" s="5733">
        <v>45590</v>
      </c>
      <c r="AJ953" s="5863">
        <v>151414.17</v>
      </c>
      <c r="AK953" s="5733">
        <v>45590</v>
      </c>
      <c r="AL953" s="2680">
        <v>151414.17</v>
      </c>
      <c r="AM953" s="2678">
        <v>45590</v>
      </c>
      <c r="AN953" s="3812">
        <f t="shared" si="189"/>
        <v>151414.17</v>
      </c>
      <c r="AO953" s="2678">
        <v>45625</v>
      </c>
      <c r="AP953" s="3812">
        <f t="shared" si="190"/>
        <v>0</v>
      </c>
      <c r="AQ953" s="1035" t="s">
        <v>1834</v>
      </c>
      <c r="AR953" s="2680"/>
      <c r="AS953" s="1035" t="s">
        <v>1835</v>
      </c>
      <c r="AT953" s="5331"/>
      <c r="AU953" s="2680"/>
      <c r="AV953" s="2680"/>
      <c r="AW953" s="2680"/>
      <c r="AX953" s="2680"/>
      <c r="AY953" s="2680"/>
      <c r="AZ953" s="2680"/>
      <c r="BA953" s="5331"/>
      <c r="BB953" s="5331"/>
      <c r="BC953" s="2680"/>
      <c r="BD953" s="5331"/>
      <c r="BE953" s="5331"/>
      <c r="BF953" s="5331"/>
      <c r="BG953" s="5331"/>
      <c r="BH953" s="5958">
        <v>151414.17</v>
      </c>
      <c r="BI953" s="5331"/>
      <c r="BJ953" s="5331"/>
      <c r="BK953" s="5331"/>
      <c r="BL953" s="5331"/>
      <c r="BM953" s="5331"/>
      <c r="BN953" s="5331"/>
      <c r="BO953" s="5331"/>
      <c r="BP953" s="5331"/>
      <c r="BQ953" s="5331"/>
      <c r="BR953" s="5331"/>
      <c r="BS953" s="5331"/>
      <c r="BT953" s="5331"/>
      <c r="BU953" s="5331"/>
      <c r="BV953" s="5152">
        <v>151414.17</v>
      </c>
      <c r="BW953" s="5331"/>
      <c r="BX953" s="5331"/>
      <c r="BY953" s="5331"/>
      <c r="BZ953" s="5331"/>
      <c r="CA953" s="5331"/>
      <c r="CB953" s="5331"/>
      <c r="CC953" s="2680"/>
      <c r="CD953" s="2680"/>
      <c r="CE953" s="5169">
        <f>SUBTOTAL(9,BO953:CB953)</f>
        <v>151414.17</v>
      </c>
      <c r="CF953" s="5169">
        <f>AN953-CE953</f>
        <v>0</v>
      </c>
      <c r="CG953" s="5169"/>
      <c r="CH953" s="5169"/>
    </row>
    <row r="954" s="4965" customFormat="1" ht="61" customHeight="1" spans="1:86">
      <c r="A954" s="2680"/>
      <c r="B954" s="5994"/>
      <c r="C954" s="4026"/>
      <c r="D954" s="5995"/>
      <c r="E954" s="4026"/>
      <c r="F954" s="5998"/>
      <c r="G954" s="5821"/>
      <c r="H954" s="4026"/>
      <c r="I954" s="5821"/>
      <c r="J954" s="5821"/>
      <c r="K954" s="5821"/>
      <c r="L954" s="4026"/>
      <c r="M954" s="5821"/>
      <c r="N954" s="2680"/>
      <c r="O954" s="2680"/>
      <c r="P954" s="2680"/>
      <c r="Q954" s="2680"/>
      <c r="R954" s="2680"/>
      <c r="S954" s="2680"/>
      <c r="T954" s="2680"/>
      <c r="U954" s="2680"/>
      <c r="V954" s="2680"/>
      <c r="W954" s="2680"/>
      <c r="X954" s="2680"/>
      <c r="Y954" s="2680"/>
      <c r="Z954" s="2680"/>
      <c r="AA954" s="2680"/>
      <c r="AB954" s="2680"/>
      <c r="AC954" s="5822"/>
      <c r="AD954" s="5876"/>
      <c r="AE954" s="6004"/>
      <c r="AF954" s="5877"/>
      <c r="AG954" s="4813">
        <f t="shared" si="188"/>
        <v>389932.23</v>
      </c>
      <c r="AH954" s="6006" t="s">
        <v>122</v>
      </c>
      <c r="AI954" s="5733">
        <v>45638</v>
      </c>
      <c r="AJ954" s="5733">
        <v>389932.23</v>
      </c>
      <c r="AK954" s="5733">
        <v>45638</v>
      </c>
      <c r="AL954" s="5854"/>
      <c r="AM954" s="2680"/>
      <c r="AN954" s="3812"/>
      <c r="AO954" s="2680"/>
      <c r="AP954" s="3812"/>
      <c r="AQ954" s="1035" t="s">
        <v>1836</v>
      </c>
      <c r="AR954" s="2680"/>
      <c r="AS954" s="5079"/>
      <c r="AT954" s="5331"/>
      <c r="AU954" s="2680"/>
      <c r="AV954" s="2680"/>
      <c r="AW954" s="2680"/>
      <c r="AX954" s="2680"/>
      <c r="AY954" s="2680"/>
      <c r="AZ954" s="2680"/>
      <c r="BA954" s="5796"/>
      <c r="BB954" s="5796"/>
      <c r="BC954" s="2678"/>
      <c r="BD954" s="5796"/>
      <c r="BE954" s="5796"/>
      <c r="BF954" s="5796"/>
      <c r="BG954" s="5796"/>
      <c r="BH954" s="5958">
        <v>389932.23</v>
      </c>
      <c r="BI954" s="5796"/>
      <c r="BJ954" s="5796"/>
      <c r="BK954" s="5796"/>
      <c r="BL954" s="5796"/>
      <c r="BM954" s="5796"/>
      <c r="BN954" s="5796"/>
      <c r="BO954" s="5331"/>
      <c r="BP954" s="5331"/>
      <c r="BQ954" s="5331"/>
      <c r="BR954" s="5331"/>
      <c r="BS954" s="5331"/>
      <c r="BT954" s="5331"/>
      <c r="BU954" s="5331"/>
      <c r="BV954" s="5948">
        <v>389932.23</v>
      </c>
      <c r="BW954" s="5331"/>
      <c r="BX954" s="5331"/>
      <c r="BY954" s="5331"/>
      <c r="BZ954" s="5331"/>
      <c r="CA954" s="5331"/>
      <c r="CB954" s="5331"/>
      <c r="CC954" s="2680"/>
      <c r="CD954" s="2680"/>
      <c r="CE954" s="5169"/>
      <c r="CF954" s="5169"/>
      <c r="CG954" s="5169"/>
      <c r="CH954" s="5169"/>
    </row>
    <row r="955" s="4965" customFormat="1" ht="61" customHeight="1" spans="1:86">
      <c r="A955" s="2680"/>
      <c r="B955" s="5994"/>
      <c r="C955" s="4026"/>
      <c r="D955" s="5995"/>
      <c r="E955" s="4026"/>
      <c r="F955" s="5998"/>
      <c r="G955" s="5821"/>
      <c r="H955" s="4026"/>
      <c r="I955" s="5821"/>
      <c r="J955" s="5821"/>
      <c r="K955" s="5821"/>
      <c r="L955" s="4026"/>
      <c r="M955" s="5821"/>
      <c r="N955" s="2680"/>
      <c r="O955" s="2680"/>
      <c r="P955" s="2680"/>
      <c r="Q955" s="2680"/>
      <c r="R955" s="2680"/>
      <c r="S955" s="2680"/>
      <c r="T955" s="2680"/>
      <c r="U955" s="2680"/>
      <c r="V955" s="2680"/>
      <c r="W955" s="2680"/>
      <c r="X955" s="2680"/>
      <c r="Y955" s="2680"/>
      <c r="Z955" s="2680"/>
      <c r="AA955" s="2680"/>
      <c r="AB955" s="2680"/>
      <c r="AC955" s="5820">
        <v>2</v>
      </c>
      <c r="AD955" s="5873" t="s">
        <v>1837</v>
      </c>
      <c r="AE955" s="6001">
        <v>0.5</v>
      </c>
      <c r="AF955" s="5874">
        <v>3279890.95</v>
      </c>
      <c r="AG955" s="3812">
        <f t="shared" si="188"/>
        <v>1272776.225</v>
      </c>
      <c r="AH955" s="5079" t="s">
        <v>206</v>
      </c>
      <c r="AI955" s="2680">
        <v>43374</v>
      </c>
      <c r="AJ955" s="2680" t="s">
        <v>171</v>
      </c>
      <c r="AK955" s="2680" t="s">
        <v>171</v>
      </c>
      <c r="AL955" s="2680">
        <v>1272776.225</v>
      </c>
      <c r="AM955" s="2680">
        <v>43374</v>
      </c>
      <c r="AN955" s="3812">
        <f>SUM(BO955:CB955)</f>
        <v>1272776.225</v>
      </c>
      <c r="AO955" s="2680">
        <v>43435</v>
      </c>
      <c r="AP955" s="3812">
        <f>AG955-AN955</f>
        <v>0</v>
      </c>
      <c r="AQ955" s="5079"/>
      <c r="AR955" s="2680"/>
      <c r="AS955" s="5079" t="s">
        <v>1832</v>
      </c>
      <c r="AT955" s="5331"/>
      <c r="AU955" s="2680"/>
      <c r="AV955" s="2680"/>
      <c r="AW955" s="2680"/>
      <c r="AX955" s="2680"/>
      <c r="AY955" s="2680"/>
      <c r="AZ955" s="2680"/>
      <c r="BA955" s="5796"/>
      <c r="BB955" s="5796"/>
      <c r="BC955" s="2678"/>
      <c r="BD955" s="5796"/>
      <c r="BE955" s="5796"/>
      <c r="BF955" s="5796"/>
      <c r="BG955" s="5796"/>
      <c r="BH955" s="5152">
        <v>1272776.225</v>
      </c>
      <c r="BI955" s="5796"/>
      <c r="BJ955" s="5796"/>
      <c r="BK955" s="5796"/>
      <c r="BL955" s="5796"/>
      <c r="BM955" s="5796"/>
      <c r="BN955" s="5796"/>
      <c r="BO955" s="5331"/>
      <c r="BP955" s="5331"/>
      <c r="BQ955" s="5331"/>
      <c r="BR955" s="5331"/>
      <c r="BS955" s="5331"/>
      <c r="BT955" s="5331"/>
      <c r="BU955" s="5331"/>
      <c r="BV955" s="2680">
        <v>1272776.225</v>
      </c>
      <c r="BW955" s="5331"/>
      <c r="BX955" s="5331"/>
      <c r="BY955" s="5331"/>
      <c r="BZ955" s="5331"/>
      <c r="CA955" s="5331"/>
      <c r="CB955" s="5331"/>
      <c r="CC955" s="2680"/>
      <c r="CD955" s="2680"/>
      <c r="CE955" s="5169"/>
      <c r="CF955" s="5169"/>
      <c r="CG955" s="5169"/>
      <c r="CH955" s="5169"/>
    </row>
    <row r="956" s="4965" customFormat="1" ht="61" customHeight="1" spans="1:86">
      <c r="A956" s="2680"/>
      <c r="B956" s="5994"/>
      <c r="C956" s="4026"/>
      <c r="D956" s="5995"/>
      <c r="E956" s="4026"/>
      <c r="F956" s="5998"/>
      <c r="G956" s="5821"/>
      <c r="H956" s="4026"/>
      <c r="I956" s="5821"/>
      <c r="J956" s="5821"/>
      <c r="K956" s="5821"/>
      <c r="L956" s="4026"/>
      <c r="M956" s="5821"/>
      <c r="N956" s="2680"/>
      <c r="O956" s="2680"/>
      <c r="P956" s="2680"/>
      <c r="Q956" s="2680"/>
      <c r="R956" s="2680"/>
      <c r="S956" s="2680"/>
      <c r="T956" s="2680"/>
      <c r="U956" s="2680"/>
      <c r="V956" s="2680"/>
      <c r="W956" s="2680"/>
      <c r="X956" s="2680"/>
      <c r="Y956" s="2680"/>
      <c r="Z956" s="2680"/>
      <c r="AA956" s="2680"/>
      <c r="AB956" s="2680"/>
      <c r="AC956" s="5821"/>
      <c r="AD956" s="5998"/>
      <c r="AE956" s="6002"/>
      <c r="AF956" s="6003"/>
      <c r="AG956" s="3812">
        <f t="shared" si="188"/>
        <v>1086806.245</v>
      </c>
      <c r="AH956" s="5079" t="s">
        <v>206</v>
      </c>
      <c r="AI956" s="2680">
        <v>43497</v>
      </c>
      <c r="AJ956" s="2680" t="s">
        <v>171</v>
      </c>
      <c r="AK956" s="2680" t="s">
        <v>171</v>
      </c>
      <c r="AL956" s="2680">
        <v>1086806.245</v>
      </c>
      <c r="AM956" s="2680">
        <v>43497</v>
      </c>
      <c r="AN956" s="3812">
        <f>SUM(BO956:CB956)</f>
        <v>1086806.245</v>
      </c>
      <c r="AO956" s="2680">
        <v>43739</v>
      </c>
      <c r="AP956" s="3812">
        <f>AG956-AN956</f>
        <v>0</v>
      </c>
      <c r="AQ956" s="5079"/>
      <c r="AR956" s="2680"/>
      <c r="AS956" s="5079" t="s">
        <v>1833</v>
      </c>
      <c r="AT956" s="5331"/>
      <c r="AU956" s="2680"/>
      <c r="AV956" s="2680"/>
      <c r="AW956" s="2680"/>
      <c r="AX956" s="2680"/>
      <c r="AY956" s="2680"/>
      <c r="AZ956" s="2680"/>
      <c r="BA956" s="5796"/>
      <c r="BB956" s="5796"/>
      <c r="BC956" s="2678"/>
      <c r="BD956" s="5796"/>
      <c r="BE956" s="5796"/>
      <c r="BF956" s="5796"/>
      <c r="BG956" s="5796"/>
      <c r="BH956" s="5152">
        <v>1086806.245</v>
      </c>
      <c r="BI956" s="5796"/>
      <c r="BJ956" s="5796"/>
      <c r="BK956" s="5796"/>
      <c r="BL956" s="5796"/>
      <c r="BM956" s="5796"/>
      <c r="BN956" s="5796"/>
      <c r="BO956" s="5331"/>
      <c r="BP956" s="5331"/>
      <c r="BQ956" s="5331"/>
      <c r="BR956" s="5331"/>
      <c r="BS956" s="5331"/>
      <c r="BT956" s="5331"/>
      <c r="BU956" s="5331"/>
      <c r="BV956" s="2680">
        <v>1086806.245</v>
      </c>
      <c r="BW956" s="5331"/>
      <c r="BX956" s="5331"/>
      <c r="BY956" s="5331"/>
      <c r="BZ956" s="5331"/>
      <c r="CA956" s="5331"/>
      <c r="CB956" s="5331"/>
      <c r="CC956" s="2680"/>
      <c r="CD956" s="2680"/>
      <c r="CE956" s="5169"/>
      <c r="CF956" s="5169"/>
      <c r="CG956" s="5169"/>
      <c r="CH956" s="5169"/>
    </row>
    <row r="957" s="4965" customFormat="1" ht="61" customHeight="1" spans="1:86">
      <c r="A957" s="2680"/>
      <c r="B957" s="5994"/>
      <c r="C957" s="4026"/>
      <c r="D957" s="5995"/>
      <c r="E957" s="4026"/>
      <c r="F957" s="5998"/>
      <c r="G957" s="5821"/>
      <c r="H957" s="4026"/>
      <c r="I957" s="5821"/>
      <c r="J957" s="5821"/>
      <c r="K957" s="5821"/>
      <c r="L957" s="4026"/>
      <c r="M957" s="5821"/>
      <c r="N957" s="2680"/>
      <c r="O957" s="2680"/>
      <c r="P957" s="2680"/>
      <c r="Q957" s="2680"/>
      <c r="R957" s="2680"/>
      <c r="S957" s="2680"/>
      <c r="T957" s="2680"/>
      <c r="U957" s="2680"/>
      <c r="V957" s="2680"/>
      <c r="W957" s="2680"/>
      <c r="X957" s="2680"/>
      <c r="Y957" s="2680"/>
      <c r="Z957" s="2680"/>
      <c r="AA957" s="2680"/>
      <c r="AB957" s="2680"/>
      <c r="AC957" s="5821"/>
      <c r="AD957" s="5998"/>
      <c r="AE957" s="6002"/>
      <c r="AF957" s="6003"/>
      <c r="AG957" s="4813">
        <f t="shared" si="188"/>
        <v>151414.16</v>
      </c>
      <c r="AH957" s="6005" t="s">
        <v>206</v>
      </c>
      <c r="AI957" s="5733">
        <v>45590</v>
      </c>
      <c r="AJ957" s="5863">
        <v>151414.16</v>
      </c>
      <c r="AK957" s="5733">
        <v>45590</v>
      </c>
      <c r="AL957" s="2680">
        <v>151414.16</v>
      </c>
      <c r="AM957" s="2678">
        <v>45590</v>
      </c>
      <c r="AN957" s="3812">
        <f>SUM(BO957:CB957)</f>
        <v>151414.16</v>
      </c>
      <c r="AO957" s="2678">
        <v>45625</v>
      </c>
      <c r="AP957" s="3812">
        <f>AG957-AN957</f>
        <v>0</v>
      </c>
      <c r="AQ957" s="1035" t="s">
        <v>1834</v>
      </c>
      <c r="AR957" s="2680"/>
      <c r="AS957" s="1035" t="s">
        <v>1835</v>
      </c>
      <c r="AT957" s="5331"/>
      <c r="AU957" s="2680"/>
      <c r="AV957" s="2680"/>
      <c r="AW957" s="2680"/>
      <c r="AX957" s="2680"/>
      <c r="AY957" s="2680"/>
      <c r="AZ957" s="2680"/>
      <c r="BA957" s="5331"/>
      <c r="BB957" s="5331"/>
      <c r="BC957" s="2680"/>
      <c r="BD957" s="5331"/>
      <c r="BE957" s="5331"/>
      <c r="BF957" s="5331"/>
      <c r="BG957" s="5331"/>
      <c r="BH957" s="5958">
        <v>151414.16</v>
      </c>
      <c r="BI957" s="5331"/>
      <c r="BJ957" s="5331"/>
      <c r="BK957" s="5331"/>
      <c r="BL957" s="5331"/>
      <c r="BM957" s="5331"/>
      <c r="BN957" s="5331"/>
      <c r="BO957" s="5331"/>
      <c r="BP957" s="5331"/>
      <c r="BQ957" s="5331"/>
      <c r="BR957" s="5331"/>
      <c r="BS957" s="5331"/>
      <c r="BT957" s="5331"/>
      <c r="BU957" s="5331"/>
      <c r="BV957" s="5331">
        <v>151414.16</v>
      </c>
      <c r="BW957" s="5331"/>
      <c r="BX957" s="5331"/>
      <c r="BY957" s="5331"/>
      <c r="BZ957" s="5331"/>
      <c r="CA957" s="5331"/>
      <c r="CB957" s="5331"/>
      <c r="CC957" s="2680"/>
      <c r="CD957" s="2680"/>
      <c r="CE957" s="5169"/>
      <c r="CF957" s="5169"/>
      <c r="CG957" s="5169"/>
      <c r="CH957" s="5169"/>
    </row>
    <row r="958" s="4965" customFormat="1" ht="61" customHeight="1" spans="1:86">
      <c r="A958" s="2680"/>
      <c r="B958" s="5996"/>
      <c r="C958" s="3927"/>
      <c r="D958" s="5997"/>
      <c r="E958" s="3927"/>
      <c r="F958" s="5876"/>
      <c r="G958" s="5822"/>
      <c r="H958" s="3927"/>
      <c r="I958" s="5821"/>
      <c r="J958" s="5822"/>
      <c r="K958" s="5822"/>
      <c r="L958" s="3927"/>
      <c r="M958" s="5822"/>
      <c r="N958" s="5079"/>
      <c r="O958" s="5079"/>
      <c r="P958" s="5079"/>
      <c r="Q958" s="5079"/>
      <c r="R958" s="5079"/>
      <c r="S958" s="5079"/>
      <c r="T958" s="5079"/>
      <c r="U958" s="5079"/>
      <c r="V958" s="5079"/>
      <c r="W958" s="5079"/>
      <c r="X958" s="5079"/>
      <c r="Y958" s="5079"/>
      <c r="Z958" s="5079"/>
      <c r="AA958" s="5079"/>
      <c r="AB958" s="5079"/>
      <c r="AC958" s="5822"/>
      <c r="AD958" s="5876"/>
      <c r="AE958" s="6004"/>
      <c r="AF958" s="5877"/>
      <c r="AG958" s="4813">
        <f t="shared" si="188"/>
        <v>389932.24</v>
      </c>
      <c r="AH958" s="6006" t="s">
        <v>122</v>
      </c>
      <c r="AI958" s="5733">
        <v>45638</v>
      </c>
      <c r="AJ958" s="5733">
        <v>389932.24</v>
      </c>
      <c r="AK958" s="5733">
        <v>45638</v>
      </c>
      <c r="AL958" s="3524"/>
      <c r="AM958" s="3524"/>
      <c r="AN958" s="3812"/>
      <c r="AO958" s="3524"/>
      <c r="AP958" s="3812"/>
      <c r="AQ958" s="1035" t="s">
        <v>1836</v>
      </c>
      <c r="AR958" s="3524"/>
      <c r="AS958" s="3742"/>
      <c r="AT958" s="5122"/>
      <c r="AU958" s="3524"/>
      <c r="AV958" s="3524"/>
      <c r="AW958" s="3524"/>
      <c r="AX958" s="3524"/>
      <c r="AY958" s="3524"/>
      <c r="AZ958" s="3524"/>
      <c r="BA958" s="5122"/>
      <c r="BB958" s="5122"/>
      <c r="BC958" s="3524"/>
      <c r="BD958" s="5122"/>
      <c r="BE958" s="5122"/>
      <c r="BF958" s="5122"/>
      <c r="BG958" s="5122"/>
      <c r="BH958" s="5958">
        <v>389932.24</v>
      </c>
      <c r="BI958" s="5122"/>
      <c r="BJ958" s="5122"/>
      <c r="BK958" s="5122"/>
      <c r="BL958" s="5122"/>
      <c r="BM958" s="5122"/>
      <c r="BN958" s="5122"/>
      <c r="BO958" s="5122"/>
      <c r="BP958" s="5122"/>
      <c r="BQ958" s="5122"/>
      <c r="BR958" s="5122"/>
      <c r="BS958" s="5122"/>
      <c r="BT958" s="5122"/>
      <c r="BU958" s="5122"/>
      <c r="BV958" s="5948">
        <v>389932.24</v>
      </c>
      <c r="BW958" s="5122"/>
      <c r="BX958" s="5122"/>
      <c r="BY958" s="5122"/>
      <c r="BZ958" s="5122"/>
      <c r="CA958" s="5122"/>
      <c r="CB958" s="5122"/>
      <c r="CC958" s="3524"/>
      <c r="CD958" s="3524"/>
      <c r="CE958" s="5169"/>
      <c r="CF958" s="5169"/>
      <c r="CG958" s="5169"/>
      <c r="CH958" s="5169"/>
    </row>
    <row r="959" s="4972" customFormat="1" ht="61" customHeight="1" spans="1:86">
      <c r="A959" s="3662">
        <v>14</v>
      </c>
      <c r="B959" s="5814" t="s">
        <v>1186</v>
      </c>
      <c r="C959" s="5814">
        <v>43307</v>
      </c>
      <c r="D959" s="5055" t="s">
        <v>1838</v>
      </c>
      <c r="E959" s="3742" t="s">
        <v>171</v>
      </c>
      <c r="F959" s="5053" t="s">
        <v>1839</v>
      </c>
      <c r="G959" s="5053" t="s">
        <v>1827</v>
      </c>
      <c r="H959" s="5053" t="s">
        <v>31</v>
      </c>
      <c r="I959" s="5069"/>
      <c r="J959" s="5053" t="s">
        <v>1829</v>
      </c>
      <c r="K959" s="5053">
        <v>270000</v>
      </c>
      <c r="L959" s="5053" t="s">
        <v>1840</v>
      </c>
      <c r="M959" s="5053">
        <f>SUM(N959:AA964)</f>
        <v>2250000</v>
      </c>
      <c r="N959" s="5079">
        <v>0</v>
      </c>
      <c r="O959" s="5079">
        <v>0</v>
      </c>
      <c r="P959" s="5079">
        <v>0</v>
      </c>
      <c r="Q959" s="5079">
        <v>0</v>
      </c>
      <c r="R959" s="5079">
        <v>0</v>
      </c>
      <c r="S959" s="5079">
        <v>0</v>
      </c>
      <c r="T959" s="5825">
        <v>0</v>
      </c>
      <c r="U959" s="5079">
        <v>2250000</v>
      </c>
      <c r="V959" s="5079">
        <v>0</v>
      </c>
      <c r="W959" s="5079">
        <v>0</v>
      </c>
      <c r="X959" s="5079">
        <v>0</v>
      </c>
      <c r="Y959" s="5079"/>
      <c r="Z959" s="5079"/>
      <c r="AA959" s="5079">
        <v>0</v>
      </c>
      <c r="AB959" s="5079">
        <v>0</v>
      </c>
      <c r="AC959" s="5053">
        <v>1</v>
      </c>
      <c r="AD959" s="5845" t="s">
        <v>1841</v>
      </c>
      <c r="AE959" s="5846">
        <v>0.15</v>
      </c>
      <c r="AF959" s="5815">
        <v>337500</v>
      </c>
      <c r="AG959" s="3708">
        <f>AF959</f>
        <v>337500</v>
      </c>
      <c r="AH959" s="3823"/>
      <c r="AI959" s="3708"/>
      <c r="AJ959" s="3662"/>
      <c r="AK959" s="3662"/>
      <c r="AL959" s="3662"/>
      <c r="AM959" s="3662"/>
      <c r="AN959" s="3684">
        <f t="shared" ref="AN959:AN976" si="191">SUM(BO959:CB959)</f>
        <v>0</v>
      </c>
      <c r="AO959" s="3662"/>
      <c r="AP959" s="3684">
        <f t="shared" ref="AP959:AP988" si="192">AG959-AN959</f>
        <v>337500</v>
      </c>
      <c r="AQ959" s="5127"/>
      <c r="AR959" s="3662"/>
      <c r="AS959" s="5053" t="s">
        <v>1842</v>
      </c>
      <c r="AT959" s="5127"/>
      <c r="AU959" s="3662">
        <f>SUM(AG959:AG964)</f>
        <v>337500</v>
      </c>
      <c r="AV959" s="3662">
        <f>SUM(AL959:AL964)</f>
        <v>0</v>
      </c>
      <c r="AW959" s="3662">
        <f>SUM(AN959:AN964)</f>
        <v>0</v>
      </c>
      <c r="AX959" s="3662">
        <f>M959-AU959</f>
        <v>1912500</v>
      </c>
      <c r="AY959" s="3662">
        <f>AU959-AV959</f>
        <v>337500</v>
      </c>
      <c r="AZ959" s="3662">
        <f>AV959-AW959</f>
        <v>0</v>
      </c>
      <c r="BA959" s="5127"/>
      <c r="BB959" s="5127"/>
      <c r="BC959" s="3662"/>
      <c r="BD959" s="5127"/>
      <c r="BE959" s="5127"/>
      <c r="BF959" s="5127"/>
      <c r="BG959" s="5127"/>
      <c r="BH959" s="6012">
        <v>337500</v>
      </c>
      <c r="BI959" s="5127"/>
      <c r="BJ959" s="5127"/>
      <c r="BK959" s="5127"/>
      <c r="BL959" s="5127"/>
      <c r="BM959" s="5127"/>
      <c r="BN959" s="5127"/>
      <c r="BO959" s="5127"/>
      <c r="BP959" s="5127"/>
      <c r="BQ959" s="5127"/>
      <c r="BR959" s="5127"/>
      <c r="BS959" s="5127"/>
      <c r="BT959" s="5127"/>
      <c r="BU959" s="5127"/>
      <c r="BV959" s="5127"/>
      <c r="BW959" s="5127"/>
      <c r="BX959" s="5127"/>
      <c r="BY959" s="5127"/>
      <c r="BZ959" s="5127"/>
      <c r="CA959" s="5127"/>
      <c r="CB959" s="5127"/>
      <c r="CC959" s="3662"/>
      <c r="CD959" s="3662"/>
      <c r="CE959" s="5170"/>
      <c r="CF959" s="5170"/>
      <c r="CG959" s="5170"/>
      <c r="CH959" s="5170"/>
    </row>
    <row r="960" s="4972" customFormat="1" ht="61" customHeight="1" spans="1:86">
      <c r="A960" s="3662"/>
      <c r="B960" s="5814"/>
      <c r="C960" s="5814"/>
      <c r="D960" s="5053"/>
      <c r="E960" s="3742"/>
      <c r="F960" s="5053"/>
      <c r="G960" s="5053"/>
      <c r="H960" s="5053"/>
      <c r="I960" s="5065"/>
      <c r="J960" s="5053"/>
      <c r="K960" s="5053"/>
      <c r="L960" s="5053"/>
      <c r="M960" s="5053"/>
      <c r="N960" s="5079"/>
      <c r="O960" s="5079"/>
      <c r="P960" s="5079"/>
      <c r="Q960" s="5079"/>
      <c r="R960" s="5079"/>
      <c r="S960" s="5079"/>
      <c r="T960" s="5079"/>
      <c r="U960" s="5079"/>
      <c r="V960" s="5079"/>
      <c r="W960" s="5079"/>
      <c r="X960" s="5079"/>
      <c r="Y960" s="5079"/>
      <c r="Z960" s="5079"/>
      <c r="AA960" s="5079"/>
      <c r="AB960" s="5079"/>
      <c r="AC960" s="5053">
        <v>2</v>
      </c>
      <c r="AD960" s="5845" t="s">
        <v>1843</v>
      </c>
      <c r="AE960" s="5846">
        <v>0.2</v>
      </c>
      <c r="AF960" s="5815">
        <v>450000</v>
      </c>
      <c r="AG960" s="3684">
        <f t="shared" ref="AG959:AG978" si="193">SUM(BA960:BN960)</f>
        <v>0</v>
      </c>
      <c r="AH960" s="3662"/>
      <c r="AI960" s="3662"/>
      <c r="AJ960" s="3662"/>
      <c r="AK960" s="3662"/>
      <c r="AL960" s="3662"/>
      <c r="AM960" s="3662"/>
      <c r="AN960" s="3684">
        <f t="shared" si="191"/>
        <v>0</v>
      </c>
      <c r="AO960" s="3662"/>
      <c r="AP960" s="3684">
        <f t="shared" si="192"/>
        <v>0</v>
      </c>
      <c r="AQ960" s="5127"/>
      <c r="AR960" s="3662"/>
      <c r="AS960" s="5053"/>
      <c r="AT960" s="5127"/>
      <c r="AU960" s="3662"/>
      <c r="AV960" s="3662"/>
      <c r="AW960" s="3662"/>
      <c r="AX960" s="3662"/>
      <c r="AY960" s="3662"/>
      <c r="AZ960" s="3662"/>
      <c r="BA960" s="5127"/>
      <c r="BB960" s="5127"/>
      <c r="BC960" s="3662"/>
      <c r="BD960" s="5127"/>
      <c r="BE960" s="5127"/>
      <c r="BF960" s="5127"/>
      <c r="BG960" s="5127"/>
      <c r="BH960" s="6012"/>
      <c r="BI960" s="5127"/>
      <c r="BJ960" s="5127"/>
      <c r="BK960" s="5127"/>
      <c r="BL960" s="5127"/>
      <c r="BM960" s="5127"/>
      <c r="BN960" s="5127"/>
      <c r="BO960" s="5127"/>
      <c r="BP960" s="5127"/>
      <c r="BQ960" s="5127"/>
      <c r="BR960" s="5127"/>
      <c r="BS960" s="5127"/>
      <c r="BT960" s="5127"/>
      <c r="BU960" s="5127"/>
      <c r="BV960" s="5127"/>
      <c r="BW960" s="5127"/>
      <c r="BX960" s="5127"/>
      <c r="BY960" s="5127"/>
      <c r="BZ960" s="5127"/>
      <c r="CA960" s="5127"/>
      <c r="CB960" s="5127"/>
      <c r="CC960" s="3662"/>
      <c r="CD960" s="3662"/>
      <c r="CE960" s="5170"/>
      <c r="CF960" s="5170"/>
      <c r="CG960" s="5170"/>
      <c r="CH960" s="5170"/>
    </row>
    <row r="961" s="4972" customFormat="1" ht="61" customHeight="1" spans="1:86">
      <c r="A961" s="3662"/>
      <c r="B961" s="5814"/>
      <c r="C961" s="5814"/>
      <c r="D961" s="5053"/>
      <c r="E961" s="3742"/>
      <c r="F961" s="5053"/>
      <c r="G961" s="5053"/>
      <c r="H961" s="5053"/>
      <c r="I961" s="5065"/>
      <c r="J961" s="5053"/>
      <c r="K961" s="5053"/>
      <c r="L961" s="5053"/>
      <c r="M961" s="5053"/>
      <c r="N961" s="5079"/>
      <c r="O961" s="5079"/>
      <c r="P961" s="5079"/>
      <c r="Q961" s="5079"/>
      <c r="R961" s="5079"/>
      <c r="S961" s="5079"/>
      <c r="T961" s="5079"/>
      <c r="U961" s="5079"/>
      <c r="V961" s="5079"/>
      <c r="W961" s="5079"/>
      <c r="X961" s="5079"/>
      <c r="Y961" s="5079"/>
      <c r="Z961" s="5079"/>
      <c r="AA961" s="5079"/>
      <c r="AB961" s="5079"/>
      <c r="AC961" s="5053">
        <v>3</v>
      </c>
      <c r="AD961" s="5845" t="s">
        <v>1844</v>
      </c>
      <c r="AE961" s="5846">
        <v>0.2</v>
      </c>
      <c r="AF961" s="5815">
        <v>450000</v>
      </c>
      <c r="AG961" s="3684">
        <f t="shared" si="193"/>
        <v>0</v>
      </c>
      <c r="AH961" s="3662"/>
      <c r="AI961" s="3662"/>
      <c r="AJ961" s="3662"/>
      <c r="AK961" s="3662"/>
      <c r="AL961" s="3662"/>
      <c r="AM961" s="3662"/>
      <c r="AN961" s="3684">
        <f t="shared" si="191"/>
        <v>0</v>
      </c>
      <c r="AO961" s="3662"/>
      <c r="AP961" s="3684">
        <f t="shared" si="192"/>
        <v>0</v>
      </c>
      <c r="AQ961" s="5127"/>
      <c r="AR961" s="3662"/>
      <c r="AS961" s="5053"/>
      <c r="AT961" s="5127"/>
      <c r="AU961" s="3662"/>
      <c r="AV961" s="3662"/>
      <c r="AW961" s="3662"/>
      <c r="AX961" s="3662"/>
      <c r="AY961" s="3662"/>
      <c r="AZ961" s="3662"/>
      <c r="BA961" s="5127"/>
      <c r="BB961" s="5127"/>
      <c r="BC961" s="3662"/>
      <c r="BD961" s="5127"/>
      <c r="BE961" s="5127"/>
      <c r="BF961" s="5127"/>
      <c r="BG961" s="5127"/>
      <c r="BH961" s="6012"/>
      <c r="BI961" s="5127"/>
      <c r="BJ961" s="5127"/>
      <c r="BK961" s="5127"/>
      <c r="BL961" s="5127"/>
      <c r="BM961" s="5127"/>
      <c r="BN961" s="5127"/>
      <c r="BO961" s="5127"/>
      <c r="BP961" s="5127"/>
      <c r="BQ961" s="5127"/>
      <c r="BR961" s="5127"/>
      <c r="BS961" s="5127"/>
      <c r="BT961" s="5127"/>
      <c r="BU961" s="5127"/>
      <c r="BV961" s="5127"/>
      <c r="BW961" s="5127"/>
      <c r="BX961" s="5127"/>
      <c r="BY961" s="5127"/>
      <c r="BZ961" s="5127"/>
      <c r="CA961" s="5127"/>
      <c r="CB961" s="5127"/>
      <c r="CC961" s="3662"/>
      <c r="CD961" s="3662"/>
      <c r="CE961" s="5170"/>
      <c r="CF961" s="5170"/>
      <c r="CG961" s="5170"/>
      <c r="CH961" s="5170"/>
    </row>
    <row r="962" s="4972" customFormat="1" ht="61" customHeight="1" spans="1:86">
      <c r="A962" s="3662"/>
      <c r="B962" s="5814"/>
      <c r="C962" s="5814"/>
      <c r="D962" s="5053"/>
      <c r="E962" s="3742"/>
      <c r="F962" s="5053"/>
      <c r="G962" s="5053"/>
      <c r="H962" s="5053"/>
      <c r="I962" s="5065"/>
      <c r="J962" s="5053"/>
      <c r="K962" s="5053"/>
      <c r="L962" s="5053"/>
      <c r="M962" s="5053"/>
      <c r="N962" s="5079"/>
      <c r="O962" s="5079"/>
      <c r="P962" s="5079"/>
      <c r="Q962" s="5079"/>
      <c r="R962" s="5079"/>
      <c r="S962" s="5079"/>
      <c r="T962" s="5079"/>
      <c r="U962" s="5079"/>
      <c r="V962" s="5079"/>
      <c r="W962" s="5079"/>
      <c r="X962" s="5079"/>
      <c r="Y962" s="5079"/>
      <c r="Z962" s="5079"/>
      <c r="AA962" s="5079"/>
      <c r="AB962" s="5079"/>
      <c r="AC962" s="5053">
        <v>4</v>
      </c>
      <c r="AD962" s="5845" t="s">
        <v>1845</v>
      </c>
      <c r="AE962" s="5846">
        <v>0.2</v>
      </c>
      <c r="AF962" s="5815">
        <v>450000</v>
      </c>
      <c r="AG962" s="3684">
        <f t="shared" si="193"/>
        <v>0</v>
      </c>
      <c r="AH962" s="3662"/>
      <c r="AI962" s="3662"/>
      <c r="AJ962" s="3662"/>
      <c r="AK962" s="3662"/>
      <c r="AL962" s="3662"/>
      <c r="AM962" s="3662"/>
      <c r="AN962" s="3684">
        <f t="shared" si="191"/>
        <v>0</v>
      </c>
      <c r="AO962" s="3662"/>
      <c r="AP962" s="3684">
        <f t="shared" si="192"/>
        <v>0</v>
      </c>
      <c r="AQ962" s="5127"/>
      <c r="AR962" s="3662"/>
      <c r="AS962" s="5053"/>
      <c r="AT962" s="5127"/>
      <c r="AU962" s="3662"/>
      <c r="AV962" s="3662"/>
      <c r="AW962" s="3662"/>
      <c r="AX962" s="3662"/>
      <c r="AY962" s="3662"/>
      <c r="AZ962" s="3662"/>
      <c r="BA962" s="5127"/>
      <c r="BB962" s="5127"/>
      <c r="BC962" s="3662"/>
      <c r="BD962" s="5127"/>
      <c r="BE962" s="5127"/>
      <c r="BF962" s="5127"/>
      <c r="BG962" s="5127"/>
      <c r="BH962" s="6012"/>
      <c r="BI962" s="5127"/>
      <c r="BJ962" s="5127"/>
      <c r="BK962" s="5127"/>
      <c r="BL962" s="5127"/>
      <c r="BM962" s="5127"/>
      <c r="BN962" s="5127"/>
      <c r="BO962" s="5127"/>
      <c r="BP962" s="5127"/>
      <c r="BQ962" s="5127"/>
      <c r="BR962" s="5127"/>
      <c r="BS962" s="5127"/>
      <c r="BT962" s="5127"/>
      <c r="BU962" s="5127"/>
      <c r="BV962" s="5127"/>
      <c r="BW962" s="5127"/>
      <c r="BX962" s="5127"/>
      <c r="BY962" s="5127"/>
      <c r="BZ962" s="5127"/>
      <c r="CA962" s="5127"/>
      <c r="CB962" s="5127"/>
      <c r="CC962" s="3662"/>
      <c r="CD962" s="3662"/>
      <c r="CE962" s="5170"/>
      <c r="CF962" s="5170"/>
      <c r="CG962" s="5170"/>
      <c r="CH962" s="5170"/>
    </row>
    <row r="963" s="4972" customFormat="1" ht="61" customHeight="1" spans="1:86">
      <c r="A963" s="3662"/>
      <c r="B963" s="5814"/>
      <c r="C963" s="5814"/>
      <c r="D963" s="5053"/>
      <c r="E963" s="3742"/>
      <c r="F963" s="5053"/>
      <c r="G963" s="5053"/>
      <c r="H963" s="5053"/>
      <c r="I963" s="5065"/>
      <c r="J963" s="5053"/>
      <c r="K963" s="5053"/>
      <c r="L963" s="5053"/>
      <c r="M963" s="5053"/>
      <c r="N963" s="5079"/>
      <c r="O963" s="5079"/>
      <c r="P963" s="5079"/>
      <c r="Q963" s="5079"/>
      <c r="R963" s="5079"/>
      <c r="S963" s="5079"/>
      <c r="T963" s="5079"/>
      <c r="U963" s="5079"/>
      <c r="V963" s="5079"/>
      <c r="W963" s="5079"/>
      <c r="X963" s="5079"/>
      <c r="Y963" s="5079"/>
      <c r="Z963" s="5079"/>
      <c r="AA963" s="5079"/>
      <c r="AB963" s="5079"/>
      <c r="AC963" s="5053">
        <v>5</v>
      </c>
      <c r="AD963" s="5845" t="s">
        <v>1846</v>
      </c>
      <c r="AE963" s="5846">
        <v>0.1</v>
      </c>
      <c r="AF963" s="5815">
        <v>225000</v>
      </c>
      <c r="AG963" s="3684">
        <f t="shared" si="193"/>
        <v>0</v>
      </c>
      <c r="AH963" s="3662"/>
      <c r="AI963" s="3662"/>
      <c r="AJ963" s="3662"/>
      <c r="AK963" s="3662"/>
      <c r="AL963" s="3662"/>
      <c r="AM963" s="3662"/>
      <c r="AN963" s="3684">
        <f t="shared" si="191"/>
        <v>0</v>
      </c>
      <c r="AO963" s="3662"/>
      <c r="AP963" s="3684">
        <f t="shared" si="192"/>
        <v>0</v>
      </c>
      <c r="AQ963" s="5127"/>
      <c r="AR963" s="3662"/>
      <c r="AS963" s="5053"/>
      <c r="AT963" s="5127"/>
      <c r="AU963" s="3662"/>
      <c r="AV963" s="3662"/>
      <c r="AW963" s="3662"/>
      <c r="AX963" s="3662"/>
      <c r="AY963" s="3662"/>
      <c r="AZ963" s="3662"/>
      <c r="BA963" s="5127"/>
      <c r="BB963" s="5127"/>
      <c r="BC963" s="3662"/>
      <c r="BD963" s="5127"/>
      <c r="BE963" s="5127"/>
      <c r="BF963" s="5127"/>
      <c r="BG963" s="5127"/>
      <c r="BH963" s="6012"/>
      <c r="BI963" s="5127"/>
      <c r="BJ963" s="5127"/>
      <c r="BK963" s="5127"/>
      <c r="BL963" s="5127"/>
      <c r="BM963" s="5127"/>
      <c r="BN963" s="5127"/>
      <c r="BO963" s="5127"/>
      <c r="BP963" s="5127"/>
      <c r="BQ963" s="5127"/>
      <c r="BR963" s="5127"/>
      <c r="BS963" s="5127"/>
      <c r="BT963" s="5127"/>
      <c r="BU963" s="5127"/>
      <c r="BV963" s="5127"/>
      <c r="BW963" s="5127"/>
      <c r="BX963" s="5127"/>
      <c r="BY963" s="5127"/>
      <c r="BZ963" s="5127"/>
      <c r="CA963" s="5127"/>
      <c r="CB963" s="5127"/>
      <c r="CC963" s="3662"/>
      <c r="CD963" s="3662"/>
      <c r="CE963" s="5170"/>
      <c r="CF963" s="5170"/>
      <c r="CG963" s="5170"/>
      <c r="CH963" s="5170"/>
    </row>
    <row r="964" s="4972" customFormat="1" ht="61" customHeight="1" spans="1:86">
      <c r="A964" s="3662"/>
      <c r="B964" s="5814"/>
      <c r="C964" s="5814"/>
      <c r="D964" s="5053"/>
      <c r="E964" s="3742"/>
      <c r="F964" s="5053"/>
      <c r="G964" s="5053"/>
      <c r="H964" s="5053"/>
      <c r="I964" s="5062"/>
      <c r="J964" s="5053"/>
      <c r="K964" s="5053"/>
      <c r="L964" s="5053"/>
      <c r="M964" s="5053"/>
      <c r="N964" s="5079"/>
      <c r="O964" s="5079"/>
      <c r="P964" s="5079"/>
      <c r="Q964" s="5079"/>
      <c r="R964" s="5079"/>
      <c r="S964" s="5079"/>
      <c r="T964" s="5079"/>
      <c r="U964" s="5079"/>
      <c r="V964" s="5079"/>
      <c r="W964" s="5079"/>
      <c r="X964" s="5079"/>
      <c r="Y964" s="5079"/>
      <c r="Z964" s="5079"/>
      <c r="AA964" s="5079"/>
      <c r="AB964" s="5079"/>
      <c r="AC964" s="5053">
        <v>6</v>
      </c>
      <c r="AD964" s="5845" t="s">
        <v>1847</v>
      </c>
      <c r="AE964" s="5846">
        <v>0.15</v>
      </c>
      <c r="AF964" s="5815">
        <v>337500</v>
      </c>
      <c r="AG964" s="3684">
        <f t="shared" si="193"/>
        <v>0</v>
      </c>
      <c r="AH964" s="3662"/>
      <c r="AI964" s="3662"/>
      <c r="AJ964" s="3662"/>
      <c r="AK964" s="3662"/>
      <c r="AL964" s="3662"/>
      <c r="AM964" s="3662"/>
      <c r="AN964" s="3684">
        <f t="shared" si="191"/>
        <v>0</v>
      </c>
      <c r="AO964" s="3662"/>
      <c r="AP964" s="3684">
        <f t="shared" si="192"/>
        <v>0</v>
      </c>
      <c r="AQ964" s="5127"/>
      <c r="AR964" s="3662"/>
      <c r="AS964" s="5053"/>
      <c r="AT964" s="5127"/>
      <c r="AU964" s="3662"/>
      <c r="AV964" s="3662"/>
      <c r="AW964" s="3662"/>
      <c r="AX964" s="3662"/>
      <c r="AY964" s="3662"/>
      <c r="AZ964" s="3662"/>
      <c r="BA964" s="5127"/>
      <c r="BB964" s="5127"/>
      <c r="BC964" s="3662"/>
      <c r="BD964" s="5127"/>
      <c r="BE964" s="5127"/>
      <c r="BF964" s="5127"/>
      <c r="BG964" s="5127"/>
      <c r="BH964" s="6012"/>
      <c r="BI964" s="5127"/>
      <c r="BJ964" s="5127"/>
      <c r="BK964" s="5127"/>
      <c r="BL964" s="5127"/>
      <c r="BM964" s="5127"/>
      <c r="BN964" s="5127"/>
      <c r="BO964" s="5127"/>
      <c r="BP964" s="5127"/>
      <c r="BQ964" s="5127"/>
      <c r="BR964" s="5127"/>
      <c r="BS964" s="5127"/>
      <c r="BT964" s="5127"/>
      <c r="BU964" s="5127"/>
      <c r="BV964" s="5127"/>
      <c r="BW964" s="5127"/>
      <c r="BX964" s="5127"/>
      <c r="BY964" s="5127"/>
      <c r="BZ964" s="5127"/>
      <c r="CA964" s="5127"/>
      <c r="CB964" s="5127"/>
      <c r="CC964" s="3662"/>
      <c r="CD964" s="3662"/>
      <c r="CE964" s="5170"/>
      <c r="CF964" s="5170"/>
      <c r="CG964" s="5170"/>
      <c r="CH964" s="5170"/>
    </row>
    <row r="965" s="4965" customFormat="1" ht="61" customHeight="1" spans="1:86">
      <c r="A965" s="2680">
        <v>15</v>
      </c>
      <c r="B965" s="5813" t="s">
        <v>1186</v>
      </c>
      <c r="C965" s="2713">
        <v>43844</v>
      </c>
      <c r="D965" s="1032" t="s">
        <v>1848</v>
      </c>
      <c r="E965" s="3742" t="s">
        <v>1849</v>
      </c>
      <c r="F965" s="3742" t="s">
        <v>1850</v>
      </c>
      <c r="G965" s="5818" t="s">
        <v>1851</v>
      </c>
      <c r="H965" s="2680" t="s">
        <v>31</v>
      </c>
      <c r="I965" s="5820"/>
      <c r="J965" s="5079" t="s">
        <v>1852</v>
      </c>
      <c r="K965" s="5818">
        <v>44980.83</v>
      </c>
      <c r="L965" s="5079" t="s">
        <v>1454</v>
      </c>
      <c r="M965" s="2680">
        <f>SUM(N965:AA967)</f>
        <v>224904.15</v>
      </c>
      <c r="N965" s="2680">
        <v>0</v>
      </c>
      <c r="O965" s="2680">
        <v>0</v>
      </c>
      <c r="P965" s="2680">
        <v>0</v>
      </c>
      <c r="Q965" s="2680">
        <v>0</v>
      </c>
      <c r="R965" s="2680">
        <v>0</v>
      </c>
      <c r="S965" s="2680">
        <v>0</v>
      </c>
      <c r="T965" s="5823">
        <v>0</v>
      </c>
      <c r="U965" s="2680">
        <v>224904.15</v>
      </c>
      <c r="V965" s="2680">
        <v>0</v>
      </c>
      <c r="W965" s="2680">
        <v>0</v>
      </c>
      <c r="X965" s="2680">
        <v>0</v>
      </c>
      <c r="Y965" s="2680"/>
      <c r="Z965" s="2680"/>
      <c r="AA965" s="2680">
        <v>0</v>
      </c>
      <c r="AB965" s="2680">
        <v>0</v>
      </c>
      <c r="AC965" s="5079">
        <v>1</v>
      </c>
      <c r="AD965" s="5842" t="s">
        <v>1853</v>
      </c>
      <c r="AE965" s="5870">
        <v>0.2</v>
      </c>
      <c r="AF965" s="2713">
        <v>44980.83</v>
      </c>
      <c r="AG965" s="3812">
        <f t="shared" si="193"/>
        <v>170009.72</v>
      </c>
      <c r="AH965" s="859" t="s">
        <v>206</v>
      </c>
      <c r="AI965" s="2680">
        <v>43992</v>
      </c>
      <c r="AJ965" s="2680" t="s">
        <v>171</v>
      </c>
      <c r="AK965" s="2680" t="s">
        <v>171</v>
      </c>
      <c r="AL965" s="3812">
        <f>SUM(BF965:BS965)</f>
        <v>170009.72</v>
      </c>
      <c r="AM965" s="2680">
        <v>44138</v>
      </c>
      <c r="AN965" s="3812">
        <f t="shared" si="191"/>
        <v>170009.72</v>
      </c>
      <c r="AO965" s="2678">
        <v>44313</v>
      </c>
      <c r="AP965" s="3812">
        <f t="shared" si="192"/>
        <v>0</v>
      </c>
      <c r="AQ965" s="5857" t="s">
        <v>1854</v>
      </c>
      <c r="AR965" s="2680"/>
      <c r="AS965" s="6017"/>
      <c r="AT965" s="5331"/>
      <c r="AU965" s="2680">
        <f>SUM(AG965:AG967)</f>
        <v>214990.55</v>
      </c>
      <c r="AV965" s="2680">
        <f>SUM(AL965:AL967)</f>
        <v>170009.72</v>
      </c>
      <c r="AW965" s="2680">
        <f>SUM(AN965:AN967)</f>
        <v>170009.72</v>
      </c>
      <c r="AX965" s="2680">
        <f>M965-AU965</f>
        <v>9913.60000000001</v>
      </c>
      <c r="AY965" s="2680">
        <f>AU965-AV965</f>
        <v>44980.83</v>
      </c>
      <c r="AZ965" s="2680">
        <f>AV965-AW965</f>
        <v>0</v>
      </c>
      <c r="BA965" s="5796"/>
      <c r="BB965" s="5796"/>
      <c r="BC965" s="2678"/>
      <c r="BD965" s="5796"/>
      <c r="BE965" s="5796"/>
      <c r="BF965" s="5796"/>
      <c r="BG965" s="5796"/>
      <c r="BH965" s="5152">
        <v>170009.72</v>
      </c>
      <c r="BI965" s="5796"/>
      <c r="BJ965" s="5796"/>
      <c r="BK965" s="5796"/>
      <c r="BL965" s="5796"/>
      <c r="BM965" s="5796"/>
      <c r="BN965" s="5796"/>
      <c r="BO965" s="5796"/>
      <c r="BP965" s="5796"/>
      <c r="BQ965" s="5796"/>
      <c r="BR965" s="5796"/>
      <c r="BS965" s="5796"/>
      <c r="BT965" s="5796"/>
      <c r="BU965" s="5796"/>
      <c r="BV965" s="857">
        <v>170009.72</v>
      </c>
      <c r="BW965" s="5796"/>
      <c r="BX965" s="5796"/>
      <c r="BY965" s="5796"/>
      <c r="BZ965" s="5796"/>
      <c r="CA965" s="5796"/>
      <c r="CB965" s="5796"/>
      <c r="CC965" s="2680"/>
      <c r="CD965" s="2680"/>
      <c r="CE965" s="5169"/>
      <c r="CF965" s="5169"/>
      <c r="CG965" s="5169"/>
      <c r="CH965" s="5169"/>
    </row>
    <row r="966" s="4965" customFormat="1" ht="61" customHeight="1" spans="1:86">
      <c r="A966" s="2680"/>
      <c r="B966" s="5813"/>
      <c r="C966" s="2713"/>
      <c r="D966" s="3742"/>
      <c r="E966" s="3742"/>
      <c r="F966" s="3742"/>
      <c r="G966" s="5818"/>
      <c r="H966" s="2680"/>
      <c r="I966" s="5821"/>
      <c r="J966" s="5079"/>
      <c r="K966" s="5818"/>
      <c r="L966" s="5079"/>
      <c r="M966" s="2680"/>
      <c r="N966" s="2680"/>
      <c r="O966" s="2680"/>
      <c r="P966" s="2680"/>
      <c r="Q966" s="2680"/>
      <c r="R966" s="2680"/>
      <c r="S966" s="2680"/>
      <c r="T966" s="2680"/>
      <c r="U966" s="2680"/>
      <c r="V966" s="2680"/>
      <c r="W966" s="2680"/>
      <c r="X966" s="2680"/>
      <c r="Y966" s="2680"/>
      <c r="Z966" s="2680"/>
      <c r="AA966" s="2680"/>
      <c r="AB966" s="2680"/>
      <c r="AC966" s="5079">
        <v>2</v>
      </c>
      <c r="AD966" s="5842" t="s">
        <v>1855</v>
      </c>
      <c r="AE966" s="5818">
        <v>0.6</v>
      </c>
      <c r="AF966" s="2713">
        <v>134942.49</v>
      </c>
      <c r="AG966" s="3812"/>
      <c r="AH966" s="859"/>
      <c r="AI966" s="2680"/>
      <c r="AJ966" s="2680"/>
      <c r="AK966" s="2680"/>
      <c r="AL966" s="3812"/>
      <c r="AM966" s="2680"/>
      <c r="AN966" s="3812"/>
      <c r="AO966" s="2678"/>
      <c r="AP966" s="3812">
        <f t="shared" si="192"/>
        <v>0</v>
      </c>
      <c r="AQ966" s="5857"/>
      <c r="AR966" s="2680"/>
      <c r="AS966" s="6018"/>
      <c r="AT966" s="5331"/>
      <c r="AU966" s="2680"/>
      <c r="AV966" s="2680"/>
      <c r="AW966" s="2680"/>
      <c r="AX966" s="2680"/>
      <c r="AY966" s="2680"/>
      <c r="AZ966" s="2680"/>
      <c r="BA966" s="5796"/>
      <c r="BB966" s="5796"/>
      <c r="BC966" s="2678"/>
      <c r="BD966" s="5796"/>
      <c r="BE966" s="5796"/>
      <c r="BF966" s="5796"/>
      <c r="BG966" s="5796"/>
      <c r="BH966" s="5152"/>
      <c r="BI966" s="5796"/>
      <c r="BJ966" s="5796"/>
      <c r="BK966" s="5796"/>
      <c r="BL966" s="5796"/>
      <c r="BM966" s="5796"/>
      <c r="BN966" s="5796"/>
      <c r="BO966" s="5796"/>
      <c r="BP966" s="5796"/>
      <c r="BQ966" s="5796"/>
      <c r="BR966" s="5796"/>
      <c r="BS966" s="5796"/>
      <c r="BT966" s="5796"/>
      <c r="BU966" s="5796"/>
      <c r="BV966" s="857"/>
      <c r="BW966" s="5796"/>
      <c r="BX966" s="5796"/>
      <c r="BY966" s="5796"/>
      <c r="BZ966" s="5796"/>
      <c r="CA966" s="5796"/>
      <c r="CB966" s="5796"/>
      <c r="CC966" s="2680"/>
      <c r="CD966" s="2680"/>
      <c r="CE966" s="5169"/>
      <c r="CF966" s="5169"/>
      <c r="CG966" s="5169"/>
      <c r="CH966" s="5169"/>
    </row>
    <row r="967" s="4965" customFormat="1" ht="61" customHeight="1" spans="1:86">
      <c r="A967" s="2680"/>
      <c r="B967" s="5813"/>
      <c r="C967" s="2713"/>
      <c r="D967" s="3742"/>
      <c r="E967" s="3742"/>
      <c r="F967" s="3742"/>
      <c r="G967" s="5818"/>
      <c r="H967" s="2680"/>
      <c r="I967" s="5822"/>
      <c r="J967" s="5079"/>
      <c r="K967" s="5818"/>
      <c r="L967" s="5079"/>
      <c r="M967" s="2680"/>
      <c r="N967" s="2680"/>
      <c r="O967" s="2680"/>
      <c r="P967" s="2680"/>
      <c r="Q967" s="2680"/>
      <c r="R967" s="2680"/>
      <c r="S967" s="2680"/>
      <c r="T967" s="2680"/>
      <c r="U967" s="2680"/>
      <c r="V967" s="2680"/>
      <c r="W967" s="2680"/>
      <c r="X967" s="2680"/>
      <c r="Y967" s="2680"/>
      <c r="Z967" s="2680"/>
      <c r="AA967" s="2680"/>
      <c r="AB967" s="2680"/>
      <c r="AC967" s="5079">
        <v>3</v>
      </c>
      <c r="AD967" s="5842" t="s">
        <v>272</v>
      </c>
      <c r="AE967" s="5870">
        <v>0.2</v>
      </c>
      <c r="AF967" s="857">
        <v>44980.83</v>
      </c>
      <c r="AG967" s="5123">
        <f t="shared" si="193"/>
        <v>44980.83</v>
      </c>
      <c r="AH967" s="1052"/>
      <c r="AI967" s="3932"/>
      <c r="AJ967" s="3932"/>
      <c r="AK967" s="3932"/>
      <c r="AL967" s="3932"/>
      <c r="AM967" s="3932"/>
      <c r="AN967" s="5123"/>
      <c r="AO967" s="3932"/>
      <c r="AP967" s="3812">
        <f t="shared" si="192"/>
        <v>44980.83</v>
      </c>
      <c r="AQ967" s="5888" t="s">
        <v>1856</v>
      </c>
      <c r="AR967" s="2680"/>
      <c r="AS967" s="5857"/>
      <c r="AT967" s="5331"/>
      <c r="AU967" s="2680"/>
      <c r="AV967" s="2680"/>
      <c r="AW967" s="2680"/>
      <c r="AX967" s="2680"/>
      <c r="AY967" s="2680"/>
      <c r="AZ967" s="2680"/>
      <c r="BA967" s="5331"/>
      <c r="BB967" s="5331"/>
      <c r="BC967" s="2680"/>
      <c r="BD967" s="5331"/>
      <c r="BE967" s="5331"/>
      <c r="BF967" s="5331"/>
      <c r="BG967" s="5331"/>
      <c r="BH967" s="5948">
        <v>44980.83</v>
      </c>
      <c r="BI967" s="5331"/>
      <c r="BJ967" s="5331"/>
      <c r="BK967" s="5331"/>
      <c r="BL967" s="5331"/>
      <c r="BM967" s="5331"/>
      <c r="BN967" s="5331"/>
      <c r="BO967" s="5331"/>
      <c r="BP967" s="5331"/>
      <c r="BQ967" s="5331"/>
      <c r="BR967" s="5331"/>
      <c r="BS967" s="5331"/>
      <c r="BT967" s="5911"/>
      <c r="BU967" s="5911"/>
      <c r="BV967" s="5948">
        <v>44980.83</v>
      </c>
      <c r="BW967" s="5331"/>
      <c r="BX967" s="5331"/>
      <c r="BY967" s="5331"/>
      <c r="BZ967" s="5331"/>
      <c r="CA967" s="5331"/>
      <c r="CB967" s="5331"/>
      <c r="CC967" s="2680"/>
      <c r="CD967" s="2680"/>
      <c r="CE967" s="5169"/>
      <c r="CF967" s="5169"/>
      <c r="CG967" s="5169"/>
      <c r="CH967" s="5169"/>
    </row>
    <row r="968" s="4973" customFormat="1" ht="61" customHeight="1" spans="1:86">
      <c r="A968" s="3524">
        <v>16</v>
      </c>
      <c r="B968" s="5969" t="s">
        <v>1186</v>
      </c>
      <c r="C968" s="584">
        <v>44532</v>
      </c>
      <c r="D968" s="1125" t="s">
        <v>1857</v>
      </c>
      <c r="E968" s="1125" t="s">
        <v>171</v>
      </c>
      <c r="F968" s="1125" t="s">
        <v>1858</v>
      </c>
      <c r="G968" s="1125" t="s">
        <v>1859</v>
      </c>
      <c r="H968" s="3058" t="s">
        <v>31</v>
      </c>
      <c r="I968" s="3058"/>
      <c r="J968" s="1125" t="s">
        <v>1860</v>
      </c>
      <c r="K968" s="5338">
        <v>262127.31</v>
      </c>
      <c r="L968" s="1125" t="s">
        <v>1861</v>
      </c>
      <c r="M968" s="3058">
        <f>SUM(N968:AA970)</f>
        <v>917827.68</v>
      </c>
      <c r="N968" s="2680">
        <v>0</v>
      </c>
      <c r="O968" s="2680">
        <v>0</v>
      </c>
      <c r="P968" s="2680">
        <v>0</v>
      </c>
      <c r="Q968" s="2680">
        <v>0</v>
      </c>
      <c r="R968" s="2680">
        <v>0</v>
      </c>
      <c r="S968" s="2680">
        <v>0</v>
      </c>
      <c r="T968" s="5823">
        <v>0</v>
      </c>
      <c r="U968" s="2680">
        <v>917827.68</v>
      </c>
      <c r="V968" s="2680">
        <v>0</v>
      </c>
      <c r="W968" s="2680">
        <v>0</v>
      </c>
      <c r="X968" s="2680">
        <v>0</v>
      </c>
      <c r="Y968" s="2680"/>
      <c r="Z968" s="2680"/>
      <c r="AA968" s="2680">
        <v>0</v>
      </c>
      <c r="AB968" s="2680">
        <v>0</v>
      </c>
      <c r="AC968" s="3058">
        <v>1</v>
      </c>
      <c r="AD968" s="5837" t="s">
        <v>1750</v>
      </c>
      <c r="AE968" s="5975">
        <v>0.2</v>
      </c>
      <c r="AF968" s="3091">
        <f>M968*AE968</f>
        <v>183565.536</v>
      </c>
      <c r="AG968" s="3057">
        <f t="shared" si="193"/>
        <v>183565.536</v>
      </c>
      <c r="AH968" s="5054" t="s">
        <v>122</v>
      </c>
      <c r="AI968" s="3057">
        <v>44555</v>
      </c>
      <c r="AJ968" s="3057">
        <f>AF968</f>
        <v>183565.536</v>
      </c>
      <c r="AK968" s="3057">
        <v>44545</v>
      </c>
      <c r="AL968" s="3057">
        <v>183565.536</v>
      </c>
      <c r="AM968" s="3057">
        <v>44641</v>
      </c>
      <c r="AN968" s="3057">
        <f t="shared" si="191"/>
        <v>183565.536</v>
      </c>
      <c r="AO968" s="584">
        <v>44678</v>
      </c>
      <c r="AP968" s="3057">
        <f t="shared" si="192"/>
        <v>0</v>
      </c>
      <c r="AQ968" s="5982"/>
      <c r="AR968" s="3058"/>
      <c r="AS968" s="6019"/>
      <c r="AT968" s="5138"/>
      <c r="AU968" s="3524">
        <f>SUM(AG968:AG970)</f>
        <v>917827.68</v>
      </c>
      <c r="AV968" s="3524">
        <f>SUM(AL968:AL970)</f>
        <v>917827.68</v>
      </c>
      <c r="AW968" s="3524">
        <f>SUM(AN968:AN970)</f>
        <v>917827.68</v>
      </c>
      <c r="AX968" s="3524">
        <f>M968-AU968</f>
        <v>0</v>
      </c>
      <c r="AY968" s="3524">
        <f>AU968-AV968</f>
        <v>0</v>
      </c>
      <c r="AZ968" s="3524">
        <f>AV968-AW968</f>
        <v>0</v>
      </c>
      <c r="BA968" s="5150"/>
      <c r="BB968" s="5150"/>
      <c r="BC968" s="3057"/>
      <c r="BD968" s="5150"/>
      <c r="BE968" s="5150"/>
      <c r="BF968" s="5150"/>
      <c r="BG968" s="5150"/>
      <c r="BH968" s="5988">
        <v>183565.536</v>
      </c>
      <c r="BI968" s="5150"/>
      <c r="BJ968" s="5150"/>
      <c r="BK968" s="5150"/>
      <c r="BL968" s="5150"/>
      <c r="BM968" s="5150"/>
      <c r="BN968" s="5150"/>
      <c r="BO968" s="5150"/>
      <c r="BP968" s="5150"/>
      <c r="BQ968" s="5150"/>
      <c r="BR968" s="5150"/>
      <c r="BS968" s="5150"/>
      <c r="BT968" s="5150"/>
      <c r="BU968" s="5150"/>
      <c r="BV968" s="3057">
        <v>183565.536</v>
      </c>
      <c r="BW968" s="5150"/>
      <c r="BX968" s="5150"/>
      <c r="BY968" s="5150"/>
      <c r="BZ968" s="5150"/>
      <c r="CA968" s="5150"/>
      <c r="CB968" s="5150"/>
      <c r="CC968" s="3058"/>
      <c r="CD968" s="3058"/>
      <c r="CE968" s="5171"/>
      <c r="CF968" s="5171"/>
      <c r="CG968" s="5171"/>
      <c r="CH968" s="5171"/>
    </row>
    <row r="969" s="4973" customFormat="1" ht="61" customHeight="1" spans="1:86">
      <c r="A969" s="3524"/>
      <c r="B969" s="5969"/>
      <c r="C969" s="584"/>
      <c r="D969" s="5054"/>
      <c r="E969" s="5054"/>
      <c r="F969" s="5054"/>
      <c r="G969" s="5338"/>
      <c r="H969" s="3058"/>
      <c r="I969" s="3058"/>
      <c r="J969" s="5054"/>
      <c r="K969" s="5338"/>
      <c r="L969" s="5054"/>
      <c r="M969" s="3058"/>
      <c r="N969" s="2680"/>
      <c r="O969" s="2680"/>
      <c r="P969" s="2680"/>
      <c r="Q969" s="2680"/>
      <c r="R969" s="2680"/>
      <c r="S969" s="2680"/>
      <c r="T969" s="2680"/>
      <c r="U969" s="2680"/>
      <c r="V969" s="2680"/>
      <c r="W969" s="2680"/>
      <c r="X969" s="2680"/>
      <c r="Y969" s="2680"/>
      <c r="Z969" s="2680"/>
      <c r="AA969" s="2680"/>
      <c r="AB969" s="2680"/>
      <c r="AC969" s="3058">
        <v>2</v>
      </c>
      <c r="AD969" s="5837" t="s">
        <v>1862</v>
      </c>
      <c r="AE969" s="5338">
        <v>0.6</v>
      </c>
      <c r="AF969" s="3091">
        <f>M968*AE969</f>
        <v>550696.608</v>
      </c>
      <c r="AG969" s="3057">
        <f t="shared" si="193"/>
        <v>550696.608</v>
      </c>
      <c r="AH969" s="584" t="s">
        <v>122</v>
      </c>
      <c r="AI969" s="3057">
        <v>44555</v>
      </c>
      <c r="AJ969" s="3057">
        <f>AF969</f>
        <v>550696.608</v>
      </c>
      <c r="AK969" s="3057">
        <v>44545</v>
      </c>
      <c r="AL969" s="3057">
        <v>550696.608</v>
      </c>
      <c r="AM969" s="3057">
        <v>44641</v>
      </c>
      <c r="AN969" s="3057">
        <f t="shared" si="191"/>
        <v>550696.608</v>
      </c>
      <c r="AO969" s="584">
        <v>44678</v>
      </c>
      <c r="AP969" s="3057">
        <f t="shared" si="192"/>
        <v>0</v>
      </c>
      <c r="AQ969" s="5982"/>
      <c r="AR969" s="3058"/>
      <c r="AS969" s="6019"/>
      <c r="AT969" s="5138"/>
      <c r="AU969" s="3524"/>
      <c r="AV969" s="3524"/>
      <c r="AW969" s="3524"/>
      <c r="AX969" s="3524"/>
      <c r="AY969" s="3524"/>
      <c r="AZ969" s="3524"/>
      <c r="BA969" s="5150"/>
      <c r="BB969" s="5150"/>
      <c r="BC969" s="3057"/>
      <c r="BD969" s="5150"/>
      <c r="BE969" s="5150"/>
      <c r="BF969" s="5150"/>
      <c r="BG969" s="5150"/>
      <c r="BH969" s="5988">
        <v>550696.608</v>
      </c>
      <c r="BI969" s="5150"/>
      <c r="BJ969" s="5150"/>
      <c r="BK969" s="5150"/>
      <c r="BL969" s="5150"/>
      <c r="BM969" s="5150"/>
      <c r="BN969" s="5150"/>
      <c r="BO969" s="5150"/>
      <c r="BP969" s="5150"/>
      <c r="BQ969" s="5150"/>
      <c r="BR969" s="5150"/>
      <c r="BS969" s="5150"/>
      <c r="BT969" s="5150"/>
      <c r="BU969" s="5150"/>
      <c r="BV969" s="3057">
        <v>550696.608</v>
      </c>
      <c r="BW969" s="5150"/>
      <c r="BX969" s="5150"/>
      <c r="BY969" s="5150"/>
      <c r="BZ969" s="5150"/>
      <c r="CA969" s="5150"/>
      <c r="CB969" s="5150"/>
      <c r="CC969" s="3058"/>
      <c r="CD969" s="3058"/>
      <c r="CE969" s="5171"/>
      <c r="CF969" s="5171"/>
      <c r="CG969" s="5171"/>
      <c r="CH969" s="5171"/>
    </row>
    <row r="970" s="4973" customFormat="1" ht="61" customHeight="1" spans="1:86">
      <c r="A970" s="3524"/>
      <c r="B970" s="5969"/>
      <c r="C970" s="584"/>
      <c r="D970" s="5054"/>
      <c r="E970" s="5054"/>
      <c r="F970" s="5054"/>
      <c r="G970" s="5338"/>
      <c r="H970" s="3058"/>
      <c r="I970" s="3058"/>
      <c r="J970" s="5054"/>
      <c r="K970" s="5338"/>
      <c r="L970" s="5054"/>
      <c r="M970" s="3058"/>
      <c r="N970" s="2680"/>
      <c r="O970" s="2680"/>
      <c r="P970" s="2680"/>
      <c r="Q970" s="2680"/>
      <c r="R970" s="2680"/>
      <c r="S970" s="2680"/>
      <c r="T970" s="2680"/>
      <c r="U970" s="2680"/>
      <c r="V970" s="2680"/>
      <c r="W970" s="2680"/>
      <c r="X970" s="2680"/>
      <c r="Y970" s="2680"/>
      <c r="Z970" s="2680"/>
      <c r="AA970" s="2680"/>
      <c r="AB970" s="2680"/>
      <c r="AC970" s="3058">
        <v>3</v>
      </c>
      <c r="AD970" s="5837" t="s">
        <v>1863</v>
      </c>
      <c r="AE970" s="5975">
        <v>0.2</v>
      </c>
      <c r="AF970" s="584">
        <f>M968*AE970</f>
        <v>183565.536</v>
      </c>
      <c r="AG970" s="3057">
        <f t="shared" si="193"/>
        <v>183565.536</v>
      </c>
      <c r="AH970" s="584" t="s">
        <v>122</v>
      </c>
      <c r="AI970" s="3057">
        <v>44795</v>
      </c>
      <c r="AJ970" s="3057">
        <v>183565.54</v>
      </c>
      <c r="AK970" s="3057">
        <v>44795</v>
      </c>
      <c r="AL970" s="3057">
        <f>SUM(BK970:BX970)</f>
        <v>183565.536</v>
      </c>
      <c r="AM970" s="3057">
        <v>44795</v>
      </c>
      <c r="AN970" s="3057">
        <f t="shared" si="191"/>
        <v>183565.536</v>
      </c>
      <c r="AO970" s="3057">
        <v>44860</v>
      </c>
      <c r="AP970" s="3057">
        <f t="shared" si="192"/>
        <v>0</v>
      </c>
      <c r="AQ970" s="5138"/>
      <c r="AR970" s="3058"/>
      <c r="AS970" s="5982"/>
      <c r="AT970" s="5138"/>
      <c r="AU970" s="3524"/>
      <c r="AV970" s="3524"/>
      <c r="AW970" s="3524"/>
      <c r="AX970" s="3524"/>
      <c r="AY970" s="3524"/>
      <c r="AZ970" s="3524"/>
      <c r="BA970" s="5150"/>
      <c r="BB970" s="5150"/>
      <c r="BC970" s="3057"/>
      <c r="BD970" s="5150"/>
      <c r="BE970" s="5150"/>
      <c r="BF970" s="5150"/>
      <c r="BG970" s="5150"/>
      <c r="BH970" s="3057">
        <v>183565.536</v>
      </c>
      <c r="BI970" s="5150"/>
      <c r="BJ970" s="5150"/>
      <c r="BK970" s="5150"/>
      <c r="BL970" s="5150"/>
      <c r="BM970" s="5150"/>
      <c r="BN970" s="5150"/>
      <c r="BO970" s="5138"/>
      <c r="BP970" s="5138"/>
      <c r="BQ970" s="5138"/>
      <c r="BR970" s="5138"/>
      <c r="BS970" s="5138"/>
      <c r="BT970" s="6024"/>
      <c r="BU970" s="6024"/>
      <c r="BV970" s="6026">
        <v>183565.536</v>
      </c>
      <c r="BW970" s="5138"/>
      <c r="BX970" s="5138"/>
      <c r="BY970" s="5138"/>
      <c r="BZ970" s="5138"/>
      <c r="CA970" s="5138"/>
      <c r="CB970" s="5138"/>
      <c r="CC970" s="3058"/>
      <c r="CD970" s="3058"/>
      <c r="CE970" s="5171"/>
      <c r="CF970" s="5171"/>
      <c r="CG970" s="5171"/>
      <c r="CH970" s="5171"/>
    </row>
    <row r="971" s="4972" customFormat="1" ht="61" customHeight="1" spans="1:86">
      <c r="A971" s="3524">
        <v>16</v>
      </c>
      <c r="B971" s="5814" t="s">
        <v>1186</v>
      </c>
      <c r="C971" s="3814">
        <v>44551</v>
      </c>
      <c r="D971" s="5055" t="s">
        <v>1864</v>
      </c>
      <c r="E971" s="5055" t="s">
        <v>171</v>
      </c>
      <c r="F971" s="5055" t="s">
        <v>1865</v>
      </c>
      <c r="G971" s="5055" t="s">
        <v>1866</v>
      </c>
      <c r="H971" s="3662" t="s">
        <v>31</v>
      </c>
      <c r="I971" s="3662"/>
      <c r="J971" s="5055" t="s">
        <v>1867</v>
      </c>
      <c r="K971" s="5149">
        <v>225711</v>
      </c>
      <c r="L971" s="5055" t="s">
        <v>1861</v>
      </c>
      <c r="M971" s="3662">
        <f>SUM(N971:AA973)</f>
        <v>789988.5</v>
      </c>
      <c r="N971" s="2680">
        <v>0</v>
      </c>
      <c r="O971" s="2680">
        <v>0</v>
      </c>
      <c r="P971" s="2680">
        <v>0</v>
      </c>
      <c r="Q971" s="2680">
        <v>0</v>
      </c>
      <c r="R971" s="2680">
        <v>0</v>
      </c>
      <c r="S971" s="2680">
        <v>0</v>
      </c>
      <c r="T971" s="5823">
        <v>0</v>
      </c>
      <c r="U971" s="2680">
        <v>789988.5</v>
      </c>
      <c r="V971" s="2680">
        <v>0</v>
      </c>
      <c r="W971" s="2680">
        <v>0</v>
      </c>
      <c r="X971" s="2680">
        <v>0</v>
      </c>
      <c r="Y971" s="2680"/>
      <c r="Z971" s="2680"/>
      <c r="AA971" s="2680">
        <v>0</v>
      </c>
      <c r="AB971" s="2680">
        <v>0</v>
      </c>
      <c r="AC971" s="3662">
        <v>1</v>
      </c>
      <c r="AD971" s="5388" t="s">
        <v>1750</v>
      </c>
      <c r="AE971" s="5846">
        <v>0.2</v>
      </c>
      <c r="AF971" s="5815">
        <f>M971*AE971</f>
        <v>157997.7</v>
      </c>
      <c r="AG971" s="3684">
        <f t="shared" si="193"/>
        <v>157997.7</v>
      </c>
      <c r="AH971" s="3814" t="s">
        <v>122</v>
      </c>
      <c r="AI971" s="3662">
        <v>44555</v>
      </c>
      <c r="AJ971" s="3662">
        <v>157997.7</v>
      </c>
      <c r="AK971" s="3662">
        <v>44555</v>
      </c>
      <c r="AL971" s="3662">
        <v>157997.7</v>
      </c>
      <c r="AM971" s="3684">
        <v>44641</v>
      </c>
      <c r="AN971" s="3684">
        <f t="shared" si="191"/>
        <v>157997.7</v>
      </c>
      <c r="AO971" s="5060">
        <v>44712</v>
      </c>
      <c r="AP971" s="3684">
        <f t="shared" si="192"/>
        <v>0</v>
      </c>
      <c r="AQ971" s="5341"/>
      <c r="AR971" s="3662"/>
      <c r="AS971" s="6020"/>
      <c r="AT971" s="5127"/>
      <c r="AU971" s="3662">
        <f>SUM(AG971:AG973)</f>
        <v>789988.5</v>
      </c>
      <c r="AV971" s="3662">
        <f>SUM(AL971:AL973)</f>
        <v>789988.5</v>
      </c>
      <c r="AW971" s="3662">
        <f>SUM(AN971:AN973)</f>
        <v>789988.5</v>
      </c>
      <c r="AX971" s="3662">
        <f>M971-AU971</f>
        <v>0</v>
      </c>
      <c r="AY971" s="3662">
        <f>AU971-AV971</f>
        <v>0</v>
      </c>
      <c r="AZ971" s="3662">
        <f>AV971-AW971</f>
        <v>0</v>
      </c>
      <c r="BA971" s="5148"/>
      <c r="BB971" s="5148"/>
      <c r="BC971" s="3684"/>
      <c r="BD971" s="5148"/>
      <c r="BE971" s="5148"/>
      <c r="BF971" s="5148"/>
      <c r="BG971" s="5148"/>
      <c r="BH971" s="5148">
        <v>157997.7</v>
      </c>
      <c r="BI971" s="5148"/>
      <c r="BJ971" s="5148"/>
      <c r="BK971" s="5148"/>
      <c r="BL971" s="5148"/>
      <c r="BM971" s="5148"/>
      <c r="BN971" s="5148"/>
      <c r="BO971" s="5148"/>
      <c r="BP971" s="5148"/>
      <c r="BQ971" s="5148"/>
      <c r="BR971" s="5148"/>
      <c r="BS971" s="5148"/>
      <c r="BT971" s="5148"/>
      <c r="BU971" s="5148"/>
      <c r="BV971" s="3708">
        <v>157997.7</v>
      </c>
      <c r="BW971" s="5148"/>
      <c r="BX971" s="5148"/>
      <c r="BY971" s="5148"/>
      <c r="BZ971" s="5148"/>
      <c r="CA971" s="5148"/>
      <c r="CB971" s="5148"/>
      <c r="CC971" s="3662"/>
      <c r="CD971" s="3662"/>
      <c r="CE971" s="5170"/>
      <c r="CF971" s="5170"/>
      <c r="CG971" s="5170"/>
      <c r="CH971" s="5170"/>
    </row>
    <row r="972" s="4972" customFormat="1" ht="61" customHeight="1" spans="1:86">
      <c r="A972" s="3524"/>
      <c r="B972" s="5814"/>
      <c r="C972" s="3814"/>
      <c r="D972" s="5053"/>
      <c r="E972" s="5053"/>
      <c r="F972" s="5053"/>
      <c r="G972" s="5149"/>
      <c r="H972" s="3662"/>
      <c r="I972" s="3662"/>
      <c r="J972" s="5053"/>
      <c r="K972" s="5149"/>
      <c r="L972" s="5053"/>
      <c r="M972" s="3662"/>
      <c r="N972" s="2680"/>
      <c r="O972" s="2680"/>
      <c r="P972" s="2680"/>
      <c r="Q972" s="2680"/>
      <c r="R972" s="2680"/>
      <c r="S972" s="2680"/>
      <c r="T972" s="2680"/>
      <c r="U972" s="2680"/>
      <c r="V972" s="2680"/>
      <c r="W972" s="2680"/>
      <c r="X972" s="2680"/>
      <c r="Y972" s="2680"/>
      <c r="Z972" s="2680"/>
      <c r="AA972" s="2680"/>
      <c r="AB972" s="2680"/>
      <c r="AC972" s="3662">
        <v>2</v>
      </c>
      <c r="AD972" s="5388" t="s">
        <v>1862</v>
      </c>
      <c r="AE972" s="5149">
        <v>0.6</v>
      </c>
      <c r="AF972" s="5815">
        <f>M971*AE972</f>
        <v>473993.1</v>
      </c>
      <c r="AG972" s="3684">
        <f t="shared" si="193"/>
        <v>473993.1</v>
      </c>
      <c r="AH972" s="3814" t="s">
        <v>122</v>
      </c>
      <c r="AI972" s="3662">
        <v>44555</v>
      </c>
      <c r="AJ972" s="3662">
        <v>473993.1</v>
      </c>
      <c r="AK972" s="3662">
        <v>44555</v>
      </c>
      <c r="AL972" s="3662">
        <v>473993.1</v>
      </c>
      <c r="AM972" s="3684">
        <v>44641</v>
      </c>
      <c r="AN972" s="3684">
        <f t="shared" si="191"/>
        <v>473993.1</v>
      </c>
      <c r="AO972" s="5060">
        <v>44712</v>
      </c>
      <c r="AP972" s="3684">
        <f t="shared" si="192"/>
        <v>0</v>
      </c>
      <c r="AQ972" s="5341"/>
      <c r="AR972" s="3662"/>
      <c r="AS972" s="6020"/>
      <c r="AT972" s="5127"/>
      <c r="AU972" s="3662"/>
      <c r="AV972" s="3662"/>
      <c r="AW972" s="3662"/>
      <c r="AX972" s="3662"/>
      <c r="AY972" s="3662"/>
      <c r="AZ972" s="3662"/>
      <c r="BA972" s="5148"/>
      <c r="BB972" s="5148"/>
      <c r="BC972" s="3684"/>
      <c r="BD972" s="5148"/>
      <c r="BE972" s="5148"/>
      <c r="BF972" s="5148"/>
      <c r="BG972" s="5148"/>
      <c r="BH972" s="5148">
        <v>473993.1</v>
      </c>
      <c r="BI972" s="5148"/>
      <c r="BJ972" s="5148"/>
      <c r="BK972" s="5148"/>
      <c r="BL972" s="5148"/>
      <c r="BM972" s="5148"/>
      <c r="BN972" s="5148"/>
      <c r="BO972" s="5148"/>
      <c r="BP972" s="5148"/>
      <c r="BQ972" s="5148"/>
      <c r="BR972" s="5148"/>
      <c r="BS972" s="5148"/>
      <c r="BT972" s="5148"/>
      <c r="BU972" s="5148"/>
      <c r="BV972" s="6025">
        <v>473993.1</v>
      </c>
      <c r="BW972" s="5148"/>
      <c r="BX972" s="5148"/>
      <c r="BY972" s="5148"/>
      <c r="BZ972" s="5148"/>
      <c r="CA972" s="5148"/>
      <c r="CB972" s="5148"/>
      <c r="CC972" s="3662"/>
      <c r="CD972" s="3662"/>
      <c r="CE972" s="5170"/>
      <c r="CF972" s="5170"/>
      <c r="CG972" s="5170"/>
      <c r="CH972" s="5170"/>
    </row>
    <row r="973" s="4972" customFormat="1" ht="61" customHeight="1" spans="1:86">
      <c r="A973" s="3524"/>
      <c r="B973" s="5814"/>
      <c r="C973" s="3814"/>
      <c r="D973" s="5053"/>
      <c r="E973" s="5053"/>
      <c r="F973" s="5053"/>
      <c r="G973" s="5149"/>
      <c r="H973" s="3662"/>
      <c r="I973" s="3662"/>
      <c r="J973" s="5053"/>
      <c r="K973" s="5149"/>
      <c r="L973" s="5053"/>
      <c r="M973" s="3662"/>
      <c r="N973" s="2680"/>
      <c r="O973" s="2680"/>
      <c r="P973" s="2680"/>
      <c r="Q973" s="2680"/>
      <c r="R973" s="2680"/>
      <c r="S973" s="2680"/>
      <c r="T973" s="2680"/>
      <c r="U973" s="2680"/>
      <c r="V973" s="2680"/>
      <c r="W973" s="2680"/>
      <c r="X973" s="2680"/>
      <c r="Y973" s="2680"/>
      <c r="Z973" s="2680"/>
      <c r="AA973" s="2680"/>
      <c r="AB973" s="2680"/>
      <c r="AC973" s="3662">
        <v>3</v>
      </c>
      <c r="AD973" s="5388" t="s">
        <v>1863</v>
      </c>
      <c r="AE973" s="5846">
        <v>0.2</v>
      </c>
      <c r="AF973" s="3814">
        <f>M971*AE973</f>
        <v>157997.7</v>
      </c>
      <c r="AG973" s="3684">
        <f t="shared" si="193"/>
        <v>157997.7</v>
      </c>
      <c r="AH973" s="5055" t="s">
        <v>122</v>
      </c>
      <c r="AI973" s="3684">
        <v>44850</v>
      </c>
      <c r="AJ973" s="3684">
        <v>157997.7</v>
      </c>
      <c r="AK973" s="3684">
        <v>44850</v>
      </c>
      <c r="AL973" s="3684">
        <f>SUM(BK973:BX973)</f>
        <v>157997.7</v>
      </c>
      <c r="AM973" s="3684">
        <v>44964</v>
      </c>
      <c r="AN973" s="3684">
        <f t="shared" si="191"/>
        <v>157997.7</v>
      </c>
      <c r="AO973" s="3684">
        <v>45005</v>
      </c>
      <c r="AP973" s="3684">
        <f t="shared" si="192"/>
        <v>0</v>
      </c>
      <c r="AQ973" s="5127"/>
      <c r="AR973" s="3662"/>
      <c r="AS973" s="5341"/>
      <c r="AT973" s="5127"/>
      <c r="AU973" s="3662"/>
      <c r="AV973" s="3662"/>
      <c r="AW973" s="3662"/>
      <c r="AX973" s="3662"/>
      <c r="AY973" s="3662"/>
      <c r="AZ973" s="3662"/>
      <c r="BA973" s="5517"/>
      <c r="BB973" s="5517"/>
      <c r="BC973" s="5162"/>
      <c r="BD973" s="5517"/>
      <c r="BE973" s="5517"/>
      <c r="BF973" s="5517"/>
      <c r="BG973" s="5517"/>
      <c r="BH973" s="5148">
        <v>157997.7</v>
      </c>
      <c r="BI973" s="5517"/>
      <c r="BJ973" s="5517"/>
      <c r="BK973" s="5517"/>
      <c r="BL973" s="5517"/>
      <c r="BM973" s="5517"/>
      <c r="BN973" s="5517"/>
      <c r="BO973" s="5127"/>
      <c r="BP973" s="5127"/>
      <c r="BQ973" s="5127"/>
      <c r="BR973" s="5127"/>
      <c r="BS973" s="5127"/>
      <c r="BT973" s="6025"/>
      <c r="BU973" s="6025"/>
      <c r="BV973" s="3684">
        <v>157997.7</v>
      </c>
      <c r="BW973" s="5127"/>
      <c r="BX973" s="5127"/>
      <c r="BY973" s="5127"/>
      <c r="BZ973" s="5127"/>
      <c r="CA973" s="5127"/>
      <c r="CB973" s="5127"/>
      <c r="CC973" s="3662"/>
      <c r="CD973" s="3662"/>
      <c r="CE973" s="5170"/>
      <c r="CF973" s="5170"/>
      <c r="CG973" s="5170"/>
      <c r="CH973" s="5170"/>
    </row>
    <row r="974" s="4973" customFormat="1" ht="61" customHeight="1" spans="1:86">
      <c r="A974" s="3524">
        <v>16</v>
      </c>
      <c r="B974" s="5969" t="s">
        <v>1186</v>
      </c>
      <c r="C974" s="584">
        <v>44551</v>
      </c>
      <c r="D974" s="1125" t="s">
        <v>1868</v>
      </c>
      <c r="E974" s="1125" t="s">
        <v>171</v>
      </c>
      <c r="F974" s="1125" t="s">
        <v>1869</v>
      </c>
      <c r="G974" s="1125" t="s">
        <v>1870</v>
      </c>
      <c r="H974" s="3058" t="s">
        <v>31</v>
      </c>
      <c r="I974" s="3058"/>
      <c r="J974" s="1125" t="s">
        <v>1871</v>
      </c>
      <c r="K974" s="5338">
        <v>91064.86</v>
      </c>
      <c r="L974" s="1125" t="s">
        <v>1861</v>
      </c>
      <c r="M974" s="3058">
        <f>SUM(N974:AA976)</f>
        <v>318727</v>
      </c>
      <c r="N974" s="2680">
        <v>0</v>
      </c>
      <c r="O974" s="2680">
        <v>0</v>
      </c>
      <c r="P974" s="2680">
        <v>0</v>
      </c>
      <c r="Q974" s="2680">
        <v>0</v>
      </c>
      <c r="R974" s="2680">
        <v>0</v>
      </c>
      <c r="S974" s="2680">
        <v>0</v>
      </c>
      <c r="T974" s="5823">
        <v>0</v>
      </c>
      <c r="U974" s="2680">
        <v>318727</v>
      </c>
      <c r="V974" s="2680">
        <v>0</v>
      </c>
      <c r="W974" s="2680">
        <v>0</v>
      </c>
      <c r="X974" s="2680">
        <v>0</v>
      </c>
      <c r="Y974" s="2680"/>
      <c r="Z974" s="2680"/>
      <c r="AA974" s="2680">
        <v>0</v>
      </c>
      <c r="AB974" s="2680">
        <v>0</v>
      </c>
      <c r="AC974" s="3058">
        <v>1</v>
      </c>
      <c r="AD974" s="5837" t="s">
        <v>1750</v>
      </c>
      <c r="AE974" s="5975">
        <v>0.2</v>
      </c>
      <c r="AF974" s="3091">
        <f>M974*AE974</f>
        <v>63745.4</v>
      </c>
      <c r="AG974" s="3057">
        <f t="shared" si="193"/>
        <v>63745.4</v>
      </c>
      <c r="AH974" s="584" t="s">
        <v>122</v>
      </c>
      <c r="AI974" s="3058">
        <v>44555</v>
      </c>
      <c r="AJ974" s="3058">
        <v>63745.4</v>
      </c>
      <c r="AK974" s="3058">
        <v>44555</v>
      </c>
      <c r="AL974" s="3058">
        <v>63745.4</v>
      </c>
      <c r="AM974" s="3057">
        <v>44641</v>
      </c>
      <c r="AN974" s="3057">
        <f t="shared" si="191"/>
        <v>63745.4</v>
      </c>
      <c r="AO974" s="5056">
        <v>44705</v>
      </c>
      <c r="AP974" s="3057">
        <f t="shared" si="192"/>
        <v>0</v>
      </c>
      <c r="AQ974" s="5982"/>
      <c r="AR974" s="3058"/>
      <c r="AS974" s="6019"/>
      <c r="AT974" s="5138"/>
      <c r="AU974" s="3524">
        <f>SUM(AG974:AG976)</f>
        <v>318727</v>
      </c>
      <c r="AV974" s="3524">
        <f>SUM(AL974:AL976)</f>
        <v>318727</v>
      </c>
      <c r="AW974" s="3524">
        <f>SUM(AN974:AN976)</f>
        <v>318727</v>
      </c>
      <c r="AX974" s="3524">
        <f>M974-AU974</f>
        <v>0</v>
      </c>
      <c r="AY974" s="3524">
        <f>AU974-AV974</f>
        <v>0</v>
      </c>
      <c r="AZ974" s="3524">
        <f>AV974-AW974</f>
        <v>0</v>
      </c>
      <c r="BA974" s="5150"/>
      <c r="BB974" s="5150"/>
      <c r="BC974" s="3057"/>
      <c r="BD974" s="5150"/>
      <c r="BE974" s="5150"/>
      <c r="BF974" s="5150"/>
      <c r="BG974" s="5150"/>
      <c r="BH974" s="5150">
        <v>63745.4</v>
      </c>
      <c r="BI974" s="5150"/>
      <c r="BJ974" s="5150"/>
      <c r="BK974" s="5150"/>
      <c r="BL974" s="5150"/>
      <c r="BM974" s="5150"/>
      <c r="BN974" s="5150"/>
      <c r="BO974" s="5150"/>
      <c r="BP974" s="5150"/>
      <c r="BQ974" s="5150"/>
      <c r="BR974" s="5150"/>
      <c r="BS974" s="5150"/>
      <c r="BT974" s="5150"/>
      <c r="BU974" s="5150"/>
      <c r="BV974" s="6024">
        <v>63745.4</v>
      </c>
      <c r="BW974" s="5150"/>
      <c r="BX974" s="5150"/>
      <c r="BY974" s="5150"/>
      <c r="BZ974" s="5150"/>
      <c r="CA974" s="5150"/>
      <c r="CB974" s="5150"/>
      <c r="CC974" s="3058"/>
      <c r="CD974" s="3058"/>
      <c r="CE974" s="5171"/>
      <c r="CF974" s="5171"/>
      <c r="CG974" s="5171"/>
      <c r="CH974" s="5171"/>
    </row>
    <row r="975" s="4973" customFormat="1" ht="61" customHeight="1" spans="1:86">
      <c r="A975" s="3524"/>
      <c r="B975" s="5969"/>
      <c r="C975" s="584"/>
      <c r="D975" s="5054"/>
      <c r="E975" s="5054"/>
      <c r="F975" s="5054"/>
      <c r="G975" s="5338"/>
      <c r="H975" s="3058"/>
      <c r="I975" s="3058"/>
      <c r="J975" s="5054"/>
      <c r="K975" s="5338"/>
      <c r="L975" s="5054"/>
      <c r="M975" s="3058"/>
      <c r="N975" s="2680"/>
      <c r="O975" s="2680"/>
      <c r="P975" s="2680"/>
      <c r="Q975" s="2680"/>
      <c r="R975" s="2680"/>
      <c r="S975" s="2680"/>
      <c r="T975" s="2680"/>
      <c r="U975" s="2680"/>
      <c r="V975" s="2680"/>
      <c r="W975" s="2680"/>
      <c r="X975" s="2680"/>
      <c r="Y975" s="2680"/>
      <c r="Z975" s="2680"/>
      <c r="AA975" s="2680"/>
      <c r="AB975" s="2680"/>
      <c r="AC975" s="3058">
        <v>2</v>
      </c>
      <c r="AD975" s="5837" t="s">
        <v>1862</v>
      </c>
      <c r="AE975" s="5338">
        <v>0.6</v>
      </c>
      <c r="AF975" s="3091">
        <f>M974*AE975</f>
        <v>191236.2</v>
      </c>
      <c r="AG975" s="3057">
        <f t="shared" si="193"/>
        <v>191236.2</v>
      </c>
      <c r="AH975" s="584" t="s">
        <v>122</v>
      </c>
      <c r="AI975" s="3058">
        <v>44555</v>
      </c>
      <c r="AJ975" s="3058">
        <v>191236.2</v>
      </c>
      <c r="AK975" s="3058">
        <v>44555</v>
      </c>
      <c r="AL975" s="3058">
        <v>191236.2</v>
      </c>
      <c r="AM975" s="3057">
        <v>44641</v>
      </c>
      <c r="AN975" s="3057">
        <f t="shared" si="191"/>
        <v>191236.2</v>
      </c>
      <c r="AO975" s="5056">
        <v>44705</v>
      </c>
      <c r="AP975" s="3057">
        <f t="shared" si="192"/>
        <v>0</v>
      </c>
      <c r="AQ975" s="5982"/>
      <c r="AR975" s="3058"/>
      <c r="AS975" s="6019"/>
      <c r="AT975" s="5138"/>
      <c r="AU975" s="3524"/>
      <c r="AV975" s="3524"/>
      <c r="AW975" s="3524"/>
      <c r="AX975" s="3524"/>
      <c r="AY975" s="3524"/>
      <c r="AZ975" s="3524"/>
      <c r="BA975" s="5150"/>
      <c r="BB975" s="5150"/>
      <c r="BC975" s="3057"/>
      <c r="BD975" s="5150"/>
      <c r="BE975" s="5150"/>
      <c r="BF975" s="5150"/>
      <c r="BG975" s="5150"/>
      <c r="BH975" s="5150">
        <v>191236.2</v>
      </c>
      <c r="BI975" s="5150"/>
      <c r="BJ975" s="5150"/>
      <c r="BK975" s="5150"/>
      <c r="BL975" s="5150"/>
      <c r="BM975" s="5150"/>
      <c r="BN975" s="5150"/>
      <c r="BO975" s="5150"/>
      <c r="BP975" s="5150"/>
      <c r="BQ975" s="5150"/>
      <c r="BR975" s="5150"/>
      <c r="BS975" s="5150"/>
      <c r="BT975" s="5150"/>
      <c r="BU975" s="5150"/>
      <c r="BV975" s="3057">
        <v>191236.2</v>
      </c>
      <c r="BW975" s="5150"/>
      <c r="BX975" s="5150"/>
      <c r="BY975" s="5150"/>
      <c r="BZ975" s="5150"/>
      <c r="CA975" s="5150"/>
      <c r="CB975" s="5150"/>
      <c r="CC975" s="3058"/>
      <c r="CD975" s="3058"/>
      <c r="CE975" s="5171"/>
      <c r="CF975" s="5171"/>
      <c r="CG975" s="5171"/>
      <c r="CH975" s="5171"/>
    </row>
    <row r="976" s="4973" customFormat="1" ht="61" customHeight="1" spans="1:86">
      <c r="A976" s="3524"/>
      <c r="B976" s="5969"/>
      <c r="C976" s="584"/>
      <c r="D976" s="5054"/>
      <c r="E976" s="5054"/>
      <c r="F976" s="5054"/>
      <c r="G976" s="5338"/>
      <c r="H976" s="3058"/>
      <c r="I976" s="3058"/>
      <c r="J976" s="5054"/>
      <c r="K976" s="5338"/>
      <c r="L976" s="5054"/>
      <c r="M976" s="3058"/>
      <c r="N976" s="2680"/>
      <c r="O976" s="2680"/>
      <c r="P976" s="2680"/>
      <c r="Q976" s="2680"/>
      <c r="R976" s="2680"/>
      <c r="S976" s="2680"/>
      <c r="T976" s="2680"/>
      <c r="U976" s="2680"/>
      <c r="V976" s="2680"/>
      <c r="W976" s="2680"/>
      <c r="X976" s="2680"/>
      <c r="Y976" s="2680"/>
      <c r="Z976" s="2680"/>
      <c r="AA976" s="2680"/>
      <c r="AB976" s="2680"/>
      <c r="AC976" s="3058">
        <v>3</v>
      </c>
      <c r="AD976" s="5837" t="s">
        <v>1863</v>
      </c>
      <c r="AE976" s="5975">
        <v>0.2</v>
      </c>
      <c r="AF976" s="584">
        <f>M974*AE976</f>
        <v>63745.4</v>
      </c>
      <c r="AG976" s="3057">
        <f t="shared" si="193"/>
        <v>63745.4</v>
      </c>
      <c r="AH976" s="1125" t="s">
        <v>122</v>
      </c>
      <c r="AI976" s="3057">
        <v>44851</v>
      </c>
      <c r="AJ976" s="3057">
        <f>SUM(BD976:BQ976)</f>
        <v>63745.4</v>
      </c>
      <c r="AK976" s="3057">
        <v>44851</v>
      </c>
      <c r="AL976" s="3057">
        <f>SUM(BK976:BX976)</f>
        <v>63745.4</v>
      </c>
      <c r="AM976" s="3057">
        <v>44851</v>
      </c>
      <c r="AN976" s="3057">
        <f t="shared" si="191"/>
        <v>63745.4</v>
      </c>
      <c r="AO976" s="3057">
        <v>44889</v>
      </c>
      <c r="AP976" s="3057">
        <f t="shared" si="192"/>
        <v>0</v>
      </c>
      <c r="AQ976" s="5138"/>
      <c r="AR976" s="3058"/>
      <c r="AS976" s="5982"/>
      <c r="AT976" s="5138"/>
      <c r="AU976" s="3524"/>
      <c r="AV976" s="3524"/>
      <c r="AW976" s="3524"/>
      <c r="AX976" s="3524"/>
      <c r="AY976" s="3524"/>
      <c r="AZ976" s="3524"/>
      <c r="BA976" s="5364"/>
      <c r="BB976" s="5364"/>
      <c r="BC976" s="5125"/>
      <c r="BD976" s="5364"/>
      <c r="BE976" s="5364"/>
      <c r="BF976" s="5364"/>
      <c r="BG976" s="5364"/>
      <c r="BH976" s="3057">
        <v>63745.4</v>
      </c>
      <c r="BI976" s="5364"/>
      <c r="BJ976" s="5364"/>
      <c r="BK976" s="5364"/>
      <c r="BL976" s="5364"/>
      <c r="BM976" s="5364"/>
      <c r="BN976" s="5364"/>
      <c r="BO976" s="5150"/>
      <c r="BP976" s="5150"/>
      <c r="BQ976" s="5150"/>
      <c r="BR976" s="5150"/>
      <c r="BS976" s="5150"/>
      <c r="BT976" s="5150"/>
      <c r="BU976" s="5150"/>
      <c r="BV976" s="3057">
        <v>63745.4</v>
      </c>
      <c r="BW976" s="5138"/>
      <c r="BX976" s="5138"/>
      <c r="BY976" s="5138"/>
      <c r="BZ976" s="5138"/>
      <c r="CA976" s="5138"/>
      <c r="CB976" s="5138"/>
      <c r="CC976" s="3058"/>
      <c r="CD976" s="3058"/>
      <c r="CE976" s="5171"/>
      <c r="CF976" s="5171"/>
      <c r="CG976" s="5171"/>
      <c r="CH976" s="5171"/>
    </row>
    <row r="977" s="4986" customFormat="1" ht="61" customHeight="1" spans="1:86">
      <c r="A977" s="3662"/>
      <c r="B977" s="3814" t="s">
        <v>1186</v>
      </c>
      <c r="C977" s="3814">
        <v>44913</v>
      </c>
      <c r="D977" s="5055" t="s">
        <v>1872</v>
      </c>
      <c r="E977" s="1032" t="s">
        <v>1873</v>
      </c>
      <c r="F977" s="5055" t="s">
        <v>1874</v>
      </c>
      <c r="G977" s="5055" t="s">
        <v>1875</v>
      </c>
      <c r="H977" s="3814" t="s">
        <v>31</v>
      </c>
      <c r="I977" s="3909" t="s">
        <v>1876</v>
      </c>
      <c r="J977" s="5055" t="s">
        <v>1877</v>
      </c>
      <c r="K977" s="5055">
        <v>98904.78</v>
      </c>
      <c r="L977" s="5055" t="s">
        <v>1861</v>
      </c>
      <c r="M977" s="3684">
        <f>SUM(N977:AA981)</f>
        <v>346166.75</v>
      </c>
      <c r="N977" s="2680"/>
      <c r="O977" s="2680"/>
      <c r="P977" s="2680"/>
      <c r="Q977" s="2680"/>
      <c r="R977" s="2680"/>
      <c r="S977" s="2680"/>
      <c r="T977" s="2680"/>
      <c r="U977" s="2680">
        <v>346166.75</v>
      </c>
      <c r="V977" s="2680"/>
      <c r="W977" s="2680"/>
      <c r="X977" s="2680"/>
      <c r="Y977" s="2680"/>
      <c r="Z977" s="2680"/>
      <c r="AA977" s="2680"/>
      <c r="AB977" s="2680"/>
      <c r="AC977" s="5055">
        <v>1</v>
      </c>
      <c r="AD977" s="5388" t="s">
        <v>1750</v>
      </c>
      <c r="AE977" s="6016">
        <v>0.2</v>
      </c>
      <c r="AF977" s="3814">
        <v>69300</v>
      </c>
      <c r="AG977" s="3684">
        <f t="shared" si="193"/>
        <v>69300</v>
      </c>
      <c r="AH977" s="5055" t="s">
        <v>122</v>
      </c>
      <c r="AI977" s="3684">
        <v>44914</v>
      </c>
      <c r="AJ977" s="3684">
        <v>69300</v>
      </c>
      <c r="AK977" s="3684">
        <v>44914</v>
      </c>
      <c r="AL977" s="3684">
        <v>138466.7</v>
      </c>
      <c r="AM977" s="3684">
        <v>45105</v>
      </c>
      <c r="AN977" s="3684">
        <f>SUBTOTAL(9,BO977:CB977)</f>
        <v>138466.7</v>
      </c>
      <c r="AO977" s="3684">
        <v>45166</v>
      </c>
      <c r="AP977" s="3708"/>
      <c r="AQ977" s="5164"/>
      <c r="AR977" s="3662"/>
      <c r="AS977" s="5341"/>
      <c r="AT977" s="5127"/>
      <c r="AU977" s="3662"/>
      <c r="AV977" s="3662"/>
      <c r="AW977" s="3662"/>
      <c r="AX977" s="3662"/>
      <c r="AY977" s="3662"/>
      <c r="AZ977" s="3662"/>
      <c r="BA977" s="5517"/>
      <c r="BB977" s="5517"/>
      <c r="BC977" s="5162"/>
      <c r="BD977" s="5517"/>
      <c r="BE977" s="5517"/>
      <c r="BF977" s="5517"/>
      <c r="BG977" s="5517"/>
      <c r="BH977" s="3823">
        <v>69300</v>
      </c>
      <c r="BI977" s="5517"/>
      <c r="BJ977" s="5517"/>
      <c r="BK977" s="5517"/>
      <c r="BL977" s="5517"/>
      <c r="BM977" s="5517"/>
      <c r="BN977" s="5517"/>
      <c r="BO977" s="5164"/>
      <c r="BP977" s="5164"/>
      <c r="BQ977" s="5164"/>
      <c r="BR977" s="5164"/>
      <c r="BS977" s="5164"/>
      <c r="BT977" s="5164"/>
      <c r="BU977" s="5164"/>
      <c r="BV977" s="3684">
        <v>138466.7</v>
      </c>
      <c r="BW977" s="5164"/>
      <c r="BX977" s="5164"/>
      <c r="BY977" s="5164"/>
      <c r="BZ977" s="5164"/>
      <c r="CA977" s="5164"/>
      <c r="CB977" s="5164"/>
      <c r="CC977" s="3708"/>
      <c r="CD977" s="3708"/>
      <c r="CE977" s="6028"/>
      <c r="CF977" s="6028"/>
      <c r="CG977" s="6028"/>
      <c r="CH977" s="6028"/>
    </row>
    <row r="978" s="4986" customFormat="1" ht="61" customHeight="1" spans="1:86">
      <c r="A978" s="3662"/>
      <c r="B978" s="3814"/>
      <c r="C978" s="3814"/>
      <c r="D978" s="5055"/>
      <c r="E978" s="1032"/>
      <c r="F978" s="5055"/>
      <c r="G978" s="5055"/>
      <c r="H978" s="3814"/>
      <c r="I978" s="3910"/>
      <c r="J978" s="5055"/>
      <c r="K978" s="5055"/>
      <c r="L978" s="5055"/>
      <c r="M978" s="3684"/>
      <c r="N978" s="2680"/>
      <c r="O978" s="2680"/>
      <c r="P978" s="2680"/>
      <c r="Q978" s="2680"/>
      <c r="R978" s="2680"/>
      <c r="S978" s="2680"/>
      <c r="T978" s="2680"/>
      <c r="U978" s="2680"/>
      <c r="V978" s="2680"/>
      <c r="W978" s="2680"/>
      <c r="X978" s="2680"/>
      <c r="Y978" s="2680"/>
      <c r="Z978" s="2680"/>
      <c r="AA978" s="2680"/>
      <c r="AB978" s="2680"/>
      <c r="AC978" s="5055">
        <v>2</v>
      </c>
      <c r="AD978" s="5388" t="s">
        <v>1862</v>
      </c>
      <c r="AE978" s="5055">
        <v>0.6</v>
      </c>
      <c r="AF978" s="3815">
        <v>207900</v>
      </c>
      <c r="AG978" s="3684">
        <f t="shared" si="193"/>
        <v>207900</v>
      </c>
      <c r="AH978" s="5055" t="s">
        <v>122</v>
      </c>
      <c r="AI978" s="3684">
        <v>44914</v>
      </c>
      <c r="AJ978" s="3684">
        <v>207900</v>
      </c>
      <c r="AK978" s="3684">
        <v>44914</v>
      </c>
      <c r="AL978" s="3684"/>
      <c r="AM978" s="3684"/>
      <c r="AN978" s="3684"/>
      <c r="AO978" s="3684"/>
      <c r="AP978" s="3708"/>
      <c r="AQ978" s="5164"/>
      <c r="AR978" s="3662"/>
      <c r="AS978" s="5341"/>
      <c r="AT978" s="5127"/>
      <c r="AU978" s="3662"/>
      <c r="AV978" s="3662"/>
      <c r="AW978" s="3662"/>
      <c r="AX978" s="3662"/>
      <c r="AY978" s="3662"/>
      <c r="AZ978" s="3662"/>
      <c r="BA978" s="5517"/>
      <c r="BB978" s="5517"/>
      <c r="BC978" s="5162"/>
      <c r="BD978" s="5517"/>
      <c r="BE978" s="5517"/>
      <c r="BF978" s="5517"/>
      <c r="BG978" s="5517"/>
      <c r="BH978" s="3823">
        <v>207900</v>
      </c>
      <c r="BI978" s="5517"/>
      <c r="BJ978" s="5517"/>
      <c r="BK978" s="5517"/>
      <c r="BL978" s="5517"/>
      <c r="BM978" s="5517"/>
      <c r="BN978" s="5517"/>
      <c r="BO978" s="5164"/>
      <c r="BP978" s="5164"/>
      <c r="BQ978" s="5164"/>
      <c r="BR978" s="5164"/>
      <c r="BS978" s="5164"/>
      <c r="BT978" s="5164"/>
      <c r="BU978" s="5164"/>
      <c r="BV978" s="3684"/>
      <c r="BW978" s="5164"/>
      <c r="BX978" s="5164"/>
      <c r="BY978" s="5164"/>
      <c r="BZ978" s="5164"/>
      <c r="CA978" s="5164"/>
      <c r="CB978" s="5164"/>
      <c r="CC978" s="3708"/>
      <c r="CD978" s="3708"/>
      <c r="CE978" s="6028"/>
      <c r="CF978" s="6028"/>
      <c r="CG978" s="6028"/>
      <c r="CH978" s="6028"/>
    </row>
    <row r="979" s="4986" customFormat="1" ht="61" customHeight="1" spans="1:86">
      <c r="A979" s="3662"/>
      <c r="B979" s="3814"/>
      <c r="C979" s="3814"/>
      <c r="D979" s="5055"/>
      <c r="E979" s="1032"/>
      <c r="F979" s="5055"/>
      <c r="G979" s="5055"/>
      <c r="H979" s="3814"/>
      <c r="I979" s="3910"/>
      <c r="J979" s="5055"/>
      <c r="K979" s="5055"/>
      <c r="L979" s="5055"/>
      <c r="M979" s="3684"/>
      <c r="N979" s="2680"/>
      <c r="O979" s="2680"/>
      <c r="P979" s="2680"/>
      <c r="Q979" s="2680"/>
      <c r="R979" s="2680"/>
      <c r="S979" s="2680"/>
      <c r="T979" s="2680"/>
      <c r="U979" s="2680"/>
      <c r="V979" s="2680"/>
      <c r="W979" s="2680"/>
      <c r="X979" s="2680"/>
      <c r="Y979" s="2680"/>
      <c r="Z979" s="2680"/>
      <c r="AA979" s="2680"/>
      <c r="AB979" s="2680"/>
      <c r="AC979" s="5055"/>
      <c r="AD979" s="5388"/>
      <c r="AE979" s="5055"/>
      <c r="AF979" s="1837"/>
      <c r="AG979" s="3684"/>
      <c r="AH979" s="5055"/>
      <c r="AI979" s="3684"/>
      <c r="AJ979" s="3684"/>
      <c r="AK979" s="3684"/>
      <c r="AL979" s="3684">
        <v>121158.36</v>
      </c>
      <c r="AM979" s="3684">
        <v>45227</v>
      </c>
      <c r="AN979" s="3684">
        <f>SUM(BO979:CB979)</f>
        <v>121158.36</v>
      </c>
      <c r="AO979" s="3684">
        <v>45264</v>
      </c>
      <c r="AP979" s="3708"/>
      <c r="AQ979" s="5133" t="s">
        <v>1878</v>
      </c>
      <c r="AR979" s="3662"/>
      <c r="AS979" s="5341"/>
      <c r="AT979" s="5127"/>
      <c r="AU979" s="3662"/>
      <c r="AV979" s="3662"/>
      <c r="AW979" s="3662"/>
      <c r="AX979" s="3662"/>
      <c r="AY979" s="3662"/>
      <c r="AZ979" s="3662"/>
      <c r="BA979" s="5517"/>
      <c r="BB979" s="5517"/>
      <c r="BC979" s="5162"/>
      <c r="BD979" s="5517"/>
      <c r="BE979" s="5517"/>
      <c r="BF979" s="5517"/>
      <c r="BG979" s="5517"/>
      <c r="BH979" s="3823"/>
      <c r="BI979" s="5517"/>
      <c r="BJ979" s="5517"/>
      <c r="BK979" s="5517"/>
      <c r="BL979" s="5517"/>
      <c r="BM979" s="5517"/>
      <c r="BN979" s="5517"/>
      <c r="BO979" s="5164"/>
      <c r="BP979" s="5164"/>
      <c r="BQ979" s="5164"/>
      <c r="BR979" s="5164"/>
      <c r="BS979" s="5164"/>
      <c r="BT979" s="5164"/>
      <c r="BU979" s="5164"/>
      <c r="BV979" s="3684">
        <v>121158.36</v>
      </c>
      <c r="BW979" s="5164"/>
      <c r="BX979" s="5164"/>
      <c r="BY979" s="5164"/>
      <c r="BZ979" s="5164"/>
      <c r="CA979" s="5164"/>
      <c r="CB979" s="5164"/>
      <c r="CC979" s="3708"/>
      <c r="CD979" s="3708"/>
      <c r="CE979" s="6028"/>
      <c r="CF979" s="6028"/>
      <c r="CG979" s="6028"/>
      <c r="CH979" s="6028"/>
    </row>
    <row r="980" s="4986" customFormat="1" ht="42.5" customHeight="1" spans="1:86">
      <c r="A980" s="3662"/>
      <c r="B980" s="3814"/>
      <c r="C980" s="3814"/>
      <c r="D980" s="5060"/>
      <c r="E980" s="5059"/>
      <c r="F980" s="5060"/>
      <c r="G980" s="5055"/>
      <c r="H980" s="3814"/>
      <c r="I980" s="3910"/>
      <c r="J980" s="5055"/>
      <c r="K980" s="5055"/>
      <c r="L980" s="5055"/>
      <c r="M980" s="3684"/>
      <c r="N980" s="2680"/>
      <c r="O980" s="2680"/>
      <c r="P980" s="2680"/>
      <c r="Q980" s="2680"/>
      <c r="R980" s="2680"/>
      <c r="S980" s="2680"/>
      <c r="T980" s="2680"/>
      <c r="U980" s="2680"/>
      <c r="V980" s="2680"/>
      <c r="W980" s="2680"/>
      <c r="X980" s="2680"/>
      <c r="Y980" s="2680"/>
      <c r="Z980" s="2680"/>
      <c r="AA980" s="2680"/>
      <c r="AB980" s="2680"/>
      <c r="AC980" s="5055"/>
      <c r="AD980" s="5388"/>
      <c r="AE980" s="5055"/>
      <c r="AF980" s="4830"/>
      <c r="AG980" s="3684"/>
      <c r="AH980" s="5055"/>
      <c r="AI980" s="3684"/>
      <c r="AJ980" s="3684"/>
      <c r="AK980" s="3684"/>
      <c r="AL980" s="3684">
        <v>17308.34</v>
      </c>
      <c r="AM980" s="3814">
        <v>45646</v>
      </c>
      <c r="AN980" s="5162">
        <f>SUM(BO980:CB980)</f>
        <v>17308.34</v>
      </c>
      <c r="AO980" s="5162">
        <v>45679</v>
      </c>
      <c r="AP980" s="3708"/>
      <c r="AQ980" s="5164"/>
      <c r="AR980" s="3662"/>
      <c r="AS980" s="5341"/>
      <c r="AT980" s="5127"/>
      <c r="AU980" s="3662"/>
      <c r="AV980" s="3662"/>
      <c r="AW980" s="3662"/>
      <c r="AX980" s="3662"/>
      <c r="AY980" s="3662"/>
      <c r="AZ980" s="3662"/>
      <c r="BA980" s="5517"/>
      <c r="BB980" s="5517"/>
      <c r="BC980" s="5162"/>
      <c r="BD980" s="5517"/>
      <c r="BE980" s="5517"/>
      <c r="BF980" s="5517"/>
      <c r="BG980" s="5517"/>
      <c r="BH980" s="3814"/>
      <c r="BI980" s="5517"/>
      <c r="BJ980" s="5517"/>
      <c r="BK980" s="5517"/>
      <c r="BL980" s="5517"/>
      <c r="BM980" s="5517"/>
      <c r="BN980" s="5517"/>
      <c r="BO980" s="5164"/>
      <c r="BP980" s="5164"/>
      <c r="BQ980" s="5164"/>
      <c r="BR980" s="5164"/>
      <c r="BS980" s="5164"/>
      <c r="BT980" s="5164"/>
      <c r="BU980" s="5164"/>
      <c r="BV980" s="5162">
        <v>17308.34</v>
      </c>
      <c r="BW980" s="5164"/>
      <c r="BX980" s="5164"/>
      <c r="BY980" s="5164"/>
      <c r="BZ980" s="5164"/>
      <c r="CA980" s="5164"/>
      <c r="CB980" s="5164"/>
      <c r="CC980" s="3708"/>
      <c r="CD980" s="3708"/>
      <c r="CE980" s="6028"/>
      <c r="CF980" s="6028"/>
      <c r="CG980" s="6028"/>
      <c r="CH980" s="6028"/>
    </row>
    <row r="981" s="4986" customFormat="1" ht="50.85" customHeight="1" spans="1:86">
      <c r="A981" s="3662"/>
      <c r="B981" s="3814"/>
      <c r="C981" s="3814"/>
      <c r="D981" s="5060"/>
      <c r="E981" s="5059"/>
      <c r="F981" s="5060"/>
      <c r="G981" s="5055"/>
      <c r="H981" s="3684"/>
      <c r="I981" s="3911"/>
      <c r="J981" s="5060"/>
      <c r="K981" s="5055"/>
      <c r="L981" s="5060"/>
      <c r="M981" s="3684"/>
      <c r="N981" s="2680"/>
      <c r="O981" s="2680"/>
      <c r="P981" s="2680"/>
      <c r="Q981" s="2680"/>
      <c r="R981" s="2680"/>
      <c r="S981" s="2680"/>
      <c r="T981" s="2680"/>
      <c r="U981" s="2680"/>
      <c r="V981" s="2680"/>
      <c r="W981" s="2680"/>
      <c r="X981" s="2680"/>
      <c r="Y981" s="2680"/>
      <c r="Z981" s="2680"/>
      <c r="AA981" s="2680"/>
      <c r="AB981" s="2680"/>
      <c r="AC981" s="5055">
        <v>3</v>
      </c>
      <c r="AD981" s="5388" t="s">
        <v>1879</v>
      </c>
      <c r="AE981" s="6016">
        <v>0.2</v>
      </c>
      <c r="AF981" s="3814">
        <v>68966.75</v>
      </c>
      <c r="AG981" s="3684">
        <f t="shared" ref="AG981:AG993" si="194">SUM(BA981:BN981)</f>
        <v>68966.75</v>
      </c>
      <c r="AH981" s="5055" t="s">
        <v>122</v>
      </c>
      <c r="AI981" s="3684">
        <v>45233</v>
      </c>
      <c r="AJ981" s="3684">
        <v>68966.75</v>
      </c>
      <c r="AK981" s="3684">
        <v>45233</v>
      </c>
      <c r="AL981" s="3814">
        <v>69233.35</v>
      </c>
      <c r="AM981" s="3814">
        <v>45646</v>
      </c>
      <c r="AN981" s="5162">
        <f>SUBTOTAL(9,BO981:CB981)</f>
        <v>69233.35</v>
      </c>
      <c r="AO981" s="5162">
        <v>45679</v>
      </c>
      <c r="AP981" s="3708"/>
      <c r="AQ981" s="5164"/>
      <c r="AR981" s="3662"/>
      <c r="AS981" s="5341"/>
      <c r="AT981" s="5127"/>
      <c r="AU981" s="3662"/>
      <c r="AV981" s="3662"/>
      <c r="AW981" s="3662"/>
      <c r="AX981" s="3662"/>
      <c r="AY981" s="3662"/>
      <c r="AZ981" s="3662"/>
      <c r="BA981" s="5164"/>
      <c r="BB981" s="5164"/>
      <c r="BC981" s="3708"/>
      <c r="BD981" s="6012"/>
      <c r="BE981" s="5164"/>
      <c r="BF981" s="5164"/>
      <c r="BG981" s="5164"/>
      <c r="BH981" s="3684">
        <v>68966.75</v>
      </c>
      <c r="BI981" s="5164"/>
      <c r="BJ981" s="5164"/>
      <c r="BK981" s="5164"/>
      <c r="BL981" s="5164"/>
      <c r="BM981" s="5164"/>
      <c r="BN981" s="5164"/>
      <c r="BO981" s="5164"/>
      <c r="BP981" s="5164"/>
      <c r="BQ981" s="5164"/>
      <c r="BR981" s="6012"/>
      <c r="BS981" s="5164"/>
      <c r="BT981" s="5164"/>
      <c r="BU981" s="5164"/>
      <c r="BV981" s="5162">
        <v>69233.35</v>
      </c>
      <c r="BW981" s="5164"/>
      <c r="BX981" s="5164"/>
      <c r="BY981" s="5164"/>
      <c r="BZ981" s="5164"/>
      <c r="CA981" s="5164"/>
      <c r="CB981" s="5164"/>
      <c r="CC981" s="3708"/>
      <c r="CD981" s="3708"/>
      <c r="CE981" s="6028"/>
      <c r="CF981" s="6028"/>
      <c r="CG981" s="6028"/>
      <c r="CH981" s="6028"/>
    </row>
    <row r="982" s="4986" customFormat="1" ht="61" customHeight="1" spans="1:86">
      <c r="A982" s="3662"/>
      <c r="B982" s="3814" t="s">
        <v>1186</v>
      </c>
      <c r="C982" s="3814">
        <v>44913</v>
      </c>
      <c r="D982" s="5055" t="s">
        <v>1880</v>
      </c>
      <c r="E982" s="1032" t="s">
        <v>1881</v>
      </c>
      <c r="F982" s="5055" t="s">
        <v>1882</v>
      </c>
      <c r="G982" s="5055" t="s">
        <v>1883</v>
      </c>
      <c r="H982" s="3814" t="s">
        <v>31</v>
      </c>
      <c r="I982" s="3909" t="s">
        <v>1884</v>
      </c>
      <c r="J982" s="5055" t="s">
        <v>1885</v>
      </c>
      <c r="K982" s="5055">
        <v>196232.43</v>
      </c>
      <c r="L982" s="5055" t="s">
        <v>1861</v>
      </c>
      <c r="M982" s="3684">
        <f>SUM(N982:AA986)</f>
        <v>683606</v>
      </c>
      <c r="N982" s="2680"/>
      <c r="O982" s="2680"/>
      <c r="P982" s="2680"/>
      <c r="Q982" s="2680"/>
      <c r="R982" s="2680"/>
      <c r="S982" s="2680"/>
      <c r="T982" s="2680"/>
      <c r="U982" s="2680">
        <v>683606</v>
      </c>
      <c r="V982" s="2680"/>
      <c r="W982" s="2680"/>
      <c r="X982" s="2680"/>
      <c r="Y982" s="2680"/>
      <c r="Z982" s="2680"/>
      <c r="AA982" s="2680"/>
      <c r="AB982" s="2680"/>
      <c r="AC982" s="5055">
        <v>1</v>
      </c>
      <c r="AD982" s="5388" t="s">
        <v>1750</v>
      </c>
      <c r="AE982" s="6016">
        <v>0.2</v>
      </c>
      <c r="AF982" s="3814">
        <f>M982*AE982</f>
        <v>136721.2</v>
      </c>
      <c r="AG982" s="3684">
        <f t="shared" si="194"/>
        <v>138600</v>
      </c>
      <c r="AH982" s="5055" t="s">
        <v>122</v>
      </c>
      <c r="AI982" s="3684">
        <v>44914</v>
      </c>
      <c r="AJ982" s="3684">
        <v>138600</v>
      </c>
      <c r="AK982" s="3684">
        <v>44914</v>
      </c>
      <c r="AL982" s="3684">
        <v>273442.4</v>
      </c>
      <c r="AM982" s="3684">
        <v>45105</v>
      </c>
      <c r="AN982" s="3684">
        <f t="shared" ref="AN982:AN992" si="195">SUBTOTAL(9,BO982:CB982)</f>
        <v>273442.4</v>
      </c>
      <c r="AO982" s="3684">
        <v>45159</v>
      </c>
      <c r="AP982" s="3708"/>
      <c r="AQ982" s="5164"/>
      <c r="AR982" s="3662"/>
      <c r="AS982" s="5341"/>
      <c r="AT982" s="5127"/>
      <c r="AU982" s="3662"/>
      <c r="AV982" s="3662"/>
      <c r="AW982" s="3662"/>
      <c r="AX982" s="3662"/>
      <c r="AY982" s="3662"/>
      <c r="AZ982" s="3662"/>
      <c r="BA982" s="5517"/>
      <c r="BB982" s="5517"/>
      <c r="BC982" s="5162"/>
      <c r="BD982" s="5517"/>
      <c r="BE982" s="5517"/>
      <c r="BF982" s="5517"/>
      <c r="BG982" s="5517"/>
      <c r="BH982" s="3708">
        <v>138600</v>
      </c>
      <c r="BI982" s="5517"/>
      <c r="BJ982" s="5517"/>
      <c r="BK982" s="5517"/>
      <c r="BL982" s="5517"/>
      <c r="BM982" s="5517"/>
      <c r="BN982" s="5517"/>
      <c r="BO982" s="5164"/>
      <c r="BP982" s="5164"/>
      <c r="BQ982" s="5164"/>
      <c r="BR982" s="5164"/>
      <c r="BS982" s="5164"/>
      <c r="BT982" s="5164"/>
      <c r="BU982" s="5164"/>
      <c r="BV982" s="3684">
        <v>273442.4</v>
      </c>
      <c r="BW982" s="5164"/>
      <c r="BX982" s="5164"/>
      <c r="BY982" s="5164"/>
      <c r="BZ982" s="5164"/>
      <c r="CA982" s="5164"/>
      <c r="CB982" s="5164"/>
      <c r="CC982" s="3708"/>
      <c r="CD982" s="3708"/>
      <c r="CE982" s="6028"/>
      <c r="CF982" s="6028"/>
      <c r="CG982" s="6028"/>
      <c r="CH982" s="6028"/>
    </row>
    <row r="983" s="4986" customFormat="1" ht="61" customHeight="1" spans="1:86">
      <c r="A983" s="3662"/>
      <c r="B983" s="3814"/>
      <c r="C983" s="3814"/>
      <c r="D983" s="5055"/>
      <c r="E983" s="1032"/>
      <c r="F983" s="5055"/>
      <c r="G983" s="5055"/>
      <c r="H983" s="3814"/>
      <c r="I983" s="3910"/>
      <c r="J983" s="5055"/>
      <c r="K983" s="5055"/>
      <c r="L983" s="5055"/>
      <c r="M983" s="3684"/>
      <c r="N983" s="2680"/>
      <c r="O983" s="2680"/>
      <c r="P983" s="2680"/>
      <c r="Q983" s="2680"/>
      <c r="R983" s="2680"/>
      <c r="S983" s="2680"/>
      <c r="T983" s="2680"/>
      <c r="U983" s="2680"/>
      <c r="V983" s="2680"/>
      <c r="W983" s="2680"/>
      <c r="X983" s="2680"/>
      <c r="Y983" s="2680"/>
      <c r="Z983" s="2680"/>
      <c r="AA983" s="2680"/>
      <c r="AB983" s="2680"/>
      <c r="AC983" s="5055">
        <v>2</v>
      </c>
      <c r="AD983" s="5388" t="s">
        <v>1862</v>
      </c>
      <c r="AE983" s="5055">
        <v>0.6</v>
      </c>
      <c r="AF983" s="3814">
        <f>M982*AE983</f>
        <v>410163.6</v>
      </c>
      <c r="AG983" s="3684">
        <f t="shared" si="194"/>
        <v>134842.4</v>
      </c>
      <c r="AH983" s="5055" t="s">
        <v>122</v>
      </c>
      <c r="AI983" s="3684">
        <v>45105</v>
      </c>
      <c r="AJ983" s="3684">
        <v>134842.4</v>
      </c>
      <c r="AK983" s="3684">
        <v>45105</v>
      </c>
      <c r="AL983" s="3684"/>
      <c r="AM983" s="3684"/>
      <c r="AN983" s="3684"/>
      <c r="AO983" s="3684"/>
      <c r="AP983" s="3708"/>
      <c r="AQ983" s="5164"/>
      <c r="AR983" s="3662"/>
      <c r="AS983" s="5341"/>
      <c r="AT983" s="5127"/>
      <c r="AU983" s="3662"/>
      <c r="AV983" s="3662"/>
      <c r="AW983" s="3662"/>
      <c r="AX983" s="3662"/>
      <c r="AY983" s="3662"/>
      <c r="AZ983" s="3662"/>
      <c r="BA983" s="5517"/>
      <c r="BB983" s="5517"/>
      <c r="BC983" s="5162"/>
      <c r="BD983" s="5517"/>
      <c r="BE983" s="5517"/>
      <c r="BF983" s="5517"/>
      <c r="BG983" s="5517"/>
      <c r="BH983" s="3684">
        <v>134842.4</v>
      </c>
      <c r="BI983" s="5517"/>
      <c r="BJ983" s="5517"/>
      <c r="BK983" s="5517"/>
      <c r="BL983" s="5517"/>
      <c r="BM983" s="5517"/>
      <c r="BN983" s="5517"/>
      <c r="BO983" s="5164"/>
      <c r="BP983" s="5164"/>
      <c r="BQ983" s="5164"/>
      <c r="BR983" s="5164"/>
      <c r="BS983" s="5164"/>
      <c r="BT983" s="5164"/>
      <c r="BU983" s="5164"/>
      <c r="BV983" s="3684"/>
      <c r="BW983" s="5164"/>
      <c r="BX983" s="5164"/>
      <c r="BY983" s="5164"/>
      <c r="BZ983" s="5164"/>
      <c r="CA983" s="5164"/>
      <c r="CB983" s="5164"/>
      <c r="CC983" s="3708"/>
      <c r="CD983" s="3708"/>
      <c r="CE983" s="6028"/>
      <c r="CF983" s="6028"/>
      <c r="CG983" s="6028"/>
      <c r="CH983" s="6028"/>
    </row>
    <row r="984" s="4986" customFormat="1" ht="61" customHeight="1" spans="1:86">
      <c r="A984" s="3662"/>
      <c r="B984" s="3814"/>
      <c r="C984" s="3814"/>
      <c r="D984" s="5055"/>
      <c r="E984" s="1032"/>
      <c r="F984" s="5055"/>
      <c r="G984" s="5055"/>
      <c r="H984" s="3814"/>
      <c r="I984" s="3910"/>
      <c r="J984" s="5055"/>
      <c r="K984" s="5055"/>
      <c r="L984" s="5055"/>
      <c r="M984" s="3684"/>
      <c r="N984" s="2680"/>
      <c r="O984" s="2680"/>
      <c r="P984" s="2680"/>
      <c r="Q984" s="2680"/>
      <c r="R984" s="2680"/>
      <c r="S984" s="2680"/>
      <c r="T984" s="2680"/>
      <c r="U984" s="2680"/>
      <c r="V984" s="2680"/>
      <c r="W984" s="2680"/>
      <c r="X984" s="2680"/>
      <c r="Y984" s="2680"/>
      <c r="Z984" s="2680"/>
      <c r="AA984" s="2680"/>
      <c r="AB984" s="2680"/>
      <c r="AC984" s="5055"/>
      <c r="AD984" s="5388"/>
      <c r="AE984" s="5055"/>
      <c r="AF984" s="3814"/>
      <c r="AG984" s="3684">
        <f t="shared" si="194"/>
        <v>239262.1</v>
      </c>
      <c r="AH984" s="5055" t="s">
        <v>122</v>
      </c>
      <c r="AI984" s="3684">
        <v>45227</v>
      </c>
      <c r="AJ984" s="3684">
        <v>239262.1</v>
      </c>
      <c r="AK984" s="3684">
        <v>45227</v>
      </c>
      <c r="AL984" s="3684">
        <v>239262.1</v>
      </c>
      <c r="AM984" s="3684">
        <v>45227</v>
      </c>
      <c r="AN984" s="3684">
        <f t="shared" si="195"/>
        <v>239262.1</v>
      </c>
      <c r="AO984" s="3684">
        <v>45254</v>
      </c>
      <c r="AP984" s="3708"/>
      <c r="AQ984" s="5133" t="s">
        <v>1878</v>
      </c>
      <c r="AR984" s="3662"/>
      <c r="AS984" s="5341"/>
      <c r="AT984" s="5127"/>
      <c r="AU984" s="3662"/>
      <c r="AV984" s="3662"/>
      <c r="AW984" s="3662"/>
      <c r="AX984" s="3662"/>
      <c r="AY984" s="3662"/>
      <c r="AZ984" s="3662"/>
      <c r="BA984" s="5517"/>
      <c r="BB984" s="5517"/>
      <c r="BC984" s="5162"/>
      <c r="BD984" s="5517"/>
      <c r="BE984" s="5517"/>
      <c r="BF984" s="5517"/>
      <c r="BG984" s="5517"/>
      <c r="BH984" s="3684">
        <v>239262.1</v>
      </c>
      <c r="BI984" s="5517"/>
      <c r="BJ984" s="5517"/>
      <c r="BK984" s="5517"/>
      <c r="BL984" s="5517"/>
      <c r="BM984" s="5517"/>
      <c r="BN984" s="5517"/>
      <c r="BO984" s="5164"/>
      <c r="BP984" s="5164"/>
      <c r="BQ984" s="5148"/>
      <c r="BR984" s="5148"/>
      <c r="BS984" s="5148"/>
      <c r="BT984" s="5148"/>
      <c r="BU984" s="5148"/>
      <c r="BV984" s="3684">
        <v>239262.1</v>
      </c>
      <c r="BW984" s="5164"/>
      <c r="BX984" s="5164"/>
      <c r="BY984" s="5164"/>
      <c r="BZ984" s="5164"/>
      <c r="CA984" s="5164"/>
      <c r="CB984" s="5164"/>
      <c r="CC984" s="3708"/>
      <c r="CD984" s="3708"/>
      <c r="CE984" s="6028"/>
      <c r="CF984" s="6028"/>
      <c r="CG984" s="6028"/>
      <c r="CH984" s="6028"/>
    </row>
    <row r="985" s="4986" customFormat="1" ht="61" customHeight="1" spans="1:86">
      <c r="A985" s="3662"/>
      <c r="B985" s="3814"/>
      <c r="C985" s="3814"/>
      <c r="D985" s="5060"/>
      <c r="E985" s="5059"/>
      <c r="F985" s="5060"/>
      <c r="G985" s="5055"/>
      <c r="H985" s="3814"/>
      <c r="I985" s="3910"/>
      <c r="J985" s="5055"/>
      <c r="K985" s="5055"/>
      <c r="L985" s="5055"/>
      <c r="M985" s="3684"/>
      <c r="N985" s="2680"/>
      <c r="O985" s="2680"/>
      <c r="P985" s="2680"/>
      <c r="Q985" s="2680"/>
      <c r="R985" s="2680"/>
      <c r="S985" s="2680"/>
      <c r="T985" s="2680"/>
      <c r="U985" s="2680"/>
      <c r="V985" s="2680"/>
      <c r="W985" s="2680"/>
      <c r="X985" s="2680"/>
      <c r="Y985" s="2680"/>
      <c r="Z985" s="2680"/>
      <c r="AA985" s="2680"/>
      <c r="AB985" s="2680"/>
      <c r="AC985" s="5055"/>
      <c r="AD985" s="5388"/>
      <c r="AE985" s="5055"/>
      <c r="AF985" s="3814"/>
      <c r="AG985" s="3684">
        <f t="shared" si="194"/>
        <v>34180.3</v>
      </c>
      <c r="AH985" s="5055" t="s">
        <v>122</v>
      </c>
      <c r="AI985" s="3684">
        <v>45233</v>
      </c>
      <c r="AJ985" s="3684">
        <v>34180.3</v>
      </c>
      <c r="AK985" s="3684">
        <v>45233</v>
      </c>
      <c r="AL985" s="3684">
        <v>34180.3</v>
      </c>
      <c r="AM985" s="3814">
        <v>45646</v>
      </c>
      <c r="AN985" s="5162">
        <f t="shared" si="195"/>
        <v>34180.3</v>
      </c>
      <c r="AO985" s="5162">
        <v>45678</v>
      </c>
      <c r="AP985" s="3708"/>
      <c r="AQ985" s="5164"/>
      <c r="AR985" s="3662"/>
      <c r="AS985" s="5341"/>
      <c r="AT985" s="5127"/>
      <c r="AU985" s="3662"/>
      <c r="AV985" s="3662"/>
      <c r="AW985" s="3662"/>
      <c r="AX985" s="3662"/>
      <c r="AY985" s="3662"/>
      <c r="AZ985" s="3662"/>
      <c r="BA985" s="6021"/>
      <c r="BB985" s="6021"/>
      <c r="BC985" s="6022"/>
      <c r="BD985" s="6021"/>
      <c r="BE985" s="6021"/>
      <c r="BF985" s="6021"/>
      <c r="BG985" s="6021"/>
      <c r="BH985" s="3684">
        <v>34180.3</v>
      </c>
      <c r="BI985" s="6021"/>
      <c r="BJ985" s="6021"/>
      <c r="BK985" s="6021"/>
      <c r="BL985" s="6021"/>
      <c r="BM985" s="6021"/>
      <c r="BN985" s="6021"/>
      <c r="BO985" s="5164"/>
      <c r="BP985" s="5164"/>
      <c r="BQ985" s="5164"/>
      <c r="BR985" s="5164"/>
      <c r="BS985" s="5164"/>
      <c r="BT985" s="5164"/>
      <c r="BU985" s="5164"/>
      <c r="BV985" s="5162">
        <v>34180.3</v>
      </c>
      <c r="BW985" s="5164"/>
      <c r="BX985" s="5164"/>
      <c r="BY985" s="5164"/>
      <c r="BZ985" s="5164"/>
      <c r="CA985" s="5164"/>
      <c r="CB985" s="5164"/>
      <c r="CC985" s="3708"/>
      <c r="CD985" s="3708"/>
      <c r="CE985" s="6028"/>
      <c r="CF985" s="6028"/>
      <c r="CG985" s="6028"/>
      <c r="CH985" s="6028"/>
    </row>
    <row r="986" s="4986" customFormat="1" ht="55" customHeight="1" spans="1:86">
      <c r="A986" s="3662"/>
      <c r="B986" s="3814"/>
      <c r="C986" s="3814"/>
      <c r="D986" s="5060"/>
      <c r="E986" s="5059"/>
      <c r="F986" s="5060"/>
      <c r="G986" s="5055"/>
      <c r="H986" s="3684"/>
      <c r="I986" s="3911"/>
      <c r="J986" s="5060"/>
      <c r="K986" s="5055"/>
      <c r="L986" s="5060"/>
      <c r="M986" s="3684"/>
      <c r="N986" s="2680"/>
      <c r="O986" s="2680"/>
      <c r="P986" s="2680"/>
      <c r="Q986" s="2680"/>
      <c r="R986" s="2680"/>
      <c r="S986" s="2680"/>
      <c r="T986" s="2680"/>
      <c r="U986" s="2680"/>
      <c r="V986" s="2680"/>
      <c r="W986" s="2680"/>
      <c r="X986" s="2680"/>
      <c r="Y986" s="2680"/>
      <c r="Z986" s="2680"/>
      <c r="AA986" s="2680"/>
      <c r="AB986" s="2680"/>
      <c r="AC986" s="5055">
        <v>3</v>
      </c>
      <c r="AD986" s="5388" t="s">
        <v>1879</v>
      </c>
      <c r="AE986" s="6016">
        <v>0.2</v>
      </c>
      <c r="AF986" s="3814">
        <f>M982*AE986</f>
        <v>136721.2</v>
      </c>
      <c r="AG986" s="3684">
        <f t="shared" si="194"/>
        <v>136721.2</v>
      </c>
      <c r="AH986" s="5055" t="s">
        <v>122</v>
      </c>
      <c r="AI986" s="3684">
        <v>45233</v>
      </c>
      <c r="AJ986" s="3684">
        <v>136721.2</v>
      </c>
      <c r="AK986" s="3684">
        <v>45233</v>
      </c>
      <c r="AL986" s="3814">
        <v>136721.2</v>
      </c>
      <c r="AM986" s="3814">
        <v>45646</v>
      </c>
      <c r="AN986" s="5162">
        <f t="shared" si="195"/>
        <v>136721.2</v>
      </c>
      <c r="AO986" s="5162">
        <v>45678</v>
      </c>
      <c r="AP986" s="3708"/>
      <c r="AQ986" s="5164"/>
      <c r="AR986" s="3662"/>
      <c r="AS986" s="5341"/>
      <c r="AT986" s="5127"/>
      <c r="AU986" s="3662"/>
      <c r="AV986" s="3662"/>
      <c r="AW986" s="3662"/>
      <c r="AX986" s="3662"/>
      <c r="AY986" s="3662"/>
      <c r="AZ986" s="3662"/>
      <c r="BA986" s="5164"/>
      <c r="BB986" s="5164"/>
      <c r="BC986" s="3708"/>
      <c r="BD986" s="6012"/>
      <c r="BE986" s="5164"/>
      <c r="BF986" s="5164"/>
      <c r="BG986" s="5164"/>
      <c r="BH986" s="3814">
        <v>136721.2</v>
      </c>
      <c r="BI986" s="5164"/>
      <c r="BJ986" s="5164"/>
      <c r="BK986" s="5164"/>
      <c r="BL986" s="5164"/>
      <c r="BM986" s="5164"/>
      <c r="BN986" s="5164"/>
      <c r="BO986" s="5164"/>
      <c r="BP986" s="5164"/>
      <c r="BQ986" s="5164"/>
      <c r="BR986" s="6012"/>
      <c r="BS986" s="5164"/>
      <c r="BT986" s="5164"/>
      <c r="BU986" s="5164"/>
      <c r="BV986" s="6027">
        <v>136721.2</v>
      </c>
      <c r="BW986" s="5164"/>
      <c r="BX986" s="5164"/>
      <c r="BY986" s="5164"/>
      <c r="BZ986" s="5164"/>
      <c r="CA986" s="5164"/>
      <c r="CB986" s="5164"/>
      <c r="CC986" s="3708"/>
      <c r="CD986" s="3708"/>
      <c r="CE986" s="6028"/>
      <c r="CF986" s="6028"/>
      <c r="CG986" s="6028"/>
      <c r="CH986" s="6028"/>
    </row>
    <row r="987" s="4979" customFormat="1" ht="61" customHeight="1" spans="1:86">
      <c r="A987" s="3524"/>
      <c r="B987" s="857" t="s">
        <v>1186</v>
      </c>
      <c r="C987" s="857">
        <v>45280</v>
      </c>
      <c r="D987" s="1032" t="s">
        <v>1886</v>
      </c>
      <c r="E987" s="1032" t="s">
        <v>1887</v>
      </c>
      <c r="F987" s="1032" t="s">
        <v>1888</v>
      </c>
      <c r="G987" s="1032" t="s">
        <v>1889</v>
      </c>
      <c r="H987" s="857" t="s">
        <v>1890</v>
      </c>
      <c r="I987" s="5073"/>
      <c r="J987" s="1032" t="s">
        <v>1891</v>
      </c>
      <c r="K987" s="1032">
        <v>5800</v>
      </c>
      <c r="L987" s="1032" t="s">
        <v>1892</v>
      </c>
      <c r="M987" s="4813">
        <f>SUM(N987:AA992)</f>
        <v>46400</v>
      </c>
      <c r="N987" s="2680"/>
      <c r="O987" s="2680"/>
      <c r="P987" s="2680"/>
      <c r="Q987" s="2680"/>
      <c r="R987" s="2680"/>
      <c r="S987" s="2680"/>
      <c r="T987" s="2680"/>
      <c r="U987" s="2680">
        <v>17400</v>
      </c>
      <c r="V987" s="2680">
        <v>29000</v>
      </c>
      <c r="W987" s="2680"/>
      <c r="X987" s="2680"/>
      <c r="Y987" s="2680"/>
      <c r="Z987" s="2680"/>
      <c r="AA987" s="2680"/>
      <c r="AB987" s="2680"/>
      <c r="AC987" s="1032" t="s">
        <v>1893</v>
      </c>
      <c r="AD987" s="5241" t="s">
        <v>1894</v>
      </c>
      <c r="AE987" s="5878">
        <v>0.2</v>
      </c>
      <c r="AF987" s="857">
        <f>U987*AE987</f>
        <v>3480</v>
      </c>
      <c r="AG987" s="3812">
        <f t="shared" si="194"/>
        <v>3480</v>
      </c>
      <c r="AH987" s="5073" t="s">
        <v>1895</v>
      </c>
      <c r="AI987" s="5123"/>
      <c r="AJ987" s="3812"/>
      <c r="AK987" s="3812"/>
      <c r="AL987" s="3812"/>
      <c r="AM987" s="3812"/>
      <c r="AN987" s="3812">
        <f t="shared" si="195"/>
        <v>0</v>
      </c>
      <c r="AO987" s="3812"/>
      <c r="AP987" s="5123"/>
      <c r="AQ987" s="5160"/>
      <c r="AR987" s="3524"/>
      <c r="AS987" s="5129"/>
      <c r="AT987" s="5122"/>
      <c r="AU987" s="3524"/>
      <c r="AV987" s="3524"/>
      <c r="AW987" s="3524"/>
      <c r="AX987" s="3524"/>
      <c r="AY987" s="3524"/>
      <c r="AZ987" s="3524"/>
      <c r="BA987" s="5741"/>
      <c r="BB987" s="5741"/>
      <c r="BC987" s="4813"/>
      <c r="BD987" s="5741"/>
      <c r="BE987" s="5741"/>
      <c r="BF987" s="5741"/>
      <c r="BG987" s="5741"/>
      <c r="BH987" s="5123">
        <v>3480</v>
      </c>
      <c r="BI987" s="5741"/>
      <c r="BJ987" s="5741"/>
      <c r="BK987" s="5741"/>
      <c r="BL987" s="5741"/>
      <c r="BM987" s="5741"/>
      <c r="BN987" s="5741"/>
      <c r="BO987" s="5160"/>
      <c r="BP987" s="5160"/>
      <c r="BQ987" s="5160"/>
      <c r="BR987" s="5160"/>
      <c r="BS987" s="5160"/>
      <c r="BT987" s="5160"/>
      <c r="BU987" s="5160"/>
      <c r="BV987" s="3812"/>
      <c r="BW987" s="5160"/>
      <c r="BX987" s="5160"/>
      <c r="BY987" s="5160"/>
      <c r="BZ987" s="5160"/>
      <c r="CA987" s="5160"/>
      <c r="CB987" s="5160"/>
      <c r="CC987" s="5123"/>
      <c r="CD987" s="5123"/>
      <c r="CE987" s="5751"/>
      <c r="CF987" s="5751"/>
      <c r="CG987" s="5751"/>
      <c r="CH987" s="5751"/>
    </row>
    <row r="988" s="4979" customFormat="1" ht="52.5" customHeight="1" spans="1:86">
      <c r="A988" s="3524"/>
      <c r="B988" s="857"/>
      <c r="C988" s="857"/>
      <c r="D988" s="5059"/>
      <c r="E988" s="5059"/>
      <c r="F988" s="5059"/>
      <c r="G988" s="1032"/>
      <c r="H988" s="857"/>
      <c r="I988" s="5205"/>
      <c r="J988" s="1032"/>
      <c r="K988" s="1032"/>
      <c r="L988" s="1032"/>
      <c r="M988" s="4813"/>
      <c r="N988" s="2680"/>
      <c r="O988" s="2680"/>
      <c r="P988" s="2680"/>
      <c r="Q988" s="2680"/>
      <c r="R988" s="2680"/>
      <c r="S988" s="2680"/>
      <c r="T988" s="2680"/>
      <c r="U988" s="2680"/>
      <c r="V988" s="2680"/>
      <c r="W988" s="2680"/>
      <c r="X988" s="2680"/>
      <c r="Y988" s="2680"/>
      <c r="Z988" s="2680"/>
      <c r="AA988" s="2680"/>
      <c r="AB988" s="2680"/>
      <c r="AC988" s="1032" t="s">
        <v>1896</v>
      </c>
      <c r="AD988" s="5241" t="s">
        <v>1897</v>
      </c>
      <c r="AE988" s="1032">
        <v>0.6</v>
      </c>
      <c r="AF988" s="857">
        <f>U987*AE988</f>
        <v>10440</v>
      </c>
      <c r="AG988" s="3812">
        <f t="shared" si="194"/>
        <v>10440</v>
      </c>
      <c r="AH988" s="5205"/>
      <c r="AI988" s="5123"/>
      <c r="AJ988" s="3812"/>
      <c r="AK988" s="3812"/>
      <c r="AL988" s="5123"/>
      <c r="AM988" s="5881"/>
      <c r="AN988" s="5123">
        <f t="shared" si="195"/>
        <v>0</v>
      </c>
      <c r="AO988" s="3932"/>
      <c r="AP988" s="5123"/>
      <c r="AQ988" s="5160"/>
      <c r="AR988" s="3524"/>
      <c r="AS988" s="5129"/>
      <c r="AT988" s="5122"/>
      <c r="AU988" s="3524"/>
      <c r="AV988" s="3524"/>
      <c r="AW988" s="3524"/>
      <c r="AX988" s="3524"/>
      <c r="AY988" s="3524"/>
      <c r="AZ988" s="3524"/>
      <c r="BA988" s="6023"/>
      <c r="BB988" s="6023"/>
      <c r="BC988" s="4815"/>
      <c r="BD988" s="6023"/>
      <c r="BE988" s="6023"/>
      <c r="BF988" s="6023"/>
      <c r="BG988" s="6023"/>
      <c r="BH988" s="5123">
        <v>10440</v>
      </c>
      <c r="BI988" s="6023"/>
      <c r="BJ988" s="6023"/>
      <c r="BK988" s="6023"/>
      <c r="BL988" s="6023"/>
      <c r="BM988" s="6023"/>
      <c r="BN988" s="6023"/>
      <c r="BO988" s="5160"/>
      <c r="BP988" s="5160"/>
      <c r="BQ988" s="5160"/>
      <c r="BR988" s="5160"/>
      <c r="BS988" s="5160"/>
      <c r="BT988" s="5160"/>
      <c r="BU988" s="5160"/>
      <c r="BV988" s="5123"/>
      <c r="BW988" s="5160"/>
      <c r="BX988" s="5160"/>
      <c r="BY988" s="5160"/>
      <c r="BZ988" s="5160"/>
      <c r="CA988" s="5160"/>
      <c r="CB988" s="5160"/>
      <c r="CC988" s="5123"/>
      <c r="CD988" s="5123"/>
      <c r="CE988" s="5751"/>
      <c r="CF988" s="5751"/>
      <c r="CG988" s="5751"/>
      <c r="CH988" s="5751"/>
    </row>
    <row r="989" s="4979" customFormat="1" ht="61" customHeight="1" spans="1:86">
      <c r="A989" s="3524"/>
      <c r="B989" s="857"/>
      <c r="C989" s="857"/>
      <c r="D989" s="5059"/>
      <c r="E989" s="5059"/>
      <c r="F989" s="5059"/>
      <c r="G989" s="1032"/>
      <c r="H989" s="857"/>
      <c r="I989" s="5205"/>
      <c r="J989" s="1032"/>
      <c r="K989" s="1032"/>
      <c r="L989" s="1032"/>
      <c r="M989" s="4813"/>
      <c r="N989" s="2680"/>
      <c r="O989" s="2680"/>
      <c r="P989" s="2680"/>
      <c r="Q989" s="2680"/>
      <c r="R989" s="2680"/>
      <c r="S989" s="2680"/>
      <c r="T989" s="2680"/>
      <c r="U989" s="2680"/>
      <c r="V989" s="2680"/>
      <c r="W989" s="2680"/>
      <c r="X989" s="2680"/>
      <c r="Y989" s="2680"/>
      <c r="Z989" s="2680"/>
      <c r="AA989" s="2680"/>
      <c r="AB989" s="2680"/>
      <c r="AC989" s="1032" t="s">
        <v>1898</v>
      </c>
      <c r="AD989" s="5241" t="s">
        <v>1899</v>
      </c>
      <c r="AE989" s="1032">
        <v>0.2</v>
      </c>
      <c r="AF989" s="857">
        <f>U987*AE989</f>
        <v>3480</v>
      </c>
      <c r="AG989" s="3812">
        <f t="shared" si="194"/>
        <v>3480</v>
      </c>
      <c r="AH989" s="5205"/>
      <c r="AI989" s="5123"/>
      <c r="AJ989" s="3812"/>
      <c r="AK989" s="3812"/>
      <c r="AL989" s="5123"/>
      <c r="AM989" s="5881"/>
      <c r="AN989" s="5123">
        <f t="shared" si="195"/>
        <v>0</v>
      </c>
      <c r="AO989" s="3932"/>
      <c r="AP989" s="5123"/>
      <c r="AQ989" s="5160"/>
      <c r="AR989" s="3524"/>
      <c r="AS989" s="5129"/>
      <c r="AT989" s="5122"/>
      <c r="AU989" s="3524"/>
      <c r="AV989" s="3524"/>
      <c r="AW989" s="3524"/>
      <c r="AX989" s="3524"/>
      <c r="AY989" s="3524"/>
      <c r="AZ989" s="3524"/>
      <c r="BA989" s="6023"/>
      <c r="BB989" s="6023"/>
      <c r="BC989" s="4815"/>
      <c r="BD989" s="6023"/>
      <c r="BE989" s="6023"/>
      <c r="BF989" s="6023"/>
      <c r="BG989" s="6023"/>
      <c r="BH989" s="5123">
        <v>3480</v>
      </c>
      <c r="BI989" s="6023"/>
      <c r="BJ989" s="6023"/>
      <c r="BK989" s="6023"/>
      <c r="BL989" s="6023"/>
      <c r="BM989" s="6023"/>
      <c r="BN989" s="6023"/>
      <c r="BO989" s="5160"/>
      <c r="BP989" s="5160"/>
      <c r="BQ989" s="5160"/>
      <c r="BR989" s="5160"/>
      <c r="BS989" s="5160"/>
      <c r="BT989" s="5160"/>
      <c r="BU989" s="5160"/>
      <c r="BV989" s="5123"/>
      <c r="BW989" s="5160"/>
      <c r="BX989" s="5160"/>
      <c r="BY989" s="5160"/>
      <c r="BZ989" s="5160"/>
      <c r="CA989" s="5160"/>
      <c r="CB989" s="5160"/>
      <c r="CC989" s="5123"/>
      <c r="CD989" s="5123"/>
      <c r="CE989" s="5751"/>
      <c r="CF989" s="5751"/>
      <c r="CG989" s="5751"/>
      <c r="CH989" s="5751"/>
    </row>
    <row r="990" s="4979" customFormat="1" ht="36.65" customHeight="1" spans="1:86">
      <c r="A990" s="3524"/>
      <c r="B990" s="857"/>
      <c r="C990" s="857"/>
      <c r="D990" s="5059"/>
      <c r="E990" s="5059"/>
      <c r="F990" s="5059"/>
      <c r="G990" s="1032"/>
      <c r="H990" s="857"/>
      <c r="I990" s="5205"/>
      <c r="J990" s="1032"/>
      <c r="K990" s="1032"/>
      <c r="L990" s="1032"/>
      <c r="M990" s="4813"/>
      <c r="N990" s="2680"/>
      <c r="O990" s="2680"/>
      <c r="P990" s="2680"/>
      <c r="Q990" s="2680"/>
      <c r="R990" s="2680"/>
      <c r="S990" s="2680"/>
      <c r="T990" s="2680"/>
      <c r="U990" s="2680"/>
      <c r="V990" s="2680"/>
      <c r="W990" s="2680"/>
      <c r="X990" s="2680"/>
      <c r="Y990" s="2680"/>
      <c r="Z990" s="2680"/>
      <c r="AA990" s="2680"/>
      <c r="AB990" s="2680"/>
      <c r="AC990" s="1032" t="s">
        <v>394</v>
      </c>
      <c r="AD990" s="5241" t="s">
        <v>1900</v>
      </c>
      <c r="AE990" s="1032">
        <v>0.2</v>
      </c>
      <c r="AF990" s="857">
        <f>V987*AE990</f>
        <v>5800</v>
      </c>
      <c r="AG990" s="3812">
        <f t="shared" si="194"/>
        <v>5800</v>
      </c>
      <c r="AH990" s="5205"/>
      <c r="AI990" s="5123"/>
      <c r="AJ990" s="3812"/>
      <c r="AK990" s="3812"/>
      <c r="AL990" s="5123"/>
      <c r="AM990" s="5881"/>
      <c r="AN990" s="5123">
        <f t="shared" si="195"/>
        <v>0</v>
      </c>
      <c r="AO990" s="3932"/>
      <c r="AP990" s="5123"/>
      <c r="AQ990" s="5160"/>
      <c r="AR990" s="3524"/>
      <c r="AS990" s="5129"/>
      <c r="AT990" s="5122"/>
      <c r="AU990" s="3524"/>
      <c r="AV990" s="3524"/>
      <c r="AW990" s="3524"/>
      <c r="AX990" s="3524"/>
      <c r="AY990" s="3524"/>
      <c r="AZ990" s="3524"/>
      <c r="BA990" s="6023"/>
      <c r="BB990" s="6023"/>
      <c r="BC990" s="4815"/>
      <c r="BD990" s="6023"/>
      <c r="BE990" s="6023"/>
      <c r="BF990" s="6023"/>
      <c r="BG990" s="6023"/>
      <c r="BH990" s="3812"/>
      <c r="BI990" s="5123">
        <v>5800</v>
      </c>
      <c r="BJ990" s="6023"/>
      <c r="BK990" s="6023"/>
      <c r="BL990" s="6023"/>
      <c r="BM990" s="6023"/>
      <c r="BN990" s="6023"/>
      <c r="BO990" s="5160"/>
      <c r="BP990" s="5160"/>
      <c r="BQ990" s="5160"/>
      <c r="BR990" s="5160"/>
      <c r="BS990" s="5160"/>
      <c r="BT990" s="5160"/>
      <c r="BU990" s="5160"/>
      <c r="BV990" s="5123"/>
      <c r="BW990" s="5160"/>
      <c r="BX990" s="5160"/>
      <c r="BY990" s="5160"/>
      <c r="BZ990" s="5160"/>
      <c r="CA990" s="5160"/>
      <c r="CB990" s="5160"/>
      <c r="CC990" s="5123"/>
      <c r="CD990" s="5123"/>
      <c r="CE990" s="5751"/>
      <c r="CF990" s="5751"/>
      <c r="CG990" s="5751"/>
      <c r="CH990" s="5751"/>
    </row>
    <row r="991" s="4979" customFormat="1" ht="61" customHeight="1" spans="1:86">
      <c r="A991" s="3524"/>
      <c r="B991" s="857"/>
      <c r="C991" s="857"/>
      <c r="D991" s="5059"/>
      <c r="E991" s="5059"/>
      <c r="F991" s="5059"/>
      <c r="G991" s="1032"/>
      <c r="H991" s="857"/>
      <c r="I991" s="5205"/>
      <c r="J991" s="1032"/>
      <c r="K991" s="1032"/>
      <c r="L991" s="1032"/>
      <c r="M991" s="4813"/>
      <c r="N991" s="2680"/>
      <c r="O991" s="2680"/>
      <c r="P991" s="2680"/>
      <c r="Q991" s="2680"/>
      <c r="R991" s="2680"/>
      <c r="S991" s="2680"/>
      <c r="T991" s="2680"/>
      <c r="U991" s="2680"/>
      <c r="V991" s="2680"/>
      <c r="W991" s="2680"/>
      <c r="X991" s="2680"/>
      <c r="Y991" s="2680"/>
      <c r="Z991" s="2680"/>
      <c r="AA991" s="2680"/>
      <c r="AB991" s="2680"/>
      <c r="AC991" s="1032" t="s">
        <v>396</v>
      </c>
      <c r="AD991" s="5241" t="s">
        <v>1901</v>
      </c>
      <c r="AE991" s="1032">
        <v>0.6</v>
      </c>
      <c r="AF991" s="857">
        <f>V987*AE991</f>
        <v>17400</v>
      </c>
      <c r="AG991" s="3812">
        <f t="shared" si="194"/>
        <v>17400</v>
      </c>
      <c r="AH991" s="5205"/>
      <c r="AI991" s="5123"/>
      <c r="AJ991" s="3812"/>
      <c r="AK991" s="3812"/>
      <c r="AL991" s="5123"/>
      <c r="AM991" s="5881"/>
      <c r="AN991" s="5123">
        <f t="shared" si="195"/>
        <v>0</v>
      </c>
      <c r="AO991" s="3932"/>
      <c r="AP991" s="5123"/>
      <c r="AQ991" s="5160"/>
      <c r="AR991" s="3524"/>
      <c r="AS991" s="5129"/>
      <c r="AT991" s="5122"/>
      <c r="AU991" s="3524"/>
      <c r="AV991" s="3524"/>
      <c r="AW991" s="3524"/>
      <c r="AX991" s="3524"/>
      <c r="AY991" s="3524"/>
      <c r="AZ991" s="3524"/>
      <c r="BA991" s="6023"/>
      <c r="BB991" s="6023"/>
      <c r="BC991" s="4815"/>
      <c r="BD991" s="6023"/>
      <c r="BE991" s="6023"/>
      <c r="BF991" s="6023"/>
      <c r="BG991" s="6023"/>
      <c r="BH991" s="3812"/>
      <c r="BI991" s="5123">
        <v>17400</v>
      </c>
      <c r="BJ991" s="6023"/>
      <c r="BK991" s="6023"/>
      <c r="BL991" s="6023"/>
      <c r="BM991" s="6023"/>
      <c r="BN991" s="6023"/>
      <c r="BO991" s="5160"/>
      <c r="BP991" s="5160"/>
      <c r="BQ991" s="5160"/>
      <c r="BR991" s="5160"/>
      <c r="BS991" s="5160"/>
      <c r="BT991" s="5160"/>
      <c r="BU991" s="5160"/>
      <c r="BV991" s="5123"/>
      <c r="BW991" s="5160"/>
      <c r="BX991" s="5160"/>
      <c r="BY991" s="5160"/>
      <c r="BZ991" s="5160"/>
      <c r="CA991" s="5160"/>
      <c r="CB991" s="5160"/>
      <c r="CC991" s="5123"/>
      <c r="CD991" s="5123"/>
      <c r="CE991" s="5751"/>
      <c r="CF991" s="5751"/>
      <c r="CG991" s="5751"/>
      <c r="CH991" s="5751"/>
    </row>
    <row r="992" s="4979" customFormat="1" ht="55" customHeight="1" spans="1:86">
      <c r="A992" s="2680"/>
      <c r="B992" s="857"/>
      <c r="C992" s="857"/>
      <c r="D992" s="5059"/>
      <c r="E992" s="5059"/>
      <c r="F992" s="5059"/>
      <c r="G992" s="1032"/>
      <c r="H992" s="3812"/>
      <c r="I992" s="5206"/>
      <c r="J992" s="5059"/>
      <c r="K992" s="1032"/>
      <c r="L992" s="5059"/>
      <c r="M992" s="4813"/>
      <c r="N992" s="2680"/>
      <c r="O992" s="2680"/>
      <c r="P992" s="2680"/>
      <c r="Q992" s="2680"/>
      <c r="R992" s="2680"/>
      <c r="S992" s="2680"/>
      <c r="T992" s="2680"/>
      <c r="U992" s="2680"/>
      <c r="V992" s="2680"/>
      <c r="W992" s="2680"/>
      <c r="X992" s="2680"/>
      <c r="Y992" s="2680"/>
      <c r="Z992" s="2680"/>
      <c r="AA992" s="2680"/>
      <c r="AB992" s="2680"/>
      <c r="AC992" s="1035" t="s">
        <v>398</v>
      </c>
      <c r="AD992" s="5241" t="s">
        <v>1902</v>
      </c>
      <c r="AE992" s="5878">
        <v>0.2</v>
      </c>
      <c r="AF992" s="857">
        <f>V987*AE992</f>
        <v>5800</v>
      </c>
      <c r="AG992" s="3812">
        <f t="shared" si="194"/>
        <v>5800</v>
      </c>
      <c r="AH992" s="5206"/>
      <c r="AI992" s="5123"/>
      <c r="AJ992" s="2678"/>
      <c r="AK992" s="3812"/>
      <c r="AL992" s="3406"/>
      <c r="AM992" s="5881"/>
      <c r="AN992" s="5123">
        <f t="shared" si="195"/>
        <v>0</v>
      </c>
      <c r="AO992" s="3932"/>
      <c r="AP992" s="5123"/>
      <c r="AQ992" s="5860"/>
      <c r="AR992" s="2680"/>
      <c r="AS992" s="5857"/>
      <c r="AT992" s="5331"/>
      <c r="AU992" s="2680"/>
      <c r="AV992" s="2680"/>
      <c r="AW992" s="2680"/>
      <c r="AX992" s="2680"/>
      <c r="AY992" s="2680"/>
      <c r="AZ992" s="2680"/>
      <c r="BA992" s="5860"/>
      <c r="BB992" s="5860"/>
      <c r="BC992" s="3932"/>
      <c r="BD992" s="5948"/>
      <c r="BE992" s="5860"/>
      <c r="BF992" s="5860"/>
      <c r="BG992" s="5860"/>
      <c r="BH992" s="857"/>
      <c r="BI992" s="3932">
        <v>5800</v>
      </c>
      <c r="BJ992" s="5860"/>
      <c r="BK992" s="5860"/>
      <c r="BL992" s="5860"/>
      <c r="BM992" s="5860"/>
      <c r="BN992" s="5860"/>
      <c r="BO992" s="5860"/>
      <c r="BP992" s="5860"/>
      <c r="BQ992" s="5860"/>
      <c r="BR992" s="5948"/>
      <c r="BS992" s="5860"/>
      <c r="BT992" s="5860"/>
      <c r="BU992" s="5860"/>
      <c r="BV992" s="3406"/>
      <c r="BW992" s="5860"/>
      <c r="BX992" s="5860"/>
      <c r="BY992" s="5860"/>
      <c r="BZ992" s="5860"/>
      <c r="CA992" s="5860"/>
      <c r="CB992" s="5860"/>
      <c r="CC992" s="3932"/>
      <c r="CD992" s="3932"/>
      <c r="CE992" s="5751"/>
      <c r="CF992" s="5751"/>
      <c r="CG992" s="5751"/>
      <c r="CH992" s="5751"/>
    </row>
    <row r="993" s="4979" customFormat="1" ht="61" customHeight="1" spans="1:86">
      <c r="A993" s="3524"/>
      <c r="B993" s="857" t="s">
        <v>1186</v>
      </c>
      <c r="C993" s="857">
        <v>45280</v>
      </c>
      <c r="D993" s="1032" t="s">
        <v>1886</v>
      </c>
      <c r="E993" s="1032" t="s">
        <v>1887</v>
      </c>
      <c r="F993" s="1032" t="s">
        <v>1903</v>
      </c>
      <c r="G993" s="1032" t="s">
        <v>1904</v>
      </c>
      <c r="H993" s="857" t="s">
        <v>1890</v>
      </c>
      <c r="I993" s="5073"/>
      <c r="J993" s="1032" t="s">
        <v>1891</v>
      </c>
      <c r="K993" s="1032">
        <v>5800</v>
      </c>
      <c r="L993" s="1032" t="s">
        <v>1905</v>
      </c>
      <c r="M993" s="4813">
        <f>SUM(N993:AA998)</f>
        <v>210000</v>
      </c>
      <c r="N993" s="2680"/>
      <c r="O993" s="2680"/>
      <c r="P993" s="2680"/>
      <c r="Q993" s="2680"/>
      <c r="R993" s="2680"/>
      <c r="S993" s="2680"/>
      <c r="T993" s="2680"/>
      <c r="U993" s="2680">
        <v>140000</v>
      </c>
      <c r="V993" s="2680">
        <v>70000</v>
      </c>
      <c r="W993" s="2680"/>
      <c r="X993" s="2680"/>
      <c r="Y993" s="2680"/>
      <c r="Z993" s="2680"/>
      <c r="AA993" s="2680"/>
      <c r="AB993" s="2680"/>
      <c r="AC993" s="1032" t="s">
        <v>1893</v>
      </c>
      <c r="AD993" s="5241" t="s">
        <v>1894</v>
      </c>
      <c r="AE993" s="5878">
        <v>0.2</v>
      </c>
      <c r="AF993" s="857">
        <f>U993*AE993</f>
        <v>28000</v>
      </c>
      <c r="AG993" s="3812">
        <f t="shared" si="194"/>
        <v>28000</v>
      </c>
      <c r="AH993" s="1032" t="s">
        <v>122</v>
      </c>
      <c r="AI993" s="3812">
        <v>45282</v>
      </c>
      <c r="AJ993" s="3812">
        <v>28000</v>
      </c>
      <c r="AK993" s="3812">
        <v>45282</v>
      </c>
      <c r="AL993" s="3812">
        <v>53600</v>
      </c>
      <c r="AM993" s="3812"/>
      <c r="AN993" s="3812">
        <f t="shared" ref="AN993:AN998" si="196">SUBTOTAL(9,BO993:CB993)</f>
        <v>0</v>
      </c>
      <c r="AO993" s="3812"/>
      <c r="AP993" s="5123"/>
      <c r="AQ993" s="5160"/>
      <c r="AR993" s="3524"/>
      <c r="AS993" s="5129"/>
      <c r="AT993" s="5122"/>
      <c r="AU993" s="3524"/>
      <c r="AV993" s="3524"/>
      <c r="AW993" s="3524"/>
      <c r="AX993" s="3524"/>
      <c r="AY993" s="3524"/>
      <c r="AZ993" s="3524"/>
      <c r="BA993" s="5741"/>
      <c r="BB993" s="5741"/>
      <c r="BC993" s="4813"/>
      <c r="BD993" s="5741"/>
      <c r="BE993" s="5741"/>
      <c r="BF993" s="5741"/>
      <c r="BG993" s="5741"/>
      <c r="BH993" s="3812">
        <v>28000</v>
      </c>
      <c r="BI993" s="5741"/>
      <c r="BJ993" s="5741"/>
      <c r="BK993" s="5741"/>
      <c r="BL993" s="5741"/>
      <c r="BM993" s="5741"/>
      <c r="BN993" s="5741"/>
      <c r="BO993" s="5160"/>
      <c r="BP993" s="5160"/>
      <c r="BQ993" s="5160"/>
      <c r="BR993" s="5160"/>
      <c r="BS993" s="5160"/>
      <c r="BT993" s="5160"/>
      <c r="BU993" s="5160"/>
      <c r="BV993" s="3812"/>
      <c r="BW993" s="5160"/>
      <c r="BX993" s="5160"/>
      <c r="BY993" s="5160"/>
      <c r="BZ993" s="5160"/>
      <c r="CA993" s="5160"/>
      <c r="CB993" s="5160"/>
      <c r="CC993" s="5123"/>
      <c r="CD993" s="5123"/>
      <c r="CE993" s="5751"/>
      <c r="CF993" s="5751"/>
      <c r="CG993" s="5751"/>
      <c r="CH993" s="5751"/>
    </row>
    <row r="994" s="4979" customFormat="1" ht="52.5" customHeight="1" spans="1:86">
      <c r="A994" s="3524"/>
      <c r="B994" s="857"/>
      <c r="C994" s="857"/>
      <c r="D994" s="5059"/>
      <c r="E994" s="5059"/>
      <c r="F994" s="5059"/>
      <c r="G994" s="1032"/>
      <c r="H994" s="857"/>
      <c r="I994" s="5205"/>
      <c r="J994" s="1032"/>
      <c r="K994" s="1032"/>
      <c r="L994" s="1032"/>
      <c r="M994" s="4813"/>
      <c r="N994" s="2680"/>
      <c r="O994" s="2680"/>
      <c r="P994" s="2680"/>
      <c r="Q994" s="2680"/>
      <c r="R994" s="2680"/>
      <c r="S994" s="2680"/>
      <c r="T994" s="2680"/>
      <c r="U994" s="2680"/>
      <c r="V994" s="2680"/>
      <c r="W994" s="2680"/>
      <c r="X994" s="2680"/>
      <c r="Y994" s="2680"/>
      <c r="Z994" s="2680"/>
      <c r="AA994" s="2680"/>
      <c r="AB994" s="2680"/>
      <c r="AC994" s="1032" t="s">
        <v>1896</v>
      </c>
      <c r="AD994" s="5241" t="s">
        <v>1897</v>
      </c>
      <c r="AE994" s="1032">
        <v>0.6</v>
      </c>
      <c r="AF994" s="857">
        <f>U993*AE994</f>
        <v>84000</v>
      </c>
      <c r="AG994" s="3812">
        <f t="shared" ref="AG994:AG1021" si="197">SUM(BA994:BN994)</f>
        <v>84000</v>
      </c>
      <c r="AH994" s="1032" t="s">
        <v>122</v>
      </c>
      <c r="AI994" s="3812">
        <v>45282</v>
      </c>
      <c r="AJ994" s="3812">
        <v>84000</v>
      </c>
      <c r="AK994" s="3812">
        <v>45282</v>
      </c>
      <c r="AL994" s="5123"/>
      <c r="AM994" s="5881"/>
      <c r="AN994" s="5123">
        <f t="shared" si="196"/>
        <v>0</v>
      </c>
      <c r="AO994" s="3932"/>
      <c r="AP994" s="5123"/>
      <c r="AQ994" s="5160"/>
      <c r="AR994" s="3524"/>
      <c r="AS994" s="5129"/>
      <c r="AT994" s="5122"/>
      <c r="AU994" s="3524"/>
      <c r="AV994" s="3524"/>
      <c r="AW994" s="3524"/>
      <c r="AX994" s="3524"/>
      <c r="AY994" s="3524"/>
      <c r="AZ994" s="3524"/>
      <c r="BA994" s="6023"/>
      <c r="BB994" s="6023"/>
      <c r="BC994" s="4815"/>
      <c r="BD994" s="6023"/>
      <c r="BE994" s="6023"/>
      <c r="BF994" s="6023"/>
      <c r="BG994" s="6023"/>
      <c r="BH994" s="3812">
        <v>84000</v>
      </c>
      <c r="BI994" s="6023"/>
      <c r="BJ994" s="6023"/>
      <c r="BK994" s="6023"/>
      <c r="BL994" s="6023"/>
      <c r="BM994" s="6023"/>
      <c r="BN994" s="6023"/>
      <c r="BO994" s="5160"/>
      <c r="BP994" s="5160"/>
      <c r="BQ994" s="5160"/>
      <c r="BR994" s="5160"/>
      <c r="BS994" s="5160"/>
      <c r="BT994" s="5160"/>
      <c r="BU994" s="5160"/>
      <c r="BV994" s="5123"/>
      <c r="BW994" s="5160"/>
      <c r="BX994" s="5160"/>
      <c r="BY994" s="5160"/>
      <c r="BZ994" s="5160"/>
      <c r="CA994" s="5160"/>
      <c r="CB994" s="5160"/>
      <c r="CC994" s="5123"/>
      <c r="CD994" s="5123"/>
      <c r="CE994" s="5751"/>
      <c r="CF994" s="5751"/>
      <c r="CG994" s="5751"/>
      <c r="CH994" s="5751"/>
    </row>
    <row r="995" s="4979" customFormat="1" ht="61" customHeight="1" spans="1:86">
      <c r="A995" s="3524"/>
      <c r="B995" s="857"/>
      <c r="C995" s="857"/>
      <c r="D995" s="5059"/>
      <c r="E995" s="5059"/>
      <c r="F995" s="5059"/>
      <c r="G995" s="1032"/>
      <c r="H995" s="857"/>
      <c r="I995" s="5205"/>
      <c r="J995" s="1032"/>
      <c r="K995" s="1032"/>
      <c r="L995" s="1032"/>
      <c r="M995" s="4813"/>
      <c r="N995" s="2680"/>
      <c r="O995" s="2680"/>
      <c r="P995" s="2680"/>
      <c r="Q995" s="2680"/>
      <c r="R995" s="2680"/>
      <c r="S995" s="2680"/>
      <c r="T995" s="2680"/>
      <c r="U995" s="2680"/>
      <c r="V995" s="2680"/>
      <c r="W995" s="2680"/>
      <c r="X995" s="2680"/>
      <c r="Y995" s="2680"/>
      <c r="Z995" s="2680"/>
      <c r="AA995" s="2680"/>
      <c r="AB995" s="2680"/>
      <c r="AC995" s="1032" t="s">
        <v>1898</v>
      </c>
      <c r="AD995" s="5241" t="s">
        <v>1899</v>
      </c>
      <c r="AE995" s="1032">
        <v>0.2</v>
      </c>
      <c r="AF995" s="857">
        <f>U993*AE995</f>
        <v>28000</v>
      </c>
      <c r="AG995" s="3812">
        <f t="shared" si="197"/>
        <v>28000</v>
      </c>
      <c r="AH995" s="1032" t="s">
        <v>122</v>
      </c>
      <c r="AI995" s="3812">
        <v>45282</v>
      </c>
      <c r="AJ995" s="3812">
        <v>28000</v>
      </c>
      <c r="AK995" s="3812">
        <v>45282</v>
      </c>
      <c r="AL995" s="5123"/>
      <c r="AM995" s="5881"/>
      <c r="AN995" s="5123">
        <f t="shared" si="196"/>
        <v>0</v>
      </c>
      <c r="AO995" s="3932"/>
      <c r="AP995" s="5123"/>
      <c r="AQ995" s="5160"/>
      <c r="AR995" s="3524"/>
      <c r="AS995" s="5129"/>
      <c r="AT995" s="5122"/>
      <c r="AU995" s="3524"/>
      <c r="AV995" s="3524"/>
      <c r="AW995" s="3524"/>
      <c r="AX995" s="3524"/>
      <c r="AY995" s="3524"/>
      <c r="AZ995" s="3524"/>
      <c r="BA995" s="6023"/>
      <c r="BB995" s="6023"/>
      <c r="BC995" s="4815"/>
      <c r="BD995" s="6023"/>
      <c r="BE995" s="6023"/>
      <c r="BF995" s="6023"/>
      <c r="BG995" s="6023"/>
      <c r="BH995" s="3812">
        <v>28000</v>
      </c>
      <c r="BI995" s="6023"/>
      <c r="BJ995" s="6023"/>
      <c r="BK995" s="6023"/>
      <c r="BL995" s="6023"/>
      <c r="BM995" s="6023"/>
      <c r="BN995" s="6023"/>
      <c r="BO995" s="5160"/>
      <c r="BP995" s="5160"/>
      <c r="BQ995" s="5160"/>
      <c r="BR995" s="5160"/>
      <c r="BS995" s="5160"/>
      <c r="BT995" s="5160"/>
      <c r="BU995" s="5160"/>
      <c r="BV995" s="5123"/>
      <c r="BW995" s="5160"/>
      <c r="BX995" s="5160"/>
      <c r="BY995" s="5160"/>
      <c r="BZ995" s="5160"/>
      <c r="CA995" s="5160"/>
      <c r="CB995" s="5160"/>
      <c r="CC995" s="5123"/>
      <c r="CD995" s="5123"/>
      <c r="CE995" s="5751"/>
      <c r="CF995" s="5751"/>
      <c r="CG995" s="5751"/>
      <c r="CH995" s="5751"/>
    </row>
    <row r="996" s="4979" customFormat="1" ht="36.65" customHeight="1" spans="1:86">
      <c r="A996" s="3524"/>
      <c r="B996" s="857"/>
      <c r="C996" s="857"/>
      <c r="D996" s="5059"/>
      <c r="E996" s="5059"/>
      <c r="F996" s="5059"/>
      <c r="G996" s="1032"/>
      <c r="H996" s="857"/>
      <c r="I996" s="5205"/>
      <c r="J996" s="1032"/>
      <c r="K996" s="1032"/>
      <c r="L996" s="1032"/>
      <c r="M996" s="4813"/>
      <c r="N996" s="2680"/>
      <c r="O996" s="2680"/>
      <c r="P996" s="2680"/>
      <c r="Q996" s="2680"/>
      <c r="R996" s="2680"/>
      <c r="S996" s="2680"/>
      <c r="T996" s="2680"/>
      <c r="U996" s="2680"/>
      <c r="V996" s="2680"/>
      <c r="W996" s="2680"/>
      <c r="X996" s="2680"/>
      <c r="Y996" s="2680"/>
      <c r="Z996" s="2680"/>
      <c r="AA996" s="2680"/>
      <c r="AB996" s="2680"/>
      <c r="AC996" s="1032" t="s">
        <v>394</v>
      </c>
      <c r="AD996" s="5241" t="s">
        <v>1900</v>
      </c>
      <c r="AE996" s="1032">
        <v>0.2</v>
      </c>
      <c r="AF996" s="857">
        <f>V993*AE996</f>
        <v>14000</v>
      </c>
      <c r="AG996" s="3812">
        <f t="shared" si="197"/>
        <v>14000</v>
      </c>
      <c r="AH996" s="1032" t="s">
        <v>122</v>
      </c>
      <c r="AI996" s="3812">
        <v>45282</v>
      </c>
      <c r="AJ996" s="3812">
        <v>14000</v>
      </c>
      <c r="AK996" s="3812">
        <v>45282</v>
      </c>
      <c r="AL996" s="5123"/>
      <c r="AM996" s="5881"/>
      <c r="AN996" s="5123">
        <f t="shared" si="196"/>
        <v>0</v>
      </c>
      <c r="AO996" s="3932"/>
      <c r="AP996" s="5123"/>
      <c r="AQ996" s="5160"/>
      <c r="AR996" s="3524"/>
      <c r="AS996" s="5129"/>
      <c r="AT996" s="5122"/>
      <c r="AU996" s="3524"/>
      <c r="AV996" s="3524"/>
      <c r="AW996" s="3524"/>
      <c r="AX996" s="3524"/>
      <c r="AY996" s="3524"/>
      <c r="AZ996" s="3524"/>
      <c r="BA996" s="6023"/>
      <c r="BB996" s="6023"/>
      <c r="BC996" s="4815"/>
      <c r="BD996" s="6023"/>
      <c r="BE996" s="6023"/>
      <c r="BF996" s="6023"/>
      <c r="BG996" s="6023"/>
      <c r="BH996" s="3812"/>
      <c r="BI996" s="3812">
        <v>14000</v>
      </c>
      <c r="BJ996" s="6023"/>
      <c r="BK996" s="6023"/>
      <c r="BL996" s="6023"/>
      <c r="BM996" s="6023"/>
      <c r="BN996" s="6023"/>
      <c r="BO996" s="5160"/>
      <c r="BP996" s="5160"/>
      <c r="BQ996" s="5160"/>
      <c r="BR996" s="5160"/>
      <c r="BS996" s="5160"/>
      <c r="BT996" s="5160"/>
      <c r="BU996" s="5160"/>
      <c r="BV996" s="5123"/>
      <c r="BW996" s="5160"/>
      <c r="BX996" s="5160"/>
      <c r="BY996" s="5160"/>
      <c r="BZ996" s="5160"/>
      <c r="CA996" s="5160"/>
      <c r="CB996" s="5160"/>
      <c r="CC996" s="5123"/>
      <c r="CD996" s="5123"/>
      <c r="CE996" s="5751"/>
      <c r="CF996" s="5751"/>
      <c r="CG996" s="5751"/>
      <c r="CH996" s="5751"/>
    </row>
    <row r="997" s="4979" customFormat="1" ht="61" customHeight="1" spans="1:86">
      <c r="A997" s="3524"/>
      <c r="B997" s="857"/>
      <c r="C997" s="857"/>
      <c r="D997" s="5059"/>
      <c r="E997" s="5059"/>
      <c r="F997" s="5059"/>
      <c r="G997" s="1032"/>
      <c r="H997" s="857"/>
      <c r="I997" s="5205"/>
      <c r="J997" s="1032"/>
      <c r="K997" s="1032"/>
      <c r="L997" s="1032"/>
      <c r="M997" s="4813"/>
      <c r="N997" s="2680"/>
      <c r="O997" s="2680"/>
      <c r="P997" s="2680"/>
      <c r="Q997" s="2680"/>
      <c r="R997" s="2680"/>
      <c r="S997" s="2680"/>
      <c r="T997" s="2680"/>
      <c r="U997" s="2680"/>
      <c r="V997" s="2680"/>
      <c r="W997" s="2680"/>
      <c r="X997" s="2680"/>
      <c r="Y997" s="2680"/>
      <c r="Z997" s="2680"/>
      <c r="AA997" s="2680"/>
      <c r="AB997" s="2680"/>
      <c r="AC997" s="1032" t="s">
        <v>396</v>
      </c>
      <c r="AD997" s="5241" t="s">
        <v>1901</v>
      </c>
      <c r="AE997" s="1032">
        <v>0.6</v>
      </c>
      <c r="AF997" s="857">
        <f>V993*AE997</f>
        <v>42000</v>
      </c>
      <c r="AG997" s="3812">
        <f t="shared" si="197"/>
        <v>42000</v>
      </c>
      <c r="AH997" s="1032" t="s">
        <v>122</v>
      </c>
      <c r="AI997" s="3812">
        <v>45282</v>
      </c>
      <c r="AJ997" s="3812">
        <v>42000</v>
      </c>
      <c r="AK997" s="3812">
        <v>45282</v>
      </c>
      <c r="AL997" s="5123"/>
      <c r="AM997" s="5881"/>
      <c r="AN997" s="5123">
        <f t="shared" si="196"/>
        <v>0</v>
      </c>
      <c r="AO997" s="3932"/>
      <c r="AP997" s="5123"/>
      <c r="AQ997" s="5160"/>
      <c r="AR997" s="3524"/>
      <c r="AS997" s="5129"/>
      <c r="AT997" s="5122"/>
      <c r="AU997" s="3524"/>
      <c r="AV997" s="3524"/>
      <c r="AW997" s="3524"/>
      <c r="AX997" s="3524"/>
      <c r="AY997" s="3524"/>
      <c r="AZ997" s="3524"/>
      <c r="BA997" s="6023"/>
      <c r="BB997" s="6023"/>
      <c r="BC997" s="4815"/>
      <c r="BD997" s="6023"/>
      <c r="BE997" s="6023"/>
      <c r="BF997" s="6023"/>
      <c r="BG997" s="6023"/>
      <c r="BH997" s="3812"/>
      <c r="BI997" s="3812">
        <v>42000</v>
      </c>
      <c r="BJ997" s="6023"/>
      <c r="BK997" s="6023"/>
      <c r="BL997" s="6023"/>
      <c r="BM997" s="6023"/>
      <c r="BN997" s="6023"/>
      <c r="BO997" s="5160"/>
      <c r="BP997" s="5160"/>
      <c r="BQ997" s="5160"/>
      <c r="BR997" s="5160"/>
      <c r="BS997" s="5160"/>
      <c r="BT997" s="5160"/>
      <c r="BU997" s="5160"/>
      <c r="BV997" s="5123"/>
      <c r="BW997" s="5160"/>
      <c r="BX997" s="5160"/>
      <c r="BY997" s="5160"/>
      <c r="BZ997" s="5160"/>
      <c r="CA997" s="5160"/>
      <c r="CB997" s="5160"/>
      <c r="CC997" s="5123"/>
      <c r="CD997" s="5123"/>
      <c r="CE997" s="5751"/>
      <c r="CF997" s="5751"/>
      <c r="CG997" s="5751"/>
      <c r="CH997" s="5751"/>
    </row>
    <row r="998" s="4979" customFormat="1" ht="55" customHeight="1" spans="1:86">
      <c r="A998" s="2680"/>
      <c r="B998" s="857"/>
      <c r="C998" s="857"/>
      <c r="D998" s="5059"/>
      <c r="E998" s="5059"/>
      <c r="F998" s="5059"/>
      <c r="G998" s="1032"/>
      <c r="H998" s="3812"/>
      <c r="I998" s="5206"/>
      <c r="J998" s="5059"/>
      <c r="K998" s="1032"/>
      <c r="L998" s="5059"/>
      <c r="M998" s="4813"/>
      <c r="N998" s="2680"/>
      <c r="O998" s="2680"/>
      <c r="P998" s="2680"/>
      <c r="Q998" s="2680"/>
      <c r="R998" s="2680"/>
      <c r="S998" s="2680"/>
      <c r="T998" s="2680"/>
      <c r="U998" s="2680"/>
      <c r="V998" s="2680"/>
      <c r="W998" s="2680"/>
      <c r="X998" s="2680"/>
      <c r="Y998" s="2680"/>
      <c r="Z998" s="2680"/>
      <c r="AA998" s="2680"/>
      <c r="AB998" s="2680"/>
      <c r="AC998" s="1035" t="s">
        <v>398</v>
      </c>
      <c r="AD998" s="5241" t="s">
        <v>1902</v>
      </c>
      <c r="AE998" s="5878">
        <v>0.2</v>
      </c>
      <c r="AF998" s="857">
        <f>V993*AE998</f>
        <v>14000</v>
      </c>
      <c r="AG998" s="3812">
        <f t="shared" si="197"/>
        <v>14000</v>
      </c>
      <c r="AH998" s="1032" t="s">
        <v>122</v>
      </c>
      <c r="AI998" s="3812">
        <v>45282</v>
      </c>
      <c r="AJ998" s="2678">
        <v>14000</v>
      </c>
      <c r="AK998" s="3812">
        <v>45282</v>
      </c>
      <c r="AL998" s="3406"/>
      <c r="AM998" s="5881"/>
      <c r="AN998" s="5123">
        <f t="shared" si="196"/>
        <v>0</v>
      </c>
      <c r="AO998" s="3932"/>
      <c r="AP998" s="5123"/>
      <c r="AQ998" s="5860"/>
      <c r="AR998" s="2680"/>
      <c r="AS998" s="5857"/>
      <c r="AT998" s="5331"/>
      <c r="AU998" s="2680"/>
      <c r="AV998" s="2680"/>
      <c r="AW998" s="2680"/>
      <c r="AX998" s="2680"/>
      <c r="AY998" s="2680"/>
      <c r="AZ998" s="2680"/>
      <c r="BA998" s="5860"/>
      <c r="BB998" s="5860"/>
      <c r="BC998" s="3932"/>
      <c r="BD998" s="5948"/>
      <c r="BE998" s="5860"/>
      <c r="BF998" s="5860"/>
      <c r="BG998" s="5860"/>
      <c r="BH998" s="857"/>
      <c r="BI998" s="2678">
        <v>14000</v>
      </c>
      <c r="BJ998" s="5860"/>
      <c r="BK998" s="5860"/>
      <c r="BL998" s="5860"/>
      <c r="BM998" s="5860"/>
      <c r="BN998" s="5860"/>
      <c r="BO998" s="5860"/>
      <c r="BP998" s="5860"/>
      <c r="BQ998" s="5860"/>
      <c r="BR998" s="5948"/>
      <c r="BS998" s="5860"/>
      <c r="BT998" s="5860"/>
      <c r="BU998" s="5860"/>
      <c r="BV998" s="3406"/>
      <c r="BW998" s="5860"/>
      <c r="BX998" s="5860"/>
      <c r="BY998" s="5860"/>
      <c r="BZ998" s="5860"/>
      <c r="CA998" s="5860"/>
      <c r="CB998" s="5860"/>
      <c r="CC998" s="3932"/>
      <c r="CD998" s="3932"/>
      <c r="CE998" s="5751"/>
      <c r="CF998" s="5751"/>
      <c r="CG998" s="5751"/>
      <c r="CH998" s="5751"/>
    </row>
    <row r="999" s="4974" customFormat="1" ht="25" customHeight="1" spans="1:86">
      <c r="A999" s="4045"/>
      <c r="B999" s="857" t="s">
        <v>1186</v>
      </c>
      <c r="C999" s="3812">
        <v>45309</v>
      </c>
      <c r="D999" s="1032" t="s">
        <v>1906</v>
      </c>
      <c r="E999" s="1032"/>
      <c r="F999" s="1032" t="s">
        <v>1907</v>
      </c>
      <c r="G999" s="1032" t="s">
        <v>1908</v>
      </c>
      <c r="H999" s="1032" t="s">
        <v>1766</v>
      </c>
      <c r="I999" s="5073" t="s">
        <v>1909</v>
      </c>
      <c r="J999" s="1032" t="s">
        <v>1910</v>
      </c>
      <c r="K999" s="5059">
        <v>137075.43</v>
      </c>
      <c r="L999" s="1032" t="s">
        <v>1911</v>
      </c>
      <c r="M999" s="3812">
        <f>SUM(N999:AA1027)</f>
        <v>7875534.04</v>
      </c>
      <c r="N999" s="4127">
        <v>0</v>
      </c>
      <c r="O999" s="4127">
        <v>0</v>
      </c>
      <c r="P999" s="4127">
        <v>0</v>
      </c>
      <c r="Q999" s="4127">
        <v>0</v>
      </c>
      <c r="R999" s="4127">
        <v>0</v>
      </c>
      <c r="S999" s="4127">
        <v>0</v>
      </c>
      <c r="T999" s="5971">
        <v>0</v>
      </c>
      <c r="U999" s="4127">
        <v>479764.01</v>
      </c>
      <c r="V999" s="4127">
        <v>60000</v>
      </c>
      <c r="W999" s="4127">
        <v>0</v>
      </c>
      <c r="X999" s="4127">
        <v>0</v>
      </c>
      <c r="Y999" s="4127">
        <v>0</v>
      </c>
      <c r="Z999" s="4127"/>
      <c r="AA999" s="4127">
        <v>7335770.03</v>
      </c>
      <c r="AB999" s="5972" t="s">
        <v>171</v>
      </c>
      <c r="AC999" s="5059" t="s">
        <v>1055</v>
      </c>
      <c r="AD999" s="5241" t="s">
        <v>342</v>
      </c>
      <c r="AE999" s="1032">
        <v>0.2</v>
      </c>
      <c r="AF999" s="3812">
        <f t="shared" ref="AF999:AF1003" si="198">2680117.41*AE999</f>
        <v>536023.482</v>
      </c>
      <c r="AG999" s="3812">
        <f t="shared" si="197"/>
        <v>536023.48</v>
      </c>
      <c r="AH999" s="1032" t="s">
        <v>122</v>
      </c>
      <c r="AI999" s="3812">
        <v>45357</v>
      </c>
      <c r="AJ999" s="3812">
        <v>536023.48</v>
      </c>
      <c r="AK999" s="3812">
        <v>45357</v>
      </c>
      <c r="AL999" s="3812">
        <v>536023.48</v>
      </c>
      <c r="AM999" s="3812">
        <v>45376</v>
      </c>
      <c r="AN999" s="5349">
        <f t="shared" ref="AN999:AN1007" si="199">SUM(BO999:CB999)</f>
        <v>536023.48</v>
      </c>
      <c r="AO999" s="3812">
        <v>45433</v>
      </c>
      <c r="AP999" s="3812"/>
      <c r="AQ999" s="1032"/>
      <c r="AR999" s="3812"/>
      <c r="AS999" s="5059"/>
      <c r="AT999" s="3812"/>
      <c r="AU999" s="3812">
        <f>SUM(AG999:AG1027)</f>
        <v>7618704.185</v>
      </c>
      <c r="AV999" s="3812">
        <f>SUM(AL999:AL1027)</f>
        <v>6311935.545</v>
      </c>
      <c r="AW999" s="3812">
        <f>SUM(AN999:AN1027)</f>
        <v>7151801.165</v>
      </c>
      <c r="AX999" s="3812">
        <f>M999-AU999</f>
        <v>256829.855000001</v>
      </c>
      <c r="AY999" s="3812">
        <f>AU999-AV999</f>
        <v>1306768.64</v>
      </c>
      <c r="AZ999" s="3812">
        <f>AV999-AW999</f>
        <v>-839865.620000001</v>
      </c>
      <c r="BA999" s="3812"/>
      <c r="BB999" s="3812"/>
      <c r="BC999" s="3812"/>
      <c r="BD999" s="3812"/>
      <c r="BE999" s="3812"/>
      <c r="BF999" s="3812"/>
      <c r="BG999" s="3812"/>
      <c r="BH999" s="3812"/>
      <c r="BI999" s="3812"/>
      <c r="BJ999" s="3812"/>
      <c r="BK999" s="3812"/>
      <c r="BL999" s="3812"/>
      <c r="BM999" s="3812"/>
      <c r="BN999" s="3812">
        <v>536023.48</v>
      </c>
      <c r="BO999" s="3812"/>
      <c r="BP999" s="3812"/>
      <c r="BQ999" s="3812"/>
      <c r="BR999" s="3812"/>
      <c r="BS999" s="3812"/>
      <c r="BT999" s="3812"/>
      <c r="BU999" s="3812"/>
      <c r="BV999" s="3812"/>
      <c r="BW999" s="3812"/>
      <c r="BX999" s="3812"/>
      <c r="BY999" s="3812"/>
      <c r="BZ999" s="3812"/>
      <c r="CA999" s="3812"/>
      <c r="CB999" s="3812">
        <v>536023.48</v>
      </c>
      <c r="CC999" s="3812"/>
      <c r="CD999" s="3812"/>
      <c r="CE999" s="5310"/>
      <c r="CF999" s="5310"/>
      <c r="CG999" s="5310"/>
      <c r="CH999" s="5310"/>
    </row>
    <row r="1000" s="4974" customFormat="1" ht="25" customHeight="1" spans="1:86">
      <c r="A1000" s="4045"/>
      <c r="B1000" s="3812"/>
      <c r="C1000" s="3812"/>
      <c r="D1000" s="5059"/>
      <c r="E1000" s="5059"/>
      <c r="F1000" s="5059"/>
      <c r="G1000" s="5059"/>
      <c r="H1000" s="5059"/>
      <c r="I1000" s="5205"/>
      <c r="J1000" s="5059"/>
      <c r="K1000" s="5059"/>
      <c r="L1000" s="5059"/>
      <c r="M1000" s="3812"/>
      <c r="N1000" s="5711"/>
      <c r="O1000" s="5711"/>
      <c r="P1000" s="5711"/>
      <c r="Q1000" s="5711"/>
      <c r="R1000" s="5711"/>
      <c r="S1000" s="5711"/>
      <c r="T1000" s="5711"/>
      <c r="U1000" s="5711"/>
      <c r="V1000" s="5711"/>
      <c r="W1000" s="5711"/>
      <c r="X1000" s="5711"/>
      <c r="Y1000" s="5711"/>
      <c r="Z1000" s="5711"/>
      <c r="AA1000" s="5711"/>
      <c r="AB1000" s="5972"/>
      <c r="AC1000" s="5214" t="s">
        <v>1057</v>
      </c>
      <c r="AD1000" s="5242" t="s">
        <v>344</v>
      </c>
      <c r="AE1000" s="5073">
        <v>0.3</v>
      </c>
      <c r="AF1000" s="3812">
        <f t="shared" si="198"/>
        <v>804035.223</v>
      </c>
      <c r="AG1000" s="4840">
        <f t="shared" si="197"/>
        <v>804035.22</v>
      </c>
      <c r="AH1000" s="1032" t="s">
        <v>122</v>
      </c>
      <c r="AI1000" s="3812">
        <v>45357</v>
      </c>
      <c r="AJ1000" s="4840">
        <v>804035.22</v>
      </c>
      <c r="AK1000" s="3812">
        <v>45357</v>
      </c>
      <c r="AL1000" s="4840">
        <v>804035.22</v>
      </c>
      <c r="AM1000" s="3812">
        <v>45376</v>
      </c>
      <c r="AN1000" s="5349">
        <f t="shared" si="199"/>
        <v>804035.22</v>
      </c>
      <c r="AO1000" s="3812">
        <v>45433</v>
      </c>
      <c r="AP1000" s="3812"/>
      <c r="AQ1000" s="1032"/>
      <c r="AR1000" s="3812"/>
      <c r="AS1000" s="5059"/>
      <c r="AT1000" s="3812"/>
      <c r="AU1000" s="3812"/>
      <c r="AV1000" s="3812"/>
      <c r="AW1000" s="3812"/>
      <c r="AX1000" s="3812"/>
      <c r="AY1000" s="3812"/>
      <c r="AZ1000" s="3812"/>
      <c r="BA1000" s="3812"/>
      <c r="BB1000" s="3812"/>
      <c r="BC1000" s="3812"/>
      <c r="BD1000" s="4840"/>
      <c r="BE1000" s="3812"/>
      <c r="BF1000" s="3812"/>
      <c r="BG1000" s="3812"/>
      <c r="BH1000" s="4840"/>
      <c r="BI1000" s="3812"/>
      <c r="BJ1000" s="3812"/>
      <c r="BK1000" s="3812"/>
      <c r="BL1000" s="3812"/>
      <c r="BM1000" s="4840"/>
      <c r="BN1000" s="4840">
        <v>804035.22</v>
      </c>
      <c r="BO1000" s="3812"/>
      <c r="BP1000" s="3812"/>
      <c r="BQ1000" s="3812"/>
      <c r="BR1000" s="3812"/>
      <c r="BS1000" s="3812"/>
      <c r="BT1000" s="3812"/>
      <c r="BU1000" s="3812"/>
      <c r="BV1000" s="3812"/>
      <c r="BW1000" s="3812"/>
      <c r="BX1000" s="3812"/>
      <c r="BY1000" s="3812"/>
      <c r="BZ1000" s="3812"/>
      <c r="CA1000" s="4840"/>
      <c r="CB1000" s="4840">
        <v>804035.22</v>
      </c>
      <c r="CC1000" s="3812"/>
      <c r="CD1000" s="3812"/>
      <c r="CE1000" s="5310"/>
      <c r="CF1000" s="5310"/>
      <c r="CG1000" s="5310"/>
      <c r="CH1000" s="5310"/>
    </row>
    <row r="1001" s="4974" customFormat="1" ht="25" customHeight="1" spans="1:86">
      <c r="A1001" s="4045"/>
      <c r="B1001" s="3812"/>
      <c r="C1001" s="3812"/>
      <c r="D1001" s="5059"/>
      <c r="E1001" s="5059"/>
      <c r="F1001" s="5059"/>
      <c r="G1001" s="5059"/>
      <c r="H1001" s="5059"/>
      <c r="I1001" s="5205"/>
      <c r="J1001" s="5059"/>
      <c r="K1001" s="5059"/>
      <c r="L1001" s="5059"/>
      <c r="M1001" s="3812"/>
      <c r="N1001" s="5711"/>
      <c r="O1001" s="5711"/>
      <c r="P1001" s="5711"/>
      <c r="Q1001" s="5711"/>
      <c r="R1001" s="5711"/>
      <c r="S1001" s="5711"/>
      <c r="T1001" s="5711"/>
      <c r="U1001" s="5711"/>
      <c r="V1001" s="5711"/>
      <c r="W1001" s="5711"/>
      <c r="X1001" s="5711"/>
      <c r="Y1001" s="5711"/>
      <c r="Z1001" s="5711"/>
      <c r="AA1001" s="5711"/>
      <c r="AB1001" s="5972"/>
      <c r="AC1001" s="5059" t="s">
        <v>1059</v>
      </c>
      <c r="AD1001" s="5241" t="s">
        <v>346</v>
      </c>
      <c r="AE1001" s="1032">
        <v>0.2</v>
      </c>
      <c r="AF1001" s="3812">
        <f t="shared" si="198"/>
        <v>536023.482</v>
      </c>
      <c r="AG1001" s="3812">
        <f t="shared" si="197"/>
        <v>536023.48</v>
      </c>
      <c r="AH1001" s="1032" t="s">
        <v>122</v>
      </c>
      <c r="AI1001" s="3812">
        <v>45499</v>
      </c>
      <c r="AJ1001" s="3812">
        <v>536023.48</v>
      </c>
      <c r="AK1001" s="3812">
        <v>45499</v>
      </c>
      <c r="AL1001" s="3812">
        <v>536023.48</v>
      </c>
      <c r="AM1001" s="3812">
        <v>45502</v>
      </c>
      <c r="AN1001" s="5349">
        <f t="shared" si="199"/>
        <v>536023.48</v>
      </c>
      <c r="AO1001" s="3812">
        <v>45657</v>
      </c>
      <c r="AP1001" s="3812"/>
      <c r="AQ1001" s="1032"/>
      <c r="AR1001" s="3812"/>
      <c r="AS1001" s="1032"/>
      <c r="AT1001" s="3812"/>
      <c r="AU1001" s="3812"/>
      <c r="AV1001" s="3812"/>
      <c r="AW1001" s="3812"/>
      <c r="AX1001" s="3812"/>
      <c r="AY1001" s="3812"/>
      <c r="AZ1001" s="3812"/>
      <c r="BA1001" s="3812"/>
      <c r="BB1001" s="3812"/>
      <c r="BC1001" s="3812"/>
      <c r="BD1001" s="4813"/>
      <c r="BE1001" s="4813"/>
      <c r="BF1001" s="4813"/>
      <c r="BG1001" s="4813"/>
      <c r="BH1001" s="4813"/>
      <c r="BI1001" s="4813"/>
      <c r="BJ1001" s="4813"/>
      <c r="BK1001" s="4813"/>
      <c r="BL1001" s="4813"/>
      <c r="BM1001" s="4813"/>
      <c r="BN1001" s="5123">
        <v>536023.48</v>
      </c>
      <c r="BO1001" s="3812"/>
      <c r="BP1001" s="3812"/>
      <c r="BQ1001" s="3812"/>
      <c r="BR1001" s="3812"/>
      <c r="BS1001" s="3812"/>
      <c r="BT1001" s="3812"/>
      <c r="BU1001" s="3812"/>
      <c r="BV1001" s="3812"/>
      <c r="BW1001" s="3812"/>
      <c r="BX1001" s="3812"/>
      <c r="BY1001" s="3812"/>
      <c r="BZ1001" s="3812"/>
      <c r="CA1001" s="3812"/>
      <c r="CB1001" s="3812">
        <v>536023.48</v>
      </c>
      <c r="CC1001" s="3812"/>
      <c r="CD1001" s="3812"/>
      <c r="CE1001" s="5169">
        <f>SUBTOTAL(9,BO1001:CB1001)</f>
        <v>536023.48</v>
      </c>
      <c r="CF1001" s="5169">
        <f>AN1001-CE1001</f>
        <v>0</v>
      </c>
      <c r="CG1001" s="5310"/>
      <c r="CH1001" s="5310"/>
    </row>
    <row r="1002" s="4974" customFormat="1" ht="25" customHeight="1" spans="1:86">
      <c r="A1002" s="4045"/>
      <c r="B1002" s="3812"/>
      <c r="C1002" s="3812"/>
      <c r="D1002" s="5059"/>
      <c r="E1002" s="5059"/>
      <c r="F1002" s="5059"/>
      <c r="G1002" s="5059"/>
      <c r="H1002" s="5059"/>
      <c r="I1002" s="5205"/>
      <c r="J1002" s="5059"/>
      <c r="K1002" s="5059"/>
      <c r="L1002" s="5059"/>
      <c r="M1002" s="3812"/>
      <c r="N1002" s="5711"/>
      <c r="O1002" s="5711"/>
      <c r="P1002" s="5711"/>
      <c r="Q1002" s="5711"/>
      <c r="R1002" s="5711"/>
      <c r="S1002" s="5711"/>
      <c r="T1002" s="5711"/>
      <c r="U1002" s="5711"/>
      <c r="V1002" s="5711"/>
      <c r="W1002" s="5711"/>
      <c r="X1002" s="5711"/>
      <c r="Y1002" s="5711"/>
      <c r="Z1002" s="5711"/>
      <c r="AA1002" s="5711"/>
      <c r="AB1002" s="5972"/>
      <c r="AC1002" s="5059" t="s">
        <v>1061</v>
      </c>
      <c r="AD1002" s="5241" t="s">
        <v>348</v>
      </c>
      <c r="AE1002" s="1032">
        <v>0.2</v>
      </c>
      <c r="AF1002" s="3812">
        <f t="shared" si="198"/>
        <v>536023.482</v>
      </c>
      <c r="AG1002" s="3812">
        <f t="shared" si="197"/>
        <v>536023.48</v>
      </c>
      <c r="AH1002" s="1032" t="s">
        <v>122</v>
      </c>
      <c r="AI1002" s="3812">
        <v>45499</v>
      </c>
      <c r="AJ1002" s="3812">
        <v>536023.48</v>
      </c>
      <c r="AK1002" s="3812">
        <v>45499</v>
      </c>
      <c r="AL1002" s="3812">
        <v>536023.48</v>
      </c>
      <c r="AM1002" s="3812">
        <v>45502</v>
      </c>
      <c r="AN1002" s="5349">
        <f t="shared" si="199"/>
        <v>536023.48</v>
      </c>
      <c r="AO1002" s="3812">
        <v>45657</v>
      </c>
      <c r="AP1002" s="3812"/>
      <c r="AQ1002" s="1032"/>
      <c r="AR1002" s="3812"/>
      <c r="AS1002" s="5059"/>
      <c r="AT1002" s="3812"/>
      <c r="AU1002" s="3812"/>
      <c r="AV1002" s="3812"/>
      <c r="AW1002" s="3812"/>
      <c r="AX1002" s="3812"/>
      <c r="AY1002" s="3812"/>
      <c r="AZ1002" s="3812"/>
      <c r="BA1002" s="3812"/>
      <c r="BB1002" s="3812"/>
      <c r="BC1002" s="3812"/>
      <c r="BD1002" s="3812"/>
      <c r="BE1002" s="3812"/>
      <c r="BF1002" s="3812"/>
      <c r="BG1002" s="3812"/>
      <c r="BH1002" s="3812"/>
      <c r="BI1002" s="3812"/>
      <c r="BJ1002" s="3812"/>
      <c r="BK1002" s="3812"/>
      <c r="BL1002" s="3812"/>
      <c r="BM1002" s="3812"/>
      <c r="BN1002" s="5123">
        <v>536023.48</v>
      </c>
      <c r="BO1002" s="3812"/>
      <c r="BP1002" s="3812"/>
      <c r="BQ1002" s="3812"/>
      <c r="BR1002" s="3812"/>
      <c r="BS1002" s="3812"/>
      <c r="BT1002" s="3812"/>
      <c r="BU1002" s="3812"/>
      <c r="BV1002" s="3812"/>
      <c r="BW1002" s="3812"/>
      <c r="BX1002" s="3812"/>
      <c r="BY1002" s="3812"/>
      <c r="BZ1002" s="3812"/>
      <c r="CA1002" s="3812"/>
      <c r="CB1002" s="3812">
        <v>536023.48</v>
      </c>
      <c r="CC1002" s="3812"/>
      <c r="CD1002" s="3812"/>
      <c r="CE1002" s="5169">
        <f>SUBTOTAL(9,BO1002:CB1002)</f>
        <v>536023.48</v>
      </c>
      <c r="CF1002" s="5169">
        <f>AN1002-CE1002</f>
        <v>0</v>
      </c>
      <c r="CG1002" s="5310"/>
      <c r="CH1002" s="5310"/>
    </row>
    <row r="1003" s="4974" customFormat="1" ht="25" customHeight="1" spans="1:86">
      <c r="A1003" s="4045"/>
      <c r="B1003" s="3812"/>
      <c r="C1003" s="3812"/>
      <c r="D1003" s="5059"/>
      <c r="E1003" s="5059"/>
      <c r="F1003" s="5059"/>
      <c r="G1003" s="5059"/>
      <c r="H1003" s="5059"/>
      <c r="I1003" s="5205"/>
      <c r="J1003" s="5059"/>
      <c r="K1003" s="5059"/>
      <c r="L1003" s="5059"/>
      <c r="M1003" s="3812"/>
      <c r="N1003" s="5711"/>
      <c r="O1003" s="5711"/>
      <c r="P1003" s="5711"/>
      <c r="Q1003" s="5711"/>
      <c r="R1003" s="5711"/>
      <c r="S1003" s="5711"/>
      <c r="T1003" s="5711"/>
      <c r="U1003" s="5711"/>
      <c r="V1003" s="5711"/>
      <c r="W1003" s="5711"/>
      <c r="X1003" s="5711"/>
      <c r="Y1003" s="5711"/>
      <c r="Z1003" s="5711"/>
      <c r="AA1003" s="5711"/>
      <c r="AB1003" s="5972"/>
      <c r="AC1003" s="1032" t="s">
        <v>1063</v>
      </c>
      <c r="AD1003" s="5241" t="s">
        <v>351</v>
      </c>
      <c r="AE1003" s="1032">
        <v>0.1</v>
      </c>
      <c r="AF1003" s="3812">
        <f t="shared" si="198"/>
        <v>268011.741</v>
      </c>
      <c r="AG1003" s="5123">
        <f t="shared" si="197"/>
        <v>268011.74</v>
      </c>
      <c r="AH1003" s="1131" t="s">
        <v>349</v>
      </c>
      <c r="AI1003" s="5123">
        <v>46325</v>
      </c>
      <c r="AJ1003" s="3812"/>
      <c r="AK1003" s="3812"/>
      <c r="AL1003" s="3812"/>
      <c r="AM1003" s="3812"/>
      <c r="AN1003" s="5885">
        <f t="shared" si="199"/>
        <v>268011.74</v>
      </c>
      <c r="AO1003" s="5123"/>
      <c r="AP1003" s="3812"/>
      <c r="AQ1003" s="1032"/>
      <c r="AR1003" s="3812"/>
      <c r="AS1003" s="5059"/>
      <c r="AT1003" s="3812"/>
      <c r="AU1003" s="3812"/>
      <c r="AV1003" s="3812"/>
      <c r="AW1003" s="3812"/>
      <c r="AX1003" s="3812"/>
      <c r="AY1003" s="3812"/>
      <c r="AZ1003" s="3812"/>
      <c r="BA1003" s="3812"/>
      <c r="BB1003" s="3812"/>
      <c r="BC1003" s="3812"/>
      <c r="BD1003" s="3812"/>
      <c r="BE1003" s="3812"/>
      <c r="BF1003" s="3812"/>
      <c r="BG1003" s="3812"/>
      <c r="BH1003" s="3812"/>
      <c r="BI1003" s="3812"/>
      <c r="BJ1003" s="3812"/>
      <c r="BK1003" s="3812"/>
      <c r="BL1003" s="3812"/>
      <c r="BM1003" s="3812"/>
      <c r="BN1003" s="5123">
        <v>268011.74</v>
      </c>
      <c r="BO1003" s="3812"/>
      <c r="BP1003" s="3812"/>
      <c r="BQ1003" s="3812"/>
      <c r="BR1003" s="3812"/>
      <c r="BS1003" s="3812"/>
      <c r="BT1003" s="3812"/>
      <c r="BU1003" s="3812"/>
      <c r="BV1003" s="3812"/>
      <c r="BW1003" s="3812"/>
      <c r="BX1003" s="3812"/>
      <c r="BY1003" s="3812"/>
      <c r="BZ1003" s="3812"/>
      <c r="CA1003" s="3812"/>
      <c r="CB1003" s="3812">
        <v>268011.74</v>
      </c>
      <c r="CC1003" s="3812"/>
      <c r="CD1003" s="3812"/>
      <c r="CE1003" s="5310"/>
      <c r="CF1003" s="5310"/>
      <c r="CG1003" s="5310"/>
      <c r="CH1003" s="5310"/>
    </row>
    <row r="1004" s="4974" customFormat="1" ht="25" customHeight="1" spans="1:86">
      <c r="A1004" s="2678"/>
      <c r="B1004" s="3812"/>
      <c r="C1004" s="3812"/>
      <c r="D1004" s="5059"/>
      <c r="E1004" s="5059"/>
      <c r="F1004" s="5059"/>
      <c r="G1004" s="5059"/>
      <c r="H1004" s="5059"/>
      <c r="I1004" s="5205"/>
      <c r="J1004" s="5059"/>
      <c r="K1004" s="5059"/>
      <c r="L1004" s="5059"/>
      <c r="M1004" s="3812"/>
      <c r="N1004" s="5667"/>
      <c r="O1004" s="5667"/>
      <c r="P1004" s="5667"/>
      <c r="Q1004" s="5667"/>
      <c r="R1004" s="5667"/>
      <c r="S1004" s="5667"/>
      <c r="T1004" s="5667"/>
      <c r="U1004" s="5667"/>
      <c r="V1004" s="5667"/>
      <c r="W1004" s="5667"/>
      <c r="X1004" s="5667"/>
      <c r="Y1004" s="5667"/>
      <c r="Z1004" s="5667"/>
      <c r="AA1004" s="5667"/>
      <c r="AB1004" s="5973"/>
      <c r="AC1004" s="1032" t="s">
        <v>1110</v>
      </c>
      <c r="AD1004" s="5241" t="s">
        <v>1776</v>
      </c>
      <c r="AE1004" s="1032">
        <v>0.2</v>
      </c>
      <c r="AF1004" s="3812">
        <f>U999*AE1004</f>
        <v>95952.802</v>
      </c>
      <c r="AG1004" s="3812">
        <f t="shared" si="197"/>
        <v>95952.802</v>
      </c>
      <c r="AH1004" s="1032" t="s">
        <v>122</v>
      </c>
      <c r="AI1004" s="3812">
        <v>45357</v>
      </c>
      <c r="AJ1004" s="3812">
        <v>95952.802</v>
      </c>
      <c r="AK1004" s="3812">
        <v>45357</v>
      </c>
      <c r="AL1004" s="3812">
        <v>95952.802</v>
      </c>
      <c r="AM1004" s="3812">
        <v>45376</v>
      </c>
      <c r="AN1004" s="5349">
        <f t="shared" si="199"/>
        <v>95952.802</v>
      </c>
      <c r="AO1004" s="3812">
        <v>45433</v>
      </c>
      <c r="AP1004" s="3812"/>
      <c r="AQ1004" s="5073" t="s">
        <v>1912</v>
      </c>
      <c r="AR1004" s="3812"/>
      <c r="AS1004" s="5059"/>
      <c r="AT1004" s="3812"/>
      <c r="AU1004" s="3812"/>
      <c r="AV1004" s="3812"/>
      <c r="AW1004" s="3812"/>
      <c r="AX1004" s="3812"/>
      <c r="AY1004" s="3812"/>
      <c r="AZ1004" s="3812"/>
      <c r="BA1004" s="3812"/>
      <c r="BB1004" s="3812"/>
      <c r="BC1004" s="3812"/>
      <c r="BD1004" s="3812"/>
      <c r="BE1004" s="3812"/>
      <c r="BF1004" s="3812"/>
      <c r="BG1004" s="3812"/>
      <c r="BH1004" s="4813">
        <v>95952.802</v>
      </c>
      <c r="BI1004" s="3812"/>
      <c r="BJ1004" s="3812"/>
      <c r="BK1004" s="3812"/>
      <c r="BL1004" s="3812"/>
      <c r="BM1004" s="3812"/>
      <c r="BN1004" s="3812"/>
      <c r="BO1004" s="3812"/>
      <c r="BP1004" s="3812"/>
      <c r="BQ1004" s="3812"/>
      <c r="BR1004" s="3812"/>
      <c r="BS1004" s="3812"/>
      <c r="BT1004" s="3812"/>
      <c r="BU1004" s="3812"/>
      <c r="BV1004" s="3812">
        <v>95952.802</v>
      </c>
      <c r="BW1004" s="3812"/>
      <c r="BX1004" s="3812"/>
      <c r="BY1004" s="3812"/>
      <c r="BZ1004" s="3812"/>
      <c r="CA1004" s="3812"/>
      <c r="CB1004" s="3812"/>
      <c r="CC1004" s="3812"/>
      <c r="CD1004" s="3812"/>
      <c r="CE1004" s="5310"/>
      <c r="CF1004" s="5310"/>
      <c r="CG1004" s="5310"/>
      <c r="CH1004" s="5310"/>
    </row>
    <row r="1005" s="4974" customFormat="1" ht="25" customHeight="1" spans="1:86">
      <c r="A1005" s="2678"/>
      <c r="B1005" s="3812"/>
      <c r="C1005" s="3812"/>
      <c r="D1005" s="5059"/>
      <c r="E1005" s="5059"/>
      <c r="F1005" s="5059"/>
      <c r="G1005" s="5059"/>
      <c r="H1005" s="5059"/>
      <c r="I1005" s="5205"/>
      <c r="J1005" s="5059"/>
      <c r="K1005" s="5059"/>
      <c r="L1005" s="5059"/>
      <c r="M1005" s="3812"/>
      <c r="N1005" s="5667"/>
      <c r="O1005" s="5667"/>
      <c r="P1005" s="5667"/>
      <c r="Q1005" s="5667"/>
      <c r="R1005" s="5667"/>
      <c r="S1005" s="5667"/>
      <c r="T1005" s="5667"/>
      <c r="U1005" s="5667"/>
      <c r="V1005" s="5667"/>
      <c r="W1005" s="5667"/>
      <c r="X1005" s="5667"/>
      <c r="Y1005" s="5667"/>
      <c r="Z1005" s="5667"/>
      <c r="AA1005" s="5667"/>
      <c r="AB1005" s="5973"/>
      <c r="AC1005" s="5073" t="s">
        <v>1113</v>
      </c>
      <c r="AD1005" s="5242" t="s">
        <v>1777</v>
      </c>
      <c r="AE1005" s="5073">
        <v>0.4</v>
      </c>
      <c r="AF1005" s="4840">
        <f>U999*AE1005</f>
        <v>191905.604</v>
      </c>
      <c r="AG1005" s="3812">
        <f t="shared" si="197"/>
        <v>191905.604</v>
      </c>
      <c r="AH1005" s="1032" t="s">
        <v>122</v>
      </c>
      <c r="AI1005" s="3812">
        <v>45357</v>
      </c>
      <c r="AJ1005" s="3812">
        <v>191905.604</v>
      </c>
      <c r="AK1005" s="3812">
        <v>45357</v>
      </c>
      <c r="AL1005" s="3812">
        <v>191905.604</v>
      </c>
      <c r="AM1005" s="3812">
        <v>45376</v>
      </c>
      <c r="AN1005" s="5349">
        <f t="shared" si="199"/>
        <v>191905.604</v>
      </c>
      <c r="AO1005" s="3812">
        <v>45433</v>
      </c>
      <c r="AP1005" s="3812"/>
      <c r="AQ1005" s="5206"/>
      <c r="AR1005" s="3812"/>
      <c r="AS1005" s="5059"/>
      <c r="AT1005" s="3812"/>
      <c r="AU1005" s="3812"/>
      <c r="AV1005" s="3812"/>
      <c r="AW1005" s="3812"/>
      <c r="AX1005" s="3812"/>
      <c r="AY1005" s="3812"/>
      <c r="AZ1005" s="3812"/>
      <c r="BA1005" s="3812"/>
      <c r="BB1005" s="3812"/>
      <c r="BC1005" s="3812"/>
      <c r="BD1005" s="3812"/>
      <c r="BE1005" s="3812"/>
      <c r="BF1005" s="3812"/>
      <c r="BG1005" s="3812"/>
      <c r="BH1005" s="4813">
        <v>191905.604</v>
      </c>
      <c r="BI1005" s="3812"/>
      <c r="BJ1005" s="3812"/>
      <c r="BK1005" s="3812"/>
      <c r="BL1005" s="3812"/>
      <c r="BM1005" s="3812"/>
      <c r="BN1005" s="3812"/>
      <c r="BO1005" s="3812"/>
      <c r="BP1005" s="3812"/>
      <c r="BQ1005" s="3812"/>
      <c r="BR1005" s="3812"/>
      <c r="BS1005" s="3812"/>
      <c r="BT1005" s="3812"/>
      <c r="BU1005" s="3812"/>
      <c r="BV1005" s="3812">
        <v>191905.604</v>
      </c>
      <c r="BW1005" s="3812"/>
      <c r="BX1005" s="3812"/>
      <c r="BY1005" s="3812"/>
      <c r="BZ1005" s="3812"/>
      <c r="CA1005" s="3812"/>
      <c r="CB1005" s="3812"/>
      <c r="CC1005" s="3812"/>
      <c r="CD1005" s="3812"/>
      <c r="CE1005" s="5310"/>
      <c r="CF1005" s="5310"/>
      <c r="CG1005" s="5310"/>
      <c r="CH1005" s="5310"/>
    </row>
    <row r="1006" s="4974" customFormat="1" ht="25" customHeight="1" spans="1:86">
      <c r="A1006" s="2678"/>
      <c r="B1006" s="3812"/>
      <c r="C1006" s="3812"/>
      <c r="D1006" s="5059"/>
      <c r="E1006" s="5059"/>
      <c r="F1006" s="5059"/>
      <c r="G1006" s="5059"/>
      <c r="H1006" s="5059"/>
      <c r="I1006" s="5205"/>
      <c r="J1006" s="5059"/>
      <c r="K1006" s="5059"/>
      <c r="L1006" s="5059"/>
      <c r="M1006" s="3812"/>
      <c r="N1006" s="5667"/>
      <c r="O1006" s="5667"/>
      <c r="P1006" s="5667"/>
      <c r="Q1006" s="5667"/>
      <c r="R1006" s="5667"/>
      <c r="S1006" s="5667"/>
      <c r="T1006" s="5667"/>
      <c r="U1006" s="5667"/>
      <c r="V1006" s="5667"/>
      <c r="W1006" s="5667"/>
      <c r="X1006" s="5667"/>
      <c r="Y1006" s="5667"/>
      <c r="Z1006" s="5667"/>
      <c r="AA1006" s="5667"/>
      <c r="AB1006" s="5973"/>
      <c r="AC1006" s="1032" t="s">
        <v>1115</v>
      </c>
      <c r="AD1006" s="5241" t="s">
        <v>1782</v>
      </c>
      <c r="AE1006" s="1032">
        <v>0.4</v>
      </c>
      <c r="AF1006" s="3812">
        <f>U999*AE1006</f>
        <v>191905.604</v>
      </c>
      <c r="AG1006" s="4813">
        <f t="shared" si="197"/>
        <v>191905.61</v>
      </c>
      <c r="AH1006" s="1032" t="s">
        <v>122</v>
      </c>
      <c r="AI1006" s="3812">
        <v>45499</v>
      </c>
      <c r="AJ1006" s="3812">
        <v>191905.61</v>
      </c>
      <c r="AK1006" s="3812">
        <v>45499</v>
      </c>
      <c r="AL1006" s="3812">
        <v>191905.61</v>
      </c>
      <c r="AM1006" s="3812">
        <v>45502</v>
      </c>
      <c r="AN1006" s="5349">
        <f t="shared" si="199"/>
        <v>191905.61</v>
      </c>
      <c r="AO1006" s="3812">
        <v>45657</v>
      </c>
      <c r="AP1006" s="3812"/>
      <c r="AQ1006" s="1032"/>
      <c r="AR1006" s="3812"/>
      <c r="AS1006" s="5059"/>
      <c r="AT1006" s="3812"/>
      <c r="AU1006" s="3812"/>
      <c r="AV1006" s="3812"/>
      <c r="AW1006" s="3812"/>
      <c r="AX1006" s="3812"/>
      <c r="AY1006" s="3812"/>
      <c r="AZ1006" s="3812"/>
      <c r="BA1006" s="3812"/>
      <c r="BB1006" s="3812"/>
      <c r="BC1006" s="3812"/>
      <c r="BD1006" s="3812"/>
      <c r="BE1006" s="3812"/>
      <c r="BF1006" s="3812"/>
      <c r="BG1006" s="3812"/>
      <c r="BH1006" s="4813">
        <v>191905.61</v>
      </c>
      <c r="BI1006" s="3812"/>
      <c r="BJ1006" s="3812"/>
      <c r="BK1006" s="3812"/>
      <c r="BL1006" s="3812"/>
      <c r="BM1006" s="3812"/>
      <c r="BN1006" s="3812"/>
      <c r="BO1006" s="3812"/>
      <c r="BP1006" s="3812"/>
      <c r="BQ1006" s="3812"/>
      <c r="BR1006" s="3812"/>
      <c r="BS1006" s="3812"/>
      <c r="BT1006" s="3812"/>
      <c r="BU1006" s="3812"/>
      <c r="BV1006" s="5123">
        <v>191905.61</v>
      </c>
      <c r="BW1006" s="3812"/>
      <c r="BX1006" s="3812"/>
      <c r="BY1006" s="3812"/>
      <c r="BZ1006" s="3812"/>
      <c r="CA1006" s="3812"/>
      <c r="CB1006" s="3812"/>
      <c r="CC1006" s="3812"/>
      <c r="CD1006" s="3812"/>
      <c r="CE1006" s="5169">
        <f>SUBTOTAL(9,BO1006:CB1006)</f>
        <v>191905.61</v>
      </c>
      <c r="CF1006" s="5169">
        <f>AN1006-CE1006</f>
        <v>0</v>
      </c>
      <c r="CG1006" s="5310"/>
      <c r="CH1006" s="5310"/>
    </row>
    <row r="1007" s="4974" customFormat="1" ht="25" customHeight="1" spans="1:86">
      <c r="A1007" s="2678"/>
      <c r="B1007" s="3812"/>
      <c r="C1007" s="3812"/>
      <c r="D1007" s="5059"/>
      <c r="E1007" s="5059"/>
      <c r="F1007" s="5059"/>
      <c r="G1007" s="5059"/>
      <c r="H1007" s="5059"/>
      <c r="I1007" s="5205"/>
      <c r="J1007" s="5059"/>
      <c r="K1007" s="5059"/>
      <c r="L1007" s="5059"/>
      <c r="M1007" s="3812"/>
      <c r="N1007" s="5667"/>
      <c r="O1007" s="5667"/>
      <c r="P1007" s="5667"/>
      <c r="Q1007" s="5667"/>
      <c r="R1007" s="5667"/>
      <c r="S1007" s="5667"/>
      <c r="T1007" s="5667"/>
      <c r="U1007" s="5667"/>
      <c r="V1007" s="5667"/>
      <c r="W1007" s="5667"/>
      <c r="X1007" s="5667"/>
      <c r="Y1007" s="5667"/>
      <c r="Z1007" s="5667"/>
      <c r="AA1007" s="5667"/>
      <c r="AB1007" s="5973"/>
      <c r="AC1007" s="1032" t="s">
        <v>193</v>
      </c>
      <c r="AD1007" s="5241" t="s">
        <v>1785</v>
      </c>
      <c r="AE1007" s="1032">
        <v>1</v>
      </c>
      <c r="AF1007" s="3812">
        <f>V999*AE1007</f>
        <v>60000</v>
      </c>
      <c r="AG1007" s="3812">
        <f t="shared" si="197"/>
        <v>60000</v>
      </c>
      <c r="AH1007" s="1032" t="s">
        <v>122</v>
      </c>
      <c r="AI1007" s="3812">
        <v>45357</v>
      </c>
      <c r="AJ1007" s="3812">
        <v>60000</v>
      </c>
      <c r="AK1007" s="3812">
        <v>45357</v>
      </c>
      <c r="AL1007" s="3812">
        <v>60000</v>
      </c>
      <c r="AM1007" s="3812">
        <v>45376</v>
      </c>
      <c r="AN1007" s="5349">
        <f t="shared" si="199"/>
        <v>60000</v>
      </c>
      <c r="AO1007" s="3812">
        <v>45433</v>
      </c>
      <c r="AP1007" s="3812"/>
      <c r="AQ1007" s="1032"/>
      <c r="AR1007" s="3812"/>
      <c r="AS1007" s="5059"/>
      <c r="AT1007" s="3812"/>
      <c r="AU1007" s="3812"/>
      <c r="AV1007" s="3812"/>
      <c r="AW1007" s="3812"/>
      <c r="AX1007" s="3812"/>
      <c r="AY1007" s="3812"/>
      <c r="AZ1007" s="3812"/>
      <c r="BA1007" s="3812"/>
      <c r="BB1007" s="3812"/>
      <c r="BC1007" s="3812"/>
      <c r="BD1007" s="3812"/>
      <c r="BE1007" s="3812"/>
      <c r="BF1007" s="3812"/>
      <c r="BG1007" s="3812"/>
      <c r="BH1007" s="3812"/>
      <c r="BI1007" s="3812">
        <v>60000</v>
      </c>
      <c r="BJ1007" s="3812"/>
      <c r="BK1007" s="3812"/>
      <c r="BL1007" s="3812"/>
      <c r="BM1007" s="3812"/>
      <c r="BN1007" s="4813"/>
      <c r="BO1007" s="3812"/>
      <c r="BP1007" s="3812"/>
      <c r="BQ1007" s="3812"/>
      <c r="BR1007" s="3812"/>
      <c r="BS1007" s="3812"/>
      <c r="BT1007" s="3812"/>
      <c r="BU1007" s="3812"/>
      <c r="BV1007" s="3812"/>
      <c r="BW1007" s="3812">
        <v>60000</v>
      </c>
      <c r="BX1007" s="3812"/>
      <c r="BY1007" s="3812"/>
      <c r="BZ1007" s="3812"/>
      <c r="CA1007" s="3812"/>
      <c r="CB1007" s="4813"/>
      <c r="CC1007" s="3812"/>
      <c r="CD1007" s="3812"/>
      <c r="CE1007" s="5310"/>
      <c r="CF1007" s="5310"/>
      <c r="CG1007" s="5310"/>
      <c r="CH1007" s="5310"/>
    </row>
    <row r="1008" s="4985" customFormat="1" ht="25" customHeight="1" spans="1:86">
      <c r="A1008" s="5200"/>
      <c r="B1008" s="5201"/>
      <c r="C1008" s="5201"/>
      <c r="D1008" s="5708"/>
      <c r="E1008" s="5708"/>
      <c r="F1008" s="5708"/>
      <c r="G1008" s="5708"/>
      <c r="H1008" s="5708"/>
      <c r="I1008" s="5205"/>
      <c r="J1008" s="5708"/>
      <c r="K1008" s="5708"/>
      <c r="L1008" s="5708"/>
      <c r="M1008" s="5201"/>
      <c r="N1008" s="5999"/>
      <c r="O1008" s="5999"/>
      <c r="P1008" s="5999"/>
      <c r="Q1008" s="5999"/>
      <c r="R1008" s="5999"/>
      <c r="S1008" s="5999"/>
      <c r="T1008" s="5999"/>
      <c r="U1008" s="5999"/>
      <c r="V1008" s="5999"/>
      <c r="W1008" s="5999"/>
      <c r="X1008" s="5999"/>
      <c r="Y1008" s="5999"/>
      <c r="Z1008" s="5999"/>
      <c r="AA1008" s="5999"/>
      <c r="AB1008" s="6000"/>
      <c r="AC1008" s="5714" t="s">
        <v>1786</v>
      </c>
      <c r="AD1008" s="5931" t="s">
        <v>1787</v>
      </c>
      <c r="AE1008" s="5714">
        <v>0.1</v>
      </c>
      <c r="AF1008" s="5201">
        <f>1250355.07*AE1008</f>
        <v>125035.507</v>
      </c>
      <c r="AG1008" s="5201">
        <f t="shared" si="197"/>
        <v>125035.51</v>
      </c>
      <c r="AH1008" s="5714" t="s">
        <v>122</v>
      </c>
      <c r="AI1008" s="5201">
        <v>45357</v>
      </c>
      <c r="AJ1008" s="5201">
        <v>125035.51</v>
      </c>
      <c r="AK1008" s="5201">
        <v>45357</v>
      </c>
      <c r="AL1008" s="5201">
        <v>125035.51</v>
      </c>
      <c r="AM1008" s="5201">
        <v>45376</v>
      </c>
      <c r="AN1008" s="5201">
        <f t="shared" ref="AN1008:AN1017" si="200">SUM(BH1008:BU1008)</f>
        <v>125035.51</v>
      </c>
      <c r="AO1008" s="5201">
        <v>45433</v>
      </c>
      <c r="AP1008" s="5201"/>
      <c r="AQ1008" s="5714"/>
      <c r="AR1008" s="5201"/>
      <c r="AS1008" s="5708"/>
      <c r="AT1008" s="5201"/>
      <c r="AU1008" s="3812"/>
      <c r="AV1008" s="3812"/>
      <c r="AW1008" s="3812"/>
      <c r="AX1008" s="3812"/>
      <c r="AY1008" s="3812"/>
      <c r="AZ1008" s="3812"/>
      <c r="BA1008" s="5201"/>
      <c r="BB1008" s="5201"/>
      <c r="BC1008" s="5201"/>
      <c r="BD1008" s="5201"/>
      <c r="BE1008" s="5201"/>
      <c r="BF1008" s="5201"/>
      <c r="BG1008" s="5201"/>
      <c r="BH1008" s="5201"/>
      <c r="BI1008" s="5201"/>
      <c r="BJ1008" s="5201"/>
      <c r="BK1008" s="5201"/>
      <c r="BL1008" s="5201"/>
      <c r="BM1008" s="5201"/>
      <c r="BN1008" s="5201">
        <v>125035.51</v>
      </c>
      <c r="BO1008" s="5201"/>
      <c r="BP1008" s="5201"/>
      <c r="BQ1008" s="5201"/>
      <c r="BR1008" s="5201"/>
      <c r="BS1008" s="5201"/>
      <c r="BT1008" s="5201"/>
      <c r="BU1008" s="5201"/>
      <c r="BV1008" s="5201"/>
      <c r="BW1008" s="5201"/>
      <c r="BX1008" s="5201"/>
      <c r="BY1008" s="5201"/>
      <c r="BZ1008" s="5201"/>
      <c r="CA1008" s="5201"/>
      <c r="CB1008" s="5201">
        <v>125035.51</v>
      </c>
      <c r="CC1008" s="5201"/>
      <c r="CD1008" s="5201"/>
      <c r="CE1008" s="5990"/>
      <c r="CF1008" s="5990"/>
      <c r="CG1008" s="5990"/>
      <c r="CH1008" s="5990"/>
    </row>
    <row r="1009" s="4974" customFormat="1" ht="25" customHeight="1" spans="1:86">
      <c r="A1009" s="5200"/>
      <c r="B1009" s="3812"/>
      <c r="C1009" s="3812"/>
      <c r="D1009" s="5059"/>
      <c r="E1009" s="5059"/>
      <c r="F1009" s="5059"/>
      <c r="G1009" s="5059"/>
      <c r="H1009" s="5059"/>
      <c r="I1009" s="5205"/>
      <c r="J1009" s="5059"/>
      <c r="K1009" s="5059"/>
      <c r="L1009" s="5059"/>
      <c r="M1009" s="3812"/>
      <c r="N1009" s="5999"/>
      <c r="O1009" s="5999"/>
      <c r="P1009" s="5999"/>
      <c r="Q1009" s="5999"/>
      <c r="R1009" s="5999"/>
      <c r="S1009" s="5999"/>
      <c r="T1009" s="5999"/>
      <c r="U1009" s="5999"/>
      <c r="V1009" s="5999"/>
      <c r="W1009" s="5999"/>
      <c r="X1009" s="5999"/>
      <c r="Y1009" s="5999"/>
      <c r="Z1009" s="5999"/>
      <c r="AA1009" s="5999"/>
      <c r="AB1009" s="6000"/>
      <c r="AC1009" s="1032" t="s">
        <v>1913</v>
      </c>
      <c r="AD1009" s="5241" t="s">
        <v>1914</v>
      </c>
      <c r="AE1009" s="1032">
        <v>0.4</v>
      </c>
      <c r="AF1009" s="3812">
        <f t="shared" ref="AF1009:AF1011" si="201">396887.63*AE1009</f>
        <v>158755.052</v>
      </c>
      <c r="AG1009" s="3812">
        <f t="shared" si="197"/>
        <v>158755.05</v>
      </c>
      <c r="AH1009" s="1032" t="s">
        <v>122</v>
      </c>
      <c r="AI1009" s="3812">
        <v>45357</v>
      </c>
      <c r="AJ1009" s="3812">
        <v>158755.05</v>
      </c>
      <c r="AK1009" s="3812">
        <v>45357</v>
      </c>
      <c r="AL1009" s="3812">
        <v>158755.05</v>
      </c>
      <c r="AM1009" s="3812">
        <v>45376</v>
      </c>
      <c r="AN1009" s="5349">
        <f t="shared" si="200"/>
        <v>158755.05</v>
      </c>
      <c r="AO1009" s="3812">
        <v>45433</v>
      </c>
      <c r="AP1009" s="3812"/>
      <c r="AQ1009" s="1032"/>
      <c r="AR1009" s="3812"/>
      <c r="AS1009" s="5059"/>
      <c r="AT1009" s="3812"/>
      <c r="AU1009" s="3812"/>
      <c r="AV1009" s="3812"/>
      <c r="AW1009" s="3812"/>
      <c r="AX1009" s="3812"/>
      <c r="AY1009" s="3812"/>
      <c r="AZ1009" s="3812"/>
      <c r="BA1009" s="3812"/>
      <c r="BB1009" s="3812"/>
      <c r="BC1009" s="3812"/>
      <c r="BD1009" s="3812"/>
      <c r="BE1009" s="3812"/>
      <c r="BF1009" s="3812"/>
      <c r="BG1009" s="3812"/>
      <c r="BH1009" s="3812"/>
      <c r="BI1009" s="3812"/>
      <c r="BJ1009" s="3812"/>
      <c r="BK1009" s="3812"/>
      <c r="BL1009" s="3812"/>
      <c r="BM1009" s="3812"/>
      <c r="BN1009" s="3812">
        <v>158755.05</v>
      </c>
      <c r="BO1009" s="3812"/>
      <c r="BP1009" s="3812"/>
      <c r="BQ1009" s="3812"/>
      <c r="BR1009" s="3812"/>
      <c r="BS1009" s="3812"/>
      <c r="BT1009" s="3812"/>
      <c r="BU1009" s="3812"/>
      <c r="BV1009" s="3812"/>
      <c r="BW1009" s="3812"/>
      <c r="BX1009" s="3812"/>
      <c r="BY1009" s="3812"/>
      <c r="BZ1009" s="3812"/>
      <c r="CA1009" s="3812"/>
      <c r="CB1009" s="3812">
        <v>158755.05</v>
      </c>
      <c r="CC1009" s="3812"/>
      <c r="CD1009" s="3812"/>
      <c r="CE1009" s="5310"/>
      <c r="CF1009" s="5310"/>
      <c r="CG1009" s="5310"/>
      <c r="CH1009" s="5310"/>
    </row>
    <row r="1010" s="4974" customFormat="1" ht="31" spans="1:86">
      <c r="A1010" s="5200"/>
      <c r="B1010" s="3812"/>
      <c r="C1010" s="3812"/>
      <c r="D1010" s="5059"/>
      <c r="E1010" s="5059"/>
      <c r="F1010" s="5059"/>
      <c r="G1010" s="5059"/>
      <c r="H1010" s="5059"/>
      <c r="I1010" s="5205"/>
      <c r="J1010" s="5059"/>
      <c r="K1010" s="5059"/>
      <c r="L1010" s="5059"/>
      <c r="M1010" s="3812"/>
      <c r="N1010" s="5999"/>
      <c r="O1010" s="5999"/>
      <c r="P1010" s="5999"/>
      <c r="Q1010" s="5999"/>
      <c r="R1010" s="5999"/>
      <c r="S1010" s="5999"/>
      <c r="T1010" s="5999"/>
      <c r="U1010" s="5999"/>
      <c r="V1010" s="5999"/>
      <c r="W1010" s="5999"/>
      <c r="X1010" s="5999"/>
      <c r="Y1010" s="5999"/>
      <c r="Z1010" s="5999"/>
      <c r="AA1010" s="5999"/>
      <c r="AB1010" s="6000"/>
      <c r="AC1010" s="1032" t="s">
        <v>1913</v>
      </c>
      <c r="AD1010" s="5241" t="s">
        <v>1915</v>
      </c>
      <c r="AE1010" s="1032">
        <v>0.3</v>
      </c>
      <c r="AF1010" s="3812">
        <f t="shared" si="201"/>
        <v>119066.289</v>
      </c>
      <c r="AG1010" s="3812">
        <f t="shared" si="197"/>
        <v>119066.29</v>
      </c>
      <c r="AH1010" s="1032" t="s">
        <v>122</v>
      </c>
      <c r="AI1010" s="3812">
        <v>45357</v>
      </c>
      <c r="AJ1010" s="3812">
        <v>119066.29</v>
      </c>
      <c r="AK1010" s="3812">
        <v>45357</v>
      </c>
      <c r="AL1010" s="3812">
        <v>119066.29</v>
      </c>
      <c r="AM1010" s="3812">
        <v>45376</v>
      </c>
      <c r="AN1010" s="5349">
        <f t="shared" si="200"/>
        <v>119066.29</v>
      </c>
      <c r="AO1010" s="3812">
        <v>45433</v>
      </c>
      <c r="AP1010" s="3812"/>
      <c r="AQ1010" s="1032"/>
      <c r="AR1010" s="3812"/>
      <c r="AS1010" s="5059"/>
      <c r="AT1010" s="3812"/>
      <c r="AU1010" s="3812"/>
      <c r="AV1010" s="3812"/>
      <c r="AW1010" s="3812"/>
      <c r="AX1010" s="3812"/>
      <c r="AY1010" s="3812"/>
      <c r="AZ1010" s="3812"/>
      <c r="BA1010" s="3812"/>
      <c r="BB1010" s="3812"/>
      <c r="BC1010" s="3812"/>
      <c r="BD1010" s="3812"/>
      <c r="BE1010" s="3812"/>
      <c r="BF1010" s="3812"/>
      <c r="BG1010" s="3812"/>
      <c r="BH1010" s="3812"/>
      <c r="BI1010" s="3812"/>
      <c r="BJ1010" s="3812"/>
      <c r="BK1010" s="3812"/>
      <c r="BL1010" s="3812"/>
      <c r="BM1010" s="3812"/>
      <c r="BN1010" s="3812">
        <v>119066.29</v>
      </c>
      <c r="BO1010" s="3812"/>
      <c r="BP1010" s="3812"/>
      <c r="BQ1010" s="3812"/>
      <c r="BR1010" s="3812"/>
      <c r="BS1010" s="3812"/>
      <c r="BT1010" s="3812"/>
      <c r="BU1010" s="3812"/>
      <c r="BV1010" s="3812"/>
      <c r="BW1010" s="3812"/>
      <c r="BX1010" s="3812"/>
      <c r="BY1010" s="3812"/>
      <c r="BZ1010" s="3812"/>
      <c r="CA1010" s="3812"/>
      <c r="CB1010" s="3812">
        <v>119066.29</v>
      </c>
      <c r="CC1010" s="3812"/>
      <c r="CD1010" s="3812"/>
      <c r="CE1010" s="5310"/>
      <c r="CF1010" s="5310"/>
      <c r="CG1010" s="5310"/>
      <c r="CH1010" s="5310"/>
    </row>
    <row r="1011" s="4974" customFormat="1" ht="31" spans="1:86">
      <c r="A1011" s="5200"/>
      <c r="B1011" s="3812"/>
      <c r="C1011" s="3812"/>
      <c r="D1011" s="5059"/>
      <c r="E1011" s="5059"/>
      <c r="F1011" s="5059"/>
      <c r="G1011" s="5059"/>
      <c r="H1011" s="5059"/>
      <c r="I1011" s="5205"/>
      <c r="J1011" s="5059"/>
      <c r="K1011" s="5059"/>
      <c r="L1011" s="5059"/>
      <c r="M1011" s="3812"/>
      <c r="N1011" s="5999"/>
      <c r="O1011" s="5999"/>
      <c r="P1011" s="5999"/>
      <c r="Q1011" s="5999"/>
      <c r="R1011" s="5999"/>
      <c r="S1011" s="5999"/>
      <c r="T1011" s="5999"/>
      <c r="U1011" s="5999"/>
      <c r="V1011" s="5999"/>
      <c r="W1011" s="5999"/>
      <c r="X1011" s="5999"/>
      <c r="Y1011" s="5999"/>
      <c r="Z1011" s="5999"/>
      <c r="AA1011" s="5999"/>
      <c r="AB1011" s="6000"/>
      <c r="AC1011" s="1032" t="s">
        <v>1913</v>
      </c>
      <c r="AD1011" s="5241" t="s">
        <v>1916</v>
      </c>
      <c r="AE1011" s="1032">
        <v>0.1</v>
      </c>
      <c r="AF1011" s="3812">
        <f t="shared" si="201"/>
        <v>39688.763</v>
      </c>
      <c r="AG1011" s="4813">
        <f t="shared" si="197"/>
        <v>39688.763</v>
      </c>
      <c r="AH1011" s="1032" t="s">
        <v>122</v>
      </c>
      <c r="AI1011" s="3812">
        <v>45499</v>
      </c>
      <c r="AJ1011" s="3812">
        <v>39688.763</v>
      </c>
      <c r="AK1011" s="3812">
        <v>45499</v>
      </c>
      <c r="AL1011" s="3812">
        <v>39688.763</v>
      </c>
      <c r="AM1011" s="3812">
        <v>45502</v>
      </c>
      <c r="AN1011" s="5349">
        <f t="shared" si="200"/>
        <v>39688.763</v>
      </c>
      <c r="AO1011" s="3812">
        <v>45657</v>
      </c>
      <c r="AP1011" s="3812"/>
      <c r="AQ1011" s="1032"/>
      <c r="AR1011" s="3812"/>
      <c r="AS1011" s="5059"/>
      <c r="AT1011" s="3812"/>
      <c r="AU1011" s="3812"/>
      <c r="AV1011" s="3812"/>
      <c r="AW1011" s="3812"/>
      <c r="AX1011" s="3812"/>
      <c r="AY1011" s="3812"/>
      <c r="AZ1011" s="3812"/>
      <c r="BA1011" s="3812"/>
      <c r="BB1011" s="3812"/>
      <c r="BC1011" s="3812"/>
      <c r="BD1011" s="3812"/>
      <c r="BE1011" s="3812"/>
      <c r="BF1011" s="3812"/>
      <c r="BG1011" s="3812"/>
      <c r="BH1011" s="3812"/>
      <c r="BI1011" s="3812"/>
      <c r="BJ1011" s="3812"/>
      <c r="BK1011" s="3812"/>
      <c r="BL1011" s="3812"/>
      <c r="BM1011" s="3812"/>
      <c r="BN1011" s="3812">
        <v>39688.763</v>
      </c>
      <c r="BO1011" s="3812"/>
      <c r="BP1011" s="3812"/>
      <c r="BQ1011" s="3812"/>
      <c r="BR1011" s="3812"/>
      <c r="BS1011" s="3812"/>
      <c r="BT1011" s="3812"/>
      <c r="BU1011" s="3812"/>
      <c r="BV1011" s="3812"/>
      <c r="BW1011" s="3812"/>
      <c r="BX1011" s="3812"/>
      <c r="BY1011" s="3812"/>
      <c r="BZ1011" s="3812"/>
      <c r="CA1011" s="3812"/>
      <c r="CB1011" s="3812">
        <v>39688.763</v>
      </c>
      <c r="CC1011" s="3812"/>
      <c r="CD1011" s="3812"/>
      <c r="CE1011" s="5169">
        <f>SUBTOTAL(9,BO1011:CB1011)</f>
        <v>39688.763</v>
      </c>
      <c r="CF1011" s="5169">
        <f>AN1011-CE1011</f>
        <v>0</v>
      </c>
      <c r="CG1011" s="5310"/>
      <c r="CH1011" s="5310"/>
    </row>
    <row r="1012" s="4974" customFormat="1" ht="25.85" customHeight="1" spans="1:86">
      <c r="A1012" s="5200"/>
      <c r="B1012" s="3812"/>
      <c r="C1012" s="3812"/>
      <c r="D1012" s="5059"/>
      <c r="E1012" s="5059"/>
      <c r="F1012" s="5059"/>
      <c r="G1012" s="5059"/>
      <c r="H1012" s="5059"/>
      <c r="I1012" s="5205"/>
      <c r="J1012" s="5059"/>
      <c r="K1012" s="5059"/>
      <c r="L1012" s="5059"/>
      <c r="M1012" s="3812"/>
      <c r="N1012" s="5999"/>
      <c r="O1012" s="5999"/>
      <c r="P1012" s="5999"/>
      <c r="Q1012" s="5999"/>
      <c r="R1012" s="5999"/>
      <c r="S1012" s="5999"/>
      <c r="T1012" s="5999"/>
      <c r="U1012" s="5999"/>
      <c r="V1012" s="5999"/>
      <c r="W1012" s="5999"/>
      <c r="X1012" s="5999"/>
      <c r="Y1012" s="5999"/>
      <c r="Z1012" s="5999"/>
      <c r="AA1012" s="5999"/>
      <c r="AB1012" s="6000"/>
      <c r="AC1012" s="1032" t="s">
        <v>1789</v>
      </c>
      <c r="AD1012" s="5241" t="s">
        <v>1790</v>
      </c>
      <c r="AE1012" s="1032">
        <v>0.15</v>
      </c>
      <c r="AF1012" s="3812">
        <f t="shared" ref="AF1012:AF1016" si="202">853467.44*AE1012</f>
        <v>128020.116</v>
      </c>
      <c r="AG1012" s="3812">
        <f t="shared" si="197"/>
        <v>128020.12</v>
      </c>
      <c r="AH1012" s="1032" t="s">
        <v>122</v>
      </c>
      <c r="AI1012" s="3812">
        <v>45357</v>
      </c>
      <c r="AJ1012" s="3812">
        <v>128020.12</v>
      </c>
      <c r="AK1012" s="3812">
        <v>45357</v>
      </c>
      <c r="AL1012" s="3812">
        <v>128020.12</v>
      </c>
      <c r="AM1012" s="3812">
        <v>45376</v>
      </c>
      <c r="AN1012" s="5349">
        <f t="shared" si="200"/>
        <v>128020.12</v>
      </c>
      <c r="AO1012" s="3812">
        <v>45433</v>
      </c>
      <c r="AP1012" s="3812"/>
      <c r="AQ1012" s="1032"/>
      <c r="AR1012" s="3812"/>
      <c r="AS1012" s="5059"/>
      <c r="AT1012" s="3812"/>
      <c r="AU1012" s="3812"/>
      <c r="AV1012" s="3812"/>
      <c r="AW1012" s="3812"/>
      <c r="AX1012" s="3812"/>
      <c r="AY1012" s="3812"/>
      <c r="AZ1012" s="3812"/>
      <c r="BA1012" s="3812"/>
      <c r="BB1012" s="3812"/>
      <c r="BC1012" s="3812"/>
      <c r="BD1012" s="3812"/>
      <c r="BE1012" s="3812"/>
      <c r="BF1012" s="3812"/>
      <c r="BG1012" s="3812"/>
      <c r="BH1012" s="3812"/>
      <c r="BI1012" s="3812"/>
      <c r="BJ1012" s="3812"/>
      <c r="BK1012" s="3812"/>
      <c r="BL1012" s="3812"/>
      <c r="BM1012" s="3812"/>
      <c r="BN1012" s="3812">
        <v>128020.12</v>
      </c>
      <c r="BO1012" s="3812"/>
      <c r="BP1012" s="3812"/>
      <c r="BQ1012" s="3812"/>
      <c r="BR1012" s="3812"/>
      <c r="BS1012" s="3812"/>
      <c r="BT1012" s="3812"/>
      <c r="BU1012" s="3812"/>
      <c r="BV1012" s="3812"/>
      <c r="BW1012" s="3812"/>
      <c r="BX1012" s="3812"/>
      <c r="BY1012" s="3812"/>
      <c r="BZ1012" s="3812"/>
      <c r="CA1012" s="3812"/>
      <c r="CB1012" s="3812">
        <v>128020.12</v>
      </c>
      <c r="CC1012" s="3812"/>
      <c r="CD1012" s="3812"/>
      <c r="CE1012" s="5310"/>
      <c r="CF1012" s="5310"/>
      <c r="CG1012" s="5310"/>
      <c r="CH1012" s="5310"/>
    </row>
    <row r="1013" s="4974" customFormat="1" ht="31" spans="1:86">
      <c r="A1013" s="5200"/>
      <c r="B1013" s="3812"/>
      <c r="C1013" s="3812"/>
      <c r="D1013" s="5059"/>
      <c r="E1013" s="5059"/>
      <c r="F1013" s="5059"/>
      <c r="G1013" s="5059"/>
      <c r="H1013" s="5059"/>
      <c r="I1013" s="5205"/>
      <c r="J1013" s="5059"/>
      <c r="K1013" s="5059"/>
      <c r="L1013" s="5059"/>
      <c r="M1013" s="3812"/>
      <c r="N1013" s="5999"/>
      <c r="O1013" s="5999"/>
      <c r="P1013" s="5999"/>
      <c r="Q1013" s="5999"/>
      <c r="R1013" s="5999"/>
      <c r="S1013" s="5999"/>
      <c r="T1013" s="5999"/>
      <c r="U1013" s="5999"/>
      <c r="V1013" s="5999"/>
      <c r="W1013" s="5999"/>
      <c r="X1013" s="5999"/>
      <c r="Y1013" s="5999"/>
      <c r="Z1013" s="5999"/>
      <c r="AA1013" s="5999"/>
      <c r="AB1013" s="6000"/>
      <c r="AC1013" s="1032" t="s">
        <v>1789</v>
      </c>
      <c r="AD1013" s="5241" t="s">
        <v>1791</v>
      </c>
      <c r="AE1013" s="1032">
        <v>0.2</v>
      </c>
      <c r="AF1013" s="3812">
        <f t="shared" si="202"/>
        <v>170693.488</v>
      </c>
      <c r="AG1013" s="3812">
        <f t="shared" si="197"/>
        <v>170693.49</v>
      </c>
      <c r="AH1013" s="1032" t="s">
        <v>122</v>
      </c>
      <c r="AI1013" s="3812">
        <v>45357</v>
      </c>
      <c r="AJ1013" s="3812">
        <v>170693.49</v>
      </c>
      <c r="AK1013" s="3812">
        <v>45357</v>
      </c>
      <c r="AL1013" s="3812">
        <v>170693.49</v>
      </c>
      <c r="AM1013" s="3812">
        <v>45376</v>
      </c>
      <c r="AN1013" s="5349">
        <f t="shared" si="200"/>
        <v>170693.49</v>
      </c>
      <c r="AO1013" s="3812">
        <v>45433</v>
      </c>
      <c r="AP1013" s="3812"/>
      <c r="AQ1013" s="1032"/>
      <c r="AR1013" s="3812"/>
      <c r="AS1013" s="5059"/>
      <c r="AT1013" s="3812"/>
      <c r="AU1013" s="3812"/>
      <c r="AV1013" s="3812"/>
      <c r="AW1013" s="3812"/>
      <c r="AX1013" s="3812"/>
      <c r="AY1013" s="3812"/>
      <c r="AZ1013" s="3812"/>
      <c r="BA1013" s="3812"/>
      <c r="BB1013" s="3812"/>
      <c r="BC1013" s="3812"/>
      <c r="BD1013" s="3812"/>
      <c r="BE1013" s="3812"/>
      <c r="BF1013" s="3812"/>
      <c r="BG1013" s="3812"/>
      <c r="BH1013" s="3812"/>
      <c r="BI1013" s="3812"/>
      <c r="BJ1013" s="3812"/>
      <c r="BK1013" s="3812"/>
      <c r="BL1013" s="3812"/>
      <c r="BM1013" s="3812"/>
      <c r="BN1013" s="3812">
        <v>170693.49</v>
      </c>
      <c r="BO1013" s="3812"/>
      <c r="BP1013" s="3812"/>
      <c r="BQ1013" s="3812"/>
      <c r="BR1013" s="3812"/>
      <c r="BS1013" s="3812"/>
      <c r="BT1013" s="3812"/>
      <c r="BU1013" s="3812"/>
      <c r="BV1013" s="3812"/>
      <c r="BW1013" s="3812"/>
      <c r="BX1013" s="3812"/>
      <c r="BY1013" s="3812"/>
      <c r="BZ1013" s="3812"/>
      <c r="CA1013" s="3812"/>
      <c r="CB1013" s="3812">
        <v>170693.49</v>
      </c>
      <c r="CC1013" s="3812"/>
      <c r="CD1013" s="3812"/>
      <c r="CE1013" s="5310"/>
      <c r="CF1013" s="5310"/>
      <c r="CG1013" s="5310"/>
      <c r="CH1013" s="5310"/>
    </row>
    <row r="1014" s="4974" customFormat="1" ht="31" spans="1:86">
      <c r="A1014" s="5200"/>
      <c r="B1014" s="3812"/>
      <c r="C1014" s="3812"/>
      <c r="D1014" s="5059"/>
      <c r="E1014" s="5059"/>
      <c r="F1014" s="5059"/>
      <c r="G1014" s="5059"/>
      <c r="H1014" s="5059"/>
      <c r="I1014" s="5205"/>
      <c r="J1014" s="5059"/>
      <c r="K1014" s="5059"/>
      <c r="L1014" s="5059"/>
      <c r="M1014" s="3812"/>
      <c r="N1014" s="5999"/>
      <c r="O1014" s="5999"/>
      <c r="P1014" s="5999"/>
      <c r="Q1014" s="5999"/>
      <c r="R1014" s="5999"/>
      <c r="S1014" s="5999"/>
      <c r="T1014" s="5999"/>
      <c r="U1014" s="5999"/>
      <c r="V1014" s="5999"/>
      <c r="W1014" s="5999"/>
      <c r="X1014" s="5999"/>
      <c r="Y1014" s="5999"/>
      <c r="Z1014" s="5999"/>
      <c r="AA1014" s="5999"/>
      <c r="AB1014" s="6000"/>
      <c r="AC1014" s="1032" t="s">
        <v>1789</v>
      </c>
      <c r="AD1014" s="5241" t="s">
        <v>1792</v>
      </c>
      <c r="AE1014" s="1032">
        <v>0.15</v>
      </c>
      <c r="AF1014" s="3812">
        <f t="shared" si="202"/>
        <v>128020.116</v>
      </c>
      <c r="AG1014" s="4813">
        <f t="shared" si="197"/>
        <v>128020.116</v>
      </c>
      <c r="AH1014" s="1032" t="s">
        <v>122</v>
      </c>
      <c r="AI1014" s="3812">
        <v>45499</v>
      </c>
      <c r="AJ1014" s="3812">
        <v>128020.116</v>
      </c>
      <c r="AK1014" s="3812">
        <v>45499</v>
      </c>
      <c r="AL1014" s="3812">
        <v>128020.116</v>
      </c>
      <c r="AM1014" s="3812">
        <v>45502</v>
      </c>
      <c r="AN1014" s="5349">
        <f t="shared" si="200"/>
        <v>128020.116</v>
      </c>
      <c r="AO1014" s="3812">
        <v>45657</v>
      </c>
      <c r="AP1014" s="3812"/>
      <c r="AQ1014" s="1032"/>
      <c r="AR1014" s="3812"/>
      <c r="AS1014" s="5059"/>
      <c r="AT1014" s="3812"/>
      <c r="AU1014" s="3812"/>
      <c r="AV1014" s="3812"/>
      <c r="AW1014" s="3812"/>
      <c r="AX1014" s="3812"/>
      <c r="AY1014" s="3812"/>
      <c r="AZ1014" s="3812"/>
      <c r="BA1014" s="3812"/>
      <c r="BB1014" s="3812"/>
      <c r="BC1014" s="3812"/>
      <c r="BD1014" s="3812"/>
      <c r="BE1014" s="3812"/>
      <c r="BF1014" s="3812"/>
      <c r="BG1014" s="3812"/>
      <c r="BH1014" s="3812"/>
      <c r="BI1014" s="3812"/>
      <c r="BJ1014" s="3812"/>
      <c r="BK1014" s="3812"/>
      <c r="BL1014" s="3812"/>
      <c r="BM1014" s="3812"/>
      <c r="BN1014" s="5123">
        <v>128020.116</v>
      </c>
      <c r="BO1014" s="3812"/>
      <c r="BP1014" s="3812"/>
      <c r="BQ1014" s="3812"/>
      <c r="BR1014" s="3812"/>
      <c r="BS1014" s="3812"/>
      <c r="BT1014" s="3812"/>
      <c r="BU1014" s="3812"/>
      <c r="BV1014" s="3812"/>
      <c r="BW1014" s="3812"/>
      <c r="BX1014" s="3812"/>
      <c r="BY1014" s="3812"/>
      <c r="BZ1014" s="3812"/>
      <c r="CA1014" s="3812"/>
      <c r="CB1014" s="3812">
        <v>128020.116</v>
      </c>
      <c r="CC1014" s="3812"/>
      <c r="CD1014" s="3812"/>
      <c r="CE1014" s="5169">
        <f>SUBTOTAL(9,BO1014:CB1014)</f>
        <v>128020.116</v>
      </c>
      <c r="CF1014" s="5169">
        <f>AN1014-CE1014</f>
        <v>0</v>
      </c>
      <c r="CG1014" s="5310"/>
      <c r="CH1014" s="5310"/>
    </row>
    <row r="1015" s="4974" customFormat="1" ht="31" spans="1:86">
      <c r="A1015" s="5200"/>
      <c r="B1015" s="3812"/>
      <c r="C1015" s="3812"/>
      <c r="D1015" s="5059"/>
      <c r="E1015" s="5059"/>
      <c r="F1015" s="5059"/>
      <c r="G1015" s="5059"/>
      <c r="H1015" s="5059"/>
      <c r="I1015" s="5205"/>
      <c r="J1015" s="5059"/>
      <c r="K1015" s="5059"/>
      <c r="L1015" s="5059"/>
      <c r="M1015" s="3812"/>
      <c r="N1015" s="5999"/>
      <c r="O1015" s="5999"/>
      <c r="P1015" s="5999"/>
      <c r="Q1015" s="5999"/>
      <c r="R1015" s="5999"/>
      <c r="S1015" s="5999"/>
      <c r="T1015" s="5999"/>
      <c r="U1015" s="5999"/>
      <c r="V1015" s="5999"/>
      <c r="W1015" s="5999"/>
      <c r="X1015" s="5999"/>
      <c r="Y1015" s="5999"/>
      <c r="Z1015" s="5999"/>
      <c r="AA1015" s="5999"/>
      <c r="AB1015" s="6000"/>
      <c r="AC1015" s="1032" t="s">
        <v>1789</v>
      </c>
      <c r="AD1015" s="5241" t="s">
        <v>1794</v>
      </c>
      <c r="AE1015" s="1032">
        <v>0.2</v>
      </c>
      <c r="AF1015" s="3812">
        <f t="shared" si="202"/>
        <v>170693.488</v>
      </c>
      <c r="AG1015" s="5123">
        <f t="shared" si="197"/>
        <v>170693.488</v>
      </c>
      <c r="AH1015" s="1131" t="s">
        <v>349</v>
      </c>
      <c r="AI1015" s="5123">
        <v>46172</v>
      </c>
      <c r="AJ1015" s="3812"/>
      <c r="AK1015" s="3812"/>
      <c r="AL1015" s="3812"/>
      <c r="AM1015" s="3812"/>
      <c r="AN1015" s="5249">
        <f t="shared" si="200"/>
        <v>170693.488</v>
      </c>
      <c r="AO1015" s="4815"/>
      <c r="AP1015" s="3812"/>
      <c r="AQ1015" s="1032"/>
      <c r="AR1015" s="3812"/>
      <c r="AS1015" s="5059"/>
      <c r="AT1015" s="3812"/>
      <c r="AU1015" s="3812"/>
      <c r="AV1015" s="3812"/>
      <c r="AW1015" s="3812"/>
      <c r="AX1015" s="3812"/>
      <c r="AY1015" s="3812"/>
      <c r="AZ1015" s="3812"/>
      <c r="BA1015" s="3812"/>
      <c r="BB1015" s="3812"/>
      <c r="BC1015" s="3812"/>
      <c r="BD1015" s="3812"/>
      <c r="BE1015" s="3812"/>
      <c r="BF1015" s="3812"/>
      <c r="BG1015" s="3812"/>
      <c r="BH1015" s="3812"/>
      <c r="BI1015" s="3812"/>
      <c r="BJ1015" s="3812"/>
      <c r="BK1015" s="3812"/>
      <c r="BL1015" s="3812"/>
      <c r="BM1015" s="3812"/>
      <c r="BN1015" s="5123">
        <v>170693.488</v>
      </c>
      <c r="BO1015" s="3812"/>
      <c r="BP1015" s="3812"/>
      <c r="BQ1015" s="3812"/>
      <c r="BR1015" s="3812"/>
      <c r="BS1015" s="3812"/>
      <c r="BT1015" s="3812"/>
      <c r="BU1015" s="3812"/>
      <c r="BV1015" s="3812"/>
      <c r="BW1015" s="3812"/>
      <c r="BX1015" s="3812"/>
      <c r="BY1015" s="3812"/>
      <c r="BZ1015" s="3812"/>
      <c r="CA1015" s="3812"/>
      <c r="CB1015" s="3812">
        <v>170693.488</v>
      </c>
      <c r="CC1015" s="3812"/>
      <c r="CD1015" s="3812"/>
      <c r="CE1015" s="5169">
        <f>SUBTOTAL(9,BO1015:CB1015)</f>
        <v>170693.488</v>
      </c>
      <c r="CF1015" s="5169">
        <f>AN1015-CE1015</f>
        <v>0</v>
      </c>
      <c r="CG1015" s="5310"/>
      <c r="CH1015" s="5310"/>
    </row>
    <row r="1016" s="4974" customFormat="1" ht="31" spans="1:86">
      <c r="A1016" s="5200"/>
      <c r="B1016" s="3812"/>
      <c r="C1016" s="3812"/>
      <c r="D1016" s="5059"/>
      <c r="E1016" s="5059"/>
      <c r="F1016" s="5059"/>
      <c r="G1016" s="5059"/>
      <c r="H1016" s="5059"/>
      <c r="I1016" s="5205"/>
      <c r="J1016" s="5059"/>
      <c r="K1016" s="5059"/>
      <c r="L1016" s="5059"/>
      <c r="M1016" s="3812"/>
      <c r="N1016" s="5999"/>
      <c r="O1016" s="5999"/>
      <c r="P1016" s="5999"/>
      <c r="Q1016" s="5999"/>
      <c r="R1016" s="5999"/>
      <c r="S1016" s="5999"/>
      <c r="T1016" s="5999"/>
      <c r="U1016" s="5999"/>
      <c r="V1016" s="5999"/>
      <c r="W1016" s="5999"/>
      <c r="X1016" s="5999"/>
      <c r="Y1016" s="5999"/>
      <c r="Z1016" s="5999"/>
      <c r="AA1016" s="5999"/>
      <c r="AB1016" s="6000"/>
      <c r="AC1016" s="1032" t="s">
        <v>1789</v>
      </c>
      <c r="AD1016" s="5241" t="s">
        <v>1796</v>
      </c>
      <c r="AE1016" s="1032">
        <v>0.05</v>
      </c>
      <c r="AF1016" s="3812">
        <f t="shared" si="202"/>
        <v>42673.372</v>
      </c>
      <c r="AG1016" s="5123">
        <f t="shared" si="197"/>
        <v>42673.372</v>
      </c>
      <c r="AH1016" s="1131" t="s">
        <v>349</v>
      </c>
      <c r="AI1016" s="5123">
        <v>46203</v>
      </c>
      <c r="AJ1016" s="3812"/>
      <c r="AK1016" s="3812"/>
      <c r="AL1016" s="3812"/>
      <c r="AM1016" s="3812"/>
      <c r="AN1016" s="5885">
        <f t="shared" si="200"/>
        <v>42673.372</v>
      </c>
      <c r="AO1016" s="4815"/>
      <c r="AP1016" s="3812"/>
      <c r="AQ1016" s="1032"/>
      <c r="AR1016" s="3812"/>
      <c r="AS1016" s="5059"/>
      <c r="AT1016" s="3812"/>
      <c r="AU1016" s="3812"/>
      <c r="AV1016" s="3812"/>
      <c r="AW1016" s="3812"/>
      <c r="AX1016" s="3812"/>
      <c r="AY1016" s="3812"/>
      <c r="AZ1016" s="3812"/>
      <c r="BA1016" s="3812"/>
      <c r="BB1016" s="3812"/>
      <c r="BC1016" s="3812"/>
      <c r="BD1016" s="3812"/>
      <c r="BE1016" s="3812"/>
      <c r="BF1016" s="3812"/>
      <c r="BG1016" s="3812"/>
      <c r="BH1016" s="3812"/>
      <c r="BI1016" s="3812"/>
      <c r="BJ1016" s="3812"/>
      <c r="BK1016" s="3812"/>
      <c r="BL1016" s="3812"/>
      <c r="BM1016" s="3812"/>
      <c r="BN1016" s="5123">
        <v>42673.372</v>
      </c>
      <c r="BO1016" s="3812"/>
      <c r="BP1016" s="3812"/>
      <c r="BQ1016" s="3812"/>
      <c r="BR1016" s="3812"/>
      <c r="BS1016" s="3812"/>
      <c r="BT1016" s="3812"/>
      <c r="BU1016" s="3812"/>
      <c r="BV1016" s="3812"/>
      <c r="BW1016" s="3812"/>
      <c r="BX1016" s="3812"/>
      <c r="BY1016" s="3812"/>
      <c r="BZ1016" s="3812"/>
      <c r="CA1016" s="3812"/>
      <c r="CB1016" s="3812">
        <v>42673.372</v>
      </c>
      <c r="CC1016" s="3812"/>
      <c r="CD1016" s="3812"/>
      <c r="CE1016" s="5310"/>
      <c r="CF1016" s="5310"/>
      <c r="CG1016" s="5310"/>
      <c r="CH1016" s="5310"/>
    </row>
    <row r="1017" s="4974" customFormat="1" ht="30" customHeight="1" spans="1:86">
      <c r="A1017" s="5200"/>
      <c r="B1017" s="3812"/>
      <c r="C1017" s="3812"/>
      <c r="D1017" s="5059"/>
      <c r="E1017" s="5059"/>
      <c r="F1017" s="5059"/>
      <c r="G1017" s="5059"/>
      <c r="H1017" s="5059"/>
      <c r="I1017" s="5205"/>
      <c r="J1017" s="5059"/>
      <c r="K1017" s="5059"/>
      <c r="L1017" s="5059"/>
      <c r="M1017" s="3812"/>
      <c r="N1017" s="5999"/>
      <c r="O1017" s="5999"/>
      <c r="P1017" s="5999"/>
      <c r="Q1017" s="5999"/>
      <c r="R1017" s="5999"/>
      <c r="S1017" s="5999"/>
      <c r="T1017" s="5999"/>
      <c r="U1017" s="5999"/>
      <c r="V1017" s="5999"/>
      <c r="W1017" s="5999"/>
      <c r="X1017" s="5999"/>
      <c r="Y1017" s="5999"/>
      <c r="Z1017" s="5999"/>
      <c r="AA1017" s="5999"/>
      <c r="AB1017" s="6000"/>
      <c r="AC1017" s="1032" t="s">
        <v>1786</v>
      </c>
      <c r="AD1017" s="5241" t="s">
        <v>361</v>
      </c>
      <c r="AE1017" s="1032">
        <v>0.1</v>
      </c>
      <c r="AF1017" s="3812">
        <f>1250355.07*AE1017</f>
        <v>125035.507</v>
      </c>
      <c r="AG1017" s="5123">
        <f t="shared" si="197"/>
        <v>125035.51</v>
      </c>
      <c r="AH1017" s="1131" t="s">
        <v>349</v>
      </c>
      <c r="AI1017" s="5123">
        <v>46325</v>
      </c>
      <c r="AJ1017" s="3812"/>
      <c r="AK1017" s="3812"/>
      <c r="AL1017" s="3812"/>
      <c r="AM1017" s="3812"/>
      <c r="AN1017" s="5885">
        <f t="shared" si="200"/>
        <v>125035.51</v>
      </c>
      <c r="AO1017" s="5123"/>
      <c r="AP1017" s="3812"/>
      <c r="AQ1017" s="1032"/>
      <c r="AR1017" s="3812"/>
      <c r="AS1017" s="5059"/>
      <c r="AT1017" s="3812"/>
      <c r="AU1017" s="3812"/>
      <c r="AV1017" s="3812"/>
      <c r="AW1017" s="3812"/>
      <c r="AX1017" s="3812"/>
      <c r="AY1017" s="3812"/>
      <c r="AZ1017" s="3812"/>
      <c r="BA1017" s="3812"/>
      <c r="BB1017" s="3812"/>
      <c r="BC1017" s="3812"/>
      <c r="BD1017" s="3812"/>
      <c r="BE1017" s="3812"/>
      <c r="BF1017" s="3812"/>
      <c r="BG1017" s="3812"/>
      <c r="BH1017" s="3812"/>
      <c r="BI1017" s="3812"/>
      <c r="BJ1017" s="3812"/>
      <c r="BK1017" s="3812"/>
      <c r="BL1017" s="3812"/>
      <c r="BM1017" s="3812"/>
      <c r="BN1017" s="3812">
        <v>125035.51</v>
      </c>
      <c r="BO1017" s="3812"/>
      <c r="BP1017" s="3812"/>
      <c r="BQ1017" s="3812"/>
      <c r="BR1017" s="3812"/>
      <c r="BS1017" s="3812"/>
      <c r="BT1017" s="3812"/>
      <c r="BU1017" s="3812"/>
      <c r="BV1017" s="3812"/>
      <c r="BW1017" s="3812"/>
      <c r="BX1017" s="3812"/>
      <c r="BY1017" s="3812"/>
      <c r="BZ1017" s="3812"/>
      <c r="CA1017" s="3812"/>
      <c r="CB1017" s="3812"/>
      <c r="CC1017" s="3812"/>
      <c r="CD1017" s="3812"/>
      <c r="CE1017" s="5310"/>
      <c r="CF1017" s="5310"/>
      <c r="CG1017" s="5310"/>
      <c r="CH1017" s="5310"/>
    </row>
    <row r="1018" s="4974" customFormat="1" ht="30" customHeight="1" spans="1:86">
      <c r="A1018" s="2678"/>
      <c r="B1018" s="3812"/>
      <c r="C1018" s="3812"/>
      <c r="D1018" s="5059"/>
      <c r="E1018" s="5059"/>
      <c r="F1018" s="5059"/>
      <c r="G1018" s="5059"/>
      <c r="H1018" s="5059"/>
      <c r="I1018" s="5205"/>
      <c r="J1018" s="5059"/>
      <c r="K1018" s="5059"/>
      <c r="L1018" s="5059"/>
      <c r="M1018" s="3812"/>
      <c r="N1018" s="5667"/>
      <c r="O1018" s="5667"/>
      <c r="P1018" s="5667"/>
      <c r="Q1018" s="5667"/>
      <c r="R1018" s="5667"/>
      <c r="S1018" s="5667"/>
      <c r="T1018" s="5667"/>
      <c r="U1018" s="5667"/>
      <c r="V1018" s="5667"/>
      <c r="W1018" s="5667"/>
      <c r="X1018" s="5667"/>
      <c r="Y1018" s="5667"/>
      <c r="Z1018" s="5667"/>
      <c r="AA1018" s="5667"/>
      <c r="AB1018" s="5973"/>
      <c r="AC1018" s="1032" t="s">
        <v>1797</v>
      </c>
      <c r="AD1018" s="5241" t="s">
        <v>1798</v>
      </c>
      <c r="AE1018" s="1032">
        <v>0.2</v>
      </c>
      <c r="AF1018" s="3812">
        <f t="shared" ref="AF1018:AF1021" si="203">2238040*AE1018</f>
        <v>447608</v>
      </c>
      <c r="AG1018" s="3812">
        <f t="shared" si="197"/>
        <v>447608</v>
      </c>
      <c r="AH1018" s="1032" t="s">
        <v>122</v>
      </c>
      <c r="AI1018" s="4813">
        <v>45357</v>
      </c>
      <c r="AJ1018" s="3812">
        <v>447608</v>
      </c>
      <c r="AK1018" s="4813">
        <v>45357</v>
      </c>
      <c r="AL1018" s="3812">
        <v>447608</v>
      </c>
      <c r="AM1018" s="3812">
        <v>45376</v>
      </c>
      <c r="AN1018" s="5349">
        <f t="shared" ref="AN1018:AN1035" si="204">SUM(BO1018:CB1018)</f>
        <v>447608</v>
      </c>
      <c r="AO1018" s="3812">
        <v>45433</v>
      </c>
      <c r="AP1018" s="3812"/>
      <c r="AQ1018" s="1032"/>
      <c r="AR1018" s="3812"/>
      <c r="AS1018" s="5059"/>
      <c r="AT1018" s="3812"/>
      <c r="AU1018" s="3812"/>
      <c r="AV1018" s="3812"/>
      <c r="AW1018" s="3812"/>
      <c r="AX1018" s="3812"/>
      <c r="AY1018" s="3812"/>
      <c r="AZ1018" s="3812"/>
      <c r="BA1018" s="3812"/>
      <c r="BB1018" s="3812"/>
      <c r="BC1018" s="3812"/>
      <c r="BD1018" s="3812"/>
      <c r="BE1018" s="3812"/>
      <c r="BF1018" s="3812"/>
      <c r="BG1018" s="3812"/>
      <c r="BH1018" s="3812"/>
      <c r="BI1018" s="3812"/>
      <c r="BJ1018" s="3812"/>
      <c r="BK1018" s="3812"/>
      <c r="BL1018" s="3812"/>
      <c r="BM1018" s="3812"/>
      <c r="BN1018" s="3812">
        <v>447608</v>
      </c>
      <c r="BO1018" s="3812"/>
      <c r="BP1018" s="3812"/>
      <c r="BQ1018" s="3812"/>
      <c r="BR1018" s="3812"/>
      <c r="BS1018" s="3812"/>
      <c r="BT1018" s="3812"/>
      <c r="BU1018" s="3812"/>
      <c r="BV1018" s="3812"/>
      <c r="BW1018" s="3812"/>
      <c r="BX1018" s="3812"/>
      <c r="BY1018" s="3812"/>
      <c r="BZ1018" s="3812"/>
      <c r="CA1018" s="3812"/>
      <c r="CB1018" s="3812">
        <v>447608</v>
      </c>
      <c r="CC1018" s="3812"/>
      <c r="CD1018" s="3812"/>
      <c r="CE1018" s="5310"/>
      <c r="CF1018" s="5310"/>
      <c r="CG1018" s="5310"/>
      <c r="CH1018" s="5310"/>
    </row>
    <row r="1019" s="4974" customFormat="1" ht="30" customHeight="1" spans="1:86">
      <c r="A1019" s="2678"/>
      <c r="B1019" s="3812"/>
      <c r="C1019" s="3812"/>
      <c r="D1019" s="5059"/>
      <c r="E1019" s="5059"/>
      <c r="F1019" s="5059"/>
      <c r="G1019" s="5059"/>
      <c r="H1019" s="5059"/>
      <c r="I1019" s="5205"/>
      <c r="J1019" s="5059"/>
      <c r="K1019" s="5059"/>
      <c r="L1019" s="5059"/>
      <c r="M1019" s="3812"/>
      <c r="N1019" s="5667"/>
      <c r="O1019" s="5667"/>
      <c r="P1019" s="5667"/>
      <c r="Q1019" s="5667"/>
      <c r="R1019" s="5667"/>
      <c r="S1019" s="5667"/>
      <c r="T1019" s="5667"/>
      <c r="U1019" s="5667"/>
      <c r="V1019" s="5667"/>
      <c r="W1019" s="5667"/>
      <c r="X1019" s="5667"/>
      <c r="Y1019" s="5667"/>
      <c r="Z1019" s="5667"/>
      <c r="AA1019" s="5667"/>
      <c r="AB1019" s="5973"/>
      <c r="AC1019" s="1032" t="s">
        <v>1797</v>
      </c>
      <c r="AD1019" s="5241" t="s">
        <v>1799</v>
      </c>
      <c r="AE1019" s="1032">
        <v>0.2</v>
      </c>
      <c r="AF1019" s="3812">
        <f t="shared" si="203"/>
        <v>447608</v>
      </c>
      <c r="AG1019" s="3812">
        <f t="shared" si="197"/>
        <v>447608</v>
      </c>
      <c r="AH1019" s="1032" t="s">
        <v>122</v>
      </c>
      <c r="AI1019" s="4813">
        <v>45357</v>
      </c>
      <c r="AJ1019" s="3812">
        <v>447608</v>
      </c>
      <c r="AK1019" s="4813">
        <v>45357</v>
      </c>
      <c r="AL1019" s="3812">
        <v>447608</v>
      </c>
      <c r="AM1019" s="3812">
        <v>45376</v>
      </c>
      <c r="AN1019" s="5349">
        <f t="shared" si="204"/>
        <v>447608</v>
      </c>
      <c r="AO1019" s="3812">
        <v>45433</v>
      </c>
      <c r="AP1019" s="3812"/>
      <c r="AQ1019" s="1032"/>
      <c r="AR1019" s="3812"/>
      <c r="AS1019" s="5059"/>
      <c r="AT1019" s="3812"/>
      <c r="AU1019" s="3812"/>
      <c r="AV1019" s="3812"/>
      <c r="AW1019" s="3812"/>
      <c r="AX1019" s="3812"/>
      <c r="AY1019" s="3812"/>
      <c r="AZ1019" s="3812"/>
      <c r="BA1019" s="3812"/>
      <c r="BB1019" s="3812"/>
      <c r="BC1019" s="3812"/>
      <c r="BD1019" s="3812"/>
      <c r="BE1019" s="3812"/>
      <c r="BF1019" s="3812"/>
      <c r="BG1019" s="3812"/>
      <c r="BH1019" s="3812"/>
      <c r="BI1019" s="3812"/>
      <c r="BJ1019" s="3812"/>
      <c r="BK1019" s="3812"/>
      <c r="BL1019" s="3812"/>
      <c r="BM1019" s="3812"/>
      <c r="BN1019" s="3812">
        <v>447608</v>
      </c>
      <c r="BO1019" s="3812"/>
      <c r="BP1019" s="3812"/>
      <c r="BQ1019" s="3812"/>
      <c r="BR1019" s="3812"/>
      <c r="BS1019" s="3812"/>
      <c r="BT1019" s="3812"/>
      <c r="BU1019" s="3812"/>
      <c r="BV1019" s="3812"/>
      <c r="BW1019" s="3812"/>
      <c r="BX1019" s="3812"/>
      <c r="BY1019" s="3812"/>
      <c r="BZ1019" s="3812"/>
      <c r="CA1019" s="3812"/>
      <c r="CB1019" s="3812">
        <v>447608</v>
      </c>
      <c r="CC1019" s="3812"/>
      <c r="CD1019" s="3812"/>
      <c r="CE1019" s="5310"/>
      <c r="CF1019" s="5310"/>
      <c r="CG1019" s="5310"/>
      <c r="CH1019" s="5310"/>
    </row>
    <row r="1020" s="4974" customFormat="1" ht="30" customHeight="1" spans="1:86">
      <c r="A1020" s="2678"/>
      <c r="B1020" s="3812"/>
      <c r="C1020" s="3812"/>
      <c r="D1020" s="5059"/>
      <c r="E1020" s="5059"/>
      <c r="F1020" s="5059"/>
      <c r="G1020" s="5059"/>
      <c r="H1020" s="5059"/>
      <c r="I1020" s="5205"/>
      <c r="J1020" s="5059"/>
      <c r="K1020" s="5059"/>
      <c r="L1020" s="5059"/>
      <c r="M1020" s="3812"/>
      <c r="N1020" s="5667"/>
      <c r="O1020" s="5667"/>
      <c r="P1020" s="5667"/>
      <c r="Q1020" s="5667"/>
      <c r="R1020" s="5667"/>
      <c r="S1020" s="5667"/>
      <c r="T1020" s="5667"/>
      <c r="U1020" s="5667"/>
      <c r="V1020" s="5667"/>
      <c r="W1020" s="5667"/>
      <c r="X1020" s="5667"/>
      <c r="Y1020" s="5667"/>
      <c r="Z1020" s="5667"/>
      <c r="AA1020" s="5667"/>
      <c r="AB1020" s="5973"/>
      <c r="AC1020" s="1032" t="s">
        <v>1797</v>
      </c>
      <c r="AD1020" s="5241" t="s">
        <v>1801</v>
      </c>
      <c r="AE1020" s="1032">
        <v>0.2</v>
      </c>
      <c r="AF1020" s="3812">
        <f t="shared" si="203"/>
        <v>447608</v>
      </c>
      <c r="AG1020" s="3812">
        <f t="shared" si="197"/>
        <v>447608</v>
      </c>
      <c r="AH1020" s="1032" t="s">
        <v>122</v>
      </c>
      <c r="AI1020" s="4813">
        <v>45357</v>
      </c>
      <c r="AJ1020" s="3812">
        <v>447608</v>
      </c>
      <c r="AK1020" s="4813">
        <v>45357</v>
      </c>
      <c r="AL1020" s="3812">
        <v>447608</v>
      </c>
      <c r="AM1020" s="3812">
        <v>45376</v>
      </c>
      <c r="AN1020" s="5349">
        <f t="shared" si="204"/>
        <v>447608</v>
      </c>
      <c r="AO1020" s="3812">
        <v>45433</v>
      </c>
      <c r="AP1020" s="3812"/>
      <c r="AQ1020" s="1032"/>
      <c r="AR1020" s="3812"/>
      <c r="AS1020" s="5059"/>
      <c r="AT1020" s="3812"/>
      <c r="AU1020" s="3812"/>
      <c r="AV1020" s="3812"/>
      <c r="AW1020" s="3812"/>
      <c r="AX1020" s="3812"/>
      <c r="AY1020" s="3812"/>
      <c r="AZ1020" s="3812"/>
      <c r="BA1020" s="3812"/>
      <c r="BB1020" s="3812"/>
      <c r="BC1020" s="3812"/>
      <c r="BD1020" s="3812"/>
      <c r="BE1020" s="3812"/>
      <c r="BF1020" s="3812"/>
      <c r="BG1020" s="3812"/>
      <c r="BH1020" s="3812"/>
      <c r="BI1020" s="3812"/>
      <c r="BJ1020" s="3812"/>
      <c r="BK1020" s="3812"/>
      <c r="BL1020" s="3812"/>
      <c r="BM1020" s="3812"/>
      <c r="BN1020" s="3812">
        <v>447608</v>
      </c>
      <c r="BO1020" s="3812"/>
      <c r="BP1020" s="3812"/>
      <c r="BQ1020" s="3812"/>
      <c r="BR1020" s="3812"/>
      <c r="BS1020" s="3812"/>
      <c r="BT1020" s="3812"/>
      <c r="BU1020" s="3812"/>
      <c r="BV1020" s="3812"/>
      <c r="BW1020" s="3812"/>
      <c r="BX1020" s="3812"/>
      <c r="BY1020" s="3812"/>
      <c r="BZ1020" s="3812"/>
      <c r="CA1020" s="3812"/>
      <c r="CB1020" s="3812">
        <v>447608</v>
      </c>
      <c r="CC1020" s="3812"/>
      <c r="CD1020" s="3812"/>
      <c r="CE1020" s="5310"/>
      <c r="CF1020" s="5310"/>
      <c r="CG1020" s="5310"/>
      <c r="CH1020" s="5310"/>
    </row>
    <row r="1021" s="4974" customFormat="1" ht="30" customHeight="1" spans="1:86">
      <c r="A1021" s="2678"/>
      <c r="B1021" s="3812"/>
      <c r="C1021" s="3812"/>
      <c r="D1021" s="5059"/>
      <c r="E1021" s="5059"/>
      <c r="F1021" s="5059"/>
      <c r="G1021" s="5059"/>
      <c r="H1021" s="5059"/>
      <c r="I1021" s="5205"/>
      <c r="J1021" s="5059"/>
      <c r="K1021" s="5059"/>
      <c r="L1021" s="5059"/>
      <c r="M1021" s="3812"/>
      <c r="N1021" s="5667"/>
      <c r="O1021" s="5667"/>
      <c r="P1021" s="5667"/>
      <c r="Q1021" s="5667"/>
      <c r="R1021" s="5667"/>
      <c r="S1021" s="5667"/>
      <c r="T1021" s="5667"/>
      <c r="U1021" s="5667"/>
      <c r="V1021" s="5667"/>
      <c r="W1021" s="5667"/>
      <c r="X1021" s="5667"/>
      <c r="Y1021" s="5667"/>
      <c r="Z1021" s="5667"/>
      <c r="AA1021" s="5667"/>
      <c r="AB1021" s="5973"/>
      <c r="AC1021" s="1032" t="s">
        <v>1797</v>
      </c>
      <c r="AD1021" s="5241" t="s">
        <v>1803</v>
      </c>
      <c r="AE1021" s="1032">
        <v>0.2</v>
      </c>
      <c r="AF1021" s="3812">
        <f t="shared" si="203"/>
        <v>447608</v>
      </c>
      <c r="AG1021" s="3812">
        <f t="shared" si="197"/>
        <v>447608</v>
      </c>
      <c r="AH1021" s="1032" t="s">
        <v>122</v>
      </c>
      <c r="AI1021" s="4813">
        <v>45357</v>
      </c>
      <c r="AJ1021" s="3812">
        <v>447608</v>
      </c>
      <c r="AK1021" s="4813">
        <v>45357</v>
      </c>
      <c r="AL1021" s="3812">
        <v>447608</v>
      </c>
      <c r="AM1021" s="3812">
        <v>45376</v>
      </c>
      <c r="AN1021" s="5349">
        <f t="shared" si="204"/>
        <v>447608</v>
      </c>
      <c r="AO1021" s="3812">
        <v>45433</v>
      </c>
      <c r="AP1021" s="3812"/>
      <c r="AQ1021" s="1032"/>
      <c r="AR1021" s="3812"/>
      <c r="AS1021" s="5059"/>
      <c r="AT1021" s="3812"/>
      <c r="AU1021" s="3812"/>
      <c r="AV1021" s="3812"/>
      <c r="AW1021" s="3812"/>
      <c r="AX1021" s="3812"/>
      <c r="AY1021" s="3812"/>
      <c r="AZ1021" s="3812"/>
      <c r="BA1021" s="3812"/>
      <c r="BB1021" s="3812"/>
      <c r="BC1021" s="3812"/>
      <c r="BD1021" s="3812"/>
      <c r="BE1021" s="3812"/>
      <c r="BF1021" s="3812"/>
      <c r="BG1021" s="3812"/>
      <c r="BH1021" s="3812"/>
      <c r="BI1021" s="3812"/>
      <c r="BJ1021" s="3812"/>
      <c r="BK1021" s="3812"/>
      <c r="BL1021" s="3812"/>
      <c r="BM1021" s="3812"/>
      <c r="BN1021" s="3812">
        <v>447608</v>
      </c>
      <c r="BO1021" s="3812"/>
      <c r="BP1021" s="3812"/>
      <c r="BQ1021" s="3812"/>
      <c r="BR1021" s="3812"/>
      <c r="BS1021" s="3812"/>
      <c r="BT1021" s="3812"/>
      <c r="BU1021" s="3812"/>
      <c r="BV1021" s="3812"/>
      <c r="BW1021" s="3812"/>
      <c r="BX1021" s="3812"/>
      <c r="BY1021" s="3812"/>
      <c r="BZ1021" s="3812"/>
      <c r="CA1021" s="3812"/>
      <c r="CB1021" s="3812">
        <v>447608</v>
      </c>
      <c r="CC1021" s="3812"/>
      <c r="CD1021" s="3812"/>
      <c r="CE1021" s="5310"/>
      <c r="CF1021" s="5310"/>
      <c r="CG1021" s="5310"/>
      <c r="CH1021" s="5310"/>
    </row>
    <row r="1022" s="4974" customFormat="1" ht="24" customHeight="1" spans="1:86">
      <c r="A1022" s="2678"/>
      <c r="B1022" s="3812"/>
      <c r="C1022" s="3812"/>
      <c r="D1022" s="5059"/>
      <c r="E1022" s="5059"/>
      <c r="F1022" s="5059"/>
      <c r="G1022" s="5059"/>
      <c r="H1022" s="5059"/>
      <c r="I1022" s="5205"/>
      <c r="J1022" s="5059"/>
      <c r="K1022" s="5059"/>
      <c r="L1022" s="5059"/>
      <c r="M1022" s="3812"/>
      <c r="N1022" s="5667"/>
      <c r="O1022" s="5667"/>
      <c r="P1022" s="5667"/>
      <c r="Q1022" s="5667"/>
      <c r="R1022" s="5667"/>
      <c r="S1022" s="5667"/>
      <c r="T1022" s="5667"/>
      <c r="U1022" s="5667"/>
      <c r="V1022" s="5667"/>
      <c r="W1022" s="5667"/>
      <c r="X1022" s="5667"/>
      <c r="Y1022" s="5667"/>
      <c r="Z1022" s="5667"/>
      <c r="AA1022" s="5667"/>
      <c r="AB1022" s="5973"/>
      <c r="AC1022" s="1032" t="s">
        <v>1797</v>
      </c>
      <c r="AD1022" s="5241" t="s">
        <v>1804</v>
      </c>
      <c r="AE1022" s="1032">
        <v>0.2</v>
      </c>
      <c r="AF1022" s="3812">
        <f t="shared" ref="AF1022:AF1027" si="205">1167257.55*AE1022</f>
        <v>233451.51</v>
      </c>
      <c r="AG1022" s="5123">
        <v>233451.51</v>
      </c>
      <c r="AH1022" s="1131" t="s">
        <v>349</v>
      </c>
      <c r="AI1022" s="5123">
        <v>46325</v>
      </c>
      <c r="AJ1022" s="3812"/>
      <c r="AK1022" s="3812"/>
      <c r="AL1022" s="3812"/>
      <c r="AM1022" s="3812"/>
      <c r="AN1022" s="5885">
        <f t="shared" si="204"/>
        <v>0</v>
      </c>
      <c r="AO1022" s="5886"/>
      <c r="AP1022" s="3812"/>
      <c r="AQ1022" s="1032"/>
      <c r="AR1022" s="3812"/>
      <c r="AS1022" s="5059"/>
      <c r="AT1022" s="3812"/>
      <c r="AU1022" s="3812"/>
      <c r="AV1022" s="3812"/>
      <c r="AW1022" s="3812"/>
      <c r="AX1022" s="3812"/>
      <c r="AY1022" s="3812"/>
      <c r="AZ1022" s="3812"/>
      <c r="BA1022" s="3812"/>
      <c r="BB1022" s="3812"/>
      <c r="BC1022" s="3812"/>
      <c r="BD1022" s="3812"/>
      <c r="BE1022" s="3812"/>
      <c r="BF1022" s="3812"/>
      <c r="BG1022" s="3812"/>
      <c r="BH1022" s="3812"/>
      <c r="BI1022" s="3812"/>
      <c r="BJ1022" s="3812"/>
      <c r="BK1022" s="3812"/>
      <c r="BL1022" s="3812"/>
      <c r="BM1022" s="3812"/>
      <c r="BN1022" s="3812">
        <v>233451.51</v>
      </c>
      <c r="BO1022" s="3812"/>
      <c r="BP1022" s="3812"/>
      <c r="BQ1022" s="3812"/>
      <c r="BR1022" s="3812"/>
      <c r="BS1022" s="3812"/>
      <c r="BT1022" s="3812"/>
      <c r="BU1022" s="3812"/>
      <c r="BV1022" s="3812"/>
      <c r="BW1022" s="3812"/>
      <c r="BX1022" s="3812"/>
      <c r="BY1022" s="3812"/>
      <c r="BZ1022" s="3812"/>
      <c r="CA1022" s="3812"/>
      <c r="CB1022" s="3812"/>
      <c r="CC1022" s="3812"/>
      <c r="CD1022" s="3812"/>
      <c r="CE1022" s="5310"/>
      <c r="CF1022" s="5310"/>
      <c r="CG1022" s="5310"/>
      <c r="CH1022" s="5310"/>
    </row>
    <row r="1023" s="4974" customFormat="1" ht="31" spans="1:86">
      <c r="A1023" s="2678"/>
      <c r="B1023" s="3812"/>
      <c r="C1023" s="3812"/>
      <c r="D1023" s="5059"/>
      <c r="E1023" s="5059"/>
      <c r="F1023" s="5059"/>
      <c r="G1023" s="5059"/>
      <c r="H1023" s="5059"/>
      <c r="I1023" s="5205"/>
      <c r="J1023" s="5059"/>
      <c r="K1023" s="5059"/>
      <c r="L1023" s="5059"/>
      <c r="M1023" s="3812"/>
      <c r="N1023" s="5667"/>
      <c r="O1023" s="5667"/>
      <c r="P1023" s="5667"/>
      <c r="Q1023" s="5667"/>
      <c r="R1023" s="5667"/>
      <c r="S1023" s="5667"/>
      <c r="T1023" s="5667"/>
      <c r="U1023" s="5667"/>
      <c r="V1023" s="5667"/>
      <c r="W1023" s="5667"/>
      <c r="X1023" s="5667"/>
      <c r="Y1023" s="5667"/>
      <c r="Z1023" s="5667"/>
      <c r="AA1023" s="5667"/>
      <c r="AB1023" s="5973"/>
      <c r="AC1023" s="1032" t="s">
        <v>1805</v>
      </c>
      <c r="AD1023" s="5241" t="s">
        <v>1798</v>
      </c>
      <c r="AE1023" s="1032">
        <v>0.2</v>
      </c>
      <c r="AF1023" s="3812">
        <f t="shared" si="205"/>
        <v>233451.51</v>
      </c>
      <c r="AG1023" s="3812">
        <f t="shared" ref="AG1023:AG1034" si="206">SUM(BA1023:BN1023)</f>
        <v>233451.51</v>
      </c>
      <c r="AH1023" s="1032" t="s">
        <v>122</v>
      </c>
      <c r="AI1023" s="4813">
        <v>45357</v>
      </c>
      <c r="AJ1023" s="3812">
        <v>233451.51</v>
      </c>
      <c r="AK1023" s="4813">
        <v>45357</v>
      </c>
      <c r="AL1023" s="3812">
        <v>233451.51</v>
      </c>
      <c r="AM1023" s="3812">
        <v>45376</v>
      </c>
      <c r="AN1023" s="5349">
        <f t="shared" si="204"/>
        <v>233451.51</v>
      </c>
      <c r="AO1023" s="3812">
        <v>45433</v>
      </c>
      <c r="AP1023" s="3812"/>
      <c r="AQ1023" s="1032"/>
      <c r="AR1023" s="3812"/>
      <c r="AS1023" s="5059"/>
      <c r="AT1023" s="3812"/>
      <c r="AU1023" s="3812"/>
      <c r="AV1023" s="3812"/>
      <c r="AW1023" s="3812"/>
      <c r="AX1023" s="3812"/>
      <c r="AY1023" s="3812"/>
      <c r="AZ1023" s="3812"/>
      <c r="BA1023" s="3812"/>
      <c r="BB1023" s="3812"/>
      <c r="BC1023" s="3812"/>
      <c r="BD1023" s="3812"/>
      <c r="BE1023" s="3812"/>
      <c r="BF1023" s="3812"/>
      <c r="BG1023" s="3812"/>
      <c r="BH1023" s="3812"/>
      <c r="BI1023" s="3812"/>
      <c r="BJ1023" s="3812"/>
      <c r="BK1023" s="3812"/>
      <c r="BL1023" s="3812"/>
      <c r="BM1023" s="3812"/>
      <c r="BN1023" s="3812">
        <v>233451.51</v>
      </c>
      <c r="BO1023" s="3812"/>
      <c r="BP1023" s="3812"/>
      <c r="BQ1023" s="3812"/>
      <c r="BR1023" s="3812"/>
      <c r="BS1023" s="3812"/>
      <c r="BT1023" s="3812"/>
      <c r="BU1023" s="3812"/>
      <c r="BV1023" s="3812"/>
      <c r="BW1023" s="3812"/>
      <c r="BX1023" s="3812"/>
      <c r="BY1023" s="3812"/>
      <c r="BZ1023" s="3812"/>
      <c r="CA1023" s="3812"/>
      <c r="CB1023" s="3812">
        <v>233451.51</v>
      </c>
      <c r="CC1023" s="3812"/>
      <c r="CD1023" s="3812"/>
      <c r="CE1023" s="5310"/>
      <c r="CF1023" s="5310"/>
      <c r="CG1023" s="5310"/>
      <c r="CH1023" s="5310"/>
    </row>
    <row r="1024" s="4974" customFormat="1" ht="31" spans="1:86">
      <c r="A1024" s="2678"/>
      <c r="B1024" s="3812"/>
      <c r="C1024" s="3812"/>
      <c r="D1024" s="5059"/>
      <c r="E1024" s="5059"/>
      <c r="F1024" s="5059"/>
      <c r="G1024" s="5059"/>
      <c r="H1024" s="5059"/>
      <c r="I1024" s="5205"/>
      <c r="J1024" s="5059"/>
      <c r="K1024" s="5059"/>
      <c r="L1024" s="5059"/>
      <c r="M1024" s="3812"/>
      <c r="N1024" s="5667"/>
      <c r="O1024" s="5667"/>
      <c r="P1024" s="5667"/>
      <c r="Q1024" s="5667"/>
      <c r="R1024" s="5667"/>
      <c r="S1024" s="5667"/>
      <c r="T1024" s="5667"/>
      <c r="U1024" s="5667"/>
      <c r="V1024" s="5667"/>
      <c r="W1024" s="5667"/>
      <c r="X1024" s="5667"/>
      <c r="Y1024" s="5667"/>
      <c r="Z1024" s="5667"/>
      <c r="AA1024" s="5667"/>
      <c r="AB1024" s="5973"/>
      <c r="AC1024" s="1032" t="s">
        <v>1806</v>
      </c>
      <c r="AD1024" s="5241" t="s">
        <v>1799</v>
      </c>
      <c r="AE1024" s="1032">
        <v>0.2</v>
      </c>
      <c r="AF1024" s="3812">
        <f t="shared" si="205"/>
        <v>233451.51</v>
      </c>
      <c r="AG1024" s="3812">
        <f t="shared" si="206"/>
        <v>233451.51</v>
      </c>
      <c r="AH1024" s="1032" t="s">
        <v>122</v>
      </c>
      <c r="AI1024" s="4813">
        <v>45357</v>
      </c>
      <c r="AJ1024" s="3812">
        <v>233451.51</v>
      </c>
      <c r="AK1024" s="4813">
        <v>45357</v>
      </c>
      <c r="AL1024" s="3812">
        <v>233451.51</v>
      </c>
      <c r="AM1024" s="3812">
        <v>45376</v>
      </c>
      <c r="AN1024" s="5349">
        <f t="shared" si="204"/>
        <v>233451.51</v>
      </c>
      <c r="AO1024" s="3812">
        <v>45433</v>
      </c>
      <c r="AP1024" s="3812"/>
      <c r="AQ1024" s="1032"/>
      <c r="AR1024" s="3812"/>
      <c r="AS1024" s="5059"/>
      <c r="AT1024" s="3812"/>
      <c r="AU1024" s="3812"/>
      <c r="AV1024" s="3812"/>
      <c r="AW1024" s="3812"/>
      <c r="AX1024" s="3812"/>
      <c r="AY1024" s="3812"/>
      <c r="AZ1024" s="3812"/>
      <c r="BA1024" s="3812"/>
      <c r="BB1024" s="3812"/>
      <c r="BC1024" s="3812"/>
      <c r="BD1024" s="3812"/>
      <c r="BE1024" s="3812"/>
      <c r="BF1024" s="3812"/>
      <c r="BG1024" s="3812"/>
      <c r="BH1024" s="3812"/>
      <c r="BI1024" s="3812"/>
      <c r="BJ1024" s="3812"/>
      <c r="BK1024" s="3812"/>
      <c r="BL1024" s="3812"/>
      <c r="BM1024" s="3812"/>
      <c r="BN1024" s="3812">
        <v>233451.51</v>
      </c>
      <c r="BO1024" s="3812"/>
      <c r="BP1024" s="3812"/>
      <c r="BQ1024" s="3812"/>
      <c r="BR1024" s="3812"/>
      <c r="BS1024" s="3812"/>
      <c r="BT1024" s="3812"/>
      <c r="BU1024" s="3812"/>
      <c r="BV1024" s="3812"/>
      <c r="BW1024" s="3812"/>
      <c r="BX1024" s="3812"/>
      <c r="BY1024" s="3812"/>
      <c r="BZ1024" s="3812"/>
      <c r="CA1024" s="3812"/>
      <c r="CB1024" s="3812">
        <v>233451.51</v>
      </c>
      <c r="CC1024" s="3812"/>
      <c r="CD1024" s="3812"/>
      <c r="CE1024" s="5310"/>
      <c r="CF1024" s="5310"/>
      <c r="CG1024" s="5310"/>
      <c r="CH1024" s="5310"/>
    </row>
    <row r="1025" s="4974" customFormat="1" ht="31" spans="1:86">
      <c r="A1025" s="2678"/>
      <c r="B1025" s="3812"/>
      <c r="C1025" s="3812"/>
      <c r="D1025" s="5059"/>
      <c r="E1025" s="5059"/>
      <c r="F1025" s="5059"/>
      <c r="G1025" s="5059"/>
      <c r="H1025" s="5059"/>
      <c r="I1025" s="5205"/>
      <c r="J1025" s="5059"/>
      <c r="K1025" s="5059"/>
      <c r="L1025" s="5059"/>
      <c r="M1025" s="3812"/>
      <c r="N1025" s="5667"/>
      <c r="O1025" s="5667"/>
      <c r="P1025" s="5667"/>
      <c r="Q1025" s="5667"/>
      <c r="R1025" s="5667"/>
      <c r="S1025" s="5667"/>
      <c r="T1025" s="5667"/>
      <c r="U1025" s="5667"/>
      <c r="V1025" s="5667"/>
      <c r="W1025" s="5667"/>
      <c r="X1025" s="5667"/>
      <c r="Y1025" s="5667"/>
      <c r="Z1025" s="5667"/>
      <c r="AA1025" s="5667"/>
      <c r="AB1025" s="5973"/>
      <c r="AC1025" s="1032" t="s">
        <v>1807</v>
      </c>
      <c r="AD1025" s="5241" t="s">
        <v>1801</v>
      </c>
      <c r="AE1025" s="1032">
        <v>0.2</v>
      </c>
      <c r="AF1025" s="3812">
        <f t="shared" si="205"/>
        <v>233451.51</v>
      </c>
      <c r="AG1025" s="4813">
        <f t="shared" si="206"/>
        <v>233451.51</v>
      </c>
      <c r="AH1025" s="5199" t="s">
        <v>122</v>
      </c>
      <c r="AI1025" s="4813">
        <v>45499</v>
      </c>
      <c r="AJ1025" s="4813">
        <v>233451.51</v>
      </c>
      <c r="AK1025" s="4813">
        <v>45499</v>
      </c>
      <c r="AL1025" s="4813">
        <v>233451.51</v>
      </c>
      <c r="AM1025" s="4813">
        <v>45502</v>
      </c>
      <c r="AN1025" s="5349">
        <f t="shared" si="204"/>
        <v>233451.51</v>
      </c>
      <c r="AO1025" s="3812">
        <v>45657</v>
      </c>
      <c r="AP1025" s="3812"/>
      <c r="AQ1025" s="1032"/>
      <c r="AR1025" s="3812"/>
      <c r="AS1025" s="5059"/>
      <c r="AT1025" s="3812"/>
      <c r="AU1025" s="3812"/>
      <c r="AV1025" s="3812"/>
      <c r="AW1025" s="3812"/>
      <c r="AX1025" s="3812"/>
      <c r="AY1025" s="3812"/>
      <c r="AZ1025" s="3812"/>
      <c r="BA1025" s="3812"/>
      <c r="BB1025" s="3812"/>
      <c r="BC1025" s="3812"/>
      <c r="BD1025" s="3812"/>
      <c r="BE1025" s="3812"/>
      <c r="BF1025" s="3812"/>
      <c r="BG1025" s="3812"/>
      <c r="BH1025" s="3812"/>
      <c r="BI1025" s="3812"/>
      <c r="BJ1025" s="3812"/>
      <c r="BK1025" s="3812"/>
      <c r="BL1025" s="3812"/>
      <c r="BM1025" s="3812"/>
      <c r="BN1025" s="5123">
        <v>233451.51</v>
      </c>
      <c r="BO1025" s="3812"/>
      <c r="BP1025" s="3812"/>
      <c r="BQ1025" s="3812"/>
      <c r="BR1025" s="3812"/>
      <c r="BS1025" s="3812"/>
      <c r="BT1025" s="3812"/>
      <c r="BU1025" s="3812"/>
      <c r="BV1025" s="3812"/>
      <c r="BW1025" s="3812"/>
      <c r="BX1025" s="3812"/>
      <c r="BY1025" s="3812"/>
      <c r="BZ1025" s="3812"/>
      <c r="CA1025" s="3812"/>
      <c r="CB1025" s="3812">
        <v>233451.51</v>
      </c>
      <c r="CC1025" s="3812"/>
      <c r="CD1025" s="3812"/>
      <c r="CE1025" s="5169">
        <f>SUBTOTAL(9,BO1025:CB1025)</f>
        <v>233451.51</v>
      </c>
      <c r="CF1025" s="5169">
        <f>AN1025-CE1025</f>
        <v>0</v>
      </c>
      <c r="CG1025" s="5310"/>
      <c r="CH1025" s="5310"/>
    </row>
    <row r="1026" s="4974" customFormat="1" ht="31" spans="1:86">
      <c r="A1026" s="2678"/>
      <c r="B1026" s="3812"/>
      <c r="C1026" s="3812"/>
      <c r="D1026" s="5059"/>
      <c r="E1026" s="5059"/>
      <c r="F1026" s="5059"/>
      <c r="G1026" s="5059"/>
      <c r="H1026" s="5059"/>
      <c r="I1026" s="5205"/>
      <c r="J1026" s="5059"/>
      <c r="K1026" s="5059"/>
      <c r="L1026" s="5059"/>
      <c r="M1026" s="3812"/>
      <c r="N1026" s="5667"/>
      <c r="O1026" s="5667"/>
      <c r="P1026" s="5667"/>
      <c r="Q1026" s="5667"/>
      <c r="R1026" s="5667"/>
      <c r="S1026" s="5667"/>
      <c r="T1026" s="5667"/>
      <c r="U1026" s="5667"/>
      <c r="V1026" s="5667"/>
      <c r="W1026" s="5667"/>
      <c r="X1026" s="5667"/>
      <c r="Y1026" s="5667"/>
      <c r="Z1026" s="5667"/>
      <c r="AA1026" s="5667"/>
      <c r="AB1026" s="5973"/>
      <c r="AC1026" s="1032" t="s">
        <v>1808</v>
      </c>
      <c r="AD1026" s="5241" t="s">
        <v>1803</v>
      </c>
      <c r="AE1026" s="1032">
        <v>0.2</v>
      </c>
      <c r="AF1026" s="3812">
        <f t="shared" si="205"/>
        <v>233451.51</v>
      </c>
      <c r="AG1026" s="5123">
        <f t="shared" si="206"/>
        <v>233451.51</v>
      </c>
      <c r="AH1026" s="1131" t="s">
        <v>349</v>
      </c>
      <c r="AI1026" s="5123">
        <v>46203</v>
      </c>
      <c r="AJ1026" s="3812"/>
      <c r="AK1026" s="3812"/>
      <c r="AL1026" s="3812"/>
      <c r="AM1026" s="3812"/>
      <c r="AN1026" s="5885">
        <f t="shared" si="204"/>
        <v>233451.51</v>
      </c>
      <c r="AO1026" s="4815"/>
      <c r="AP1026" s="3812"/>
      <c r="AQ1026" s="1032"/>
      <c r="AR1026" s="3812"/>
      <c r="AS1026" s="5059"/>
      <c r="AT1026" s="3812"/>
      <c r="AU1026" s="3812"/>
      <c r="AV1026" s="3812"/>
      <c r="AW1026" s="3812"/>
      <c r="AX1026" s="3812"/>
      <c r="AY1026" s="3812"/>
      <c r="AZ1026" s="3812"/>
      <c r="BA1026" s="3812"/>
      <c r="BB1026" s="3812"/>
      <c r="BC1026" s="3812"/>
      <c r="BD1026" s="3812"/>
      <c r="BE1026" s="3812"/>
      <c r="BF1026" s="3812"/>
      <c r="BG1026" s="3812"/>
      <c r="BH1026" s="3812"/>
      <c r="BI1026" s="3812"/>
      <c r="BJ1026" s="3812"/>
      <c r="BK1026" s="3812"/>
      <c r="BL1026" s="3812"/>
      <c r="BM1026" s="3812"/>
      <c r="BN1026" s="5123">
        <v>233451.51</v>
      </c>
      <c r="BO1026" s="3812"/>
      <c r="BP1026" s="3812"/>
      <c r="BQ1026" s="3812"/>
      <c r="BR1026" s="3812"/>
      <c r="BS1026" s="3812"/>
      <c r="BT1026" s="3812"/>
      <c r="BU1026" s="3812"/>
      <c r="BV1026" s="3812"/>
      <c r="BW1026" s="3812"/>
      <c r="BX1026" s="3812"/>
      <c r="BY1026" s="3812"/>
      <c r="BZ1026" s="3812"/>
      <c r="CA1026" s="3812"/>
      <c r="CB1026" s="3812">
        <v>233451.51</v>
      </c>
      <c r="CC1026" s="3812"/>
      <c r="CD1026" s="3812"/>
      <c r="CE1026" s="5169">
        <f>SUBTOTAL(9,BO1026:CB1026)</f>
        <v>233451.51</v>
      </c>
      <c r="CF1026" s="5169">
        <f>AN1026-CE1026</f>
        <v>0</v>
      </c>
      <c r="CG1026" s="5310"/>
      <c r="CH1026" s="5310"/>
    </row>
    <row r="1027" s="4974" customFormat="1" ht="31" spans="1:86">
      <c r="A1027" s="2678"/>
      <c r="B1027" s="3812"/>
      <c r="C1027" s="3812"/>
      <c r="D1027" s="5059"/>
      <c r="E1027" s="5059"/>
      <c r="F1027" s="5059"/>
      <c r="G1027" s="5059"/>
      <c r="H1027" s="5059"/>
      <c r="I1027" s="5206"/>
      <c r="J1027" s="5059"/>
      <c r="K1027" s="5059"/>
      <c r="L1027" s="5059"/>
      <c r="M1027" s="3812"/>
      <c r="N1027" s="5667"/>
      <c r="O1027" s="5667"/>
      <c r="P1027" s="5667"/>
      <c r="Q1027" s="5667"/>
      <c r="R1027" s="5667"/>
      <c r="S1027" s="5667"/>
      <c r="T1027" s="5667"/>
      <c r="U1027" s="5667"/>
      <c r="V1027" s="5667"/>
      <c r="W1027" s="5667"/>
      <c r="X1027" s="5667"/>
      <c r="Y1027" s="5667"/>
      <c r="Z1027" s="5667"/>
      <c r="AA1027" s="5667"/>
      <c r="AB1027" s="5973"/>
      <c r="AC1027" s="1032" t="s">
        <v>1809</v>
      </c>
      <c r="AD1027" s="5241" t="s">
        <v>1804</v>
      </c>
      <c r="AE1027" s="1032">
        <v>0.2</v>
      </c>
      <c r="AF1027" s="3812">
        <f t="shared" si="205"/>
        <v>233451.51</v>
      </c>
      <c r="AG1027" s="5123">
        <f t="shared" si="206"/>
        <v>233451.51</v>
      </c>
      <c r="AH1027" s="1131" t="s">
        <v>349</v>
      </c>
      <c r="AI1027" s="5123">
        <v>46325</v>
      </c>
      <c r="AJ1027" s="3812"/>
      <c r="AK1027" s="3812"/>
      <c r="AL1027" s="3812"/>
      <c r="AM1027" s="3812"/>
      <c r="AN1027" s="5885">
        <f t="shared" si="204"/>
        <v>0</v>
      </c>
      <c r="AO1027" s="5123"/>
      <c r="AP1027" s="3812"/>
      <c r="AQ1027" s="1032"/>
      <c r="AR1027" s="3812"/>
      <c r="AS1027" s="5059"/>
      <c r="AT1027" s="3812"/>
      <c r="AU1027" s="3812"/>
      <c r="AV1027" s="3812"/>
      <c r="AW1027" s="3812"/>
      <c r="AX1027" s="3812"/>
      <c r="AY1027" s="3812"/>
      <c r="AZ1027" s="3812"/>
      <c r="BA1027" s="3812"/>
      <c r="BB1027" s="3812"/>
      <c r="BC1027" s="3812"/>
      <c r="BD1027" s="3812"/>
      <c r="BE1027" s="3812"/>
      <c r="BF1027" s="3812"/>
      <c r="BG1027" s="3812"/>
      <c r="BH1027" s="3812"/>
      <c r="BI1027" s="3812"/>
      <c r="BJ1027" s="3812"/>
      <c r="BK1027" s="3812"/>
      <c r="BL1027" s="3812"/>
      <c r="BM1027" s="3812"/>
      <c r="BN1027" s="3812">
        <v>233451.51</v>
      </c>
      <c r="BO1027" s="3812"/>
      <c r="BP1027" s="3812"/>
      <c r="BQ1027" s="3812"/>
      <c r="BR1027" s="3812"/>
      <c r="BS1027" s="3812"/>
      <c r="BT1027" s="3812"/>
      <c r="BU1027" s="3812"/>
      <c r="BV1027" s="3812"/>
      <c r="BW1027" s="3812"/>
      <c r="BX1027" s="3812"/>
      <c r="BY1027" s="3812"/>
      <c r="BZ1027" s="3812"/>
      <c r="CA1027" s="3812"/>
      <c r="CB1027" s="3812"/>
      <c r="CC1027" s="3812"/>
      <c r="CD1027" s="3812"/>
      <c r="CE1027" s="5310"/>
      <c r="CF1027" s="5310"/>
      <c r="CG1027" s="5310"/>
      <c r="CH1027" s="5310"/>
    </row>
    <row r="1028" s="4979" customFormat="1" ht="61" customHeight="1" spans="1:86">
      <c r="A1028" s="3524"/>
      <c r="B1028" s="857" t="s">
        <v>1186</v>
      </c>
      <c r="C1028" s="857">
        <v>45518</v>
      </c>
      <c r="D1028" s="1032" t="s">
        <v>1906</v>
      </c>
      <c r="E1028" s="1032"/>
      <c r="F1028" s="1032" t="s">
        <v>1917</v>
      </c>
      <c r="G1028" s="1032" t="s">
        <v>1918</v>
      </c>
      <c r="H1028" s="1032" t="s">
        <v>1919</v>
      </c>
      <c r="I1028" s="5073" t="s">
        <v>1920</v>
      </c>
      <c r="J1028" s="1032" t="s">
        <v>1910</v>
      </c>
      <c r="K1028" s="1032" t="s">
        <v>1921</v>
      </c>
      <c r="L1028" s="1032" t="s">
        <v>1922</v>
      </c>
      <c r="M1028" s="4813">
        <f>SUM(N1028:AA1031)</f>
        <v>299137.39</v>
      </c>
      <c r="N1028" s="2680"/>
      <c r="O1028" s="2680"/>
      <c r="P1028" s="2680"/>
      <c r="Q1028" s="2680"/>
      <c r="R1028" s="2680"/>
      <c r="S1028" s="2680"/>
      <c r="T1028" s="2680"/>
      <c r="U1028" s="2680"/>
      <c r="V1028" s="2680">
        <v>159124.39</v>
      </c>
      <c r="W1028" s="2680"/>
      <c r="X1028" s="2680"/>
      <c r="Y1028" s="2680"/>
      <c r="Z1028" s="2680"/>
      <c r="AA1028" s="2680">
        <v>140013</v>
      </c>
      <c r="AB1028" s="2680"/>
      <c r="AC1028" s="1032" t="s">
        <v>1923</v>
      </c>
      <c r="AD1028" s="5241" t="s">
        <v>1924</v>
      </c>
      <c r="AE1028" s="5878">
        <v>1</v>
      </c>
      <c r="AF1028" s="857">
        <f>AA1028*AE1028</f>
        <v>140013</v>
      </c>
      <c r="AG1028" s="4813">
        <f t="shared" si="206"/>
        <v>140013</v>
      </c>
      <c r="AH1028" s="5199" t="s">
        <v>122</v>
      </c>
      <c r="AI1028" s="4813">
        <v>45639</v>
      </c>
      <c r="AJ1028" s="3812">
        <v>140013</v>
      </c>
      <c r="AK1028" s="3812">
        <v>45639</v>
      </c>
      <c r="AL1028" s="4813">
        <v>140013</v>
      </c>
      <c r="AM1028" s="3812">
        <v>45645</v>
      </c>
      <c r="AN1028" s="4813">
        <f>SUBTOTAL(9,BO1028:CB1028)</f>
        <v>140013</v>
      </c>
      <c r="AO1028" s="4813">
        <v>45680</v>
      </c>
      <c r="AP1028" s="5123"/>
      <c r="AQ1028" s="5160"/>
      <c r="AR1028" s="3524"/>
      <c r="AS1028" s="5129"/>
      <c r="AT1028" s="5122"/>
      <c r="AU1028" s="3524"/>
      <c r="AV1028" s="3524"/>
      <c r="AW1028" s="3524"/>
      <c r="AX1028" s="3524"/>
      <c r="AY1028" s="3524"/>
      <c r="AZ1028" s="3524"/>
      <c r="BA1028" s="5741"/>
      <c r="BB1028" s="5741"/>
      <c r="BC1028" s="4813"/>
      <c r="BD1028" s="5741"/>
      <c r="BE1028" s="5741"/>
      <c r="BF1028" s="5741"/>
      <c r="BG1028" s="5741"/>
      <c r="BH1028" s="3812"/>
      <c r="BI1028" s="4813"/>
      <c r="BJ1028" s="5741"/>
      <c r="BK1028" s="5741"/>
      <c r="BL1028" s="5741"/>
      <c r="BM1028" s="5741"/>
      <c r="BN1028" s="5146">
        <v>140013</v>
      </c>
      <c r="BO1028" s="5160"/>
      <c r="BP1028" s="5160"/>
      <c r="BQ1028" s="5160"/>
      <c r="BR1028" s="5160"/>
      <c r="BS1028" s="5160"/>
      <c r="BT1028" s="5160"/>
      <c r="BU1028" s="5160"/>
      <c r="BV1028" s="3812"/>
      <c r="BW1028" s="4813"/>
      <c r="BX1028" s="5741"/>
      <c r="BY1028" s="5741"/>
      <c r="BZ1028" s="5741"/>
      <c r="CA1028" s="5741"/>
      <c r="CB1028" s="5741">
        <v>140013</v>
      </c>
      <c r="CC1028" s="5123"/>
      <c r="CD1028" s="5123"/>
      <c r="CE1028" s="5751"/>
      <c r="CF1028" s="5751"/>
      <c r="CG1028" s="5751"/>
      <c r="CH1028" s="5751"/>
    </row>
    <row r="1029" s="4979" customFormat="1" ht="36.65" customHeight="1" spans="1:86">
      <c r="A1029" s="3524"/>
      <c r="B1029" s="857"/>
      <c r="C1029" s="857"/>
      <c r="D1029" s="5059"/>
      <c r="E1029" s="5059"/>
      <c r="F1029" s="5059"/>
      <c r="G1029" s="1032"/>
      <c r="H1029" s="1032"/>
      <c r="I1029" s="5205"/>
      <c r="J1029" s="1032"/>
      <c r="K1029" s="1032"/>
      <c r="L1029" s="1032"/>
      <c r="M1029" s="4813"/>
      <c r="N1029" s="2680"/>
      <c r="O1029" s="2680"/>
      <c r="P1029" s="2680"/>
      <c r="Q1029" s="2680"/>
      <c r="R1029" s="2680"/>
      <c r="S1029" s="2680"/>
      <c r="T1029" s="2680"/>
      <c r="U1029" s="2680"/>
      <c r="V1029" s="2680"/>
      <c r="W1029" s="2680"/>
      <c r="X1029" s="2680"/>
      <c r="Y1029" s="2680"/>
      <c r="Z1029" s="2680"/>
      <c r="AA1029" s="2680"/>
      <c r="AB1029" s="2680"/>
      <c r="AC1029" s="1032" t="s">
        <v>394</v>
      </c>
      <c r="AD1029" s="5241" t="s">
        <v>1925</v>
      </c>
      <c r="AE1029" s="1032">
        <v>0.4</v>
      </c>
      <c r="AF1029" s="857">
        <f>V1028*AE1029</f>
        <v>63649.756</v>
      </c>
      <c r="AG1029" s="4813">
        <f t="shared" si="206"/>
        <v>63649.76</v>
      </c>
      <c r="AH1029" s="5199" t="s">
        <v>122</v>
      </c>
      <c r="AI1029" s="4813">
        <v>45639</v>
      </c>
      <c r="AJ1029" s="3812">
        <v>63649.76</v>
      </c>
      <c r="AK1029" s="3812">
        <v>45639</v>
      </c>
      <c r="AL1029" s="4813">
        <v>63649.76</v>
      </c>
      <c r="AM1029" s="3812">
        <v>45645</v>
      </c>
      <c r="AN1029" s="4813">
        <f>SUBTOTAL(9,BO1029:CB1029)</f>
        <v>63649.76</v>
      </c>
      <c r="AO1029" s="4813">
        <v>45680</v>
      </c>
      <c r="AP1029" s="5123"/>
      <c r="AQ1029" s="5160"/>
      <c r="AR1029" s="3524"/>
      <c r="AS1029" s="5129"/>
      <c r="AT1029" s="5122"/>
      <c r="AU1029" s="3524"/>
      <c r="AV1029" s="3524"/>
      <c r="AW1029" s="3524"/>
      <c r="AX1029" s="3524"/>
      <c r="AY1029" s="3524"/>
      <c r="AZ1029" s="3524"/>
      <c r="BA1029" s="6023"/>
      <c r="BB1029" s="6023"/>
      <c r="BC1029" s="4815"/>
      <c r="BD1029" s="6023"/>
      <c r="BE1029" s="6023"/>
      <c r="BF1029" s="6023"/>
      <c r="BG1029" s="6023"/>
      <c r="BH1029" s="3812"/>
      <c r="BI1029" s="4813">
        <v>63649.76</v>
      </c>
      <c r="BJ1029" s="5741"/>
      <c r="BK1029" s="5741"/>
      <c r="BL1029" s="5741"/>
      <c r="BM1029" s="5741"/>
      <c r="BN1029" s="5741"/>
      <c r="BO1029" s="5160"/>
      <c r="BP1029" s="5160"/>
      <c r="BQ1029" s="5160"/>
      <c r="BR1029" s="5160"/>
      <c r="BS1029" s="5160"/>
      <c r="BT1029" s="5160"/>
      <c r="BU1029" s="5160"/>
      <c r="BV1029" s="3812"/>
      <c r="BW1029" s="4813">
        <v>63649.76</v>
      </c>
      <c r="BX1029" s="5741"/>
      <c r="BY1029" s="5741"/>
      <c r="BZ1029" s="5741"/>
      <c r="CA1029" s="5741"/>
      <c r="CB1029" s="5741"/>
      <c r="CC1029" s="5123"/>
      <c r="CD1029" s="5123"/>
      <c r="CE1029" s="5751"/>
      <c r="CF1029" s="5751"/>
      <c r="CG1029" s="5751"/>
      <c r="CH1029" s="5751"/>
    </row>
    <row r="1030" s="4979" customFormat="1" ht="61" customHeight="1" spans="1:86">
      <c r="A1030" s="3524"/>
      <c r="B1030" s="857"/>
      <c r="C1030" s="857"/>
      <c r="D1030" s="5059"/>
      <c r="E1030" s="5059"/>
      <c r="F1030" s="5059"/>
      <c r="G1030" s="1032"/>
      <c r="H1030" s="1032"/>
      <c r="I1030" s="5205"/>
      <c r="J1030" s="1032"/>
      <c r="K1030" s="1032"/>
      <c r="L1030" s="1032"/>
      <c r="M1030" s="4813"/>
      <c r="N1030" s="2680"/>
      <c r="O1030" s="2680"/>
      <c r="P1030" s="2680"/>
      <c r="Q1030" s="2680"/>
      <c r="R1030" s="2680"/>
      <c r="S1030" s="2680"/>
      <c r="T1030" s="2680"/>
      <c r="U1030" s="2680"/>
      <c r="V1030" s="2680"/>
      <c r="W1030" s="2680"/>
      <c r="X1030" s="2680"/>
      <c r="Y1030" s="2680"/>
      <c r="Z1030" s="2680"/>
      <c r="AA1030" s="2680"/>
      <c r="AB1030" s="2680"/>
      <c r="AC1030" s="1032" t="s">
        <v>396</v>
      </c>
      <c r="AD1030" s="5241" t="s">
        <v>1926</v>
      </c>
      <c r="AE1030" s="1032">
        <v>0.55</v>
      </c>
      <c r="AF1030" s="857">
        <f>V1028*AE1030</f>
        <v>87518.4145</v>
      </c>
      <c r="AG1030" s="4813">
        <f t="shared" si="206"/>
        <v>87518.41</v>
      </c>
      <c r="AH1030" s="5199" t="s">
        <v>122</v>
      </c>
      <c r="AI1030" s="4813">
        <v>45639</v>
      </c>
      <c r="AJ1030" s="3812">
        <v>87518.41</v>
      </c>
      <c r="AK1030" s="3812">
        <v>45639</v>
      </c>
      <c r="AL1030" s="4813">
        <v>87518.41</v>
      </c>
      <c r="AM1030" s="3812">
        <v>45645</v>
      </c>
      <c r="AN1030" s="4813">
        <f>SUBTOTAL(9,BO1030:CB1030)</f>
        <v>87518.41</v>
      </c>
      <c r="AO1030" s="4813">
        <v>45680</v>
      </c>
      <c r="AP1030" s="5123"/>
      <c r="AQ1030" s="5160"/>
      <c r="AR1030" s="3524"/>
      <c r="AS1030" s="5129"/>
      <c r="AT1030" s="5122"/>
      <c r="AU1030" s="3524"/>
      <c r="AV1030" s="3524"/>
      <c r="AW1030" s="3524"/>
      <c r="AX1030" s="3524"/>
      <c r="AY1030" s="3524"/>
      <c r="AZ1030" s="3524"/>
      <c r="BA1030" s="6023"/>
      <c r="BB1030" s="6023"/>
      <c r="BC1030" s="4815"/>
      <c r="BD1030" s="6023"/>
      <c r="BE1030" s="6023"/>
      <c r="BF1030" s="6023"/>
      <c r="BG1030" s="6023"/>
      <c r="BH1030" s="3812"/>
      <c r="BI1030" s="4813">
        <v>87518.41</v>
      </c>
      <c r="BJ1030" s="5741"/>
      <c r="BK1030" s="5741"/>
      <c r="BL1030" s="5741"/>
      <c r="BM1030" s="5741"/>
      <c r="BN1030" s="5741"/>
      <c r="BO1030" s="5160"/>
      <c r="BP1030" s="5160"/>
      <c r="BQ1030" s="5160"/>
      <c r="BR1030" s="5160"/>
      <c r="BS1030" s="5160"/>
      <c r="BT1030" s="5160"/>
      <c r="BU1030" s="5160"/>
      <c r="BV1030" s="3812"/>
      <c r="BW1030" s="4813">
        <v>87518.41</v>
      </c>
      <c r="BX1030" s="5741"/>
      <c r="BY1030" s="5741"/>
      <c r="BZ1030" s="5741"/>
      <c r="CA1030" s="5741"/>
      <c r="CB1030" s="5741"/>
      <c r="CC1030" s="5123"/>
      <c r="CD1030" s="5123"/>
      <c r="CE1030" s="5751"/>
      <c r="CF1030" s="5751"/>
      <c r="CG1030" s="5751"/>
      <c r="CH1030" s="5751"/>
    </row>
    <row r="1031" s="4979" customFormat="1" ht="55" customHeight="1" spans="1:86">
      <c r="A1031" s="2680"/>
      <c r="B1031" s="857"/>
      <c r="C1031" s="857"/>
      <c r="D1031" s="5059"/>
      <c r="E1031" s="5059"/>
      <c r="F1031" s="5059"/>
      <c r="G1031" s="1032"/>
      <c r="H1031" s="5059"/>
      <c r="I1031" s="5206"/>
      <c r="J1031" s="5059"/>
      <c r="K1031" s="1032"/>
      <c r="L1031" s="5059"/>
      <c r="M1031" s="4813"/>
      <c r="N1031" s="2680"/>
      <c r="O1031" s="2680"/>
      <c r="P1031" s="2680"/>
      <c r="Q1031" s="2680"/>
      <c r="R1031" s="2680"/>
      <c r="S1031" s="2680"/>
      <c r="T1031" s="2680"/>
      <c r="U1031" s="2680"/>
      <c r="V1031" s="2680"/>
      <c r="W1031" s="2680"/>
      <c r="X1031" s="2680"/>
      <c r="Y1031" s="2680"/>
      <c r="Z1031" s="2680"/>
      <c r="AA1031" s="2680"/>
      <c r="AB1031" s="2680"/>
      <c r="AC1031" s="1035" t="s">
        <v>398</v>
      </c>
      <c r="AD1031" s="5241" t="s">
        <v>1927</v>
      </c>
      <c r="AE1031" s="5878">
        <v>0.05</v>
      </c>
      <c r="AF1031" s="857">
        <f>V1028*AE1031</f>
        <v>7956.2195</v>
      </c>
      <c r="AG1031" s="5123">
        <f t="shared" si="206"/>
        <v>7956.22</v>
      </c>
      <c r="AH1031" s="1131" t="s">
        <v>349</v>
      </c>
      <c r="AI1031" s="5123">
        <v>46325</v>
      </c>
      <c r="AJ1031" s="2678"/>
      <c r="AK1031" s="3812"/>
      <c r="AL1031" s="3406"/>
      <c r="AM1031" s="5881"/>
      <c r="AN1031" s="5123">
        <f>SUBTOTAL(9,BO1031:CB1031)</f>
        <v>0</v>
      </c>
      <c r="AO1031" s="3932"/>
      <c r="AP1031" s="5123"/>
      <c r="AQ1031" s="5860"/>
      <c r="AR1031" s="2680"/>
      <c r="AS1031" s="5857"/>
      <c r="AT1031" s="5331"/>
      <c r="AU1031" s="2680"/>
      <c r="AV1031" s="2680"/>
      <c r="AW1031" s="2680"/>
      <c r="AX1031" s="2680"/>
      <c r="AY1031" s="2680"/>
      <c r="AZ1031" s="2680"/>
      <c r="BA1031" s="5860"/>
      <c r="BB1031" s="5860"/>
      <c r="BC1031" s="3932"/>
      <c r="BD1031" s="5948"/>
      <c r="BE1031" s="5860"/>
      <c r="BF1031" s="5860"/>
      <c r="BG1031" s="5860"/>
      <c r="BH1031" s="857"/>
      <c r="BI1031" s="2678">
        <v>7956.22</v>
      </c>
      <c r="BJ1031" s="5860"/>
      <c r="BK1031" s="5860"/>
      <c r="BL1031" s="5860"/>
      <c r="BM1031" s="5860"/>
      <c r="BN1031" s="5860"/>
      <c r="BO1031" s="5860"/>
      <c r="BP1031" s="5860"/>
      <c r="BQ1031" s="5860"/>
      <c r="BR1031" s="5948"/>
      <c r="BS1031" s="5860"/>
      <c r="BT1031" s="5860"/>
      <c r="BU1031" s="5860"/>
      <c r="BV1031" s="3406"/>
      <c r="BW1031" s="5860"/>
      <c r="BX1031" s="5860"/>
      <c r="BY1031" s="5860"/>
      <c r="BZ1031" s="5860"/>
      <c r="CA1031" s="5860"/>
      <c r="CB1031" s="5860"/>
      <c r="CC1031" s="3932"/>
      <c r="CD1031" s="3932"/>
      <c r="CE1031" s="5751"/>
      <c r="CF1031" s="5751"/>
      <c r="CG1031" s="5751"/>
      <c r="CH1031" s="5751"/>
    </row>
    <row r="1032" s="4974" customFormat="1" ht="25" customHeight="1" spans="1:86">
      <c r="A1032" s="4045"/>
      <c r="B1032" s="857" t="s">
        <v>1186</v>
      </c>
      <c r="C1032" s="3812">
        <v>45462</v>
      </c>
      <c r="D1032" s="5199" t="s">
        <v>1928</v>
      </c>
      <c r="E1032" s="1032" t="s">
        <v>1929</v>
      </c>
      <c r="F1032" s="1032" t="s">
        <v>1930</v>
      </c>
      <c r="G1032" s="1032" t="s">
        <v>1931</v>
      </c>
      <c r="H1032" s="1032" t="s">
        <v>1932</v>
      </c>
      <c r="I1032" s="5073" t="s">
        <v>1933</v>
      </c>
      <c r="J1032" s="1032" t="s">
        <v>1934</v>
      </c>
      <c r="K1032" s="5059">
        <v>98897.48</v>
      </c>
      <c r="L1032" s="1032" t="s">
        <v>1935</v>
      </c>
      <c r="M1032" s="3812">
        <f>SUM(N1032:AA1064)</f>
        <v>6469085.72</v>
      </c>
      <c r="N1032" s="4127">
        <v>0</v>
      </c>
      <c r="O1032" s="4127">
        <v>0</v>
      </c>
      <c r="P1032" s="4127">
        <v>0</v>
      </c>
      <c r="Q1032" s="4127">
        <v>0</v>
      </c>
      <c r="R1032" s="4127">
        <v>0</v>
      </c>
      <c r="S1032" s="4127">
        <v>0</v>
      </c>
      <c r="T1032" s="5971">
        <v>0</v>
      </c>
      <c r="U1032" s="4127">
        <v>0</v>
      </c>
      <c r="V1032" s="4127">
        <v>186120</v>
      </c>
      <c r="W1032" s="4127">
        <v>0</v>
      </c>
      <c r="X1032" s="4127">
        <v>0</v>
      </c>
      <c r="Y1032" s="4127">
        <v>0</v>
      </c>
      <c r="Z1032" s="4127"/>
      <c r="AA1032" s="4127">
        <v>6282965.72</v>
      </c>
      <c r="AB1032" s="5972" t="s">
        <v>171</v>
      </c>
      <c r="AC1032" s="5059" t="s">
        <v>1055</v>
      </c>
      <c r="AD1032" s="5241" t="s">
        <v>342</v>
      </c>
      <c r="AE1032" s="1032">
        <v>0.2</v>
      </c>
      <c r="AF1032" s="3812">
        <f t="shared" ref="AF1032:AF1034" si="207">1901649.72*AE1032</f>
        <v>380329.944</v>
      </c>
      <c r="AG1032" s="3812">
        <f t="shared" si="206"/>
        <v>380329.944</v>
      </c>
      <c r="AH1032" s="1032" t="s">
        <v>122</v>
      </c>
      <c r="AI1032" s="3812">
        <v>45497</v>
      </c>
      <c r="AJ1032" s="3812">
        <v>380329.944</v>
      </c>
      <c r="AK1032" s="3812">
        <v>45514</v>
      </c>
      <c r="AL1032" s="3812">
        <v>380329.944</v>
      </c>
      <c r="AM1032" s="3812">
        <v>45499</v>
      </c>
      <c r="AN1032" s="5349">
        <f t="shared" ref="AN1032:AN1095" si="208">SUM(BO1032:CB1032)</f>
        <v>380329.944</v>
      </c>
      <c r="AO1032" s="3812">
        <v>45554</v>
      </c>
      <c r="AP1032" s="3812"/>
      <c r="AQ1032" s="1032"/>
      <c r="AR1032" s="3812"/>
      <c r="AS1032" s="5059"/>
      <c r="AT1032" s="3812"/>
      <c r="AU1032" s="3812">
        <f>SUM(AG1032:AG1064)</f>
        <v>6239522.344</v>
      </c>
      <c r="AV1032" s="3812">
        <f>SUM(AL1032:AL1064)</f>
        <v>5415683.54</v>
      </c>
      <c r="AW1032" s="3812">
        <f>SUM(AN1032:AN1064)</f>
        <v>5415683.54</v>
      </c>
      <c r="AX1032" s="3812">
        <f>M1032-AU1032</f>
        <v>229563.376000001</v>
      </c>
      <c r="AY1032" s="3812">
        <f>AU1032-AV1032</f>
        <v>823838.804</v>
      </c>
      <c r="AZ1032" s="3812">
        <f>AV1032-AW1032</f>
        <v>0</v>
      </c>
      <c r="BA1032" s="3812"/>
      <c r="BB1032" s="3812"/>
      <c r="BC1032" s="3812"/>
      <c r="BD1032" s="3812"/>
      <c r="BE1032" s="3812"/>
      <c r="BF1032" s="3812"/>
      <c r="BG1032" s="3812"/>
      <c r="BH1032" s="3812"/>
      <c r="BI1032" s="3812"/>
      <c r="BJ1032" s="3812"/>
      <c r="BK1032" s="3812"/>
      <c r="BL1032" s="3812"/>
      <c r="BM1032" s="3812"/>
      <c r="BN1032" s="3812">
        <v>380329.944</v>
      </c>
      <c r="BO1032" s="3812"/>
      <c r="BP1032" s="3812"/>
      <c r="BQ1032" s="3812"/>
      <c r="BR1032" s="3812"/>
      <c r="BS1032" s="3812"/>
      <c r="BT1032" s="3812"/>
      <c r="BU1032" s="3812"/>
      <c r="BV1032" s="3812"/>
      <c r="BW1032" s="3812"/>
      <c r="BX1032" s="3812"/>
      <c r="BY1032" s="3812"/>
      <c r="BZ1032" s="3812"/>
      <c r="CA1032" s="3812"/>
      <c r="CB1032" s="3812">
        <v>380329.944</v>
      </c>
      <c r="CC1032" s="3812"/>
      <c r="CD1032" s="3812"/>
      <c r="CE1032" s="5169">
        <f>SUBTOTAL(9,BO1032:CB1032)</f>
        <v>380329.944</v>
      </c>
      <c r="CF1032" s="5169">
        <f t="shared" ref="CF1032:CF1035" si="209">AN1032-CE1032</f>
        <v>0</v>
      </c>
      <c r="CG1032" s="5310"/>
      <c r="CH1032" s="5310"/>
    </row>
    <row r="1033" s="4974" customFormat="1" ht="25" customHeight="1" spans="1:86">
      <c r="A1033" s="4045"/>
      <c r="B1033" s="3812"/>
      <c r="C1033" s="3812"/>
      <c r="D1033" s="5059"/>
      <c r="E1033" s="5059"/>
      <c r="F1033" s="5059"/>
      <c r="G1033" s="5059"/>
      <c r="H1033" s="5059"/>
      <c r="I1033" s="5205"/>
      <c r="J1033" s="5059"/>
      <c r="K1033" s="5059"/>
      <c r="L1033" s="5059"/>
      <c r="M1033" s="3812"/>
      <c r="N1033" s="5711"/>
      <c r="O1033" s="5711"/>
      <c r="P1033" s="5711"/>
      <c r="Q1033" s="5711"/>
      <c r="R1033" s="5711"/>
      <c r="S1033" s="5711"/>
      <c r="T1033" s="5711"/>
      <c r="U1033" s="5711"/>
      <c r="V1033" s="5711"/>
      <c r="W1033" s="5711"/>
      <c r="X1033" s="5711"/>
      <c r="Y1033" s="5711"/>
      <c r="Z1033" s="5711"/>
      <c r="AA1033" s="5711"/>
      <c r="AB1033" s="5972"/>
      <c r="AC1033" s="5214" t="s">
        <v>1057</v>
      </c>
      <c r="AD1033" s="5242" t="s">
        <v>344</v>
      </c>
      <c r="AE1033" s="5073">
        <v>0.3</v>
      </c>
      <c r="AF1033" s="3812">
        <f t="shared" si="207"/>
        <v>570494.916</v>
      </c>
      <c r="AG1033" s="4840">
        <f t="shared" si="206"/>
        <v>570494.916</v>
      </c>
      <c r="AH1033" s="1032" t="s">
        <v>122</v>
      </c>
      <c r="AI1033" s="3812">
        <v>45497</v>
      </c>
      <c r="AJ1033" s="4840">
        <v>570494.916</v>
      </c>
      <c r="AK1033" s="3812">
        <v>45514</v>
      </c>
      <c r="AL1033" s="4840">
        <v>570494.916</v>
      </c>
      <c r="AM1033" s="3812">
        <v>45499</v>
      </c>
      <c r="AN1033" s="5349">
        <f t="shared" si="208"/>
        <v>570494.916</v>
      </c>
      <c r="AO1033" s="3812">
        <v>45554</v>
      </c>
      <c r="AP1033" s="3812"/>
      <c r="AQ1033" s="1032"/>
      <c r="AR1033" s="3812"/>
      <c r="AS1033" s="5059"/>
      <c r="AT1033" s="3812"/>
      <c r="AU1033" s="3812"/>
      <c r="AV1033" s="3812"/>
      <c r="AW1033" s="3812"/>
      <c r="AX1033" s="3812"/>
      <c r="AY1033" s="3812"/>
      <c r="AZ1033" s="3812"/>
      <c r="BA1033" s="3812"/>
      <c r="BB1033" s="3812"/>
      <c r="BC1033" s="3812"/>
      <c r="BD1033" s="4840"/>
      <c r="BE1033" s="3812"/>
      <c r="BF1033" s="3812"/>
      <c r="BG1033" s="3812"/>
      <c r="BH1033" s="4840"/>
      <c r="BI1033" s="3812"/>
      <c r="BJ1033" s="3812"/>
      <c r="BK1033" s="3812"/>
      <c r="BL1033" s="3812"/>
      <c r="BM1033" s="4840"/>
      <c r="BN1033" s="4840">
        <v>570494.916</v>
      </c>
      <c r="BO1033" s="3812"/>
      <c r="BP1033" s="3812"/>
      <c r="BQ1033" s="3812"/>
      <c r="BR1033" s="3812"/>
      <c r="BS1033" s="3812"/>
      <c r="BT1033" s="3812"/>
      <c r="BU1033" s="3812"/>
      <c r="BV1033" s="3812"/>
      <c r="BW1033" s="3812"/>
      <c r="BX1033" s="3812"/>
      <c r="BY1033" s="3812"/>
      <c r="BZ1033" s="3812"/>
      <c r="CA1033" s="4840"/>
      <c r="CB1033" s="4840">
        <v>570494.916</v>
      </c>
      <c r="CC1033" s="3812"/>
      <c r="CD1033" s="3812"/>
      <c r="CE1033" s="5169">
        <f>SUBTOTAL(9,BO1033:CB1033)</f>
        <v>570494.916</v>
      </c>
      <c r="CF1033" s="5169">
        <f t="shared" si="209"/>
        <v>0</v>
      </c>
      <c r="CG1033" s="5310"/>
      <c r="CH1033" s="5310"/>
    </row>
    <row r="1034" s="4974" customFormat="1" ht="25" customHeight="1" spans="1:86">
      <c r="A1034" s="4045"/>
      <c r="B1034" s="3812"/>
      <c r="C1034" s="3812"/>
      <c r="D1034" s="5059"/>
      <c r="E1034" s="5059"/>
      <c r="F1034" s="5059"/>
      <c r="G1034" s="5059"/>
      <c r="H1034" s="5059"/>
      <c r="I1034" s="5205"/>
      <c r="J1034" s="5059"/>
      <c r="K1034" s="5059"/>
      <c r="L1034" s="5059"/>
      <c r="M1034" s="3812"/>
      <c r="N1034" s="5711"/>
      <c r="O1034" s="5711"/>
      <c r="P1034" s="5711"/>
      <c r="Q1034" s="5711"/>
      <c r="R1034" s="5711"/>
      <c r="S1034" s="5711"/>
      <c r="T1034" s="5711"/>
      <c r="U1034" s="5711"/>
      <c r="V1034" s="5711"/>
      <c r="W1034" s="5711"/>
      <c r="X1034" s="5711"/>
      <c r="Y1034" s="5711"/>
      <c r="Z1034" s="5711"/>
      <c r="AA1034" s="5711"/>
      <c r="AB1034" s="5972"/>
      <c r="AC1034" s="5214" t="s">
        <v>1059</v>
      </c>
      <c r="AD1034" s="5073" t="s">
        <v>346</v>
      </c>
      <c r="AE1034" s="5073">
        <v>0.2</v>
      </c>
      <c r="AF1034" s="4840">
        <f t="shared" si="207"/>
        <v>380329.944</v>
      </c>
      <c r="AG1034" s="4840">
        <f t="shared" si="206"/>
        <v>380329.944</v>
      </c>
      <c r="AH1034" s="5073" t="s">
        <v>122</v>
      </c>
      <c r="AI1034" s="4840">
        <v>45497</v>
      </c>
      <c r="AJ1034" s="4840">
        <v>380329.944</v>
      </c>
      <c r="AK1034" s="4840">
        <v>45514</v>
      </c>
      <c r="AL1034" s="4840">
        <v>380329.94</v>
      </c>
      <c r="AM1034" s="4840">
        <v>45499</v>
      </c>
      <c r="AN1034" s="5349">
        <f t="shared" si="208"/>
        <v>114098.98</v>
      </c>
      <c r="AO1034" s="3812">
        <v>45554</v>
      </c>
      <c r="AP1034" s="3812"/>
      <c r="AQ1034" s="1032"/>
      <c r="AR1034" s="3812"/>
      <c r="AS1034" s="5059"/>
      <c r="AT1034" s="3812"/>
      <c r="AU1034" s="3812"/>
      <c r="AV1034" s="3812"/>
      <c r="AW1034" s="3812"/>
      <c r="AX1034" s="3812"/>
      <c r="AY1034" s="3812"/>
      <c r="AZ1034" s="3812"/>
      <c r="BA1034" s="3812"/>
      <c r="BB1034" s="3812"/>
      <c r="BC1034" s="3812"/>
      <c r="BD1034" s="4840"/>
      <c r="BE1034" s="3812"/>
      <c r="BF1034" s="3812"/>
      <c r="BG1034" s="3812"/>
      <c r="BH1034" s="4840"/>
      <c r="BI1034" s="3812"/>
      <c r="BJ1034" s="3812"/>
      <c r="BK1034" s="3812"/>
      <c r="BL1034" s="3812"/>
      <c r="BM1034" s="4840"/>
      <c r="BN1034" s="4840">
        <v>380329.944</v>
      </c>
      <c r="BO1034" s="3812"/>
      <c r="BP1034" s="3812"/>
      <c r="BQ1034" s="3812"/>
      <c r="BR1034" s="3812"/>
      <c r="BS1034" s="3812"/>
      <c r="BT1034" s="3812"/>
      <c r="BU1034" s="3812"/>
      <c r="BV1034" s="3812"/>
      <c r="BW1034" s="3812"/>
      <c r="BX1034" s="3812"/>
      <c r="BY1034" s="3812"/>
      <c r="BZ1034" s="3812"/>
      <c r="CA1034" s="4840"/>
      <c r="CB1034" s="4840">
        <v>114098.98</v>
      </c>
      <c r="CC1034" s="3812"/>
      <c r="CD1034" s="3812"/>
      <c r="CE1034" s="5169"/>
      <c r="CF1034" s="5169"/>
      <c r="CG1034" s="5310"/>
      <c r="CH1034" s="5310"/>
    </row>
    <row r="1035" s="4974" customFormat="1" ht="25" customHeight="1" spans="1:86">
      <c r="A1035" s="4045"/>
      <c r="B1035" s="3812"/>
      <c r="C1035" s="3812"/>
      <c r="D1035" s="5059"/>
      <c r="E1035" s="5059"/>
      <c r="F1035" s="5059"/>
      <c r="G1035" s="5059"/>
      <c r="H1035" s="5059"/>
      <c r="I1035" s="5205"/>
      <c r="J1035" s="5059"/>
      <c r="K1035" s="5059"/>
      <c r="L1035" s="5059"/>
      <c r="M1035" s="3812"/>
      <c r="N1035" s="5711"/>
      <c r="O1035" s="5711"/>
      <c r="P1035" s="5711"/>
      <c r="Q1035" s="5711"/>
      <c r="R1035" s="5711"/>
      <c r="S1035" s="5711"/>
      <c r="T1035" s="5711"/>
      <c r="U1035" s="5711"/>
      <c r="V1035" s="5711"/>
      <c r="W1035" s="5711"/>
      <c r="X1035" s="5711"/>
      <c r="Y1035" s="5711"/>
      <c r="Z1035" s="5711"/>
      <c r="AA1035" s="5711"/>
      <c r="AB1035" s="5972"/>
      <c r="AC1035" s="5075"/>
      <c r="AD1035" s="5942"/>
      <c r="AE1035" s="5206"/>
      <c r="AF1035" s="4842"/>
      <c r="AG1035" s="4842"/>
      <c r="AH1035" s="5206"/>
      <c r="AI1035" s="4842"/>
      <c r="AJ1035" s="4842"/>
      <c r="AK1035" s="4842"/>
      <c r="AL1035" s="4842"/>
      <c r="AM1035" s="4842"/>
      <c r="AN1035" s="5349">
        <f t="shared" si="208"/>
        <v>266230.96</v>
      </c>
      <c r="AO1035" s="3812">
        <v>45616</v>
      </c>
      <c r="AP1035" s="3812"/>
      <c r="AQ1035" s="1032"/>
      <c r="AR1035" s="3812"/>
      <c r="AS1035" s="1032"/>
      <c r="AT1035" s="3812"/>
      <c r="AU1035" s="3812"/>
      <c r="AV1035" s="3812"/>
      <c r="AW1035" s="3812"/>
      <c r="AX1035" s="3812"/>
      <c r="AY1035" s="3812"/>
      <c r="AZ1035" s="3812"/>
      <c r="BA1035" s="3812"/>
      <c r="BB1035" s="3812"/>
      <c r="BC1035" s="3812"/>
      <c r="BD1035" s="4813"/>
      <c r="BE1035" s="4813"/>
      <c r="BF1035" s="4813"/>
      <c r="BG1035" s="4813"/>
      <c r="BH1035" s="4813"/>
      <c r="BI1035" s="4813"/>
      <c r="BJ1035" s="4813"/>
      <c r="BK1035" s="4813"/>
      <c r="BL1035" s="4813"/>
      <c r="BM1035" s="5350"/>
      <c r="BN1035" s="4842"/>
      <c r="BO1035" s="3812"/>
      <c r="BP1035" s="3812"/>
      <c r="BQ1035" s="3812"/>
      <c r="BR1035" s="3812"/>
      <c r="BS1035" s="3812"/>
      <c r="BT1035" s="3812"/>
      <c r="BU1035" s="3812"/>
      <c r="BV1035" s="3812"/>
      <c r="BW1035" s="3812"/>
      <c r="BX1035" s="3812"/>
      <c r="BY1035" s="3812"/>
      <c r="BZ1035" s="3812"/>
      <c r="CA1035" s="3812"/>
      <c r="CB1035" s="5123">
        <f>380329.94-CB1034</f>
        <v>266230.96</v>
      </c>
      <c r="CC1035" s="3812"/>
      <c r="CD1035" s="3812"/>
      <c r="CE1035" s="5169">
        <f>SUBTOTAL(9,BO1035:CB1035)</f>
        <v>266230.96</v>
      </c>
      <c r="CF1035" s="5169">
        <f t="shared" si="209"/>
        <v>0</v>
      </c>
      <c r="CG1035" s="5310"/>
      <c r="CH1035" s="5310"/>
    </row>
    <row r="1036" s="4974" customFormat="1" ht="61" spans="1:86">
      <c r="A1036" s="4045"/>
      <c r="B1036" s="3812"/>
      <c r="C1036" s="3812"/>
      <c r="D1036" s="5059"/>
      <c r="E1036" s="5059"/>
      <c r="F1036" s="5059"/>
      <c r="G1036" s="5059"/>
      <c r="H1036" s="5059"/>
      <c r="I1036" s="5205"/>
      <c r="J1036" s="5059"/>
      <c r="K1036" s="5059"/>
      <c r="L1036" s="5059"/>
      <c r="M1036" s="3812"/>
      <c r="N1036" s="5711"/>
      <c r="O1036" s="5711"/>
      <c r="P1036" s="5711"/>
      <c r="Q1036" s="5711"/>
      <c r="R1036" s="5711"/>
      <c r="S1036" s="5711"/>
      <c r="T1036" s="5711"/>
      <c r="U1036" s="5711"/>
      <c r="V1036" s="5711"/>
      <c r="W1036" s="5711"/>
      <c r="X1036" s="5711"/>
      <c r="Y1036" s="5711"/>
      <c r="Z1036" s="5711"/>
      <c r="AA1036" s="5711"/>
      <c r="AB1036" s="5972"/>
      <c r="AC1036" s="5059" t="s">
        <v>1061</v>
      </c>
      <c r="AD1036" s="5241" t="s">
        <v>348</v>
      </c>
      <c r="AE1036" s="1032">
        <v>0.2</v>
      </c>
      <c r="AF1036" s="3812">
        <f>1901649.72*AE1036</f>
        <v>380329.944</v>
      </c>
      <c r="AG1036" s="3812">
        <f>SUM(BA1036:BN1036)</f>
        <v>380329.94</v>
      </c>
      <c r="AH1036" s="1032" t="s">
        <v>122</v>
      </c>
      <c r="AI1036" s="3812">
        <v>45639</v>
      </c>
      <c r="AJ1036" s="3812">
        <v>380329.94</v>
      </c>
      <c r="AK1036" s="3812">
        <v>45639</v>
      </c>
      <c r="AL1036" s="3812">
        <v>380329.94</v>
      </c>
      <c r="AM1036" s="3812">
        <v>45646</v>
      </c>
      <c r="AN1036" s="5349">
        <f t="shared" si="208"/>
        <v>380329.94</v>
      </c>
      <c r="AO1036" s="3812">
        <v>45680</v>
      </c>
      <c r="AP1036" s="3812"/>
      <c r="AQ1036" s="1032"/>
      <c r="AR1036" s="3812"/>
      <c r="AS1036" s="5059"/>
      <c r="AT1036" s="3812"/>
      <c r="AU1036" s="3812"/>
      <c r="AV1036" s="3812"/>
      <c r="AW1036" s="3812"/>
      <c r="AX1036" s="3812"/>
      <c r="AY1036" s="3812"/>
      <c r="AZ1036" s="3812"/>
      <c r="BA1036" s="3812"/>
      <c r="BB1036" s="3812"/>
      <c r="BC1036" s="3812"/>
      <c r="BD1036" s="3812"/>
      <c r="BE1036" s="3812"/>
      <c r="BF1036" s="3812"/>
      <c r="BG1036" s="3812"/>
      <c r="BH1036" s="3812"/>
      <c r="BI1036" s="3812"/>
      <c r="BJ1036" s="3812"/>
      <c r="BK1036" s="3812"/>
      <c r="BL1036" s="3812"/>
      <c r="BM1036" s="3812"/>
      <c r="BN1036" s="3812">
        <v>380329.94</v>
      </c>
      <c r="BO1036" s="3812"/>
      <c r="BP1036" s="3812"/>
      <c r="BQ1036" s="3812"/>
      <c r="BR1036" s="3812"/>
      <c r="BS1036" s="3812"/>
      <c r="BT1036" s="3812"/>
      <c r="BU1036" s="3812"/>
      <c r="BV1036" s="3812"/>
      <c r="BW1036" s="3812"/>
      <c r="BX1036" s="3812"/>
      <c r="BY1036" s="3812"/>
      <c r="BZ1036" s="3812"/>
      <c r="CA1036" s="3812"/>
      <c r="CB1036" s="3812">
        <v>380329.94</v>
      </c>
      <c r="CC1036" s="3812"/>
      <c r="CD1036" s="3812"/>
      <c r="CE1036" s="5310"/>
      <c r="CF1036" s="5310"/>
      <c r="CG1036" s="5310"/>
      <c r="CH1036" s="5310"/>
    </row>
    <row r="1037" s="4974" customFormat="1" ht="25" customHeight="1" spans="1:86">
      <c r="A1037" s="4045"/>
      <c r="B1037" s="3812"/>
      <c r="C1037" s="3812"/>
      <c r="D1037" s="5059"/>
      <c r="E1037" s="5059"/>
      <c r="F1037" s="5059"/>
      <c r="G1037" s="5059"/>
      <c r="H1037" s="5059"/>
      <c r="I1037" s="5205"/>
      <c r="J1037" s="5059"/>
      <c r="K1037" s="5059"/>
      <c r="L1037" s="5059"/>
      <c r="M1037" s="3812"/>
      <c r="N1037" s="5711"/>
      <c r="O1037" s="5711"/>
      <c r="P1037" s="5711"/>
      <c r="Q1037" s="5711"/>
      <c r="R1037" s="5711"/>
      <c r="S1037" s="5711"/>
      <c r="T1037" s="5711"/>
      <c r="U1037" s="5711"/>
      <c r="V1037" s="5711"/>
      <c r="W1037" s="5711"/>
      <c r="X1037" s="5711"/>
      <c r="Y1037" s="5711"/>
      <c r="Z1037" s="5711"/>
      <c r="AA1037" s="5711"/>
      <c r="AB1037" s="5972"/>
      <c r="AC1037" s="1032" t="s">
        <v>1063</v>
      </c>
      <c r="AD1037" s="5241" t="s">
        <v>351</v>
      </c>
      <c r="AE1037" s="1032">
        <v>0.1</v>
      </c>
      <c r="AF1037" s="5123">
        <f>1901649.72*AE1037</f>
        <v>190164.972</v>
      </c>
      <c r="AG1037" s="3812">
        <f>SUM(BA1037:BN1037)</f>
        <v>0</v>
      </c>
      <c r="AH1037" s="1032"/>
      <c r="AI1037" s="4813"/>
      <c r="AJ1037" s="3812"/>
      <c r="AK1037" s="3812"/>
      <c r="AL1037" s="3812"/>
      <c r="AM1037" s="3812"/>
      <c r="AN1037" s="5349">
        <f t="shared" si="208"/>
        <v>0</v>
      </c>
      <c r="AO1037" s="5123"/>
      <c r="AP1037" s="3812"/>
      <c r="AQ1037" s="1032"/>
      <c r="AR1037" s="3812"/>
      <c r="AS1037" s="5059"/>
      <c r="AT1037" s="3812"/>
      <c r="AU1037" s="3812"/>
      <c r="AV1037" s="3812"/>
      <c r="AW1037" s="3812"/>
      <c r="AX1037" s="3812"/>
      <c r="AY1037" s="3812"/>
      <c r="AZ1037" s="3812"/>
      <c r="BA1037" s="3812"/>
      <c r="BB1037" s="3812"/>
      <c r="BC1037" s="3812"/>
      <c r="BD1037" s="3812"/>
      <c r="BE1037" s="3812"/>
      <c r="BF1037" s="3812"/>
      <c r="BG1037" s="3812"/>
      <c r="BH1037" s="3812"/>
      <c r="BI1037" s="3812"/>
      <c r="BJ1037" s="3812"/>
      <c r="BK1037" s="3812"/>
      <c r="BL1037" s="3812"/>
      <c r="BM1037" s="3812"/>
      <c r="BN1037" s="5123"/>
      <c r="BO1037" s="3812"/>
      <c r="BP1037" s="3812"/>
      <c r="BQ1037" s="3812"/>
      <c r="BR1037" s="3812"/>
      <c r="BS1037" s="3812"/>
      <c r="BT1037" s="3812"/>
      <c r="BU1037" s="3812"/>
      <c r="BV1037" s="3812"/>
      <c r="BW1037" s="3812"/>
      <c r="BX1037" s="3812"/>
      <c r="BY1037" s="3812"/>
      <c r="BZ1037" s="3812"/>
      <c r="CA1037" s="3812"/>
      <c r="CB1037" s="3812"/>
      <c r="CC1037" s="3812"/>
      <c r="CD1037" s="3812"/>
      <c r="CE1037" s="5310"/>
      <c r="CF1037" s="5310"/>
      <c r="CG1037" s="5310"/>
      <c r="CH1037" s="5310"/>
    </row>
    <row r="1038" s="4974" customFormat="1" ht="25" customHeight="1" spans="1:86">
      <c r="A1038" s="2678"/>
      <c r="B1038" s="3812"/>
      <c r="C1038" s="3812"/>
      <c r="D1038" s="5059"/>
      <c r="E1038" s="5059"/>
      <c r="F1038" s="5059"/>
      <c r="G1038" s="5059"/>
      <c r="H1038" s="5059"/>
      <c r="I1038" s="5205"/>
      <c r="J1038" s="5059"/>
      <c r="K1038" s="5059"/>
      <c r="L1038" s="5059"/>
      <c r="M1038" s="3812"/>
      <c r="N1038" s="5667"/>
      <c r="O1038" s="5667"/>
      <c r="P1038" s="5667"/>
      <c r="Q1038" s="5667"/>
      <c r="R1038" s="5667"/>
      <c r="S1038" s="5667"/>
      <c r="T1038" s="5667"/>
      <c r="U1038" s="5667"/>
      <c r="V1038" s="5667"/>
      <c r="W1038" s="5667"/>
      <c r="X1038" s="5667"/>
      <c r="Y1038" s="5667"/>
      <c r="Z1038" s="5667"/>
      <c r="AA1038" s="5667"/>
      <c r="AB1038" s="5973"/>
      <c r="AC1038" s="1032" t="s">
        <v>1144</v>
      </c>
      <c r="AD1038" s="5241" t="s">
        <v>1936</v>
      </c>
      <c r="AE1038" s="1032">
        <v>0.4</v>
      </c>
      <c r="AF1038" s="3812">
        <f t="shared" ref="AF1038:AF1041" si="210">188000*AE1038</f>
        <v>75200</v>
      </c>
      <c r="AG1038" s="3812">
        <f>SUM(BA1038:BN1038)</f>
        <v>75200</v>
      </c>
      <c r="AH1038" s="1032" t="s">
        <v>122</v>
      </c>
      <c r="AI1038" s="3812">
        <v>45497</v>
      </c>
      <c r="AJ1038" s="3812">
        <v>75200</v>
      </c>
      <c r="AK1038" s="3812">
        <v>45514</v>
      </c>
      <c r="AL1038" s="3812">
        <v>75200</v>
      </c>
      <c r="AM1038" s="3812">
        <v>45499</v>
      </c>
      <c r="AN1038" s="5349">
        <f t="shared" si="208"/>
        <v>75200</v>
      </c>
      <c r="AO1038" s="3812">
        <v>45554</v>
      </c>
      <c r="AP1038" s="3812"/>
      <c r="AQ1038" s="1032"/>
      <c r="AR1038" s="3812"/>
      <c r="AS1038" s="5059"/>
      <c r="AT1038" s="3812"/>
      <c r="AU1038" s="3812"/>
      <c r="AV1038" s="3812"/>
      <c r="AW1038" s="3812"/>
      <c r="AX1038" s="3812"/>
      <c r="AY1038" s="3812"/>
      <c r="AZ1038" s="3812"/>
      <c r="BA1038" s="3812"/>
      <c r="BB1038" s="3812"/>
      <c r="BC1038" s="3812"/>
      <c r="BD1038" s="3812"/>
      <c r="BE1038" s="3812"/>
      <c r="BF1038" s="3812"/>
      <c r="BG1038" s="3812"/>
      <c r="BH1038" s="5123"/>
      <c r="BI1038" s="3812">
        <f>186120*0.4</f>
        <v>74448</v>
      </c>
      <c r="BJ1038" s="3812"/>
      <c r="BK1038" s="3812"/>
      <c r="BL1038" s="3812"/>
      <c r="BM1038" s="3812"/>
      <c r="BN1038" s="3812">
        <f>1880*0.4</f>
        <v>752</v>
      </c>
      <c r="BO1038" s="3812"/>
      <c r="BP1038" s="3812"/>
      <c r="BQ1038" s="3812"/>
      <c r="BR1038" s="3812"/>
      <c r="BS1038" s="3812"/>
      <c r="BT1038" s="3812"/>
      <c r="BU1038" s="3812"/>
      <c r="BV1038" s="5123"/>
      <c r="BW1038" s="3812">
        <f>186120*0.4</f>
        <v>74448</v>
      </c>
      <c r="BX1038" s="3812"/>
      <c r="BY1038" s="3812"/>
      <c r="BZ1038" s="3812"/>
      <c r="CA1038" s="3812"/>
      <c r="CB1038" s="3812">
        <f>1880*0.4</f>
        <v>752</v>
      </c>
      <c r="CC1038" s="3812"/>
      <c r="CD1038" s="3812"/>
      <c r="CE1038" s="5169">
        <f>SUBTOTAL(9,BO1038:CB1038)</f>
        <v>75200</v>
      </c>
      <c r="CF1038" s="5169">
        <f t="shared" ref="CF1038:CF1044" si="211">AN1038-CE1038</f>
        <v>0</v>
      </c>
      <c r="CG1038" s="5310"/>
      <c r="CH1038" s="5310"/>
    </row>
    <row r="1039" s="4974" customFormat="1" ht="24.75" customHeight="1" spans="1:86">
      <c r="A1039" s="2678"/>
      <c r="B1039" s="3812"/>
      <c r="C1039" s="3812"/>
      <c r="D1039" s="5059"/>
      <c r="E1039" s="5059"/>
      <c r="F1039" s="5059"/>
      <c r="G1039" s="5059"/>
      <c r="H1039" s="5059"/>
      <c r="I1039" s="5205"/>
      <c r="J1039" s="5059"/>
      <c r="K1039" s="5059"/>
      <c r="L1039" s="5059"/>
      <c r="M1039" s="3812"/>
      <c r="N1039" s="5667"/>
      <c r="O1039" s="5667"/>
      <c r="P1039" s="5667"/>
      <c r="Q1039" s="5667"/>
      <c r="R1039" s="5667"/>
      <c r="S1039" s="5667"/>
      <c r="T1039" s="5667"/>
      <c r="U1039" s="5667"/>
      <c r="V1039" s="5667"/>
      <c r="W1039" s="5667"/>
      <c r="X1039" s="5667"/>
      <c r="Y1039" s="5667"/>
      <c r="Z1039" s="5667"/>
      <c r="AA1039" s="5667"/>
      <c r="AB1039" s="5973"/>
      <c r="AC1039" s="5073" t="s">
        <v>1146</v>
      </c>
      <c r="AD1039" s="5073" t="s">
        <v>1937</v>
      </c>
      <c r="AE1039" s="5073">
        <v>0.55</v>
      </c>
      <c r="AF1039" s="4840">
        <f t="shared" si="210"/>
        <v>103400</v>
      </c>
      <c r="AG1039" s="4840">
        <f>SUM(BA1039:BN1039)</f>
        <v>103400</v>
      </c>
      <c r="AH1039" s="5073" t="s">
        <v>122</v>
      </c>
      <c r="AI1039" s="4840">
        <v>45497</v>
      </c>
      <c r="AJ1039" s="4840">
        <v>103400</v>
      </c>
      <c r="AK1039" s="4840">
        <v>45514</v>
      </c>
      <c r="AL1039" s="4840">
        <v>103400</v>
      </c>
      <c r="AM1039" s="4840">
        <v>45499</v>
      </c>
      <c r="AN1039" s="5349">
        <f t="shared" si="208"/>
        <v>67680</v>
      </c>
      <c r="AO1039" s="3812">
        <v>45554</v>
      </c>
      <c r="AP1039" s="3812"/>
      <c r="AQ1039" s="1032"/>
      <c r="AR1039" s="3812"/>
      <c r="AS1039" s="5059"/>
      <c r="AT1039" s="3812"/>
      <c r="AU1039" s="3812"/>
      <c r="AV1039" s="3812"/>
      <c r="AW1039" s="3812"/>
      <c r="AX1039" s="3812"/>
      <c r="AY1039" s="3812"/>
      <c r="AZ1039" s="3812"/>
      <c r="BA1039" s="3812"/>
      <c r="BB1039" s="3812"/>
      <c r="BC1039" s="3812"/>
      <c r="BD1039" s="3812"/>
      <c r="BE1039" s="3812"/>
      <c r="BF1039" s="3812"/>
      <c r="BG1039" s="3812"/>
      <c r="BH1039" s="5123"/>
      <c r="BI1039" s="4840">
        <f>186120*0.55</f>
        <v>102366</v>
      </c>
      <c r="BJ1039" s="3812"/>
      <c r="BK1039" s="3812"/>
      <c r="BL1039" s="3812"/>
      <c r="BM1039" s="4840"/>
      <c r="BN1039" s="4840">
        <f>1880*0.55</f>
        <v>1034</v>
      </c>
      <c r="BO1039" s="3812"/>
      <c r="BP1039" s="3812"/>
      <c r="BQ1039" s="3812"/>
      <c r="BR1039" s="3812"/>
      <c r="BS1039" s="3812"/>
      <c r="BT1039" s="3812"/>
      <c r="BU1039" s="3812"/>
      <c r="BV1039" s="5123"/>
      <c r="BW1039" s="3812">
        <v>66646</v>
      </c>
      <c r="BX1039" s="3812"/>
      <c r="BY1039" s="3812"/>
      <c r="BZ1039" s="3812"/>
      <c r="CA1039" s="3812"/>
      <c r="CB1039" s="3812">
        <f>1880*0.55</f>
        <v>1034</v>
      </c>
      <c r="CC1039" s="3812"/>
      <c r="CD1039" s="3812"/>
      <c r="CE1039" s="5169">
        <f>SUBTOTAL(9,BO1039:CB1039)</f>
        <v>67680</v>
      </c>
      <c r="CF1039" s="5169">
        <f t="shared" si="211"/>
        <v>0</v>
      </c>
      <c r="CG1039" s="5310"/>
      <c r="CH1039" s="5310"/>
    </row>
    <row r="1040" s="4974" customFormat="1" ht="24.75" customHeight="1" spans="1:86">
      <c r="A1040" s="2678"/>
      <c r="B1040" s="3812"/>
      <c r="C1040" s="3812"/>
      <c r="D1040" s="5059"/>
      <c r="E1040" s="5059"/>
      <c r="F1040" s="5059"/>
      <c r="G1040" s="5059"/>
      <c r="H1040" s="5059"/>
      <c r="I1040" s="5205"/>
      <c r="J1040" s="5059"/>
      <c r="K1040" s="5059"/>
      <c r="L1040" s="5059"/>
      <c r="M1040" s="3812"/>
      <c r="N1040" s="5667"/>
      <c r="O1040" s="5667"/>
      <c r="P1040" s="5667"/>
      <c r="Q1040" s="5667"/>
      <c r="R1040" s="5667"/>
      <c r="S1040" s="5667"/>
      <c r="T1040" s="5667"/>
      <c r="U1040" s="5667"/>
      <c r="V1040" s="5667"/>
      <c r="W1040" s="5667"/>
      <c r="X1040" s="5667"/>
      <c r="Y1040" s="5667"/>
      <c r="Z1040" s="5667"/>
      <c r="AA1040" s="5667"/>
      <c r="AB1040" s="5973"/>
      <c r="AC1040" s="5206"/>
      <c r="AD1040" s="5206"/>
      <c r="AE1040" s="5206"/>
      <c r="AF1040" s="4842"/>
      <c r="AG1040" s="4842"/>
      <c r="AH1040" s="5206"/>
      <c r="AI1040" s="4842"/>
      <c r="AJ1040" s="4842"/>
      <c r="AK1040" s="4842"/>
      <c r="AL1040" s="4842"/>
      <c r="AM1040" s="4842"/>
      <c r="AN1040" s="5349">
        <f t="shared" si="208"/>
        <v>35720</v>
      </c>
      <c r="AO1040" s="3812">
        <v>45616</v>
      </c>
      <c r="AP1040" s="3812"/>
      <c r="AQ1040" s="1032"/>
      <c r="AR1040" s="3812"/>
      <c r="AS1040" s="5059"/>
      <c r="AT1040" s="3812"/>
      <c r="AU1040" s="3812"/>
      <c r="AV1040" s="3812"/>
      <c r="AW1040" s="3812"/>
      <c r="AX1040" s="3812"/>
      <c r="AY1040" s="3812"/>
      <c r="AZ1040" s="3812"/>
      <c r="BA1040" s="3812"/>
      <c r="BB1040" s="3812"/>
      <c r="BC1040" s="3812"/>
      <c r="BD1040" s="3812"/>
      <c r="BE1040" s="3812"/>
      <c r="BF1040" s="3812"/>
      <c r="BG1040" s="3812"/>
      <c r="BH1040" s="3812"/>
      <c r="BI1040" s="4842"/>
      <c r="BJ1040" s="3812"/>
      <c r="BK1040" s="3812"/>
      <c r="BL1040" s="3812"/>
      <c r="BM1040" s="4842"/>
      <c r="BN1040" s="4842"/>
      <c r="BO1040" s="3812"/>
      <c r="BP1040" s="3812"/>
      <c r="BQ1040" s="3812"/>
      <c r="BR1040" s="3812"/>
      <c r="BS1040" s="3812"/>
      <c r="BT1040" s="3812"/>
      <c r="BU1040" s="3812"/>
      <c r="BV1040" s="3812"/>
      <c r="BW1040" s="3812">
        <f>BI1039-BW1039</f>
        <v>35720</v>
      </c>
      <c r="BX1040" s="3812"/>
      <c r="BY1040" s="3812"/>
      <c r="BZ1040" s="3812"/>
      <c r="CA1040" s="3812"/>
      <c r="CB1040" s="4813"/>
      <c r="CC1040" s="3812"/>
      <c r="CD1040" s="3812"/>
      <c r="CE1040" s="5310"/>
      <c r="CF1040" s="5310"/>
      <c r="CG1040" s="5310"/>
      <c r="CH1040" s="5310"/>
    </row>
    <row r="1041" s="4974" customFormat="1" ht="76" spans="1:86">
      <c r="A1041" s="2678"/>
      <c r="B1041" s="3812"/>
      <c r="C1041" s="3812"/>
      <c r="D1041" s="5059"/>
      <c r="E1041" s="5059"/>
      <c r="F1041" s="5059"/>
      <c r="G1041" s="5059"/>
      <c r="H1041" s="5059"/>
      <c r="I1041" s="5205"/>
      <c r="J1041" s="5059"/>
      <c r="K1041" s="5059"/>
      <c r="L1041" s="5059"/>
      <c r="M1041" s="3812"/>
      <c r="N1041" s="5667"/>
      <c r="O1041" s="5667"/>
      <c r="P1041" s="5667"/>
      <c r="Q1041" s="5667"/>
      <c r="R1041" s="5667"/>
      <c r="S1041" s="5667"/>
      <c r="T1041" s="5667"/>
      <c r="U1041" s="5667"/>
      <c r="V1041" s="5667"/>
      <c r="W1041" s="5667"/>
      <c r="X1041" s="5667"/>
      <c r="Y1041" s="5667"/>
      <c r="Z1041" s="5667"/>
      <c r="AA1041" s="5667"/>
      <c r="AB1041" s="5973"/>
      <c r="AC1041" s="1032" t="s">
        <v>1148</v>
      </c>
      <c r="AD1041" s="5241" t="s">
        <v>1938</v>
      </c>
      <c r="AE1041" s="1032">
        <v>0.05</v>
      </c>
      <c r="AF1041" s="3812">
        <f t="shared" si="210"/>
        <v>9400</v>
      </c>
      <c r="AG1041" s="3812">
        <f t="shared" ref="AG1041:AG1046" si="212">SUM(BA1041:BN1041)</f>
        <v>9400</v>
      </c>
      <c r="AH1041" s="5245"/>
      <c r="AI1041" s="5123"/>
      <c r="AJ1041" s="4813"/>
      <c r="AK1041" s="4813"/>
      <c r="AL1041" s="3812"/>
      <c r="AM1041" s="3812"/>
      <c r="AN1041" s="5349">
        <f t="shared" si="208"/>
        <v>0</v>
      </c>
      <c r="AO1041" s="3812"/>
      <c r="AP1041" s="3812"/>
      <c r="AQ1041" s="1032"/>
      <c r="AR1041" s="3812"/>
      <c r="AS1041" s="5059"/>
      <c r="AT1041" s="3812"/>
      <c r="AU1041" s="3812"/>
      <c r="AV1041" s="3812"/>
      <c r="AW1041" s="3812"/>
      <c r="AX1041" s="3812"/>
      <c r="AY1041" s="3812"/>
      <c r="AZ1041" s="3812"/>
      <c r="BA1041" s="3812"/>
      <c r="BB1041" s="3812"/>
      <c r="BC1041" s="3812"/>
      <c r="BD1041" s="3812"/>
      <c r="BE1041" s="3812"/>
      <c r="BF1041" s="3812"/>
      <c r="BG1041" s="3812"/>
      <c r="BH1041" s="3812"/>
      <c r="BI1041" s="3812">
        <f>186120*0.05</f>
        <v>9306</v>
      </c>
      <c r="BJ1041" s="3812"/>
      <c r="BK1041" s="3812"/>
      <c r="BL1041" s="3812"/>
      <c r="BM1041" s="3812"/>
      <c r="BN1041" s="3812">
        <f>1880*0.05</f>
        <v>94</v>
      </c>
      <c r="BO1041" s="3812"/>
      <c r="BP1041" s="3812"/>
      <c r="BQ1041" s="3812"/>
      <c r="BR1041" s="3812"/>
      <c r="BS1041" s="3812"/>
      <c r="BT1041" s="3812"/>
      <c r="BU1041" s="3812"/>
      <c r="BV1041" s="3812"/>
      <c r="BW1041" s="3812"/>
      <c r="BX1041" s="3812"/>
      <c r="BY1041" s="3812"/>
      <c r="BZ1041" s="3812"/>
      <c r="CA1041" s="3812"/>
      <c r="CB1041" s="4813"/>
      <c r="CC1041" s="3812"/>
      <c r="CD1041" s="3812"/>
      <c r="CE1041" s="5310"/>
      <c r="CF1041" s="5310"/>
      <c r="CG1041" s="5310"/>
      <c r="CH1041" s="5310"/>
    </row>
    <row r="1042" s="4985" customFormat="1" ht="25" customHeight="1" spans="1:86">
      <c r="A1042" s="5201"/>
      <c r="B1042" s="5201"/>
      <c r="C1042" s="5201"/>
      <c r="D1042" s="5708"/>
      <c r="E1042" s="5708"/>
      <c r="F1042" s="5708"/>
      <c r="G1042" s="5708"/>
      <c r="H1042" s="5708"/>
      <c r="I1042" s="5205"/>
      <c r="J1042" s="5708"/>
      <c r="K1042" s="5708"/>
      <c r="L1042" s="5708"/>
      <c r="M1042" s="5201"/>
      <c r="N1042" s="5999"/>
      <c r="O1042" s="5999"/>
      <c r="P1042" s="5999"/>
      <c r="Q1042" s="5999"/>
      <c r="R1042" s="5999"/>
      <c r="S1042" s="5999"/>
      <c r="T1042" s="5999"/>
      <c r="U1042" s="5999"/>
      <c r="V1042" s="5999"/>
      <c r="W1042" s="5999"/>
      <c r="X1042" s="5999"/>
      <c r="Y1042" s="5999"/>
      <c r="Z1042" s="5999"/>
      <c r="AA1042" s="5999"/>
      <c r="AB1042" s="6000"/>
      <c r="AC1042" s="5714" t="s">
        <v>1786</v>
      </c>
      <c r="AD1042" s="5931" t="s">
        <v>1787</v>
      </c>
      <c r="AE1042" s="5714">
        <v>0.1</v>
      </c>
      <c r="AF1042" s="5201">
        <f>1008468*AE1042</f>
        <v>100846.8</v>
      </c>
      <c r="AG1042" s="5201">
        <f t="shared" si="212"/>
        <v>100846.8</v>
      </c>
      <c r="AH1042" s="5714" t="s">
        <v>122</v>
      </c>
      <c r="AI1042" s="5201">
        <v>45497</v>
      </c>
      <c r="AJ1042" s="5201">
        <v>100846.8</v>
      </c>
      <c r="AK1042" s="5201">
        <v>45514</v>
      </c>
      <c r="AL1042" s="5201">
        <v>100846.8</v>
      </c>
      <c r="AM1042" s="5201">
        <v>45499</v>
      </c>
      <c r="AN1042" s="5201">
        <f t="shared" si="208"/>
        <v>100846.8</v>
      </c>
      <c r="AO1042" s="3812">
        <v>45554</v>
      </c>
      <c r="AP1042" s="5201"/>
      <c r="AQ1042" s="5714"/>
      <c r="AR1042" s="5201"/>
      <c r="AS1042" s="5708"/>
      <c r="AT1042" s="5201"/>
      <c r="AU1042" s="3812"/>
      <c r="AV1042" s="3812"/>
      <c r="AW1042" s="3812"/>
      <c r="AX1042" s="3812"/>
      <c r="AY1042" s="3812"/>
      <c r="AZ1042" s="3812"/>
      <c r="BA1042" s="5201"/>
      <c r="BB1042" s="5201"/>
      <c r="BC1042" s="5201"/>
      <c r="BD1042" s="5201"/>
      <c r="BE1042" s="5201"/>
      <c r="BF1042" s="5201"/>
      <c r="BG1042" s="5201"/>
      <c r="BH1042" s="5201"/>
      <c r="BI1042" s="5201"/>
      <c r="BJ1042" s="5990"/>
      <c r="BK1042" s="5201"/>
      <c r="BL1042" s="5201"/>
      <c r="BM1042" s="5201"/>
      <c r="BN1042" s="5201">
        <v>100846.8</v>
      </c>
      <c r="BO1042" s="5201"/>
      <c r="BP1042" s="5201"/>
      <c r="BQ1042" s="5201"/>
      <c r="BR1042" s="5201"/>
      <c r="BS1042" s="5201"/>
      <c r="BT1042" s="5201"/>
      <c r="BU1042" s="5201"/>
      <c r="BV1042" s="5201"/>
      <c r="BW1042" s="5201"/>
      <c r="BX1042" s="5201"/>
      <c r="BY1042" s="5201"/>
      <c r="BZ1042" s="5201"/>
      <c r="CA1042" s="5201"/>
      <c r="CB1042" s="5201">
        <v>100846.8</v>
      </c>
      <c r="CC1042" s="5201"/>
      <c r="CD1042" s="5201"/>
      <c r="CE1042" s="5169">
        <f>SUBTOTAL(9,BO1042:CB1042)</f>
        <v>100846.8</v>
      </c>
      <c r="CF1042" s="5169">
        <f t="shared" si="211"/>
        <v>0</v>
      </c>
      <c r="CG1042" s="5990"/>
      <c r="CH1042" s="5990"/>
    </row>
    <row r="1043" s="4974" customFormat="1" ht="25" customHeight="1" spans="1:86">
      <c r="A1043" s="5200"/>
      <c r="B1043" s="3812"/>
      <c r="C1043" s="3812"/>
      <c r="D1043" s="5059"/>
      <c r="E1043" s="5059"/>
      <c r="F1043" s="5059"/>
      <c r="G1043" s="5059"/>
      <c r="H1043" s="5059"/>
      <c r="I1043" s="5205"/>
      <c r="J1043" s="5059"/>
      <c r="K1043" s="5059"/>
      <c r="L1043" s="5059"/>
      <c r="M1043" s="3812"/>
      <c r="N1043" s="5999"/>
      <c r="O1043" s="5999"/>
      <c r="P1043" s="5999"/>
      <c r="Q1043" s="5999"/>
      <c r="R1043" s="5999"/>
      <c r="S1043" s="5999"/>
      <c r="T1043" s="5999"/>
      <c r="U1043" s="5999"/>
      <c r="V1043" s="5999"/>
      <c r="W1043" s="5999"/>
      <c r="X1043" s="5999"/>
      <c r="Y1043" s="5999"/>
      <c r="Z1043" s="5999"/>
      <c r="AA1043" s="5999"/>
      <c r="AB1043" s="6000"/>
      <c r="AC1043" s="1032" t="s">
        <v>1913</v>
      </c>
      <c r="AD1043" s="5241" t="s">
        <v>1914</v>
      </c>
      <c r="AE1043" s="1032">
        <v>0.4</v>
      </c>
      <c r="AF1043" s="3812">
        <f t="shared" ref="AF1043:AF1045" si="213">220500*AE1043</f>
        <v>88200</v>
      </c>
      <c r="AG1043" s="3812">
        <f t="shared" si="212"/>
        <v>88200</v>
      </c>
      <c r="AH1043" s="1032" t="s">
        <v>122</v>
      </c>
      <c r="AI1043" s="3812">
        <v>45497</v>
      </c>
      <c r="AJ1043" s="3812">
        <v>88200</v>
      </c>
      <c r="AK1043" s="3812">
        <v>45514</v>
      </c>
      <c r="AL1043" s="3812">
        <v>88200</v>
      </c>
      <c r="AM1043" s="3812">
        <v>45499</v>
      </c>
      <c r="AN1043" s="5349">
        <f t="shared" si="208"/>
        <v>88200</v>
      </c>
      <c r="AO1043" s="3812">
        <v>45554</v>
      </c>
      <c r="AP1043" s="3812"/>
      <c r="AQ1043" s="1032"/>
      <c r="AR1043" s="3812"/>
      <c r="AS1043" s="5059"/>
      <c r="AT1043" s="3812"/>
      <c r="AU1043" s="3812"/>
      <c r="AV1043" s="3812"/>
      <c r="AW1043" s="3812"/>
      <c r="AX1043" s="3812"/>
      <c r="AY1043" s="3812"/>
      <c r="AZ1043" s="3812"/>
      <c r="BA1043" s="3812"/>
      <c r="BB1043" s="3812"/>
      <c r="BC1043" s="3812"/>
      <c r="BD1043" s="3812"/>
      <c r="BE1043" s="3812"/>
      <c r="BF1043" s="3812"/>
      <c r="BG1043" s="3812"/>
      <c r="BH1043" s="3812"/>
      <c r="BI1043" s="3812"/>
      <c r="BJ1043" s="3812"/>
      <c r="BK1043" s="3812"/>
      <c r="BL1043" s="3812"/>
      <c r="BM1043" s="3812"/>
      <c r="BN1043" s="3812">
        <v>88200</v>
      </c>
      <c r="BO1043" s="3812"/>
      <c r="BP1043" s="3812"/>
      <c r="BQ1043" s="3812"/>
      <c r="BR1043" s="3812"/>
      <c r="BS1043" s="3812"/>
      <c r="BT1043" s="3812"/>
      <c r="BU1043" s="3812"/>
      <c r="BV1043" s="3812"/>
      <c r="BW1043" s="3812"/>
      <c r="BX1043" s="3812"/>
      <c r="BY1043" s="3812"/>
      <c r="BZ1043" s="3812"/>
      <c r="CA1043" s="3812"/>
      <c r="CB1043" s="3812">
        <v>88200</v>
      </c>
      <c r="CC1043" s="3812"/>
      <c r="CD1043" s="3812"/>
      <c r="CE1043" s="5169">
        <f>SUBTOTAL(9,BO1043:CB1043)</f>
        <v>88200</v>
      </c>
      <c r="CF1043" s="5169">
        <f t="shared" si="211"/>
        <v>0</v>
      </c>
      <c r="CG1043" s="5310"/>
      <c r="CH1043" s="5310"/>
    </row>
    <row r="1044" s="4974" customFormat="1" ht="31" spans="1:86">
      <c r="A1044" s="5200"/>
      <c r="B1044" s="3812"/>
      <c r="C1044" s="3812"/>
      <c r="D1044" s="5059"/>
      <c r="E1044" s="5059"/>
      <c r="F1044" s="5059"/>
      <c r="G1044" s="5059"/>
      <c r="H1044" s="5059"/>
      <c r="I1044" s="5205"/>
      <c r="J1044" s="5059"/>
      <c r="K1044" s="5059"/>
      <c r="L1044" s="5059"/>
      <c r="M1044" s="3812"/>
      <c r="N1044" s="5999"/>
      <c r="O1044" s="5999"/>
      <c r="P1044" s="5999"/>
      <c r="Q1044" s="5999"/>
      <c r="R1044" s="5999"/>
      <c r="S1044" s="5999"/>
      <c r="T1044" s="5999"/>
      <c r="U1044" s="5999"/>
      <c r="V1044" s="5999"/>
      <c r="W1044" s="5999"/>
      <c r="X1044" s="5999"/>
      <c r="Y1044" s="5999"/>
      <c r="Z1044" s="5999"/>
      <c r="AA1044" s="5999"/>
      <c r="AB1044" s="6000"/>
      <c r="AC1044" s="1032" t="s">
        <v>1913</v>
      </c>
      <c r="AD1044" s="5241" t="s">
        <v>1915</v>
      </c>
      <c r="AE1044" s="1032">
        <v>0.3</v>
      </c>
      <c r="AF1044" s="3812">
        <f t="shared" si="213"/>
        <v>66150</v>
      </c>
      <c r="AG1044" s="3812">
        <f t="shared" si="212"/>
        <v>66150</v>
      </c>
      <c r="AH1044" s="1032" t="s">
        <v>122</v>
      </c>
      <c r="AI1044" s="3812">
        <v>45497</v>
      </c>
      <c r="AJ1044" s="3812">
        <v>66150</v>
      </c>
      <c r="AK1044" s="3812">
        <v>45514</v>
      </c>
      <c r="AL1044" s="3812">
        <v>66150</v>
      </c>
      <c r="AM1044" s="3812">
        <v>45499</v>
      </c>
      <c r="AN1044" s="5349">
        <f t="shared" si="208"/>
        <v>66150</v>
      </c>
      <c r="AO1044" s="3812">
        <v>45554</v>
      </c>
      <c r="AP1044" s="3812"/>
      <c r="AQ1044" s="1032"/>
      <c r="AR1044" s="3812"/>
      <c r="AS1044" s="5059"/>
      <c r="AT1044" s="3812"/>
      <c r="AU1044" s="3812"/>
      <c r="AV1044" s="3812"/>
      <c r="AW1044" s="3812"/>
      <c r="AX1044" s="3812"/>
      <c r="AY1044" s="3812"/>
      <c r="AZ1044" s="3812"/>
      <c r="BA1044" s="3812"/>
      <c r="BB1044" s="3812"/>
      <c r="BC1044" s="3812"/>
      <c r="BD1044" s="3812"/>
      <c r="BE1044" s="3812"/>
      <c r="BF1044" s="3812"/>
      <c r="BG1044" s="3812"/>
      <c r="BH1044" s="3812"/>
      <c r="BI1044" s="3812"/>
      <c r="BJ1044" s="3812"/>
      <c r="BK1044" s="3812"/>
      <c r="BL1044" s="3812"/>
      <c r="BM1044" s="4840"/>
      <c r="BN1044" s="4840">
        <v>66150</v>
      </c>
      <c r="BO1044" s="3812"/>
      <c r="BP1044" s="3812"/>
      <c r="BQ1044" s="3812"/>
      <c r="BR1044" s="3812"/>
      <c r="BS1044" s="3812"/>
      <c r="BT1044" s="3812"/>
      <c r="BU1044" s="3812"/>
      <c r="BV1044" s="3812"/>
      <c r="BW1044" s="3812"/>
      <c r="BX1044" s="3812"/>
      <c r="BY1044" s="3812"/>
      <c r="BZ1044" s="3812"/>
      <c r="CA1044" s="3812"/>
      <c r="CB1044" s="3812">
        <v>66150</v>
      </c>
      <c r="CC1044" s="3812"/>
      <c r="CD1044" s="3812"/>
      <c r="CE1044" s="5169">
        <f>SUBTOTAL(9,BO1044:CB1044)</f>
        <v>66150</v>
      </c>
      <c r="CF1044" s="5169">
        <f t="shared" si="211"/>
        <v>0</v>
      </c>
      <c r="CG1044" s="5310"/>
      <c r="CH1044" s="5310"/>
    </row>
    <row r="1045" s="4974" customFormat="1" ht="31" spans="1:86">
      <c r="A1045" s="5200"/>
      <c r="B1045" s="3812"/>
      <c r="C1045" s="3812"/>
      <c r="D1045" s="5059"/>
      <c r="E1045" s="5059"/>
      <c r="F1045" s="5059"/>
      <c r="G1045" s="5059"/>
      <c r="H1045" s="5059"/>
      <c r="I1045" s="5205"/>
      <c r="J1045" s="5059"/>
      <c r="K1045" s="5059"/>
      <c r="L1045" s="5059"/>
      <c r="M1045" s="3812"/>
      <c r="N1045" s="5999"/>
      <c r="O1045" s="5999"/>
      <c r="P1045" s="5999"/>
      <c r="Q1045" s="5999"/>
      <c r="R1045" s="5999"/>
      <c r="S1045" s="5999"/>
      <c r="T1045" s="5999"/>
      <c r="U1045" s="5999"/>
      <c r="V1045" s="5999"/>
      <c r="W1045" s="5999"/>
      <c r="X1045" s="5999"/>
      <c r="Y1045" s="5999"/>
      <c r="Z1045" s="5999"/>
      <c r="AA1045" s="5999"/>
      <c r="AB1045" s="6000"/>
      <c r="AC1045" s="1032" t="s">
        <v>1913</v>
      </c>
      <c r="AD1045" s="5241" t="s">
        <v>1916</v>
      </c>
      <c r="AE1045" s="1032">
        <v>0.1</v>
      </c>
      <c r="AF1045" s="3812">
        <f t="shared" si="213"/>
        <v>22050</v>
      </c>
      <c r="AG1045" s="3812">
        <f t="shared" si="212"/>
        <v>22050</v>
      </c>
      <c r="AH1045" s="1032" t="s">
        <v>122</v>
      </c>
      <c r="AI1045" s="3812">
        <v>45639</v>
      </c>
      <c r="AJ1045" s="3812">
        <v>22050</v>
      </c>
      <c r="AK1045" s="3812">
        <v>45639</v>
      </c>
      <c r="AL1045" s="3812">
        <v>22050</v>
      </c>
      <c r="AM1045" s="3812">
        <v>45646</v>
      </c>
      <c r="AN1045" s="5349">
        <f t="shared" si="208"/>
        <v>22050</v>
      </c>
      <c r="AO1045" s="5257">
        <v>45680</v>
      </c>
      <c r="AP1045" s="3812"/>
      <c r="AQ1045" s="1032"/>
      <c r="AR1045" s="3812"/>
      <c r="AS1045" s="5059"/>
      <c r="AT1045" s="3812"/>
      <c r="AU1045" s="3812"/>
      <c r="AV1045" s="3812"/>
      <c r="AW1045" s="3812"/>
      <c r="AX1045" s="3812"/>
      <c r="AY1045" s="3812"/>
      <c r="AZ1045" s="3812"/>
      <c r="BA1045" s="3812"/>
      <c r="BB1045" s="3812"/>
      <c r="BC1045" s="3812"/>
      <c r="BD1045" s="3812"/>
      <c r="BE1045" s="3812"/>
      <c r="BF1045" s="3812"/>
      <c r="BG1045" s="3812"/>
      <c r="BH1045" s="3812"/>
      <c r="BI1045" s="3812"/>
      <c r="BJ1045" s="3812"/>
      <c r="BK1045" s="3812"/>
      <c r="BL1045" s="3812"/>
      <c r="BM1045" s="4842"/>
      <c r="BN1045" s="4842">
        <v>22050</v>
      </c>
      <c r="BO1045" s="3812"/>
      <c r="BP1045" s="3812"/>
      <c r="BQ1045" s="3812"/>
      <c r="BR1045" s="3812"/>
      <c r="BS1045" s="3812"/>
      <c r="BT1045" s="3812"/>
      <c r="BU1045" s="3812"/>
      <c r="BV1045" s="3812"/>
      <c r="BW1045" s="3812"/>
      <c r="BX1045" s="3812"/>
      <c r="BY1045" s="3812"/>
      <c r="BZ1045" s="3812"/>
      <c r="CA1045" s="4842"/>
      <c r="CB1045" s="5350">
        <v>22050</v>
      </c>
      <c r="CC1045" s="3812"/>
      <c r="CD1045" s="3812"/>
      <c r="CE1045" s="5310"/>
      <c r="CF1045" s="5310"/>
      <c r="CG1045" s="5310"/>
      <c r="CH1045" s="5310"/>
    </row>
    <row r="1046" s="4974" customFormat="1" ht="28.5" customHeight="1" spans="1:86">
      <c r="A1046" s="5200"/>
      <c r="B1046" s="3812"/>
      <c r="C1046" s="3812"/>
      <c r="D1046" s="5059"/>
      <c r="E1046" s="5059"/>
      <c r="F1046" s="5059"/>
      <c r="G1046" s="5059"/>
      <c r="H1046" s="5059"/>
      <c r="I1046" s="5205"/>
      <c r="J1046" s="5059"/>
      <c r="K1046" s="5059"/>
      <c r="L1046" s="5059"/>
      <c r="M1046" s="3812"/>
      <c r="N1046" s="5999"/>
      <c r="O1046" s="5999"/>
      <c r="P1046" s="5999"/>
      <c r="Q1046" s="5999"/>
      <c r="R1046" s="5999"/>
      <c r="S1046" s="5999"/>
      <c r="T1046" s="5999"/>
      <c r="U1046" s="5999"/>
      <c r="V1046" s="5999"/>
      <c r="W1046" s="5999"/>
      <c r="X1046" s="5999"/>
      <c r="Y1046" s="5999"/>
      <c r="Z1046" s="5999"/>
      <c r="AA1046" s="5999"/>
      <c r="AB1046" s="6000"/>
      <c r="AC1046" s="5073" t="s">
        <v>1789</v>
      </c>
      <c r="AD1046" s="5073" t="s">
        <v>1790</v>
      </c>
      <c r="AE1046" s="5073">
        <v>0.15</v>
      </c>
      <c r="AF1046" s="4840">
        <f t="shared" ref="AF1046:AF1051" si="214">787968*AE1046</f>
        <v>118195.2</v>
      </c>
      <c r="AG1046" s="4840">
        <f t="shared" si="212"/>
        <v>118195.2</v>
      </c>
      <c r="AH1046" s="5073" t="s">
        <v>122</v>
      </c>
      <c r="AI1046" s="4840">
        <v>45497</v>
      </c>
      <c r="AJ1046" s="4840">
        <v>118195.2</v>
      </c>
      <c r="AK1046" s="4840">
        <v>45514</v>
      </c>
      <c r="AL1046" s="4840">
        <v>118195.2</v>
      </c>
      <c r="AM1046" s="4840">
        <v>45499</v>
      </c>
      <c r="AN1046" s="5349">
        <f t="shared" si="208"/>
        <v>43516.8</v>
      </c>
      <c r="AO1046" s="3812">
        <v>45554</v>
      </c>
      <c r="AP1046" s="3812"/>
      <c r="AQ1046" s="1032"/>
      <c r="AR1046" s="3812"/>
      <c r="AS1046" s="5059"/>
      <c r="AT1046" s="3812"/>
      <c r="AU1046" s="3812"/>
      <c r="AV1046" s="3812"/>
      <c r="AW1046" s="3812"/>
      <c r="AX1046" s="3812"/>
      <c r="AY1046" s="3812"/>
      <c r="AZ1046" s="3812"/>
      <c r="BA1046" s="3812"/>
      <c r="BB1046" s="3812"/>
      <c r="BC1046" s="3812"/>
      <c r="BD1046" s="3812"/>
      <c r="BE1046" s="3812"/>
      <c r="BF1046" s="3812"/>
      <c r="BG1046" s="3812"/>
      <c r="BH1046" s="3812"/>
      <c r="BI1046" s="3812"/>
      <c r="BJ1046" s="3812"/>
      <c r="BK1046" s="3812"/>
      <c r="BL1046" s="3812"/>
      <c r="BM1046" s="4840"/>
      <c r="BN1046" s="4840">
        <v>118195.2</v>
      </c>
      <c r="BO1046" s="3812"/>
      <c r="BP1046" s="3812"/>
      <c r="BQ1046" s="3812"/>
      <c r="BR1046" s="3812"/>
      <c r="BS1046" s="3812"/>
      <c r="BT1046" s="3812"/>
      <c r="BU1046" s="3812"/>
      <c r="BV1046" s="3812"/>
      <c r="BW1046" s="3812"/>
      <c r="BX1046" s="3812"/>
      <c r="BY1046" s="3812"/>
      <c r="BZ1046" s="3812"/>
      <c r="CA1046" s="3812"/>
      <c r="CB1046" s="3812">
        <v>43516.8</v>
      </c>
      <c r="CC1046" s="3812"/>
      <c r="CD1046" s="3812"/>
      <c r="CE1046" s="5169">
        <f>SUBTOTAL(9,BO1046:CB1046)</f>
        <v>43516.8</v>
      </c>
      <c r="CF1046" s="5169">
        <f>AN1046-CE1046</f>
        <v>0</v>
      </c>
      <c r="CG1046" s="5310"/>
      <c r="CH1046" s="5310"/>
    </row>
    <row r="1047" s="4974" customFormat="1" ht="28.5" customHeight="1" spans="1:86">
      <c r="A1047" s="5200"/>
      <c r="B1047" s="3812"/>
      <c r="C1047" s="3812"/>
      <c r="D1047" s="5059"/>
      <c r="E1047" s="5059"/>
      <c r="F1047" s="5059"/>
      <c r="G1047" s="5059"/>
      <c r="H1047" s="5059"/>
      <c r="I1047" s="5205"/>
      <c r="J1047" s="5059"/>
      <c r="K1047" s="5059"/>
      <c r="L1047" s="5059"/>
      <c r="M1047" s="3812"/>
      <c r="N1047" s="5999"/>
      <c r="O1047" s="5999"/>
      <c r="P1047" s="5999"/>
      <c r="Q1047" s="5999"/>
      <c r="R1047" s="5999"/>
      <c r="S1047" s="5999"/>
      <c r="T1047" s="5999"/>
      <c r="U1047" s="5999"/>
      <c r="V1047" s="5999"/>
      <c r="W1047" s="5999"/>
      <c r="X1047" s="5999"/>
      <c r="Y1047" s="5999"/>
      <c r="Z1047" s="5999"/>
      <c r="AA1047" s="5999"/>
      <c r="AB1047" s="6000"/>
      <c r="AC1047" s="5206"/>
      <c r="AD1047" s="5206"/>
      <c r="AE1047" s="5206"/>
      <c r="AF1047" s="4842"/>
      <c r="AG1047" s="4842"/>
      <c r="AH1047" s="5206"/>
      <c r="AI1047" s="4842"/>
      <c r="AJ1047" s="4842"/>
      <c r="AK1047" s="4842"/>
      <c r="AL1047" s="4842"/>
      <c r="AM1047" s="4842"/>
      <c r="AN1047" s="5349">
        <f t="shared" si="208"/>
        <v>74678.4</v>
      </c>
      <c r="AO1047" s="3812">
        <v>45616</v>
      </c>
      <c r="AP1047" s="3812"/>
      <c r="AQ1047" s="1032"/>
      <c r="AR1047" s="3812"/>
      <c r="AS1047" s="5059"/>
      <c r="AT1047" s="3812"/>
      <c r="AU1047" s="3812"/>
      <c r="AV1047" s="3812"/>
      <c r="AW1047" s="3812"/>
      <c r="AX1047" s="3812"/>
      <c r="AY1047" s="3812"/>
      <c r="AZ1047" s="3812"/>
      <c r="BA1047" s="3812"/>
      <c r="BB1047" s="3812"/>
      <c r="BC1047" s="3812"/>
      <c r="BD1047" s="3812"/>
      <c r="BE1047" s="3812"/>
      <c r="BF1047" s="3812"/>
      <c r="BG1047" s="3812"/>
      <c r="BH1047" s="3812"/>
      <c r="BI1047" s="3812"/>
      <c r="BJ1047" s="3812"/>
      <c r="BK1047" s="3812"/>
      <c r="BL1047" s="3812"/>
      <c r="BM1047" s="4842"/>
      <c r="BN1047" s="4842"/>
      <c r="BO1047" s="3812"/>
      <c r="BP1047" s="3812"/>
      <c r="BQ1047" s="3812"/>
      <c r="BR1047" s="3812"/>
      <c r="BS1047" s="3812"/>
      <c r="BT1047" s="3812"/>
      <c r="BU1047" s="3812"/>
      <c r="BV1047" s="3812"/>
      <c r="BW1047" s="3812"/>
      <c r="BX1047" s="3812"/>
      <c r="BY1047" s="3812"/>
      <c r="BZ1047" s="3812"/>
      <c r="CA1047" s="3812"/>
      <c r="CB1047" s="3812">
        <f>118195.2-CB1046</f>
        <v>74678.4</v>
      </c>
      <c r="CC1047" s="3812"/>
      <c r="CD1047" s="3812"/>
      <c r="CE1047" s="5310"/>
      <c r="CF1047" s="5310"/>
      <c r="CG1047" s="5310"/>
      <c r="CH1047" s="5310"/>
    </row>
    <row r="1048" s="4974" customFormat="1" ht="31" spans="1:86">
      <c r="A1048" s="5200"/>
      <c r="B1048" s="3812"/>
      <c r="C1048" s="3812"/>
      <c r="D1048" s="5059"/>
      <c r="E1048" s="5059"/>
      <c r="F1048" s="5059"/>
      <c r="G1048" s="5059"/>
      <c r="H1048" s="5059"/>
      <c r="I1048" s="5205"/>
      <c r="J1048" s="5059"/>
      <c r="K1048" s="5059"/>
      <c r="L1048" s="5059"/>
      <c r="M1048" s="3812"/>
      <c r="N1048" s="5999"/>
      <c r="O1048" s="5999"/>
      <c r="P1048" s="5999"/>
      <c r="Q1048" s="5999"/>
      <c r="R1048" s="5999"/>
      <c r="S1048" s="5999"/>
      <c r="T1048" s="5999"/>
      <c r="U1048" s="5999"/>
      <c r="V1048" s="5999"/>
      <c r="W1048" s="5999"/>
      <c r="X1048" s="5999"/>
      <c r="Y1048" s="5999"/>
      <c r="Z1048" s="5999"/>
      <c r="AA1048" s="5999"/>
      <c r="AB1048" s="6000"/>
      <c r="AC1048" s="1032" t="s">
        <v>1789</v>
      </c>
      <c r="AD1048" s="5241" t="s">
        <v>1791</v>
      </c>
      <c r="AE1048" s="1032">
        <v>0.2</v>
      </c>
      <c r="AF1048" s="3812">
        <f t="shared" si="214"/>
        <v>157593.6</v>
      </c>
      <c r="AG1048" s="3812">
        <f t="shared" ref="AG1048:AG1056" si="215">SUM(BA1048:BN1048)</f>
        <v>157593.6</v>
      </c>
      <c r="AH1048" s="1032" t="s">
        <v>122</v>
      </c>
      <c r="AI1048" s="3812">
        <v>45639</v>
      </c>
      <c r="AJ1048" s="3812">
        <v>157593.6</v>
      </c>
      <c r="AK1048" s="3812">
        <v>45639</v>
      </c>
      <c r="AL1048" s="3812">
        <v>157593.6</v>
      </c>
      <c r="AM1048" s="3812">
        <v>45646</v>
      </c>
      <c r="AN1048" s="5349">
        <f t="shared" si="208"/>
        <v>157593.6</v>
      </c>
      <c r="AO1048" s="3812">
        <v>45680</v>
      </c>
      <c r="AP1048" s="3812"/>
      <c r="AQ1048" s="1032"/>
      <c r="AR1048" s="3812"/>
      <c r="AS1048" s="5059"/>
      <c r="AT1048" s="3812"/>
      <c r="AU1048" s="3812"/>
      <c r="AV1048" s="3812"/>
      <c r="AW1048" s="3812"/>
      <c r="AX1048" s="3812"/>
      <c r="AY1048" s="3812"/>
      <c r="AZ1048" s="3812"/>
      <c r="BA1048" s="3812"/>
      <c r="BB1048" s="3812"/>
      <c r="BC1048" s="3812"/>
      <c r="BD1048" s="3812"/>
      <c r="BE1048" s="3812"/>
      <c r="BF1048" s="3812"/>
      <c r="BG1048" s="3812"/>
      <c r="BH1048" s="3812"/>
      <c r="BI1048" s="3812"/>
      <c r="BJ1048" s="3812"/>
      <c r="BK1048" s="3812"/>
      <c r="BL1048" s="3812"/>
      <c r="BM1048" s="3812"/>
      <c r="BN1048" s="3812">
        <v>157593.6</v>
      </c>
      <c r="BO1048" s="3812"/>
      <c r="BP1048" s="3812"/>
      <c r="BQ1048" s="3812"/>
      <c r="BR1048" s="3812"/>
      <c r="BS1048" s="3812"/>
      <c r="BT1048" s="3812"/>
      <c r="BU1048" s="3812"/>
      <c r="BV1048" s="3812"/>
      <c r="BW1048" s="3812"/>
      <c r="BX1048" s="3812"/>
      <c r="BY1048" s="3812"/>
      <c r="BZ1048" s="3812"/>
      <c r="CA1048" s="3812"/>
      <c r="CB1048" s="4813">
        <v>157593.6</v>
      </c>
      <c r="CC1048" s="3812"/>
      <c r="CD1048" s="3812"/>
      <c r="CE1048" s="5310"/>
      <c r="CF1048" s="5310"/>
      <c r="CG1048" s="5310"/>
      <c r="CH1048" s="5310"/>
    </row>
    <row r="1049" s="4974" customFormat="1" ht="31" spans="1:86">
      <c r="A1049" s="5200"/>
      <c r="B1049" s="3812"/>
      <c r="C1049" s="3812"/>
      <c r="D1049" s="5059"/>
      <c r="E1049" s="5059"/>
      <c r="F1049" s="5059"/>
      <c r="G1049" s="5059"/>
      <c r="H1049" s="5059"/>
      <c r="I1049" s="5205"/>
      <c r="J1049" s="5059"/>
      <c r="K1049" s="5059"/>
      <c r="L1049" s="5059"/>
      <c r="M1049" s="3812"/>
      <c r="N1049" s="5999"/>
      <c r="O1049" s="5999"/>
      <c r="P1049" s="5999"/>
      <c r="Q1049" s="5999"/>
      <c r="R1049" s="5999"/>
      <c r="S1049" s="5999"/>
      <c r="T1049" s="5999"/>
      <c r="U1049" s="5999"/>
      <c r="V1049" s="5999"/>
      <c r="W1049" s="5999"/>
      <c r="X1049" s="5999"/>
      <c r="Y1049" s="5999"/>
      <c r="Z1049" s="5999"/>
      <c r="AA1049" s="5999"/>
      <c r="AB1049" s="6000"/>
      <c r="AC1049" s="1032" t="s">
        <v>1789</v>
      </c>
      <c r="AD1049" s="5241" t="s">
        <v>1792</v>
      </c>
      <c r="AE1049" s="1032">
        <v>0.15</v>
      </c>
      <c r="AF1049" s="3812">
        <f t="shared" si="214"/>
        <v>118195.2</v>
      </c>
      <c r="AG1049" s="3812">
        <f t="shared" si="215"/>
        <v>118195.2</v>
      </c>
      <c r="AH1049" s="1032" t="s">
        <v>122</v>
      </c>
      <c r="AI1049" s="3812">
        <v>45730</v>
      </c>
      <c r="AJ1049" s="3812">
        <v>118195.2</v>
      </c>
      <c r="AK1049" s="3812">
        <v>45730</v>
      </c>
      <c r="AL1049" s="3812">
        <v>118195.2</v>
      </c>
      <c r="AM1049" s="3812">
        <v>45730</v>
      </c>
      <c r="AN1049" s="5349">
        <f t="shared" si="208"/>
        <v>118195.2</v>
      </c>
      <c r="AO1049" s="3812">
        <v>45799</v>
      </c>
      <c r="AP1049" s="3812"/>
      <c r="AQ1049" s="1032"/>
      <c r="AR1049" s="3812"/>
      <c r="AS1049" s="5059"/>
      <c r="AT1049" s="3812"/>
      <c r="AU1049" s="3812"/>
      <c r="AV1049" s="3812"/>
      <c r="AW1049" s="3812"/>
      <c r="AX1049" s="3812"/>
      <c r="AY1049" s="3812"/>
      <c r="AZ1049" s="3812"/>
      <c r="BA1049" s="3812"/>
      <c r="BB1049" s="3812"/>
      <c r="BC1049" s="3812"/>
      <c r="BD1049" s="3812"/>
      <c r="BE1049" s="3812"/>
      <c r="BF1049" s="3812"/>
      <c r="BG1049" s="3812"/>
      <c r="BH1049" s="3812"/>
      <c r="BI1049" s="3812"/>
      <c r="BJ1049" s="3812"/>
      <c r="BK1049" s="3812"/>
      <c r="BL1049" s="3812"/>
      <c r="BM1049" s="3812"/>
      <c r="BN1049" s="3812">
        <v>118195.2</v>
      </c>
      <c r="BO1049" s="3812"/>
      <c r="BP1049" s="3812"/>
      <c r="BQ1049" s="3812"/>
      <c r="BR1049" s="3812"/>
      <c r="BS1049" s="3812"/>
      <c r="BT1049" s="3812"/>
      <c r="BU1049" s="3812"/>
      <c r="BV1049" s="3812"/>
      <c r="BW1049" s="3812"/>
      <c r="BX1049" s="3812"/>
      <c r="BY1049" s="3812"/>
      <c r="BZ1049" s="3812"/>
      <c r="CA1049" s="3812"/>
      <c r="CB1049" s="4813">
        <v>118195.2</v>
      </c>
      <c r="CC1049" s="3812"/>
      <c r="CD1049" s="3812"/>
      <c r="CE1049" s="5310"/>
      <c r="CF1049" s="5310"/>
      <c r="CG1049" s="5310"/>
      <c r="CH1049" s="5310"/>
    </row>
    <row r="1050" s="4974" customFormat="1" ht="31" spans="1:86">
      <c r="A1050" s="5200"/>
      <c r="B1050" s="3812"/>
      <c r="C1050" s="3812"/>
      <c r="D1050" s="5059"/>
      <c r="E1050" s="5059"/>
      <c r="F1050" s="5059"/>
      <c r="G1050" s="5059"/>
      <c r="H1050" s="5059"/>
      <c r="I1050" s="5205"/>
      <c r="J1050" s="5059"/>
      <c r="K1050" s="5059"/>
      <c r="L1050" s="5059"/>
      <c r="M1050" s="3812"/>
      <c r="N1050" s="5999"/>
      <c r="O1050" s="5999"/>
      <c r="P1050" s="5999"/>
      <c r="Q1050" s="5999"/>
      <c r="R1050" s="5999"/>
      <c r="S1050" s="5999"/>
      <c r="T1050" s="5999"/>
      <c r="U1050" s="5999"/>
      <c r="V1050" s="5999"/>
      <c r="W1050" s="5999"/>
      <c r="X1050" s="5999"/>
      <c r="Y1050" s="5999"/>
      <c r="Z1050" s="5999"/>
      <c r="AA1050" s="5999"/>
      <c r="AB1050" s="6000"/>
      <c r="AC1050" s="1032" t="s">
        <v>1789</v>
      </c>
      <c r="AD1050" s="5241" t="s">
        <v>1794</v>
      </c>
      <c r="AE1050" s="1032">
        <v>0.2</v>
      </c>
      <c r="AF1050" s="3812">
        <f t="shared" si="214"/>
        <v>157593.6</v>
      </c>
      <c r="AG1050" s="3812">
        <f t="shared" si="215"/>
        <v>157593.6</v>
      </c>
      <c r="AH1050" s="1032" t="s">
        <v>122</v>
      </c>
      <c r="AI1050" s="3812">
        <v>45730</v>
      </c>
      <c r="AJ1050" s="3812">
        <v>157593.6</v>
      </c>
      <c r="AK1050" s="3812">
        <v>45730</v>
      </c>
      <c r="AL1050" s="3812">
        <v>157593.6</v>
      </c>
      <c r="AM1050" s="3812">
        <v>45730</v>
      </c>
      <c r="AN1050" s="5349">
        <f t="shared" si="208"/>
        <v>157593.6</v>
      </c>
      <c r="AO1050" s="3812">
        <v>45799</v>
      </c>
      <c r="AP1050" s="3812"/>
      <c r="AQ1050" s="1032"/>
      <c r="AR1050" s="3812"/>
      <c r="AS1050" s="5059"/>
      <c r="AT1050" s="3812"/>
      <c r="AU1050" s="3812"/>
      <c r="AV1050" s="3812"/>
      <c r="AW1050" s="3812"/>
      <c r="AX1050" s="3812"/>
      <c r="AY1050" s="3812"/>
      <c r="AZ1050" s="3812"/>
      <c r="BA1050" s="3812"/>
      <c r="BB1050" s="3812"/>
      <c r="BC1050" s="3812"/>
      <c r="BD1050" s="3812"/>
      <c r="BE1050" s="3812"/>
      <c r="BF1050" s="3812"/>
      <c r="BG1050" s="3812"/>
      <c r="BH1050" s="3812"/>
      <c r="BI1050" s="3812"/>
      <c r="BJ1050" s="3812"/>
      <c r="BK1050" s="3812"/>
      <c r="BL1050" s="3812"/>
      <c r="BM1050" s="3812"/>
      <c r="BN1050" s="3812">
        <v>157593.6</v>
      </c>
      <c r="BO1050" s="3812"/>
      <c r="BP1050" s="3812"/>
      <c r="BQ1050" s="3812"/>
      <c r="BR1050" s="3812"/>
      <c r="BS1050" s="3812"/>
      <c r="BT1050" s="3812"/>
      <c r="BU1050" s="3812"/>
      <c r="BV1050" s="3812"/>
      <c r="BW1050" s="3812"/>
      <c r="BX1050" s="3812"/>
      <c r="BY1050" s="3812"/>
      <c r="BZ1050" s="3812"/>
      <c r="CA1050" s="3812"/>
      <c r="CB1050" s="4813">
        <v>157593.6</v>
      </c>
      <c r="CC1050" s="3812"/>
      <c r="CD1050" s="3812"/>
      <c r="CE1050" s="5310"/>
      <c r="CF1050" s="5310"/>
      <c r="CG1050" s="5310"/>
      <c r="CH1050" s="5310"/>
    </row>
    <row r="1051" s="4974" customFormat="1" ht="31" spans="1:86">
      <c r="A1051" s="5200"/>
      <c r="B1051" s="3812"/>
      <c r="C1051" s="3812"/>
      <c r="D1051" s="5059"/>
      <c r="E1051" s="5059"/>
      <c r="F1051" s="5059"/>
      <c r="G1051" s="5059"/>
      <c r="H1051" s="5059"/>
      <c r="I1051" s="5205"/>
      <c r="J1051" s="5059"/>
      <c r="K1051" s="5059"/>
      <c r="L1051" s="5059"/>
      <c r="M1051" s="3812"/>
      <c r="N1051" s="5999"/>
      <c r="O1051" s="5999"/>
      <c r="P1051" s="5999"/>
      <c r="Q1051" s="5999"/>
      <c r="R1051" s="5999"/>
      <c r="S1051" s="5999"/>
      <c r="T1051" s="5999"/>
      <c r="U1051" s="5999"/>
      <c r="V1051" s="5999"/>
      <c r="W1051" s="5999"/>
      <c r="X1051" s="5999"/>
      <c r="Y1051" s="5999"/>
      <c r="Z1051" s="5999"/>
      <c r="AA1051" s="5999"/>
      <c r="AB1051" s="6000"/>
      <c r="AC1051" s="1032" t="s">
        <v>1789</v>
      </c>
      <c r="AD1051" s="5241" t="s">
        <v>1796</v>
      </c>
      <c r="AE1051" s="1032">
        <v>0.05</v>
      </c>
      <c r="AF1051" s="5123">
        <f t="shared" si="214"/>
        <v>39398.4</v>
      </c>
      <c r="AG1051" s="4815">
        <f t="shared" si="215"/>
        <v>39398.4</v>
      </c>
      <c r="AH1051" s="5245" t="s">
        <v>349</v>
      </c>
      <c r="AI1051" s="5345">
        <v>46111</v>
      </c>
      <c r="AJ1051" s="3812"/>
      <c r="AK1051" s="3812"/>
      <c r="AL1051" s="3812"/>
      <c r="AM1051" s="3812"/>
      <c r="AN1051" s="5349">
        <f t="shared" si="208"/>
        <v>0</v>
      </c>
      <c r="AO1051" s="5123"/>
      <c r="AP1051" s="3812"/>
      <c r="AQ1051" s="1032"/>
      <c r="AR1051" s="3812"/>
      <c r="AS1051" s="5059"/>
      <c r="AT1051" s="3812"/>
      <c r="AU1051" s="3812"/>
      <c r="AV1051" s="3812"/>
      <c r="AW1051" s="3812"/>
      <c r="AX1051" s="3812"/>
      <c r="AY1051" s="3812"/>
      <c r="AZ1051" s="3812"/>
      <c r="BA1051" s="3812"/>
      <c r="BB1051" s="3812"/>
      <c r="BC1051" s="3812"/>
      <c r="BD1051" s="3812"/>
      <c r="BE1051" s="3812"/>
      <c r="BF1051" s="3812"/>
      <c r="BG1051" s="3812"/>
      <c r="BH1051" s="3812"/>
      <c r="BI1051" s="3812"/>
      <c r="BJ1051" s="3812"/>
      <c r="BK1051" s="3812"/>
      <c r="BL1051" s="3812"/>
      <c r="BM1051" s="3812"/>
      <c r="BN1051" s="3812">
        <v>39398.4</v>
      </c>
      <c r="BO1051" s="3812"/>
      <c r="BP1051" s="3812"/>
      <c r="BQ1051" s="3812"/>
      <c r="BR1051" s="3812"/>
      <c r="BS1051" s="3812"/>
      <c r="BT1051" s="3812"/>
      <c r="BU1051" s="3812"/>
      <c r="BV1051" s="3812"/>
      <c r="BW1051" s="3812"/>
      <c r="BX1051" s="3812"/>
      <c r="BY1051" s="3812"/>
      <c r="BZ1051" s="3812"/>
      <c r="CA1051" s="3812"/>
      <c r="CB1051" s="3812"/>
      <c r="CC1051" s="3812"/>
      <c r="CD1051" s="3812"/>
      <c r="CE1051" s="5310"/>
      <c r="CF1051" s="5310"/>
      <c r="CG1051" s="5310"/>
      <c r="CH1051" s="5310"/>
    </row>
    <row r="1052" s="4974" customFormat="1" ht="30" customHeight="1" spans="1:86">
      <c r="A1052" s="5200"/>
      <c r="B1052" s="3812"/>
      <c r="C1052" s="3812"/>
      <c r="D1052" s="5059"/>
      <c r="E1052" s="5059"/>
      <c r="F1052" s="5059"/>
      <c r="G1052" s="5059"/>
      <c r="H1052" s="5059"/>
      <c r="I1052" s="5205"/>
      <c r="J1052" s="5059"/>
      <c r="K1052" s="5059"/>
      <c r="L1052" s="5059"/>
      <c r="M1052" s="3812"/>
      <c r="N1052" s="5999"/>
      <c r="O1052" s="5999"/>
      <c r="P1052" s="5999"/>
      <c r="Q1052" s="5999"/>
      <c r="R1052" s="5999"/>
      <c r="S1052" s="5999"/>
      <c r="T1052" s="5999"/>
      <c r="U1052" s="5999"/>
      <c r="V1052" s="5999"/>
      <c r="W1052" s="5999"/>
      <c r="X1052" s="5999"/>
      <c r="Y1052" s="5999"/>
      <c r="Z1052" s="5999"/>
      <c r="AA1052" s="5999"/>
      <c r="AB1052" s="6000"/>
      <c r="AC1052" s="1032" t="s">
        <v>1786</v>
      </c>
      <c r="AD1052" s="5241" t="s">
        <v>361</v>
      </c>
      <c r="AE1052" s="1032">
        <v>0.1</v>
      </c>
      <c r="AF1052" s="5123">
        <f>1008468*AE1052</f>
        <v>100846.8</v>
      </c>
      <c r="AG1052" s="3812">
        <f t="shared" si="215"/>
        <v>100846.8</v>
      </c>
      <c r="AH1052" s="5245"/>
      <c r="AI1052" s="5123"/>
      <c r="AJ1052" s="3812"/>
      <c r="AK1052" s="3812"/>
      <c r="AL1052" s="3812"/>
      <c r="AM1052" s="3812"/>
      <c r="AN1052" s="5349">
        <f t="shared" si="208"/>
        <v>0</v>
      </c>
      <c r="AO1052" s="5123"/>
      <c r="AP1052" s="3812"/>
      <c r="AQ1052" s="1032"/>
      <c r="AR1052" s="3812"/>
      <c r="AS1052" s="5059"/>
      <c r="AT1052" s="3812"/>
      <c r="AU1052" s="3812"/>
      <c r="AV1052" s="3812"/>
      <c r="AW1052" s="3812"/>
      <c r="AX1052" s="3812"/>
      <c r="AY1052" s="3812"/>
      <c r="AZ1052" s="3812"/>
      <c r="BA1052" s="3812"/>
      <c r="BB1052" s="3812"/>
      <c r="BC1052" s="3812"/>
      <c r="BD1052" s="3812"/>
      <c r="BE1052" s="3812"/>
      <c r="BF1052" s="3812"/>
      <c r="BG1052" s="3812"/>
      <c r="BH1052" s="3812"/>
      <c r="BI1052" s="3812"/>
      <c r="BJ1052" s="3812"/>
      <c r="BK1052" s="3812"/>
      <c r="BL1052" s="3812"/>
      <c r="BM1052" s="3812"/>
      <c r="BN1052" s="3812">
        <v>100846.8</v>
      </c>
      <c r="BO1052" s="3812"/>
      <c r="BP1052" s="3812"/>
      <c r="BQ1052" s="3812"/>
      <c r="BR1052" s="3812"/>
      <c r="BS1052" s="3812"/>
      <c r="BT1052" s="3812"/>
      <c r="BU1052" s="3812"/>
      <c r="BV1052" s="3812"/>
      <c r="BW1052" s="3812"/>
      <c r="BX1052" s="3812"/>
      <c r="BY1052" s="3812"/>
      <c r="BZ1052" s="3812"/>
      <c r="CA1052" s="3812"/>
      <c r="CB1052" s="3812"/>
      <c r="CC1052" s="3812"/>
      <c r="CD1052" s="3812"/>
      <c r="CE1052" s="5310"/>
      <c r="CF1052" s="5310"/>
      <c r="CG1052" s="5310"/>
      <c r="CH1052" s="5310"/>
    </row>
    <row r="1053" s="4985" customFormat="1" ht="30" customHeight="1" spans="1:86">
      <c r="A1053" s="5201"/>
      <c r="B1053" s="5201"/>
      <c r="C1053" s="5201"/>
      <c r="D1053" s="5708"/>
      <c r="E1053" s="5059"/>
      <c r="F1053" s="5708"/>
      <c r="G1053" s="5708"/>
      <c r="H1053" s="5708"/>
      <c r="I1053" s="6029"/>
      <c r="J1053" s="5708"/>
      <c r="K1053" s="5708"/>
      <c r="L1053" s="5708"/>
      <c r="M1053" s="5201"/>
      <c r="N1053" s="5667"/>
      <c r="O1053" s="5667"/>
      <c r="P1053" s="5667"/>
      <c r="Q1053" s="5667"/>
      <c r="R1053" s="5667"/>
      <c r="S1053" s="5667"/>
      <c r="T1053" s="5667"/>
      <c r="U1053" s="5667"/>
      <c r="V1053" s="5667"/>
      <c r="W1053" s="5667"/>
      <c r="X1053" s="5667"/>
      <c r="Y1053" s="5667"/>
      <c r="Z1053" s="5667"/>
      <c r="AA1053" s="5667"/>
      <c r="AB1053" s="5973"/>
      <c r="AC1053" s="5714" t="s">
        <v>1797</v>
      </c>
      <c r="AD1053" s="5931" t="s">
        <v>1798</v>
      </c>
      <c r="AE1053" s="5714">
        <v>0.2</v>
      </c>
      <c r="AF1053" s="5201">
        <f t="shared" ref="AF1053:AF1056" si="216">2618190*AE1053</f>
        <v>523638</v>
      </c>
      <c r="AG1053" s="5201">
        <f t="shared" si="215"/>
        <v>523638</v>
      </c>
      <c r="AH1053" s="5714" t="s">
        <v>122</v>
      </c>
      <c r="AI1053" s="5201">
        <v>45497</v>
      </c>
      <c r="AJ1053" s="5201">
        <v>523638</v>
      </c>
      <c r="AK1053" s="5201">
        <v>45514</v>
      </c>
      <c r="AL1053" s="5201">
        <v>523638</v>
      </c>
      <c r="AM1053" s="5201">
        <v>45499</v>
      </c>
      <c r="AN1053" s="5201">
        <f t="shared" si="208"/>
        <v>523638</v>
      </c>
      <c r="AO1053" s="5201">
        <v>45554</v>
      </c>
      <c r="AP1053" s="5201"/>
      <c r="AQ1053" s="5714"/>
      <c r="AR1053" s="5201"/>
      <c r="AS1053" s="5708"/>
      <c r="AT1053" s="5201"/>
      <c r="AU1053" s="3812"/>
      <c r="AV1053" s="3812"/>
      <c r="AW1053" s="3812"/>
      <c r="AX1053" s="3812"/>
      <c r="AY1053" s="3812"/>
      <c r="AZ1053" s="3812"/>
      <c r="BA1053" s="5201"/>
      <c r="BB1053" s="5201"/>
      <c r="BC1053" s="5201"/>
      <c r="BD1053" s="5201"/>
      <c r="BE1053" s="5201"/>
      <c r="BF1053" s="5201"/>
      <c r="BG1053" s="5201"/>
      <c r="BH1053" s="5201"/>
      <c r="BI1053" s="5201"/>
      <c r="BJ1053" s="5201"/>
      <c r="BK1053" s="5201"/>
      <c r="BL1053" s="5201"/>
      <c r="BM1053" s="5201"/>
      <c r="BN1053" s="5201">
        <v>523638</v>
      </c>
      <c r="BO1053" s="5201"/>
      <c r="BP1053" s="5201"/>
      <c r="BQ1053" s="5201"/>
      <c r="BR1053" s="5201"/>
      <c r="BS1053" s="5201"/>
      <c r="BT1053" s="5201"/>
      <c r="BU1053" s="5201"/>
      <c r="BV1053" s="5201"/>
      <c r="BW1053" s="5201"/>
      <c r="BX1053" s="5201"/>
      <c r="BY1053" s="5201"/>
      <c r="BZ1053" s="5201"/>
      <c r="CA1053" s="5201"/>
      <c r="CB1053" s="5201">
        <v>523638</v>
      </c>
      <c r="CC1053" s="5201"/>
      <c r="CD1053" s="5201"/>
      <c r="CE1053" s="6038">
        <f>SUBTOTAL(9,BO1053:CB1053)</f>
        <v>523638</v>
      </c>
      <c r="CF1053" s="6038">
        <f t="shared" ref="CF1053:CF1056" si="217">AN1053-CE1053</f>
        <v>0</v>
      </c>
      <c r="CG1053" s="5990"/>
      <c r="CH1053" s="5990"/>
    </row>
    <row r="1054" s="4974" customFormat="1" ht="30" customHeight="1" spans="1:86">
      <c r="A1054" s="2678"/>
      <c r="B1054" s="3812"/>
      <c r="C1054" s="3812"/>
      <c r="D1054" s="5059"/>
      <c r="E1054" s="5059"/>
      <c r="F1054" s="5059"/>
      <c r="G1054" s="5059"/>
      <c r="H1054" s="5059"/>
      <c r="I1054" s="5205"/>
      <c r="J1054" s="5059"/>
      <c r="K1054" s="5059"/>
      <c r="L1054" s="5059"/>
      <c r="M1054" s="3812"/>
      <c r="N1054" s="5667"/>
      <c r="O1054" s="5667"/>
      <c r="P1054" s="5667"/>
      <c r="Q1054" s="5667"/>
      <c r="R1054" s="5667"/>
      <c r="S1054" s="5667"/>
      <c r="T1054" s="5667"/>
      <c r="U1054" s="5667"/>
      <c r="V1054" s="5667"/>
      <c r="W1054" s="5667"/>
      <c r="X1054" s="5667"/>
      <c r="Y1054" s="5667"/>
      <c r="Z1054" s="5667"/>
      <c r="AA1054" s="5667"/>
      <c r="AB1054" s="5973"/>
      <c r="AC1054" s="1032" t="s">
        <v>1797</v>
      </c>
      <c r="AD1054" s="5241" t="s">
        <v>1799</v>
      </c>
      <c r="AE1054" s="1032">
        <v>0.2</v>
      </c>
      <c r="AF1054" s="3812">
        <f t="shared" si="216"/>
        <v>523638</v>
      </c>
      <c r="AG1054" s="3812">
        <f t="shared" si="215"/>
        <v>523638</v>
      </c>
      <c r="AH1054" s="1032" t="s">
        <v>122</v>
      </c>
      <c r="AI1054" s="3812">
        <v>45497</v>
      </c>
      <c r="AJ1054" s="3812">
        <v>523638</v>
      </c>
      <c r="AK1054" s="3812">
        <v>45514</v>
      </c>
      <c r="AL1054" s="3812">
        <v>523638</v>
      </c>
      <c r="AM1054" s="3812">
        <v>45499</v>
      </c>
      <c r="AN1054" s="5349">
        <f t="shared" si="208"/>
        <v>523638</v>
      </c>
      <c r="AO1054" s="3812">
        <v>45554</v>
      </c>
      <c r="AP1054" s="3812"/>
      <c r="AQ1054" s="1032"/>
      <c r="AR1054" s="3812"/>
      <c r="AS1054" s="5059"/>
      <c r="AT1054" s="3812"/>
      <c r="AU1054" s="3812"/>
      <c r="AV1054" s="3812"/>
      <c r="AW1054" s="3812"/>
      <c r="AX1054" s="3812"/>
      <c r="AY1054" s="3812"/>
      <c r="AZ1054" s="3812"/>
      <c r="BA1054" s="3812"/>
      <c r="BB1054" s="3812"/>
      <c r="BC1054" s="3812"/>
      <c r="BD1054" s="3812"/>
      <c r="BE1054" s="3812"/>
      <c r="BF1054" s="3812"/>
      <c r="BG1054" s="3812"/>
      <c r="BH1054" s="3812"/>
      <c r="BI1054" s="3812"/>
      <c r="BJ1054" s="3812"/>
      <c r="BK1054" s="3812"/>
      <c r="BL1054" s="3812"/>
      <c r="BM1054" s="3812"/>
      <c r="BN1054" s="3812">
        <v>523638</v>
      </c>
      <c r="BO1054" s="3812"/>
      <c r="BP1054" s="3812"/>
      <c r="BQ1054" s="3812"/>
      <c r="BR1054" s="3812"/>
      <c r="BS1054" s="3812"/>
      <c r="BT1054" s="3812"/>
      <c r="BU1054" s="3812"/>
      <c r="BV1054" s="3812"/>
      <c r="BW1054" s="3812"/>
      <c r="BX1054" s="3812"/>
      <c r="BY1054" s="3812"/>
      <c r="BZ1054" s="3812"/>
      <c r="CA1054" s="3812"/>
      <c r="CB1054" s="3812">
        <v>523638</v>
      </c>
      <c r="CC1054" s="3812"/>
      <c r="CD1054" s="3812"/>
      <c r="CE1054" s="5169">
        <f>SUBTOTAL(9,BO1054:CB1054)</f>
        <v>523638</v>
      </c>
      <c r="CF1054" s="5169">
        <f t="shared" si="217"/>
        <v>0</v>
      </c>
      <c r="CG1054" s="5310"/>
      <c r="CH1054" s="5310"/>
    </row>
    <row r="1055" s="4974" customFormat="1" ht="30" customHeight="1" spans="1:86">
      <c r="A1055" s="2678"/>
      <c r="B1055" s="3812"/>
      <c r="C1055" s="3812"/>
      <c r="D1055" s="5059"/>
      <c r="E1055" s="5059"/>
      <c r="F1055" s="5059"/>
      <c r="G1055" s="5059"/>
      <c r="H1055" s="5059"/>
      <c r="I1055" s="5205"/>
      <c r="J1055" s="5059"/>
      <c r="K1055" s="5059"/>
      <c r="L1055" s="5059"/>
      <c r="M1055" s="3812"/>
      <c r="N1055" s="5667"/>
      <c r="O1055" s="5667"/>
      <c r="P1055" s="5667"/>
      <c r="Q1055" s="5667"/>
      <c r="R1055" s="5667"/>
      <c r="S1055" s="5667"/>
      <c r="T1055" s="5667"/>
      <c r="U1055" s="5667"/>
      <c r="V1055" s="5667"/>
      <c r="W1055" s="5667"/>
      <c r="X1055" s="5667"/>
      <c r="Y1055" s="5667"/>
      <c r="Z1055" s="5667"/>
      <c r="AA1055" s="5667"/>
      <c r="AB1055" s="5973"/>
      <c r="AC1055" s="1032" t="s">
        <v>1797</v>
      </c>
      <c r="AD1055" s="5241" t="s">
        <v>1801</v>
      </c>
      <c r="AE1055" s="1032">
        <v>0.2</v>
      </c>
      <c r="AF1055" s="3812">
        <f t="shared" si="216"/>
        <v>523638</v>
      </c>
      <c r="AG1055" s="3812">
        <f t="shared" si="215"/>
        <v>523638</v>
      </c>
      <c r="AH1055" s="1032" t="s">
        <v>122</v>
      </c>
      <c r="AI1055" s="3812">
        <v>45497</v>
      </c>
      <c r="AJ1055" s="3812">
        <v>523638</v>
      </c>
      <c r="AK1055" s="3812">
        <v>45514</v>
      </c>
      <c r="AL1055" s="3812">
        <v>523638</v>
      </c>
      <c r="AM1055" s="3812">
        <v>45499</v>
      </c>
      <c r="AN1055" s="5349">
        <f t="shared" si="208"/>
        <v>523638</v>
      </c>
      <c r="AO1055" s="3812">
        <v>45554</v>
      </c>
      <c r="AP1055" s="3812"/>
      <c r="AQ1055" s="1032"/>
      <c r="AR1055" s="3812"/>
      <c r="AS1055" s="5059"/>
      <c r="AT1055" s="3812"/>
      <c r="AU1055" s="3812"/>
      <c r="AV1055" s="3812"/>
      <c r="AW1055" s="3812"/>
      <c r="AX1055" s="3812"/>
      <c r="AY1055" s="3812"/>
      <c r="AZ1055" s="3812"/>
      <c r="BA1055" s="3812"/>
      <c r="BB1055" s="3812"/>
      <c r="BC1055" s="3812"/>
      <c r="BD1055" s="3812"/>
      <c r="BE1055" s="3812"/>
      <c r="BF1055" s="3812"/>
      <c r="BG1055" s="3812"/>
      <c r="BH1055" s="3812"/>
      <c r="BI1055" s="3812"/>
      <c r="BJ1055" s="3812"/>
      <c r="BK1055" s="3812"/>
      <c r="BL1055" s="3812"/>
      <c r="BM1055" s="3812"/>
      <c r="BN1055" s="3812">
        <v>523638</v>
      </c>
      <c r="BO1055" s="3812"/>
      <c r="BP1055" s="3812"/>
      <c r="BQ1055" s="3812"/>
      <c r="BR1055" s="3812"/>
      <c r="BS1055" s="3812"/>
      <c r="BT1055" s="3812"/>
      <c r="BU1055" s="3812"/>
      <c r="BV1055" s="3812"/>
      <c r="BW1055" s="3812"/>
      <c r="BX1055" s="3812"/>
      <c r="BY1055" s="3812"/>
      <c r="BZ1055" s="3812"/>
      <c r="CA1055" s="3812"/>
      <c r="CB1055" s="3812">
        <v>523638</v>
      </c>
      <c r="CC1055" s="3812"/>
      <c r="CD1055" s="3812"/>
      <c r="CE1055" s="5169">
        <f>SUBTOTAL(9,BO1055:CB1055)</f>
        <v>523638</v>
      </c>
      <c r="CF1055" s="5169">
        <f t="shared" si="217"/>
        <v>0</v>
      </c>
      <c r="CG1055" s="5310"/>
      <c r="CH1055" s="5310"/>
    </row>
    <row r="1056" s="4974" customFormat="1" ht="30" customHeight="1" spans="1:86">
      <c r="A1056" s="2678"/>
      <c r="B1056" s="3812"/>
      <c r="C1056" s="3812"/>
      <c r="D1056" s="5059"/>
      <c r="E1056" s="5059"/>
      <c r="F1056" s="5059"/>
      <c r="G1056" s="5059"/>
      <c r="H1056" s="5059"/>
      <c r="I1056" s="5205"/>
      <c r="J1056" s="5059"/>
      <c r="K1056" s="5059"/>
      <c r="L1056" s="5059"/>
      <c r="M1056" s="3812"/>
      <c r="N1056" s="5667"/>
      <c r="O1056" s="5667"/>
      <c r="P1056" s="5667"/>
      <c r="Q1056" s="5667"/>
      <c r="R1056" s="5667"/>
      <c r="S1056" s="5667"/>
      <c r="T1056" s="5667"/>
      <c r="U1056" s="5667"/>
      <c r="V1056" s="5667"/>
      <c r="W1056" s="5667"/>
      <c r="X1056" s="5667"/>
      <c r="Y1056" s="5667"/>
      <c r="Z1056" s="5667"/>
      <c r="AA1056" s="5667"/>
      <c r="AB1056" s="5973"/>
      <c r="AC1056" s="5073" t="s">
        <v>1797</v>
      </c>
      <c r="AD1056" s="5242" t="s">
        <v>1803</v>
      </c>
      <c r="AE1056" s="5073">
        <v>0.2</v>
      </c>
      <c r="AF1056" s="4840">
        <f t="shared" si="216"/>
        <v>523638</v>
      </c>
      <c r="AG1056" s="4840">
        <f t="shared" si="215"/>
        <v>523638</v>
      </c>
      <c r="AH1056" s="5073" t="s">
        <v>122</v>
      </c>
      <c r="AI1056" s="4840">
        <v>45497</v>
      </c>
      <c r="AJ1056" s="4840">
        <v>523638</v>
      </c>
      <c r="AK1056" s="4840">
        <v>45514</v>
      </c>
      <c r="AL1056" s="4840">
        <v>523638</v>
      </c>
      <c r="AM1056" s="4840">
        <v>45499</v>
      </c>
      <c r="AN1056" s="5349">
        <f t="shared" si="208"/>
        <v>104727.6</v>
      </c>
      <c r="AO1056" s="3812">
        <v>45554</v>
      </c>
      <c r="AP1056" s="3812"/>
      <c r="AQ1056" s="1032"/>
      <c r="AR1056" s="3812"/>
      <c r="AS1056" s="5059"/>
      <c r="AT1056" s="3812"/>
      <c r="AU1056" s="3812"/>
      <c r="AV1056" s="3812"/>
      <c r="AW1056" s="3812"/>
      <c r="AX1056" s="3812"/>
      <c r="AY1056" s="3812"/>
      <c r="AZ1056" s="3812"/>
      <c r="BA1056" s="3812"/>
      <c r="BB1056" s="3812"/>
      <c r="BC1056" s="3812"/>
      <c r="BD1056" s="3812"/>
      <c r="BE1056" s="3812"/>
      <c r="BF1056" s="3812"/>
      <c r="BG1056" s="3812"/>
      <c r="BH1056" s="3812"/>
      <c r="BI1056" s="3812"/>
      <c r="BJ1056" s="3812"/>
      <c r="BK1056" s="3812"/>
      <c r="BL1056" s="3812"/>
      <c r="BM1056" s="4840"/>
      <c r="BN1056" s="4840">
        <v>523638</v>
      </c>
      <c r="BO1056" s="3812"/>
      <c r="BP1056" s="3812"/>
      <c r="BQ1056" s="3812"/>
      <c r="BR1056" s="3812"/>
      <c r="BS1056" s="3812"/>
      <c r="BT1056" s="3812"/>
      <c r="BU1056" s="3812"/>
      <c r="BV1056" s="3812"/>
      <c r="BW1056" s="3812"/>
      <c r="BX1056" s="3812"/>
      <c r="BY1056" s="3812"/>
      <c r="BZ1056" s="3812"/>
      <c r="CA1056" s="3812"/>
      <c r="CB1056" s="3812">
        <v>104727.6</v>
      </c>
      <c r="CC1056" s="3812"/>
      <c r="CD1056" s="3812"/>
      <c r="CE1056" s="5169">
        <f>SUBTOTAL(9,BO1056:CB1056)</f>
        <v>104727.6</v>
      </c>
      <c r="CF1056" s="5169">
        <f t="shared" si="217"/>
        <v>0</v>
      </c>
      <c r="CG1056" s="5310"/>
      <c r="CH1056" s="5310"/>
    </row>
    <row r="1057" s="4974" customFormat="1" ht="24" customHeight="1" spans="1:86">
      <c r="A1057" s="2678"/>
      <c r="B1057" s="3812"/>
      <c r="C1057" s="3812"/>
      <c r="D1057" s="5059"/>
      <c r="E1057" s="5059"/>
      <c r="F1057" s="5059"/>
      <c r="G1057" s="5059"/>
      <c r="H1057" s="5059"/>
      <c r="I1057" s="5205"/>
      <c r="J1057" s="5059"/>
      <c r="K1057" s="5059"/>
      <c r="L1057" s="5059"/>
      <c r="M1057" s="3812"/>
      <c r="N1057" s="5667"/>
      <c r="O1057" s="5667"/>
      <c r="P1057" s="5667"/>
      <c r="Q1057" s="5667"/>
      <c r="R1057" s="5667"/>
      <c r="S1057" s="5667"/>
      <c r="T1057" s="5667"/>
      <c r="U1057" s="5667"/>
      <c r="V1057" s="5667"/>
      <c r="W1057" s="5667"/>
      <c r="X1057" s="5667"/>
      <c r="Y1057" s="5667"/>
      <c r="Z1057" s="5667"/>
      <c r="AA1057" s="5667"/>
      <c r="AB1057" s="5973"/>
      <c r="AC1057" s="5206"/>
      <c r="AD1057" s="5942"/>
      <c r="AE1057" s="5206"/>
      <c r="AF1057" s="4842"/>
      <c r="AG1057" s="4842"/>
      <c r="AH1057" s="5206"/>
      <c r="AI1057" s="4842"/>
      <c r="AJ1057" s="4842"/>
      <c r="AK1057" s="4842"/>
      <c r="AL1057" s="4842"/>
      <c r="AM1057" s="4842"/>
      <c r="AN1057" s="5349">
        <f t="shared" si="208"/>
        <v>418910.4</v>
      </c>
      <c r="AO1057" s="3812">
        <v>45616</v>
      </c>
      <c r="AP1057" s="3812"/>
      <c r="AQ1057" s="1032"/>
      <c r="AR1057" s="3812"/>
      <c r="AS1057" s="5059"/>
      <c r="AT1057" s="3812"/>
      <c r="AU1057" s="3812"/>
      <c r="AV1057" s="3812"/>
      <c r="AW1057" s="3812"/>
      <c r="AX1057" s="3812"/>
      <c r="AY1057" s="3812"/>
      <c r="AZ1057" s="3812"/>
      <c r="BA1057" s="3812"/>
      <c r="BB1057" s="3812"/>
      <c r="BC1057" s="3812"/>
      <c r="BD1057" s="3812"/>
      <c r="BE1057" s="3812"/>
      <c r="BF1057" s="3812"/>
      <c r="BG1057" s="3812"/>
      <c r="BH1057" s="3812"/>
      <c r="BI1057" s="3812"/>
      <c r="BJ1057" s="3812"/>
      <c r="BK1057" s="3812"/>
      <c r="BL1057" s="3812"/>
      <c r="BM1057" s="4842"/>
      <c r="BN1057" s="4842"/>
      <c r="BO1057" s="3812"/>
      <c r="BP1057" s="3812"/>
      <c r="BQ1057" s="3812"/>
      <c r="BR1057" s="3812"/>
      <c r="BS1057" s="3812"/>
      <c r="BT1057" s="3812"/>
      <c r="BU1057" s="3812"/>
      <c r="BV1057" s="3812"/>
      <c r="BW1057" s="3812"/>
      <c r="BX1057" s="3812"/>
      <c r="BY1057" s="3812"/>
      <c r="BZ1057" s="3812"/>
      <c r="CA1057" s="3812"/>
      <c r="CB1057" s="5123">
        <f>523638-CB1056</f>
        <v>418910.4</v>
      </c>
      <c r="CC1057" s="3812"/>
      <c r="CD1057" s="3812"/>
      <c r="CE1057" s="5310"/>
      <c r="CF1057" s="5310"/>
      <c r="CG1057" s="5310"/>
      <c r="CH1057" s="5310"/>
    </row>
    <row r="1058" s="4974" customFormat="1" ht="24" customHeight="1" spans="1:86">
      <c r="A1058" s="2678"/>
      <c r="B1058" s="3812"/>
      <c r="C1058" s="3812"/>
      <c r="D1058" s="5059"/>
      <c r="E1058" s="5059"/>
      <c r="F1058" s="5059"/>
      <c r="G1058" s="5059"/>
      <c r="H1058" s="5059"/>
      <c r="I1058" s="5205"/>
      <c r="J1058" s="5059"/>
      <c r="K1058" s="5059"/>
      <c r="L1058" s="5059"/>
      <c r="M1058" s="3812"/>
      <c r="N1058" s="5667"/>
      <c r="O1058" s="5667"/>
      <c r="P1058" s="5667"/>
      <c r="Q1058" s="5667"/>
      <c r="R1058" s="5667"/>
      <c r="S1058" s="5667"/>
      <c r="T1058" s="5667"/>
      <c r="U1058" s="5667"/>
      <c r="V1058" s="5667"/>
      <c r="W1058" s="5667"/>
      <c r="X1058" s="5667"/>
      <c r="Y1058" s="5667"/>
      <c r="Z1058" s="5667"/>
      <c r="AA1058" s="5667"/>
      <c r="AB1058" s="5973"/>
      <c r="AC1058" s="1032" t="s">
        <v>1797</v>
      </c>
      <c r="AD1058" s="5241" t="s">
        <v>1804</v>
      </c>
      <c r="AE1058" s="1032">
        <v>0.2</v>
      </c>
      <c r="AF1058" s="5123">
        <f>2618190*AE1058</f>
        <v>523638</v>
      </c>
      <c r="AG1058" s="3812">
        <f>SUM(BA1058:BN1058)</f>
        <v>523638</v>
      </c>
      <c r="AH1058" s="5245"/>
      <c r="AI1058" s="5123"/>
      <c r="AJ1058" s="3812"/>
      <c r="AK1058" s="4813"/>
      <c r="AL1058" s="3812"/>
      <c r="AM1058" s="3812"/>
      <c r="AN1058" s="5349">
        <f t="shared" si="208"/>
        <v>0</v>
      </c>
      <c r="AO1058" s="5886"/>
      <c r="AP1058" s="3812"/>
      <c r="AQ1058" s="1032"/>
      <c r="AR1058" s="3812"/>
      <c r="AS1058" s="5059"/>
      <c r="AT1058" s="3812"/>
      <c r="AU1058" s="3812"/>
      <c r="AV1058" s="3812"/>
      <c r="AW1058" s="3812"/>
      <c r="AX1058" s="3812"/>
      <c r="AY1058" s="3812"/>
      <c r="AZ1058" s="3812"/>
      <c r="BA1058" s="3812"/>
      <c r="BB1058" s="3812"/>
      <c r="BC1058" s="3812"/>
      <c r="BD1058" s="3812"/>
      <c r="BE1058" s="3812"/>
      <c r="BF1058" s="3812"/>
      <c r="BG1058" s="3812"/>
      <c r="BH1058" s="3812"/>
      <c r="BI1058" s="3812"/>
      <c r="BJ1058" s="3812"/>
      <c r="BK1058" s="3812"/>
      <c r="BL1058" s="3812"/>
      <c r="BM1058" s="3812"/>
      <c r="BN1058" s="3812">
        <v>523638</v>
      </c>
      <c r="BO1058" s="3812"/>
      <c r="BP1058" s="3812"/>
      <c r="BQ1058" s="3812"/>
      <c r="BR1058" s="3812"/>
      <c r="BS1058" s="3812"/>
      <c r="BT1058" s="3812"/>
      <c r="BU1058" s="3812"/>
      <c r="BV1058" s="3812"/>
      <c r="BW1058" s="3812"/>
      <c r="BX1058" s="3812"/>
      <c r="BY1058" s="3812"/>
      <c r="BZ1058" s="3812"/>
      <c r="CA1058" s="3812"/>
      <c r="CB1058" s="3812"/>
      <c r="CC1058" s="3812"/>
      <c r="CD1058" s="3812"/>
      <c r="CE1058" s="5310"/>
      <c r="CF1058" s="5310"/>
      <c r="CG1058" s="5310"/>
      <c r="CH1058" s="5310"/>
    </row>
    <row r="1059" s="4985" customFormat="1" ht="31" spans="1:86">
      <c r="A1059" s="5201"/>
      <c r="B1059" s="5201"/>
      <c r="C1059" s="5201"/>
      <c r="D1059" s="5708"/>
      <c r="E1059" s="5059"/>
      <c r="F1059" s="5708"/>
      <c r="G1059" s="5708"/>
      <c r="H1059" s="5708"/>
      <c r="I1059" s="6029"/>
      <c r="J1059" s="5708"/>
      <c r="K1059" s="5708"/>
      <c r="L1059" s="5708"/>
      <c r="M1059" s="5201"/>
      <c r="N1059" s="5667"/>
      <c r="O1059" s="5667"/>
      <c r="P1059" s="5667"/>
      <c r="Q1059" s="5667"/>
      <c r="R1059" s="5667"/>
      <c r="S1059" s="5667"/>
      <c r="T1059" s="5667"/>
      <c r="U1059" s="5667"/>
      <c r="V1059" s="5667"/>
      <c r="W1059" s="5667"/>
      <c r="X1059" s="5667"/>
      <c r="Y1059" s="5667"/>
      <c r="Z1059" s="5667"/>
      <c r="AA1059" s="5667"/>
      <c r="AB1059" s="5973"/>
      <c r="AC1059" s="5714" t="s">
        <v>1805</v>
      </c>
      <c r="AD1059" s="5931" t="s">
        <v>1798</v>
      </c>
      <c r="AE1059" s="5714">
        <v>0.2</v>
      </c>
      <c r="AF1059" s="5201">
        <f t="shared" ref="AF1059:AF1061" si="218">752778*AE1059</f>
        <v>150555.6</v>
      </c>
      <c r="AG1059" s="5201">
        <f>SUM(BA1059:BN1059)</f>
        <v>150555.6</v>
      </c>
      <c r="AH1059" s="5714" t="s">
        <v>122</v>
      </c>
      <c r="AI1059" s="5201">
        <v>45497</v>
      </c>
      <c r="AJ1059" s="5201">
        <v>150555.6</v>
      </c>
      <c r="AK1059" s="5201">
        <v>45514</v>
      </c>
      <c r="AL1059" s="5201">
        <v>150555.6</v>
      </c>
      <c r="AM1059" s="5201">
        <v>45499</v>
      </c>
      <c r="AN1059" s="5201">
        <f t="shared" si="208"/>
        <v>150555.6</v>
      </c>
      <c r="AO1059" s="5201">
        <v>45554</v>
      </c>
      <c r="AP1059" s="5201"/>
      <c r="AQ1059" s="5714"/>
      <c r="AR1059" s="5201"/>
      <c r="AS1059" s="5708"/>
      <c r="AT1059" s="5201"/>
      <c r="AU1059" s="3812"/>
      <c r="AV1059" s="3812"/>
      <c r="AW1059" s="3812"/>
      <c r="AX1059" s="3812"/>
      <c r="AY1059" s="3812"/>
      <c r="AZ1059" s="3812"/>
      <c r="BA1059" s="5201"/>
      <c r="BB1059" s="5201"/>
      <c r="BC1059" s="5201"/>
      <c r="BD1059" s="5201"/>
      <c r="BE1059" s="5201"/>
      <c r="BF1059" s="5201"/>
      <c r="BG1059" s="5201"/>
      <c r="BH1059" s="5201"/>
      <c r="BI1059" s="5201"/>
      <c r="BJ1059" s="5201"/>
      <c r="BK1059" s="5201"/>
      <c r="BL1059" s="5201"/>
      <c r="BM1059" s="5201"/>
      <c r="BN1059" s="5201">
        <v>150555.6</v>
      </c>
      <c r="BO1059" s="5201"/>
      <c r="BP1059" s="5201"/>
      <c r="BQ1059" s="5201"/>
      <c r="BR1059" s="5201"/>
      <c r="BS1059" s="5201"/>
      <c r="BT1059" s="5201"/>
      <c r="BU1059" s="5201"/>
      <c r="BV1059" s="5201"/>
      <c r="BW1059" s="5201"/>
      <c r="BX1059" s="5201"/>
      <c r="BY1059" s="5201"/>
      <c r="BZ1059" s="5201"/>
      <c r="CA1059" s="5201"/>
      <c r="CB1059" s="5201">
        <v>150555.6</v>
      </c>
      <c r="CC1059" s="5201"/>
      <c r="CD1059" s="5201"/>
      <c r="CE1059" s="6038">
        <f>SUBTOTAL(9,BO1059:CB1059)</f>
        <v>150555.6</v>
      </c>
      <c r="CF1059" s="6038">
        <f t="shared" ref="CF1059:CF1061" si="219">AN1059-CE1059</f>
        <v>0</v>
      </c>
      <c r="CG1059" s="5990"/>
      <c r="CH1059" s="5990"/>
    </row>
    <row r="1060" s="4974" customFormat="1" ht="31" spans="1:86">
      <c r="A1060" s="2678"/>
      <c r="B1060" s="3812"/>
      <c r="C1060" s="3812"/>
      <c r="D1060" s="5059"/>
      <c r="E1060" s="5059"/>
      <c r="F1060" s="5059"/>
      <c r="G1060" s="5059"/>
      <c r="H1060" s="5059"/>
      <c r="I1060" s="5205"/>
      <c r="J1060" s="5059"/>
      <c r="K1060" s="5059"/>
      <c r="L1060" s="5059"/>
      <c r="M1060" s="3812"/>
      <c r="N1060" s="5667"/>
      <c r="O1060" s="5667"/>
      <c r="P1060" s="5667"/>
      <c r="Q1060" s="5667"/>
      <c r="R1060" s="5667"/>
      <c r="S1060" s="5667"/>
      <c r="T1060" s="5667"/>
      <c r="U1060" s="5667"/>
      <c r="V1060" s="5667"/>
      <c r="W1060" s="5667"/>
      <c r="X1060" s="5667"/>
      <c r="Y1060" s="5667"/>
      <c r="Z1060" s="5667"/>
      <c r="AA1060" s="5667"/>
      <c r="AB1060" s="5973"/>
      <c r="AC1060" s="1032" t="s">
        <v>1806</v>
      </c>
      <c r="AD1060" s="5241" t="s">
        <v>1799</v>
      </c>
      <c r="AE1060" s="1032">
        <v>0.2</v>
      </c>
      <c r="AF1060" s="3812">
        <f t="shared" si="218"/>
        <v>150555.6</v>
      </c>
      <c r="AG1060" s="3812">
        <f t="shared" ref="AG1060:AG1068" si="220">SUM(BA1060:BN1060)</f>
        <v>150555.6</v>
      </c>
      <c r="AH1060" s="1032" t="s">
        <v>122</v>
      </c>
      <c r="AI1060" s="3812">
        <v>45497</v>
      </c>
      <c r="AJ1060" s="3812">
        <v>150555.6</v>
      </c>
      <c r="AK1060" s="3812">
        <v>45514</v>
      </c>
      <c r="AL1060" s="3812">
        <v>150555.6</v>
      </c>
      <c r="AM1060" s="3812">
        <v>45499</v>
      </c>
      <c r="AN1060" s="5349">
        <f t="shared" si="208"/>
        <v>150555.6</v>
      </c>
      <c r="AO1060" s="3812">
        <v>45554</v>
      </c>
      <c r="AP1060" s="3812"/>
      <c r="AQ1060" s="1032"/>
      <c r="AR1060" s="3812"/>
      <c r="AS1060" s="5059"/>
      <c r="AT1060" s="3812"/>
      <c r="AU1060" s="3812"/>
      <c r="AV1060" s="3812"/>
      <c r="AW1060" s="3812"/>
      <c r="AX1060" s="3812"/>
      <c r="AY1060" s="3812"/>
      <c r="AZ1060" s="3812"/>
      <c r="BA1060" s="3812"/>
      <c r="BB1060" s="3812"/>
      <c r="BC1060" s="3812"/>
      <c r="BD1060" s="3812"/>
      <c r="BE1060" s="3812"/>
      <c r="BF1060" s="3812"/>
      <c r="BG1060" s="3812"/>
      <c r="BH1060" s="3812"/>
      <c r="BI1060" s="3812"/>
      <c r="BJ1060" s="3812"/>
      <c r="BK1060" s="3812"/>
      <c r="BL1060" s="3812"/>
      <c r="BM1060" s="3812"/>
      <c r="BN1060" s="3812">
        <v>150555.6</v>
      </c>
      <c r="BO1060" s="3812"/>
      <c r="BP1060" s="3812"/>
      <c r="BQ1060" s="3812"/>
      <c r="BR1060" s="3812"/>
      <c r="BS1060" s="3812"/>
      <c r="BT1060" s="3812"/>
      <c r="BU1060" s="3812"/>
      <c r="BV1060" s="3812"/>
      <c r="BW1060" s="3812"/>
      <c r="BX1060" s="3812"/>
      <c r="BY1060" s="3812"/>
      <c r="BZ1060" s="3812"/>
      <c r="CA1060" s="3812"/>
      <c r="CB1060" s="3812">
        <v>150555.6</v>
      </c>
      <c r="CC1060" s="3812"/>
      <c r="CD1060" s="3812"/>
      <c r="CE1060" s="5169">
        <f t="shared" ref="CE1060:CE1066" si="221">SUBTOTAL(9,BO1060:CB1060)</f>
        <v>150555.6</v>
      </c>
      <c r="CF1060" s="5169">
        <f t="shared" si="219"/>
        <v>0</v>
      </c>
      <c r="CG1060" s="5310"/>
      <c r="CH1060" s="5310"/>
    </row>
    <row r="1061" s="4974" customFormat="1" ht="23.25" customHeight="1" spans="1:86">
      <c r="A1061" s="2678"/>
      <c r="B1061" s="3812"/>
      <c r="C1061" s="3812"/>
      <c r="D1061" s="5059"/>
      <c r="E1061" s="5059"/>
      <c r="F1061" s="5059"/>
      <c r="G1061" s="5059"/>
      <c r="H1061" s="5059"/>
      <c r="I1061" s="5205"/>
      <c r="J1061" s="5059"/>
      <c r="K1061" s="5059"/>
      <c r="L1061" s="5059"/>
      <c r="M1061" s="3812"/>
      <c r="N1061" s="5667"/>
      <c r="O1061" s="5667"/>
      <c r="P1061" s="5667"/>
      <c r="Q1061" s="5667"/>
      <c r="R1061" s="5667"/>
      <c r="S1061" s="5667"/>
      <c r="T1061" s="5667"/>
      <c r="U1061" s="5667"/>
      <c r="V1061" s="5667"/>
      <c r="W1061" s="5667"/>
      <c r="X1061" s="5667"/>
      <c r="Y1061" s="5667"/>
      <c r="Z1061" s="5667"/>
      <c r="AA1061" s="5667"/>
      <c r="AB1061" s="5973"/>
      <c r="AC1061" s="5073" t="s">
        <v>1807</v>
      </c>
      <c r="AD1061" s="5073" t="s">
        <v>1801</v>
      </c>
      <c r="AE1061" s="5073">
        <v>0.2</v>
      </c>
      <c r="AF1061" s="4840">
        <f t="shared" si="218"/>
        <v>150555.6</v>
      </c>
      <c r="AG1061" s="4840">
        <f t="shared" si="220"/>
        <v>150555.6</v>
      </c>
      <c r="AH1061" s="5073" t="s">
        <v>122</v>
      </c>
      <c r="AI1061" s="4840">
        <v>45497</v>
      </c>
      <c r="AJ1061" s="4840">
        <v>150555.6</v>
      </c>
      <c r="AK1061" s="4840">
        <v>45514</v>
      </c>
      <c r="AL1061" s="4840">
        <v>150555.6</v>
      </c>
      <c r="AM1061" s="4840">
        <v>45499</v>
      </c>
      <c r="AN1061" s="5349">
        <f t="shared" si="208"/>
        <v>60222.24</v>
      </c>
      <c r="AO1061" s="3812">
        <v>45554</v>
      </c>
      <c r="AP1061" s="3812"/>
      <c r="AQ1061" s="1032"/>
      <c r="AR1061" s="3812"/>
      <c r="AS1061" s="5059"/>
      <c r="AT1061" s="3812"/>
      <c r="AU1061" s="3812"/>
      <c r="AV1061" s="3812"/>
      <c r="AW1061" s="3812"/>
      <c r="AX1061" s="3812"/>
      <c r="AY1061" s="3812"/>
      <c r="AZ1061" s="3812"/>
      <c r="BA1061" s="3812"/>
      <c r="BB1061" s="3812"/>
      <c r="BC1061" s="3812"/>
      <c r="BD1061" s="3812"/>
      <c r="BE1061" s="3812"/>
      <c r="BF1061" s="3812"/>
      <c r="BG1061" s="3812"/>
      <c r="BH1061" s="3812"/>
      <c r="BI1061" s="3812"/>
      <c r="BJ1061" s="3812"/>
      <c r="BK1061" s="3812"/>
      <c r="BL1061" s="3812"/>
      <c r="BM1061" s="4840"/>
      <c r="BN1061" s="4840">
        <v>150555.6</v>
      </c>
      <c r="BO1061" s="3812"/>
      <c r="BP1061" s="3812"/>
      <c r="BQ1061" s="3812"/>
      <c r="BR1061" s="3812"/>
      <c r="BS1061" s="3812"/>
      <c r="BT1061" s="3812"/>
      <c r="BU1061" s="3812"/>
      <c r="BV1061" s="3812"/>
      <c r="BW1061" s="3812"/>
      <c r="BX1061" s="3812"/>
      <c r="BY1061" s="3812"/>
      <c r="BZ1061" s="3812"/>
      <c r="CA1061" s="3812"/>
      <c r="CB1061" s="3812">
        <v>60222.24</v>
      </c>
      <c r="CC1061" s="3812"/>
      <c r="CD1061" s="3812"/>
      <c r="CE1061" s="5169">
        <f t="shared" si="221"/>
        <v>60222.24</v>
      </c>
      <c r="CF1061" s="5169">
        <f t="shared" si="219"/>
        <v>0</v>
      </c>
      <c r="CG1061" s="5310"/>
      <c r="CH1061" s="5310"/>
    </row>
    <row r="1062" s="4974" customFormat="1" ht="22.5" customHeight="1" spans="1:86">
      <c r="A1062" s="2678"/>
      <c r="B1062" s="3812"/>
      <c r="C1062" s="3812"/>
      <c r="D1062" s="5059"/>
      <c r="E1062" s="5059"/>
      <c r="F1062" s="5059"/>
      <c r="G1062" s="5059"/>
      <c r="H1062" s="5059"/>
      <c r="I1062" s="5205"/>
      <c r="J1062" s="5059"/>
      <c r="K1062" s="5059"/>
      <c r="L1062" s="5059"/>
      <c r="M1062" s="3812"/>
      <c r="N1062" s="5667"/>
      <c r="O1062" s="5667"/>
      <c r="P1062" s="5667"/>
      <c r="Q1062" s="5667"/>
      <c r="R1062" s="5667"/>
      <c r="S1062" s="5667"/>
      <c r="T1062" s="5667"/>
      <c r="U1062" s="5667"/>
      <c r="V1062" s="5667"/>
      <c r="W1062" s="5667"/>
      <c r="X1062" s="5667"/>
      <c r="Y1062" s="5667"/>
      <c r="Z1062" s="5667"/>
      <c r="AA1062" s="5667"/>
      <c r="AB1062" s="5973"/>
      <c r="AC1062" s="5206"/>
      <c r="AD1062" s="5206"/>
      <c r="AE1062" s="5206"/>
      <c r="AF1062" s="4842"/>
      <c r="AG1062" s="4842"/>
      <c r="AH1062" s="5206"/>
      <c r="AI1062" s="4842"/>
      <c r="AJ1062" s="4842"/>
      <c r="AK1062" s="4842"/>
      <c r="AL1062" s="4842"/>
      <c r="AM1062" s="4842"/>
      <c r="AN1062" s="5349">
        <f t="shared" si="208"/>
        <v>90333.36</v>
      </c>
      <c r="AO1062" s="3812">
        <v>45616</v>
      </c>
      <c r="AP1062" s="3812"/>
      <c r="AQ1062" s="1032"/>
      <c r="AR1062" s="3812"/>
      <c r="AS1062" s="5059"/>
      <c r="AT1062" s="3812"/>
      <c r="AU1062" s="3812"/>
      <c r="AV1062" s="3812"/>
      <c r="AW1062" s="3812"/>
      <c r="AX1062" s="3812"/>
      <c r="AY1062" s="3812"/>
      <c r="AZ1062" s="3812"/>
      <c r="BA1062" s="3812"/>
      <c r="BB1062" s="3812"/>
      <c r="BC1062" s="3812"/>
      <c r="BD1062" s="3812"/>
      <c r="BE1062" s="3812"/>
      <c r="BF1062" s="3812"/>
      <c r="BG1062" s="3812"/>
      <c r="BH1062" s="3812"/>
      <c r="BI1062" s="3812"/>
      <c r="BJ1062" s="3812"/>
      <c r="BK1062" s="3812"/>
      <c r="BL1062" s="3812"/>
      <c r="BM1062" s="4842"/>
      <c r="BN1062" s="4842"/>
      <c r="BO1062" s="3812"/>
      <c r="BP1062" s="3812"/>
      <c r="BQ1062" s="3812"/>
      <c r="BR1062" s="3812"/>
      <c r="BS1062" s="3812"/>
      <c r="BT1062" s="3812"/>
      <c r="BU1062" s="3812"/>
      <c r="BV1062" s="3812"/>
      <c r="BW1062" s="3812"/>
      <c r="BX1062" s="3812"/>
      <c r="BY1062" s="3812"/>
      <c r="BZ1062" s="3812"/>
      <c r="CA1062" s="3812"/>
      <c r="CB1062" s="5123">
        <f>150555.6-CB1061</f>
        <v>90333.36</v>
      </c>
      <c r="CC1062" s="3812"/>
      <c r="CD1062" s="3812"/>
      <c r="CE1062" s="5310"/>
      <c r="CF1062" s="5310"/>
      <c r="CG1062" s="5310"/>
      <c r="CH1062" s="5310"/>
    </row>
    <row r="1063" s="4974" customFormat="1" ht="31" spans="1:86">
      <c r="A1063" s="2678"/>
      <c r="B1063" s="3812"/>
      <c r="C1063" s="3812"/>
      <c r="D1063" s="5059"/>
      <c r="E1063" s="5059"/>
      <c r="F1063" s="5059"/>
      <c r="G1063" s="5059"/>
      <c r="H1063" s="5059"/>
      <c r="I1063" s="5205"/>
      <c r="J1063" s="5059"/>
      <c r="K1063" s="5059"/>
      <c r="L1063" s="5059"/>
      <c r="M1063" s="3812"/>
      <c r="N1063" s="5667"/>
      <c r="O1063" s="5667"/>
      <c r="P1063" s="5667"/>
      <c r="Q1063" s="5667"/>
      <c r="R1063" s="5667"/>
      <c r="S1063" s="5667"/>
      <c r="T1063" s="5667"/>
      <c r="U1063" s="5667"/>
      <c r="V1063" s="5667"/>
      <c r="W1063" s="5667"/>
      <c r="X1063" s="5667"/>
      <c r="Y1063" s="5667"/>
      <c r="Z1063" s="5667"/>
      <c r="AA1063" s="5667"/>
      <c r="AB1063" s="5973"/>
      <c r="AC1063" s="1032" t="s">
        <v>1808</v>
      </c>
      <c r="AD1063" s="5241" t="s">
        <v>1803</v>
      </c>
      <c r="AE1063" s="1032">
        <v>0.2</v>
      </c>
      <c r="AF1063" s="3812">
        <f>752778*AE1063</f>
        <v>150555.6</v>
      </c>
      <c r="AG1063" s="3812">
        <f t="shared" si="220"/>
        <v>150555.6</v>
      </c>
      <c r="AH1063" s="1032" t="s">
        <v>122</v>
      </c>
      <c r="AI1063" s="3812">
        <v>45639</v>
      </c>
      <c r="AJ1063" s="3812">
        <v>150555.6</v>
      </c>
      <c r="AK1063" s="3812">
        <v>45639</v>
      </c>
      <c r="AL1063" s="3812">
        <v>150555.6</v>
      </c>
      <c r="AM1063" s="3812">
        <v>45646</v>
      </c>
      <c r="AN1063" s="5349">
        <f t="shared" si="208"/>
        <v>150555.6</v>
      </c>
      <c r="AO1063" s="3812">
        <v>45680</v>
      </c>
      <c r="AP1063" s="3812"/>
      <c r="AQ1063" s="1032"/>
      <c r="AR1063" s="3812"/>
      <c r="AS1063" s="5059"/>
      <c r="AT1063" s="3812"/>
      <c r="AU1063" s="3812"/>
      <c r="AV1063" s="3812"/>
      <c r="AW1063" s="3812"/>
      <c r="AX1063" s="3812"/>
      <c r="AY1063" s="3812"/>
      <c r="AZ1063" s="3812"/>
      <c r="BA1063" s="3812"/>
      <c r="BB1063" s="3812"/>
      <c r="BC1063" s="3812"/>
      <c r="BD1063" s="3812"/>
      <c r="BE1063" s="3812"/>
      <c r="BF1063" s="3812"/>
      <c r="BG1063" s="3812"/>
      <c r="BH1063" s="3812"/>
      <c r="BI1063" s="3812"/>
      <c r="BJ1063" s="3812"/>
      <c r="BK1063" s="3812"/>
      <c r="BL1063" s="3812"/>
      <c r="BM1063" s="3812"/>
      <c r="BN1063" s="3812">
        <v>150555.6</v>
      </c>
      <c r="BO1063" s="3812"/>
      <c r="BP1063" s="3812"/>
      <c r="BQ1063" s="3812"/>
      <c r="BR1063" s="3812"/>
      <c r="BS1063" s="3812"/>
      <c r="BT1063" s="3812"/>
      <c r="BU1063" s="3812"/>
      <c r="BV1063" s="3812"/>
      <c r="BW1063" s="3812"/>
      <c r="BX1063" s="3812"/>
      <c r="BY1063" s="3812"/>
      <c r="BZ1063" s="3812"/>
      <c r="CA1063" s="3812"/>
      <c r="CB1063" s="4813">
        <v>150555.6</v>
      </c>
      <c r="CC1063" s="3812"/>
      <c r="CD1063" s="3812"/>
      <c r="CE1063" s="5310"/>
      <c r="CF1063" s="5310"/>
      <c r="CG1063" s="5310"/>
      <c r="CH1063" s="5310"/>
    </row>
    <row r="1064" s="4974" customFormat="1" ht="31.75" spans="1:86">
      <c r="A1064" s="2678"/>
      <c r="B1064" s="3812"/>
      <c r="C1064" s="3812"/>
      <c r="D1064" s="5059"/>
      <c r="E1064" s="5059"/>
      <c r="F1064" s="5059"/>
      <c r="G1064" s="5059"/>
      <c r="H1064" s="5059"/>
      <c r="I1064" s="5206"/>
      <c r="J1064" s="5059"/>
      <c r="K1064" s="5059"/>
      <c r="L1064" s="5059"/>
      <c r="M1064" s="3812"/>
      <c r="N1064" s="5667"/>
      <c r="O1064" s="5667"/>
      <c r="P1064" s="5667"/>
      <c r="Q1064" s="5667"/>
      <c r="R1064" s="5667"/>
      <c r="S1064" s="5667"/>
      <c r="T1064" s="5667"/>
      <c r="U1064" s="5667"/>
      <c r="V1064" s="5667"/>
      <c r="W1064" s="5667"/>
      <c r="X1064" s="5667"/>
      <c r="Y1064" s="5667"/>
      <c r="Z1064" s="5667"/>
      <c r="AA1064" s="5667"/>
      <c r="AB1064" s="5973"/>
      <c r="AC1064" s="1032" t="s">
        <v>1809</v>
      </c>
      <c r="AD1064" s="5241" t="s">
        <v>1804</v>
      </c>
      <c r="AE1064" s="1032">
        <v>0.2</v>
      </c>
      <c r="AF1064" s="5123">
        <f>752778*AE1064</f>
        <v>150555.6</v>
      </c>
      <c r="AG1064" s="3812">
        <f t="shared" si="220"/>
        <v>150555.6</v>
      </c>
      <c r="AH1064" s="5245"/>
      <c r="AI1064" s="5123"/>
      <c r="AJ1064" s="3812"/>
      <c r="AK1064" s="3812"/>
      <c r="AL1064" s="3812"/>
      <c r="AM1064" s="3812"/>
      <c r="AN1064" s="5349">
        <f t="shared" si="208"/>
        <v>0</v>
      </c>
      <c r="AO1064" s="5123"/>
      <c r="AP1064" s="3812"/>
      <c r="AQ1064" s="1032"/>
      <c r="AR1064" s="3812"/>
      <c r="AS1064" s="5059"/>
      <c r="AT1064" s="3812"/>
      <c r="AU1064" s="3812"/>
      <c r="AV1064" s="3812"/>
      <c r="AW1064" s="3812"/>
      <c r="AX1064" s="3812"/>
      <c r="AY1064" s="3812"/>
      <c r="AZ1064" s="3812"/>
      <c r="BA1064" s="4840"/>
      <c r="BB1064" s="4840"/>
      <c r="BC1064" s="4840"/>
      <c r="BD1064" s="4840"/>
      <c r="BE1064" s="4840"/>
      <c r="BF1064" s="4840"/>
      <c r="BG1064" s="4840"/>
      <c r="BH1064" s="4840"/>
      <c r="BI1064" s="4840"/>
      <c r="BJ1064" s="4840"/>
      <c r="BK1064" s="4840"/>
      <c r="BL1064" s="4840"/>
      <c r="BM1064" s="4840"/>
      <c r="BN1064" s="4840">
        <v>150555.6</v>
      </c>
      <c r="BO1064" s="4840"/>
      <c r="BP1064" s="4840"/>
      <c r="BQ1064" s="4840"/>
      <c r="BR1064" s="4840"/>
      <c r="BS1064" s="4840"/>
      <c r="BT1064" s="4840"/>
      <c r="BU1064" s="4840"/>
      <c r="BV1064" s="4840"/>
      <c r="BW1064" s="4840"/>
      <c r="BX1064" s="4840"/>
      <c r="BY1064" s="4840"/>
      <c r="BZ1064" s="4840"/>
      <c r="CA1064" s="4840"/>
      <c r="CB1064" s="4840"/>
      <c r="CC1064" s="3812"/>
      <c r="CD1064" s="3812"/>
      <c r="CE1064" s="5310"/>
      <c r="CF1064" s="5310"/>
      <c r="CG1064" s="5310"/>
      <c r="CH1064" s="5310"/>
    </row>
    <row r="1065" s="4974" customFormat="1" ht="25" customHeight="1" spans="1:86">
      <c r="A1065" s="4045"/>
      <c r="B1065" s="857" t="s">
        <v>1186</v>
      </c>
      <c r="C1065" s="3812">
        <v>45614</v>
      </c>
      <c r="D1065" s="1032" t="s">
        <v>1939</v>
      </c>
      <c r="E1065" s="1032"/>
      <c r="F1065" s="1032" t="s">
        <v>1940</v>
      </c>
      <c r="G1065" s="1032" t="s">
        <v>1941</v>
      </c>
      <c r="H1065" s="1032" t="s">
        <v>1932</v>
      </c>
      <c r="I1065" s="5073" t="s">
        <v>1942</v>
      </c>
      <c r="J1065" s="1032" t="s">
        <v>1943</v>
      </c>
      <c r="K1065" s="5059">
        <v>61736.82</v>
      </c>
      <c r="L1065" s="1032" t="s">
        <v>1935</v>
      </c>
      <c r="M1065" s="3812">
        <f>SUM(N1065:AA1092)</f>
        <v>4223837.65</v>
      </c>
      <c r="N1065" s="4127">
        <v>0</v>
      </c>
      <c r="O1065" s="4127">
        <v>0</v>
      </c>
      <c r="P1065" s="4127">
        <v>0</v>
      </c>
      <c r="Q1065" s="4127">
        <v>0</v>
      </c>
      <c r="R1065" s="4127">
        <v>0</v>
      </c>
      <c r="S1065" s="4127">
        <v>0</v>
      </c>
      <c r="T1065" s="5971">
        <v>0</v>
      </c>
      <c r="U1065" s="4127">
        <v>0</v>
      </c>
      <c r="V1065" s="4127">
        <v>107061.7</v>
      </c>
      <c r="W1065" s="4127">
        <v>0</v>
      </c>
      <c r="X1065" s="4127">
        <v>0</v>
      </c>
      <c r="Y1065" s="4127">
        <v>0</v>
      </c>
      <c r="Z1065" s="4127">
        <v>0</v>
      </c>
      <c r="AA1065" s="4127">
        <v>4116775.95</v>
      </c>
      <c r="AB1065" s="5972" t="s">
        <v>171</v>
      </c>
      <c r="AC1065" s="5059" t="s">
        <v>1055</v>
      </c>
      <c r="AD1065" s="5241" t="s">
        <v>342</v>
      </c>
      <c r="AE1065" s="1032">
        <v>0.2</v>
      </c>
      <c r="AF1065" s="3812">
        <f t="shared" ref="AF1065:AF1069" si="222">1038343.04*AE1065</f>
        <v>207668.608</v>
      </c>
      <c r="AG1065" s="3812">
        <f t="shared" si="220"/>
        <v>207668.61</v>
      </c>
      <c r="AH1065" s="1032" t="s">
        <v>122</v>
      </c>
      <c r="AI1065" s="3812">
        <v>45639</v>
      </c>
      <c r="AJ1065" s="3812">
        <v>207668.61</v>
      </c>
      <c r="AK1065" s="3812">
        <v>45639</v>
      </c>
      <c r="AL1065" s="3812">
        <v>207668.61</v>
      </c>
      <c r="AM1065" s="3812">
        <v>45646</v>
      </c>
      <c r="AN1065" s="5349">
        <f t="shared" si="208"/>
        <v>207668.61</v>
      </c>
      <c r="AO1065" s="3812">
        <v>45673</v>
      </c>
      <c r="AP1065" s="3812"/>
      <c r="AQ1065" s="1032"/>
      <c r="AR1065" s="3812"/>
      <c r="AS1065" s="5059"/>
      <c r="AT1065" s="3812"/>
      <c r="AU1065" s="3812">
        <f>SUM(AG1065:AG1092)</f>
        <v>4178837.64</v>
      </c>
      <c r="AV1065" s="3812">
        <f>SUM(AL1065:AL1092)</f>
        <v>3535196.04</v>
      </c>
      <c r="AW1065" s="3812">
        <f>SUM(AN1065:AN1092)</f>
        <v>3535196.036</v>
      </c>
      <c r="AX1065" s="3812">
        <f>M1065-AU1065</f>
        <v>45000.0100000012</v>
      </c>
      <c r="AY1065" s="3812">
        <f>AU1065-AV1065</f>
        <v>643641.6</v>
      </c>
      <c r="AZ1065" s="5263">
        <f>AV1065-AW1065</f>
        <v>0.00399999972432852</v>
      </c>
      <c r="BA1065" s="5141"/>
      <c r="BB1065" s="5142"/>
      <c r="BC1065" s="5142"/>
      <c r="BD1065" s="5142"/>
      <c r="BE1065" s="5142"/>
      <c r="BF1065" s="5142"/>
      <c r="BG1065" s="5142"/>
      <c r="BH1065" s="5142"/>
      <c r="BI1065" s="5142"/>
      <c r="BJ1065" s="5142"/>
      <c r="BK1065" s="5142"/>
      <c r="BL1065" s="5142"/>
      <c r="BM1065" s="5155"/>
      <c r="BN1065" s="5156">
        <v>207668.61</v>
      </c>
      <c r="BO1065" s="5141"/>
      <c r="BP1065" s="5142"/>
      <c r="BQ1065" s="5142"/>
      <c r="BR1065" s="5142"/>
      <c r="BS1065" s="5142"/>
      <c r="BT1065" s="5142"/>
      <c r="BU1065" s="5142"/>
      <c r="BV1065" s="5142"/>
      <c r="BW1065" s="5289"/>
      <c r="BX1065" s="5289"/>
      <c r="BY1065" s="5289"/>
      <c r="BZ1065" s="5289"/>
      <c r="CA1065" s="6036"/>
      <c r="CB1065" s="5959">
        <v>207668.61</v>
      </c>
      <c r="CC1065" s="5309"/>
      <c r="CD1065" s="3812"/>
      <c r="CE1065" s="5154">
        <f t="shared" si="221"/>
        <v>207668.61</v>
      </c>
      <c r="CF1065" s="5154">
        <f t="shared" ref="CF1065:CF1071" si="223">AN1065-CE1065</f>
        <v>0</v>
      </c>
      <c r="CG1065" s="5310"/>
      <c r="CH1065" s="5310"/>
    </row>
    <row r="1066" s="4974" customFormat="1" ht="25" customHeight="1" spans="1:86">
      <c r="A1066" s="4045"/>
      <c r="B1066" s="3812"/>
      <c r="C1066" s="3812"/>
      <c r="D1066" s="5059"/>
      <c r="E1066" s="5059"/>
      <c r="F1066" s="5059"/>
      <c r="G1066" s="5059"/>
      <c r="H1066" s="5059"/>
      <c r="I1066" s="5205"/>
      <c r="J1066" s="5059"/>
      <c r="K1066" s="5059"/>
      <c r="L1066" s="5059"/>
      <c r="M1066" s="3812"/>
      <c r="N1066" s="5711"/>
      <c r="O1066" s="5711"/>
      <c r="P1066" s="5711"/>
      <c r="Q1066" s="5711"/>
      <c r="R1066" s="5711"/>
      <c r="S1066" s="5711"/>
      <c r="T1066" s="5711"/>
      <c r="U1066" s="5711"/>
      <c r="V1066" s="5711"/>
      <c r="W1066" s="5711"/>
      <c r="X1066" s="5711"/>
      <c r="Y1066" s="5711"/>
      <c r="Z1066" s="5711"/>
      <c r="AA1066" s="5711"/>
      <c r="AB1066" s="5972"/>
      <c r="AC1066" s="5214" t="s">
        <v>1057</v>
      </c>
      <c r="AD1066" s="5242" t="s">
        <v>344</v>
      </c>
      <c r="AE1066" s="5073">
        <v>0.3</v>
      </c>
      <c r="AF1066" s="3812">
        <f t="shared" si="222"/>
        <v>311502.912</v>
      </c>
      <c r="AG1066" s="4840">
        <f t="shared" si="220"/>
        <v>311502.91</v>
      </c>
      <c r="AH1066" s="1032" t="s">
        <v>122</v>
      </c>
      <c r="AI1066" s="3812">
        <v>45639</v>
      </c>
      <c r="AJ1066" s="4840">
        <v>311502.91</v>
      </c>
      <c r="AK1066" s="3812">
        <v>45639</v>
      </c>
      <c r="AL1066" s="4840">
        <v>311502.91</v>
      </c>
      <c r="AM1066" s="3812">
        <v>45646</v>
      </c>
      <c r="AN1066" s="5349">
        <f t="shared" si="208"/>
        <v>311502.91</v>
      </c>
      <c r="AO1066" s="3812">
        <v>45673</v>
      </c>
      <c r="AP1066" s="3812"/>
      <c r="AQ1066" s="1032"/>
      <c r="AR1066" s="3812"/>
      <c r="AS1066" s="5059"/>
      <c r="AT1066" s="3812"/>
      <c r="AU1066" s="3812"/>
      <c r="AV1066" s="3812"/>
      <c r="AW1066" s="3812"/>
      <c r="AX1066" s="3812"/>
      <c r="AY1066" s="3812"/>
      <c r="AZ1066" s="5263"/>
      <c r="BA1066" s="5265"/>
      <c r="BB1066" s="3812"/>
      <c r="BC1066" s="3812"/>
      <c r="BD1066" s="4840"/>
      <c r="BE1066" s="3812"/>
      <c r="BF1066" s="3812"/>
      <c r="BG1066" s="3812"/>
      <c r="BH1066" s="4840"/>
      <c r="BI1066" s="3812"/>
      <c r="BJ1066" s="3812"/>
      <c r="BK1066" s="3812"/>
      <c r="BL1066" s="3812"/>
      <c r="BM1066" s="5280"/>
      <c r="BN1066" s="5283">
        <v>311502.91</v>
      </c>
      <c r="BO1066" s="5265"/>
      <c r="BP1066" s="3812"/>
      <c r="BQ1066" s="3812"/>
      <c r="BR1066" s="3812"/>
      <c r="BS1066" s="3812"/>
      <c r="BT1066" s="3812"/>
      <c r="BU1066" s="3812"/>
      <c r="BV1066" s="3812"/>
      <c r="BW1066" s="5123"/>
      <c r="BX1066" s="5123"/>
      <c r="BY1066" s="5123"/>
      <c r="BZ1066" s="5123"/>
      <c r="CA1066" s="5304"/>
      <c r="CB1066" s="5281">
        <v>311502.91</v>
      </c>
      <c r="CC1066" s="5309"/>
      <c r="CD1066" s="3812"/>
      <c r="CE1066" s="5154">
        <f t="shared" si="221"/>
        <v>311502.91</v>
      </c>
      <c r="CF1066" s="5154">
        <f t="shared" si="223"/>
        <v>0</v>
      </c>
      <c r="CG1066" s="5310"/>
      <c r="CH1066" s="5310"/>
    </row>
    <row r="1067" s="4974" customFormat="1" ht="25" customHeight="1" spans="1:86">
      <c r="A1067" s="4045"/>
      <c r="B1067" s="3812"/>
      <c r="C1067" s="3812"/>
      <c r="D1067" s="5059"/>
      <c r="E1067" s="5059"/>
      <c r="F1067" s="5059"/>
      <c r="G1067" s="5059"/>
      <c r="H1067" s="5059"/>
      <c r="I1067" s="5205"/>
      <c r="J1067" s="5059"/>
      <c r="K1067" s="5059"/>
      <c r="L1067" s="5059"/>
      <c r="M1067" s="3812"/>
      <c r="N1067" s="5711"/>
      <c r="O1067" s="5711"/>
      <c r="P1067" s="5711"/>
      <c r="Q1067" s="5711"/>
      <c r="R1067" s="5711"/>
      <c r="S1067" s="5711"/>
      <c r="T1067" s="5711"/>
      <c r="U1067" s="5711"/>
      <c r="V1067" s="5711"/>
      <c r="W1067" s="5711"/>
      <c r="X1067" s="5711"/>
      <c r="Y1067" s="5711"/>
      <c r="Z1067" s="5711"/>
      <c r="AA1067" s="5711"/>
      <c r="AB1067" s="5972"/>
      <c r="AC1067" s="5214" t="s">
        <v>1059</v>
      </c>
      <c r="AD1067" s="5242" t="s">
        <v>346</v>
      </c>
      <c r="AE1067" s="5073">
        <v>0.2</v>
      </c>
      <c r="AF1067" s="3812">
        <f t="shared" si="222"/>
        <v>207668.608</v>
      </c>
      <c r="AG1067" s="4840">
        <f t="shared" si="220"/>
        <v>207668.61</v>
      </c>
      <c r="AH1067" s="1032" t="s">
        <v>122</v>
      </c>
      <c r="AI1067" s="3812">
        <v>45639</v>
      </c>
      <c r="AJ1067" s="3812">
        <v>207668.61</v>
      </c>
      <c r="AK1067" s="3812">
        <v>45639</v>
      </c>
      <c r="AL1067" s="3812">
        <v>207668.61</v>
      </c>
      <c r="AM1067" s="3812">
        <v>45646</v>
      </c>
      <c r="AN1067" s="5349">
        <f t="shared" si="208"/>
        <v>207668.61</v>
      </c>
      <c r="AO1067" s="3812">
        <v>45673</v>
      </c>
      <c r="AP1067" s="3812"/>
      <c r="AQ1067" s="1032"/>
      <c r="AR1067" s="3812"/>
      <c r="AS1067" s="5059"/>
      <c r="AT1067" s="3812"/>
      <c r="AU1067" s="3812"/>
      <c r="AV1067" s="3812"/>
      <c r="AW1067" s="3812"/>
      <c r="AX1067" s="3812"/>
      <c r="AY1067" s="3812"/>
      <c r="AZ1067" s="5263"/>
      <c r="BA1067" s="5265"/>
      <c r="BB1067" s="3812"/>
      <c r="BC1067" s="3812"/>
      <c r="BD1067" s="4840"/>
      <c r="BE1067" s="3812"/>
      <c r="BF1067" s="3812"/>
      <c r="BG1067" s="3812"/>
      <c r="BH1067" s="4840"/>
      <c r="BI1067" s="3812"/>
      <c r="BJ1067" s="3812"/>
      <c r="BK1067" s="3812"/>
      <c r="BL1067" s="3812"/>
      <c r="BM1067" s="5280"/>
      <c r="BN1067" s="5283">
        <v>207668.61</v>
      </c>
      <c r="BO1067" s="5265"/>
      <c r="BP1067" s="3812"/>
      <c r="BQ1067" s="3812"/>
      <c r="BR1067" s="3812"/>
      <c r="BS1067" s="3812"/>
      <c r="BT1067" s="3812"/>
      <c r="BU1067" s="3812"/>
      <c r="BV1067" s="3812"/>
      <c r="BW1067" s="5123"/>
      <c r="BX1067" s="5123"/>
      <c r="BY1067" s="5123"/>
      <c r="BZ1067" s="5123"/>
      <c r="CA1067" s="5304"/>
      <c r="CB1067" s="5281">
        <v>207668.61</v>
      </c>
      <c r="CC1067" s="5309"/>
      <c r="CD1067" s="3812"/>
      <c r="CE1067" s="5154"/>
      <c r="CF1067" s="5154"/>
      <c r="CG1067" s="5310"/>
      <c r="CH1067" s="5310"/>
    </row>
    <row r="1068" s="4974" customFormat="1" ht="25" customHeight="1" spans="1:86">
      <c r="A1068" s="4045"/>
      <c r="B1068" s="3812"/>
      <c r="C1068" s="3812"/>
      <c r="D1068" s="5059"/>
      <c r="E1068" s="5059"/>
      <c r="F1068" s="5059"/>
      <c r="G1068" s="5059"/>
      <c r="H1068" s="5059"/>
      <c r="I1068" s="5205"/>
      <c r="J1068" s="5059"/>
      <c r="K1068" s="5059"/>
      <c r="L1068" s="5059"/>
      <c r="M1068" s="3812"/>
      <c r="N1068" s="5711"/>
      <c r="O1068" s="5711"/>
      <c r="P1068" s="5711"/>
      <c r="Q1068" s="5711"/>
      <c r="R1068" s="5711"/>
      <c r="S1068" s="5711"/>
      <c r="T1068" s="5711"/>
      <c r="U1068" s="5711"/>
      <c r="V1068" s="5711"/>
      <c r="W1068" s="5711"/>
      <c r="X1068" s="5711"/>
      <c r="Y1068" s="5711"/>
      <c r="Z1068" s="5711"/>
      <c r="AA1068" s="5711"/>
      <c r="AB1068" s="5972"/>
      <c r="AC1068" s="5059" t="s">
        <v>1061</v>
      </c>
      <c r="AD1068" s="5241" t="s">
        <v>348</v>
      </c>
      <c r="AE1068" s="1032">
        <v>0.2</v>
      </c>
      <c r="AF1068" s="3812">
        <f t="shared" si="222"/>
        <v>207668.608</v>
      </c>
      <c r="AG1068" s="3812">
        <f t="shared" si="220"/>
        <v>207668.61</v>
      </c>
      <c r="AH1068" s="1032" t="s">
        <v>122</v>
      </c>
      <c r="AI1068" s="3812">
        <v>45639</v>
      </c>
      <c r="AJ1068" s="3812">
        <v>207668.61</v>
      </c>
      <c r="AK1068" s="3812">
        <v>45639</v>
      </c>
      <c r="AL1068" s="3812">
        <v>207668.61</v>
      </c>
      <c r="AM1068" s="3812">
        <v>45646</v>
      </c>
      <c r="AN1068" s="5349">
        <f t="shared" si="208"/>
        <v>207668.61</v>
      </c>
      <c r="AO1068" s="3812">
        <v>45673</v>
      </c>
      <c r="AP1068" s="3812"/>
      <c r="AQ1068" s="1032"/>
      <c r="AR1068" s="3812"/>
      <c r="AS1068" s="5059"/>
      <c r="AT1068" s="3812"/>
      <c r="AU1068" s="3812"/>
      <c r="AV1068" s="3812"/>
      <c r="AW1068" s="3812"/>
      <c r="AX1068" s="3812"/>
      <c r="AY1068" s="3812"/>
      <c r="AZ1068" s="5263"/>
      <c r="BA1068" s="5265"/>
      <c r="BB1068" s="3812"/>
      <c r="BC1068" s="3812"/>
      <c r="BD1068" s="3812"/>
      <c r="BE1068" s="3812"/>
      <c r="BF1068" s="3812"/>
      <c r="BG1068" s="3812"/>
      <c r="BH1068" s="3812"/>
      <c r="BI1068" s="3812"/>
      <c r="BJ1068" s="3812"/>
      <c r="BK1068" s="3812"/>
      <c r="BL1068" s="3812"/>
      <c r="BM1068" s="5263"/>
      <c r="BN1068" s="5282">
        <v>207668.61</v>
      </c>
      <c r="BO1068" s="5265"/>
      <c r="BP1068" s="3812"/>
      <c r="BQ1068" s="3812"/>
      <c r="BR1068" s="3812"/>
      <c r="BS1068" s="3812"/>
      <c r="BT1068" s="3812"/>
      <c r="BU1068" s="3812"/>
      <c r="BV1068" s="3812"/>
      <c r="BW1068" s="5123"/>
      <c r="BX1068" s="5123"/>
      <c r="BY1068" s="5123"/>
      <c r="BZ1068" s="5123"/>
      <c r="CA1068" s="5284"/>
      <c r="CB1068" s="5279">
        <v>207668.61</v>
      </c>
      <c r="CC1068" s="5309"/>
      <c r="CD1068" s="3812"/>
      <c r="CE1068" s="5310"/>
      <c r="CF1068" s="5310"/>
      <c r="CG1068" s="5310"/>
      <c r="CH1068" s="5310"/>
    </row>
    <row r="1069" s="4974" customFormat="1" ht="25" customHeight="1" spans="1:86">
      <c r="A1069" s="4045"/>
      <c r="B1069" s="3812"/>
      <c r="C1069" s="3812"/>
      <c r="D1069" s="5059"/>
      <c r="E1069" s="5059"/>
      <c r="F1069" s="5059"/>
      <c r="G1069" s="5059"/>
      <c r="H1069" s="5059"/>
      <c r="I1069" s="5205"/>
      <c r="J1069" s="5059"/>
      <c r="K1069" s="5059"/>
      <c r="L1069" s="5059"/>
      <c r="M1069" s="3812"/>
      <c r="N1069" s="5711"/>
      <c r="O1069" s="5711"/>
      <c r="P1069" s="5711"/>
      <c r="Q1069" s="5711"/>
      <c r="R1069" s="5711"/>
      <c r="S1069" s="5711"/>
      <c r="T1069" s="5711"/>
      <c r="U1069" s="5711"/>
      <c r="V1069" s="5711"/>
      <c r="W1069" s="5711"/>
      <c r="X1069" s="5711"/>
      <c r="Y1069" s="5711"/>
      <c r="Z1069" s="5711"/>
      <c r="AA1069" s="5711"/>
      <c r="AB1069" s="5972"/>
      <c r="AC1069" s="1032" t="s">
        <v>1063</v>
      </c>
      <c r="AD1069" s="5241" t="s">
        <v>351</v>
      </c>
      <c r="AE1069" s="1032">
        <v>0.1</v>
      </c>
      <c r="AF1069" s="3812">
        <f t="shared" si="222"/>
        <v>103834.304</v>
      </c>
      <c r="AG1069" s="4815">
        <v>103834.3</v>
      </c>
      <c r="AH1069" s="5245" t="s">
        <v>349</v>
      </c>
      <c r="AI1069" s="4815">
        <v>45960</v>
      </c>
      <c r="AJ1069" s="4815">
        <v>103834.3</v>
      </c>
      <c r="AK1069" s="3812"/>
      <c r="AL1069" s="3812"/>
      <c r="AM1069" s="3812"/>
      <c r="AN1069" s="5349">
        <f t="shared" si="208"/>
        <v>0</v>
      </c>
      <c r="AO1069" s="3812"/>
      <c r="AP1069" s="3812"/>
      <c r="AQ1069" s="1032"/>
      <c r="AR1069" s="3812"/>
      <c r="AS1069" s="5059"/>
      <c r="AT1069" s="3812"/>
      <c r="AU1069" s="3812"/>
      <c r="AV1069" s="3812"/>
      <c r="AW1069" s="3812"/>
      <c r="AX1069" s="3812"/>
      <c r="AY1069" s="3812"/>
      <c r="AZ1069" s="5263"/>
      <c r="BA1069" s="5265"/>
      <c r="BB1069" s="3812"/>
      <c r="BC1069" s="3812"/>
      <c r="BD1069" s="3812"/>
      <c r="BE1069" s="3812"/>
      <c r="BF1069" s="3812"/>
      <c r="BG1069" s="3812"/>
      <c r="BH1069" s="3812"/>
      <c r="BI1069" s="3812"/>
      <c r="BJ1069" s="3812"/>
      <c r="BK1069" s="3812"/>
      <c r="BL1069" s="3812"/>
      <c r="BM1069" s="5263"/>
      <c r="BN1069" s="5303">
        <v>103834.3</v>
      </c>
      <c r="BO1069" s="5265"/>
      <c r="BP1069" s="3812"/>
      <c r="BQ1069" s="3812"/>
      <c r="BR1069" s="3812"/>
      <c r="BS1069" s="3812"/>
      <c r="BT1069" s="3812"/>
      <c r="BU1069" s="3812"/>
      <c r="BV1069" s="3812"/>
      <c r="BW1069" s="3812"/>
      <c r="BX1069" s="3812"/>
      <c r="BY1069" s="3812"/>
      <c r="BZ1069" s="3812"/>
      <c r="CA1069" s="5263"/>
      <c r="CB1069" s="5282"/>
      <c r="CC1069" s="5309"/>
      <c r="CD1069" s="3812"/>
      <c r="CE1069" s="5310"/>
      <c r="CF1069" s="5310"/>
      <c r="CG1069" s="5310"/>
      <c r="CH1069" s="5310"/>
    </row>
    <row r="1070" s="4974" customFormat="1" ht="25" customHeight="1" spans="1:86">
      <c r="A1070" s="2678"/>
      <c r="B1070" s="3812"/>
      <c r="C1070" s="3812"/>
      <c r="D1070" s="5059"/>
      <c r="E1070" s="5059"/>
      <c r="F1070" s="5059"/>
      <c r="G1070" s="5059"/>
      <c r="H1070" s="5059"/>
      <c r="I1070" s="5205"/>
      <c r="J1070" s="5059"/>
      <c r="K1070" s="5059"/>
      <c r="L1070" s="5059"/>
      <c r="M1070" s="3812"/>
      <c r="N1070" s="5667"/>
      <c r="O1070" s="5667"/>
      <c r="P1070" s="5667"/>
      <c r="Q1070" s="5667"/>
      <c r="R1070" s="5667"/>
      <c r="S1070" s="5667"/>
      <c r="T1070" s="5667"/>
      <c r="U1070" s="5667"/>
      <c r="V1070" s="5667"/>
      <c r="W1070" s="5667"/>
      <c r="X1070" s="5667"/>
      <c r="Y1070" s="5667"/>
      <c r="Z1070" s="5667"/>
      <c r="AA1070" s="5667"/>
      <c r="AB1070" s="5973"/>
      <c r="AC1070" s="1032" t="s">
        <v>1144</v>
      </c>
      <c r="AD1070" s="5241" t="s">
        <v>1936</v>
      </c>
      <c r="AE1070" s="1032">
        <v>0.4</v>
      </c>
      <c r="AF1070" s="3812">
        <f t="shared" ref="AF1070:AF1072" si="224">118957.44*AE1070</f>
        <v>47582.976</v>
      </c>
      <c r="AG1070" s="3812">
        <f t="shared" ref="AG1070:AG1087" si="225">SUM(BA1070:BN1070)</f>
        <v>47582.976</v>
      </c>
      <c r="AH1070" s="1032" t="s">
        <v>122</v>
      </c>
      <c r="AI1070" s="3812">
        <v>45639</v>
      </c>
      <c r="AJ1070" s="3812">
        <v>47582.98</v>
      </c>
      <c r="AK1070" s="3812">
        <v>45639</v>
      </c>
      <c r="AL1070" s="3812">
        <v>47582.98</v>
      </c>
      <c r="AM1070" s="3812">
        <v>45646</v>
      </c>
      <c r="AN1070" s="5349">
        <f t="shared" si="208"/>
        <v>47582.976</v>
      </c>
      <c r="AO1070" s="3812">
        <v>45673</v>
      </c>
      <c r="AP1070" s="3812"/>
      <c r="AQ1070" s="1032"/>
      <c r="AR1070" s="3812"/>
      <c r="AS1070" s="5059"/>
      <c r="AT1070" s="3812"/>
      <c r="AU1070" s="3812"/>
      <c r="AV1070" s="3812"/>
      <c r="AW1070" s="3812"/>
      <c r="AX1070" s="3812"/>
      <c r="AY1070" s="3812"/>
      <c r="AZ1070" s="5263"/>
      <c r="BA1070" s="5265"/>
      <c r="BB1070" s="3812"/>
      <c r="BC1070" s="3812"/>
      <c r="BD1070" s="3812"/>
      <c r="BE1070" s="3812"/>
      <c r="BF1070" s="3812"/>
      <c r="BG1070" s="3812"/>
      <c r="BH1070" s="3812"/>
      <c r="BI1070" s="4813">
        <f>AF1070-BN1070</f>
        <v>42824.6784</v>
      </c>
      <c r="BJ1070" s="3812"/>
      <c r="BK1070" s="3812"/>
      <c r="BL1070" s="3812"/>
      <c r="BM1070" s="5263"/>
      <c r="BN1070" s="5282">
        <f>AF1070*0.1</f>
        <v>4758.2976</v>
      </c>
      <c r="BO1070" s="5265"/>
      <c r="BP1070" s="3812"/>
      <c r="BQ1070" s="3812"/>
      <c r="BR1070" s="3812"/>
      <c r="BS1070" s="3812"/>
      <c r="BT1070" s="3812"/>
      <c r="BU1070" s="3812"/>
      <c r="BV1070" s="3812"/>
      <c r="BW1070" s="4813">
        <v>42824.6784</v>
      </c>
      <c r="BX1070" s="5123"/>
      <c r="BY1070" s="5123"/>
      <c r="BZ1070" s="5123"/>
      <c r="CA1070" s="5284"/>
      <c r="CB1070" s="5279">
        <v>4758.2976</v>
      </c>
      <c r="CC1070" s="5309"/>
      <c r="CD1070" s="3812"/>
      <c r="CE1070" s="5154">
        <f t="shared" ref="CE1070:CE1075" si="226">SUBTOTAL(9,BO1070:CB1070)</f>
        <v>47582.976</v>
      </c>
      <c r="CF1070" s="5154">
        <f t="shared" si="223"/>
        <v>0</v>
      </c>
      <c r="CG1070" s="5310"/>
      <c r="CH1070" s="5310"/>
    </row>
    <row r="1071" s="4974" customFormat="1" ht="24.75" customHeight="1" spans="1:86">
      <c r="A1071" s="2678"/>
      <c r="B1071" s="3812"/>
      <c r="C1071" s="3812"/>
      <c r="D1071" s="5059"/>
      <c r="E1071" s="5059"/>
      <c r="F1071" s="5059"/>
      <c r="G1071" s="5059"/>
      <c r="H1071" s="5059"/>
      <c r="I1071" s="5205"/>
      <c r="J1071" s="5059"/>
      <c r="K1071" s="5059"/>
      <c r="L1071" s="5059"/>
      <c r="M1071" s="3812"/>
      <c r="N1071" s="5667"/>
      <c r="O1071" s="5667"/>
      <c r="P1071" s="5667"/>
      <c r="Q1071" s="5667"/>
      <c r="R1071" s="5667"/>
      <c r="S1071" s="5667"/>
      <c r="T1071" s="5667"/>
      <c r="U1071" s="5667"/>
      <c r="V1071" s="5667"/>
      <c r="W1071" s="5667"/>
      <c r="X1071" s="5667"/>
      <c r="Y1071" s="5667"/>
      <c r="Z1071" s="5667"/>
      <c r="AA1071" s="5667"/>
      <c r="AB1071" s="5973"/>
      <c r="AC1071" s="5073" t="s">
        <v>1146</v>
      </c>
      <c r="AD1071" s="5073" t="s">
        <v>1937</v>
      </c>
      <c r="AE1071" s="5073">
        <v>0.55</v>
      </c>
      <c r="AF1071" s="3812">
        <f t="shared" si="224"/>
        <v>65426.592</v>
      </c>
      <c r="AG1071" s="4840">
        <f t="shared" si="225"/>
        <v>65426.6</v>
      </c>
      <c r="AH1071" s="1032" t="s">
        <v>122</v>
      </c>
      <c r="AI1071" s="3812">
        <v>45639</v>
      </c>
      <c r="AJ1071" s="4840">
        <v>65426.6</v>
      </c>
      <c r="AK1071" s="3812">
        <v>45639</v>
      </c>
      <c r="AL1071" s="4840">
        <v>65426.6</v>
      </c>
      <c r="AM1071" s="3812">
        <v>45646</v>
      </c>
      <c r="AN1071" s="5349">
        <f t="shared" si="208"/>
        <v>65426.6</v>
      </c>
      <c r="AO1071" s="3812">
        <v>45673</v>
      </c>
      <c r="AP1071" s="3812"/>
      <c r="AQ1071" s="1032"/>
      <c r="AR1071" s="3812"/>
      <c r="AS1071" s="5059"/>
      <c r="AT1071" s="3812"/>
      <c r="AU1071" s="3812"/>
      <c r="AV1071" s="3812"/>
      <c r="AW1071" s="3812"/>
      <c r="AX1071" s="3812"/>
      <c r="AY1071" s="3812"/>
      <c r="AZ1071" s="5263"/>
      <c r="BA1071" s="5265"/>
      <c r="BB1071" s="3812"/>
      <c r="BC1071" s="3812"/>
      <c r="BD1071" s="3812"/>
      <c r="BE1071" s="3812"/>
      <c r="BF1071" s="3812"/>
      <c r="BG1071" s="3812"/>
      <c r="BH1071" s="3812"/>
      <c r="BI1071" s="4813">
        <v>58883.94</v>
      </c>
      <c r="BJ1071" s="3812"/>
      <c r="BK1071" s="3812"/>
      <c r="BL1071" s="3812"/>
      <c r="BM1071" s="5263"/>
      <c r="BN1071" s="5282">
        <v>6542.66</v>
      </c>
      <c r="BO1071" s="5265"/>
      <c r="BP1071" s="3812"/>
      <c r="BQ1071" s="3812"/>
      <c r="BR1071" s="3812"/>
      <c r="BS1071" s="3812"/>
      <c r="BT1071" s="3812"/>
      <c r="BU1071" s="3812"/>
      <c r="BV1071" s="3812"/>
      <c r="BW1071" s="4813">
        <v>58883.94</v>
      </c>
      <c r="BX1071" s="3812"/>
      <c r="BY1071" s="3812"/>
      <c r="BZ1071" s="3812"/>
      <c r="CA1071" s="5263"/>
      <c r="CB1071" s="5279">
        <v>6542.66</v>
      </c>
      <c r="CC1071" s="5309"/>
      <c r="CD1071" s="3812"/>
      <c r="CE1071" s="5154">
        <f t="shared" si="226"/>
        <v>65426.6</v>
      </c>
      <c r="CF1071" s="5154">
        <f t="shared" si="223"/>
        <v>0</v>
      </c>
      <c r="CG1071" s="5310"/>
      <c r="CH1071" s="5310"/>
    </row>
    <row r="1072" s="4974" customFormat="1" ht="76" spans="1:86">
      <c r="A1072" s="2678"/>
      <c r="B1072" s="3812"/>
      <c r="C1072" s="3812"/>
      <c r="D1072" s="5059"/>
      <c r="E1072" s="5059"/>
      <c r="F1072" s="5059"/>
      <c r="G1072" s="5059"/>
      <c r="H1072" s="5059"/>
      <c r="I1072" s="5205"/>
      <c r="J1072" s="5059"/>
      <c r="K1072" s="5059"/>
      <c r="L1072" s="5059"/>
      <c r="M1072" s="3812"/>
      <c r="N1072" s="5667"/>
      <c r="O1072" s="5667"/>
      <c r="P1072" s="5667"/>
      <c r="Q1072" s="5667"/>
      <c r="R1072" s="5667"/>
      <c r="S1072" s="5667"/>
      <c r="T1072" s="5667"/>
      <c r="U1072" s="5667"/>
      <c r="V1072" s="5667"/>
      <c r="W1072" s="5667"/>
      <c r="X1072" s="5667"/>
      <c r="Y1072" s="5667"/>
      <c r="Z1072" s="5667"/>
      <c r="AA1072" s="5667"/>
      <c r="AB1072" s="5973"/>
      <c r="AC1072" s="1032" t="s">
        <v>1148</v>
      </c>
      <c r="AD1072" s="5241" t="s">
        <v>1938</v>
      </c>
      <c r="AE1072" s="1032">
        <v>0.05</v>
      </c>
      <c r="AF1072" s="3812">
        <f t="shared" si="224"/>
        <v>5947.872</v>
      </c>
      <c r="AG1072" s="4815">
        <v>5947.87</v>
      </c>
      <c r="AH1072" s="5245" t="s">
        <v>349</v>
      </c>
      <c r="AI1072" s="4815">
        <v>45960</v>
      </c>
      <c r="AJ1072" s="4813"/>
      <c r="AK1072" s="4813"/>
      <c r="AL1072" s="3812"/>
      <c r="AM1072" s="3812"/>
      <c r="AN1072" s="5349">
        <f t="shared" si="208"/>
        <v>0</v>
      </c>
      <c r="AO1072" s="3812"/>
      <c r="AP1072" s="3812"/>
      <c r="AQ1072" s="1032"/>
      <c r="AR1072" s="3812"/>
      <c r="AS1072" s="5059"/>
      <c r="AT1072" s="3812"/>
      <c r="AU1072" s="3812"/>
      <c r="AV1072" s="3812"/>
      <c r="AW1072" s="3812"/>
      <c r="AX1072" s="3812"/>
      <c r="AY1072" s="3812"/>
      <c r="AZ1072" s="5263"/>
      <c r="BA1072" s="5265"/>
      <c r="BB1072" s="3812"/>
      <c r="BC1072" s="3812"/>
      <c r="BD1072" s="3812"/>
      <c r="BE1072" s="3812"/>
      <c r="BF1072" s="3812"/>
      <c r="BG1072" s="3812"/>
      <c r="BH1072" s="3812"/>
      <c r="BI1072" s="5123">
        <f>AF1072-BN1072</f>
        <v>5353.0848</v>
      </c>
      <c r="BJ1072" s="5123"/>
      <c r="BK1072" s="5123"/>
      <c r="BL1072" s="5123"/>
      <c r="BM1072" s="5284"/>
      <c r="BN1072" s="5285">
        <f>AF1072*0.1</f>
        <v>594.7872</v>
      </c>
      <c r="BO1072" s="5265"/>
      <c r="BP1072" s="3812"/>
      <c r="BQ1072" s="3812"/>
      <c r="BR1072" s="3812"/>
      <c r="BS1072" s="3812"/>
      <c r="BT1072" s="3812"/>
      <c r="BU1072" s="3812"/>
      <c r="BV1072" s="3812"/>
      <c r="BW1072" s="3812"/>
      <c r="BX1072" s="3812"/>
      <c r="BY1072" s="3812"/>
      <c r="BZ1072" s="3812"/>
      <c r="CA1072" s="5263"/>
      <c r="CB1072" s="5279"/>
      <c r="CC1072" s="5309"/>
      <c r="CD1072" s="3812"/>
      <c r="CE1072" s="5310"/>
      <c r="CF1072" s="5310"/>
      <c r="CG1072" s="5310"/>
      <c r="CH1072" s="5310"/>
    </row>
    <row r="1073" s="4985" customFormat="1" ht="25" customHeight="1" spans="1:86">
      <c r="A1073" s="5201"/>
      <c r="B1073" s="5201"/>
      <c r="C1073" s="5201"/>
      <c r="D1073" s="5708"/>
      <c r="E1073" s="5708"/>
      <c r="F1073" s="5708"/>
      <c r="G1073" s="5708"/>
      <c r="H1073" s="5708"/>
      <c r="I1073" s="5205"/>
      <c r="J1073" s="5708"/>
      <c r="K1073" s="5708"/>
      <c r="L1073" s="5708"/>
      <c r="M1073" s="5201"/>
      <c r="N1073" s="5999"/>
      <c r="O1073" s="5999"/>
      <c r="P1073" s="5999"/>
      <c r="Q1073" s="5999"/>
      <c r="R1073" s="5999"/>
      <c r="S1073" s="5999"/>
      <c r="T1073" s="5999"/>
      <c r="U1073" s="5999"/>
      <c r="V1073" s="5999"/>
      <c r="W1073" s="5999"/>
      <c r="X1073" s="5999"/>
      <c r="Y1073" s="5999"/>
      <c r="Z1073" s="5999"/>
      <c r="AA1073" s="5999"/>
      <c r="AB1073" s="6000"/>
      <c r="AC1073" s="5714" t="s">
        <v>1786</v>
      </c>
      <c r="AD1073" s="5931" t="s">
        <v>1787</v>
      </c>
      <c r="AE1073" s="5714">
        <v>0.1</v>
      </c>
      <c r="AF1073" s="5201">
        <f>1244480*AE1073</f>
        <v>124448</v>
      </c>
      <c r="AG1073" s="5201">
        <f t="shared" si="225"/>
        <v>124448</v>
      </c>
      <c r="AH1073" s="5714" t="s">
        <v>122</v>
      </c>
      <c r="AI1073" s="5201">
        <v>45639</v>
      </c>
      <c r="AJ1073" s="5201">
        <v>124448</v>
      </c>
      <c r="AK1073" s="5201">
        <v>45639</v>
      </c>
      <c r="AL1073" s="5201">
        <v>124448</v>
      </c>
      <c r="AM1073" s="5201">
        <v>45646</v>
      </c>
      <c r="AN1073" s="5201">
        <f t="shared" si="208"/>
        <v>124448</v>
      </c>
      <c r="AO1073" s="3812">
        <v>45673</v>
      </c>
      <c r="AP1073" s="5201"/>
      <c r="AQ1073" s="5714"/>
      <c r="AR1073" s="5201"/>
      <c r="AS1073" s="5708"/>
      <c r="AT1073" s="5201"/>
      <c r="AU1073" s="3812"/>
      <c r="AV1073" s="3812"/>
      <c r="AW1073" s="3812"/>
      <c r="AX1073" s="3812"/>
      <c r="AY1073" s="3812"/>
      <c r="AZ1073" s="5263"/>
      <c r="BA1073" s="6031"/>
      <c r="BB1073" s="5201"/>
      <c r="BC1073" s="5201"/>
      <c r="BD1073" s="5201"/>
      <c r="BE1073" s="5201"/>
      <c r="BF1073" s="5201"/>
      <c r="BG1073" s="5201"/>
      <c r="BH1073" s="5201"/>
      <c r="BI1073" s="5201"/>
      <c r="BJ1073" s="6032"/>
      <c r="BK1073" s="5201"/>
      <c r="BL1073" s="5201"/>
      <c r="BM1073" s="5201"/>
      <c r="BN1073" s="5201">
        <v>124448</v>
      </c>
      <c r="BO1073" s="6031"/>
      <c r="BP1073" s="5201"/>
      <c r="BQ1073" s="5201"/>
      <c r="BR1073" s="5201"/>
      <c r="BS1073" s="5201"/>
      <c r="BT1073" s="5201"/>
      <c r="BU1073" s="5201"/>
      <c r="BV1073" s="5201"/>
      <c r="BW1073" s="5734"/>
      <c r="BX1073" s="6035"/>
      <c r="BY1073" s="5734"/>
      <c r="BZ1073" s="5734"/>
      <c r="CA1073" s="5734"/>
      <c r="CB1073" s="5201">
        <v>124448</v>
      </c>
      <c r="CC1073" s="6009"/>
      <c r="CD1073" s="5201"/>
      <c r="CE1073" s="5154">
        <f t="shared" si="226"/>
        <v>124448</v>
      </c>
      <c r="CF1073" s="5154">
        <f t="shared" ref="CF1073:CF1075" si="227">AN1073-CE1073</f>
        <v>0</v>
      </c>
      <c r="CG1073" s="5990"/>
      <c r="CH1073" s="5990"/>
    </row>
    <row r="1074" s="4974" customFormat="1" ht="25" customHeight="1" spans="1:86">
      <c r="A1074" s="5200"/>
      <c r="B1074" s="3812"/>
      <c r="C1074" s="3812"/>
      <c r="D1074" s="5059"/>
      <c r="E1074" s="5059"/>
      <c r="F1074" s="5059"/>
      <c r="G1074" s="5059"/>
      <c r="H1074" s="5059"/>
      <c r="I1074" s="5205"/>
      <c r="J1074" s="5059"/>
      <c r="K1074" s="5059"/>
      <c r="L1074" s="5059"/>
      <c r="M1074" s="3812"/>
      <c r="N1074" s="5999"/>
      <c r="O1074" s="5999"/>
      <c r="P1074" s="5999"/>
      <c r="Q1074" s="5999"/>
      <c r="R1074" s="5999"/>
      <c r="S1074" s="5999"/>
      <c r="T1074" s="5999"/>
      <c r="U1074" s="5999"/>
      <c r="V1074" s="5999"/>
      <c r="W1074" s="5999"/>
      <c r="X1074" s="5999"/>
      <c r="Y1074" s="5999"/>
      <c r="Z1074" s="5999"/>
      <c r="AA1074" s="5999"/>
      <c r="AB1074" s="6000"/>
      <c r="AC1074" s="1032" t="s">
        <v>1913</v>
      </c>
      <c r="AD1074" s="5241" t="s">
        <v>1914</v>
      </c>
      <c r="AE1074" s="1032">
        <v>0.4</v>
      </c>
      <c r="AF1074" s="3812">
        <f t="shared" ref="AF1074:AF1076" si="228">344480*AE1074</f>
        <v>137792</v>
      </c>
      <c r="AG1074" s="3812">
        <f t="shared" si="225"/>
        <v>137792</v>
      </c>
      <c r="AH1074" s="1032" t="s">
        <v>122</v>
      </c>
      <c r="AI1074" s="3812">
        <v>45639</v>
      </c>
      <c r="AJ1074" s="3812">
        <v>137792</v>
      </c>
      <c r="AK1074" s="3812">
        <v>45639</v>
      </c>
      <c r="AL1074" s="3812">
        <v>137792</v>
      </c>
      <c r="AM1074" s="3812">
        <v>45646</v>
      </c>
      <c r="AN1074" s="5349">
        <f t="shared" si="208"/>
        <v>137792</v>
      </c>
      <c r="AO1074" s="3812">
        <v>45673</v>
      </c>
      <c r="AP1074" s="3812"/>
      <c r="AQ1074" s="1032"/>
      <c r="AR1074" s="3812"/>
      <c r="AS1074" s="5059"/>
      <c r="AT1074" s="3812"/>
      <c r="AU1074" s="3812"/>
      <c r="AV1074" s="3812"/>
      <c r="AW1074" s="3812"/>
      <c r="AX1074" s="3812"/>
      <c r="AY1074" s="3812"/>
      <c r="AZ1074" s="5263"/>
      <c r="BA1074" s="5265"/>
      <c r="BB1074" s="3812"/>
      <c r="BC1074" s="3812"/>
      <c r="BD1074" s="3812"/>
      <c r="BE1074" s="3812"/>
      <c r="BF1074" s="3812"/>
      <c r="BG1074" s="3812"/>
      <c r="BH1074" s="3812"/>
      <c r="BI1074" s="3812"/>
      <c r="BJ1074" s="3812"/>
      <c r="BK1074" s="3812"/>
      <c r="BL1074" s="3812"/>
      <c r="BM1074" s="3812"/>
      <c r="BN1074" s="3812">
        <v>137792</v>
      </c>
      <c r="BO1074" s="5265"/>
      <c r="BP1074" s="3812"/>
      <c r="BQ1074" s="3812"/>
      <c r="BR1074" s="3812"/>
      <c r="BS1074" s="3812"/>
      <c r="BT1074" s="3812"/>
      <c r="BU1074" s="3812"/>
      <c r="BV1074" s="3812"/>
      <c r="BW1074" s="5123"/>
      <c r="BX1074" s="5123"/>
      <c r="BY1074" s="5123"/>
      <c r="BZ1074" s="5123"/>
      <c r="CA1074" s="5123"/>
      <c r="CB1074" s="3812">
        <v>137792</v>
      </c>
      <c r="CC1074" s="5309"/>
      <c r="CD1074" s="3812"/>
      <c r="CE1074" s="5154">
        <f t="shared" si="226"/>
        <v>137792</v>
      </c>
      <c r="CF1074" s="5154">
        <f t="shared" si="227"/>
        <v>0</v>
      </c>
      <c r="CG1074" s="5310"/>
      <c r="CH1074" s="5310"/>
    </row>
    <row r="1075" s="4974" customFormat="1" ht="31" spans="1:86">
      <c r="A1075" s="5200"/>
      <c r="B1075" s="3812"/>
      <c r="C1075" s="3812"/>
      <c r="D1075" s="5059"/>
      <c r="E1075" s="5059"/>
      <c r="F1075" s="5059"/>
      <c r="G1075" s="5059"/>
      <c r="H1075" s="5059"/>
      <c r="I1075" s="5205"/>
      <c r="J1075" s="5059"/>
      <c r="K1075" s="5059"/>
      <c r="L1075" s="5059"/>
      <c r="M1075" s="3812"/>
      <c r="N1075" s="5999"/>
      <c r="O1075" s="5999"/>
      <c r="P1075" s="5999"/>
      <c r="Q1075" s="5999"/>
      <c r="R1075" s="5999"/>
      <c r="S1075" s="5999"/>
      <c r="T1075" s="5999"/>
      <c r="U1075" s="5999"/>
      <c r="V1075" s="5999"/>
      <c r="W1075" s="5999"/>
      <c r="X1075" s="5999"/>
      <c r="Y1075" s="5999"/>
      <c r="Z1075" s="5999"/>
      <c r="AA1075" s="5999"/>
      <c r="AB1075" s="6000"/>
      <c r="AC1075" s="1032" t="s">
        <v>1913</v>
      </c>
      <c r="AD1075" s="5241" t="s">
        <v>1915</v>
      </c>
      <c r="AE1075" s="1032">
        <v>0.3</v>
      </c>
      <c r="AF1075" s="3812">
        <f t="shared" si="228"/>
        <v>103344</v>
      </c>
      <c r="AG1075" s="3812">
        <f t="shared" si="225"/>
        <v>103344</v>
      </c>
      <c r="AH1075" s="1032" t="s">
        <v>122</v>
      </c>
      <c r="AI1075" s="3812">
        <v>45639</v>
      </c>
      <c r="AJ1075" s="3812">
        <v>103344</v>
      </c>
      <c r="AK1075" s="3812">
        <v>45639</v>
      </c>
      <c r="AL1075" s="3812">
        <v>103344</v>
      </c>
      <c r="AM1075" s="3812">
        <v>45646</v>
      </c>
      <c r="AN1075" s="5349">
        <f t="shared" si="208"/>
        <v>103344</v>
      </c>
      <c r="AO1075" s="3812">
        <v>45673</v>
      </c>
      <c r="AP1075" s="3812"/>
      <c r="AQ1075" s="1032"/>
      <c r="AR1075" s="3812"/>
      <c r="AS1075" s="5059"/>
      <c r="AT1075" s="3812"/>
      <c r="AU1075" s="3812"/>
      <c r="AV1075" s="3812"/>
      <c r="AW1075" s="3812"/>
      <c r="AX1075" s="3812"/>
      <c r="AY1075" s="3812"/>
      <c r="AZ1075" s="5263"/>
      <c r="BA1075" s="5265"/>
      <c r="BB1075" s="3812"/>
      <c r="BC1075" s="3812"/>
      <c r="BD1075" s="3812"/>
      <c r="BE1075" s="3812"/>
      <c r="BF1075" s="3812"/>
      <c r="BG1075" s="3812"/>
      <c r="BH1075" s="3812"/>
      <c r="BI1075" s="3812"/>
      <c r="BJ1075" s="3812"/>
      <c r="BK1075" s="3812"/>
      <c r="BL1075" s="3812"/>
      <c r="BM1075" s="3812"/>
      <c r="BN1075" s="3812">
        <v>103344</v>
      </c>
      <c r="BO1075" s="5265"/>
      <c r="BP1075" s="3812"/>
      <c r="BQ1075" s="3812"/>
      <c r="BR1075" s="3812"/>
      <c r="BS1075" s="3812"/>
      <c r="BT1075" s="3812"/>
      <c r="BU1075" s="3812"/>
      <c r="BV1075" s="3812"/>
      <c r="BW1075" s="5123"/>
      <c r="BX1075" s="5123"/>
      <c r="BY1075" s="5123"/>
      <c r="BZ1075" s="5123"/>
      <c r="CA1075" s="5123"/>
      <c r="CB1075" s="3812">
        <v>103344</v>
      </c>
      <c r="CC1075" s="5309"/>
      <c r="CD1075" s="3812"/>
      <c r="CE1075" s="5154">
        <f t="shared" si="226"/>
        <v>103344</v>
      </c>
      <c r="CF1075" s="5154">
        <f t="shared" si="227"/>
        <v>0</v>
      </c>
      <c r="CG1075" s="5310"/>
      <c r="CH1075" s="5310"/>
    </row>
    <row r="1076" s="4974" customFormat="1" ht="31" spans="1:86">
      <c r="A1076" s="5200"/>
      <c r="B1076" s="3812"/>
      <c r="C1076" s="3812"/>
      <c r="D1076" s="5059"/>
      <c r="E1076" s="5059"/>
      <c r="F1076" s="5059"/>
      <c r="G1076" s="5059"/>
      <c r="H1076" s="5059"/>
      <c r="I1076" s="5205"/>
      <c r="J1076" s="5059"/>
      <c r="K1076" s="5059"/>
      <c r="L1076" s="5059"/>
      <c r="M1076" s="3812"/>
      <c r="N1076" s="5999"/>
      <c r="O1076" s="5999"/>
      <c r="P1076" s="5999"/>
      <c r="Q1076" s="5999"/>
      <c r="R1076" s="5999"/>
      <c r="S1076" s="5999"/>
      <c r="T1076" s="5999"/>
      <c r="U1076" s="5999"/>
      <c r="V1076" s="5999"/>
      <c r="W1076" s="5999"/>
      <c r="X1076" s="5999"/>
      <c r="Y1076" s="5999"/>
      <c r="Z1076" s="5999"/>
      <c r="AA1076" s="5999"/>
      <c r="AB1076" s="6000"/>
      <c r="AC1076" s="1032" t="s">
        <v>1913</v>
      </c>
      <c r="AD1076" s="5241" t="s">
        <v>1916</v>
      </c>
      <c r="AE1076" s="1032">
        <v>0.1</v>
      </c>
      <c r="AF1076" s="3812">
        <f t="shared" si="228"/>
        <v>34448</v>
      </c>
      <c r="AG1076" s="3812">
        <f t="shared" si="225"/>
        <v>34448</v>
      </c>
      <c r="AH1076" s="1032" t="s">
        <v>122</v>
      </c>
      <c r="AI1076" s="3812">
        <v>45639</v>
      </c>
      <c r="AJ1076" s="3812">
        <v>34448</v>
      </c>
      <c r="AK1076" s="3812">
        <v>45639</v>
      </c>
      <c r="AL1076" s="3812">
        <v>34448</v>
      </c>
      <c r="AM1076" s="3812">
        <v>45646</v>
      </c>
      <c r="AN1076" s="5349">
        <f t="shared" si="208"/>
        <v>34448</v>
      </c>
      <c r="AO1076" s="3812">
        <v>45673</v>
      </c>
      <c r="AP1076" s="3812"/>
      <c r="AQ1076" s="1032"/>
      <c r="AR1076" s="3812"/>
      <c r="AS1076" s="5059"/>
      <c r="AT1076" s="3812"/>
      <c r="AU1076" s="3812"/>
      <c r="AV1076" s="3812"/>
      <c r="AW1076" s="3812"/>
      <c r="AX1076" s="3812"/>
      <c r="AY1076" s="3812"/>
      <c r="AZ1076" s="5263"/>
      <c r="BA1076" s="5265"/>
      <c r="BB1076" s="3812"/>
      <c r="BC1076" s="3812"/>
      <c r="BD1076" s="3812"/>
      <c r="BE1076" s="3812"/>
      <c r="BF1076" s="3812"/>
      <c r="BG1076" s="3812"/>
      <c r="BH1076" s="3812"/>
      <c r="BI1076" s="3812"/>
      <c r="BJ1076" s="3812"/>
      <c r="BK1076" s="3812"/>
      <c r="BL1076" s="3812"/>
      <c r="BM1076" s="3812"/>
      <c r="BN1076" s="3812">
        <v>34448</v>
      </c>
      <c r="BO1076" s="5265"/>
      <c r="BP1076" s="3812"/>
      <c r="BQ1076" s="3812"/>
      <c r="BR1076" s="3812"/>
      <c r="BS1076" s="3812"/>
      <c r="BT1076" s="3812"/>
      <c r="BU1076" s="3812"/>
      <c r="BV1076" s="3812"/>
      <c r="BW1076" s="5123"/>
      <c r="BX1076" s="5123"/>
      <c r="BY1076" s="5123"/>
      <c r="BZ1076" s="5123"/>
      <c r="CA1076" s="5123"/>
      <c r="CB1076" s="3812">
        <v>34448</v>
      </c>
      <c r="CC1076" s="5309"/>
      <c r="CD1076" s="3812"/>
      <c r="CE1076" s="5310"/>
      <c r="CF1076" s="5310"/>
      <c r="CG1076" s="5310"/>
      <c r="CH1076" s="5310"/>
    </row>
    <row r="1077" s="4974" customFormat="1" ht="28.5" customHeight="1" spans="1:86">
      <c r="A1077" s="5200"/>
      <c r="B1077" s="3812"/>
      <c r="C1077" s="3812"/>
      <c r="D1077" s="5059"/>
      <c r="E1077" s="5059"/>
      <c r="F1077" s="5059"/>
      <c r="G1077" s="5059"/>
      <c r="H1077" s="5059"/>
      <c r="I1077" s="5205"/>
      <c r="J1077" s="5059"/>
      <c r="K1077" s="5059"/>
      <c r="L1077" s="5059"/>
      <c r="M1077" s="3812"/>
      <c r="N1077" s="5999"/>
      <c r="O1077" s="5999"/>
      <c r="P1077" s="5999"/>
      <c r="Q1077" s="5999"/>
      <c r="R1077" s="5999"/>
      <c r="S1077" s="5999"/>
      <c r="T1077" s="5999"/>
      <c r="U1077" s="5999"/>
      <c r="V1077" s="5999"/>
      <c r="W1077" s="5999"/>
      <c r="X1077" s="5999"/>
      <c r="Y1077" s="5999"/>
      <c r="Z1077" s="5999"/>
      <c r="AA1077" s="5999"/>
      <c r="AB1077" s="6000"/>
      <c r="AC1077" s="5073" t="s">
        <v>1789</v>
      </c>
      <c r="AD1077" s="5073" t="s">
        <v>1790</v>
      </c>
      <c r="AE1077" s="5073">
        <v>0.15</v>
      </c>
      <c r="AF1077" s="4840">
        <f t="shared" ref="AF1077:AF1081" si="229">900000*AE1077</f>
        <v>135000</v>
      </c>
      <c r="AG1077" s="4840">
        <f t="shared" si="225"/>
        <v>135000</v>
      </c>
      <c r="AH1077" s="1032" t="s">
        <v>122</v>
      </c>
      <c r="AI1077" s="3812">
        <v>45639</v>
      </c>
      <c r="AJ1077" s="4840">
        <v>135000</v>
      </c>
      <c r="AK1077" s="3812">
        <v>45639</v>
      </c>
      <c r="AL1077" s="4840">
        <v>135000</v>
      </c>
      <c r="AM1077" s="3812">
        <v>45646</v>
      </c>
      <c r="AN1077" s="5349">
        <f t="shared" si="208"/>
        <v>135000</v>
      </c>
      <c r="AO1077" s="3812">
        <v>45673</v>
      </c>
      <c r="AP1077" s="3812"/>
      <c r="AQ1077" s="1032"/>
      <c r="AR1077" s="3812"/>
      <c r="AS1077" s="5059"/>
      <c r="AT1077" s="3812"/>
      <c r="AU1077" s="3812"/>
      <c r="AV1077" s="3812"/>
      <c r="AW1077" s="3812"/>
      <c r="AX1077" s="3812"/>
      <c r="AY1077" s="3812"/>
      <c r="AZ1077" s="5263"/>
      <c r="BA1077" s="5265"/>
      <c r="BB1077" s="3812"/>
      <c r="BC1077" s="3812"/>
      <c r="BD1077" s="3812"/>
      <c r="BE1077" s="3812"/>
      <c r="BF1077" s="3812"/>
      <c r="BG1077" s="3812"/>
      <c r="BH1077" s="3812"/>
      <c r="BI1077" s="3812"/>
      <c r="BJ1077" s="3812"/>
      <c r="BK1077" s="3812"/>
      <c r="BL1077" s="3812"/>
      <c r="BM1077" s="4840"/>
      <c r="BN1077" s="4840">
        <v>135000</v>
      </c>
      <c r="BO1077" s="5265"/>
      <c r="BP1077" s="3812"/>
      <c r="BQ1077" s="3812"/>
      <c r="BR1077" s="3812"/>
      <c r="BS1077" s="3812"/>
      <c r="BT1077" s="3812"/>
      <c r="BU1077" s="3812"/>
      <c r="BV1077" s="3812"/>
      <c r="BW1077" s="5123"/>
      <c r="BX1077" s="5123"/>
      <c r="BY1077" s="5123"/>
      <c r="BZ1077" s="5123"/>
      <c r="CA1077" s="5302"/>
      <c r="CB1077" s="4840">
        <v>135000</v>
      </c>
      <c r="CC1077" s="5309"/>
      <c r="CD1077" s="3812"/>
      <c r="CE1077" s="5154">
        <f>SUBTOTAL(9,BO1077:CB1077)</f>
        <v>135000</v>
      </c>
      <c r="CF1077" s="5154">
        <f>AN1077-CE1077</f>
        <v>0</v>
      </c>
      <c r="CG1077" s="5310"/>
      <c r="CH1077" s="5310"/>
    </row>
    <row r="1078" s="4974" customFormat="1" ht="31" spans="1:86">
      <c r="A1078" s="5200"/>
      <c r="B1078" s="3812"/>
      <c r="C1078" s="3812"/>
      <c r="D1078" s="5059"/>
      <c r="E1078" s="5059"/>
      <c r="F1078" s="5059"/>
      <c r="G1078" s="5059"/>
      <c r="H1078" s="5059"/>
      <c r="I1078" s="5205"/>
      <c r="J1078" s="5059"/>
      <c r="K1078" s="5059"/>
      <c r="L1078" s="5059"/>
      <c r="M1078" s="3812"/>
      <c r="N1078" s="5999"/>
      <c r="O1078" s="5999"/>
      <c r="P1078" s="5999"/>
      <c r="Q1078" s="5999"/>
      <c r="R1078" s="5999"/>
      <c r="S1078" s="5999"/>
      <c r="T1078" s="5999"/>
      <c r="U1078" s="5999"/>
      <c r="V1078" s="5999"/>
      <c r="W1078" s="5999"/>
      <c r="X1078" s="5999"/>
      <c r="Y1078" s="5999"/>
      <c r="Z1078" s="5999"/>
      <c r="AA1078" s="5999"/>
      <c r="AB1078" s="6000"/>
      <c r="AC1078" s="1032" t="s">
        <v>1789</v>
      </c>
      <c r="AD1078" s="5241" t="s">
        <v>1791</v>
      </c>
      <c r="AE1078" s="1032">
        <v>0.2</v>
      </c>
      <c r="AF1078" s="4840">
        <f t="shared" si="229"/>
        <v>180000</v>
      </c>
      <c r="AG1078" s="3812">
        <f t="shared" si="225"/>
        <v>180000</v>
      </c>
      <c r="AH1078" s="1032" t="s">
        <v>122</v>
      </c>
      <c r="AI1078" s="3812">
        <v>45730</v>
      </c>
      <c r="AJ1078" s="3812">
        <v>180000</v>
      </c>
      <c r="AK1078" s="3812">
        <v>45730</v>
      </c>
      <c r="AL1078" s="3812">
        <v>180000</v>
      </c>
      <c r="AM1078" s="3812">
        <v>45730</v>
      </c>
      <c r="AN1078" s="5349">
        <f t="shared" si="208"/>
        <v>180000</v>
      </c>
      <c r="AO1078" s="3812">
        <v>45772</v>
      </c>
      <c r="AP1078" s="3812"/>
      <c r="AQ1078" s="1032" t="s">
        <v>1944</v>
      </c>
      <c r="AR1078" s="3812"/>
      <c r="AS1078" s="5059"/>
      <c r="AT1078" s="3812"/>
      <c r="AU1078" s="3812"/>
      <c r="AV1078" s="3812"/>
      <c r="AW1078" s="3812"/>
      <c r="AX1078" s="3812"/>
      <c r="AY1078" s="3812"/>
      <c r="AZ1078" s="5263"/>
      <c r="BA1078" s="5265"/>
      <c r="BB1078" s="3812"/>
      <c r="BC1078" s="3812"/>
      <c r="BD1078" s="3812"/>
      <c r="BE1078" s="3812"/>
      <c r="BF1078" s="3812"/>
      <c r="BG1078" s="3812"/>
      <c r="BH1078" s="3812"/>
      <c r="BI1078" s="3812"/>
      <c r="BJ1078" s="3812"/>
      <c r="BK1078" s="3812"/>
      <c r="BL1078" s="3812"/>
      <c r="BM1078" s="5263"/>
      <c r="BN1078" s="5303">
        <v>180000</v>
      </c>
      <c r="BO1078" s="5265"/>
      <c r="BP1078" s="3812"/>
      <c r="BQ1078" s="3812"/>
      <c r="BR1078" s="3812"/>
      <c r="BS1078" s="3812"/>
      <c r="BT1078" s="3812"/>
      <c r="BU1078" s="3812"/>
      <c r="BV1078" s="3812"/>
      <c r="BW1078" s="3812"/>
      <c r="BX1078" s="3812"/>
      <c r="BY1078" s="3812"/>
      <c r="BZ1078" s="3812"/>
      <c r="CA1078" s="3812"/>
      <c r="CB1078" s="3812">
        <v>180000</v>
      </c>
      <c r="CC1078" s="5309"/>
      <c r="CD1078" s="3812"/>
      <c r="CE1078" s="5310"/>
      <c r="CF1078" s="5310"/>
      <c r="CG1078" s="5310"/>
      <c r="CH1078" s="5310"/>
    </row>
    <row r="1079" s="4974" customFormat="1" ht="31" spans="1:86">
      <c r="A1079" s="5200"/>
      <c r="B1079" s="3812"/>
      <c r="C1079" s="3812"/>
      <c r="D1079" s="5059"/>
      <c r="E1079" s="5059"/>
      <c r="F1079" s="5059"/>
      <c r="G1079" s="5059"/>
      <c r="H1079" s="5059"/>
      <c r="I1079" s="5205"/>
      <c r="J1079" s="5059"/>
      <c r="K1079" s="5059"/>
      <c r="L1079" s="5059"/>
      <c r="M1079" s="3812"/>
      <c r="N1079" s="5999"/>
      <c r="O1079" s="5999"/>
      <c r="P1079" s="5999"/>
      <c r="Q1079" s="5999"/>
      <c r="R1079" s="5999"/>
      <c r="S1079" s="5999"/>
      <c r="T1079" s="5999"/>
      <c r="U1079" s="5999"/>
      <c r="V1079" s="5999"/>
      <c r="W1079" s="5999"/>
      <c r="X1079" s="5999"/>
      <c r="Y1079" s="5999"/>
      <c r="Z1079" s="5999"/>
      <c r="AA1079" s="5999"/>
      <c r="AB1079" s="6000"/>
      <c r="AC1079" s="1032" t="s">
        <v>1789</v>
      </c>
      <c r="AD1079" s="5241" t="s">
        <v>1792</v>
      </c>
      <c r="AE1079" s="1032">
        <v>0.15</v>
      </c>
      <c r="AF1079" s="4840">
        <f t="shared" si="229"/>
        <v>135000</v>
      </c>
      <c r="AG1079" s="3812">
        <f t="shared" si="225"/>
        <v>135000</v>
      </c>
      <c r="AH1079" s="1032" t="s">
        <v>122</v>
      </c>
      <c r="AI1079" s="3812">
        <v>45730</v>
      </c>
      <c r="AJ1079" s="3812">
        <v>135000</v>
      </c>
      <c r="AK1079" s="3812">
        <v>45730</v>
      </c>
      <c r="AL1079" s="3812">
        <v>135000</v>
      </c>
      <c r="AM1079" s="3812">
        <v>45730</v>
      </c>
      <c r="AN1079" s="5349">
        <f t="shared" si="208"/>
        <v>135000</v>
      </c>
      <c r="AO1079" s="3812">
        <v>45772</v>
      </c>
      <c r="AP1079" s="3812"/>
      <c r="AQ1079" s="1032"/>
      <c r="AR1079" s="3812"/>
      <c r="AS1079" s="5059"/>
      <c r="AT1079" s="3812"/>
      <c r="AU1079" s="3812"/>
      <c r="AV1079" s="3812"/>
      <c r="AW1079" s="3812"/>
      <c r="AX1079" s="3812"/>
      <c r="AY1079" s="3812"/>
      <c r="AZ1079" s="5263"/>
      <c r="BA1079" s="5265"/>
      <c r="BB1079" s="3812"/>
      <c r="BC1079" s="3812"/>
      <c r="BD1079" s="3812"/>
      <c r="BE1079" s="3812"/>
      <c r="BF1079" s="3812"/>
      <c r="BG1079" s="3812"/>
      <c r="BH1079" s="3812"/>
      <c r="BI1079" s="3812"/>
      <c r="BJ1079" s="3812"/>
      <c r="BK1079" s="3812"/>
      <c r="BL1079" s="3812"/>
      <c r="BM1079" s="5263"/>
      <c r="BN1079" s="5285">
        <v>135000</v>
      </c>
      <c r="BO1079" s="5265"/>
      <c r="BP1079" s="3812"/>
      <c r="BQ1079" s="3812"/>
      <c r="BR1079" s="3812"/>
      <c r="BS1079" s="3812"/>
      <c r="BT1079" s="3812"/>
      <c r="BU1079" s="3812"/>
      <c r="BV1079" s="3812"/>
      <c r="BW1079" s="3812"/>
      <c r="BX1079" s="3812"/>
      <c r="BY1079" s="3812"/>
      <c r="BZ1079" s="3812"/>
      <c r="CA1079" s="3812"/>
      <c r="CB1079" s="3812">
        <v>135000</v>
      </c>
      <c r="CC1079" s="5309"/>
      <c r="CD1079" s="3812"/>
      <c r="CE1079" s="5310"/>
      <c r="CF1079" s="5310"/>
      <c r="CG1079" s="5310"/>
      <c r="CH1079" s="5310"/>
    </row>
    <row r="1080" s="4974" customFormat="1" ht="31" spans="1:86">
      <c r="A1080" s="5200"/>
      <c r="B1080" s="3812"/>
      <c r="C1080" s="3812"/>
      <c r="D1080" s="5059"/>
      <c r="E1080" s="5059"/>
      <c r="F1080" s="5059"/>
      <c r="G1080" s="5059"/>
      <c r="H1080" s="5059"/>
      <c r="I1080" s="5205"/>
      <c r="J1080" s="5059"/>
      <c r="K1080" s="5059"/>
      <c r="L1080" s="5059"/>
      <c r="M1080" s="3812"/>
      <c r="N1080" s="5999"/>
      <c r="O1080" s="5999"/>
      <c r="P1080" s="5999"/>
      <c r="Q1080" s="5999"/>
      <c r="R1080" s="5999"/>
      <c r="S1080" s="5999"/>
      <c r="T1080" s="5999"/>
      <c r="U1080" s="5999"/>
      <c r="V1080" s="5999"/>
      <c r="W1080" s="5999"/>
      <c r="X1080" s="5999"/>
      <c r="Y1080" s="5999"/>
      <c r="Z1080" s="5999"/>
      <c r="AA1080" s="5999"/>
      <c r="AB1080" s="6000"/>
      <c r="AC1080" s="1032" t="s">
        <v>1789</v>
      </c>
      <c r="AD1080" s="5241" t="s">
        <v>1794</v>
      </c>
      <c r="AE1080" s="1032">
        <v>0.2</v>
      </c>
      <c r="AF1080" s="4840">
        <f t="shared" si="229"/>
        <v>180000</v>
      </c>
      <c r="AG1080" s="4813">
        <f t="shared" si="225"/>
        <v>180000</v>
      </c>
      <c r="AH1080" s="5199" t="s">
        <v>122</v>
      </c>
      <c r="AI1080" s="4813">
        <v>45919</v>
      </c>
      <c r="AJ1080" s="4813">
        <v>180000</v>
      </c>
      <c r="AK1080" s="4813">
        <v>45919</v>
      </c>
      <c r="AL1080" s="4813">
        <v>180000</v>
      </c>
      <c r="AM1080" s="4813">
        <v>45919</v>
      </c>
      <c r="AN1080" s="6030">
        <f t="shared" si="208"/>
        <v>180000</v>
      </c>
      <c r="AO1080" s="4813">
        <v>45989</v>
      </c>
      <c r="AP1080" s="3812"/>
      <c r="AQ1080" s="1032"/>
      <c r="AR1080" s="3812"/>
      <c r="AS1080" s="5059"/>
      <c r="AT1080" s="3812"/>
      <c r="AU1080" s="3812"/>
      <c r="AV1080" s="3812"/>
      <c r="AW1080" s="3812"/>
      <c r="AX1080" s="3812"/>
      <c r="AY1080" s="3812"/>
      <c r="AZ1080" s="5263"/>
      <c r="BA1080" s="5265"/>
      <c r="BB1080" s="3812"/>
      <c r="BC1080" s="3812"/>
      <c r="BD1080" s="3812"/>
      <c r="BE1080" s="3812"/>
      <c r="BF1080" s="3812"/>
      <c r="BG1080" s="3812"/>
      <c r="BH1080" s="3812"/>
      <c r="BI1080" s="3812"/>
      <c r="BJ1080" s="3812"/>
      <c r="BK1080" s="3812"/>
      <c r="BL1080" s="3812"/>
      <c r="BM1080" s="5263"/>
      <c r="BN1080" s="5285">
        <v>180000</v>
      </c>
      <c r="BO1080" s="5265"/>
      <c r="BP1080" s="3812"/>
      <c r="BQ1080" s="3812"/>
      <c r="BR1080" s="3812"/>
      <c r="BS1080" s="3812"/>
      <c r="BT1080" s="3812"/>
      <c r="BU1080" s="3812"/>
      <c r="BV1080" s="3812"/>
      <c r="BW1080" s="3812"/>
      <c r="BX1080" s="3812"/>
      <c r="BY1080" s="3812"/>
      <c r="BZ1080" s="3812"/>
      <c r="CA1080" s="5263"/>
      <c r="CB1080" s="5279">
        <v>180000</v>
      </c>
      <c r="CC1080" s="5309"/>
      <c r="CD1080" s="3812"/>
      <c r="CE1080" s="5310"/>
      <c r="CF1080" s="5310"/>
      <c r="CG1080" s="5310"/>
      <c r="CH1080" s="5310"/>
    </row>
    <row r="1081" s="4974" customFormat="1" ht="31" spans="1:86">
      <c r="A1081" s="5200"/>
      <c r="B1081" s="3812"/>
      <c r="C1081" s="3812"/>
      <c r="D1081" s="5059"/>
      <c r="E1081" s="5059"/>
      <c r="F1081" s="5059"/>
      <c r="G1081" s="5059"/>
      <c r="H1081" s="5059"/>
      <c r="I1081" s="5205"/>
      <c r="J1081" s="5059"/>
      <c r="K1081" s="5059"/>
      <c r="L1081" s="5059"/>
      <c r="M1081" s="3812"/>
      <c r="N1081" s="5999"/>
      <c r="O1081" s="5999"/>
      <c r="P1081" s="5999"/>
      <c r="Q1081" s="5999"/>
      <c r="R1081" s="5999"/>
      <c r="S1081" s="5999"/>
      <c r="T1081" s="5999"/>
      <c r="U1081" s="5999"/>
      <c r="V1081" s="5999"/>
      <c r="W1081" s="5999"/>
      <c r="X1081" s="5999"/>
      <c r="Y1081" s="5999"/>
      <c r="Z1081" s="5999"/>
      <c r="AA1081" s="5999"/>
      <c r="AB1081" s="6000"/>
      <c r="AC1081" s="1032" t="s">
        <v>1789</v>
      </c>
      <c r="AD1081" s="5241" t="s">
        <v>1796</v>
      </c>
      <c r="AE1081" s="1032">
        <v>0.05</v>
      </c>
      <c r="AF1081" s="4840">
        <f t="shared" si="229"/>
        <v>45000</v>
      </c>
      <c r="AG1081" s="5123">
        <f t="shared" si="225"/>
        <v>45000</v>
      </c>
      <c r="AH1081" s="1131" t="s">
        <v>349</v>
      </c>
      <c r="AI1081" s="5123">
        <v>46142</v>
      </c>
      <c r="AJ1081" s="5123"/>
      <c r="AK1081" s="4813"/>
      <c r="AL1081" s="4813"/>
      <c r="AM1081" s="4813"/>
      <c r="AN1081" s="6030">
        <f t="shared" si="208"/>
        <v>0</v>
      </c>
      <c r="AO1081" s="4813"/>
      <c r="AP1081" s="3812"/>
      <c r="AQ1081" s="1032"/>
      <c r="AR1081" s="3812"/>
      <c r="AS1081" s="5059"/>
      <c r="AT1081" s="3812"/>
      <c r="AU1081" s="3812"/>
      <c r="AV1081" s="3812"/>
      <c r="AW1081" s="3812"/>
      <c r="AX1081" s="3812"/>
      <c r="AY1081" s="3812"/>
      <c r="AZ1081" s="5263"/>
      <c r="BA1081" s="5265"/>
      <c r="BB1081" s="3812"/>
      <c r="BC1081" s="3812"/>
      <c r="BD1081" s="3812"/>
      <c r="BE1081" s="3812"/>
      <c r="BF1081" s="3812"/>
      <c r="BG1081" s="3812"/>
      <c r="BH1081" s="3812"/>
      <c r="BI1081" s="3812"/>
      <c r="BJ1081" s="3812"/>
      <c r="BK1081" s="3812"/>
      <c r="BL1081" s="3812"/>
      <c r="BM1081" s="5263"/>
      <c r="BN1081" s="5285">
        <v>45000</v>
      </c>
      <c r="BO1081" s="5265"/>
      <c r="BP1081" s="3812"/>
      <c r="BQ1081" s="3812"/>
      <c r="BR1081" s="3812"/>
      <c r="BS1081" s="3812"/>
      <c r="BT1081" s="3812"/>
      <c r="BU1081" s="3812"/>
      <c r="BV1081" s="3812"/>
      <c r="BW1081" s="3812"/>
      <c r="BX1081" s="3812"/>
      <c r="BY1081" s="3812"/>
      <c r="BZ1081" s="3812"/>
      <c r="CA1081" s="5263"/>
      <c r="CB1081" s="5282"/>
      <c r="CC1081" s="5309"/>
      <c r="CD1081" s="3812"/>
      <c r="CE1081" s="5310"/>
      <c r="CF1081" s="5310"/>
      <c r="CG1081" s="5310"/>
      <c r="CH1081" s="5310"/>
    </row>
    <row r="1082" s="4974" customFormat="1" ht="30" customHeight="1" spans="1:86">
      <c r="A1082" s="5200"/>
      <c r="B1082" s="3812"/>
      <c r="C1082" s="3812"/>
      <c r="D1082" s="5059"/>
      <c r="E1082" s="5059"/>
      <c r="F1082" s="5059"/>
      <c r="G1082" s="5059"/>
      <c r="H1082" s="5059"/>
      <c r="I1082" s="5205"/>
      <c r="J1082" s="5059"/>
      <c r="K1082" s="5059"/>
      <c r="L1082" s="5059"/>
      <c r="M1082" s="3812"/>
      <c r="N1082" s="5999"/>
      <c r="O1082" s="5999"/>
      <c r="P1082" s="5999"/>
      <c r="Q1082" s="5999"/>
      <c r="R1082" s="5999"/>
      <c r="S1082" s="5999"/>
      <c r="T1082" s="5999"/>
      <c r="U1082" s="5999"/>
      <c r="V1082" s="5999"/>
      <c r="W1082" s="5999"/>
      <c r="X1082" s="5999"/>
      <c r="Y1082" s="5999"/>
      <c r="Z1082" s="5999"/>
      <c r="AA1082" s="5999"/>
      <c r="AB1082" s="6000"/>
      <c r="AC1082" s="1032" t="s">
        <v>1786</v>
      </c>
      <c r="AD1082" s="5241" t="s">
        <v>361</v>
      </c>
      <c r="AE1082" s="1032">
        <v>0.1</v>
      </c>
      <c r="AF1082" s="3812">
        <f>1244480*AE1082</f>
        <v>124448</v>
      </c>
      <c r="AG1082" s="4815">
        <f t="shared" si="225"/>
        <v>124448</v>
      </c>
      <c r="AH1082" s="5245" t="s">
        <v>349</v>
      </c>
      <c r="AI1082" s="4815">
        <v>45960</v>
      </c>
      <c r="AJ1082" s="3812"/>
      <c r="AK1082" s="3812"/>
      <c r="AL1082" s="3812"/>
      <c r="AM1082" s="3812"/>
      <c r="AN1082" s="5349">
        <f t="shared" si="208"/>
        <v>0</v>
      </c>
      <c r="AO1082" s="3812"/>
      <c r="AP1082" s="3812"/>
      <c r="AQ1082" s="1032"/>
      <c r="AR1082" s="3812"/>
      <c r="AS1082" s="5059"/>
      <c r="AT1082" s="3812"/>
      <c r="AU1082" s="3812"/>
      <c r="AV1082" s="3812"/>
      <c r="AW1082" s="3812"/>
      <c r="AX1082" s="3812"/>
      <c r="AY1082" s="3812"/>
      <c r="AZ1082" s="5263"/>
      <c r="BA1082" s="5265"/>
      <c r="BB1082" s="3812"/>
      <c r="BC1082" s="3812"/>
      <c r="BD1082" s="3812"/>
      <c r="BE1082" s="3812"/>
      <c r="BF1082" s="3812"/>
      <c r="BG1082" s="3812"/>
      <c r="BH1082" s="3812"/>
      <c r="BI1082" s="3812"/>
      <c r="BJ1082" s="3812"/>
      <c r="BK1082" s="3812"/>
      <c r="BL1082" s="3812"/>
      <c r="BM1082" s="5263"/>
      <c r="BN1082" s="5282">
        <v>124448</v>
      </c>
      <c r="BO1082" s="5265"/>
      <c r="BP1082" s="3812"/>
      <c r="BQ1082" s="3812"/>
      <c r="BR1082" s="3812"/>
      <c r="BS1082" s="3812"/>
      <c r="BT1082" s="3812"/>
      <c r="BU1082" s="3812"/>
      <c r="BV1082" s="3812"/>
      <c r="BW1082" s="3812"/>
      <c r="BX1082" s="3812"/>
      <c r="BY1082" s="3812"/>
      <c r="BZ1082" s="3812"/>
      <c r="CA1082" s="5263"/>
      <c r="CB1082" s="5282"/>
      <c r="CC1082" s="5309"/>
      <c r="CD1082" s="3812"/>
      <c r="CE1082" s="5310"/>
      <c r="CF1082" s="5310"/>
      <c r="CG1082" s="5310"/>
      <c r="CH1082" s="5310"/>
    </row>
    <row r="1083" s="4985" customFormat="1" ht="30" customHeight="1" spans="1:86">
      <c r="A1083" s="5201"/>
      <c r="B1083" s="5201"/>
      <c r="C1083" s="5201"/>
      <c r="D1083" s="5708"/>
      <c r="E1083" s="5059"/>
      <c r="F1083" s="5708"/>
      <c r="G1083" s="5708"/>
      <c r="H1083" s="5059"/>
      <c r="I1083" s="5205"/>
      <c r="J1083" s="5708"/>
      <c r="K1083" s="5059"/>
      <c r="L1083" s="5059"/>
      <c r="M1083" s="5201"/>
      <c r="N1083" s="5667"/>
      <c r="O1083" s="5667"/>
      <c r="P1083" s="5667"/>
      <c r="Q1083" s="5667"/>
      <c r="R1083" s="5667"/>
      <c r="S1083" s="5667"/>
      <c r="T1083" s="5667"/>
      <c r="U1083" s="5667"/>
      <c r="V1083" s="5667"/>
      <c r="W1083" s="5667"/>
      <c r="X1083" s="5667"/>
      <c r="Y1083" s="5667"/>
      <c r="Z1083" s="5667"/>
      <c r="AA1083" s="5667"/>
      <c r="AB1083" s="5973"/>
      <c r="AC1083" s="5714" t="s">
        <v>1797</v>
      </c>
      <c r="AD1083" s="5931" t="s">
        <v>1798</v>
      </c>
      <c r="AE1083" s="5714">
        <v>0.2</v>
      </c>
      <c r="AF1083" s="5201">
        <f t="shared" ref="AF1083:AF1087" si="230">1402608.8*AE1083</f>
        <v>280521.76</v>
      </c>
      <c r="AG1083" s="5201">
        <f t="shared" si="225"/>
        <v>280521.76</v>
      </c>
      <c r="AH1083" s="5714" t="s">
        <v>122</v>
      </c>
      <c r="AI1083" s="5201">
        <v>45639</v>
      </c>
      <c r="AJ1083" s="5201">
        <v>280521.76</v>
      </c>
      <c r="AK1083" s="5201">
        <v>45639</v>
      </c>
      <c r="AL1083" s="5201">
        <v>280521.76</v>
      </c>
      <c r="AM1083" s="5201">
        <v>45646</v>
      </c>
      <c r="AN1083" s="5201">
        <f t="shared" si="208"/>
        <v>280521.76</v>
      </c>
      <c r="AO1083" s="5201">
        <v>45673</v>
      </c>
      <c r="AP1083" s="5201"/>
      <c r="AQ1083" s="5714"/>
      <c r="AR1083" s="5201"/>
      <c r="AS1083" s="5708"/>
      <c r="AT1083" s="5201"/>
      <c r="AU1083" s="3812"/>
      <c r="AV1083" s="3812"/>
      <c r="AW1083" s="3812"/>
      <c r="AX1083" s="3812"/>
      <c r="AY1083" s="3812"/>
      <c r="AZ1083" s="5263"/>
      <c r="BA1083" s="6031"/>
      <c r="BB1083" s="5201"/>
      <c r="BC1083" s="5201"/>
      <c r="BD1083" s="5201"/>
      <c r="BE1083" s="5201"/>
      <c r="BF1083" s="5201"/>
      <c r="BG1083" s="5201"/>
      <c r="BH1083" s="5201"/>
      <c r="BI1083" s="5201"/>
      <c r="BJ1083" s="5201"/>
      <c r="BK1083" s="5201"/>
      <c r="BL1083" s="5201"/>
      <c r="BM1083" s="6033"/>
      <c r="BN1083" s="6034">
        <v>280521.76</v>
      </c>
      <c r="BO1083" s="6031"/>
      <c r="BP1083" s="5201"/>
      <c r="BQ1083" s="5201"/>
      <c r="BR1083" s="5201"/>
      <c r="BS1083" s="5201"/>
      <c r="BT1083" s="5201"/>
      <c r="BU1083" s="5201"/>
      <c r="BV1083" s="5201"/>
      <c r="BW1083" s="5734"/>
      <c r="BX1083" s="5734"/>
      <c r="BY1083" s="5734"/>
      <c r="BZ1083" s="5734"/>
      <c r="CA1083" s="6037"/>
      <c r="CB1083" s="6034">
        <v>280521.76</v>
      </c>
      <c r="CC1083" s="6009"/>
      <c r="CD1083" s="5201"/>
      <c r="CE1083" s="6039">
        <f t="shared" ref="CE1083:CE1086" si="231">SUBTOTAL(9,BO1083:CB1083)</f>
        <v>280521.76</v>
      </c>
      <c r="CF1083" s="6039">
        <f t="shared" ref="CF1083:CF1086" si="232">AN1083-CE1083</f>
        <v>0</v>
      </c>
      <c r="CG1083" s="5990"/>
      <c r="CH1083" s="5990"/>
    </row>
    <row r="1084" s="4974" customFormat="1" ht="30" customHeight="1" spans="1:86">
      <c r="A1084" s="2678"/>
      <c r="B1084" s="3812"/>
      <c r="C1084" s="3812"/>
      <c r="D1084" s="5059"/>
      <c r="E1084" s="5059"/>
      <c r="F1084" s="5059"/>
      <c r="G1084" s="5059"/>
      <c r="H1084" s="5059"/>
      <c r="I1084" s="5205"/>
      <c r="J1084" s="5059"/>
      <c r="K1084" s="5059"/>
      <c r="L1084" s="5059"/>
      <c r="M1084" s="3812"/>
      <c r="N1084" s="5667"/>
      <c r="O1084" s="5667"/>
      <c r="P1084" s="5667"/>
      <c r="Q1084" s="5667"/>
      <c r="R1084" s="5667"/>
      <c r="S1084" s="5667"/>
      <c r="T1084" s="5667"/>
      <c r="U1084" s="5667"/>
      <c r="V1084" s="5667"/>
      <c r="W1084" s="5667"/>
      <c r="X1084" s="5667"/>
      <c r="Y1084" s="5667"/>
      <c r="Z1084" s="5667"/>
      <c r="AA1084" s="5667"/>
      <c r="AB1084" s="5973"/>
      <c r="AC1084" s="1032" t="s">
        <v>1797</v>
      </c>
      <c r="AD1084" s="5241" t="s">
        <v>1799</v>
      </c>
      <c r="AE1084" s="1032">
        <v>0.2</v>
      </c>
      <c r="AF1084" s="3812">
        <f t="shared" si="230"/>
        <v>280521.76</v>
      </c>
      <c r="AG1084" s="3812">
        <f t="shared" si="225"/>
        <v>280521.76</v>
      </c>
      <c r="AH1084" s="1032" t="s">
        <v>122</v>
      </c>
      <c r="AI1084" s="3812">
        <v>45639</v>
      </c>
      <c r="AJ1084" s="3812">
        <v>280521.76</v>
      </c>
      <c r="AK1084" s="3812">
        <v>45639</v>
      </c>
      <c r="AL1084" s="3812">
        <v>280521.76</v>
      </c>
      <c r="AM1084" s="3812">
        <v>45646</v>
      </c>
      <c r="AN1084" s="5349">
        <f t="shared" si="208"/>
        <v>280521.76</v>
      </c>
      <c r="AO1084" s="3812">
        <v>45673</v>
      </c>
      <c r="AP1084" s="3812"/>
      <c r="AQ1084" s="1032"/>
      <c r="AR1084" s="3812"/>
      <c r="AS1084" s="5059"/>
      <c r="AT1084" s="3812"/>
      <c r="AU1084" s="3812"/>
      <c r="AV1084" s="3812"/>
      <c r="AW1084" s="3812"/>
      <c r="AX1084" s="3812"/>
      <c r="AY1084" s="3812"/>
      <c r="AZ1084" s="5263"/>
      <c r="BA1084" s="5265"/>
      <c r="BB1084" s="3812"/>
      <c r="BC1084" s="3812"/>
      <c r="BD1084" s="3812"/>
      <c r="BE1084" s="3812"/>
      <c r="BF1084" s="3812"/>
      <c r="BG1084" s="3812"/>
      <c r="BH1084" s="3812"/>
      <c r="BI1084" s="3812"/>
      <c r="BJ1084" s="3812"/>
      <c r="BK1084" s="3812"/>
      <c r="BL1084" s="3812"/>
      <c r="BM1084" s="5263"/>
      <c r="BN1084" s="5282">
        <v>280521.76</v>
      </c>
      <c r="BO1084" s="5265"/>
      <c r="BP1084" s="3812"/>
      <c r="BQ1084" s="3812"/>
      <c r="BR1084" s="3812"/>
      <c r="BS1084" s="3812"/>
      <c r="BT1084" s="3812"/>
      <c r="BU1084" s="3812"/>
      <c r="BV1084" s="3812"/>
      <c r="BW1084" s="5123"/>
      <c r="BX1084" s="5123"/>
      <c r="BY1084" s="5123"/>
      <c r="BZ1084" s="5123"/>
      <c r="CA1084" s="5284"/>
      <c r="CB1084" s="5282">
        <v>280521.76</v>
      </c>
      <c r="CC1084" s="5309"/>
      <c r="CD1084" s="3812"/>
      <c r="CE1084" s="5154">
        <f t="shared" si="231"/>
        <v>280521.76</v>
      </c>
      <c r="CF1084" s="5154">
        <f t="shared" si="232"/>
        <v>0</v>
      </c>
      <c r="CG1084" s="5310"/>
      <c r="CH1084" s="5310"/>
    </row>
    <row r="1085" s="4974" customFormat="1" ht="30" customHeight="1" spans="1:86">
      <c r="A1085" s="2678"/>
      <c r="B1085" s="3812"/>
      <c r="C1085" s="3812"/>
      <c r="D1085" s="5059"/>
      <c r="E1085" s="5059"/>
      <c r="F1085" s="5059"/>
      <c r="G1085" s="5059"/>
      <c r="H1085" s="5059"/>
      <c r="I1085" s="5205"/>
      <c r="J1085" s="5059"/>
      <c r="K1085" s="5059"/>
      <c r="L1085" s="5059"/>
      <c r="M1085" s="3812"/>
      <c r="N1085" s="5667"/>
      <c r="O1085" s="5667"/>
      <c r="P1085" s="5667"/>
      <c r="Q1085" s="5667"/>
      <c r="R1085" s="5667"/>
      <c r="S1085" s="5667"/>
      <c r="T1085" s="5667"/>
      <c r="U1085" s="5667"/>
      <c r="V1085" s="5667"/>
      <c r="W1085" s="5667"/>
      <c r="X1085" s="5667"/>
      <c r="Y1085" s="5667"/>
      <c r="Z1085" s="5667"/>
      <c r="AA1085" s="5667"/>
      <c r="AB1085" s="5973"/>
      <c r="AC1085" s="1032" t="s">
        <v>1797</v>
      </c>
      <c r="AD1085" s="5241" t="s">
        <v>1801</v>
      </c>
      <c r="AE1085" s="1032">
        <v>0.2</v>
      </c>
      <c r="AF1085" s="3812">
        <f t="shared" si="230"/>
        <v>280521.76</v>
      </c>
      <c r="AG1085" s="3812">
        <f t="shared" si="225"/>
        <v>280521.76</v>
      </c>
      <c r="AH1085" s="1032" t="s">
        <v>122</v>
      </c>
      <c r="AI1085" s="3812">
        <v>45639</v>
      </c>
      <c r="AJ1085" s="3812">
        <v>280521.76</v>
      </c>
      <c r="AK1085" s="3812">
        <v>45639</v>
      </c>
      <c r="AL1085" s="3812">
        <v>280521.76</v>
      </c>
      <c r="AM1085" s="3812">
        <v>45646</v>
      </c>
      <c r="AN1085" s="5349">
        <f t="shared" si="208"/>
        <v>280521.76</v>
      </c>
      <c r="AO1085" s="3812">
        <v>45673</v>
      </c>
      <c r="AP1085" s="3812"/>
      <c r="AQ1085" s="1032"/>
      <c r="AR1085" s="3812"/>
      <c r="AS1085" s="5059"/>
      <c r="AT1085" s="3812"/>
      <c r="AU1085" s="3812"/>
      <c r="AV1085" s="3812"/>
      <c r="AW1085" s="3812"/>
      <c r="AX1085" s="3812"/>
      <c r="AY1085" s="3812"/>
      <c r="AZ1085" s="5263"/>
      <c r="BA1085" s="5265"/>
      <c r="BB1085" s="3812"/>
      <c r="BC1085" s="3812"/>
      <c r="BD1085" s="3812"/>
      <c r="BE1085" s="3812"/>
      <c r="BF1085" s="3812"/>
      <c r="BG1085" s="3812"/>
      <c r="BH1085" s="3812"/>
      <c r="BI1085" s="3812"/>
      <c r="BJ1085" s="3812"/>
      <c r="BK1085" s="3812"/>
      <c r="BL1085" s="3812"/>
      <c r="BM1085" s="5263"/>
      <c r="BN1085" s="5282">
        <v>280521.76</v>
      </c>
      <c r="BO1085" s="5265"/>
      <c r="BP1085" s="3812"/>
      <c r="BQ1085" s="3812"/>
      <c r="BR1085" s="3812"/>
      <c r="BS1085" s="3812"/>
      <c r="BT1085" s="3812"/>
      <c r="BU1085" s="3812"/>
      <c r="BV1085" s="3812"/>
      <c r="BW1085" s="5123"/>
      <c r="BX1085" s="5123"/>
      <c r="BY1085" s="5123"/>
      <c r="BZ1085" s="5123"/>
      <c r="CA1085" s="5284"/>
      <c r="CB1085" s="5282">
        <v>280521.76</v>
      </c>
      <c r="CC1085" s="5309"/>
      <c r="CD1085" s="3812"/>
      <c r="CE1085" s="5154">
        <f t="shared" si="231"/>
        <v>280521.76</v>
      </c>
      <c r="CF1085" s="5154">
        <f t="shared" si="232"/>
        <v>0</v>
      </c>
      <c r="CG1085" s="5310"/>
      <c r="CH1085" s="5310"/>
    </row>
    <row r="1086" s="4974" customFormat="1" ht="30" customHeight="1" spans="1:86">
      <c r="A1086" s="2678"/>
      <c r="B1086" s="3812"/>
      <c r="C1086" s="3812"/>
      <c r="D1086" s="5059"/>
      <c r="E1086" s="5059"/>
      <c r="F1086" s="5059"/>
      <c r="G1086" s="5059"/>
      <c r="H1086" s="5059"/>
      <c r="I1086" s="5205"/>
      <c r="J1086" s="5059"/>
      <c r="K1086" s="5059"/>
      <c r="L1086" s="5059"/>
      <c r="M1086" s="3812"/>
      <c r="N1086" s="5667"/>
      <c r="O1086" s="5667"/>
      <c r="P1086" s="5667"/>
      <c r="Q1086" s="5667"/>
      <c r="R1086" s="5667"/>
      <c r="S1086" s="5667"/>
      <c r="T1086" s="5667"/>
      <c r="U1086" s="5667"/>
      <c r="V1086" s="5667"/>
      <c r="W1086" s="5667"/>
      <c r="X1086" s="5667"/>
      <c r="Y1086" s="5667"/>
      <c r="Z1086" s="5667"/>
      <c r="AA1086" s="5667"/>
      <c r="AB1086" s="5973"/>
      <c r="AC1086" s="5073" t="s">
        <v>1797</v>
      </c>
      <c r="AD1086" s="5242" t="s">
        <v>1803</v>
      </c>
      <c r="AE1086" s="5073">
        <v>0.2</v>
      </c>
      <c r="AF1086" s="3812">
        <f t="shared" si="230"/>
        <v>280521.76</v>
      </c>
      <c r="AG1086" s="4840">
        <f t="shared" si="225"/>
        <v>280521.76</v>
      </c>
      <c r="AH1086" s="5073" t="s">
        <v>122</v>
      </c>
      <c r="AI1086" s="3812">
        <v>45639</v>
      </c>
      <c r="AJ1086" s="4840">
        <v>280521.76</v>
      </c>
      <c r="AK1086" s="3812">
        <v>45639</v>
      </c>
      <c r="AL1086" s="4840">
        <v>280521.76</v>
      </c>
      <c r="AM1086" s="3812">
        <v>45646</v>
      </c>
      <c r="AN1086" s="5349">
        <f t="shared" si="208"/>
        <v>280521.76</v>
      </c>
      <c r="AO1086" s="3812">
        <v>45673</v>
      </c>
      <c r="AP1086" s="3812"/>
      <c r="AQ1086" s="1032"/>
      <c r="AR1086" s="3812"/>
      <c r="AS1086" s="5059"/>
      <c r="AT1086" s="3812"/>
      <c r="AU1086" s="3812"/>
      <c r="AV1086" s="3812"/>
      <c r="AW1086" s="3812"/>
      <c r="AX1086" s="3812"/>
      <c r="AY1086" s="3812"/>
      <c r="AZ1086" s="5263"/>
      <c r="BA1086" s="5265"/>
      <c r="BB1086" s="3812"/>
      <c r="BC1086" s="3812"/>
      <c r="BD1086" s="3812"/>
      <c r="BE1086" s="3812"/>
      <c r="BF1086" s="3812"/>
      <c r="BG1086" s="3812"/>
      <c r="BH1086" s="3812"/>
      <c r="BI1086" s="3812"/>
      <c r="BJ1086" s="3812"/>
      <c r="BK1086" s="3812"/>
      <c r="BL1086" s="3812"/>
      <c r="BM1086" s="5280"/>
      <c r="BN1086" s="5283">
        <v>280521.76</v>
      </c>
      <c r="BO1086" s="5265"/>
      <c r="BP1086" s="3812"/>
      <c r="BQ1086" s="3812"/>
      <c r="BR1086" s="3812"/>
      <c r="BS1086" s="3812"/>
      <c r="BT1086" s="3812"/>
      <c r="BU1086" s="3812"/>
      <c r="BV1086" s="3812"/>
      <c r="BW1086" s="5123"/>
      <c r="BX1086" s="5123"/>
      <c r="BY1086" s="5123"/>
      <c r="BZ1086" s="5123"/>
      <c r="CA1086" s="5304"/>
      <c r="CB1086" s="5283">
        <v>280521.76</v>
      </c>
      <c r="CC1086" s="5309"/>
      <c r="CD1086" s="3812"/>
      <c r="CE1086" s="5154">
        <f t="shared" si="231"/>
        <v>280521.76</v>
      </c>
      <c r="CF1086" s="5154">
        <f t="shared" si="232"/>
        <v>0</v>
      </c>
      <c r="CG1086" s="5310"/>
      <c r="CH1086" s="5310"/>
    </row>
    <row r="1087" s="4974" customFormat="1" ht="24" customHeight="1" spans="1:86">
      <c r="A1087" s="2678"/>
      <c r="B1087" s="3812"/>
      <c r="C1087" s="3812"/>
      <c r="D1087" s="5059"/>
      <c r="E1087" s="5059"/>
      <c r="F1087" s="5059"/>
      <c r="G1087" s="5059"/>
      <c r="H1087" s="5059"/>
      <c r="I1087" s="5205"/>
      <c r="J1087" s="5059"/>
      <c r="K1087" s="5059"/>
      <c r="L1087" s="5059"/>
      <c r="M1087" s="3812"/>
      <c r="N1087" s="5667"/>
      <c r="O1087" s="5667"/>
      <c r="P1087" s="5667"/>
      <c r="Q1087" s="5667"/>
      <c r="R1087" s="5667"/>
      <c r="S1087" s="5667"/>
      <c r="T1087" s="5667"/>
      <c r="U1087" s="5667"/>
      <c r="V1087" s="5667"/>
      <c r="W1087" s="5667"/>
      <c r="X1087" s="5667"/>
      <c r="Y1087" s="5667"/>
      <c r="Z1087" s="5667"/>
      <c r="AA1087" s="5667"/>
      <c r="AB1087" s="5973"/>
      <c r="AC1087" s="1032" t="s">
        <v>1797</v>
      </c>
      <c r="AD1087" s="5241" t="s">
        <v>1804</v>
      </c>
      <c r="AE1087" s="1032">
        <v>0.2</v>
      </c>
      <c r="AF1087" s="3812">
        <f t="shared" si="230"/>
        <v>280521.76</v>
      </c>
      <c r="AG1087" s="5250">
        <f t="shared" si="225"/>
        <v>280521.76</v>
      </c>
      <c r="AH1087" s="5245" t="s">
        <v>349</v>
      </c>
      <c r="AI1087" s="4815">
        <v>45960</v>
      </c>
      <c r="AJ1087" s="4815"/>
      <c r="AK1087" s="4815"/>
      <c r="AL1087" s="3812"/>
      <c r="AM1087" s="3812"/>
      <c r="AN1087" s="5349">
        <f t="shared" si="208"/>
        <v>0</v>
      </c>
      <c r="AO1087" s="5257"/>
      <c r="AP1087" s="3812"/>
      <c r="AQ1087" s="1032"/>
      <c r="AR1087" s="3812"/>
      <c r="AS1087" s="5059"/>
      <c r="AT1087" s="3812"/>
      <c r="AU1087" s="3812"/>
      <c r="AV1087" s="3812"/>
      <c r="AW1087" s="3812"/>
      <c r="AX1087" s="3812"/>
      <c r="AY1087" s="3812"/>
      <c r="AZ1087" s="5263"/>
      <c r="BA1087" s="5265"/>
      <c r="BB1087" s="3812"/>
      <c r="BC1087" s="3812"/>
      <c r="BD1087" s="3812"/>
      <c r="BE1087" s="3812"/>
      <c r="BF1087" s="3812"/>
      <c r="BG1087" s="3812"/>
      <c r="BH1087" s="3812"/>
      <c r="BI1087" s="3812"/>
      <c r="BJ1087" s="3812"/>
      <c r="BK1087" s="3812"/>
      <c r="BL1087" s="3812"/>
      <c r="BM1087" s="5263"/>
      <c r="BN1087" s="5279">
        <v>280521.76</v>
      </c>
      <c r="BO1087" s="5265"/>
      <c r="BP1087" s="3812"/>
      <c r="BQ1087" s="3812"/>
      <c r="BR1087" s="3812"/>
      <c r="BS1087" s="3812"/>
      <c r="BT1087" s="3812"/>
      <c r="BU1087" s="3812"/>
      <c r="BV1087" s="3812"/>
      <c r="BW1087" s="3812"/>
      <c r="BX1087" s="3812"/>
      <c r="BY1087" s="3812"/>
      <c r="BZ1087" s="3812"/>
      <c r="CA1087" s="5263"/>
      <c r="CB1087" s="5282"/>
      <c r="CC1087" s="5309"/>
      <c r="CD1087" s="3812"/>
      <c r="CE1087" s="5310"/>
      <c r="CF1087" s="5310"/>
      <c r="CG1087" s="5310"/>
      <c r="CH1087" s="5310"/>
    </row>
    <row r="1088" s="4985" customFormat="1" ht="31" spans="1:86">
      <c r="A1088" s="5201"/>
      <c r="B1088" s="5201"/>
      <c r="C1088" s="5201"/>
      <c r="D1088" s="5708"/>
      <c r="E1088" s="5059"/>
      <c r="F1088" s="5708"/>
      <c r="G1088" s="5708"/>
      <c r="H1088" s="5059"/>
      <c r="I1088" s="5205"/>
      <c r="J1088" s="5708"/>
      <c r="K1088" s="5059"/>
      <c r="L1088" s="5059"/>
      <c r="M1088" s="5201"/>
      <c r="N1088" s="5667"/>
      <c r="O1088" s="5667"/>
      <c r="P1088" s="5667"/>
      <c r="Q1088" s="5667"/>
      <c r="R1088" s="5667"/>
      <c r="S1088" s="5667"/>
      <c r="T1088" s="5667"/>
      <c r="U1088" s="5667"/>
      <c r="V1088" s="5667"/>
      <c r="W1088" s="5667"/>
      <c r="X1088" s="5667"/>
      <c r="Y1088" s="5667"/>
      <c r="Z1088" s="5667"/>
      <c r="AA1088" s="5667"/>
      <c r="AB1088" s="5973"/>
      <c r="AC1088" s="5714" t="s">
        <v>1805</v>
      </c>
      <c r="AD1088" s="5931" t="s">
        <v>1798</v>
      </c>
      <c r="AE1088" s="5714">
        <v>0.2</v>
      </c>
      <c r="AF1088" s="5201">
        <f t="shared" ref="AF1088:AF1092" si="233">419448.37*AE1088</f>
        <v>83889.674</v>
      </c>
      <c r="AG1088" s="5201">
        <f t="shared" ref="AG1088:AG1092" si="234">SUM(BA1088:BN1088)</f>
        <v>83889.67</v>
      </c>
      <c r="AH1088" s="5714" t="s">
        <v>122</v>
      </c>
      <c r="AI1088" s="5201">
        <v>45639</v>
      </c>
      <c r="AJ1088" s="5201">
        <v>83889.67</v>
      </c>
      <c r="AK1088" s="5201">
        <v>45639</v>
      </c>
      <c r="AL1088" s="5201">
        <v>83889.67</v>
      </c>
      <c r="AM1088" s="5201">
        <v>45646</v>
      </c>
      <c r="AN1088" s="5201">
        <f t="shared" si="208"/>
        <v>83889.67</v>
      </c>
      <c r="AO1088" s="5201">
        <v>45673</v>
      </c>
      <c r="AP1088" s="5201"/>
      <c r="AQ1088" s="5714"/>
      <c r="AR1088" s="5201"/>
      <c r="AS1088" s="5708"/>
      <c r="AT1088" s="5201"/>
      <c r="AU1088" s="3812"/>
      <c r="AV1088" s="3812"/>
      <c r="AW1088" s="3812"/>
      <c r="AX1088" s="3812"/>
      <c r="AY1088" s="3812"/>
      <c r="AZ1088" s="5263"/>
      <c r="BA1088" s="6031"/>
      <c r="BB1088" s="5201"/>
      <c r="BC1088" s="5201"/>
      <c r="BD1088" s="5201"/>
      <c r="BE1088" s="5201"/>
      <c r="BF1088" s="5201"/>
      <c r="BG1088" s="5201"/>
      <c r="BH1088" s="5201"/>
      <c r="BI1088" s="5201"/>
      <c r="BJ1088" s="5201"/>
      <c r="BK1088" s="5201"/>
      <c r="BL1088" s="5201"/>
      <c r="BM1088" s="6033"/>
      <c r="BN1088" s="6034">
        <v>83889.67</v>
      </c>
      <c r="BO1088" s="6031"/>
      <c r="BP1088" s="5201"/>
      <c r="BQ1088" s="5201"/>
      <c r="BR1088" s="5201"/>
      <c r="BS1088" s="5201"/>
      <c r="BT1088" s="5201"/>
      <c r="BU1088" s="5201"/>
      <c r="BV1088" s="5201"/>
      <c r="BW1088" s="5734"/>
      <c r="BX1088" s="5734"/>
      <c r="BY1088" s="5734"/>
      <c r="BZ1088" s="5734"/>
      <c r="CA1088" s="6037"/>
      <c r="CB1088" s="6034">
        <v>83889.67</v>
      </c>
      <c r="CC1088" s="6009"/>
      <c r="CD1088" s="5201"/>
      <c r="CE1088" s="6039">
        <f t="shared" ref="CE1088:CE1090" si="235">SUBTOTAL(9,BO1088:CB1088)</f>
        <v>83889.67</v>
      </c>
      <c r="CF1088" s="6039">
        <f t="shared" ref="CF1088:CF1090" si="236">AN1088-CE1088</f>
        <v>0</v>
      </c>
      <c r="CG1088" s="5990"/>
      <c r="CH1088" s="5990"/>
    </row>
    <row r="1089" s="4974" customFormat="1" ht="31" spans="1:86">
      <c r="A1089" s="2678"/>
      <c r="B1089" s="3812"/>
      <c r="C1089" s="3812"/>
      <c r="D1089" s="5059"/>
      <c r="E1089" s="5059"/>
      <c r="F1089" s="5059"/>
      <c r="G1089" s="5059"/>
      <c r="H1089" s="5059"/>
      <c r="I1089" s="5205"/>
      <c r="J1089" s="5059"/>
      <c r="K1089" s="5059"/>
      <c r="L1089" s="5059"/>
      <c r="M1089" s="3812"/>
      <c r="N1089" s="5667"/>
      <c r="O1089" s="5667"/>
      <c r="P1089" s="5667"/>
      <c r="Q1089" s="5667"/>
      <c r="R1089" s="5667"/>
      <c r="S1089" s="5667"/>
      <c r="T1089" s="5667"/>
      <c r="U1089" s="5667"/>
      <c r="V1089" s="5667"/>
      <c r="W1089" s="5667"/>
      <c r="X1089" s="5667"/>
      <c r="Y1089" s="5667"/>
      <c r="Z1089" s="5667"/>
      <c r="AA1089" s="5667"/>
      <c r="AB1089" s="5973"/>
      <c r="AC1089" s="1032" t="s">
        <v>1806</v>
      </c>
      <c r="AD1089" s="5241" t="s">
        <v>1799</v>
      </c>
      <c r="AE1089" s="1032">
        <v>0.2</v>
      </c>
      <c r="AF1089" s="3812">
        <f t="shared" si="233"/>
        <v>83889.674</v>
      </c>
      <c r="AG1089" s="3812">
        <f t="shared" si="234"/>
        <v>83889.67</v>
      </c>
      <c r="AH1089" s="1032" t="s">
        <v>122</v>
      </c>
      <c r="AI1089" s="3812">
        <v>45639</v>
      </c>
      <c r="AJ1089" s="3812">
        <v>83889.67</v>
      </c>
      <c r="AK1089" s="3812">
        <v>45639</v>
      </c>
      <c r="AL1089" s="3812">
        <v>83889.67</v>
      </c>
      <c r="AM1089" s="3812">
        <v>45646</v>
      </c>
      <c r="AN1089" s="5349">
        <f t="shared" si="208"/>
        <v>83889.67</v>
      </c>
      <c r="AO1089" s="3812">
        <v>45673</v>
      </c>
      <c r="AP1089" s="3812"/>
      <c r="AQ1089" s="1032"/>
      <c r="AR1089" s="3812"/>
      <c r="AS1089" s="5059"/>
      <c r="AT1089" s="3812"/>
      <c r="AU1089" s="3812"/>
      <c r="AV1089" s="3812"/>
      <c r="AW1089" s="3812"/>
      <c r="AX1089" s="3812"/>
      <c r="AY1089" s="3812"/>
      <c r="AZ1089" s="5263"/>
      <c r="BA1089" s="5265"/>
      <c r="BB1089" s="3812"/>
      <c r="BC1089" s="3812"/>
      <c r="BD1089" s="3812"/>
      <c r="BE1089" s="3812"/>
      <c r="BF1089" s="3812"/>
      <c r="BG1089" s="3812"/>
      <c r="BH1089" s="3812"/>
      <c r="BI1089" s="3812"/>
      <c r="BJ1089" s="3812"/>
      <c r="BK1089" s="3812"/>
      <c r="BL1089" s="3812"/>
      <c r="BM1089" s="5263"/>
      <c r="BN1089" s="5282">
        <v>83889.67</v>
      </c>
      <c r="BO1089" s="5265"/>
      <c r="BP1089" s="3812"/>
      <c r="BQ1089" s="3812"/>
      <c r="BR1089" s="3812"/>
      <c r="BS1089" s="3812"/>
      <c r="BT1089" s="3812"/>
      <c r="BU1089" s="3812"/>
      <c r="BV1089" s="3812"/>
      <c r="BW1089" s="5123"/>
      <c r="BX1089" s="5123"/>
      <c r="BY1089" s="5123"/>
      <c r="BZ1089" s="5123"/>
      <c r="CA1089" s="5284"/>
      <c r="CB1089" s="5282">
        <v>83889.67</v>
      </c>
      <c r="CC1089" s="5309"/>
      <c r="CD1089" s="3812"/>
      <c r="CE1089" s="5154">
        <f t="shared" si="235"/>
        <v>83889.67</v>
      </c>
      <c r="CF1089" s="5154">
        <f t="shared" si="236"/>
        <v>0</v>
      </c>
      <c r="CG1089" s="5310"/>
      <c r="CH1089" s="5310"/>
    </row>
    <row r="1090" s="4974" customFormat="1" ht="23.25" customHeight="1" spans="1:86">
      <c r="A1090" s="2678"/>
      <c r="B1090" s="3812"/>
      <c r="C1090" s="3812"/>
      <c r="D1090" s="5059"/>
      <c r="E1090" s="5059"/>
      <c r="F1090" s="5059"/>
      <c r="G1090" s="5059"/>
      <c r="H1090" s="5059"/>
      <c r="I1090" s="5205"/>
      <c r="J1090" s="5059"/>
      <c r="K1090" s="5059"/>
      <c r="L1090" s="5059"/>
      <c r="M1090" s="3812"/>
      <c r="N1090" s="5667"/>
      <c r="O1090" s="5667"/>
      <c r="P1090" s="5667"/>
      <c r="Q1090" s="5667"/>
      <c r="R1090" s="5667"/>
      <c r="S1090" s="5667"/>
      <c r="T1090" s="5667"/>
      <c r="U1090" s="5667"/>
      <c r="V1090" s="5667"/>
      <c r="W1090" s="5667"/>
      <c r="X1090" s="5667"/>
      <c r="Y1090" s="5667"/>
      <c r="Z1090" s="5667"/>
      <c r="AA1090" s="5667"/>
      <c r="AB1090" s="5973"/>
      <c r="AC1090" s="5073" t="s">
        <v>1807</v>
      </c>
      <c r="AD1090" s="5242" t="s">
        <v>1801</v>
      </c>
      <c r="AE1090" s="5073">
        <v>0.2</v>
      </c>
      <c r="AF1090" s="3812">
        <f t="shared" si="233"/>
        <v>83889.674</v>
      </c>
      <c r="AG1090" s="4840">
        <f t="shared" si="234"/>
        <v>83889.67</v>
      </c>
      <c r="AH1090" s="5073" t="s">
        <v>122</v>
      </c>
      <c r="AI1090" s="3812">
        <v>45639</v>
      </c>
      <c r="AJ1090" s="4840">
        <v>83889.67</v>
      </c>
      <c r="AK1090" s="3812">
        <v>45639</v>
      </c>
      <c r="AL1090" s="4840">
        <v>83889.67</v>
      </c>
      <c r="AM1090" s="3812">
        <v>45646</v>
      </c>
      <c r="AN1090" s="5349">
        <f t="shared" si="208"/>
        <v>83889.67</v>
      </c>
      <c r="AO1090" s="3812">
        <v>45673</v>
      </c>
      <c r="AP1090" s="3812"/>
      <c r="AQ1090" s="1032"/>
      <c r="AR1090" s="3812"/>
      <c r="AS1090" s="5059"/>
      <c r="AT1090" s="3812"/>
      <c r="AU1090" s="3812"/>
      <c r="AV1090" s="3812"/>
      <c r="AW1090" s="3812"/>
      <c r="AX1090" s="3812"/>
      <c r="AY1090" s="3812"/>
      <c r="AZ1090" s="5263"/>
      <c r="BA1090" s="5265"/>
      <c r="BB1090" s="3812"/>
      <c r="BC1090" s="3812"/>
      <c r="BD1090" s="3812"/>
      <c r="BE1090" s="3812"/>
      <c r="BF1090" s="3812"/>
      <c r="BG1090" s="3812"/>
      <c r="BH1090" s="3812"/>
      <c r="BI1090" s="3812"/>
      <c r="BJ1090" s="3812"/>
      <c r="BK1090" s="3812"/>
      <c r="BL1090" s="3812"/>
      <c r="BM1090" s="5280"/>
      <c r="BN1090" s="5283">
        <v>83889.67</v>
      </c>
      <c r="BO1090" s="5265"/>
      <c r="BP1090" s="3812"/>
      <c r="BQ1090" s="3812"/>
      <c r="BR1090" s="3812"/>
      <c r="BS1090" s="3812"/>
      <c r="BT1090" s="3812"/>
      <c r="BU1090" s="3812"/>
      <c r="BV1090" s="3812"/>
      <c r="BW1090" s="5123"/>
      <c r="BX1090" s="5123"/>
      <c r="BY1090" s="5123"/>
      <c r="BZ1090" s="5123"/>
      <c r="CA1090" s="5304"/>
      <c r="CB1090" s="5283">
        <v>83889.67</v>
      </c>
      <c r="CC1090" s="5309"/>
      <c r="CD1090" s="3812"/>
      <c r="CE1090" s="5154">
        <f t="shared" si="235"/>
        <v>83889.67</v>
      </c>
      <c r="CF1090" s="5154">
        <f t="shared" si="236"/>
        <v>0</v>
      </c>
      <c r="CG1090" s="5310"/>
      <c r="CH1090" s="5310"/>
    </row>
    <row r="1091" s="4974" customFormat="1" ht="31" spans="1:86">
      <c r="A1091" s="2678"/>
      <c r="B1091" s="3812"/>
      <c r="C1091" s="3812"/>
      <c r="D1091" s="5059"/>
      <c r="E1091" s="5059"/>
      <c r="F1091" s="5059"/>
      <c r="G1091" s="5059"/>
      <c r="H1091" s="5059"/>
      <c r="I1091" s="5205"/>
      <c r="J1091" s="5059"/>
      <c r="K1091" s="5059"/>
      <c r="L1091" s="5059"/>
      <c r="M1091" s="3812"/>
      <c r="N1091" s="5667"/>
      <c r="O1091" s="5667"/>
      <c r="P1091" s="5667"/>
      <c r="Q1091" s="5667"/>
      <c r="R1091" s="5667"/>
      <c r="S1091" s="5667"/>
      <c r="T1091" s="5667"/>
      <c r="U1091" s="5667"/>
      <c r="V1091" s="5667"/>
      <c r="W1091" s="5667"/>
      <c r="X1091" s="5667"/>
      <c r="Y1091" s="5667"/>
      <c r="Z1091" s="5667"/>
      <c r="AA1091" s="5667"/>
      <c r="AB1091" s="5973"/>
      <c r="AC1091" s="1032" t="s">
        <v>1808</v>
      </c>
      <c r="AD1091" s="5241" t="s">
        <v>1803</v>
      </c>
      <c r="AE1091" s="1032">
        <v>0.2</v>
      </c>
      <c r="AF1091" s="3812">
        <f t="shared" si="233"/>
        <v>83889.674</v>
      </c>
      <c r="AG1091" s="3812">
        <f t="shared" si="234"/>
        <v>83889.67</v>
      </c>
      <c r="AH1091" s="1032" t="s">
        <v>122</v>
      </c>
      <c r="AI1091" s="3812">
        <v>45730</v>
      </c>
      <c r="AJ1091" s="4840">
        <v>83889.67</v>
      </c>
      <c r="AK1091" s="3812">
        <v>45730</v>
      </c>
      <c r="AL1091" s="4840">
        <v>83889.67</v>
      </c>
      <c r="AM1091" s="3812">
        <v>45730</v>
      </c>
      <c r="AN1091" s="5349">
        <f t="shared" si="208"/>
        <v>83889.67</v>
      </c>
      <c r="AO1091" s="3812">
        <v>45772</v>
      </c>
      <c r="AP1091" s="3812"/>
      <c r="AQ1091" s="1032"/>
      <c r="AR1091" s="3812"/>
      <c r="AS1091" s="5059"/>
      <c r="AT1091" s="3812"/>
      <c r="AU1091" s="3812"/>
      <c r="AV1091" s="3812"/>
      <c r="AW1091" s="3812"/>
      <c r="AX1091" s="3812"/>
      <c r="AY1091" s="3812"/>
      <c r="AZ1091" s="5263"/>
      <c r="BA1091" s="5265"/>
      <c r="BB1091" s="3812"/>
      <c r="BC1091" s="3812"/>
      <c r="BD1091" s="3812"/>
      <c r="BE1091" s="3812"/>
      <c r="BF1091" s="3812"/>
      <c r="BG1091" s="3812"/>
      <c r="BH1091" s="3812"/>
      <c r="BI1091" s="3812"/>
      <c r="BJ1091" s="3812"/>
      <c r="BK1091" s="3812"/>
      <c r="BL1091" s="3812"/>
      <c r="BM1091" s="5263"/>
      <c r="BN1091" s="5282">
        <v>83889.67</v>
      </c>
      <c r="BO1091" s="5265"/>
      <c r="BP1091" s="3812"/>
      <c r="BQ1091" s="3812"/>
      <c r="BR1091" s="3812"/>
      <c r="BS1091" s="3812"/>
      <c r="BT1091" s="3812"/>
      <c r="BU1091" s="3812"/>
      <c r="BV1091" s="3812"/>
      <c r="BW1091" s="3812"/>
      <c r="BX1091" s="3812"/>
      <c r="BY1091" s="3812"/>
      <c r="BZ1091" s="3812"/>
      <c r="CA1091" s="5280"/>
      <c r="CB1091" s="5281">
        <v>83889.67</v>
      </c>
      <c r="CC1091" s="5309"/>
      <c r="CD1091" s="3812"/>
      <c r="CE1091" s="5310"/>
      <c r="CF1091" s="5310"/>
      <c r="CG1091" s="5310"/>
      <c r="CH1091" s="5310"/>
    </row>
    <row r="1092" s="4974" customFormat="1" ht="31.75" spans="1:86">
      <c r="A1092" s="2678"/>
      <c r="B1092" s="3812"/>
      <c r="C1092" s="3812"/>
      <c r="D1092" s="5059"/>
      <c r="E1092" s="5059"/>
      <c r="F1092" s="5059"/>
      <c r="G1092" s="5059"/>
      <c r="H1092" s="5059"/>
      <c r="I1092" s="5206"/>
      <c r="J1092" s="5059"/>
      <c r="K1092" s="5059"/>
      <c r="L1092" s="5059"/>
      <c r="M1092" s="3812"/>
      <c r="N1092" s="5667"/>
      <c r="O1092" s="5667"/>
      <c r="P1092" s="5667"/>
      <c r="Q1092" s="5667"/>
      <c r="R1092" s="5667"/>
      <c r="S1092" s="5667"/>
      <c r="T1092" s="5667"/>
      <c r="U1092" s="5667"/>
      <c r="V1092" s="5667"/>
      <c r="W1092" s="5667"/>
      <c r="X1092" s="5667"/>
      <c r="Y1092" s="5667"/>
      <c r="Z1092" s="5667"/>
      <c r="AA1092" s="5667"/>
      <c r="AB1092" s="5973"/>
      <c r="AC1092" s="1032" t="s">
        <v>1809</v>
      </c>
      <c r="AD1092" s="5241" t="s">
        <v>1804</v>
      </c>
      <c r="AE1092" s="1032">
        <v>0.2</v>
      </c>
      <c r="AF1092" s="3812">
        <f t="shared" si="233"/>
        <v>83889.674</v>
      </c>
      <c r="AG1092" s="4815">
        <f t="shared" si="234"/>
        <v>83889.674</v>
      </c>
      <c r="AH1092" s="5245" t="s">
        <v>349</v>
      </c>
      <c r="AI1092" s="4815">
        <v>45960</v>
      </c>
      <c r="AJ1092" s="3812"/>
      <c r="AK1092" s="3812"/>
      <c r="AL1092" s="3812"/>
      <c r="AM1092" s="3812"/>
      <c r="AN1092" s="5349">
        <f t="shared" si="208"/>
        <v>0</v>
      </c>
      <c r="AO1092" s="3812"/>
      <c r="AP1092" s="3812"/>
      <c r="AQ1092" s="1032"/>
      <c r="AR1092" s="3812"/>
      <c r="AS1092" s="5059"/>
      <c r="AT1092" s="3812"/>
      <c r="AU1092" s="3812"/>
      <c r="AV1092" s="3812"/>
      <c r="AW1092" s="3812"/>
      <c r="AX1092" s="3812"/>
      <c r="AY1092" s="3812"/>
      <c r="AZ1092" s="5263"/>
      <c r="BA1092" s="6075"/>
      <c r="BB1092" s="5144"/>
      <c r="BC1092" s="5144"/>
      <c r="BD1092" s="5144"/>
      <c r="BE1092" s="5144"/>
      <c r="BF1092" s="5144"/>
      <c r="BG1092" s="5144"/>
      <c r="BH1092" s="5144"/>
      <c r="BI1092" s="5144"/>
      <c r="BJ1092" s="5144"/>
      <c r="BK1092" s="5144"/>
      <c r="BL1092" s="5144"/>
      <c r="BM1092" s="5810"/>
      <c r="BN1092" s="6078">
        <v>83889.674</v>
      </c>
      <c r="BO1092" s="6075"/>
      <c r="BP1092" s="5144"/>
      <c r="BQ1092" s="5144"/>
      <c r="BR1092" s="5144"/>
      <c r="BS1092" s="5144"/>
      <c r="BT1092" s="5144"/>
      <c r="BU1092" s="5144"/>
      <c r="BV1092" s="5144"/>
      <c r="BW1092" s="5144"/>
      <c r="BX1092" s="5144"/>
      <c r="BY1092" s="5144"/>
      <c r="BZ1092" s="5144"/>
      <c r="CA1092" s="5810"/>
      <c r="CB1092" s="6078"/>
      <c r="CC1092" s="5309"/>
      <c r="CD1092" s="3812"/>
      <c r="CE1092" s="5310"/>
      <c r="CF1092" s="5310"/>
      <c r="CG1092" s="5310"/>
      <c r="CH1092" s="5310"/>
    </row>
    <row r="1093" s="4974" customFormat="1" ht="25" customHeight="1" spans="1:86">
      <c r="A1093" s="4045"/>
      <c r="B1093" s="857" t="s">
        <v>1186</v>
      </c>
      <c r="C1093" s="3812">
        <v>45973</v>
      </c>
      <c r="D1093" s="1032" t="s">
        <v>1945</v>
      </c>
      <c r="E1093" s="1032"/>
      <c r="F1093" s="1032" t="s">
        <v>1946</v>
      </c>
      <c r="G1093" s="1032" t="s">
        <v>1947</v>
      </c>
      <c r="H1093" s="1032" t="s">
        <v>1932</v>
      </c>
      <c r="I1093" s="5073" t="s">
        <v>1948</v>
      </c>
      <c r="J1093" s="1032" t="s">
        <v>1949</v>
      </c>
      <c r="K1093" s="5059">
        <v>126729.8</v>
      </c>
      <c r="L1093" s="1032" t="s">
        <v>1950</v>
      </c>
      <c r="M1093" s="3812">
        <f>SUM(N1093:AA1120)</f>
        <v>9455119.11</v>
      </c>
      <c r="N1093" s="4127">
        <v>0</v>
      </c>
      <c r="O1093" s="4127">
        <v>0</v>
      </c>
      <c r="P1093" s="4127">
        <v>0</v>
      </c>
      <c r="Q1093" s="4127">
        <v>0</v>
      </c>
      <c r="R1093" s="4127">
        <v>0</v>
      </c>
      <c r="S1093" s="4127">
        <v>0</v>
      </c>
      <c r="T1093" s="5971">
        <v>0</v>
      </c>
      <c r="U1093" s="4127">
        <v>0</v>
      </c>
      <c r="V1093" s="4127">
        <v>280002.93</v>
      </c>
      <c r="W1093" s="4127">
        <v>0</v>
      </c>
      <c r="X1093" s="4127">
        <v>0</v>
      </c>
      <c r="Y1093" s="4127">
        <v>0</v>
      </c>
      <c r="Z1093" s="4090">
        <v>0</v>
      </c>
      <c r="AA1093" s="4127">
        <v>9175116.18</v>
      </c>
      <c r="AB1093" s="5972" t="s">
        <v>171</v>
      </c>
      <c r="AC1093" s="5059" t="s">
        <v>1055</v>
      </c>
      <c r="AD1093" s="5241" t="s">
        <v>342</v>
      </c>
      <c r="AE1093" s="1032">
        <v>0.2</v>
      </c>
      <c r="AF1093" s="3812">
        <f>2994930.18*AE1093</f>
        <v>598986.036</v>
      </c>
      <c r="AG1093" s="4815">
        <f t="shared" ref="AG1093:AG1099" si="237">SUM(BA1093:BN1093)</f>
        <v>598986.036</v>
      </c>
      <c r="AH1093" s="5245" t="s">
        <v>122</v>
      </c>
      <c r="AI1093" s="4815">
        <v>46021</v>
      </c>
      <c r="AJ1093" s="4815">
        <v>598986.036</v>
      </c>
      <c r="AK1093" s="4813"/>
      <c r="AL1093" s="3812"/>
      <c r="AM1093" s="3812"/>
      <c r="AN1093" s="5349">
        <f t="shared" si="208"/>
        <v>0</v>
      </c>
      <c r="AO1093" s="3812"/>
      <c r="AP1093" s="3812"/>
      <c r="AQ1093" s="1032"/>
      <c r="AR1093" s="3812"/>
      <c r="AS1093" s="5059"/>
      <c r="AT1093" s="3812"/>
      <c r="AU1093" s="3812">
        <f>SUM(AG1093:AG1120)</f>
        <v>9455119.11</v>
      </c>
      <c r="AV1093" s="3812">
        <f>SUM(AL1093:AL1120)</f>
        <v>0</v>
      </c>
      <c r="AW1093" s="3812">
        <f>SUM(AN1093:AN1120)</f>
        <v>280002.93</v>
      </c>
      <c r="AX1093" s="3812">
        <f>M1093-AU1093</f>
        <v>0</v>
      </c>
      <c r="AY1093" s="3812">
        <f>AU1093-AV1093</f>
        <v>9455119.11</v>
      </c>
      <c r="AZ1093" s="5263">
        <f>AV1093-AW1093</f>
        <v>-280002.93</v>
      </c>
      <c r="BA1093" s="5141"/>
      <c r="BB1093" s="5142"/>
      <c r="BC1093" s="5142"/>
      <c r="BD1093" s="5142"/>
      <c r="BE1093" s="5142"/>
      <c r="BF1093" s="5142"/>
      <c r="BG1093" s="5142"/>
      <c r="BH1093" s="5142"/>
      <c r="BI1093" s="5142"/>
      <c r="BJ1093" s="5142"/>
      <c r="BK1093" s="5142"/>
      <c r="BL1093" s="5142"/>
      <c r="BM1093" s="5155"/>
      <c r="BN1093" s="5156">
        <v>598986.036</v>
      </c>
      <c r="BO1093" s="5141"/>
      <c r="BP1093" s="5142"/>
      <c r="BQ1093" s="5142"/>
      <c r="BR1093" s="5142"/>
      <c r="BS1093" s="5142"/>
      <c r="BT1093" s="5142"/>
      <c r="BU1093" s="5142"/>
      <c r="BV1093" s="5142"/>
      <c r="BW1093" s="5289"/>
      <c r="BX1093" s="5289"/>
      <c r="BY1093" s="5289"/>
      <c r="BZ1093" s="5289"/>
      <c r="CA1093" s="6036"/>
      <c r="CB1093" s="5959"/>
      <c r="CC1093" s="5309"/>
      <c r="CD1093" s="3812"/>
      <c r="CE1093" s="5154">
        <f>SUBTOTAL(9,BO1093:CB1093)</f>
        <v>0</v>
      </c>
      <c r="CF1093" s="5154">
        <f>AN1093-CE1093</f>
        <v>0</v>
      </c>
      <c r="CG1093" s="5310"/>
      <c r="CH1093" s="5310"/>
    </row>
    <row r="1094" s="4974" customFormat="1" ht="25" customHeight="1" spans="1:86">
      <c r="A1094" s="4045"/>
      <c r="B1094" s="3812"/>
      <c r="C1094" s="3812"/>
      <c r="D1094" s="5059"/>
      <c r="E1094" s="5059"/>
      <c r="F1094" s="5059"/>
      <c r="G1094" s="5059"/>
      <c r="H1094" s="5059"/>
      <c r="I1094" s="5205"/>
      <c r="J1094" s="5059"/>
      <c r="K1094" s="5059"/>
      <c r="L1094" s="5059"/>
      <c r="M1094" s="3812"/>
      <c r="N1094" s="5711"/>
      <c r="O1094" s="5711"/>
      <c r="P1094" s="5711"/>
      <c r="Q1094" s="5711"/>
      <c r="R1094" s="5711"/>
      <c r="S1094" s="5711"/>
      <c r="T1094" s="5711"/>
      <c r="U1094" s="5711"/>
      <c r="V1094" s="5711"/>
      <c r="W1094" s="5711"/>
      <c r="X1094" s="5711"/>
      <c r="Y1094" s="5711"/>
      <c r="Z1094" s="5221"/>
      <c r="AA1094" s="5711"/>
      <c r="AB1094" s="5972"/>
      <c r="AC1094" s="5214" t="s">
        <v>1057</v>
      </c>
      <c r="AD1094" s="5242" t="s">
        <v>344</v>
      </c>
      <c r="AE1094" s="5073">
        <v>0.3</v>
      </c>
      <c r="AF1094" s="3812">
        <f>2994930.18*AE1094</f>
        <v>898479.054</v>
      </c>
      <c r="AG1094" s="5250">
        <f t="shared" si="237"/>
        <v>898479.054</v>
      </c>
      <c r="AH1094" s="5245" t="s">
        <v>122</v>
      </c>
      <c r="AI1094" s="4815">
        <v>46021</v>
      </c>
      <c r="AJ1094" s="5250">
        <v>898479.054</v>
      </c>
      <c r="AK1094" s="3812"/>
      <c r="AL1094" s="4840"/>
      <c r="AM1094" s="3812"/>
      <c r="AN1094" s="5349">
        <f t="shared" si="208"/>
        <v>0</v>
      </c>
      <c r="AO1094" s="3812"/>
      <c r="AP1094" s="3812"/>
      <c r="AQ1094" s="1032"/>
      <c r="AR1094" s="3812"/>
      <c r="AS1094" s="5059"/>
      <c r="AT1094" s="3812"/>
      <c r="AU1094" s="3812"/>
      <c r="AV1094" s="3812"/>
      <c r="AW1094" s="3812"/>
      <c r="AX1094" s="3812"/>
      <c r="AY1094" s="3812"/>
      <c r="AZ1094" s="5263"/>
      <c r="BA1094" s="5265"/>
      <c r="BB1094" s="3812"/>
      <c r="BC1094" s="3812"/>
      <c r="BD1094" s="4840"/>
      <c r="BE1094" s="3812"/>
      <c r="BF1094" s="3812"/>
      <c r="BG1094" s="3812"/>
      <c r="BH1094" s="4840"/>
      <c r="BI1094" s="3812"/>
      <c r="BJ1094" s="3812"/>
      <c r="BK1094" s="3812"/>
      <c r="BL1094" s="3812"/>
      <c r="BM1094" s="5280"/>
      <c r="BN1094" s="5283">
        <v>898479.054</v>
      </c>
      <c r="BO1094" s="5265"/>
      <c r="BP1094" s="3812"/>
      <c r="BQ1094" s="3812"/>
      <c r="BR1094" s="3812"/>
      <c r="BS1094" s="3812"/>
      <c r="BT1094" s="3812"/>
      <c r="BU1094" s="3812"/>
      <c r="BV1094" s="3812"/>
      <c r="BW1094" s="5123"/>
      <c r="BX1094" s="5123"/>
      <c r="BY1094" s="5123"/>
      <c r="BZ1094" s="5123"/>
      <c r="CA1094" s="5304"/>
      <c r="CB1094" s="5281"/>
      <c r="CC1094" s="5309"/>
      <c r="CD1094" s="3812"/>
      <c r="CE1094" s="5154">
        <f>SUBTOTAL(9,BO1094:CB1094)</f>
        <v>0</v>
      </c>
      <c r="CF1094" s="5154">
        <f>AN1094-CE1094</f>
        <v>0</v>
      </c>
      <c r="CG1094" s="5310"/>
      <c r="CH1094" s="5310"/>
    </row>
    <row r="1095" s="4974" customFormat="1" ht="25" customHeight="1" spans="1:86">
      <c r="A1095" s="4045"/>
      <c r="B1095" s="3812"/>
      <c r="C1095" s="3812"/>
      <c r="D1095" s="5059"/>
      <c r="E1095" s="5059"/>
      <c r="F1095" s="5059"/>
      <c r="G1095" s="5059"/>
      <c r="H1095" s="5059"/>
      <c r="I1095" s="5205"/>
      <c r="J1095" s="5059"/>
      <c r="K1095" s="5059"/>
      <c r="L1095" s="5059"/>
      <c r="M1095" s="3812"/>
      <c r="N1095" s="5711"/>
      <c r="O1095" s="5711"/>
      <c r="P1095" s="5711"/>
      <c r="Q1095" s="5711"/>
      <c r="R1095" s="5711"/>
      <c r="S1095" s="5711"/>
      <c r="T1095" s="5711"/>
      <c r="U1095" s="5711"/>
      <c r="V1095" s="5711"/>
      <c r="W1095" s="5711"/>
      <c r="X1095" s="5711"/>
      <c r="Y1095" s="5711"/>
      <c r="Z1095" s="5221"/>
      <c r="AA1095" s="5711"/>
      <c r="AB1095" s="5972"/>
      <c r="AC1095" s="5214" t="s">
        <v>1059</v>
      </c>
      <c r="AD1095" s="5242" t="s">
        <v>346</v>
      </c>
      <c r="AE1095" s="5073">
        <v>0.2</v>
      </c>
      <c r="AF1095" s="3812">
        <f>2994930.18*AE1095</f>
        <v>598986.036</v>
      </c>
      <c r="AG1095" s="5250">
        <f t="shared" si="237"/>
        <v>598986.036</v>
      </c>
      <c r="AH1095" s="5245" t="s">
        <v>122</v>
      </c>
      <c r="AI1095" s="4815">
        <v>46021</v>
      </c>
      <c r="AJ1095" s="4815">
        <v>598986.036</v>
      </c>
      <c r="AK1095" s="3812"/>
      <c r="AL1095" s="3812"/>
      <c r="AM1095" s="3812"/>
      <c r="AN1095" s="5349">
        <f t="shared" si="208"/>
        <v>0</v>
      </c>
      <c r="AO1095" s="3812"/>
      <c r="AP1095" s="3812"/>
      <c r="AQ1095" s="1032"/>
      <c r="AR1095" s="3812"/>
      <c r="AS1095" s="5059"/>
      <c r="AT1095" s="3812"/>
      <c r="AU1095" s="3812"/>
      <c r="AV1095" s="3812"/>
      <c r="AW1095" s="3812"/>
      <c r="AX1095" s="3812"/>
      <c r="AY1095" s="3812"/>
      <c r="AZ1095" s="5263"/>
      <c r="BA1095" s="5265"/>
      <c r="BB1095" s="3812"/>
      <c r="BC1095" s="3812"/>
      <c r="BD1095" s="4840"/>
      <c r="BE1095" s="3812"/>
      <c r="BF1095" s="3812"/>
      <c r="BG1095" s="3812"/>
      <c r="BH1095" s="4840"/>
      <c r="BI1095" s="3812"/>
      <c r="BJ1095" s="3812"/>
      <c r="BK1095" s="3812"/>
      <c r="BL1095" s="3812"/>
      <c r="BM1095" s="5280"/>
      <c r="BN1095" s="5283">
        <v>598986.036</v>
      </c>
      <c r="BO1095" s="5265"/>
      <c r="BP1095" s="3812"/>
      <c r="BQ1095" s="3812"/>
      <c r="BR1095" s="3812"/>
      <c r="BS1095" s="3812"/>
      <c r="BT1095" s="3812"/>
      <c r="BU1095" s="3812"/>
      <c r="BV1095" s="3812"/>
      <c r="BW1095" s="5123"/>
      <c r="BX1095" s="5123"/>
      <c r="BY1095" s="5123"/>
      <c r="BZ1095" s="5123"/>
      <c r="CA1095" s="5304"/>
      <c r="CB1095" s="5281"/>
      <c r="CC1095" s="5309"/>
      <c r="CD1095" s="3812"/>
      <c r="CE1095" s="5154"/>
      <c r="CF1095" s="5154"/>
      <c r="CG1095" s="5310"/>
      <c r="CH1095" s="5310"/>
    </row>
    <row r="1096" s="4974" customFormat="1" ht="25" customHeight="1" spans="1:86">
      <c r="A1096" s="4045"/>
      <c r="B1096" s="3812"/>
      <c r="C1096" s="3812"/>
      <c r="D1096" s="5059"/>
      <c r="E1096" s="5059"/>
      <c r="F1096" s="5059"/>
      <c r="G1096" s="5059"/>
      <c r="H1096" s="5059"/>
      <c r="I1096" s="5205"/>
      <c r="J1096" s="5059"/>
      <c r="K1096" s="5059"/>
      <c r="L1096" s="5059"/>
      <c r="M1096" s="3812"/>
      <c r="N1096" s="5711"/>
      <c r="O1096" s="5711"/>
      <c r="P1096" s="5711"/>
      <c r="Q1096" s="5711"/>
      <c r="R1096" s="5711"/>
      <c r="S1096" s="5711"/>
      <c r="T1096" s="5711"/>
      <c r="U1096" s="5711"/>
      <c r="V1096" s="5711"/>
      <c r="W1096" s="5711"/>
      <c r="X1096" s="5711"/>
      <c r="Y1096" s="5711"/>
      <c r="Z1096" s="5221"/>
      <c r="AA1096" s="5711"/>
      <c r="AB1096" s="5972"/>
      <c r="AC1096" s="5059" t="s">
        <v>1061</v>
      </c>
      <c r="AD1096" s="5241" t="s">
        <v>348</v>
      </c>
      <c r="AE1096" s="1032">
        <v>0.2</v>
      </c>
      <c r="AF1096" s="3812">
        <f>2994930.18*AE1096</f>
        <v>598986.036</v>
      </c>
      <c r="AG1096" s="5123">
        <f t="shared" si="237"/>
        <v>598986.036</v>
      </c>
      <c r="AH1096" s="1131" t="s">
        <v>349</v>
      </c>
      <c r="AI1096" s="5123">
        <v>46111</v>
      </c>
      <c r="AJ1096" s="4815"/>
      <c r="AK1096" s="3812"/>
      <c r="AL1096" s="3812"/>
      <c r="AM1096" s="3812"/>
      <c r="AN1096" s="5349">
        <f t="shared" ref="AN1096:AN1105" si="238">SUM(BO1096:CB1096)</f>
        <v>0</v>
      </c>
      <c r="AO1096" s="3812"/>
      <c r="AP1096" s="3812"/>
      <c r="AQ1096" s="1032"/>
      <c r="AR1096" s="3812"/>
      <c r="AS1096" s="5059"/>
      <c r="AT1096" s="3812"/>
      <c r="AU1096" s="3812"/>
      <c r="AV1096" s="3812"/>
      <c r="AW1096" s="3812"/>
      <c r="AX1096" s="3812"/>
      <c r="AY1096" s="3812"/>
      <c r="AZ1096" s="5263"/>
      <c r="BA1096" s="5265"/>
      <c r="BB1096" s="3812"/>
      <c r="BC1096" s="3812"/>
      <c r="BD1096" s="3812"/>
      <c r="BE1096" s="3812"/>
      <c r="BF1096" s="3812"/>
      <c r="BG1096" s="3812"/>
      <c r="BH1096" s="3812"/>
      <c r="BI1096" s="3812"/>
      <c r="BJ1096" s="3812"/>
      <c r="BK1096" s="3812"/>
      <c r="BL1096" s="3812"/>
      <c r="BM1096" s="5263"/>
      <c r="BN1096" s="5282">
        <v>598986.036</v>
      </c>
      <c r="BO1096" s="5265"/>
      <c r="BP1096" s="3812"/>
      <c r="BQ1096" s="3812"/>
      <c r="BR1096" s="3812"/>
      <c r="BS1096" s="3812"/>
      <c r="BT1096" s="3812"/>
      <c r="BU1096" s="3812"/>
      <c r="BV1096" s="3812"/>
      <c r="BW1096" s="5123"/>
      <c r="BX1096" s="5123"/>
      <c r="BY1096" s="5123"/>
      <c r="BZ1096" s="5123"/>
      <c r="CA1096" s="5284"/>
      <c r="CB1096" s="5279"/>
      <c r="CC1096" s="5309"/>
      <c r="CD1096" s="3812"/>
      <c r="CE1096" s="5310"/>
      <c r="CF1096" s="5310"/>
      <c r="CG1096" s="5310"/>
      <c r="CH1096" s="5310"/>
    </row>
    <row r="1097" s="4974" customFormat="1" ht="25" customHeight="1" spans="1:86">
      <c r="A1097" s="4045"/>
      <c r="B1097" s="3812"/>
      <c r="C1097" s="3812"/>
      <c r="D1097" s="5059"/>
      <c r="E1097" s="5059"/>
      <c r="F1097" s="5059"/>
      <c r="G1097" s="5059"/>
      <c r="H1097" s="5059"/>
      <c r="I1097" s="5205"/>
      <c r="J1097" s="5059"/>
      <c r="K1097" s="5059"/>
      <c r="L1097" s="5059"/>
      <c r="M1097" s="3812"/>
      <c r="N1097" s="5711"/>
      <c r="O1097" s="5711"/>
      <c r="P1097" s="5711"/>
      <c r="Q1097" s="5711"/>
      <c r="R1097" s="5711"/>
      <c r="S1097" s="5711"/>
      <c r="T1097" s="5711"/>
      <c r="U1097" s="5711"/>
      <c r="V1097" s="5711"/>
      <c r="W1097" s="5711"/>
      <c r="X1097" s="5711"/>
      <c r="Y1097" s="5711"/>
      <c r="Z1097" s="5221"/>
      <c r="AA1097" s="5711"/>
      <c r="AB1097" s="5972"/>
      <c r="AC1097" s="1032" t="s">
        <v>1063</v>
      </c>
      <c r="AD1097" s="5241" t="s">
        <v>351</v>
      </c>
      <c r="AE1097" s="1032">
        <v>0.1</v>
      </c>
      <c r="AF1097" s="3812">
        <f>2994930.18*AE1097</f>
        <v>299493.018</v>
      </c>
      <c r="AG1097" s="3812">
        <f t="shared" ref="AG1097:AG1120" si="239">SUM(BA1097:BN1097)</f>
        <v>299493.018</v>
      </c>
      <c r="AH1097" s="5245"/>
      <c r="AI1097" s="4815"/>
      <c r="AJ1097" s="4815"/>
      <c r="AK1097" s="3812"/>
      <c r="AL1097" s="3812"/>
      <c r="AM1097" s="3812"/>
      <c r="AN1097" s="5349">
        <f t="shared" si="238"/>
        <v>0</v>
      </c>
      <c r="AO1097" s="3812"/>
      <c r="AP1097" s="3812"/>
      <c r="AQ1097" s="1032"/>
      <c r="AR1097" s="3812"/>
      <c r="AS1097" s="5059"/>
      <c r="AT1097" s="3812"/>
      <c r="AU1097" s="3812"/>
      <c r="AV1097" s="3812"/>
      <c r="AW1097" s="3812"/>
      <c r="AX1097" s="3812"/>
      <c r="AY1097" s="3812"/>
      <c r="AZ1097" s="5263"/>
      <c r="BA1097" s="5265"/>
      <c r="BB1097" s="3812"/>
      <c r="BC1097" s="3812"/>
      <c r="BD1097" s="3812"/>
      <c r="BE1097" s="3812"/>
      <c r="BF1097" s="3812"/>
      <c r="BG1097" s="3812"/>
      <c r="BH1097" s="3812"/>
      <c r="BI1097" s="3812"/>
      <c r="BJ1097" s="3812"/>
      <c r="BK1097" s="3812"/>
      <c r="BL1097" s="3812"/>
      <c r="BM1097" s="5263"/>
      <c r="BN1097" s="5303">
        <v>299493.018</v>
      </c>
      <c r="BO1097" s="5265"/>
      <c r="BP1097" s="3812"/>
      <c r="BQ1097" s="3812"/>
      <c r="BR1097" s="3812"/>
      <c r="BS1097" s="3812"/>
      <c r="BT1097" s="3812"/>
      <c r="BU1097" s="3812"/>
      <c r="BV1097" s="3812"/>
      <c r="BW1097" s="3812"/>
      <c r="BX1097" s="3812"/>
      <c r="BY1097" s="3812"/>
      <c r="BZ1097" s="3812"/>
      <c r="CA1097" s="5263"/>
      <c r="CB1097" s="5282"/>
      <c r="CC1097" s="5309"/>
      <c r="CD1097" s="3812"/>
      <c r="CE1097" s="5310"/>
      <c r="CF1097" s="5310"/>
      <c r="CG1097" s="5310"/>
      <c r="CH1097" s="5310"/>
    </row>
    <row r="1098" s="4974" customFormat="1" ht="25" customHeight="1" spans="1:86">
      <c r="A1098" s="2678"/>
      <c r="B1098" s="3812"/>
      <c r="C1098" s="3812"/>
      <c r="D1098" s="5059"/>
      <c r="E1098" s="5059"/>
      <c r="F1098" s="5059"/>
      <c r="G1098" s="5059"/>
      <c r="H1098" s="5059"/>
      <c r="I1098" s="5205"/>
      <c r="J1098" s="5059"/>
      <c r="K1098" s="5059"/>
      <c r="L1098" s="5059"/>
      <c r="M1098" s="3812"/>
      <c r="N1098" s="5667"/>
      <c r="O1098" s="5667"/>
      <c r="P1098" s="5667"/>
      <c r="Q1098" s="5667"/>
      <c r="R1098" s="5667"/>
      <c r="S1098" s="5667"/>
      <c r="T1098" s="5667"/>
      <c r="U1098" s="5667"/>
      <c r="V1098" s="5667"/>
      <c r="W1098" s="5667"/>
      <c r="X1098" s="5667"/>
      <c r="Y1098" s="5667"/>
      <c r="Z1098" s="5221"/>
      <c r="AA1098" s="5667"/>
      <c r="AB1098" s="5973"/>
      <c r="AC1098" s="1032" t="s">
        <v>1144</v>
      </c>
      <c r="AD1098" s="5241" t="s">
        <v>1936</v>
      </c>
      <c r="AE1098" s="1032">
        <v>0.4</v>
      </c>
      <c r="AF1098" s="3812">
        <f>280002.93*AE1098</f>
        <v>112001.172</v>
      </c>
      <c r="AG1098" s="4815">
        <f t="shared" si="239"/>
        <v>112001.172</v>
      </c>
      <c r="AH1098" s="5245" t="s">
        <v>122</v>
      </c>
      <c r="AI1098" s="4815">
        <v>46021</v>
      </c>
      <c r="AJ1098" s="4815">
        <v>112001.172</v>
      </c>
      <c r="AK1098" s="3812"/>
      <c r="AL1098" s="3812"/>
      <c r="AM1098" s="3812"/>
      <c r="AN1098" s="5349">
        <f t="shared" si="238"/>
        <v>112001.172</v>
      </c>
      <c r="AO1098" s="3812"/>
      <c r="AP1098" s="3812"/>
      <c r="AQ1098" s="1032"/>
      <c r="AR1098" s="3812"/>
      <c r="AS1098" s="5059"/>
      <c r="AT1098" s="3812"/>
      <c r="AU1098" s="3812"/>
      <c r="AV1098" s="3812"/>
      <c r="AW1098" s="3812"/>
      <c r="AX1098" s="3812"/>
      <c r="AY1098" s="3812"/>
      <c r="AZ1098" s="5263"/>
      <c r="BA1098" s="5265"/>
      <c r="BB1098" s="3812"/>
      <c r="BC1098" s="3812"/>
      <c r="BD1098" s="3812"/>
      <c r="BE1098" s="3812"/>
      <c r="BF1098" s="3812"/>
      <c r="BG1098" s="3812"/>
      <c r="BH1098" s="3812"/>
      <c r="BI1098" s="5282">
        <v>112001.172</v>
      </c>
      <c r="BJ1098" s="3812"/>
      <c r="BK1098" s="3812"/>
      <c r="BL1098" s="3812"/>
      <c r="BM1098" s="5263"/>
      <c r="BN1098" s="5282"/>
      <c r="BO1098" s="5265"/>
      <c r="BP1098" s="3812"/>
      <c r="BQ1098" s="3812"/>
      <c r="BR1098" s="3812"/>
      <c r="BS1098" s="3812"/>
      <c r="BT1098" s="3812"/>
      <c r="BU1098" s="3812"/>
      <c r="BV1098" s="3812"/>
      <c r="BW1098" s="5282">
        <v>112001.172</v>
      </c>
      <c r="BX1098" s="5123"/>
      <c r="BY1098" s="5123"/>
      <c r="BZ1098" s="5123"/>
      <c r="CA1098" s="5284"/>
      <c r="CB1098" s="5279"/>
      <c r="CC1098" s="5309"/>
      <c r="CD1098" s="3812"/>
      <c r="CE1098" s="5154">
        <f>SUBTOTAL(9,BO1098:CB1098)</f>
        <v>112001.172</v>
      </c>
      <c r="CF1098" s="5154">
        <f>AN1098-CE1098</f>
        <v>0</v>
      </c>
      <c r="CG1098" s="5310"/>
      <c r="CH1098" s="5310"/>
    </row>
    <row r="1099" s="4974" customFormat="1" ht="24.75" customHeight="1" spans="1:86">
      <c r="A1099" s="2678"/>
      <c r="B1099" s="3812"/>
      <c r="C1099" s="3812"/>
      <c r="D1099" s="5059"/>
      <c r="E1099" s="5059"/>
      <c r="F1099" s="5059"/>
      <c r="G1099" s="5059"/>
      <c r="H1099" s="5059"/>
      <c r="I1099" s="5205"/>
      <c r="J1099" s="5059"/>
      <c r="K1099" s="5059"/>
      <c r="L1099" s="5059"/>
      <c r="M1099" s="3812"/>
      <c r="N1099" s="5667"/>
      <c r="O1099" s="5667"/>
      <c r="P1099" s="5667"/>
      <c r="Q1099" s="5667"/>
      <c r="R1099" s="5667"/>
      <c r="S1099" s="5667"/>
      <c r="T1099" s="5667"/>
      <c r="U1099" s="5667"/>
      <c r="V1099" s="5667"/>
      <c r="W1099" s="5667"/>
      <c r="X1099" s="5667"/>
      <c r="Y1099" s="5667"/>
      <c r="Z1099" s="5221"/>
      <c r="AA1099" s="5667"/>
      <c r="AB1099" s="5973"/>
      <c r="AC1099" s="5073" t="s">
        <v>1146</v>
      </c>
      <c r="AD1099" s="5073" t="s">
        <v>1937</v>
      </c>
      <c r="AE1099" s="5073">
        <v>0.55</v>
      </c>
      <c r="AF1099" s="3812">
        <f>280002.93*AE1099</f>
        <v>154001.6115</v>
      </c>
      <c r="AG1099" s="4815">
        <f t="shared" si="239"/>
        <v>154001.6115</v>
      </c>
      <c r="AH1099" s="5245" t="s">
        <v>122</v>
      </c>
      <c r="AI1099" s="4815">
        <v>46021</v>
      </c>
      <c r="AJ1099" s="5250">
        <v>154001.6115</v>
      </c>
      <c r="AK1099" s="3812"/>
      <c r="AL1099" s="4840"/>
      <c r="AM1099" s="3812"/>
      <c r="AN1099" s="5349">
        <f t="shared" si="238"/>
        <v>154001.6115</v>
      </c>
      <c r="AO1099" s="3812"/>
      <c r="AP1099" s="3812"/>
      <c r="AQ1099" s="1032"/>
      <c r="AR1099" s="3812"/>
      <c r="AS1099" s="5059"/>
      <c r="AT1099" s="3812"/>
      <c r="AU1099" s="3812"/>
      <c r="AV1099" s="3812"/>
      <c r="AW1099" s="3812"/>
      <c r="AX1099" s="3812"/>
      <c r="AY1099" s="3812"/>
      <c r="AZ1099" s="5263"/>
      <c r="BA1099" s="5265"/>
      <c r="BB1099" s="3812"/>
      <c r="BC1099" s="3812"/>
      <c r="BD1099" s="3812"/>
      <c r="BE1099" s="3812"/>
      <c r="BF1099" s="3812"/>
      <c r="BG1099" s="3812"/>
      <c r="BH1099" s="3812"/>
      <c r="BI1099" s="5282">
        <v>154001.6115</v>
      </c>
      <c r="BJ1099" s="3812"/>
      <c r="BK1099" s="3812"/>
      <c r="BL1099" s="3812"/>
      <c r="BM1099" s="5263"/>
      <c r="BN1099" s="5282"/>
      <c r="BO1099" s="5265"/>
      <c r="BP1099" s="3812"/>
      <c r="BQ1099" s="3812"/>
      <c r="BR1099" s="3812"/>
      <c r="BS1099" s="3812"/>
      <c r="BT1099" s="3812"/>
      <c r="BU1099" s="3812"/>
      <c r="BV1099" s="3812"/>
      <c r="BW1099" s="5282">
        <v>154001.6115</v>
      </c>
      <c r="BX1099" s="3812"/>
      <c r="BY1099" s="3812"/>
      <c r="BZ1099" s="3812"/>
      <c r="CA1099" s="5263"/>
      <c r="CB1099" s="5279"/>
      <c r="CC1099" s="5309"/>
      <c r="CD1099" s="3812"/>
      <c r="CE1099" s="5154">
        <f>SUBTOTAL(9,BO1099:CB1099)</f>
        <v>154001.6115</v>
      </c>
      <c r="CF1099" s="5154">
        <f>AN1099-CE1099</f>
        <v>0</v>
      </c>
      <c r="CG1099" s="5310"/>
      <c r="CH1099" s="5310"/>
    </row>
    <row r="1100" s="4974" customFormat="1" ht="76" spans="1:86">
      <c r="A1100" s="2678"/>
      <c r="B1100" s="3812"/>
      <c r="C1100" s="3812"/>
      <c r="D1100" s="5059"/>
      <c r="E1100" s="5059"/>
      <c r="F1100" s="5059"/>
      <c r="G1100" s="5059"/>
      <c r="H1100" s="5059"/>
      <c r="I1100" s="5205"/>
      <c r="J1100" s="5059"/>
      <c r="K1100" s="5059"/>
      <c r="L1100" s="5059"/>
      <c r="M1100" s="3812"/>
      <c r="N1100" s="5667"/>
      <c r="O1100" s="5667"/>
      <c r="P1100" s="5667"/>
      <c r="Q1100" s="5667"/>
      <c r="R1100" s="5667"/>
      <c r="S1100" s="5667"/>
      <c r="T1100" s="5667"/>
      <c r="U1100" s="5667"/>
      <c r="V1100" s="5667"/>
      <c r="W1100" s="5667"/>
      <c r="X1100" s="5667"/>
      <c r="Y1100" s="5667"/>
      <c r="Z1100" s="5221"/>
      <c r="AA1100" s="5667"/>
      <c r="AB1100" s="5973"/>
      <c r="AC1100" s="1032" t="s">
        <v>1148</v>
      </c>
      <c r="AD1100" s="5241" t="s">
        <v>1938</v>
      </c>
      <c r="AE1100" s="1032">
        <v>0.05</v>
      </c>
      <c r="AF1100" s="3812">
        <f>280002.93*AE1100</f>
        <v>14000.1465</v>
      </c>
      <c r="AG1100" s="3812">
        <f t="shared" si="239"/>
        <v>14000.1465</v>
      </c>
      <c r="AH1100" s="5245"/>
      <c r="AI1100" s="4815"/>
      <c r="AJ1100" s="4815"/>
      <c r="AK1100" s="4813"/>
      <c r="AL1100" s="3812"/>
      <c r="AM1100" s="3812"/>
      <c r="AN1100" s="5349">
        <f t="shared" si="238"/>
        <v>14000.1465</v>
      </c>
      <c r="AO1100" s="3812"/>
      <c r="AP1100" s="3812"/>
      <c r="AQ1100" s="1032"/>
      <c r="AR1100" s="3812"/>
      <c r="AS1100" s="5059"/>
      <c r="AT1100" s="3812"/>
      <c r="AU1100" s="3812"/>
      <c r="AV1100" s="3812"/>
      <c r="AW1100" s="3812"/>
      <c r="AX1100" s="3812"/>
      <c r="AY1100" s="3812"/>
      <c r="AZ1100" s="5263"/>
      <c r="BA1100" s="5265"/>
      <c r="BB1100" s="3812"/>
      <c r="BC1100" s="3812"/>
      <c r="BD1100" s="3812"/>
      <c r="BE1100" s="3812"/>
      <c r="BF1100" s="3812"/>
      <c r="BG1100" s="3812"/>
      <c r="BH1100" s="3812"/>
      <c r="BI1100" s="5285">
        <v>14000.1465</v>
      </c>
      <c r="BJ1100" s="5123"/>
      <c r="BK1100" s="5123"/>
      <c r="BL1100" s="5123"/>
      <c r="BM1100" s="5284"/>
      <c r="BN1100" s="5285"/>
      <c r="BO1100" s="5265"/>
      <c r="BP1100" s="3812"/>
      <c r="BQ1100" s="3812"/>
      <c r="BR1100" s="3812"/>
      <c r="BS1100" s="3812"/>
      <c r="BT1100" s="3812"/>
      <c r="BU1100" s="3812"/>
      <c r="BV1100" s="3812"/>
      <c r="BW1100" s="5285">
        <v>14000.1465</v>
      </c>
      <c r="BX1100" s="3812"/>
      <c r="BY1100" s="3812"/>
      <c r="BZ1100" s="3812"/>
      <c r="CA1100" s="5263"/>
      <c r="CB1100" s="5279"/>
      <c r="CC1100" s="5309"/>
      <c r="CD1100" s="3812"/>
      <c r="CE1100" s="5310"/>
      <c r="CF1100" s="5310"/>
      <c r="CG1100" s="5310"/>
      <c r="CH1100" s="5310"/>
    </row>
    <row r="1101" s="4985" customFormat="1" ht="25" customHeight="1" spans="1:86">
      <c r="A1101" s="5201"/>
      <c r="B1101" s="5201"/>
      <c r="C1101" s="5201"/>
      <c r="D1101" s="5708"/>
      <c r="E1101" s="5708"/>
      <c r="F1101" s="5708"/>
      <c r="G1101" s="5708"/>
      <c r="H1101" s="5708"/>
      <c r="I1101" s="5205"/>
      <c r="J1101" s="5708"/>
      <c r="K1101" s="5708"/>
      <c r="L1101" s="5708"/>
      <c r="M1101" s="5201"/>
      <c r="N1101" s="5999"/>
      <c r="O1101" s="5999"/>
      <c r="P1101" s="5999"/>
      <c r="Q1101" s="5999"/>
      <c r="R1101" s="5999"/>
      <c r="S1101" s="5999"/>
      <c r="T1101" s="5999"/>
      <c r="U1101" s="5999"/>
      <c r="V1101" s="5999"/>
      <c r="W1101" s="5999"/>
      <c r="X1101" s="5999"/>
      <c r="Y1101" s="5999"/>
      <c r="Z1101" s="5221"/>
      <c r="AA1101" s="5999"/>
      <c r="AB1101" s="6000"/>
      <c r="AC1101" s="5714" t="s">
        <v>1786</v>
      </c>
      <c r="AD1101" s="5931" t="s">
        <v>1787</v>
      </c>
      <c r="AE1101" s="5714">
        <v>0.1</v>
      </c>
      <c r="AF1101" s="5201">
        <f>954990*AE1101</f>
        <v>95499</v>
      </c>
      <c r="AG1101" s="6065">
        <f t="shared" si="239"/>
        <v>95499</v>
      </c>
      <c r="AH1101" s="6066" t="s">
        <v>122</v>
      </c>
      <c r="AI1101" s="6065">
        <v>46021</v>
      </c>
      <c r="AJ1101" s="6065">
        <v>95499</v>
      </c>
      <c r="AK1101" s="5201"/>
      <c r="AL1101" s="5201"/>
      <c r="AM1101" s="5201"/>
      <c r="AN1101" s="5201">
        <f t="shared" si="238"/>
        <v>0</v>
      </c>
      <c r="AO1101" s="5201"/>
      <c r="AP1101" s="5201"/>
      <c r="AQ1101" s="5714"/>
      <c r="AR1101" s="5201"/>
      <c r="AS1101" s="5708"/>
      <c r="AT1101" s="5201"/>
      <c r="AU1101" s="3812"/>
      <c r="AV1101" s="3812"/>
      <c r="AW1101" s="3812"/>
      <c r="AX1101" s="3812"/>
      <c r="AY1101" s="3812"/>
      <c r="AZ1101" s="5263"/>
      <c r="BA1101" s="6031"/>
      <c r="BB1101" s="5201"/>
      <c r="BC1101" s="5201"/>
      <c r="BD1101" s="5201"/>
      <c r="BE1101" s="5201"/>
      <c r="BF1101" s="5201"/>
      <c r="BG1101" s="5201"/>
      <c r="BH1101" s="5201"/>
      <c r="BI1101" s="5201"/>
      <c r="BJ1101" s="6032"/>
      <c r="BK1101" s="5201"/>
      <c r="BL1101" s="5201"/>
      <c r="BM1101" s="5201"/>
      <c r="BN1101" s="5201">
        <v>95499</v>
      </c>
      <c r="BO1101" s="6031"/>
      <c r="BP1101" s="5201"/>
      <c r="BQ1101" s="5201"/>
      <c r="BR1101" s="5201"/>
      <c r="BS1101" s="5201"/>
      <c r="BT1101" s="5201"/>
      <c r="BU1101" s="5201"/>
      <c r="BV1101" s="5201"/>
      <c r="BW1101" s="5734"/>
      <c r="BX1101" s="6035"/>
      <c r="BY1101" s="5734"/>
      <c r="BZ1101" s="5734"/>
      <c r="CA1101" s="5734"/>
      <c r="CB1101" s="5201"/>
      <c r="CC1101" s="6009"/>
      <c r="CD1101" s="5201"/>
      <c r="CE1101" s="5154">
        <f>SUBTOTAL(9,BO1101:CB1101)</f>
        <v>0</v>
      </c>
      <c r="CF1101" s="5154">
        <f>AN1101-CE1101</f>
        <v>0</v>
      </c>
      <c r="CG1101" s="5990"/>
      <c r="CH1101" s="5990"/>
    </row>
    <row r="1102" s="4974" customFormat="1" ht="25" customHeight="1" spans="1:86">
      <c r="A1102" s="5200"/>
      <c r="B1102" s="3812"/>
      <c r="C1102" s="3812"/>
      <c r="D1102" s="5059"/>
      <c r="E1102" s="5059"/>
      <c r="F1102" s="5059"/>
      <c r="G1102" s="5059"/>
      <c r="H1102" s="5059"/>
      <c r="I1102" s="5205"/>
      <c r="J1102" s="5059"/>
      <c r="K1102" s="5059"/>
      <c r="L1102" s="5059"/>
      <c r="M1102" s="3812"/>
      <c r="N1102" s="5999"/>
      <c r="O1102" s="5999"/>
      <c r="P1102" s="5999"/>
      <c r="Q1102" s="5999"/>
      <c r="R1102" s="5999"/>
      <c r="S1102" s="5999"/>
      <c r="T1102" s="5999"/>
      <c r="U1102" s="5999"/>
      <c r="V1102" s="5999"/>
      <c r="W1102" s="5999"/>
      <c r="X1102" s="5999"/>
      <c r="Y1102" s="5999"/>
      <c r="Z1102" s="5221"/>
      <c r="AA1102" s="5999"/>
      <c r="AB1102" s="6000"/>
      <c r="AC1102" s="1032" t="s">
        <v>1913</v>
      </c>
      <c r="AD1102" s="5241" t="s">
        <v>1914</v>
      </c>
      <c r="AE1102" s="1032">
        <v>0.4</v>
      </c>
      <c r="AF1102" s="3812">
        <f>228000*AE1102</f>
        <v>91200</v>
      </c>
      <c r="AG1102" s="4815">
        <f t="shared" si="239"/>
        <v>91200</v>
      </c>
      <c r="AH1102" s="5245" t="s">
        <v>122</v>
      </c>
      <c r="AI1102" s="4815">
        <v>46021</v>
      </c>
      <c r="AJ1102" s="4815">
        <v>91200</v>
      </c>
      <c r="AK1102" s="3812"/>
      <c r="AL1102" s="3812"/>
      <c r="AM1102" s="3812"/>
      <c r="AN1102" s="5349">
        <f t="shared" si="238"/>
        <v>0</v>
      </c>
      <c r="AO1102" s="3812"/>
      <c r="AP1102" s="3812"/>
      <c r="AQ1102" s="1032"/>
      <c r="AR1102" s="3812"/>
      <c r="AS1102" s="5059"/>
      <c r="AT1102" s="3812"/>
      <c r="AU1102" s="3812"/>
      <c r="AV1102" s="3812"/>
      <c r="AW1102" s="3812"/>
      <c r="AX1102" s="3812"/>
      <c r="AY1102" s="3812"/>
      <c r="AZ1102" s="5263"/>
      <c r="BA1102" s="5265"/>
      <c r="BB1102" s="3812"/>
      <c r="BC1102" s="3812"/>
      <c r="BD1102" s="3812"/>
      <c r="BE1102" s="3812"/>
      <c r="BF1102" s="3812"/>
      <c r="BG1102" s="3812"/>
      <c r="BH1102" s="3812"/>
      <c r="BI1102" s="3812"/>
      <c r="BJ1102" s="3812"/>
      <c r="BK1102" s="3812"/>
      <c r="BL1102" s="3812"/>
      <c r="BM1102" s="3812"/>
      <c r="BN1102" s="3812">
        <v>91200</v>
      </c>
      <c r="BO1102" s="5265"/>
      <c r="BP1102" s="3812"/>
      <c r="BQ1102" s="3812"/>
      <c r="BR1102" s="3812"/>
      <c r="BS1102" s="3812"/>
      <c r="BT1102" s="3812"/>
      <c r="BU1102" s="3812"/>
      <c r="BV1102" s="3812"/>
      <c r="BW1102" s="5123"/>
      <c r="BX1102" s="5123"/>
      <c r="BY1102" s="5123"/>
      <c r="BZ1102" s="5123"/>
      <c r="CA1102" s="5123"/>
      <c r="CB1102" s="3812"/>
      <c r="CC1102" s="5309"/>
      <c r="CD1102" s="3812"/>
      <c r="CE1102" s="5154">
        <f>SUBTOTAL(9,BO1102:CB1102)</f>
        <v>0</v>
      </c>
      <c r="CF1102" s="5154">
        <f>AN1102-CE1102</f>
        <v>0</v>
      </c>
      <c r="CG1102" s="5310"/>
      <c r="CH1102" s="5310"/>
    </row>
    <row r="1103" s="4974" customFormat="1" ht="31" spans="1:86">
      <c r="A1103" s="5200"/>
      <c r="B1103" s="3812"/>
      <c r="C1103" s="3812"/>
      <c r="D1103" s="5059"/>
      <c r="E1103" s="5059"/>
      <c r="F1103" s="5059"/>
      <c r="G1103" s="5059"/>
      <c r="H1103" s="5059"/>
      <c r="I1103" s="5205"/>
      <c r="J1103" s="5059"/>
      <c r="K1103" s="5059"/>
      <c r="L1103" s="5059"/>
      <c r="M1103" s="3812"/>
      <c r="N1103" s="5999"/>
      <c r="O1103" s="5999"/>
      <c r="P1103" s="5999"/>
      <c r="Q1103" s="5999"/>
      <c r="R1103" s="5999"/>
      <c r="S1103" s="5999"/>
      <c r="T1103" s="5999"/>
      <c r="U1103" s="5999"/>
      <c r="V1103" s="5999"/>
      <c r="W1103" s="5999"/>
      <c r="X1103" s="5999"/>
      <c r="Y1103" s="5999"/>
      <c r="Z1103" s="5221"/>
      <c r="AA1103" s="5999"/>
      <c r="AB1103" s="6000"/>
      <c r="AC1103" s="1032" t="s">
        <v>1913</v>
      </c>
      <c r="AD1103" s="5241" t="s">
        <v>1915</v>
      </c>
      <c r="AE1103" s="1032">
        <v>0.3</v>
      </c>
      <c r="AF1103" s="3812">
        <f>228000*AE1103</f>
        <v>68400</v>
      </c>
      <c r="AG1103" s="4815">
        <f t="shared" si="239"/>
        <v>68400</v>
      </c>
      <c r="AH1103" s="5245" t="s">
        <v>122</v>
      </c>
      <c r="AI1103" s="4815">
        <v>46021</v>
      </c>
      <c r="AJ1103" s="4815">
        <v>68400</v>
      </c>
      <c r="AK1103" s="3812"/>
      <c r="AL1103" s="3812"/>
      <c r="AM1103" s="3812"/>
      <c r="AN1103" s="5349">
        <f t="shared" si="238"/>
        <v>0</v>
      </c>
      <c r="AO1103" s="3812"/>
      <c r="AP1103" s="3812"/>
      <c r="AQ1103" s="1032"/>
      <c r="AR1103" s="3812"/>
      <c r="AS1103" s="5059"/>
      <c r="AT1103" s="3812"/>
      <c r="AU1103" s="3812"/>
      <c r="AV1103" s="3812"/>
      <c r="AW1103" s="3812"/>
      <c r="AX1103" s="3812"/>
      <c r="AY1103" s="3812"/>
      <c r="AZ1103" s="5263"/>
      <c r="BA1103" s="5265"/>
      <c r="BB1103" s="3812"/>
      <c r="BC1103" s="3812"/>
      <c r="BD1103" s="3812"/>
      <c r="BE1103" s="3812"/>
      <c r="BF1103" s="3812"/>
      <c r="BG1103" s="3812"/>
      <c r="BH1103" s="3812"/>
      <c r="BI1103" s="3812"/>
      <c r="BJ1103" s="3812"/>
      <c r="BK1103" s="3812"/>
      <c r="BL1103" s="3812"/>
      <c r="BM1103" s="3812"/>
      <c r="BN1103" s="3812">
        <v>68400</v>
      </c>
      <c r="BO1103" s="5265"/>
      <c r="BP1103" s="3812"/>
      <c r="BQ1103" s="3812"/>
      <c r="BR1103" s="3812"/>
      <c r="BS1103" s="3812"/>
      <c r="BT1103" s="3812"/>
      <c r="BU1103" s="3812"/>
      <c r="BV1103" s="3812"/>
      <c r="BW1103" s="5123"/>
      <c r="BX1103" s="5123"/>
      <c r="BY1103" s="5123"/>
      <c r="BZ1103" s="5123"/>
      <c r="CA1103" s="5123"/>
      <c r="CB1103" s="3812"/>
      <c r="CC1103" s="5309"/>
      <c r="CD1103" s="3812"/>
      <c r="CE1103" s="5154">
        <f>SUBTOTAL(9,BO1103:CB1103)</f>
        <v>0</v>
      </c>
      <c r="CF1103" s="5154">
        <f>AN1103-CE1103</f>
        <v>0</v>
      </c>
      <c r="CG1103" s="5310"/>
      <c r="CH1103" s="5310"/>
    </row>
    <row r="1104" s="4974" customFormat="1" ht="31" spans="1:86">
      <c r="A1104" s="5200"/>
      <c r="B1104" s="3812"/>
      <c r="C1104" s="3812"/>
      <c r="D1104" s="5059"/>
      <c r="E1104" s="5059"/>
      <c r="F1104" s="5059"/>
      <c r="G1104" s="5059"/>
      <c r="H1104" s="5059"/>
      <c r="I1104" s="5205"/>
      <c r="J1104" s="5059"/>
      <c r="K1104" s="5059"/>
      <c r="L1104" s="5059"/>
      <c r="M1104" s="3812"/>
      <c r="N1104" s="5999"/>
      <c r="O1104" s="5999"/>
      <c r="P1104" s="5999"/>
      <c r="Q1104" s="5999"/>
      <c r="R1104" s="5999"/>
      <c r="S1104" s="5999"/>
      <c r="T1104" s="5999"/>
      <c r="U1104" s="5999"/>
      <c r="V1104" s="5999"/>
      <c r="W1104" s="5999"/>
      <c r="X1104" s="5999"/>
      <c r="Y1104" s="5999"/>
      <c r="Z1104" s="5221"/>
      <c r="AA1104" s="5999"/>
      <c r="AB1104" s="6000"/>
      <c r="AC1104" s="1032" t="s">
        <v>1913</v>
      </c>
      <c r="AD1104" s="5241" t="s">
        <v>1916</v>
      </c>
      <c r="AE1104" s="1032">
        <v>0.1</v>
      </c>
      <c r="AF1104" s="3812">
        <f>228000*AE1104</f>
        <v>22800</v>
      </c>
      <c r="AG1104" s="4815">
        <f t="shared" si="239"/>
        <v>22800</v>
      </c>
      <c r="AH1104" s="5245" t="s">
        <v>122</v>
      </c>
      <c r="AI1104" s="4815">
        <v>46021</v>
      </c>
      <c r="AJ1104" s="4815">
        <v>22800</v>
      </c>
      <c r="AK1104" s="3812"/>
      <c r="AL1104" s="3812"/>
      <c r="AM1104" s="3812"/>
      <c r="AN1104" s="5349">
        <f t="shared" si="238"/>
        <v>0</v>
      </c>
      <c r="AO1104" s="3812"/>
      <c r="AP1104" s="3812"/>
      <c r="AQ1104" s="1032"/>
      <c r="AR1104" s="3812"/>
      <c r="AS1104" s="5059"/>
      <c r="AT1104" s="3812"/>
      <c r="AU1104" s="3812"/>
      <c r="AV1104" s="3812"/>
      <c r="AW1104" s="3812"/>
      <c r="AX1104" s="3812"/>
      <c r="AY1104" s="3812"/>
      <c r="AZ1104" s="5263"/>
      <c r="BA1104" s="5265"/>
      <c r="BB1104" s="3812"/>
      <c r="BC1104" s="3812"/>
      <c r="BD1104" s="3812"/>
      <c r="BE1104" s="3812"/>
      <c r="BF1104" s="3812"/>
      <c r="BG1104" s="3812"/>
      <c r="BH1104" s="3812"/>
      <c r="BI1104" s="3812"/>
      <c r="BJ1104" s="3812"/>
      <c r="BK1104" s="3812"/>
      <c r="BL1104" s="3812"/>
      <c r="BM1104" s="3812"/>
      <c r="BN1104" s="3812">
        <v>22800</v>
      </c>
      <c r="BO1104" s="5265"/>
      <c r="BP1104" s="3812"/>
      <c r="BQ1104" s="3812"/>
      <c r="BR1104" s="3812"/>
      <c r="BS1104" s="3812"/>
      <c r="BT1104" s="3812"/>
      <c r="BU1104" s="3812"/>
      <c r="BV1104" s="3812"/>
      <c r="BW1104" s="5123"/>
      <c r="BX1104" s="5123"/>
      <c r="BY1104" s="5123"/>
      <c r="BZ1104" s="5123"/>
      <c r="CA1104" s="5123"/>
      <c r="CB1104" s="3812"/>
      <c r="CC1104" s="5309"/>
      <c r="CD1104" s="3812"/>
      <c r="CE1104" s="5310"/>
      <c r="CF1104" s="5310"/>
      <c r="CG1104" s="5310"/>
      <c r="CH1104" s="5310"/>
    </row>
    <row r="1105" s="4974" customFormat="1" ht="28.5" customHeight="1" spans="1:86">
      <c r="A1105" s="5200"/>
      <c r="B1105" s="3812"/>
      <c r="C1105" s="3812"/>
      <c r="D1105" s="5059"/>
      <c r="E1105" s="5059"/>
      <c r="F1105" s="5059"/>
      <c r="G1105" s="5059"/>
      <c r="H1105" s="5059"/>
      <c r="I1105" s="5205"/>
      <c r="J1105" s="5059"/>
      <c r="K1105" s="5059"/>
      <c r="L1105" s="5059"/>
      <c r="M1105" s="3812"/>
      <c r="N1105" s="5999"/>
      <c r="O1105" s="5999"/>
      <c r="P1105" s="5999"/>
      <c r="Q1105" s="5999"/>
      <c r="R1105" s="5999"/>
      <c r="S1105" s="5999"/>
      <c r="T1105" s="5999"/>
      <c r="U1105" s="5999"/>
      <c r="V1105" s="5999"/>
      <c r="W1105" s="5999"/>
      <c r="X1105" s="5999"/>
      <c r="Y1105" s="5999"/>
      <c r="Z1105" s="5221"/>
      <c r="AA1105" s="5999"/>
      <c r="AB1105" s="6000"/>
      <c r="AC1105" s="5073" t="s">
        <v>1789</v>
      </c>
      <c r="AD1105" s="5073" t="s">
        <v>1790</v>
      </c>
      <c r="AE1105" s="5073">
        <v>0.15</v>
      </c>
      <c r="AF1105" s="4840">
        <f>726990*AE1105</f>
        <v>109048.5</v>
      </c>
      <c r="AG1105" s="4815">
        <f t="shared" si="239"/>
        <v>109048.5</v>
      </c>
      <c r="AH1105" s="5245" t="s">
        <v>122</v>
      </c>
      <c r="AI1105" s="4815">
        <v>46021</v>
      </c>
      <c r="AJ1105" s="5250">
        <v>109048.5</v>
      </c>
      <c r="AK1105" s="3812"/>
      <c r="AL1105" s="4840"/>
      <c r="AM1105" s="3812"/>
      <c r="AN1105" s="5349">
        <f t="shared" si="238"/>
        <v>0</v>
      </c>
      <c r="AO1105" s="3812"/>
      <c r="AP1105" s="3812"/>
      <c r="AQ1105" s="1032"/>
      <c r="AR1105" s="3812"/>
      <c r="AS1105" s="5059"/>
      <c r="AT1105" s="3812"/>
      <c r="AU1105" s="3812"/>
      <c r="AV1105" s="3812"/>
      <c r="AW1105" s="3812"/>
      <c r="AX1105" s="3812"/>
      <c r="AY1105" s="3812"/>
      <c r="AZ1105" s="5263"/>
      <c r="BA1105" s="5265"/>
      <c r="BB1105" s="3812"/>
      <c r="BC1105" s="3812"/>
      <c r="BD1105" s="3812"/>
      <c r="BE1105" s="3812"/>
      <c r="BF1105" s="3812"/>
      <c r="BG1105" s="3812"/>
      <c r="BH1105" s="3812"/>
      <c r="BI1105" s="3812"/>
      <c r="BJ1105" s="3812"/>
      <c r="BK1105" s="3812"/>
      <c r="BL1105" s="3812"/>
      <c r="BM1105" s="4840"/>
      <c r="BN1105" s="4840">
        <v>109048.5</v>
      </c>
      <c r="BO1105" s="5265"/>
      <c r="BP1105" s="3812"/>
      <c r="BQ1105" s="3812"/>
      <c r="BR1105" s="3812"/>
      <c r="BS1105" s="3812"/>
      <c r="BT1105" s="3812"/>
      <c r="BU1105" s="3812"/>
      <c r="BV1105" s="3812"/>
      <c r="BW1105" s="5123"/>
      <c r="BX1105" s="5123"/>
      <c r="BY1105" s="5123"/>
      <c r="BZ1105" s="5123"/>
      <c r="CA1105" s="5302"/>
      <c r="CB1105" s="4840"/>
      <c r="CC1105" s="5309"/>
      <c r="CD1105" s="3812"/>
      <c r="CE1105" s="5154">
        <f>SUBTOTAL(9,BO1105:CB1105)</f>
        <v>0</v>
      </c>
      <c r="CF1105" s="5154">
        <f>AN1105-CE1105</f>
        <v>0</v>
      </c>
      <c r="CG1105" s="5310"/>
      <c r="CH1105" s="5310"/>
    </row>
    <row r="1106" s="4974" customFormat="1" ht="31" spans="1:86">
      <c r="A1106" s="5200"/>
      <c r="B1106" s="3812"/>
      <c r="C1106" s="3812"/>
      <c r="D1106" s="5059"/>
      <c r="E1106" s="5059"/>
      <c r="F1106" s="5059"/>
      <c r="G1106" s="5059"/>
      <c r="H1106" s="5059"/>
      <c r="I1106" s="5205"/>
      <c r="J1106" s="5059"/>
      <c r="K1106" s="5059"/>
      <c r="L1106" s="5059"/>
      <c r="M1106" s="3812"/>
      <c r="N1106" s="5999"/>
      <c r="O1106" s="5999"/>
      <c r="P1106" s="5999"/>
      <c r="Q1106" s="5999"/>
      <c r="R1106" s="5999"/>
      <c r="S1106" s="5999"/>
      <c r="T1106" s="5999"/>
      <c r="U1106" s="5999"/>
      <c r="V1106" s="5999"/>
      <c r="W1106" s="5999"/>
      <c r="X1106" s="5999"/>
      <c r="Y1106" s="5999"/>
      <c r="Z1106" s="5221"/>
      <c r="AA1106" s="5999"/>
      <c r="AB1106" s="6000"/>
      <c r="AC1106" s="1032" t="s">
        <v>1789</v>
      </c>
      <c r="AD1106" s="5241" t="s">
        <v>1791</v>
      </c>
      <c r="AE1106" s="1032">
        <v>0.2</v>
      </c>
      <c r="AF1106" s="4840">
        <f>726990*AE1106</f>
        <v>145398</v>
      </c>
      <c r="AG1106" s="5123">
        <f t="shared" si="239"/>
        <v>145398</v>
      </c>
      <c r="AH1106" s="1131" t="s">
        <v>349</v>
      </c>
      <c r="AI1106" s="5123">
        <v>46111</v>
      </c>
      <c r="AJ1106" s="4815"/>
      <c r="AK1106" s="3812"/>
      <c r="AL1106" s="3812"/>
      <c r="AM1106" s="3812"/>
      <c r="AN1106" s="5349">
        <f t="shared" ref="AN1106:AN1120" si="240">SUM(BO1106:CB1106)</f>
        <v>0</v>
      </c>
      <c r="AO1106" s="3812"/>
      <c r="AP1106" s="3812"/>
      <c r="AQ1106" s="1032"/>
      <c r="AR1106" s="3812"/>
      <c r="AS1106" s="5059"/>
      <c r="AT1106" s="3812"/>
      <c r="AU1106" s="3812"/>
      <c r="AV1106" s="3812"/>
      <c r="AW1106" s="3812"/>
      <c r="AX1106" s="3812"/>
      <c r="AY1106" s="3812"/>
      <c r="AZ1106" s="5263"/>
      <c r="BA1106" s="5265"/>
      <c r="BB1106" s="3812"/>
      <c r="BC1106" s="3812"/>
      <c r="BD1106" s="3812"/>
      <c r="BE1106" s="3812"/>
      <c r="BF1106" s="3812"/>
      <c r="BG1106" s="3812"/>
      <c r="BH1106" s="3812"/>
      <c r="BI1106" s="3812"/>
      <c r="BJ1106" s="3812"/>
      <c r="BK1106" s="3812"/>
      <c r="BL1106" s="3812"/>
      <c r="BM1106" s="5263"/>
      <c r="BN1106" s="5303">
        <v>145398</v>
      </c>
      <c r="BO1106" s="5265"/>
      <c r="BP1106" s="3812"/>
      <c r="BQ1106" s="3812"/>
      <c r="BR1106" s="3812"/>
      <c r="BS1106" s="3812"/>
      <c r="BT1106" s="3812"/>
      <c r="BU1106" s="3812"/>
      <c r="BV1106" s="3812"/>
      <c r="BW1106" s="3812"/>
      <c r="BX1106" s="3812"/>
      <c r="BY1106" s="3812"/>
      <c r="BZ1106" s="3812"/>
      <c r="CA1106" s="3812"/>
      <c r="CB1106" s="3812"/>
      <c r="CC1106" s="5309"/>
      <c r="CD1106" s="3812"/>
      <c r="CE1106" s="5310"/>
      <c r="CF1106" s="5310"/>
      <c r="CG1106" s="5310"/>
      <c r="CH1106" s="5310"/>
    </row>
    <row r="1107" s="4974" customFormat="1" ht="31" spans="1:86">
      <c r="A1107" s="5200"/>
      <c r="B1107" s="3812"/>
      <c r="C1107" s="3812"/>
      <c r="D1107" s="5059"/>
      <c r="E1107" s="5059"/>
      <c r="F1107" s="5059"/>
      <c r="G1107" s="5059"/>
      <c r="H1107" s="5059"/>
      <c r="I1107" s="5205"/>
      <c r="J1107" s="5059"/>
      <c r="K1107" s="5059"/>
      <c r="L1107" s="5059"/>
      <c r="M1107" s="3812"/>
      <c r="N1107" s="5999"/>
      <c r="O1107" s="5999"/>
      <c r="P1107" s="5999"/>
      <c r="Q1107" s="5999"/>
      <c r="R1107" s="5999"/>
      <c r="S1107" s="5999"/>
      <c r="T1107" s="5999"/>
      <c r="U1107" s="5999"/>
      <c r="V1107" s="5999"/>
      <c r="W1107" s="5999"/>
      <c r="X1107" s="5999"/>
      <c r="Y1107" s="5999"/>
      <c r="Z1107" s="5221"/>
      <c r="AA1107" s="5999"/>
      <c r="AB1107" s="6000"/>
      <c r="AC1107" s="1032" t="s">
        <v>1789</v>
      </c>
      <c r="AD1107" s="5241" t="s">
        <v>1792</v>
      </c>
      <c r="AE1107" s="1032">
        <v>0.15</v>
      </c>
      <c r="AF1107" s="4840">
        <f>726990*AE1107</f>
        <v>109048.5</v>
      </c>
      <c r="AG1107" s="5123">
        <f t="shared" si="239"/>
        <v>109048.5</v>
      </c>
      <c r="AH1107" s="1131" t="s">
        <v>349</v>
      </c>
      <c r="AI1107" s="5123">
        <v>46172</v>
      </c>
      <c r="AJ1107" s="4815"/>
      <c r="AK1107" s="3812"/>
      <c r="AL1107" s="3812"/>
      <c r="AM1107" s="3812"/>
      <c r="AN1107" s="5349">
        <f t="shared" si="240"/>
        <v>0</v>
      </c>
      <c r="AO1107" s="3812"/>
      <c r="AP1107" s="3812"/>
      <c r="AQ1107" s="1032"/>
      <c r="AR1107" s="3812"/>
      <c r="AS1107" s="5059"/>
      <c r="AT1107" s="3812"/>
      <c r="AU1107" s="3812"/>
      <c r="AV1107" s="3812"/>
      <c r="AW1107" s="3812"/>
      <c r="AX1107" s="3812"/>
      <c r="AY1107" s="3812"/>
      <c r="AZ1107" s="5263"/>
      <c r="BA1107" s="5265"/>
      <c r="BB1107" s="3812"/>
      <c r="BC1107" s="3812"/>
      <c r="BD1107" s="3812"/>
      <c r="BE1107" s="3812"/>
      <c r="BF1107" s="3812"/>
      <c r="BG1107" s="3812"/>
      <c r="BH1107" s="3812"/>
      <c r="BI1107" s="3812"/>
      <c r="BJ1107" s="3812"/>
      <c r="BK1107" s="3812"/>
      <c r="BL1107" s="3812"/>
      <c r="BM1107" s="5263"/>
      <c r="BN1107" s="5285">
        <v>109048.5</v>
      </c>
      <c r="BO1107" s="5265"/>
      <c r="BP1107" s="3812"/>
      <c r="BQ1107" s="3812"/>
      <c r="BR1107" s="3812"/>
      <c r="BS1107" s="3812"/>
      <c r="BT1107" s="3812"/>
      <c r="BU1107" s="3812"/>
      <c r="BV1107" s="3812"/>
      <c r="BW1107" s="3812"/>
      <c r="BX1107" s="3812"/>
      <c r="BY1107" s="3812"/>
      <c r="BZ1107" s="3812"/>
      <c r="CA1107" s="3812"/>
      <c r="CB1107" s="3812"/>
      <c r="CC1107" s="5309"/>
      <c r="CD1107" s="3812"/>
      <c r="CE1107" s="5310"/>
      <c r="CF1107" s="5310"/>
      <c r="CG1107" s="5310"/>
      <c r="CH1107" s="5310"/>
    </row>
    <row r="1108" s="4974" customFormat="1" ht="31" spans="1:86">
      <c r="A1108" s="5200"/>
      <c r="B1108" s="3812"/>
      <c r="C1108" s="3812"/>
      <c r="D1108" s="5059"/>
      <c r="E1108" s="5059"/>
      <c r="F1108" s="5059"/>
      <c r="G1108" s="5059"/>
      <c r="H1108" s="5059"/>
      <c r="I1108" s="5205"/>
      <c r="J1108" s="5059"/>
      <c r="K1108" s="5059"/>
      <c r="L1108" s="5059"/>
      <c r="M1108" s="3812"/>
      <c r="N1108" s="5999"/>
      <c r="O1108" s="5999"/>
      <c r="P1108" s="5999"/>
      <c r="Q1108" s="5999"/>
      <c r="R1108" s="5999"/>
      <c r="S1108" s="5999"/>
      <c r="T1108" s="5999"/>
      <c r="U1108" s="5999"/>
      <c r="V1108" s="5999"/>
      <c r="W1108" s="5999"/>
      <c r="X1108" s="5999"/>
      <c r="Y1108" s="5999"/>
      <c r="Z1108" s="5221"/>
      <c r="AA1108" s="5999"/>
      <c r="AB1108" s="6000"/>
      <c r="AC1108" s="1032" t="s">
        <v>1789</v>
      </c>
      <c r="AD1108" s="5241" t="s">
        <v>1794</v>
      </c>
      <c r="AE1108" s="1032">
        <v>0.2</v>
      </c>
      <c r="AF1108" s="4840">
        <f>726990*AE1108</f>
        <v>145398</v>
      </c>
      <c r="AG1108" s="5123">
        <f t="shared" si="239"/>
        <v>145398</v>
      </c>
      <c r="AH1108" s="1131" t="s">
        <v>349</v>
      </c>
      <c r="AI1108" s="5123">
        <v>46264</v>
      </c>
      <c r="AJ1108" s="4815"/>
      <c r="AK1108" s="4813"/>
      <c r="AL1108" s="4813"/>
      <c r="AM1108" s="4813"/>
      <c r="AN1108" s="5349">
        <f t="shared" si="240"/>
        <v>0</v>
      </c>
      <c r="AO1108" s="4815"/>
      <c r="AP1108" s="3812"/>
      <c r="AQ1108" s="1032"/>
      <c r="AR1108" s="3812"/>
      <c r="AS1108" s="5059"/>
      <c r="AT1108" s="3812"/>
      <c r="AU1108" s="3812"/>
      <c r="AV1108" s="3812"/>
      <c r="AW1108" s="3812"/>
      <c r="AX1108" s="3812"/>
      <c r="AY1108" s="3812"/>
      <c r="AZ1108" s="5263"/>
      <c r="BA1108" s="5265"/>
      <c r="BB1108" s="3812"/>
      <c r="BC1108" s="3812"/>
      <c r="BD1108" s="3812"/>
      <c r="BE1108" s="3812"/>
      <c r="BF1108" s="3812"/>
      <c r="BG1108" s="3812"/>
      <c r="BH1108" s="3812"/>
      <c r="BI1108" s="3812"/>
      <c r="BJ1108" s="3812"/>
      <c r="BK1108" s="3812"/>
      <c r="BL1108" s="3812"/>
      <c r="BM1108" s="5263"/>
      <c r="BN1108" s="5285">
        <v>145398</v>
      </c>
      <c r="BO1108" s="5265"/>
      <c r="BP1108" s="3812"/>
      <c r="BQ1108" s="3812"/>
      <c r="BR1108" s="3812"/>
      <c r="BS1108" s="3812"/>
      <c r="BT1108" s="3812"/>
      <c r="BU1108" s="3812"/>
      <c r="BV1108" s="3812"/>
      <c r="BW1108" s="3812"/>
      <c r="BX1108" s="3812"/>
      <c r="BY1108" s="3812"/>
      <c r="BZ1108" s="3812"/>
      <c r="CA1108" s="5263"/>
      <c r="CB1108" s="5279"/>
      <c r="CC1108" s="5309"/>
      <c r="CD1108" s="3812"/>
      <c r="CE1108" s="5310"/>
      <c r="CF1108" s="5310"/>
      <c r="CG1108" s="5310"/>
      <c r="CH1108" s="5310"/>
    </row>
    <row r="1109" s="4974" customFormat="1" ht="31" spans="1:86">
      <c r="A1109" s="5200"/>
      <c r="B1109" s="3812"/>
      <c r="C1109" s="3812"/>
      <c r="D1109" s="5059"/>
      <c r="E1109" s="5059"/>
      <c r="F1109" s="5059"/>
      <c r="G1109" s="5059"/>
      <c r="H1109" s="5059"/>
      <c r="I1109" s="5205"/>
      <c r="J1109" s="5059"/>
      <c r="K1109" s="5059"/>
      <c r="L1109" s="5059"/>
      <c r="M1109" s="3812"/>
      <c r="N1109" s="5999"/>
      <c r="O1109" s="5999"/>
      <c r="P1109" s="5999"/>
      <c r="Q1109" s="5999"/>
      <c r="R1109" s="5999"/>
      <c r="S1109" s="5999"/>
      <c r="T1109" s="5999"/>
      <c r="U1109" s="5999"/>
      <c r="V1109" s="5999"/>
      <c r="W1109" s="5999"/>
      <c r="X1109" s="5999"/>
      <c r="Y1109" s="5999"/>
      <c r="Z1109" s="5221"/>
      <c r="AA1109" s="5999"/>
      <c r="AB1109" s="6000"/>
      <c r="AC1109" s="1032" t="s">
        <v>1789</v>
      </c>
      <c r="AD1109" s="5241" t="s">
        <v>1796</v>
      </c>
      <c r="AE1109" s="1032">
        <v>0.05</v>
      </c>
      <c r="AF1109" s="4840">
        <f>726990*AE1109</f>
        <v>36349.5</v>
      </c>
      <c r="AG1109" s="5123">
        <f t="shared" si="239"/>
        <v>36349.5</v>
      </c>
      <c r="AH1109" s="1131" t="s">
        <v>349</v>
      </c>
      <c r="AI1109" s="5123">
        <v>46325</v>
      </c>
      <c r="AJ1109" s="4815"/>
      <c r="AK1109" s="4813"/>
      <c r="AL1109" s="4813"/>
      <c r="AM1109" s="4813"/>
      <c r="AN1109" s="5349">
        <f t="shared" si="240"/>
        <v>0</v>
      </c>
      <c r="AO1109" s="4813"/>
      <c r="AP1109" s="3812"/>
      <c r="AQ1109" s="1032"/>
      <c r="AR1109" s="3812"/>
      <c r="AS1109" s="5059"/>
      <c r="AT1109" s="3812"/>
      <c r="AU1109" s="3812"/>
      <c r="AV1109" s="3812"/>
      <c r="AW1109" s="3812"/>
      <c r="AX1109" s="3812"/>
      <c r="AY1109" s="3812"/>
      <c r="AZ1109" s="5263"/>
      <c r="BA1109" s="5265"/>
      <c r="BB1109" s="3812"/>
      <c r="BC1109" s="3812"/>
      <c r="BD1109" s="3812"/>
      <c r="BE1109" s="3812"/>
      <c r="BF1109" s="3812"/>
      <c r="BG1109" s="3812"/>
      <c r="BH1109" s="3812"/>
      <c r="BI1109" s="3812"/>
      <c r="BJ1109" s="3812"/>
      <c r="BK1109" s="3812"/>
      <c r="BL1109" s="3812"/>
      <c r="BM1109" s="5263"/>
      <c r="BN1109" s="5285">
        <v>36349.5</v>
      </c>
      <c r="BO1109" s="5265"/>
      <c r="BP1109" s="3812"/>
      <c r="BQ1109" s="3812"/>
      <c r="BR1109" s="3812"/>
      <c r="BS1109" s="3812"/>
      <c r="BT1109" s="3812"/>
      <c r="BU1109" s="3812"/>
      <c r="BV1109" s="3812"/>
      <c r="BW1109" s="3812"/>
      <c r="BX1109" s="3812"/>
      <c r="BY1109" s="3812"/>
      <c r="BZ1109" s="3812"/>
      <c r="CA1109" s="5263"/>
      <c r="CB1109" s="5282"/>
      <c r="CC1109" s="5309"/>
      <c r="CD1109" s="3812"/>
      <c r="CE1109" s="5310"/>
      <c r="CF1109" s="5310"/>
      <c r="CG1109" s="5310"/>
      <c r="CH1109" s="5310"/>
    </row>
    <row r="1110" s="4974" customFormat="1" ht="30" customHeight="1" spans="1:86">
      <c r="A1110" s="5200"/>
      <c r="B1110" s="3812"/>
      <c r="C1110" s="3812"/>
      <c r="D1110" s="5059"/>
      <c r="E1110" s="5059"/>
      <c r="F1110" s="5059"/>
      <c r="G1110" s="5059"/>
      <c r="H1110" s="5059"/>
      <c r="I1110" s="5205"/>
      <c r="J1110" s="5059"/>
      <c r="K1110" s="5059"/>
      <c r="L1110" s="5059"/>
      <c r="M1110" s="3812"/>
      <c r="N1110" s="5999"/>
      <c r="O1110" s="5999"/>
      <c r="P1110" s="5999"/>
      <c r="Q1110" s="5999"/>
      <c r="R1110" s="5999"/>
      <c r="S1110" s="5999"/>
      <c r="T1110" s="5999"/>
      <c r="U1110" s="5999"/>
      <c r="V1110" s="5999"/>
      <c r="W1110" s="5999"/>
      <c r="X1110" s="5999"/>
      <c r="Y1110" s="5999"/>
      <c r="Z1110" s="5221"/>
      <c r="AA1110" s="5999"/>
      <c r="AB1110" s="6000"/>
      <c r="AC1110" s="1032" t="s">
        <v>1786</v>
      </c>
      <c r="AD1110" s="5241" t="s">
        <v>361</v>
      </c>
      <c r="AE1110" s="1032">
        <v>0.1</v>
      </c>
      <c r="AF1110" s="3812">
        <f>954990-823141.5</f>
        <v>131848.5</v>
      </c>
      <c r="AG1110" s="3812">
        <f t="shared" si="239"/>
        <v>131848.5</v>
      </c>
      <c r="AH1110" s="1131"/>
      <c r="AI1110" s="5123"/>
      <c r="AJ1110" s="4815"/>
      <c r="AK1110" s="3812"/>
      <c r="AL1110" s="3812"/>
      <c r="AM1110" s="3812"/>
      <c r="AN1110" s="5349">
        <f t="shared" si="240"/>
        <v>0</v>
      </c>
      <c r="AO1110" s="3812"/>
      <c r="AP1110" s="3812"/>
      <c r="AQ1110" s="1032"/>
      <c r="AR1110" s="3812"/>
      <c r="AS1110" s="5059"/>
      <c r="AT1110" s="3812"/>
      <c r="AU1110" s="3812"/>
      <c r="AV1110" s="3812"/>
      <c r="AW1110" s="3812"/>
      <c r="AX1110" s="3812"/>
      <c r="AY1110" s="3812"/>
      <c r="AZ1110" s="5263"/>
      <c r="BA1110" s="5265"/>
      <c r="BB1110" s="3812"/>
      <c r="BC1110" s="3812"/>
      <c r="BD1110" s="3812"/>
      <c r="BE1110" s="3812"/>
      <c r="BF1110" s="3812"/>
      <c r="BG1110" s="3812"/>
      <c r="BH1110" s="3812"/>
      <c r="BI1110" s="3812"/>
      <c r="BJ1110" s="3812"/>
      <c r="BK1110" s="3812"/>
      <c r="BL1110" s="3812"/>
      <c r="BM1110" s="5263"/>
      <c r="BN1110" s="5282">
        <v>131848.5</v>
      </c>
      <c r="BO1110" s="5265"/>
      <c r="BP1110" s="3812"/>
      <c r="BQ1110" s="3812"/>
      <c r="BR1110" s="3812"/>
      <c r="BS1110" s="3812"/>
      <c r="BT1110" s="3812"/>
      <c r="BU1110" s="3812"/>
      <c r="BV1110" s="3812"/>
      <c r="BW1110" s="3812"/>
      <c r="BX1110" s="3812"/>
      <c r="BY1110" s="3812"/>
      <c r="BZ1110" s="3812"/>
      <c r="CA1110" s="5263"/>
      <c r="CB1110" s="5282"/>
      <c r="CC1110" s="5309"/>
      <c r="CD1110" s="3812"/>
      <c r="CE1110" s="5310"/>
      <c r="CF1110" s="5310"/>
      <c r="CG1110" s="5310"/>
      <c r="CH1110" s="5310"/>
    </row>
    <row r="1111" s="4985" customFormat="1" ht="30" customHeight="1" spans="1:86">
      <c r="A1111" s="5201"/>
      <c r="B1111" s="5201"/>
      <c r="C1111" s="5201"/>
      <c r="D1111" s="5708"/>
      <c r="E1111" s="5059"/>
      <c r="F1111" s="5708"/>
      <c r="G1111" s="5708"/>
      <c r="H1111" s="5059"/>
      <c r="I1111" s="5205"/>
      <c r="J1111" s="5708"/>
      <c r="K1111" s="5059"/>
      <c r="L1111" s="5059"/>
      <c r="M1111" s="5201"/>
      <c r="N1111" s="5667"/>
      <c r="O1111" s="5667"/>
      <c r="P1111" s="5667"/>
      <c r="Q1111" s="5667"/>
      <c r="R1111" s="5667"/>
      <c r="S1111" s="5667"/>
      <c r="T1111" s="5667"/>
      <c r="U1111" s="5667"/>
      <c r="V1111" s="5667"/>
      <c r="W1111" s="5667"/>
      <c r="X1111" s="5667"/>
      <c r="Y1111" s="5667"/>
      <c r="Z1111" s="5221"/>
      <c r="AA1111" s="5667"/>
      <c r="AB1111" s="5973"/>
      <c r="AC1111" s="5714" t="s">
        <v>1797</v>
      </c>
      <c r="AD1111" s="5931" t="s">
        <v>1798</v>
      </c>
      <c r="AE1111" s="5714">
        <v>0.2</v>
      </c>
      <c r="AF1111" s="5201">
        <f>4400000*AE1111</f>
        <v>880000</v>
      </c>
      <c r="AG1111" s="6065">
        <f t="shared" si="239"/>
        <v>880000</v>
      </c>
      <c r="AH1111" s="6066" t="s">
        <v>122</v>
      </c>
      <c r="AI1111" s="6065">
        <v>46021</v>
      </c>
      <c r="AJ1111" s="6065">
        <v>880000</v>
      </c>
      <c r="AK1111" s="5201"/>
      <c r="AL1111" s="5201"/>
      <c r="AM1111" s="5201"/>
      <c r="AN1111" s="5201">
        <f t="shared" si="240"/>
        <v>0</v>
      </c>
      <c r="AO1111" s="5201"/>
      <c r="AP1111" s="5201"/>
      <c r="AQ1111" s="5714"/>
      <c r="AR1111" s="5201"/>
      <c r="AS1111" s="5708"/>
      <c r="AT1111" s="5201"/>
      <c r="AU1111" s="3812"/>
      <c r="AV1111" s="3812"/>
      <c r="AW1111" s="3812"/>
      <c r="AX1111" s="3812"/>
      <c r="AY1111" s="3812"/>
      <c r="AZ1111" s="5263"/>
      <c r="BA1111" s="6031"/>
      <c r="BB1111" s="5201"/>
      <c r="BC1111" s="5201"/>
      <c r="BD1111" s="5201"/>
      <c r="BE1111" s="5201"/>
      <c r="BF1111" s="5201"/>
      <c r="BG1111" s="5201"/>
      <c r="BH1111" s="5201"/>
      <c r="BI1111" s="5201"/>
      <c r="BJ1111" s="5201"/>
      <c r="BK1111" s="5201"/>
      <c r="BL1111" s="5201"/>
      <c r="BM1111" s="6033"/>
      <c r="BN1111" s="6034">
        <v>880000</v>
      </c>
      <c r="BO1111" s="6031"/>
      <c r="BP1111" s="5201"/>
      <c r="BQ1111" s="5201"/>
      <c r="BR1111" s="5201"/>
      <c r="BS1111" s="5201"/>
      <c r="BT1111" s="5201"/>
      <c r="BU1111" s="5201"/>
      <c r="BV1111" s="5201"/>
      <c r="BW1111" s="5734"/>
      <c r="BX1111" s="5734"/>
      <c r="BY1111" s="5734"/>
      <c r="BZ1111" s="5734"/>
      <c r="CA1111" s="6037"/>
      <c r="CB1111" s="6034"/>
      <c r="CC1111" s="6009"/>
      <c r="CD1111" s="5201"/>
      <c r="CE1111" s="6039">
        <f>SUBTOTAL(9,BO1111:CB1111)</f>
        <v>0</v>
      </c>
      <c r="CF1111" s="6039">
        <f>AN1111-CE1111</f>
        <v>0</v>
      </c>
      <c r="CG1111" s="5990"/>
      <c r="CH1111" s="5990"/>
    </row>
    <row r="1112" s="4974" customFormat="1" ht="30" customHeight="1" spans="1:86">
      <c r="A1112" s="2678"/>
      <c r="B1112" s="3812"/>
      <c r="C1112" s="3812"/>
      <c r="D1112" s="5059"/>
      <c r="E1112" s="5059"/>
      <c r="F1112" s="5059"/>
      <c r="G1112" s="5059"/>
      <c r="H1112" s="5059"/>
      <c r="I1112" s="5205"/>
      <c r="J1112" s="5059"/>
      <c r="K1112" s="5059"/>
      <c r="L1112" s="5059"/>
      <c r="M1112" s="3812"/>
      <c r="N1112" s="5667"/>
      <c r="O1112" s="5667"/>
      <c r="P1112" s="5667"/>
      <c r="Q1112" s="5667"/>
      <c r="R1112" s="5667"/>
      <c r="S1112" s="5667"/>
      <c r="T1112" s="5667"/>
      <c r="U1112" s="5667"/>
      <c r="V1112" s="5667"/>
      <c r="W1112" s="5667"/>
      <c r="X1112" s="5667"/>
      <c r="Y1112" s="5667"/>
      <c r="Z1112" s="5221"/>
      <c r="AA1112" s="5667"/>
      <c r="AB1112" s="5973"/>
      <c r="AC1112" s="1032" t="s">
        <v>1797</v>
      </c>
      <c r="AD1112" s="5241" t="s">
        <v>1799</v>
      </c>
      <c r="AE1112" s="1032">
        <v>0.2</v>
      </c>
      <c r="AF1112" s="3812">
        <f>4400000*AE1112</f>
        <v>880000</v>
      </c>
      <c r="AG1112" s="4815">
        <f t="shared" si="239"/>
        <v>880000</v>
      </c>
      <c r="AH1112" s="5245" t="s">
        <v>122</v>
      </c>
      <c r="AI1112" s="4815">
        <v>46021</v>
      </c>
      <c r="AJ1112" s="4815">
        <v>880000</v>
      </c>
      <c r="AK1112" s="3812"/>
      <c r="AL1112" s="3812"/>
      <c r="AM1112" s="3812"/>
      <c r="AN1112" s="5349">
        <f t="shared" si="240"/>
        <v>0</v>
      </c>
      <c r="AO1112" s="3812"/>
      <c r="AP1112" s="3812"/>
      <c r="AQ1112" s="1032"/>
      <c r="AR1112" s="3812"/>
      <c r="AS1112" s="5059"/>
      <c r="AT1112" s="3812"/>
      <c r="AU1112" s="3812"/>
      <c r="AV1112" s="3812"/>
      <c r="AW1112" s="3812"/>
      <c r="AX1112" s="3812"/>
      <c r="AY1112" s="3812"/>
      <c r="AZ1112" s="5263"/>
      <c r="BA1112" s="5265"/>
      <c r="BB1112" s="3812"/>
      <c r="BC1112" s="3812"/>
      <c r="BD1112" s="3812"/>
      <c r="BE1112" s="3812"/>
      <c r="BF1112" s="3812"/>
      <c r="BG1112" s="3812"/>
      <c r="BH1112" s="3812"/>
      <c r="BI1112" s="3812"/>
      <c r="BJ1112" s="3812"/>
      <c r="BK1112" s="3812"/>
      <c r="BL1112" s="3812"/>
      <c r="BM1112" s="5263"/>
      <c r="BN1112" s="5282">
        <v>880000</v>
      </c>
      <c r="BO1112" s="5265"/>
      <c r="BP1112" s="3812"/>
      <c r="BQ1112" s="3812"/>
      <c r="BR1112" s="3812"/>
      <c r="BS1112" s="3812"/>
      <c r="BT1112" s="3812"/>
      <c r="BU1112" s="3812"/>
      <c r="BV1112" s="3812"/>
      <c r="BW1112" s="5123"/>
      <c r="BX1112" s="5123"/>
      <c r="BY1112" s="5123"/>
      <c r="BZ1112" s="5123"/>
      <c r="CA1112" s="5284"/>
      <c r="CB1112" s="5282"/>
      <c r="CC1112" s="5309"/>
      <c r="CD1112" s="3812"/>
      <c r="CE1112" s="5154">
        <f>SUBTOTAL(9,BO1112:CB1112)</f>
        <v>0</v>
      </c>
      <c r="CF1112" s="5154">
        <f>AN1112-CE1112</f>
        <v>0</v>
      </c>
      <c r="CG1112" s="5310"/>
      <c r="CH1112" s="5310"/>
    </row>
    <row r="1113" s="4974" customFormat="1" ht="30" customHeight="1" spans="1:86">
      <c r="A1113" s="2678"/>
      <c r="B1113" s="3812"/>
      <c r="C1113" s="3812"/>
      <c r="D1113" s="5059"/>
      <c r="E1113" s="5059"/>
      <c r="F1113" s="5059"/>
      <c r="G1113" s="5059"/>
      <c r="H1113" s="5059"/>
      <c r="I1113" s="5205"/>
      <c r="J1113" s="5059"/>
      <c r="K1113" s="5059"/>
      <c r="L1113" s="5059"/>
      <c r="M1113" s="3812"/>
      <c r="N1113" s="5667"/>
      <c r="O1113" s="5667"/>
      <c r="P1113" s="5667"/>
      <c r="Q1113" s="5667"/>
      <c r="R1113" s="5667"/>
      <c r="S1113" s="5667"/>
      <c r="T1113" s="5667"/>
      <c r="U1113" s="5667"/>
      <c r="V1113" s="5667"/>
      <c r="W1113" s="5667"/>
      <c r="X1113" s="5667"/>
      <c r="Y1113" s="5667"/>
      <c r="Z1113" s="5221"/>
      <c r="AA1113" s="5667"/>
      <c r="AB1113" s="5973"/>
      <c r="AC1113" s="1032" t="s">
        <v>1797</v>
      </c>
      <c r="AD1113" s="5241" t="s">
        <v>1801</v>
      </c>
      <c r="AE1113" s="1032">
        <v>0.2</v>
      </c>
      <c r="AF1113" s="3812">
        <f>4400000*AE1113</f>
        <v>880000</v>
      </c>
      <c r="AG1113" s="4815">
        <f t="shared" si="239"/>
        <v>880000</v>
      </c>
      <c r="AH1113" s="5245" t="s">
        <v>122</v>
      </c>
      <c r="AI1113" s="4815">
        <v>46021</v>
      </c>
      <c r="AJ1113" s="4815">
        <v>880000</v>
      </c>
      <c r="AK1113" s="3812"/>
      <c r="AL1113" s="3812"/>
      <c r="AM1113" s="3812"/>
      <c r="AN1113" s="5349">
        <f t="shared" si="240"/>
        <v>0</v>
      </c>
      <c r="AO1113" s="3812"/>
      <c r="AP1113" s="3812"/>
      <c r="AQ1113" s="1032"/>
      <c r="AR1113" s="3812"/>
      <c r="AS1113" s="5059"/>
      <c r="AT1113" s="3812"/>
      <c r="AU1113" s="3812"/>
      <c r="AV1113" s="3812"/>
      <c r="AW1113" s="3812"/>
      <c r="AX1113" s="3812"/>
      <c r="AY1113" s="3812"/>
      <c r="AZ1113" s="5263"/>
      <c r="BA1113" s="5265"/>
      <c r="BB1113" s="3812"/>
      <c r="BC1113" s="3812"/>
      <c r="BD1113" s="3812"/>
      <c r="BE1113" s="3812"/>
      <c r="BF1113" s="3812"/>
      <c r="BG1113" s="3812"/>
      <c r="BH1113" s="3812"/>
      <c r="BI1113" s="3812"/>
      <c r="BJ1113" s="3812"/>
      <c r="BK1113" s="3812"/>
      <c r="BL1113" s="3812"/>
      <c r="BM1113" s="5263"/>
      <c r="BN1113" s="5282">
        <v>880000</v>
      </c>
      <c r="BO1113" s="5265"/>
      <c r="BP1113" s="3812"/>
      <c r="BQ1113" s="3812"/>
      <c r="BR1113" s="3812"/>
      <c r="BS1113" s="3812"/>
      <c r="BT1113" s="3812"/>
      <c r="BU1113" s="3812"/>
      <c r="BV1113" s="3812"/>
      <c r="BW1113" s="5123"/>
      <c r="BX1113" s="5123"/>
      <c r="BY1113" s="5123"/>
      <c r="BZ1113" s="5123"/>
      <c r="CA1113" s="5284"/>
      <c r="CB1113" s="5282"/>
      <c r="CC1113" s="5309"/>
      <c r="CD1113" s="3812"/>
      <c r="CE1113" s="5154">
        <f>SUBTOTAL(9,BO1113:CB1113)</f>
        <v>0</v>
      </c>
      <c r="CF1113" s="5154">
        <f>AN1113-CE1113</f>
        <v>0</v>
      </c>
      <c r="CG1113" s="5310"/>
      <c r="CH1113" s="5310"/>
    </row>
    <row r="1114" s="4974" customFormat="1" ht="30" customHeight="1" spans="1:86">
      <c r="A1114" s="2678"/>
      <c r="B1114" s="3812"/>
      <c r="C1114" s="3812"/>
      <c r="D1114" s="5059"/>
      <c r="E1114" s="5059"/>
      <c r="F1114" s="5059"/>
      <c r="G1114" s="5059"/>
      <c r="H1114" s="5059"/>
      <c r="I1114" s="5205"/>
      <c r="J1114" s="5059"/>
      <c r="K1114" s="5059"/>
      <c r="L1114" s="5059"/>
      <c r="M1114" s="3812"/>
      <c r="N1114" s="5667"/>
      <c r="O1114" s="5667"/>
      <c r="P1114" s="5667"/>
      <c r="Q1114" s="5667"/>
      <c r="R1114" s="5667"/>
      <c r="S1114" s="5667"/>
      <c r="T1114" s="5667"/>
      <c r="U1114" s="5667"/>
      <c r="V1114" s="5667"/>
      <c r="W1114" s="5667"/>
      <c r="X1114" s="5667"/>
      <c r="Y1114" s="5667"/>
      <c r="Z1114" s="5221"/>
      <c r="AA1114" s="5667"/>
      <c r="AB1114" s="5973"/>
      <c r="AC1114" s="5073" t="s">
        <v>1797</v>
      </c>
      <c r="AD1114" s="5242" t="s">
        <v>1803</v>
      </c>
      <c r="AE1114" s="5073">
        <v>0.2</v>
      </c>
      <c r="AF1114" s="3812">
        <f>4400000*AE1114</f>
        <v>880000</v>
      </c>
      <c r="AG1114" s="4815">
        <f t="shared" si="239"/>
        <v>880000</v>
      </c>
      <c r="AH1114" s="6067" t="s">
        <v>122</v>
      </c>
      <c r="AI1114" s="4815">
        <v>46021</v>
      </c>
      <c r="AJ1114" s="5250">
        <v>880000</v>
      </c>
      <c r="AK1114" s="3812"/>
      <c r="AL1114" s="4840"/>
      <c r="AM1114" s="3812"/>
      <c r="AN1114" s="5349">
        <f t="shared" si="240"/>
        <v>0</v>
      </c>
      <c r="AO1114" s="3812"/>
      <c r="AP1114" s="3812"/>
      <c r="AQ1114" s="1032"/>
      <c r="AR1114" s="3812"/>
      <c r="AS1114" s="5059"/>
      <c r="AT1114" s="3812"/>
      <c r="AU1114" s="3812"/>
      <c r="AV1114" s="3812"/>
      <c r="AW1114" s="3812"/>
      <c r="AX1114" s="3812"/>
      <c r="AY1114" s="3812"/>
      <c r="AZ1114" s="5263"/>
      <c r="BA1114" s="5265"/>
      <c r="BB1114" s="3812"/>
      <c r="BC1114" s="3812"/>
      <c r="BD1114" s="3812"/>
      <c r="BE1114" s="3812"/>
      <c r="BF1114" s="3812"/>
      <c r="BG1114" s="3812"/>
      <c r="BH1114" s="3812"/>
      <c r="BI1114" s="3812"/>
      <c r="BJ1114" s="3812"/>
      <c r="BK1114" s="3812"/>
      <c r="BL1114" s="3812"/>
      <c r="BM1114" s="5280"/>
      <c r="BN1114" s="5283">
        <v>880000</v>
      </c>
      <c r="BO1114" s="5265"/>
      <c r="BP1114" s="3812"/>
      <c r="BQ1114" s="3812"/>
      <c r="BR1114" s="3812"/>
      <c r="BS1114" s="3812"/>
      <c r="BT1114" s="3812"/>
      <c r="BU1114" s="3812"/>
      <c r="BV1114" s="3812"/>
      <c r="BW1114" s="5123"/>
      <c r="BX1114" s="5123"/>
      <c r="BY1114" s="5123"/>
      <c r="BZ1114" s="5123"/>
      <c r="CA1114" s="5304"/>
      <c r="CB1114" s="5283"/>
      <c r="CC1114" s="5309"/>
      <c r="CD1114" s="3812"/>
      <c r="CE1114" s="5154">
        <f>SUBTOTAL(9,BO1114:CB1114)</f>
        <v>0</v>
      </c>
      <c r="CF1114" s="5154">
        <f>AN1114-CE1114</f>
        <v>0</v>
      </c>
      <c r="CG1114" s="5310"/>
      <c r="CH1114" s="5310"/>
    </row>
    <row r="1115" s="4974" customFormat="1" ht="24" customHeight="1" spans="1:86">
      <c r="A1115" s="2678"/>
      <c r="B1115" s="3812"/>
      <c r="C1115" s="3812"/>
      <c r="D1115" s="5059"/>
      <c r="E1115" s="5059"/>
      <c r="F1115" s="5059"/>
      <c r="G1115" s="5059"/>
      <c r="H1115" s="5059"/>
      <c r="I1115" s="5205"/>
      <c r="J1115" s="5059"/>
      <c r="K1115" s="5059"/>
      <c r="L1115" s="5059"/>
      <c r="M1115" s="3812"/>
      <c r="N1115" s="5667"/>
      <c r="O1115" s="5667"/>
      <c r="P1115" s="5667"/>
      <c r="Q1115" s="5667"/>
      <c r="R1115" s="5667"/>
      <c r="S1115" s="5667"/>
      <c r="T1115" s="5667"/>
      <c r="U1115" s="5667"/>
      <c r="V1115" s="5667"/>
      <c r="W1115" s="5667"/>
      <c r="X1115" s="5667"/>
      <c r="Y1115" s="5667"/>
      <c r="Z1115" s="5221"/>
      <c r="AA1115" s="5667"/>
      <c r="AB1115" s="5973"/>
      <c r="AC1115" s="1032" t="s">
        <v>1797</v>
      </c>
      <c r="AD1115" s="5241" t="s">
        <v>1804</v>
      </c>
      <c r="AE1115" s="1032">
        <v>0.2</v>
      </c>
      <c r="AF1115" s="3812">
        <f>4400000*AE1115</f>
        <v>880000</v>
      </c>
      <c r="AG1115" s="3812">
        <f t="shared" si="239"/>
        <v>880000</v>
      </c>
      <c r="AH1115" s="5245"/>
      <c r="AI1115" s="5246"/>
      <c r="AJ1115" s="4815"/>
      <c r="AK1115" s="4815"/>
      <c r="AL1115" s="3812"/>
      <c r="AM1115" s="3812"/>
      <c r="AN1115" s="5349">
        <f t="shared" si="240"/>
        <v>0</v>
      </c>
      <c r="AO1115" s="5257"/>
      <c r="AP1115" s="3812"/>
      <c r="AQ1115" s="1032"/>
      <c r="AR1115" s="3812"/>
      <c r="AS1115" s="5059"/>
      <c r="AT1115" s="3812"/>
      <c r="AU1115" s="3812"/>
      <c r="AV1115" s="3812"/>
      <c r="AW1115" s="3812"/>
      <c r="AX1115" s="3812"/>
      <c r="AY1115" s="3812"/>
      <c r="AZ1115" s="5263"/>
      <c r="BA1115" s="5265"/>
      <c r="BB1115" s="3812"/>
      <c r="BC1115" s="3812"/>
      <c r="BD1115" s="3812"/>
      <c r="BE1115" s="3812"/>
      <c r="BF1115" s="3812"/>
      <c r="BG1115" s="3812"/>
      <c r="BH1115" s="3812"/>
      <c r="BI1115" s="3812"/>
      <c r="BJ1115" s="3812"/>
      <c r="BK1115" s="3812"/>
      <c r="BL1115" s="3812"/>
      <c r="BM1115" s="5263"/>
      <c r="BN1115" s="5279">
        <v>880000</v>
      </c>
      <c r="BO1115" s="5265"/>
      <c r="BP1115" s="3812"/>
      <c r="BQ1115" s="3812"/>
      <c r="BR1115" s="3812"/>
      <c r="BS1115" s="3812"/>
      <c r="BT1115" s="3812"/>
      <c r="BU1115" s="3812"/>
      <c r="BV1115" s="3812"/>
      <c r="BW1115" s="3812"/>
      <c r="BX1115" s="3812"/>
      <c r="BY1115" s="3812"/>
      <c r="BZ1115" s="3812"/>
      <c r="CA1115" s="5263"/>
      <c r="CB1115" s="5282"/>
      <c r="CC1115" s="5309"/>
      <c r="CD1115" s="3812"/>
      <c r="CE1115" s="5310"/>
      <c r="CF1115" s="5310"/>
      <c r="CG1115" s="5310"/>
      <c r="CH1115" s="5310"/>
    </row>
    <row r="1116" s="4985" customFormat="1" ht="31" spans="1:86">
      <c r="A1116" s="5201"/>
      <c r="B1116" s="5201"/>
      <c r="C1116" s="5201"/>
      <c r="D1116" s="5708"/>
      <c r="E1116" s="5059"/>
      <c r="F1116" s="5708"/>
      <c r="G1116" s="5708"/>
      <c r="H1116" s="5059"/>
      <c r="I1116" s="5205"/>
      <c r="J1116" s="5708"/>
      <c r="K1116" s="5059"/>
      <c r="L1116" s="5059"/>
      <c r="M1116" s="5201"/>
      <c r="N1116" s="5667"/>
      <c r="O1116" s="5667"/>
      <c r="P1116" s="5667"/>
      <c r="Q1116" s="5667"/>
      <c r="R1116" s="5667"/>
      <c r="S1116" s="5667"/>
      <c r="T1116" s="5667"/>
      <c r="U1116" s="5667"/>
      <c r="V1116" s="5667"/>
      <c r="W1116" s="5667"/>
      <c r="X1116" s="5667"/>
      <c r="Y1116" s="5667"/>
      <c r="Z1116" s="5221"/>
      <c r="AA1116" s="5667"/>
      <c r="AB1116" s="5973"/>
      <c r="AC1116" s="5714" t="s">
        <v>1805</v>
      </c>
      <c r="AD1116" s="5931" t="s">
        <v>1798</v>
      </c>
      <c r="AE1116" s="5714">
        <v>0.2</v>
      </c>
      <c r="AF1116" s="5201">
        <f>825196*AE1116</f>
        <v>165039.2</v>
      </c>
      <c r="AG1116" s="6065">
        <f t="shared" si="239"/>
        <v>165039.2</v>
      </c>
      <c r="AH1116" s="6066" t="s">
        <v>122</v>
      </c>
      <c r="AI1116" s="6065">
        <v>46021</v>
      </c>
      <c r="AJ1116" s="6065">
        <v>165039.2</v>
      </c>
      <c r="AK1116" s="5201"/>
      <c r="AL1116" s="5201"/>
      <c r="AM1116" s="5201"/>
      <c r="AN1116" s="5201">
        <f t="shared" si="240"/>
        <v>0</v>
      </c>
      <c r="AO1116" s="5201"/>
      <c r="AP1116" s="5201"/>
      <c r="AQ1116" s="5714"/>
      <c r="AR1116" s="5201"/>
      <c r="AS1116" s="5708"/>
      <c r="AT1116" s="5201"/>
      <c r="AU1116" s="3812"/>
      <c r="AV1116" s="3812"/>
      <c r="AW1116" s="3812"/>
      <c r="AX1116" s="3812"/>
      <c r="AY1116" s="3812"/>
      <c r="AZ1116" s="5263"/>
      <c r="BA1116" s="6031"/>
      <c r="BB1116" s="5201"/>
      <c r="BC1116" s="5201"/>
      <c r="BD1116" s="5201"/>
      <c r="BE1116" s="5201"/>
      <c r="BF1116" s="5201"/>
      <c r="BG1116" s="5201"/>
      <c r="BH1116" s="5201"/>
      <c r="BI1116" s="5201"/>
      <c r="BJ1116" s="5201"/>
      <c r="BK1116" s="5201"/>
      <c r="BL1116" s="5201"/>
      <c r="BM1116" s="6033"/>
      <c r="BN1116" s="6034">
        <v>165039.2</v>
      </c>
      <c r="BO1116" s="6031"/>
      <c r="BP1116" s="5201"/>
      <c r="BQ1116" s="5201"/>
      <c r="BR1116" s="5201"/>
      <c r="BS1116" s="5201"/>
      <c r="BT1116" s="5201"/>
      <c r="BU1116" s="5201"/>
      <c r="BV1116" s="5201"/>
      <c r="BW1116" s="5734"/>
      <c r="BX1116" s="5734"/>
      <c r="BY1116" s="5734"/>
      <c r="BZ1116" s="5734"/>
      <c r="CA1116" s="6037"/>
      <c r="CB1116" s="6034"/>
      <c r="CC1116" s="6009"/>
      <c r="CD1116" s="5201"/>
      <c r="CE1116" s="6039">
        <f>SUBTOTAL(9,BO1116:CB1116)</f>
        <v>0</v>
      </c>
      <c r="CF1116" s="6039">
        <f>AN1116-CE1116</f>
        <v>0</v>
      </c>
      <c r="CG1116" s="5990"/>
      <c r="CH1116" s="5990"/>
    </row>
    <row r="1117" s="4974" customFormat="1" ht="31" spans="1:86">
      <c r="A1117" s="2678"/>
      <c r="B1117" s="3812"/>
      <c r="C1117" s="3812"/>
      <c r="D1117" s="5059"/>
      <c r="E1117" s="5059"/>
      <c r="F1117" s="5059"/>
      <c r="G1117" s="5059"/>
      <c r="H1117" s="5059"/>
      <c r="I1117" s="5205"/>
      <c r="J1117" s="5059"/>
      <c r="K1117" s="5059"/>
      <c r="L1117" s="5059"/>
      <c r="M1117" s="3812"/>
      <c r="N1117" s="5667"/>
      <c r="O1117" s="5667"/>
      <c r="P1117" s="5667"/>
      <c r="Q1117" s="5667"/>
      <c r="R1117" s="5667"/>
      <c r="S1117" s="5667"/>
      <c r="T1117" s="5667"/>
      <c r="U1117" s="5667"/>
      <c r="V1117" s="5667"/>
      <c r="W1117" s="5667"/>
      <c r="X1117" s="5667"/>
      <c r="Y1117" s="5667"/>
      <c r="Z1117" s="5221"/>
      <c r="AA1117" s="5667"/>
      <c r="AB1117" s="5973"/>
      <c r="AC1117" s="1032" t="s">
        <v>1806</v>
      </c>
      <c r="AD1117" s="5241" t="s">
        <v>1799</v>
      </c>
      <c r="AE1117" s="1032">
        <v>0.2</v>
      </c>
      <c r="AF1117" s="3812">
        <f>825196*AE1117</f>
        <v>165039.2</v>
      </c>
      <c r="AG1117" s="4815">
        <f t="shared" si="239"/>
        <v>165039.2</v>
      </c>
      <c r="AH1117" s="5245" t="s">
        <v>122</v>
      </c>
      <c r="AI1117" s="4815">
        <v>46021</v>
      </c>
      <c r="AJ1117" s="4815">
        <v>165039.2</v>
      </c>
      <c r="AK1117" s="3812"/>
      <c r="AL1117" s="3812"/>
      <c r="AM1117" s="3812"/>
      <c r="AN1117" s="5349">
        <f t="shared" si="240"/>
        <v>0</v>
      </c>
      <c r="AO1117" s="3812"/>
      <c r="AP1117" s="3812"/>
      <c r="AQ1117" s="1032"/>
      <c r="AR1117" s="3812"/>
      <c r="AS1117" s="5059"/>
      <c r="AT1117" s="3812"/>
      <c r="AU1117" s="3812"/>
      <c r="AV1117" s="3812"/>
      <c r="AW1117" s="3812"/>
      <c r="AX1117" s="3812"/>
      <c r="AY1117" s="3812"/>
      <c r="AZ1117" s="5263"/>
      <c r="BA1117" s="5265"/>
      <c r="BB1117" s="3812"/>
      <c r="BC1117" s="3812"/>
      <c r="BD1117" s="3812"/>
      <c r="BE1117" s="3812"/>
      <c r="BF1117" s="3812"/>
      <c r="BG1117" s="3812"/>
      <c r="BH1117" s="3812"/>
      <c r="BI1117" s="3812"/>
      <c r="BJ1117" s="3812"/>
      <c r="BK1117" s="3812"/>
      <c r="BL1117" s="3812"/>
      <c r="BM1117" s="5263"/>
      <c r="BN1117" s="5282">
        <v>165039.2</v>
      </c>
      <c r="BO1117" s="5265"/>
      <c r="BP1117" s="3812"/>
      <c r="BQ1117" s="3812"/>
      <c r="BR1117" s="3812"/>
      <c r="BS1117" s="3812"/>
      <c r="BT1117" s="3812"/>
      <c r="BU1117" s="3812"/>
      <c r="BV1117" s="3812"/>
      <c r="BW1117" s="5123"/>
      <c r="BX1117" s="5123"/>
      <c r="BY1117" s="5123"/>
      <c r="BZ1117" s="5123"/>
      <c r="CA1117" s="5284"/>
      <c r="CB1117" s="5282"/>
      <c r="CC1117" s="5309"/>
      <c r="CD1117" s="3812"/>
      <c r="CE1117" s="5154">
        <f>SUBTOTAL(9,BO1117:CB1117)</f>
        <v>0</v>
      </c>
      <c r="CF1117" s="5154">
        <f>AN1117-CE1117</f>
        <v>0</v>
      </c>
      <c r="CG1117" s="5310"/>
      <c r="CH1117" s="5310"/>
    </row>
    <row r="1118" s="4974" customFormat="1" ht="23.25" customHeight="1" spans="1:86">
      <c r="A1118" s="2678"/>
      <c r="B1118" s="3812"/>
      <c r="C1118" s="3812"/>
      <c r="D1118" s="5059"/>
      <c r="E1118" s="5059"/>
      <c r="F1118" s="5059"/>
      <c r="G1118" s="5059"/>
      <c r="H1118" s="5059"/>
      <c r="I1118" s="5205"/>
      <c r="J1118" s="5059"/>
      <c r="K1118" s="5059"/>
      <c r="L1118" s="5059"/>
      <c r="M1118" s="3812"/>
      <c r="N1118" s="5667"/>
      <c r="O1118" s="5667"/>
      <c r="P1118" s="5667"/>
      <c r="Q1118" s="5667"/>
      <c r="R1118" s="5667"/>
      <c r="S1118" s="5667"/>
      <c r="T1118" s="5667"/>
      <c r="U1118" s="5667"/>
      <c r="V1118" s="5667"/>
      <c r="W1118" s="5667"/>
      <c r="X1118" s="5667"/>
      <c r="Y1118" s="5667"/>
      <c r="Z1118" s="5221"/>
      <c r="AA1118" s="5667"/>
      <c r="AB1118" s="5973"/>
      <c r="AC1118" s="5073" t="s">
        <v>1807</v>
      </c>
      <c r="AD1118" s="5242" t="s">
        <v>1801</v>
      </c>
      <c r="AE1118" s="5073">
        <v>0.2</v>
      </c>
      <c r="AF1118" s="3812">
        <f>825196*AE1118</f>
        <v>165039.2</v>
      </c>
      <c r="AG1118" s="5123">
        <f t="shared" si="239"/>
        <v>165039.2</v>
      </c>
      <c r="AH1118" s="1131" t="s">
        <v>349</v>
      </c>
      <c r="AI1118" s="5123">
        <v>46264</v>
      </c>
      <c r="AJ1118" s="5250"/>
      <c r="AK1118" s="3812"/>
      <c r="AL1118" s="4840"/>
      <c r="AM1118" s="3812"/>
      <c r="AN1118" s="5349">
        <f t="shared" si="240"/>
        <v>0</v>
      </c>
      <c r="AO1118" s="3812"/>
      <c r="AP1118" s="3812"/>
      <c r="AQ1118" s="1032"/>
      <c r="AR1118" s="3812"/>
      <c r="AS1118" s="5059"/>
      <c r="AT1118" s="3812"/>
      <c r="AU1118" s="3812"/>
      <c r="AV1118" s="3812"/>
      <c r="AW1118" s="3812"/>
      <c r="AX1118" s="3812"/>
      <c r="AY1118" s="3812"/>
      <c r="AZ1118" s="5263"/>
      <c r="BA1118" s="5265"/>
      <c r="BB1118" s="3812"/>
      <c r="BC1118" s="3812"/>
      <c r="BD1118" s="3812"/>
      <c r="BE1118" s="3812"/>
      <c r="BF1118" s="3812"/>
      <c r="BG1118" s="3812"/>
      <c r="BH1118" s="3812"/>
      <c r="BI1118" s="3812"/>
      <c r="BJ1118" s="3812"/>
      <c r="BK1118" s="3812"/>
      <c r="BL1118" s="3812"/>
      <c r="BM1118" s="5280"/>
      <c r="BN1118" s="5283">
        <v>165039.2</v>
      </c>
      <c r="BO1118" s="5265"/>
      <c r="BP1118" s="3812"/>
      <c r="BQ1118" s="3812"/>
      <c r="BR1118" s="3812"/>
      <c r="BS1118" s="3812"/>
      <c r="BT1118" s="3812"/>
      <c r="BU1118" s="3812"/>
      <c r="BV1118" s="3812"/>
      <c r="BW1118" s="5123"/>
      <c r="BX1118" s="5123"/>
      <c r="BY1118" s="5123"/>
      <c r="BZ1118" s="5123"/>
      <c r="CA1118" s="5304"/>
      <c r="CB1118" s="5283"/>
      <c r="CC1118" s="5309"/>
      <c r="CD1118" s="3812"/>
      <c r="CE1118" s="5154">
        <f>SUBTOTAL(9,BO1118:CB1118)</f>
        <v>0</v>
      </c>
      <c r="CF1118" s="5154">
        <f>AN1118-CE1118</f>
        <v>0</v>
      </c>
      <c r="CG1118" s="5310"/>
      <c r="CH1118" s="5310"/>
    </row>
    <row r="1119" s="4974" customFormat="1" ht="31" spans="1:86">
      <c r="A1119" s="2678"/>
      <c r="B1119" s="3812"/>
      <c r="C1119" s="3812"/>
      <c r="D1119" s="5059"/>
      <c r="E1119" s="5059"/>
      <c r="F1119" s="5059"/>
      <c r="G1119" s="5059"/>
      <c r="H1119" s="5059"/>
      <c r="I1119" s="5205"/>
      <c r="J1119" s="5059"/>
      <c r="K1119" s="5059"/>
      <c r="L1119" s="5059"/>
      <c r="M1119" s="3812"/>
      <c r="N1119" s="5667"/>
      <c r="O1119" s="5667"/>
      <c r="P1119" s="5667"/>
      <c r="Q1119" s="5667"/>
      <c r="R1119" s="5667"/>
      <c r="S1119" s="5667"/>
      <c r="T1119" s="5667"/>
      <c r="U1119" s="5667"/>
      <c r="V1119" s="5667"/>
      <c r="W1119" s="5667"/>
      <c r="X1119" s="5667"/>
      <c r="Y1119" s="5667"/>
      <c r="Z1119" s="5221"/>
      <c r="AA1119" s="5667"/>
      <c r="AB1119" s="5973"/>
      <c r="AC1119" s="1032" t="s">
        <v>1808</v>
      </c>
      <c r="AD1119" s="5241" t="s">
        <v>1803</v>
      </c>
      <c r="AE1119" s="1032">
        <v>0.2</v>
      </c>
      <c r="AF1119" s="3812">
        <f>825196*AE1119</f>
        <v>165039.2</v>
      </c>
      <c r="AG1119" s="5123">
        <f t="shared" si="239"/>
        <v>165039.2</v>
      </c>
      <c r="AH1119" s="1131" t="s">
        <v>349</v>
      </c>
      <c r="AI1119" s="5123">
        <v>46325</v>
      </c>
      <c r="AJ1119" s="5250"/>
      <c r="AK1119" s="3812"/>
      <c r="AL1119" s="4840"/>
      <c r="AM1119" s="3812"/>
      <c r="AN1119" s="5349">
        <f t="shared" si="240"/>
        <v>0</v>
      </c>
      <c r="AO1119" s="3812"/>
      <c r="AP1119" s="3812"/>
      <c r="AQ1119" s="1032"/>
      <c r="AR1119" s="3812"/>
      <c r="AS1119" s="5059"/>
      <c r="AT1119" s="3812"/>
      <c r="AU1119" s="3812"/>
      <c r="AV1119" s="3812"/>
      <c r="AW1119" s="3812"/>
      <c r="AX1119" s="3812"/>
      <c r="AY1119" s="3812"/>
      <c r="AZ1119" s="5263"/>
      <c r="BA1119" s="5265"/>
      <c r="BB1119" s="3812"/>
      <c r="BC1119" s="3812"/>
      <c r="BD1119" s="3812"/>
      <c r="BE1119" s="3812"/>
      <c r="BF1119" s="3812"/>
      <c r="BG1119" s="3812"/>
      <c r="BH1119" s="3812"/>
      <c r="BI1119" s="3812"/>
      <c r="BJ1119" s="3812"/>
      <c r="BK1119" s="3812"/>
      <c r="BL1119" s="3812"/>
      <c r="BM1119" s="5263"/>
      <c r="BN1119" s="5282">
        <v>165039.2</v>
      </c>
      <c r="BO1119" s="5265"/>
      <c r="BP1119" s="3812"/>
      <c r="BQ1119" s="3812"/>
      <c r="BR1119" s="3812"/>
      <c r="BS1119" s="3812"/>
      <c r="BT1119" s="3812"/>
      <c r="BU1119" s="3812"/>
      <c r="BV1119" s="3812"/>
      <c r="BW1119" s="3812"/>
      <c r="BX1119" s="3812"/>
      <c r="BY1119" s="3812"/>
      <c r="BZ1119" s="3812"/>
      <c r="CA1119" s="5280"/>
      <c r="CB1119" s="5281"/>
      <c r="CC1119" s="5309"/>
      <c r="CD1119" s="3812"/>
      <c r="CE1119" s="5310"/>
      <c r="CF1119" s="5310"/>
      <c r="CG1119" s="5310"/>
      <c r="CH1119" s="5310"/>
    </row>
    <row r="1120" s="4974" customFormat="1" ht="31.75" spans="1:86">
      <c r="A1120" s="2678"/>
      <c r="B1120" s="3812"/>
      <c r="C1120" s="3812"/>
      <c r="D1120" s="5059"/>
      <c r="E1120" s="5059"/>
      <c r="F1120" s="5059"/>
      <c r="G1120" s="5059"/>
      <c r="H1120" s="5059"/>
      <c r="I1120" s="5206"/>
      <c r="J1120" s="5059"/>
      <c r="K1120" s="5059"/>
      <c r="L1120" s="5059"/>
      <c r="M1120" s="3812"/>
      <c r="N1120" s="5667"/>
      <c r="O1120" s="5667"/>
      <c r="P1120" s="5667"/>
      <c r="Q1120" s="5667"/>
      <c r="R1120" s="5667"/>
      <c r="S1120" s="5667"/>
      <c r="T1120" s="5667"/>
      <c r="U1120" s="5667"/>
      <c r="V1120" s="5667"/>
      <c r="W1120" s="5667"/>
      <c r="X1120" s="5667"/>
      <c r="Y1120" s="5667"/>
      <c r="Z1120" s="5222"/>
      <c r="AA1120" s="5667"/>
      <c r="AB1120" s="5973"/>
      <c r="AC1120" s="1032" t="s">
        <v>1809</v>
      </c>
      <c r="AD1120" s="5241" t="s">
        <v>1804</v>
      </c>
      <c r="AE1120" s="1032">
        <v>0.2</v>
      </c>
      <c r="AF1120" s="3812">
        <f>825196*AE1120</f>
        <v>165039.2</v>
      </c>
      <c r="AG1120" s="3812">
        <f t="shared" si="239"/>
        <v>165039.2</v>
      </c>
      <c r="AH1120" s="5245"/>
      <c r="AI1120" s="5123"/>
      <c r="AJ1120" s="4815"/>
      <c r="AK1120" s="3812"/>
      <c r="AL1120" s="3812"/>
      <c r="AM1120" s="3812"/>
      <c r="AN1120" s="5349">
        <f t="shared" si="240"/>
        <v>0</v>
      </c>
      <c r="AO1120" s="3812"/>
      <c r="AP1120" s="3812"/>
      <c r="AQ1120" s="1032"/>
      <c r="AR1120" s="3812"/>
      <c r="AS1120" s="5059"/>
      <c r="AT1120" s="3812"/>
      <c r="AU1120" s="3812"/>
      <c r="AV1120" s="3812"/>
      <c r="AW1120" s="3812"/>
      <c r="AX1120" s="3812"/>
      <c r="AY1120" s="3812"/>
      <c r="AZ1120" s="5263"/>
      <c r="BA1120" s="6075"/>
      <c r="BB1120" s="5144"/>
      <c r="BC1120" s="5144"/>
      <c r="BD1120" s="5144"/>
      <c r="BE1120" s="5144"/>
      <c r="BF1120" s="5144"/>
      <c r="BG1120" s="5144"/>
      <c r="BH1120" s="5144"/>
      <c r="BI1120" s="5144"/>
      <c r="BJ1120" s="5144"/>
      <c r="BK1120" s="5144"/>
      <c r="BL1120" s="5144"/>
      <c r="BM1120" s="5810"/>
      <c r="BN1120" s="6078">
        <v>165039.2</v>
      </c>
      <c r="BO1120" s="6075"/>
      <c r="BP1120" s="5144"/>
      <c r="BQ1120" s="5144"/>
      <c r="BR1120" s="5144"/>
      <c r="BS1120" s="5144"/>
      <c r="BT1120" s="5144"/>
      <c r="BU1120" s="5144"/>
      <c r="BV1120" s="5144"/>
      <c r="BW1120" s="5144"/>
      <c r="BX1120" s="5144"/>
      <c r="BY1120" s="5144"/>
      <c r="BZ1120" s="5144"/>
      <c r="CA1120" s="5810"/>
      <c r="CB1120" s="6078"/>
      <c r="CC1120" s="5309"/>
      <c r="CD1120" s="3812"/>
      <c r="CE1120" s="5310"/>
      <c r="CF1120" s="5310"/>
      <c r="CG1120" s="5310"/>
      <c r="CH1120" s="5310"/>
    </row>
    <row r="1121" s="4973" customFormat="1" ht="61" customHeight="1" spans="1:86">
      <c r="A1121" s="3058">
        <v>16</v>
      </c>
      <c r="B1121" s="5969" t="s">
        <v>1951</v>
      </c>
      <c r="C1121" s="3091">
        <v>43353</v>
      </c>
      <c r="D1121" s="1125" t="s">
        <v>1952</v>
      </c>
      <c r="E1121" s="3742" t="s">
        <v>171</v>
      </c>
      <c r="F1121" s="1125" t="s">
        <v>1953</v>
      </c>
      <c r="G1121" s="5338" t="s">
        <v>1954</v>
      </c>
      <c r="H1121" s="3058" t="s">
        <v>240</v>
      </c>
      <c r="I1121" s="2099" t="s">
        <v>1955</v>
      </c>
      <c r="J1121" s="5054" t="s">
        <v>1956</v>
      </c>
      <c r="K1121" s="1125" t="s">
        <v>1957</v>
      </c>
      <c r="L1121" s="1125" t="s">
        <v>1958</v>
      </c>
      <c r="M1121" s="3058">
        <f>SUM(N1121:AA1126)</f>
        <v>4440619.58</v>
      </c>
      <c r="N1121" s="2680">
        <v>0</v>
      </c>
      <c r="O1121" s="2680">
        <v>0</v>
      </c>
      <c r="P1121" s="2680">
        <v>0</v>
      </c>
      <c r="Q1121" s="2680">
        <f>2337168.2+2103451.38</f>
        <v>4440619.58</v>
      </c>
      <c r="R1121" s="2680">
        <v>0</v>
      </c>
      <c r="S1121" s="2680">
        <v>0</v>
      </c>
      <c r="T1121" s="5823">
        <v>0</v>
      </c>
      <c r="U1121" s="2680">
        <v>0</v>
      </c>
      <c r="V1121" s="2680">
        <v>0</v>
      </c>
      <c r="W1121" s="2680">
        <v>0</v>
      </c>
      <c r="X1121" s="2680">
        <v>0</v>
      </c>
      <c r="Y1121" s="2680"/>
      <c r="Z1121" s="2680"/>
      <c r="AA1121" s="2680">
        <v>0</v>
      </c>
      <c r="AB1121" s="1035" t="s">
        <v>1959</v>
      </c>
      <c r="AC1121" s="3058">
        <v>1</v>
      </c>
      <c r="AD1121" s="5338" t="s">
        <v>316</v>
      </c>
      <c r="AE1121" s="5975">
        <v>0.2</v>
      </c>
      <c r="AF1121" s="3091">
        <v>880603.2</v>
      </c>
      <c r="AG1121" s="3057">
        <f t="shared" ref="AG1121:AG1134" si="241">SUM(BA1121:BN1121)</f>
        <v>880603.2</v>
      </c>
      <c r="AH1121" s="3058" t="s">
        <v>206</v>
      </c>
      <c r="AI1121" s="3058">
        <v>43549</v>
      </c>
      <c r="AJ1121" s="3058" t="s">
        <v>171</v>
      </c>
      <c r="AK1121" s="3058" t="s">
        <v>171</v>
      </c>
      <c r="AL1121" s="3091">
        <v>880603.2</v>
      </c>
      <c r="AM1121" s="3058">
        <v>43709</v>
      </c>
      <c r="AN1121" s="3057">
        <f t="shared" ref="AN1121:AN1134" si="242">SUM(BO1121:CB1121)</f>
        <v>880603.2</v>
      </c>
      <c r="AO1121" s="3058">
        <v>43654</v>
      </c>
      <c r="AP1121" s="3057">
        <f t="shared" ref="AP1121:AP1132" si="243">AG1121-AN1121</f>
        <v>0</v>
      </c>
      <c r="AQ1121" s="5138"/>
      <c r="AR1121" s="3058"/>
      <c r="AS1121" s="5982"/>
      <c r="AT1121" s="5138"/>
      <c r="AU1121" s="2680">
        <f>SUM(AG1121:AG1126)</f>
        <v>4440619.58</v>
      </c>
      <c r="AV1121" s="2680">
        <f>SUM(AL1121:AL1126)</f>
        <v>4440619.58</v>
      </c>
      <c r="AW1121" s="2680">
        <f>SUM(AN1121:AN1126)</f>
        <v>4440619.58</v>
      </c>
      <c r="AX1121" s="2680">
        <f>M1121-AU1121</f>
        <v>0</v>
      </c>
      <c r="AY1121" s="2680">
        <f>AU1121-AV1121</f>
        <v>0</v>
      </c>
      <c r="AZ1121" s="2680">
        <f>AV1121-AW1121</f>
        <v>0</v>
      </c>
      <c r="BA1121" s="6076"/>
      <c r="BB1121" s="6076"/>
      <c r="BC1121" s="4185"/>
      <c r="BD1121" s="592">
        <v>880603.2</v>
      </c>
      <c r="BE1121" s="6076"/>
      <c r="BF1121" s="6076"/>
      <c r="BG1121" s="6076"/>
      <c r="BH1121" s="6076"/>
      <c r="BI1121" s="6076"/>
      <c r="BJ1121" s="6076"/>
      <c r="BK1121" s="6076"/>
      <c r="BL1121" s="6076"/>
      <c r="BM1121" s="6076"/>
      <c r="BN1121" s="6076"/>
      <c r="BO1121" s="6079"/>
      <c r="BP1121" s="6079"/>
      <c r="BQ1121" s="6079"/>
      <c r="BR1121" s="6080">
        <v>880603.2</v>
      </c>
      <c r="BS1121" s="6079"/>
      <c r="BT1121" s="6079"/>
      <c r="BU1121" s="6079"/>
      <c r="BV1121" s="6079"/>
      <c r="BW1121" s="6079"/>
      <c r="BX1121" s="6079"/>
      <c r="BY1121" s="6079"/>
      <c r="BZ1121" s="6079"/>
      <c r="CA1121" s="6079"/>
      <c r="CB1121" s="6079"/>
      <c r="CC1121" s="3058"/>
      <c r="CD1121" s="3058"/>
      <c r="CE1121" s="5171"/>
      <c r="CF1121" s="5171"/>
      <c r="CG1121" s="5171"/>
      <c r="CH1121" s="5171"/>
    </row>
    <row r="1122" s="4973" customFormat="1" ht="61" customHeight="1" spans="1:86">
      <c r="A1122" s="3058"/>
      <c r="B1122" s="5969"/>
      <c r="C1122" s="3091"/>
      <c r="D1122" s="5054"/>
      <c r="E1122" s="3742"/>
      <c r="F1122" s="5054"/>
      <c r="G1122" s="5338"/>
      <c r="H1122" s="3058"/>
      <c r="I1122" s="5067"/>
      <c r="J1122" s="5054"/>
      <c r="K1122" s="5338"/>
      <c r="L1122" s="5054"/>
      <c r="M1122" s="3058"/>
      <c r="N1122" s="2680"/>
      <c r="O1122" s="2680"/>
      <c r="P1122" s="2680"/>
      <c r="Q1122" s="2680"/>
      <c r="R1122" s="2680"/>
      <c r="S1122" s="2680"/>
      <c r="T1122" s="2680"/>
      <c r="U1122" s="2680"/>
      <c r="V1122" s="2680"/>
      <c r="W1122" s="2680"/>
      <c r="X1122" s="2680"/>
      <c r="Y1122" s="2680"/>
      <c r="Z1122" s="2680"/>
      <c r="AA1122" s="2680"/>
      <c r="AB1122" s="5079"/>
      <c r="AC1122" s="3058">
        <v>2</v>
      </c>
      <c r="AD1122" s="5338" t="s">
        <v>317</v>
      </c>
      <c r="AE1122" s="5975">
        <v>0.2</v>
      </c>
      <c r="AF1122" s="3091">
        <v>880603.2</v>
      </c>
      <c r="AG1122" s="3057">
        <f t="shared" si="241"/>
        <v>880603.2</v>
      </c>
      <c r="AH1122" s="3058" t="s">
        <v>206</v>
      </c>
      <c r="AI1122" s="3058">
        <v>43549</v>
      </c>
      <c r="AJ1122" s="3058" t="s">
        <v>171</v>
      </c>
      <c r="AK1122" s="3058" t="s">
        <v>171</v>
      </c>
      <c r="AL1122" s="3091">
        <v>880603.2</v>
      </c>
      <c r="AM1122" s="3058">
        <v>43709</v>
      </c>
      <c r="AN1122" s="3057">
        <f t="shared" si="242"/>
        <v>880603.2</v>
      </c>
      <c r="AO1122" s="3058">
        <v>43654</v>
      </c>
      <c r="AP1122" s="3057">
        <f t="shared" si="243"/>
        <v>0</v>
      </c>
      <c r="AQ1122" s="5138"/>
      <c r="AR1122" s="3058"/>
      <c r="AS1122" s="5982"/>
      <c r="AT1122" s="5138"/>
      <c r="AU1122" s="2680"/>
      <c r="AV1122" s="2680"/>
      <c r="AW1122" s="2680"/>
      <c r="AX1122" s="2680"/>
      <c r="AY1122" s="2680"/>
      <c r="AZ1122" s="2680"/>
      <c r="BA1122" s="5150"/>
      <c r="BB1122" s="5150"/>
      <c r="BC1122" s="3057"/>
      <c r="BD1122" s="584">
        <v>880603.2</v>
      </c>
      <c r="BE1122" s="5150"/>
      <c r="BF1122" s="5150"/>
      <c r="BG1122" s="5150"/>
      <c r="BH1122" s="5150"/>
      <c r="BI1122" s="5150"/>
      <c r="BJ1122" s="5150"/>
      <c r="BK1122" s="5150"/>
      <c r="BL1122" s="5150"/>
      <c r="BM1122" s="5150"/>
      <c r="BN1122" s="5150"/>
      <c r="BO1122" s="5138"/>
      <c r="BP1122" s="5138"/>
      <c r="BQ1122" s="5138"/>
      <c r="BR1122" s="6013">
        <v>880603.2</v>
      </c>
      <c r="BS1122" s="5138"/>
      <c r="BT1122" s="5138"/>
      <c r="BU1122" s="5138"/>
      <c r="BV1122" s="5138"/>
      <c r="BW1122" s="5138"/>
      <c r="BX1122" s="5138"/>
      <c r="BY1122" s="5138"/>
      <c r="BZ1122" s="5138"/>
      <c r="CA1122" s="5138"/>
      <c r="CB1122" s="5138"/>
      <c r="CC1122" s="3058"/>
      <c r="CD1122" s="3058"/>
      <c r="CE1122" s="5171"/>
      <c r="CF1122" s="5171"/>
      <c r="CG1122" s="5171"/>
      <c r="CH1122" s="5171"/>
    </row>
    <row r="1123" s="4973" customFormat="1" ht="61" customHeight="1" spans="1:86">
      <c r="A1123" s="3058"/>
      <c r="B1123" s="5969"/>
      <c r="C1123" s="3091"/>
      <c r="D1123" s="5054"/>
      <c r="E1123" s="3742"/>
      <c r="F1123" s="5054"/>
      <c r="G1123" s="5338"/>
      <c r="H1123" s="3058"/>
      <c r="I1123" s="5067"/>
      <c r="J1123" s="5054"/>
      <c r="K1123" s="5338"/>
      <c r="L1123" s="5054"/>
      <c r="M1123" s="3058"/>
      <c r="N1123" s="2680"/>
      <c r="O1123" s="2680"/>
      <c r="P1123" s="2680"/>
      <c r="Q1123" s="2680"/>
      <c r="R1123" s="2680"/>
      <c r="S1123" s="2680"/>
      <c r="T1123" s="2680"/>
      <c r="U1123" s="2680"/>
      <c r="V1123" s="2680"/>
      <c r="W1123" s="2680"/>
      <c r="X1123" s="2680"/>
      <c r="Y1123" s="2680"/>
      <c r="Z1123" s="2680"/>
      <c r="AA1123" s="2680"/>
      <c r="AB1123" s="5079"/>
      <c r="AC1123" s="3058">
        <v>3</v>
      </c>
      <c r="AD1123" s="5338" t="s">
        <v>320</v>
      </c>
      <c r="AE1123" s="5975">
        <v>0.15</v>
      </c>
      <c r="AF1123" s="3091">
        <v>660452.4</v>
      </c>
      <c r="AG1123" s="3057">
        <f t="shared" si="241"/>
        <v>660452.4</v>
      </c>
      <c r="AH1123" s="3058" t="s">
        <v>206</v>
      </c>
      <c r="AI1123" s="3058">
        <v>43549</v>
      </c>
      <c r="AJ1123" s="3058" t="s">
        <v>171</v>
      </c>
      <c r="AK1123" s="3058" t="s">
        <v>171</v>
      </c>
      <c r="AL1123" s="3091">
        <v>660452.4</v>
      </c>
      <c r="AM1123" s="3058">
        <v>43709</v>
      </c>
      <c r="AN1123" s="3057">
        <f t="shared" si="242"/>
        <v>660452.4</v>
      </c>
      <c r="AO1123" s="3058">
        <v>43654</v>
      </c>
      <c r="AP1123" s="3057">
        <f t="shared" si="243"/>
        <v>0</v>
      </c>
      <c r="AQ1123" s="5138"/>
      <c r="AR1123" s="3058"/>
      <c r="AS1123" s="5982"/>
      <c r="AT1123" s="5138"/>
      <c r="AU1123" s="2680"/>
      <c r="AV1123" s="2680"/>
      <c r="AW1123" s="2680"/>
      <c r="AX1123" s="2680"/>
      <c r="AY1123" s="2680"/>
      <c r="AZ1123" s="2680"/>
      <c r="BA1123" s="5150"/>
      <c r="BB1123" s="5150"/>
      <c r="BC1123" s="3057"/>
      <c r="BD1123" s="584">
        <v>660452.4</v>
      </c>
      <c r="BE1123" s="5150"/>
      <c r="BF1123" s="5150"/>
      <c r="BG1123" s="5150"/>
      <c r="BH1123" s="5150"/>
      <c r="BI1123" s="5150"/>
      <c r="BJ1123" s="5150"/>
      <c r="BK1123" s="5150"/>
      <c r="BL1123" s="5150"/>
      <c r="BM1123" s="5150"/>
      <c r="BN1123" s="5150"/>
      <c r="BO1123" s="5138"/>
      <c r="BP1123" s="5138"/>
      <c r="BQ1123" s="5138"/>
      <c r="BR1123" s="6013">
        <v>660452.4</v>
      </c>
      <c r="BS1123" s="5138"/>
      <c r="BT1123" s="5138"/>
      <c r="BU1123" s="5138"/>
      <c r="BV1123" s="5138"/>
      <c r="BW1123" s="5138"/>
      <c r="BX1123" s="5138"/>
      <c r="BY1123" s="5138"/>
      <c r="BZ1123" s="5138"/>
      <c r="CA1123" s="5138"/>
      <c r="CB1123" s="5138"/>
      <c r="CC1123" s="3058"/>
      <c r="CD1123" s="3058"/>
      <c r="CE1123" s="5171"/>
      <c r="CF1123" s="5171"/>
      <c r="CG1123" s="5171"/>
      <c r="CH1123" s="5171"/>
    </row>
    <row r="1124" s="4973" customFormat="1" ht="61" customHeight="1" spans="1:86">
      <c r="A1124" s="3058"/>
      <c r="B1124" s="5969"/>
      <c r="C1124" s="3091"/>
      <c r="D1124" s="5054"/>
      <c r="E1124" s="3742"/>
      <c r="F1124" s="5054"/>
      <c r="G1124" s="5338"/>
      <c r="H1124" s="3058"/>
      <c r="I1124" s="5067"/>
      <c r="J1124" s="5054"/>
      <c r="K1124" s="5338"/>
      <c r="L1124" s="5054"/>
      <c r="M1124" s="3058"/>
      <c r="N1124" s="2680"/>
      <c r="O1124" s="2680"/>
      <c r="P1124" s="2680"/>
      <c r="Q1124" s="2680"/>
      <c r="R1124" s="2680"/>
      <c r="S1124" s="2680"/>
      <c r="T1124" s="2680"/>
      <c r="U1124" s="2680"/>
      <c r="V1124" s="2680"/>
      <c r="W1124" s="2680"/>
      <c r="X1124" s="2680"/>
      <c r="Y1124" s="2680"/>
      <c r="Z1124" s="2680"/>
      <c r="AA1124" s="2680"/>
      <c r="AB1124" s="5079"/>
      <c r="AC1124" s="3058">
        <v>4</v>
      </c>
      <c r="AD1124" s="5338" t="s">
        <v>319</v>
      </c>
      <c r="AE1124" s="5975">
        <v>0.2</v>
      </c>
      <c r="AF1124" s="3091">
        <v>880603.2</v>
      </c>
      <c r="AG1124" s="3057">
        <f t="shared" si="241"/>
        <v>880603.2</v>
      </c>
      <c r="AH1124" s="3058" t="s">
        <v>206</v>
      </c>
      <c r="AI1124" s="3058">
        <v>43709</v>
      </c>
      <c r="AJ1124" s="3058" t="s">
        <v>171</v>
      </c>
      <c r="AK1124" s="3058" t="s">
        <v>171</v>
      </c>
      <c r="AL1124" s="3091">
        <v>880603.2</v>
      </c>
      <c r="AM1124" s="3058">
        <v>43709</v>
      </c>
      <c r="AN1124" s="3057">
        <f t="shared" si="242"/>
        <v>880603.2</v>
      </c>
      <c r="AO1124" s="3058">
        <v>43804</v>
      </c>
      <c r="AP1124" s="3057">
        <f t="shared" si="243"/>
        <v>0</v>
      </c>
      <c r="AQ1124" s="5138"/>
      <c r="AR1124" s="3058"/>
      <c r="AS1124" s="5982"/>
      <c r="AT1124" s="5138"/>
      <c r="AU1124" s="2680"/>
      <c r="AV1124" s="2680"/>
      <c r="AW1124" s="2680"/>
      <c r="AX1124" s="2680"/>
      <c r="AY1124" s="2680"/>
      <c r="AZ1124" s="2680"/>
      <c r="BA1124" s="5150"/>
      <c r="BB1124" s="5150"/>
      <c r="BC1124" s="3057"/>
      <c r="BD1124" s="584">
        <v>880603.2</v>
      </c>
      <c r="BE1124" s="5150"/>
      <c r="BF1124" s="5150"/>
      <c r="BG1124" s="5150"/>
      <c r="BH1124" s="5150"/>
      <c r="BI1124" s="5150"/>
      <c r="BJ1124" s="5150"/>
      <c r="BK1124" s="5150"/>
      <c r="BL1124" s="5150"/>
      <c r="BM1124" s="5150"/>
      <c r="BN1124" s="5150"/>
      <c r="BO1124" s="5138"/>
      <c r="BP1124" s="5138"/>
      <c r="BQ1124" s="5138"/>
      <c r="BR1124" s="6013">
        <v>880603.2</v>
      </c>
      <c r="BS1124" s="5138"/>
      <c r="BT1124" s="5138"/>
      <c r="BU1124" s="5138"/>
      <c r="BV1124" s="5138"/>
      <c r="BW1124" s="5138"/>
      <c r="BX1124" s="5138"/>
      <c r="BY1124" s="5138"/>
      <c r="BZ1124" s="5138"/>
      <c r="CA1124" s="5138"/>
      <c r="CB1124" s="5138"/>
      <c r="CC1124" s="3058"/>
      <c r="CD1124" s="3058"/>
      <c r="CE1124" s="5171"/>
      <c r="CF1124" s="5171"/>
      <c r="CG1124" s="5171"/>
      <c r="CH1124" s="5171"/>
    </row>
    <row r="1125" s="4973" customFormat="1" ht="61" customHeight="1" spans="1:86">
      <c r="A1125" s="3058"/>
      <c r="B1125" s="5969"/>
      <c r="C1125" s="3091"/>
      <c r="D1125" s="5054"/>
      <c r="E1125" s="3742"/>
      <c r="F1125" s="5054"/>
      <c r="G1125" s="5338"/>
      <c r="H1125" s="3058"/>
      <c r="I1125" s="5067"/>
      <c r="J1125" s="5054"/>
      <c r="K1125" s="5338"/>
      <c r="L1125" s="5054"/>
      <c r="M1125" s="3058"/>
      <c r="N1125" s="2680"/>
      <c r="O1125" s="2680"/>
      <c r="P1125" s="2680"/>
      <c r="Q1125" s="2680"/>
      <c r="R1125" s="2680"/>
      <c r="S1125" s="2680"/>
      <c r="T1125" s="2680"/>
      <c r="U1125" s="2680"/>
      <c r="V1125" s="2680"/>
      <c r="W1125" s="2680"/>
      <c r="X1125" s="2680"/>
      <c r="Y1125" s="2680"/>
      <c r="Z1125" s="2680"/>
      <c r="AA1125" s="2680"/>
      <c r="AB1125" s="5079"/>
      <c r="AC1125" s="3058">
        <v>5</v>
      </c>
      <c r="AD1125" s="5338" t="s">
        <v>322</v>
      </c>
      <c r="AE1125" s="5975">
        <v>0.15</v>
      </c>
      <c r="AF1125" s="3091">
        <v>660452.4</v>
      </c>
      <c r="AG1125" s="3057">
        <f t="shared" si="241"/>
        <v>660452.4</v>
      </c>
      <c r="AH1125" s="3057" t="s">
        <v>122</v>
      </c>
      <c r="AI1125" s="3057">
        <v>44174</v>
      </c>
      <c r="AJ1125" s="3057">
        <v>660452.4</v>
      </c>
      <c r="AK1125" s="3057">
        <v>44174</v>
      </c>
      <c r="AL1125" s="3057">
        <v>660452.4</v>
      </c>
      <c r="AM1125" s="3057">
        <v>44337</v>
      </c>
      <c r="AN1125" s="3057">
        <f t="shared" si="242"/>
        <v>660452.4</v>
      </c>
      <c r="AO1125" s="3057">
        <v>44432</v>
      </c>
      <c r="AP1125" s="3057">
        <f t="shared" si="243"/>
        <v>0</v>
      </c>
      <c r="AQ1125" s="5131" t="s">
        <v>1960</v>
      </c>
      <c r="AR1125" s="3058"/>
      <c r="AS1125" s="5982" t="s">
        <v>1961</v>
      </c>
      <c r="AT1125" s="5138"/>
      <c r="AU1125" s="2680"/>
      <c r="AV1125" s="2680"/>
      <c r="AW1125" s="2680"/>
      <c r="AX1125" s="2680"/>
      <c r="AY1125" s="2680"/>
      <c r="AZ1125" s="2680"/>
      <c r="BA1125" s="5150"/>
      <c r="BB1125" s="5150"/>
      <c r="BC1125" s="3057"/>
      <c r="BD1125" s="3057">
        <v>660452.4</v>
      </c>
      <c r="BE1125" s="5150"/>
      <c r="BF1125" s="5150"/>
      <c r="BG1125" s="5150"/>
      <c r="BH1125" s="5150"/>
      <c r="BI1125" s="5150"/>
      <c r="BJ1125" s="5150"/>
      <c r="BK1125" s="5150"/>
      <c r="BL1125" s="5150"/>
      <c r="BM1125" s="5150"/>
      <c r="BN1125" s="5150"/>
      <c r="BO1125" s="5159"/>
      <c r="BP1125" s="5159"/>
      <c r="BQ1125" s="5159"/>
      <c r="BR1125" s="5150">
        <v>660452.4</v>
      </c>
      <c r="BS1125" s="5159"/>
      <c r="BT1125" s="5159"/>
      <c r="BU1125" s="5159"/>
      <c r="BV1125" s="5159"/>
      <c r="BW1125" s="5159"/>
      <c r="BX1125" s="5159"/>
      <c r="BY1125" s="5159"/>
      <c r="BZ1125" s="5159"/>
      <c r="CA1125" s="5159"/>
      <c r="CB1125" s="5159"/>
      <c r="CC1125" s="3058"/>
      <c r="CD1125" s="3058"/>
      <c r="CE1125" s="5171"/>
      <c r="CF1125" s="5171"/>
      <c r="CG1125" s="5171"/>
      <c r="CH1125" s="5171"/>
    </row>
    <row r="1126" s="4973" customFormat="1" ht="61" customHeight="1" spans="1:86">
      <c r="A1126" s="3058"/>
      <c r="B1126" s="5969"/>
      <c r="C1126" s="3091"/>
      <c r="D1126" s="5054"/>
      <c r="E1126" s="3742"/>
      <c r="F1126" s="5054"/>
      <c r="G1126" s="5338"/>
      <c r="H1126" s="3058"/>
      <c r="I1126" s="5068"/>
      <c r="J1126" s="5054"/>
      <c r="K1126" s="5338"/>
      <c r="L1126" s="5054"/>
      <c r="M1126" s="3058"/>
      <c r="N1126" s="2680"/>
      <c r="O1126" s="2680"/>
      <c r="P1126" s="2680"/>
      <c r="Q1126" s="2680"/>
      <c r="R1126" s="2680"/>
      <c r="S1126" s="2680"/>
      <c r="T1126" s="2680"/>
      <c r="U1126" s="2680"/>
      <c r="V1126" s="2680"/>
      <c r="W1126" s="2680"/>
      <c r="X1126" s="2680"/>
      <c r="Y1126" s="2680"/>
      <c r="Z1126" s="2680"/>
      <c r="AA1126" s="2680"/>
      <c r="AB1126" s="5079"/>
      <c r="AC1126" s="3058">
        <v>6</v>
      </c>
      <c r="AD1126" s="5338" t="s">
        <v>323</v>
      </c>
      <c r="AE1126" s="5975">
        <v>0.1</v>
      </c>
      <c r="AF1126" s="3091">
        <v>440301.6</v>
      </c>
      <c r="AG1126" s="3057">
        <f t="shared" si="241"/>
        <v>477905.18</v>
      </c>
      <c r="AH1126" s="3057" t="s">
        <v>122</v>
      </c>
      <c r="AI1126" s="3057">
        <v>44852</v>
      </c>
      <c r="AJ1126" s="3057">
        <v>477905.18</v>
      </c>
      <c r="AK1126" s="3057">
        <v>44852</v>
      </c>
      <c r="AL1126" s="3057">
        <v>477905.18</v>
      </c>
      <c r="AM1126" s="3057">
        <v>45481</v>
      </c>
      <c r="AN1126" s="5125">
        <f t="shared" si="242"/>
        <v>477905.18</v>
      </c>
      <c r="AO1126" s="3057">
        <v>45625</v>
      </c>
      <c r="AP1126" s="3057">
        <f t="shared" si="243"/>
        <v>0</v>
      </c>
      <c r="AQ1126" s="5138"/>
      <c r="AR1126" s="3058"/>
      <c r="AS1126" s="5982"/>
      <c r="AT1126" s="5138"/>
      <c r="AU1126" s="2680"/>
      <c r="AV1126" s="2680"/>
      <c r="AW1126" s="2680"/>
      <c r="AX1126" s="2680"/>
      <c r="AY1126" s="2680"/>
      <c r="AZ1126" s="2680"/>
      <c r="BA1126" s="5364"/>
      <c r="BB1126" s="5364"/>
      <c r="BC1126" s="5125"/>
      <c r="BD1126" s="3057">
        <v>477905.18</v>
      </c>
      <c r="BE1126" s="5364"/>
      <c r="BF1126" s="5364"/>
      <c r="BG1126" s="5364"/>
      <c r="BH1126" s="5364"/>
      <c r="BI1126" s="5364"/>
      <c r="BJ1126" s="5364"/>
      <c r="BK1126" s="5364"/>
      <c r="BL1126" s="5364"/>
      <c r="BM1126" s="5364"/>
      <c r="BN1126" s="5364"/>
      <c r="BO1126" s="5138"/>
      <c r="BP1126" s="5138"/>
      <c r="BQ1126" s="5138"/>
      <c r="BR1126" s="5159">
        <v>477905.18</v>
      </c>
      <c r="BS1126" s="5138"/>
      <c r="BT1126" s="5138"/>
      <c r="BU1126" s="5138"/>
      <c r="BV1126" s="5138"/>
      <c r="BW1126" s="5138"/>
      <c r="BX1126" s="5138"/>
      <c r="BY1126" s="5138"/>
      <c r="BZ1126" s="5138"/>
      <c r="CA1126" s="5138"/>
      <c r="CB1126" s="5138"/>
      <c r="CC1126" s="3058"/>
      <c r="CD1126" s="3058"/>
      <c r="CE1126" s="5171"/>
      <c r="CF1126" s="5171"/>
      <c r="CG1126" s="5171"/>
      <c r="CH1126" s="5171"/>
    </row>
    <row r="1127" s="4984" customFormat="1" ht="61" customHeight="1" spans="1:86">
      <c r="A1127" s="3057">
        <v>16</v>
      </c>
      <c r="B1127" s="584" t="s">
        <v>1951</v>
      </c>
      <c r="C1127" s="584">
        <v>44084</v>
      </c>
      <c r="D1127" s="1125" t="s">
        <v>1962</v>
      </c>
      <c r="E1127" s="5059" t="s">
        <v>113</v>
      </c>
      <c r="F1127" s="5056" t="s">
        <v>1963</v>
      </c>
      <c r="G1127" s="1125" t="s">
        <v>1964</v>
      </c>
      <c r="H1127" s="3057" t="s">
        <v>240</v>
      </c>
      <c r="I1127" s="2099" t="s">
        <v>1965</v>
      </c>
      <c r="J1127" s="5056" t="s">
        <v>1956</v>
      </c>
      <c r="K1127" s="1125">
        <v>54345.2575</v>
      </c>
      <c r="L1127" s="5056" t="s">
        <v>1966</v>
      </c>
      <c r="M1127" s="3057">
        <f>SUM(N1127:AA1128)</f>
        <v>350000</v>
      </c>
      <c r="N1127" s="2680">
        <v>0</v>
      </c>
      <c r="O1127" s="2680">
        <v>0</v>
      </c>
      <c r="P1127" s="2680">
        <v>0</v>
      </c>
      <c r="Q1127" s="2680">
        <v>350000</v>
      </c>
      <c r="R1127" s="2680">
        <v>0</v>
      </c>
      <c r="S1127" s="2680">
        <v>0</v>
      </c>
      <c r="T1127" s="5823">
        <v>0</v>
      </c>
      <c r="U1127" s="2680">
        <v>0</v>
      </c>
      <c r="V1127" s="2680">
        <v>0</v>
      </c>
      <c r="W1127" s="2680">
        <v>0</v>
      </c>
      <c r="X1127" s="2680"/>
      <c r="Y1127" s="2680"/>
      <c r="Z1127" s="2680"/>
      <c r="AA1127" s="2680">
        <v>0</v>
      </c>
      <c r="AB1127" s="5079" t="s">
        <v>1967</v>
      </c>
      <c r="AC1127" s="3057">
        <v>1</v>
      </c>
      <c r="AD1127" s="1125" t="s">
        <v>1968</v>
      </c>
      <c r="AE1127" s="5976">
        <v>0.9</v>
      </c>
      <c r="AF1127" s="584">
        <v>315000</v>
      </c>
      <c r="AG1127" s="3057">
        <f t="shared" si="241"/>
        <v>315000</v>
      </c>
      <c r="AH1127" s="3057" t="s">
        <v>206</v>
      </c>
      <c r="AI1127" s="3057">
        <v>44125</v>
      </c>
      <c r="AJ1127" s="3057">
        <v>315000</v>
      </c>
      <c r="AK1127" s="3057">
        <v>44125</v>
      </c>
      <c r="AL1127" s="584">
        <v>315000</v>
      </c>
      <c r="AM1127" s="3057">
        <v>44125</v>
      </c>
      <c r="AN1127" s="3057">
        <f t="shared" si="242"/>
        <v>315000</v>
      </c>
      <c r="AO1127" s="3057">
        <v>44172</v>
      </c>
      <c r="AP1127" s="3057">
        <f t="shared" si="243"/>
        <v>0</v>
      </c>
      <c r="AQ1127" s="5150"/>
      <c r="AR1127" s="3057"/>
      <c r="AS1127" s="5056" t="s">
        <v>1969</v>
      </c>
      <c r="AT1127" s="5150"/>
      <c r="AU1127" s="2678">
        <f>SUM(AG1127:AG1128)</f>
        <v>350000</v>
      </c>
      <c r="AV1127" s="2678">
        <f>SUM(AL1127:AL1128)</f>
        <v>350000</v>
      </c>
      <c r="AW1127" s="2678">
        <f>SUM(AN1127:AN1128)</f>
        <v>350000</v>
      </c>
      <c r="AX1127" s="2678">
        <f>M1127-AU1127</f>
        <v>0</v>
      </c>
      <c r="AY1127" s="2678">
        <f>AU1127-AV1127</f>
        <v>0</v>
      </c>
      <c r="AZ1127" s="2678">
        <f>AV1127-AW1127</f>
        <v>0</v>
      </c>
      <c r="BA1127" s="5150"/>
      <c r="BB1127" s="5150"/>
      <c r="BC1127" s="3057"/>
      <c r="BD1127" s="584">
        <v>315000</v>
      </c>
      <c r="BE1127" s="5150"/>
      <c r="BF1127" s="5150"/>
      <c r="BG1127" s="5150"/>
      <c r="BH1127" s="5150"/>
      <c r="BI1127" s="5150"/>
      <c r="BJ1127" s="5150"/>
      <c r="BK1127" s="5150"/>
      <c r="BL1127" s="5150"/>
      <c r="BM1127" s="5150"/>
      <c r="BN1127" s="5150"/>
      <c r="BO1127" s="5150"/>
      <c r="BP1127" s="5150"/>
      <c r="BQ1127" s="5150"/>
      <c r="BR1127" s="5988">
        <v>315000</v>
      </c>
      <c r="BS1127" s="5150"/>
      <c r="BT1127" s="5150"/>
      <c r="BU1127" s="5150"/>
      <c r="BV1127" s="5150"/>
      <c r="BW1127" s="5150"/>
      <c r="BX1127" s="5150"/>
      <c r="BY1127" s="5150"/>
      <c r="BZ1127" s="5150"/>
      <c r="CA1127" s="5150"/>
      <c r="CB1127" s="5150"/>
      <c r="CC1127" s="3057"/>
      <c r="CD1127" s="3057"/>
      <c r="CE1127" s="5989"/>
      <c r="CF1127" s="5989"/>
      <c r="CG1127" s="5989"/>
      <c r="CH1127" s="5989"/>
    </row>
    <row r="1128" s="4973" customFormat="1" ht="61" customHeight="1" spans="1:86">
      <c r="A1128" s="3058"/>
      <c r="B1128" s="5969"/>
      <c r="C1128" s="3091"/>
      <c r="D1128" s="5054"/>
      <c r="E1128" s="3742"/>
      <c r="F1128" s="5054"/>
      <c r="G1128" s="5338"/>
      <c r="H1128" s="3058"/>
      <c r="I1128" s="5072"/>
      <c r="J1128" s="5054"/>
      <c r="K1128" s="5338"/>
      <c r="L1128" s="5054"/>
      <c r="M1128" s="3058"/>
      <c r="N1128" s="2680"/>
      <c r="O1128" s="2680"/>
      <c r="P1128" s="2680"/>
      <c r="Q1128" s="2680"/>
      <c r="R1128" s="2680"/>
      <c r="S1128" s="2680"/>
      <c r="T1128" s="2680"/>
      <c r="U1128" s="2680"/>
      <c r="V1128" s="2680"/>
      <c r="W1128" s="2680"/>
      <c r="X1128" s="2680"/>
      <c r="Y1128" s="2680"/>
      <c r="Z1128" s="2680"/>
      <c r="AA1128" s="2680"/>
      <c r="AB1128" s="5079"/>
      <c r="AC1128" s="3058">
        <v>2</v>
      </c>
      <c r="AD1128" s="5338" t="s">
        <v>1970</v>
      </c>
      <c r="AE1128" s="5976">
        <v>0.1</v>
      </c>
      <c r="AF1128" s="584">
        <v>35000</v>
      </c>
      <c r="AG1128" s="3057">
        <f t="shared" si="241"/>
        <v>35000</v>
      </c>
      <c r="AH1128" s="3057" t="s">
        <v>122</v>
      </c>
      <c r="AI1128" s="3057">
        <v>44852</v>
      </c>
      <c r="AJ1128" s="584">
        <v>35000</v>
      </c>
      <c r="AK1128" s="3057">
        <v>44852</v>
      </c>
      <c r="AL1128" s="584">
        <v>35000</v>
      </c>
      <c r="AM1128" s="3057">
        <v>45481</v>
      </c>
      <c r="AN1128" s="5125">
        <f t="shared" si="242"/>
        <v>35000</v>
      </c>
      <c r="AO1128" s="3057">
        <v>45625</v>
      </c>
      <c r="AP1128" s="3057">
        <f t="shared" si="243"/>
        <v>0</v>
      </c>
      <c r="AQ1128" s="5138"/>
      <c r="AR1128" s="3058"/>
      <c r="AS1128" s="5054"/>
      <c r="AT1128" s="5138"/>
      <c r="AU1128" s="2680"/>
      <c r="AV1128" s="2680"/>
      <c r="AW1128" s="2680"/>
      <c r="AX1128" s="2680"/>
      <c r="AY1128" s="2680"/>
      <c r="AZ1128" s="2680"/>
      <c r="BA1128" s="5364"/>
      <c r="BB1128" s="5364"/>
      <c r="BC1128" s="5125"/>
      <c r="BD1128" s="584">
        <v>35000</v>
      </c>
      <c r="BE1128" s="5364"/>
      <c r="BF1128" s="5364"/>
      <c r="BG1128" s="5364"/>
      <c r="BH1128" s="5364"/>
      <c r="BI1128" s="5364"/>
      <c r="BJ1128" s="5364"/>
      <c r="BK1128" s="5364"/>
      <c r="BL1128" s="5364"/>
      <c r="BM1128" s="5364"/>
      <c r="BN1128" s="5364"/>
      <c r="BO1128" s="5138"/>
      <c r="BP1128" s="5138"/>
      <c r="BQ1128" s="5138"/>
      <c r="BR1128" s="6081">
        <v>35000</v>
      </c>
      <c r="BS1128" s="5138"/>
      <c r="BT1128" s="5138"/>
      <c r="BU1128" s="5138"/>
      <c r="BV1128" s="5138"/>
      <c r="BW1128" s="5138"/>
      <c r="BX1128" s="5138"/>
      <c r="BY1128" s="5138"/>
      <c r="BZ1128" s="5138"/>
      <c r="CA1128" s="5138"/>
      <c r="CB1128" s="5138"/>
      <c r="CC1128" s="3058"/>
      <c r="CD1128" s="3058"/>
      <c r="CE1128" s="5171"/>
      <c r="CF1128" s="5171"/>
      <c r="CG1128" s="5171"/>
      <c r="CH1128" s="5171"/>
    </row>
    <row r="1129" s="4973" customFormat="1" ht="61" customHeight="1" spans="1:86">
      <c r="A1129" s="5054">
        <v>18</v>
      </c>
      <c r="B1129" s="5054" t="s">
        <v>1951</v>
      </c>
      <c r="C1129" s="5054">
        <v>44201</v>
      </c>
      <c r="D1129" s="5991" t="s">
        <v>1971</v>
      </c>
      <c r="E1129" s="1035" t="s">
        <v>1972</v>
      </c>
      <c r="F1129" s="5054" t="s">
        <v>1973</v>
      </c>
      <c r="G1129" s="5054" t="s">
        <v>1974</v>
      </c>
      <c r="H1129" s="5054" t="s">
        <v>193</v>
      </c>
      <c r="I1129" s="5054" t="s">
        <v>1975</v>
      </c>
      <c r="J1129" s="5054" t="s">
        <v>1956</v>
      </c>
      <c r="K1129" s="5054">
        <v>21080.47</v>
      </c>
      <c r="L1129" s="5054" t="s">
        <v>1521</v>
      </c>
      <c r="M1129" s="3058">
        <f>SUM(N1129:AA1132)</f>
        <v>158103.53</v>
      </c>
      <c r="N1129" s="5079">
        <v>0</v>
      </c>
      <c r="O1129" s="5079">
        <v>0</v>
      </c>
      <c r="P1129" s="5079">
        <v>0</v>
      </c>
      <c r="Q1129" s="5079">
        <v>0</v>
      </c>
      <c r="R1129" s="5079">
        <v>0</v>
      </c>
      <c r="S1129" s="5079">
        <v>0</v>
      </c>
      <c r="T1129" s="5825">
        <v>0</v>
      </c>
      <c r="U1129" s="5079">
        <v>0</v>
      </c>
      <c r="V1129" s="5079">
        <v>158103.53</v>
      </c>
      <c r="W1129" s="5079">
        <v>0</v>
      </c>
      <c r="X1129" s="5079">
        <v>0</v>
      </c>
      <c r="Y1129" s="5079"/>
      <c r="Z1129" s="5079"/>
      <c r="AA1129" s="5079">
        <v>0</v>
      </c>
      <c r="AB1129" s="5079" t="s">
        <v>113</v>
      </c>
      <c r="AC1129" s="3058">
        <v>1</v>
      </c>
      <c r="AD1129" s="5974" t="s">
        <v>1976</v>
      </c>
      <c r="AE1129" s="6056">
        <v>0.25</v>
      </c>
      <c r="AF1129" s="3091">
        <f>M1129*AE1129</f>
        <v>39525.8825</v>
      </c>
      <c r="AG1129" s="3057">
        <f t="shared" si="241"/>
        <v>150198.35</v>
      </c>
      <c r="AH1129" s="5056" t="s">
        <v>206</v>
      </c>
      <c r="AI1129" s="3057">
        <v>44258</v>
      </c>
      <c r="AJ1129" s="3057">
        <f>AF1129+AF1130+AF1131</f>
        <v>150198.3535</v>
      </c>
      <c r="AK1129" s="3057">
        <v>44258</v>
      </c>
      <c r="AL1129" s="3057">
        <f>AF1129+AF1130+AF1131</f>
        <v>150198.3535</v>
      </c>
      <c r="AM1129" s="3057">
        <v>44257</v>
      </c>
      <c r="AN1129" s="3057">
        <f t="shared" si="242"/>
        <v>150198.35</v>
      </c>
      <c r="AO1129" s="3057">
        <v>44309</v>
      </c>
      <c r="AP1129" s="3057">
        <f t="shared" si="243"/>
        <v>0</v>
      </c>
      <c r="AQ1129" s="5131"/>
      <c r="AR1129" s="3058"/>
      <c r="AS1129" s="5056"/>
      <c r="AT1129" s="5138"/>
      <c r="AU1129" s="2680">
        <f>SUM(AG1129:AG1132)</f>
        <v>158103.53</v>
      </c>
      <c r="AV1129" s="2680">
        <f>SUM(AL1129:AL1132)</f>
        <v>158103.5335</v>
      </c>
      <c r="AW1129" s="2680">
        <f>SUM(AN1129:AN1132)</f>
        <v>158103.53</v>
      </c>
      <c r="AX1129" s="2680">
        <f>M1129-AU1129</f>
        <v>0</v>
      </c>
      <c r="AY1129" s="2680">
        <f>AU1129-AV1129</f>
        <v>-0.00349999996251427</v>
      </c>
      <c r="AZ1129" s="2680">
        <f>AV1129-AW1129</f>
        <v>0.00349999996251427</v>
      </c>
      <c r="BA1129" s="5150"/>
      <c r="BB1129" s="5150"/>
      <c r="BC1129" s="3057"/>
      <c r="BD1129" s="5150"/>
      <c r="BE1129" s="5150"/>
      <c r="BF1129" s="5150"/>
      <c r="BG1129" s="5150"/>
      <c r="BH1129" s="5150"/>
      <c r="BI1129" s="584">
        <v>150198.35</v>
      </c>
      <c r="BJ1129" s="5150"/>
      <c r="BK1129" s="5150"/>
      <c r="BL1129" s="5150"/>
      <c r="BM1129" s="5150"/>
      <c r="BN1129" s="5150"/>
      <c r="BO1129" s="5150"/>
      <c r="BP1129" s="5150"/>
      <c r="BQ1129" s="5150"/>
      <c r="BR1129" s="5150"/>
      <c r="BS1129" s="5150"/>
      <c r="BT1129" s="5150"/>
      <c r="BU1129" s="5150"/>
      <c r="BV1129" s="5150"/>
      <c r="BW1129" s="3057">
        <v>150198.35</v>
      </c>
      <c r="BX1129" s="5150"/>
      <c r="BY1129" s="5150"/>
      <c r="BZ1129" s="5150"/>
      <c r="CA1129" s="5150"/>
      <c r="CB1129" s="5125"/>
      <c r="CC1129" s="3058"/>
      <c r="CD1129" s="3058"/>
      <c r="CE1129" s="5171"/>
      <c r="CF1129" s="5171"/>
      <c r="CG1129" s="5171"/>
      <c r="CH1129" s="5171"/>
    </row>
    <row r="1130" s="4973" customFormat="1" ht="61" customHeight="1" spans="1:86">
      <c r="A1130" s="5054"/>
      <c r="B1130" s="5054"/>
      <c r="C1130" s="5054"/>
      <c r="D1130" s="5054"/>
      <c r="E1130" s="3742"/>
      <c r="F1130" s="5054"/>
      <c r="G1130" s="5054"/>
      <c r="H1130" s="5054"/>
      <c r="I1130" s="5054"/>
      <c r="J1130" s="5054"/>
      <c r="K1130" s="5054"/>
      <c r="L1130" s="5054"/>
      <c r="M1130" s="3058"/>
      <c r="N1130" s="3742"/>
      <c r="O1130" s="3742"/>
      <c r="P1130" s="3742"/>
      <c r="Q1130" s="3742"/>
      <c r="R1130" s="3742"/>
      <c r="S1130" s="3742"/>
      <c r="T1130" s="5079"/>
      <c r="U1130" s="3742"/>
      <c r="V1130" s="3742"/>
      <c r="W1130" s="3742"/>
      <c r="X1130" s="3742"/>
      <c r="Y1130" s="3742"/>
      <c r="Z1130" s="3742"/>
      <c r="AA1130" s="3742"/>
      <c r="AB1130" s="3742"/>
      <c r="AC1130" s="3058">
        <v>2</v>
      </c>
      <c r="AD1130" s="5974" t="s">
        <v>1977</v>
      </c>
      <c r="AE1130" s="6056">
        <v>0.35</v>
      </c>
      <c r="AF1130" s="3091">
        <f>M1129*AE1130</f>
        <v>55336.2355</v>
      </c>
      <c r="AG1130" s="3057"/>
      <c r="AH1130" s="5056"/>
      <c r="AI1130" s="3057"/>
      <c r="AJ1130" s="3057"/>
      <c r="AK1130" s="3057"/>
      <c r="AL1130" s="3057"/>
      <c r="AM1130" s="3057"/>
      <c r="AN1130" s="3057"/>
      <c r="AO1130" s="3057"/>
      <c r="AP1130" s="3057">
        <f t="shared" si="243"/>
        <v>0</v>
      </c>
      <c r="AQ1130" s="5138"/>
      <c r="AR1130" s="3058"/>
      <c r="AS1130" s="5056"/>
      <c r="AT1130" s="5138"/>
      <c r="AU1130" s="3524"/>
      <c r="AV1130" s="3524"/>
      <c r="AW1130" s="3524"/>
      <c r="AX1130" s="3524"/>
      <c r="AY1130" s="3524"/>
      <c r="AZ1130" s="3524"/>
      <c r="BA1130" s="5150"/>
      <c r="BB1130" s="5150"/>
      <c r="BC1130" s="3057"/>
      <c r="BD1130" s="5150"/>
      <c r="BE1130" s="5150"/>
      <c r="BF1130" s="5150"/>
      <c r="BG1130" s="5150"/>
      <c r="BH1130" s="5150"/>
      <c r="BI1130" s="584"/>
      <c r="BJ1130" s="5150"/>
      <c r="BK1130" s="5150"/>
      <c r="BL1130" s="5150"/>
      <c r="BM1130" s="5150"/>
      <c r="BN1130" s="5150"/>
      <c r="BO1130" s="5150"/>
      <c r="BP1130" s="5150"/>
      <c r="BQ1130" s="5150"/>
      <c r="BR1130" s="5150"/>
      <c r="BS1130" s="5150"/>
      <c r="BT1130" s="5150"/>
      <c r="BU1130" s="5150"/>
      <c r="BV1130" s="5150"/>
      <c r="BW1130" s="3057"/>
      <c r="BX1130" s="5150"/>
      <c r="BY1130" s="5150"/>
      <c r="BZ1130" s="5150"/>
      <c r="CA1130" s="5150"/>
      <c r="CB1130" s="5125"/>
      <c r="CC1130" s="3058"/>
      <c r="CD1130" s="3058"/>
      <c r="CE1130" s="5171"/>
      <c r="CF1130" s="5171"/>
      <c r="CG1130" s="5171"/>
      <c r="CH1130" s="5171"/>
    </row>
    <row r="1131" s="4973" customFormat="1" ht="61" customHeight="1" spans="1:86">
      <c r="A1131" s="5054"/>
      <c r="B1131" s="5054"/>
      <c r="C1131" s="5054"/>
      <c r="D1131" s="5054"/>
      <c r="E1131" s="5079"/>
      <c r="F1131" s="5054"/>
      <c r="G1131" s="5054"/>
      <c r="H1131" s="5054"/>
      <c r="I1131" s="5054"/>
      <c r="J1131" s="5054"/>
      <c r="K1131" s="5054"/>
      <c r="L1131" s="5054"/>
      <c r="M1131" s="3058"/>
      <c r="N1131" s="5079"/>
      <c r="O1131" s="5079"/>
      <c r="P1131" s="5079"/>
      <c r="Q1131" s="5079"/>
      <c r="R1131" s="5079"/>
      <c r="S1131" s="5079"/>
      <c r="T1131" s="5079"/>
      <c r="U1131" s="5079"/>
      <c r="V1131" s="5079"/>
      <c r="W1131" s="5079"/>
      <c r="X1131" s="5079"/>
      <c r="Y1131" s="5079"/>
      <c r="Z1131" s="5079"/>
      <c r="AA1131" s="5079"/>
      <c r="AB1131" s="5079"/>
      <c r="AC1131" s="3058">
        <v>3</v>
      </c>
      <c r="AD1131" s="5974" t="s">
        <v>1978</v>
      </c>
      <c r="AE1131" s="6056">
        <v>0.35</v>
      </c>
      <c r="AF1131" s="3091">
        <f>M1129*AE1131</f>
        <v>55336.2355</v>
      </c>
      <c r="AG1131" s="3057"/>
      <c r="AH1131" s="5056"/>
      <c r="AI1131" s="3057"/>
      <c r="AJ1131" s="3057"/>
      <c r="AK1131" s="3057"/>
      <c r="AL1131" s="3057"/>
      <c r="AM1131" s="3057"/>
      <c r="AN1131" s="3057"/>
      <c r="AO1131" s="3057"/>
      <c r="AP1131" s="3057">
        <f t="shared" si="243"/>
        <v>0</v>
      </c>
      <c r="AQ1131" s="5138"/>
      <c r="AR1131" s="3058"/>
      <c r="AS1131" s="5056"/>
      <c r="AT1131" s="5138"/>
      <c r="AU1131" s="2680"/>
      <c r="AV1131" s="2680"/>
      <c r="AW1131" s="2680"/>
      <c r="AX1131" s="2680"/>
      <c r="AY1131" s="2680"/>
      <c r="AZ1131" s="2680"/>
      <c r="BA1131" s="5150"/>
      <c r="BB1131" s="5150"/>
      <c r="BC1131" s="3057"/>
      <c r="BD1131" s="5150"/>
      <c r="BE1131" s="5150"/>
      <c r="BF1131" s="5150"/>
      <c r="BG1131" s="5150"/>
      <c r="BH1131" s="5150"/>
      <c r="BI1131" s="584"/>
      <c r="BJ1131" s="5150"/>
      <c r="BK1131" s="5150"/>
      <c r="BL1131" s="5150"/>
      <c r="BM1131" s="5150"/>
      <c r="BN1131" s="5150"/>
      <c r="BO1131" s="5150"/>
      <c r="BP1131" s="5150"/>
      <c r="BQ1131" s="5150"/>
      <c r="BR1131" s="5150"/>
      <c r="BS1131" s="5150"/>
      <c r="BT1131" s="5150"/>
      <c r="BU1131" s="5150"/>
      <c r="BV1131" s="5150"/>
      <c r="BW1131" s="3057"/>
      <c r="BX1131" s="5150"/>
      <c r="BY1131" s="5150"/>
      <c r="BZ1131" s="5150"/>
      <c r="CA1131" s="5150"/>
      <c r="CB1131" s="5125"/>
      <c r="CC1131" s="3058"/>
      <c r="CD1131" s="3058"/>
      <c r="CE1131" s="5171"/>
      <c r="CF1131" s="5171"/>
      <c r="CG1131" s="5171"/>
      <c r="CH1131" s="5171"/>
    </row>
    <row r="1132" s="4973" customFormat="1" ht="61" customHeight="1" spans="1:86">
      <c r="A1132" s="5054"/>
      <c r="B1132" s="5054"/>
      <c r="C1132" s="5054"/>
      <c r="D1132" s="5054"/>
      <c r="E1132" s="5079"/>
      <c r="F1132" s="5054"/>
      <c r="G1132" s="5054"/>
      <c r="H1132" s="5054"/>
      <c r="I1132" s="5054"/>
      <c r="J1132" s="5054"/>
      <c r="K1132" s="5054"/>
      <c r="L1132" s="5054"/>
      <c r="M1132" s="3058"/>
      <c r="N1132" s="5079"/>
      <c r="O1132" s="5079"/>
      <c r="P1132" s="5079"/>
      <c r="Q1132" s="5079"/>
      <c r="R1132" s="5079"/>
      <c r="S1132" s="5079"/>
      <c r="T1132" s="5079"/>
      <c r="U1132" s="5079"/>
      <c r="V1132" s="5079"/>
      <c r="W1132" s="5079"/>
      <c r="X1132" s="5079"/>
      <c r="Y1132" s="5079"/>
      <c r="Z1132" s="5079"/>
      <c r="AA1132" s="5079"/>
      <c r="AB1132" s="5079"/>
      <c r="AC1132" s="3058">
        <v>4</v>
      </c>
      <c r="AD1132" s="5974" t="s">
        <v>1979</v>
      </c>
      <c r="AE1132" s="6056">
        <v>0.05</v>
      </c>
      <c r="AF1132" s="3091">
        <f>M1129*AE1132</f>
        <v>7905.1765</v>
      </c>
      <c r="AG1132" s="3057">
        <f t="shared" si="241"/>
        <v>7905.18</v>
      </c>
      <c r="AH1132" s="584" t="s">
        <v>122</v>
      </c>
      <c r="AI1132" s="3057">
        <v>44616</v>
      </c>
      <c r="AJ1132" s="3057">
        <f>AG1132</f>
        <v>7905.18</v>
      </c>
      <c r="AK1132" s="3057">
        <v>44644</v>
      </c>
      <c r="AL1132" s="3058">
        <v>7905.18</v>
      </c>
      <c r="AM1132" s="3057">
        <v>45482</v>
      </c>
      <c r="AN1132" s="5125">
        <f t="shared" si="242"/>
        <v>7905.18</v>
      </c>
      <c r="AO1132" s="3057">
        <v>45621</v>
      </c>
      <c r="AP1132" s="3057">
        <f t="shared" si="243"/>
        <v>0</v>
      </c>
      <c r="AQ1132" s="5138"/>
      <c r="AR1132" s="3058"/>
      <c r="AS1132" s="5982"/>
      <c r="AT1132" s="5138"/>
      <c r="AU1132" s="2680"/>
      <c r="AV1132" s="2680"/>
      <c r="AW1132" s="2680"/>
      <c r="AX1132" s="2680"/>
      <c r="AY1132" s="2680"/>
      <c r="AZ1132" s="2680"/>
      <c r="BA1132" s="5150"/>
      <c r="BB1132" s="5150"/>
      <c r="BC1132" s="3057"/>
      <c r="BD1132" s="5150"/>
      <c r="BE1132" s="5150"/>
      <c r="BF1132" s="5150"/>
      <c r="BG1132" s="5150"/>
      <c r="BH1132" s="5150"/>
      <c r="BI1132" s="5988">
        <v>7905.18</v>
      </c>
      <c r="BJ1132" s="5150"/>
      <c r="BK1132" s="5150"/>
      <c r="BL1132" s="5150"/>
      <c r="BM1132" s="5150"/>
      <c r="BN1132" s="5150"/>
      <c r="BO1132" s="5138"/>
      <c r="BP1132" s="5138"/>
      <c r="BQ1132" s="5138"/>
      <c r="BR1132" s="5138"/>
      <c r="BS1132" s="5138"/>
      <c r="BT1132" s="5138"/>
      <c r="BU1132" s="5138"/>
      <c r="BV1132" s="6014"/>
      <c r="BW1132" s="5988">
        <v>7905.18</v>
      </c>
      <c r="BX1132" s="5138"/>
      <c r="BY1132" s="5138"/>
      <c r="BZ1132" s="5138"/>
      <c r="CA1132" s="5138"/>
      <c r="CB1132" s="5864"/>
      <c r="CC1132" s="3058"/>
      <c r="CD1132" s="3058"/>
      <c r="CE1132" s="5171"/>
      <c r="CF1132" s="5171"/>
      <c r="CG1132" s="5171"/>
      <c r="CH1132" s="5171"/>
    </row>
    <row r="1133" s="4965" customFormat="1" ht="61" customHeight="1" spans="1:86">
      <c r="A1133" s="2680"/>
      <c r="B1133" s="5813" t="s">
        <v>1951</v>
      </c>
      <c r="C1133" s="2713">
        <v>43464</v>
      </c>
      <c r="D1133" s="3742" t="s">
        <v>1980</v>
      </c>
      <c r="E1133" s="3742" t="s">
        <v>171</v>
      </c>
      <c r="F1133" s="3742" t="s">
        <v>1981</v>
      </c>
      <c r="G1133" s="5818" t="s">
        <v>1982</v>
      </c>
      <c r="H1133" s="2680" t="s">
        <v>562</v>
      </c>
      <c r="I1133" s="5820"/>
      <c r="J1133" s="5079" t="s">
        <v>1956</v>
      </c>
      <c r="K1133" s="5818" t="s">
        <v>1983</v>
      </c>
      <c r="L1133" s="5079" t="s">
        <v>1984</v>
      </c>
      <c r="M1133" s="2680">
        <f>SUM(N1133:AA1134)</f>
        <v>200000</v>
      </c>
      <c r="N1133" s="2680">
        <v>200000</v>
      </c>
      <c r="O1133" s="2680">
        <v>0</v>
      </c>
      <c r="P1133" s="2680">
        <v>0</v>
      </c>
      <c r="Q1133" s="2680">
        <v>0</v>
      </c>
      <c r="R1133" s="2680">
        <v>0</v>
      </c>
      <c r="S1133" s="2680">
        <v>0</v>
      </c>
      <c r="T1133" s="5823">
        <v>0</v>
      </c>
      <c r="U1133" s="2680">
        <v>0</v>
      </c>
      <c r="V1133" s="2680">
        <v>0</v>
      </c>
      <c r="W1133" s="2680">
        <v>0</v>
      </c>
      <c r="X1133" s="2680">
        <v>0</v>
      </c>
      <c r="Y1133" s="2680"/>
      <c r="Z1133" s="2680"/>
      <c r="AA1133" s="2680"/>
      <c r="AB1133" s="2680"/>
      <c r="AC1133" s="2680">
        <v>1</v>
      </c>
      <c r="AD1133" s="5818" t="s">
        <v>1985</v>
      </c>
      <c r="AE1133" s="5870">
        <v>1</v>
      </c>
      <c r="AF1133" s="2713">
        <v>100000</v>
      </c>
      <c r="AG1133" s="3812">
        <f t="shared" si="241"/>
        <v>100000</v>
      </c>
      <c r="AH1133" s="859" t="s">
        <v>122</v>
      </c>
      <c r="AI1133" s="2680">
        <v>43435</v>
      </c>
      <c r="AJ1133" s="2680"/>
      <c r="AK1133" s="2680"/>
      <c r="AL1133" s="2680"/>
      <c r="AM1133" s="2680"/>
      <c r="AN1133" s="3812"/>
      <c r="AO1133" s="2680"/>
      <c r="AP1133" s="3812">
        <f t="shared" ref="AP1133:AP1145" si="244">AG1133-AN1133</f>
        <v>100000</v>
      </c>
      <c r="AQ1133" s="5887"/>
      <c r="AR1133" s="2680"/>
      <c r="AS1133" s="5079" t="s">
        <v>1986</v>
      </c>
      <c r="AT1133" s="5331"/>
      <c r="AU1133" s="2680">
        <f>SUM(AG1133:AG1134)</f>
        <v>200000</v>
      </c>
      <c r="AV1133" s="2680">
        <f>SUM(AL1133:AL1134)</f>
        <v>0</v>
      </c>
      <c r="AW1133" s="2680">
        <f>SUM(AN1133:AN1134)</f>
        <v>0</v>
      </c>
      <c r="AX1133" s="2680">
        <f>M1133-AU1133</f>
        <v>0</v>
      </c>
      <c r="AY1133" s="2680">
        <f>AU1133-AV1133</f>
        <v>200000</v>
      </c>
      <c r="AZ1133" s="2680">
        <f>AV1133-AW1133</f>
        <v>0</v>
      </c>
      <c r="BA1133" s="2680">
        <v>100000</v>
      </c>
      <c r="BB1133" s="5331"/>
      <c r="BC1133" s="2680"/>
      <c r="BD1133" s="5331"/>
      <c r="BE1133" s="5331"/>
      <c r="BF1133" s="5331"/>
      <c r="BG1133" s="5331"/>
      <c r="BH1133" s="5122"/>
      <c r="BI1133" s="5331"/>
      <c r="BJ1133" s="5331"/>
      <c r="BK1133" s="5331"/>
      <c r="BL1133" s="5331"/>
      <c r="BM1133" s="5331"/>
      <c r="BN1133" s="5331"/>
      <c r="BO1133" s="5331"/>
      <c r="BP1133" s="5331"/>
      <c r="BQ1133" s="5331"/>
      <c r="BR1133" s="5331"/>
      <c r="BS1133" s="5331"/>
      <c r="BT1133" s="5331"/>
      <c r="BU1133" s="5331"/>
      <c r="BV1133" s="5331"/>
      <c r="BW1133" s="5331"/>
      <c r="BX1133" s="5331"/>
      <c r="BY1133" s="5331"/>
      <c r="BZ1133" s="5331"/>
      <c r="CA1133" s="5331"/>
      <c r="CB1133" s="5331"/>
      <c r="CC1133" s="2680"/>
      <c r="CD1133" s="2680"/>
      <c r="CE1133" s="5169"/>
      <c r="CF1133" s="5169"/>
      <c r="CG1133" s="5169"/>
      <c r="CH1133" s="5169"/>
    </row>
    <row r="1134" s="4965" customFormat="1" ht="61" customHeight="1" spans="1:86">
      <c r="A1134" s="2680"/>
      <c r="B1134" s="5813"/>
      <c r="C1134" s="2713"/>
      <c r="D1134" s="3742"/>
      <c r="E1134" s="3742"/>
      <c r="F1134" s="3742"/>
      <c r="G1134" s="5818"/>
      <c r="H1134" s="2680"/>
      <c r="I1134" s="5822"/>
      <c r="J1134" s="5079"/>
      <c r="K1134" s="5818"/>
      <c r="L1134" s="5079"/>
      <c r="M1134" s="2680"/>
      <c r="N1134" s="2680"/>
      <c r="O1134" s="2680"/>
      <c r="P1134" s="2680"/>
      <c r="Q1134" s="2680"/>
      <c r="R1134" s="2680"/>
      <c r="S1134" s="2680"/>
      <c r="T1134" s="2680"/>
      <c r="U1134" s="2680"/>
      <c r="V1134" s="2680"/>
      <c r="W1134" s="2680"/>
      <c r="X1134" s="2680"/>
      <c r="Y1134" s="2680"/>
      <c r="Z1134" s="2680"/>
      <c r="AA1134" s="2680"/>
      <c r="AB1134" s="2680"/>
      <c r="AC1134" s="2680">
        <v>2</v>
      </c>
      <c r="AD1134" s="5818" t="s">
        <v>1987</v>
      </c>
      <c r="AE1134" s="5870"/>
      <c r="AF1134" s="2713">
        <v>100000</v>
      </c>
      <c r="AG1134" s="3812">
        <f t="shared" si="241"/>
        <v>100000</v>
      </c>
      <c r="AH1134" s="859" t="s">
        <v>122</v>
      </c>
      <c r="AI1134" s="2680">
        <v>43435</v>
      </c>
      <c r="AJ1134" s="2680"/>
      <c r="AK1134" s="2680"/>
      <c r="AL1134" s="2680"/>
      <c r="AM1134" s="2680"/>
      <c r="AN1134" s="3812"/>
      <c r="AO1134" s="2680"/>
      <c r="AP1134" s="3812">
        <f t="shared" si="244"/>
        <v>100000</v>
      </c>
      <c r="AQ1134" s="5887"/>
      <c r="AR1134" s="2680"/>
      <c r="AS1134" s="5079"/>
      <c r="AT1134" s="5331"/>
      <c r="AU1134" s="2680"/>
      <c r="AV1134" s="2680"/>
      <c r="AW1134" s="2680"/>
      <c r="AX1134" s="2680"/>
      <c r="AY1134" s="2680"/>
      <c r="AZ1134" s="2680"/>
      <c r="BA1134" s="2680">
        <v>100000</v>
      </c>
      <c r="BB1134" s="5331"/>
      <c r="BC1134" s="2680"/>
      <c r="BD1134" s="5331"/>
      <c r="BE1134" s="5331"/>
      <c r="BF1134" s="5331"/>
      <c r="BG1134" s="5331"/>
      <c r="BH1134" s="5122"/>
      <c r="BI1134" s="5331"/>
      <c r="BJ1134" s="5331"/>
      <c r="BK1134" s="5331"/>
      <c r="BL1134" s="5331"/>
      <c r="BM1134" s="5331"/>
      <c r="BN1134" s="5331"/>
      <c r="BO1134" s="5331"/>
      <c r="BP1134" s="5331"/>
      <c r="BQ1134" s="5331"/>
      <c r="BR1134" s="5331"/>
      <c r="BS1134" s="5331"/>
      <c r="BT1134" s="5331"/>
      <c r="BU1134" s="5331"/>
      <c r="BV1134" s="5331"/>
      <c r="BW1134" s="5331"/>
      <c r="BX1134" s="5331"/>
      <c r="BY1134" s="5331"/>
      <c r="BZ1134" s="5331"/>
      <c r="CA1134" s="5331"/>
      <c r="CB1134" s="5331"/>
      <c r="CC1134" s="2680"/>
      <c r="CD1134" s="2680"/>
      <c r="CE1134" s="5169"/>
      <c r="CF1134" s="5169"/>
      <c r="CG1134" s="5169"/>
      <c r="CH1134" s="5169"/>
    </row>
    <row r="1135" s="4965" customFormat="1" ht="61" customHeight="1" spans="1:86">
      <c r="A1135" s="5079">
        <v>17</v>
      </c>
      <c r="B1135" s="5079" t="s">
        <v>1951</v>
      </c>
      <c r="C1135" s="5079">
        <v>43464</v>
      </c>
      <c r="D1135" s="5079" t="s">
        <v>1988</v>
      </c>
      <c r="E1135" s="5079" t="s">
        <v>171</v>
      </c>
      <c r="F1135" s="5079" t="s">
        <v>1989</v>
      </c>
      <c r="G1135" s="5079" t="s">
        <v>1990</v>
      </c>
      <c r="H1135" s="5079" t="s">
        <v>286</v>
      </c>
      <c r="I1135" s="5820"/>
      <c r="J1135" s="5079" t="s">
        <v>1956</v>
      </c>
      <c r="K1135" s="5079" t="s">
        <v>1991</v>
      </c>
      <c r="L1135" s="5079" t="s">
        <v>1992</v>
      </c>
      <c r="M1135" s="2680">
        <f>SUM(N1135:AB1136)</f>
        <v>400000</v>
      </c>
      <c r="N1135" s="5079">
        <v>0</v>
      </c>
      <c r="O1135" s="5079">
        <v>0</v>
      </c>
      <c r="P1135" s="5079">
        <v>400000</v>
      </c>
      <c r="Q1135" s="5079">
        <v>0</v>
      </c>
      <c r="R1135" s="5079">
        <v>0</v>
      </c>
      <c r="S1135" s="5079">
        <v>0</v>
      </c>
      <c r="T1135" s="5079"/>
      <c r="U1135" s="5079">
        <v>0</v>
      </c>
      <c r="V1135" s="5079">
        <v>0</v>
      </c>
      <c r="W1135" s="5079">
        <v>0</v>
      </c>
      <c r="X1135" s="5079">
        <v>0</v>
      </c>
      <c r="Y1135" s="5079"/>
      <c r="Z1135" s="5079"/>
      <c r="AA1135" s="5079">
        <v>0</v>
      </c>
      <c r="AB1135" s="5079">
        <v>0</v>
      </c>
      <c r="AC1135" s="2680">
        <v>1</v>
      </c>
      <c r="AD1135" s="5818" t="s">
        <v>1993</v>
      </c>
      <c r="AE1135" s="5841">
        <v>0.375</v>
      </c>
      <c r="AF1135" s="2713">
        <v>150000</v>
      </c>
      <c r="AG1135" s="3812">
        <f t="shared" ref="AG1135:AG1140" si="245">SUM(BA1135:BN1135)</f>
        <v>150000</v>
      </c>
      <c r="AH1135" s="5079" t="s">
        <v>206</v>
      </c>
      <c r="AI1135" s="2680">
        <v>43549</v>
      </c>
      <c r="AJ1135" s="2680" t="s">
        <v>171</v>
      </c>
      <c r="AK1135" s="2680" t="s">
        <v>171</v>
      </c>
      <c r="AL1135" s="2680">
        <v>150000</v>
      </c>
      <c r="AM1135" s="2680">
        <v>43549</v>
      </c>
      <c r="AN1135" s="3812">
        <f t="shared" ref="AN1135:AN1150" si="246">SUM(BO1135:CB1135)</f>
        <v>150000</v>
      </c>
      <c r="AO1135" s="2680">
        <v>43586</v>
      </c>
      <c r="AP1135" s="3812">
        <f t="shared" si="244"/>
        <v>0</v>
      </c>
      <c r="AQ1135" s="5887" t="s">
        <v>1994</v>
      </c>
      <c r="AR1135" s="2680"/>
      <c r="AS1135" s="5857"/>
      <c r="AT1135" s="5331"/>
      <c r="AU1135" s="2680">
        <f>SUM(AG1135:AG1136)</f>
        <v>150000</v>
      </c>
      <c r="AV1135" s="2680">
        <f>SUM(AL1135:AL1136)</f>
        <v>150000</v>
      </c>
      <c r="AW1135" s="2680">
        <f>SUM(AN1135:AN1136)</f>
        <v>150000</v>
      </c>
      <c r="AX1135" s="2680">
        <f>M1135-AU1135</f>
        <v>250000</v>
      </c>
      <c r="AY1135" s="2680">
        <f t="shared" ref="AY1135:AY1139" si="247">AU1135-AV1135</f>
        <v>0</v>
      </c>
      <c r="AZ1135" s="2680">
        <f t="shared" ref="AZ1135:AZ1139" si="248">AV1135-AW1135</f>
        <v>0</v>
      </c>
      <c r="BA1135" s="5796"/>
      <c r="BB1135" s="5796"/>
      <c r="BC1135" s="2678">
        <v>150000</v>
      </c>
      <c r="BD1135" s="5796"/>
      <c r="BE1135" s="5796"/>
      <c r="BF1135" s="5796"/>
      <c r="BG1135" s="5796"/>
      <c r="BH1135" s="5146"/>
      <c r="BI1135" s="5796"/>
      <c r="BJ1135" s="5796"/>
      <c r="BK1135" s="5796"/>
      <c r="BL1135" s="5796"/>
      <c r="BM1135" s="5796"/>
      <c r="BN1135" s="5796"/>
      <c r="BO1135" s="5331"/>
      <c r="BP1135" s="5331"/>
      <c r="BQ1135" s="5331">
        <v>150000</v>
      </c>
      <c r="BR1135" s="5331"/>
      <c r="BS1135" s="5331"/>
      <c r="BT1135" s="5331"/>
      <c r="BU1135" s="5331"/>
      <c r="BV1135" s="5331"/>
      <c r="BW1135" s="5331"/>
      <c r="BX1135" s="5331"/>
      <c r="BY1135" s="5331"/>
      <c r="BZ1135" s="5331"/>
      <c r="CA1135" s="5331"/>
      <c r="CB1135" s="5863"/>
      <c r="CC1135" s="2680"/>
      <c r="CD1135" s="2680"/>
      <c r="CE1135" s="5169"/>
      <c r="CF1135" s="5169"/>
      <c r="CG1135" s="5169"/>
      <c r="CH1135" s="5169"/>
    </row>
    <row r="1136" s="4965" customFormat="1" ht="61" customHeight="1" spans="1:86">
      <c r="A1136" s="5079"/>
      <c r="B1136" s="5079"/>
      <c r="C1136" s="5079"/>
      <c r="D1136" s="5079"/>
      <c r="E1136" s="5079"/>
      <c r="F1136" s="5079"/>
      <c r="G1136" s="5079"/>
      <c r="H1136" s="5079"/>
      <c r="I1136" s="5822"/>
      <c r="J1136" s="5079"/>
      <c r="K1136" s="5079"/>
      <c r="L1136" s="5079"/>
      <c r="M1136" s="2680"/>
      <c r="N1136" s="5079"/>
      <c r="O1136" s="5079"/>
      <c r="P1136" s="5079"/>
      <c r="Q1136" s="5079"/>
      <c r="R1136" s="5079"/>
      <c r="S1136" s="5079"/>
      <c r="T1136" s="5079"/>
      <c r="U1136" s="5079"/>
      <c r="V1136" s="5079"/>
      <c r="W1136" s="5079"/>
      <c r="X1136" s="5079"/>
      <c r="Y1136" s="5079"/>
      <c r="Z1136" s="5079"/>
      <c r="AA1136" s="5079"/>
      <c r="AB1136" s="5079"/>
      <c r="AC1136" s="2680">
        <v>2</v>
      </c>
      <c r="AD1136" s="5818" t="s">
        <v>1995</v>
      </c>
      <c r="AE1136" s="5841">
        <v>0.625</v>
      </c>
      <c r="AF1136" s="2713">
        <v>250000</v>
      </c>
      <c r="AG1136" s="3812">
        <f t="shared" si="245"/>
        <v>0</v>
      </c>
      <c r="AH1136" s="5079"/>
      <c r="AI1136" s="2680"/>
      <c r="AJ1136" s="2680"/>
      <c r="AK1136" s="2680"/>
      <c r="AL1136" s="2680"/>
      <c r="AM1136" s="2680"/>
      <c r="AN1136" s="3812">
        <f t="shared" si="246"/>
        <v>0</v>
      </c>
      <c r="AO1136" s="2680"/>
      <c r="AP1136" s="3812">
        <f t="shared" si="244"/>
        <v>0</v>
      </c>
      <c r="AQ1136" s="5331"/>
      <c r="AR1136" s="2680"/>
      <c r="AS1136" s="5857"/>
      <c r="AT1136" s="5331"/>
      <c r="AU1136" s="2680"/>
      <c r="AV1136" s="2680"/>
      <c r="AW1136" s="2680"/>
      <c r="AX1136" s="2680"/>
      <c r="AY1136" s="2680"/>
      <c r="AZ1136" s="2680"/>
      <c r="BA1136" s="5331"/>
      <c r="BB1136" s="5331"/>
      <c r="BC1136" s="2680"/>
      <c r="BD1136" s="5331"/>
      <c r="BE1136" s="5331"/>
      <c r="BF1136" s="5331"/>
      <c r="BG1136" s="5331"/>
      <c r="BH1136" s="5122"/>
      <c r="BI1136" s="5331"/>
      <c r="BJ1136" s="5331"/>
      <c r="BK1136" s="5331"/>
      <c r="BL1136" s="5331"/>
      <c r="BM1136" s="5331"/>
      <c r="BN1136" s="5331"/>
      <c r="BO1136" s="5331"/>
      <c r="BP1136" s="5331"/>
      <c r="BQ1136" s="5331"/>
      <c r="BR1136" s="5331"/>
      <c r="BS1136" s="5331"/>
      <c r="BT1136" s="5331"/>
      <c r="BU1136" s="5331"/>
      <c r="BV1136" s="5331"/>
      <c r="BW1136" s="5331"/>
      <c r="BX1136" s="5331"/>
      <c r="BY1136" s="5331"/>
      <c r="BZ1136" s="5331"/>
      <c r="CA1136" s="5331"/>
      <c r="CB1136" s="5863"/>
      <c r="CC1136" s="2680"/>
      <c r="CD1136" s="2680"/>
      <c r="CE1136" s="5169"/>
      <c r="CF1136" s="5169"/>
      <c r="CG1136" s="5169"/>
      <c r="CH1136" s="5169"/>
    </row>
    <row r="1137" s="4965" customFormat="1" ht="61" customHeight="1" spans="1:86">
      <c r="A1137" s="5079">
        <v>18</v>
      </c>
      <c r="B1137" s="5079" t="s">
        <v>1951</v>
      </c>
      <c r="C1137" s="5079">
        <v>43636</v>
      </c>
      <c r="D1137" s="1035" t="s">
        <v>1996</v>
      </c>
      <c r="E1137" s="5079" t="s">
        <v>171</v>
      </c>
      <c r="F1137" s="1035" t="s">
        <v>1997</v>
      </c>
      <c r="G1137" s="5079" t="s">
        <v>1998</v>
      </c>
      <c r="H1137" s="5079" t="s">
        <v>31</v>
      </c>
      <c r="I1137" s="5820"/>
      <c r="J1137" s="5079" t="s">
        <v>1999</v>
      </c>
      <c r="K1137" s="5079">
        <v>405126.93</v>
      </c>
      <c r="L1137" s="5079" t="s">
        <v>1454</v>
      </c>
      <c r="M1137" s="2680">
        <f>SUM(N1137:AA1138)</f>
        <v>2025634.65</v>
      </c>
      <c r="N1137" s="5079">
        <v>0</v>
      </c>
      <c r="O1137" s="5079">
        <v>0</v>
      </c>
      <c r="P1137" s="5079">
        <v>0</v>
      </c>
      <c r="Q1137" s="5079">
        <v>0</v>
      </c>
      <c r="R1137" s="5079">
        <v>0</v>
      </c>
      <c r="S1137" s="5079">
        <v>0</v>
      </c>
      <c r="T1137" s="5079"/>
      <c r="U1137" s="5079">
        <v>2025634.65</v>
      </c>
      <c r="V1137" s="5079">
        <v>0</v>
      </c>
      <c r="W1137" s="5079">
        <v>0</v>
      </c>
      <c r="X1137" s="5079"/>
      <c r="Y1137" s="5079"/>
      <c r="Z1137" s="5079"/>
      <c r="AA1137" s="5079">
        <v>0</v>
      </c>
      <c r="AB1137" s="5079" t="s">
        <v>113</v>
      </c>
      <c r="AC1137" s="2680">
        <v>1</v>
      </c>
      <c r="AD1137" s="5818" t="s">
        <v>2000</v>
      </c>
      <c r="AE1137" s="5841">
        <v>0.2</v>
      </c>
      <c r="AF1137" s="2713">
        <v>405126.93</v>
      </c>
      <c r="AG1137" s="3812">
        <f t="shared" si="245"/>
        <v>405126.93</v>
      </c>
      <c r="AH1137" s="2680" t="s">
        <v>206</v>
      </c>
      <c r="AI1137" s="2680">
        <v>43800</v>
      </c>
      <c r="AJ1137" s="2680" t="s">
        <v>171</v>
      </c>
      <c r="AK1137" s="2680" t="s">
        <v>171</v>
      </c>
      <c r="AL1137" s="2680">
        <v>405126.93</v>
      </c>
      <c r="AM1137" s="2680">
        <v>43800</v>
      </c>
      <c r="AN1137" s="3812">
        <f t="shared" si="246"/>
        <v>405126.93</v>
      </c>
      <c r="AO1137" s="2678">
        <v>44074</v>
      </c>
      <c r="AP1137" s="3812">
        <f t="shared" si="244"/>
        <v>0</v>
      </c>
      <c r="AQ1137" s="5331" t="s">
        <v>2001</v>
      </c>
      <c r="AR1137" s="2680"/>
      <c r="AS1137" s="5857" t="s">
        <v>2002</v>
      </c>
      <c r="AT1137" s="5331"/>
      <c r="AU1137" s="2680">
        <f>SUM(AG1137:AG1138)</f>
        <v>2025634.65</v>
      </c>
      <c r="AV1137" s="2680">
        <f>SUM(AL1137:AL1138)</f>
        <v>2025634.65</v>
      </c>
      <c r="AW1137" s="2680">
        <f>SUM(AN1137:AN1138)</f>
        <v>2025634.65</v>
      </c>
      <c r="AX1137" s="2680">
        <f>M1137-AU1137</f>
        <v>0</v>
      </c>
      <c r="AY1137" s="2680">
        <f t="shared" si="247"/>
        <v>0</v>
      </c>
      <c r="AZ1137" s="2680">
        <f t="shared" si="248"/>
        <v>0</v>
      </c>
      <c r="BA1137" s="5796"/>
      <c r="BB1137" s="5796"/>
      <c r="BC1137" s="2678"/>
      <c r="BD1137" s="5796"/>
      <c r="BE1137" s="5796"/>
      <c r="BF1137" s="5796"/>
      <c r="BG1137" s="5796"/>
      <c r="BH1137" s="5146">
        <v>405126.93</v>
      </c>
      <c r="BI1137" s="5796"/>
      <c r="BJ1137" s="5796"/>
      <c r="BK1137" s="5796"/>
      <c r="BL1137" s="5796"/>
      <c r="BM1137" s="5796"/>
      <c r="BN1137" s="5796"/>
      <c r="BO1137" s="5331"/>
      <c r="BP1137" s="5331"/>
      <c r="BQ1137" s="5331"/>
      <c r="BR1137" s="5331"/>
      <c r="BS1137" s="5331"/>
      <c r="BT1137" s="5331"/>
      <c r="BU1137" s="5331"/>
      <c r="BV1137" s="5796">
        <v>405126.93</v>
      </c>
      <c r="BW1137" s="5331"/>
      <c r="BX1137" s="5331"/>
      <c r="BY1137" s="5331"/>
      <c r="BZ1137" s="5331"/>
      <c r="CA1137" s="5331"/>
      <c r="CB1137" s="5863"/>
      <c r="CC1137" s="2680"/>
      <c r="CD1137" s="2680"/>
      <c r="CE1137" s="5169"/>
      <c r="CF1137" s="5169"/>
      <c r="CG1137" s="5169"/>
      <c r="CH1137" s="5169"/>
    </row>
    <row r="1138" s="4965" customFormat="1" ht="61" customHeight="1" spans="1:86">
      <c r="A1138" s="3742"/>
      <c r="B1138" s="3742"/>
      <c r="C1138" s="3742"/>
      <c r="D1138" s="3742"/>
      <c r="E1138" s="3742"/>
      <c r="F1138" s="3742"/>
      <c r="G1138" s="3742"/>
      <c r="H1138" s="3742"/>
      <c r="I1138" s="5822"/>
      <c r="J1138" s="3742"/>
      <c r="K1138" s="3742"/>
      <c r="L1138" s="3742"/>
      <c r="M1138" s="3524"/>
      <c r="N1138" s="5079"/>
      <c r="O1138" s="5079"/>
      <c r="P1138" s="5079"/>
      <c r="Q1138" s="5079"/>
      <c r="R1138" s="5079"/>
      <c r="S1138" s="5079"/>
      <c r="T1138" s="5079"/>
      <c r="U1138" s="5079"/>
      <c r="V1138" s="5079"/>
      <c r="W1138" s="5079"/>
      <c r="X1138" s="5079"/>
      <c r="Y1138" s="5079"/>
      <c r="Z1138" s="5079"/>
      <c r="AA1138" s="5079"/>
      <c r="AB1138" s="5079"/>
      <c r="AC1138" s="3524">
        <v>2</v>
      </c>
      <c r="AD1138" s="5818" t="s">
        <v>2003</v>
      </c>
      <c r="AE1138" s="5841">
        <v>0.8</v>
      </c>
      <c r="AF1138" s="2713">
        <v>1620507.72</v>
      </c>
      <c r="AG1138" s="3812">
        <f t="shared" si="245"/>
        <v>1620507.72</v>
      </c>
      <c r="AH1138" s="5059" t="s">
        <v>122</v>
      </c>
      <c r="AI1138" s="3812">
        <v>44174</v>
      </c>
      <c r="AJ1138" s="3812">
        <v>1620507.72</v>
      </c>
      <c r="AK1138" s="2678">
        <v>44174</v>
      </c>
      <c r="AL1138" s="3812">
        <v>1620507.72</v>
      </c>
      <c r="AM1138" s="3812"/>
      <c r="AN1138" s="5123">
        <f t="shared" si="246"/>
        <v>1620507.72</v>
      </c>
      <c r="AO1138" s="5123"/>
      <c r="AP1138" s="3812">
        <f t="shared" si="244"/>
        <v>0</v>
      </c>
      <c r="AQ1138" s="5256" t="s">
        <v>2004</v>
      </c>
      <c r="AR1138" s="3524"/>
      <c r="AS1138" s="5129" t="s">
        <v>2005</v>
      </c>
      <c r="AT1138" s="5122"/>
      <c r="AU1138" s="3524"/>
      <c r="AV1138" s="3524"/>
      <c r="AW1138" s="3524"/>
      <c r="AX1138" s="3524"/>
      <c r="AY1138" s="3524"/>
      <c r="AZ1138" s="3524"/>
      <c r="BA1138" s="5146"/>
      <c r="BB1138" s="5146"/>
      <c r="BC1138" s="3812"/>
      <c r="BD1138" s="5146"/>
      <c r="BE1138" s="5146"/>
      <c r="BF1138" s="5146"/>
      <c r="BG1138" s="5146"/>
      <c r="BH1138" s="5146">
        <v>1620507.72</v>
      </c>
      <c r="BI1138" s="5146"/>
      <c r="BJ1138" s="5146"/>
      <c r="BK1138" s="5146"/>
      <c r="BL1138" s="5146"/>
      <c r="BM1138" s="5146"/>
      <c r="BN1138" s="5146"/>
      <c r="BO1138" s="5160"/>
      <c r="BP1138" s="5160"/>
      <c r="BQ1138" s="5160"/>
      <c r="BR1138" s="5160"/>
      <c r="BS1138" s="5160"/>
      <c r="BT1138" s="5160"/>
      <c r="BU1138" s="5160"/>
      <c r="BV1138" s="5160">
        <v>1620507.72</v>
      </c>
      <c r="BW1138" s="5160"/>
      <c r="BX1138" s="5160"/>
      <c r="BY1138" s="5160"/>
      <c r="BZ1138" s="5160"/>
      <c r="CA1138" s="5160"/>
      <c r="CB1138" s="4815"/>
      <c r="CC1138" s="3524"/>
      <c r="CD1138" s="3524"/>
      <c r="CE1138" s="5169"/>
      <c r="CF1138" s="5169"/>
      <c r="CG1138" s="5169"/>
      <c r="CH1138" s="5169"/>
    </row>
    <row r="1139" s="4972" customFormat="1" ht="61" customHeight="1" spans="1:86">
      <c r="A1139" s="5053">
        <v>18</v>
      </c>
      <c r="B1139" s="5053" t="s">
        <v>1951</v>
      </c>
      <c r="C1139" s="5053">
        <v>44053</v>
      </c>
      <c r="D1139" s="5055" t="s">
        <v>2006</v>
      </c>
      <c r="E1139" s="5079" t="s">
        <v>2007</v>
      </c>
      <c r="F1139" s="5053" t="s">
        <v>2008</v>
      </c>
      <c r="G1139" s="5053" t="s">
        <v>2009</v>
      </c>
      <c r="H1139" s="5053" t="s">
        <v>193</v>
      </c>
      <c r="I1139" s="5069"/>
      <c r="J1139" s="5053" t="s">
        <v>1999</v>
      </c>
      <c r="K1139" s="5055" t="s">
        <v>2010</v>
      </c>
      <c r="L1139" s="5053" t="s">
        <v>2011</v>
      </c>
      <c r="M1139" s="3662">
        <f>SUM(N1139:AA1144)</f>
        <v>3700000</v>
      </c>
      <c r="N1139" s="5079">
        <v>0</v>
      </c>
      <c r="O1139" s="5079">
        <v>0</v>
      </c>
      <c r="P1139" s="5079">
        <v>0</v>
      </c>
      <c r="Q1139" s="5079">
        <v>0</v>
      </c>
      <c r="R1139" s="5079">
        <v>0</v>
      </c>
      <c r="S1139" s="5079">
        <v>0</v>
      </c>
      <c r="T1139" s="5825">
        <v>0</v>
      </c>
      <c r="U1139" s="5079">
        <v>0</v>
      </c>
      <c r="V1139" s="5079">
        <v>3700000</v>
      </c>
      <c r="W1139" s="5079">
        <v>0</v>
      </c>
      <c r="X1139" s="5079">
        <v>0</v>
      </c>
      <c r="Y1139" s="5079"/>
      <c r="Z1139" s="5079"/>
      <c r="AA1139" s="5079">
        <v>0</v>
      </c>
      <c r="AB1139" s="5079" t="s">
        <v>113</v>
      </c>
      <c r="AC1139" s="3662">
        <v>1</v>
      </c>
      <c r="AD1139" s="5149" t="s">
        <v>2012</v>
      </c>
      <c r="AE1139" s="6057">
        <v>0.3</v>
      </c>
      <c r="AF1139" s="5815">
        <f>3000000*AE1139</f>
        <v>900000</v>
      </c>
      <c r="AG1139" s="3684">
        <f t="shared" si="245"/>
        <v>900000</v>
      </c>
      <c r="AH1139" s="5060" t="s">
        <v>206</v>
      </c>
      <c r="AI1139" s="3684">
        <v>44063</v>
      </c>
      <c r="AJ1139" s="3684">
        <v>900000</v>
      </c>
      <c r="AK1139" s="3684">
        <v>44063</v>
      </c>
      <c r="AL1139" s="3684">
        <v>900000</v>
      </c>
      <c r="AM1139" s="3684">
        <v>44063</v>
      </c>
      <c r="AN1139" s="3684">
        <f t="shared" si="246"/>
        <v>900000</v>
      </c>
      <c r="AO1139" s="3684">
        <v>44097</v>
      </c>
      <c r="AP1139" s="3684">
        <f t="shared" si="244"/>
        <v>0</v>
      </c>
      <c r="AQ1139" s="5134" t="s">
        <v>2013</v>
      </c>
      <c r="AR1139" s="3662"/>
      <c r="AS1139" s="6072" t="s">
        <v>2014</v>
      </c>
      <c r="AT1139" s="5127"/>
      <c r="AU1139" s="3662">
        <f>SUM(AG1139:AG1144)</f>
        <v>3700000</v>
      </c>
      <c r="AV1139" s="3662">
        <f>SUM(AL1139:AL1144)</f>
        <v>3700000</v>
      </c>
      <c r="AW1139" s="3662">
        <f>SUM(AN1139:AN1144)</f>
        <v>3700000</v>
      </c>
      <c r="AX1139" s="3662">
        <f>M1139-AU1139</f>
        <v>0</v>
      </c>
      <c r="AY1139" s="3662">
        <f t="shared" si="247"/>
        <v>0</v>
      </c>
      <c r="AZ1139" s="3662">
        <f t="shared" si="248"/>
        <v>0</v>
      </c>
      <c r="BA1139" s="5148"/>
      <c r="BB1139" s="5148"/>
      <c r="BC1139" s="3684"/>
      <c r="BD1139" s="5148"/>
      <c r="BE1139" s="5148"/>
      <c r="BF1139" s="5148"/>
      <c r="BG1139" s="5148"/>
      <c r="BH1139" s="5148"/>
      <c r="BI1139" s="5859">
        <v>900000</v>
      </c>
      <c r="BJ1139" s="5148"/>
      <c r="BK1139" s="5148"/>
      <c r="BL1139" s="5148"/>
      <c r="BM1139" s="5148"/>
      <c r="BN1139" s="5148"/>
      <c r="BO1139" s="5127"/>
      <c r="BP1139" s="5127"/>
      <c r="BQ1139" s="5127"/>
      <c r="BR1139" s="5127"/>
      <c r="BS1139" s="5127"/>
      <c r="BT1139" s="5127"/>
      <c r="BU1139" s="5127"/>
      <c r="BV1139" s="6082"/>
      <c r="BW1139" s="5148">
        <v>900000</v>
      </c>
      <c r="BX1139" s="5127"/>
      <c r="BY1139" s="5127"/>
      <c r="BZ1139" s="5127"/>
      <c r="CA1139" s="5127"/>
      <c r="CB1139" s="5522"/>
      <c r="CC1139" s="3662"/>
      <c r="CD1139" s="3662"/>
      <c r="CE1139" s="5170"/>
      <c r="CF1139" s="5170"/>
      <c r="CG1139" s="5170"/>
      <c r="CH1139" s="5170"/>
    </row>
    <row r="1140" s="4972" customFormat="1" ht="61" customHeight="1" spans="1:86">
      <c r="A1140" s="5053"/>
      <c r="B1140" s="5053"/>
      <c r="C1140" s="5053"/>
      <c r="D1140" s="5053"/>
      <c r="E1140" s="3742"/>
      <c r="F1140" s="5053"/>
      <c r="G1140" s="5053"/>
      <c r="H1140" s="5053"/>
      <c r="I1140" s="5065"/>
      <c r="J1140" s="5053"/>
      <c r="K1140" s="5060"/>
      <c r="L1140" s="5053"/>
      <c r="M1140" s="3662"/>
      <c r="N1140" s="3742"/>
      <c r="O1140" s="3742"/>
      <c r="P1140" s="3742"/>
      <c r="Q1140" s="3742"/>
      <c r="R1140" s="3742"/>
      <c r="S1140" s="3742"/>
      <c r="T1140" s="5079"/>
      <c r="U1140" s="3742"/>
      <c r="V1140" s="3742"/>
      <c r="W1140" s="3742"/>
      <c r="X1140" s="3742"/>
      <c r="Y1140" s="3742"/>
      <c r="Z1140" s="3742"/>
      <c r="AA1140" s="3742"/>
      <c r="AB1140" s="3742"/>
      <c r="AC1140" s="3662">
        <v>2</v>
      </c>
      <c r="AD1140" s="5149" t="s">
        <v>2015</v>
      </c>
      <c r="AE1140" s="6057">
        <v>0.4</v>
      </c>
      <c r="AF1140" s="5815">
        <f>3000000*AE1140</f>
        <v>1200000</v>
      </c>
      <c r="AG1140" s="3684">
        <f t="shared" si="245"/>
        <v>1200000</v>
      </c>
      <c r="AH1140" s="5060" t="s">
        <v>206</v>
      </c>
      <c r="AI1140" s="3684">
        <v>44130</v>
      </c>
      <c r="AJ1140" s="3684">
        <v>1200000</v>
      </c>
      <c r="AK1140" s="3684">
        <v>44130</v>
      </c>
      <c r="AL1140" s="3684">
        <v>1200000</v>
      </c>
      <c r="AM1140" s="3684">
        <v>44130</v>
      </c>
      <c r="AN1140" s="3684">
        <f t="shared" si="246"/>
        <v>1200000</v>
      </c>
      <c r="AO1140" s="3684">
        <v>44165</v>
      </c>
      <c r="AP1140" s="3684">
        <f t="shared" si="244"/>
        <v>0</v>
      </c>
      <c r="AQ1140" s="5127"/>
      <c r="AR1140" s="3662"/>
      <c r="AS1140" s="5341" t="s">
        <v>2016</v>
      </c>
      <c r="AT1140" s="5127"/>
      <c r="AU1140" s="3662"/>
      <c r="AV1140" s="3662"/>
      <c r="AW1140" s="3662"/>
      <c r="AX1140" s="3662"/>
      <c r="AY1140" s="3662"/>
      <c r="AZ1140" s="3662"/>
      <c r="BA1140" s="5148"/>
      <c r="BB1140" s="5148"/>
      <c r="BC1140" s="3684"/>
      <c r="BD1140" s="5148"/>
      <c r="BE1140" s="5148"/>
      <c r="BF1140" s="5148"/>
      <c r="BG1140" s="5148"/>
      <c r="BH1140" s="5148"/>
      <c r="BI1140" s="5859">
        <v>1200000</v>
      </c>
      <c r="BJ1140" s="5148"/>
      <c r="BK1140" s="5148"/>
      <c r="BL1140" s="5148"/>
      <c r="BM1140" s="5148"/>
      <c r="BN1140" s="5148"/>
      <c r="BO1140" s="5127"/>
      <c r="BP1140" s="5127"/>
      <c r="BQ1140" s="5127"/>
      <c r="BR1140" s="5127"/>
      <c r="BS1140" s="5127"/>
      <c r="BT1140" s="5127"/>
      <c r="BU1140" s="5127"/>
      <c r="BV1140" s="6082"/>
      <c r="BW1140" s="5148">
        <v>1200000</v>
      </c>
      <c r="BX1140" s="5127"/>
      <c r="BY1140" s="5127"/>
      <c r="BZ1140" s="5127"/>
      <c r="CA1140" s="5127"/>
      <c r="CB1140" s="5522"/>
      <c r="CC1140" s="3662"/>
      <c r="CD1140" s="3662"/>
      <c r="CE1140" s="5170"/>
      <c r="CF1140" s="5170"/>
      <c r="CG1140" s="5170"/>
      <c r="CH1140" s="5170"/>
    </row>
    <row r="1141" s="4972" customFormat="1" ht="51.65" customHeight="1" spans="1:86">
      <c r="A1141" s="5053"/>
      <c r="B1141" s="5053"/>
      <c r="C1141" s="5053"/>
      <c r="D1141" s="5053"/>
      <c r="E1141" s="5079"/>
      <c r="F1141" s="5053"/>
      <c r="G1141" s="5053"/>
      <c r="H1141" s="5053"/>
      <c r="I1141" s="5065"/>
      <c r="J1141" s="5053"/>
      <c r="K1141" s="5060"/>
      <c r="L1141" s="5053"/>
      <c r="M1141" s="3662"/>
      <c r="N1141" s="5079"/>
      <c r="O1141" s="5079"/>
      <c r="P1141" s="5079"/>
      <c r="Q1141" s="5079"/>
      <c r="R1141" s="5079"/>
      <c r="S1141" s="5079"/>
      <c r="T1141" s="5079"/>
      <c r="U1141" s="5079"/>
      <c r="V1141" s="5079"/>
      <c r="W1141" s="5079"/>
      <c r="X1141" s="5079"/>
      <c r="Y1141" s="5079"/>
      <c r="Z1141" s="5079"/>
      <c r="AA1141" s="5079"/>
      <c r="AB1141" s="5079"/>
      <c r="AC1141" s="3662">
        <v>3</v>
      </c>
      <c r="AD1141" s="5055" t="s">
        <v>2017</v>
      </c>
      <c r="AE1141" s="6057">
        <v>0.25</v>
      </c>
      <c r="AF1141" s="5815">
        <f>3000000*AE1141</f>
        <v>750000</v>
      </c>
      <c r="AG1141" s="3684">
        <v>750000</v>
      </c>
      <c r="AH1141" s="5060" t="s">
        <v>122</v>
      </c>
      <c r="AI1141" s="3684">
        <v>45286</v>
      </c>
      <c r="AJ1141" s="3684">
        <v>750000</v>
      </c>
      <c r="AK1141" s="3662">
        <v>45660</v>
      </c>
      <c r="AL1141" s="3684">
        <v>750000</v>
      </c>
      <c r="AM1141" s="3662">
        <v>45660</v>
      </c>
      <c r="AN1141" s="5162">
        <f t="shared" si="246"/>
        <v>750000</v>
      </c>
      <c r="AO1141" s="5162">
        <v>45719</v>
      </c>
      <c r="AP1141" s="3684">
        <f t="shared" si="244"/>
        <v>0</v>
      </c>
      <c r="AQ1141" s="5127"/>
      <c r="AR1141" s="3662"/>
      <c r="AS1141" s="5341"/>
      <c r="AT1141" s="5127"/>
      <c r="AU1141" s="3662"/>
      <c r="AV1141" s="3662"/>
      <c r="AW1141" s="3662"/>
      <c r="AX1141" s="3662"/>
      <c r="AY1141" s="3662"/>
      <c r="AZ1141" s="3662"/>
      <c r="BA1141" s="5164"/>
      <c r="BB1141" s="5164"/>
      <c r="BC1141" s="3708"/>
      <c r="BD1141" s="5164"/>
      <c r="BE1141" s="5164"/>
      <c r="BF1141" s="5164"/>
      <c r="BG1141" s="5164"/>
      <c r="BH1141" s="5127"/>
      <c r="BI1141" s="5859">
        <v>750000</v>
      </c>
      <c r="BJ1141" s="5164"/>
      <c r="BK1141" s="5164"/>
      <c r="BL1141" s="5164"/>
      <c r="BM1141" s="5164"/>
      <c r="BN1141" s="5164"/>
      <c r="BO1141" s="5127"/>
      <c r="BP1141" s="5127"/>
      <c r="BQ1141" s="5127"/>
      <c r="BR1141" s="5127"/>
      <c r="BS1141" s="5127"/>
      <c r="BT1141" s="5127"/>
      <c r="BU1141" s="5127"/>
      <c r="BV1141" s="6082"/>
      <c r="BW1141" s="3684">
        <v>750000</v>
      </c>
      <c r="BX1141" s="5127"/>
      <c r="BY1141" s="5127"/>
      <c r="BZ1141" s="5127"/>
      <c r="CA1141" s="5127"/>
      <c r="CB1141" s="5522"/>
      <c r="CC1141" s="3662"/>
      <c r="CD1141" s="3662"/>
      <c r="CE1141" s="5170"/>
      <c r="CF1141" s="5170"/>
      <c r="CG1141" s="5170"/>
      <c r="CH1141" s="5170"/>
    </row>
    <row r="1142" s="4972" customFormat="1" ht="51.65" customHeight="1" spans="1:86">
      <c r="A1142" s="5053"/>
      <c r="B1142" s="5053"/>
      <c r="C1142" s="5053"/>
      <c r="D1142" s="5053"/>
      <c r="E1142" s="5079"/>
      <c r="F1142" s="5053"/>
      <c r="G1142" s="5053"/>
      <c r="H1142" s="5053"/>
      <c r="I1142" s="5065"/>
      <c r="J1142" s="5053"/>
      <c r="K1142" s="5060"/>
      <c r="L1142" s="5053"/>
      <c r="M1142" s="3662"/>
      <c r="N1142" s="5079"/>
      <c r="O1142" s="5079"/>
      <c r="P1142" s="5079"/>
      <c r="Q1142" s="5079"/>
      <c r="R1142" s="5079"/>
      <c r="S1142" s="5079"/>
      <c r="T1142" s="5079"/>
      <c r="U1142" s="5079"/>
      <c r="V1142" s="5079"/>
      <c r="W1142" s="5079"/>
      <c r="X1142" s="5079"/>
      <c r="Y1142" s="5079"/>
      <c r="Z1142" s="5079"/>
      <c r="AA1142" s="5079"/>
      <c r="AB1142" s="5079"/>
      <c r="AC1142" s="3662">
        <v>4</v>
      </c>
      <c r="AD1142" s="5149" t="s">
        <v>2018</v>
      </c>
      <c r="AE1142" s="6057">
        <v>0.05</v>
      </c>
      <c r="AF1142" s="5815">
        <f>3000000*AE1142</f>
        <v>150000</v>
      </c>
      <c r="AG1142" s="5162">
        <v>150000</v>
      </c>
      <c r="AH1142" s="6068" t="s">
        <v>122</v>
      </c>
      <c r="AI1142" s="5162">
        <v>45650</v>
      </c>
      <c r="AJ1142" s="3684">
        <v>150000</v>
      </c>
      <c r="AK1142" s="3662">
        <v>45660</v>
      </c>
      <c r="AL1142" s="3684">
        <v>150000</v>
      </c>
      <c r="AM1142" s="3662">
        <v>45660</v>
      </c>
      <c r="AN1142" s="5162">
        <f t="shared" si="246"/>
        <v>150000</v>
      </c>
      <c r="AO1142" s="5162">
        <v>45719</v>
      </c>
      <c r="AP1142" s="3684">
        <f t="shared" si="244"/>
        <v>0</v>
      </c>
      <c r="AQ1142" s="5127"/>
      <c r="AR1142" s="3662"/>
      <c r="AS1142" s="5341"/>
      <c r="AT1142" s="5127"/>
      <c r="AU1142" s="3662"/>
      <c r="AV1142" s="3662"/>
      <c r="AW1142" s="3662"/>
      <c r="AX1142" s="3662"/>
      <c r="AY1142" s="3662"/>
      <c r="AZ1142" s="3662"/>
      <c r="BA1142" s="5127"/>
      <c r="BB1142" s="5127"/>
      <c r="BC1142" s="3662"/>
      <c r="BD1142" s="5127"/>
      <c r="BE1142" s="5127"/>
      <c r="BF1142" s="5127"/>
      <c r="BG1142" s="5127"/>
      <c r="BH1142" s="5127"/>
      <c r="BI1142" s="6012">
        <v>150000</v>
      </c>
      <c r="BJ1142" s="5127"/>
      <c r="BK1142" s="5127"/>
      <c r="BL1142" s="5127"/>
      <c r="BM1142" s="5127"/>
      <c r="BN1142" s="5127"/>
      <c r="BO1142" s="5127"/>
      <c r="BP1142" s="5127"/>
      <c r="BQ1142" s="5127"/>
      <c r="BR1142" s="5127"/>
      <c r="BS1142" s="5127"/>
      <c r="BT1142" s="5127"/>
      <c r="BU1142" s="5127"/>
      <c r="BV1142" s="6082"/>
      <c r="BW1142" s="3684">
        <v>150000</v>
      </c>
      <c r="BX1142" s="5127"/>
      <c r="BY1142" s="5127"/>
      <c r="BZ1142" s="5127"/>
      <c r="CA1142" s="5127"/>
      <c r="CB1142" s="5522"/>
      <c r="CC1142" s="3662"/>
      <c r="CD1142" s="3662"/>
      <c r="CE1142" s="5170"/>
      <c r="CF1142" s="5170"/>
      <c r="CG1142" s="5170"/>
      <c r="CH1142" s="5170"/>
    </row>
    <row r="1143" s="4972" customFormat="1" ht="61" customHeight="1" spans="1:86">
      <c r="A1143" s="5053"/>
      <c r="B1143" s="5053"/>
      <c r="C1143" s="5053"/>
      <c r="D1143" s="5053"/>
      <c r="E1143" s="5079"/>
      <c r="F1143" s="5053"/>
      <c r="G1143" s="5053"/>
      <c r="H1143" s="5053"/>
      <c r="I1143" s="5065"/>
      <c r="J1143" s="5053"/>
      <c r="K1143" s="5060"/>
      <c r="L1143" s="5053"/>
      <c r="M1143" s="3662"/>
      <c r="N1143" s="5079"/>
      <c r="O1143" s="5079"/>
      <c r="P1143" s="5079"/>
      <c r="Q1143" s="5079"/>
      <c r="R1143" s="5079"/>
      <c r="S1143" s="5079"/>
      <c r="T1143" s="5079"/>
      <c r="U1143" s="5079"/>
      <c r="V1143" s="5079"/>
      <c r="W1143" s="5079"/>
      <c r="X1143" s="5079"/>
      <c r="Y1143" s="5079"/>
      <c r="Z1143" s="5079"/>
      <c r="AA1143" s="5079"/>
      <c r="AB1143" s="5079"/>
      <c r="AC1143" s="3662">
        <v>1</v>
      </c>
      <c r="AD1143" s="5149" t="s">
        <v>2012</v>
      </c>
      <c r="AE1143" s="6057">
        <v>0.5</v>
      </c>
      <c r="AF1143" s="5815">
        <v>350000</v>
      </c>
      <c r="AG1143" s="3684">
        <f t="shared" ref="AG1143:AG1150" si="249">SUM(BA1143:BN1143)</f>
        <v>350000</v>
      </c>
      <c r="AH1143" s="5060" t="s">
        <v>206</v>
      </c>
      <c r="AI1143" s="3684">
        <v>44063</v>
      </c>
      <c r="AJ1143" s="3684">
        <v>350000</v>
      </c>
      <c r="AK1143" s="3684">
        <v>44063</v>
      </c>
      <c r="AL1143" s="3684">
        <v>350000</v>
      </c>
      <c r="AM1143" s="3684">
        <v>44063</v>
      </c>
      <c r="AN1143" s="3684">
        <f t="shared" si="246"/>
        <v>350000</v>
      </c>
      <c r="AO1143" s="3684">
        <v>44097</v>
      </c>
      <c r="AP1143" s="3684">
        <f t="shared" si="244"/>
        <v>0</v>
      </c>
      <c r="AQ1143" s="5134"/>
      <c r="AR1143" s="3662"/>
      <c r="AS1143" s="6072" t="s">
        <v>2014</v>
      </c>
      <c r="AT1143" s="5127"/>
      <c r="AU1143" s="3662"/>
      <c r="AV1143" s="3662"/>
      <c r="AW1143" s="3662"/>
      <c r="AX1143" s="3662"/>
      <c r="AY1143" s="3662"/>
      <c r="AZ1143" s="3662"/>
      <c r="BA1143" s="5148"/>
      <c r="BB1143" s="5148"/>
      <c r="BC1143" s="3684"/>
      <c r="BD1143" s="5148"/>
      <c r="BE1143" s="5148"/>
      <c r="BF1143" s="5148"/>
      <c r="BG1143" s="5148"/>
      <c r="BH1143" s="5148"/>
      <c r="BI1143" s="5859">
        <v>350000</v>
      </c>
      <c r="BJ1143" s="5148"/>
      <c r="BK1143" s="5148"/>
      <c r="BL1143" s="5148"/>
      <c r="BM1143" s="5148"/>
      <c r="BN1143" s="5148"/>
      <c r="BO1143" s="5127"/>
      <c r="BP1143" s="5127"/>
      <c r="BQ1143" s="5127"/>
      <c r="BR1143" s="5127"/>
      <c r="BS1143" s="5127"/>
      <c r="BT1143" s="5127"/>
      <c r="BU1143" s="5127"/>
      <c r="BV1143" s="6082"/>
      <c r="BW1143" s="5148">
        <v>350000</v>
      </c>
      <c r="BX1143" s="5127"/>
      <c r="BY1143" s="5127"/>
      <c r="BZ1143" s="5127"/>
      <c r="CA1143" s="5127"/>
      <c r="CB1143" s="5522"/>
      <c r="CC1143" s="3662"/>
      <c r="CD1143" s="3662"/>
      <c r="CE1143" s="5170"/>
      <c r="CF1143" s="5170"/>
      <c r="CG1143" s="5170"/>
      <c r="CH1143" s="5170"/>
    </row>
    <row r="1144" s="4972" customFormat="1" ht="61" customHeight="1" spans="1:86">
      <c r="A1144" s="5053"/>
      <c r="B1144" s="5053"/>
      <c r="C1144" s="5053"/>
      <c r="D1144" s="5053"/>
      <c r="E1144" s="5079"/>
      <c r="F1144" s="5053"/>
      <c r="G1144" s="5053"/>
      <c r="H1144" s="5053"/>
      <c r="I1144" s="5062"/>
      <c r="J1144" s="5053"/>
      <c r="K1144" s="5060"/>
      <c r="L1144" s="5053"/>
      <c r="M1144" s="3662"/>
      <c r="N1144" s="5079"/>
      <c r="O1144" s="5079"/>
      <c r="P1144" s="5079"/>
      <c r="Q1144" s="5079"/>
      <c r="R1144" s="5079"/>
      <c r="S1144" s="5079"/>
      <c r="T1144" s="5079"/>
      <c r="U1144" s="5079"/>
      <c r="V1144" s="5079"/>
      <c r="W1144" s="5079"/>
      <c r="X1144" s="5079"/>
      <c r="Y1144" s="5079"/>
      <c r="Z1144" s="5079"/>
      <c r="AA1144" s="5079"/>
      <c r="AB1144" s="5079"/>
      <c r="AC1144" s="3662">
        <v>2</v>
      </c>
      <c r="AD1144" s="5149" t="s">
        <v>2019</v>
      </c>
      <c r="AE1144" s="6057">
        <v>0.5</v>
      </c>
      <c r="AF1144" s="5815">
        <v>350000</v>
      </c>
      <c r="AG1144" s="3684">
        <f t="shared" si="249"/>
        <v>350000</v>
      </c>
      <c r="AH1144" s="5060" t="s">
        <v>122</v>
      </c>
      <c r="AI1144" s="3684">
        <v>44616</v>
      </c>
      <c r="AJ1144" s="3684">
        <v>350000</v>
      </c>
      <c r="AK1144" s="3684">
        <v>44644</v>
      </c>
      <c r="AL1144" s="3814">
        <v>350000</v>
      </c>
      <c r="AM1144" s="3684">
        <v>44921</v>
      </c>
      <c r="AN1144" s="3684">
        <f t="shared" si="246"/>
        <v>350000</v>
      </c>
      <c r="AO1144" s="3684">
        <v>44965</v>
      </c>
      <c r="AP1144" s="3684">
        <f t="shared" si="244"/>
        <v>0</v>
      </c>
      <c r="AQ1144" s="5127"/>
      <c r="AR1144" s="3662"/>
      <c r="AS1144" s="5341"/>
      <c r="AT1144" s="5127"/>
      <c r="AU1144" s="3662"/>
      <c r="AV1144" s="3662"/>
      <c r="AW1144" s="3662"/>
      <c r="AX1144" s="3662"/>
      <c r="AY1144" s="3662"/>
      <c r="AZ1144" s="3662"/>
      <c r="BA1144" s="5148"/>
      <c r="BB1144" s="5148"/>
      <c r="BC1144" s="3684"/>
      <c r="BD1144" s="5148"/>
      <c r="BE1144" s="5148"/>
      <c r="BF1144" s="5148"/>
      <c r="BG1144" s="5148"/>
      <c r="BH1144" s="5148"/>
      <c r="BI1144" s="5859">
        <v>350000</v>
      </c>
      <c r="BJ1144" s="5148"/>
      <c r="BK1144" s="5148"/>
      <c r="BL1144" s="5148"/>
      <c r="BM1144" s="5148"/>
      <c r="BN1144" s="5148"/>
      <c r="BO1144" s="5127"/>
      <c r="BP1144" s="5127"/>
      <c r="BQ1144" s="5127"/>
      <c r="BR1144" s="5127"/>
      <c r="BS1144" s="5127"/>
      <c r="BT1144" s="5127"/>
      <c r="BU1144" s="5127"/>
      <c r="BV1144" s="5127"/>
      <c r="BW1144" s="5859">
        <v>350000</v>
      </c>
      <c r="BX1144" s="5127"/>
      <c r="BY1144" s="5127"/>
      <c r="BZ1144" s="5127"/>
      <c r="CA1144" s="5127"/>
      <c r="CB1144" s="5522"/>
      <c r="CC1144" s="3662"/>
      <c r="CD1144" s="3662"/>
      <c r="CE1144" s="5170"/>
      <c r="CF1144" s="5170"/>
      <c r="CG1144" s="5170"/>
      <c r="CH1144" s="5170"/>
    </row>
    <row r="1145" s="4965" customFormat="1" ht="61" customHeight="1" spans="1:86">
      <c r="A1145" s="5079"/>
      <c r="B1145" s="5050" t="s">
        <v>1951</v>
      </c>
      <c r="C1145" s="5820">
        <v>45128</v>
      </c>
      <c r="D1145" s="5050" t="s">
        <v>2020</v>
      </c>
      <c r="E1145" s="5050" t="s">
        <v>2021</v>
      </c>
      <c r="F1145" s="6041" t="s">
        <v>2022</v>
      </c>
      <c r="G1145" s="6041" t="s">
        <v>2023</v>
      </c>
      <c r="H1145" s="6041" t="s">
        <v>338</v>
      </c>
      <c r="I1145" s="6041"/>
      <c r="J1145" s="6041" t="s">
        <v>2024</v>
      </c>
      <c r="K1145" s="6041" t="s">
        <v>2025</v>
      </c>
      <c r="L1145" s="6041" t="s">
        <v>2026</v>
      </c>
      <c r="M1145" s="6049">
        <f>SUM(N1145:AB1149)</f>
        <v>4001085</v>
      </c>
      <c r="N1145" s="6049"/>
      <c r="O1145" s="6049"/>
      <c r="P1145" s="6049"/>
      <c r="Q1145" s="6049"/>
      <c r="R1145" s="6049"/>
      <c r="S1145" s="6049"/>
      <c r="T1145" s="6049"/>
      <c r="U1145" s="6049"/>
      <c r="V1145" s="6049"/>
      <c r="W1145" s="6049"/>
      <c r="X1145" s="6049"/>
      <c r="Y1145" s="6049"/>
      <c r="Z1145" s="6049"/>
      <c r="AA1145" s="6049">
        <v>4001085</v>
      </c>
      <c r="AB1145" s="6054" t="s">
        <v>126</v>
      </c>
      <c r="AC1145" s="2692">
        <v>1</v>
      </c>
      <c r="AD1145" s="6058" t="s">
        <v>2027</v>
      </c>
      <c r="AE1145" s="6059">
        <v>0.2</v>
      </c>
      <c r="AF1145" s="2723">
        <f>M1145*AE1145</f>
        <v>800217</v>
      </c>
      <c r="AG1145" s="2689">
        <f t="shared" si="249"/>
        <v>800217</v>
      </c>
      <c r="AH1145" s="6058" t="s">
        <v>122</v>
      </c>
      <c r="AI1145" s="2692">
        <v>45149</v>
      </c>
      <c r="AJ1145" s="2692">
        <v>800217</v>
      </c>
      <c r="AK1145" s="2692">
        <v>45149</v>
      </c>
      <c r="AL1145" s="2692">
        <v>800217</v>
      </c>
      <c r="AM1145" s="2692">
        <v>45149</v>
      </c>
      <c r="AN1145" s="2692">
        <v>800217</v>
      </c>
      <c r="AO1145" s="2689">
        <v>45196</v>
      </c>
      <c r="AP1145" s="2692">
        <f t="shared" si="244"/>
        <v>0</v>
      </c>
      <c r="AQ1145" s="6070"/>
      <c r="AR1145" s="2692"/>
      <c r="AS1145" s="6073"/>
      <c r="AT1145" s="6070"/>
      <c r="AU1145" s="2692"/>
      <c r="AV1145" s="2692"/>
      <c r="AW1145" s="2692"/>
      <c r="AX1145" s="2692"/>
      <c r="AY1145" s="2692"/>
      <c r="AZ1145" s="2692"/>
      <c r="BA1145" s="2689"/>
      <c r="BB1145" s="2689"/>
      <c r="BC1145" s="2689"/>
      <c r="BD1145" s="2689"/>
      <c r="BE1145" s="2689"/>
      <c r="BF1145" s="2689"/>
      <c r="BG1145" s="2689"/>
      <c r="BH1145" s="2689"/>
      <c r="BI1145" s="6077"/>
      <c r="BJ1145" s="6077"/>
      <c r="BK1145" s="6077"/>
      <c r="BL1145" s="6077"/>
      <c r="BM1145" s="6077"/>
      <c r="BN1145" s="2689">
        <v>800217</v>
      </c>
      <c r="BO1145" s="2692"/>
      <c r="BP1145" s="2692"/>
      <c r="BQ1145" s="2692"/>
      <c r="BR1145" s="2692"/>
      <c r="BS1145" s="2692"/>
      <c r="BT1145" s="2692"/>
      <c r="BU1145" s="2692"/>
      <c r="BV1145" s="2692"/>
      <c r="BW1145" s="6083"/>
      <c r="BX1145" s="2723"/>
      <c r="BY1145" s="2723"/>
      <c r="BZ1145" s="2723"/>
      <c r="CA1145" s="2723"/>
      <c r="CB1145" s="2692">
        <v>800217</v>
      </c>
      <c r="CC1145" s="2692"/>
      <c r="CD1145" s="2692"/>
      <c r="CE1145" s="5169"/>
      <c r="CF1145" s="5169"/>
      <c r="CG1145" s="5169"/>
      <c r="CH1145" s="5169"/>
    </row>
    <row r="1146" s="4965" customFormat="1" ht="61" customHeight="1" spans="1:86">
      <c r="A1146" s="5079"/>
      <c r="B1146" s="5821"/>
      <c r="C1146" s="5821"/>
      <c r="D1146" s="6040"/>
      <c r="E1146" s="5821"/>
      <c r="F1146" s="6042"/>
      <c r="G1146" s="6043"/>
      <c r="H1146" s="6043"/>
      <c r="I1146" s="6042"/>
      <c r="J1146" s="6043"/>
      <c r="K1146" s="6042"/>
      <c r="L1146" s="6043"/>
      <c r="M1146" s="6050"/>
      <c r="N1146" s="6050"/>
      <c r="O1146" s="6050"/>
      <c r="P1146" s="6050"/>
      <c r="Q1146" s="6050"/>
      <c r="R1146" s="6050"/>
      <c r="S1146" s="6050"/>
      <c r="T1146" s="6050"/>
      <c r="U1146" s="6050"/>
      <c r="V1146" s="6050"/>
      <c r="W1146" s="6050"/>
      <c r="X1146" s="6050"/>
      <c r="Y1146" s="6050"/>
      <c r="Z1146" s="6050"/>
      <c r="AA1146" s="6050"/>
      <c r="AB1146" s="6050"/>
      <c r="AC1146" s="2692">
        <v>2</v>
      </c>
      <c r="AD1146" s="6058" t="s">
        <v>2028</v>
      </c>
      <c r="AE1146" s="6059">
        <v>0.3</v>
      </c>
      <c r="AF1146" s="2723">
        <f>M1145*AE1146</f>
        <v>1200325.5</v>
      </c>
      <c r="AG1146" s="2689">
        <f t="shared" si="249"/>
        <v>1200325.5</v>
      </c>
      <c r="AH1146" s="6058" t="s">
        <v>122</v>
      </c>
      <c r="AI1146" s="2692">
        <v>45149</v>
      </c>
      <c r="AJ1146" s="2692">
        <v>1200325.5</v>
      </c>
      <c r="AK1146" s="2692">
        <v>45149</v>
      </c>
      <c r="AL1146" s="2692">
        <v>1200325.5</v>
      </c>
      <c r="AM1146" s="2692">
        <v>45149</v>
      </c>
      <c r="AN1146" s="2692">
        <v>1200325.5</v>
      </c>
      <c r="AO1146" s="2689">
        <v>45196</v>
      </c>
      <c r="AP1146" s="2692">
        <f t="shared" ref="AP1146:AP1208" si="250">AG1146-AN1146</f>
        <v>0</v>
      </c>
      <c r="AQ1146" s="6070"/>
      <c r="AR1146" s="2692"/>
      <c r="AS1146" s="6073"/>
      <c r="AT1146" s="6070"/>
      <c r="AU1146" s="2692"/>
      <c r="AV1146" s="2692"/>
      <c r="AW1146" s="2692"/>
      <c r="AX1146" s="2692"/>
      <c r="AY1146" s="2692"/>
      <c r="AZ1146" s="2692"/>
      <c r="BA1146" s="2689"/>
      <c r="BB1146" s="2689"/>
      <c r="BC1146" s="2689"/>
      <c r="BD1146" s="2689"/>
      <c r="BE1146" s="2689"/>
      <c r="BF1146" s="2689"/>
      <c r="BG1146" s="2689"/>
      <c r="BH1146" s="2689"/>
      <c r="BI1146" s="6077"/>
      <c r="BJ1146" s="6077"/>
      <c r="BK1146" s="6077"/>
      <c r="BL1146" s="6077"/>
      <c r="BM1146" s="6077"/>
      <c r="BN1146" s="2689">
        <v>1200325.5</v>
      </c>
      <c r="BO1146" s="2692"/>
      <c r="BP1146" s="2692"/>
      <c r="BQ1146" s="2692"/>
      <c r="BR1146" s="2692"/>
      <c r="BS1146" s="2692"/>
      <c r="BT1146" s="2692"/>
      <c r="BU1146" s="2692"/>
      <c r="BV1146" s="2692"/>
      <c r="BW1146" s="6083"/>
      <c r="BX1146" s="2723"/>
      <c r="BY1146" s="2723"/>
      <c r="BZ1146" s="2723"/>
      <c r="CA1146" s="2723"/>
      <c r="CB1146" s="2692">
        <v>1200325.5</v>
      </c>
      <c r="CC1146" s="2692"/>
      <c r="CD1146" s="2692"/>
      <c r="CE1146" s="5169"/>
      <c r="CF1146" s="5169"/>
      <c r="CG1146" s="5169"/>
      <c r="CH1146" s="5169"/>
    </row>
    <row r="1147" s="4965" customFormat="1" ht="61" customHeight="1" spans="1:86">
      <c r="A1147" s="5079"/>
      <c r="B1147" s="5821"/>
      <c r="C1147" s="5821"/>
      <c r="D1147" s="6040"/>
      <c r="E1147" s="5821"/>
      <c r="F1147" s="6042"/>
      <c r="G1147" s="6043"/>
      <c r="H1147" s="6043"/>
      <c r="I1147" s="6042"/>
      <c r="J1147" s="6043"/>
      <c r="K1147" s="6042"/>
      <c r="L1147" s="6043"/>
      <c r="M1147" s="6050"/>
      <c r="N1147" s="6050"/>
      <c r="O1147" s="6050"/>
      <c r="P1147" s="6050"/>
      <c r="Q1147" s="6050"/>
      <c r="R1147" s="6050"/>
      <c r="S1147" s="6050"/>
      <c r="T1147" s="6050"/>
      <c r="U1147" s="6050"/>
      <c r="V1147" s="6050"/>
      <c r="W1147" s="6050"/>
      <c r="X1147" s="6050"/>
      <c r="Y1147" s="6050"/>
      <c r="Z1147" s="6050"/>
      <c r="AA1147" s="6050"/>
      <c r="AB1147" s="6050"/>
      <c r="AC1147" s="2692">
        <v>3</v>
      </c>
      <c r="AD1147" s="6058" t="s">
        <v>1785</v>
      </c>
      <c r="AE1147" s="6059">
        <v>0.2</v>
      </c>
      <c r="AF1147" s="2723">
        <f>M1145*AE1147</f>
        <v>800217</v>
      </c>
      <c r="AG1147" s="2689">
        <f t="shared" si="249"/>
        <v>800217</v>
      </c>
      <c r="AH1147" s="6058" t="s">
        <v>122</v>
      </c>
      <c r="AI1147" s="2689">
        <v>45243</v>
      </c>
      <c r="AJ1147" s="2689">
        <v>800217</v>
      </c>
      <c r="AK1147" s="2689">
        <v>45243</v>
      </c>
      <c r="AL1147" s="2689">
        <v>800217</v>
      </c>
      <c r="AM1147" s="2689">
        <v>45243</v>
      </c>
      <c r="AN1147" s="2689">
        <f t="shared" si="246"/>
        <v>800217</v>
      </c>
      <c r="AO1147" s="2689">
        <v>45282</v>
      </c>
      <c r="AP1147" s="2692">
        <f t="shared" si="250"/>
        <v>0</v>
      </c>
      <c r="AQ1147" s="6070"/>
      <c r="AR1147" s="2692"/>
      <c r="AS1147" s="6073"/>
      <c r="AT1147" s="6070"/>
      <c r="AU1147" s="2692"/>
      <c r="AV1147" s="2692"/>
      <c r="AW1147" s="2692"/>
      <c r="AX1147" s="2692"/>
      <c r="AY1147" s="2692"/>
      <c r="AZ1147" s="2692"/>
      <c r="BA1147" s="2689"/>
      <c r="BB1147" s="2689"/>
      <c r="BC1147" s="2689"/>
      <c r="BD1147" s="2689"/>
      <c r="BE1147" s="2689"/>
      <c r="BF1147" s="2689"/>
      <c r="BG1147" s="2689"/>
      <c r="BH1147" s="2689"/>
      <c r="BI1147" s="6077"/>
      <c r="BJ1147" s="6077"/>
      <c r="BK1147" s="6077"/>
      <c r="BL1147" s="6077"/>
      <c r="BM1147" s="6077"/>
      <c r="BN1147" s="2689">
        <v>800217</v>
      </c>
      <c r="BO1147" s="2692"/>
      <c r="BP1147" s="2692"/>
      <c r="BQ1147" s="2692"/>
      <c r="BR1147" s="2692"/>
      <c r="BS1147" s="2692"/>
      <c r="BT1147" s="2692"/>
      <c r="BU1147" s="2692"/>
      <c r="BV1147" s="2692"/>
      <c r="BW1147" s="6083"/>
      <c r="BX1147" s="2723"/>
      <c r="BY1147" s="2723"/>
      <c r="BZ1147" s="2723"/>
      <c r="CA1147" s="2723"/>
      <c r="CB1147" s="2689">
        <v>800217</v>
      </c>
      <c r="CC1147" s="2692"/>
      <c r="CD1147" s="2692"/>
      <c r="CE1147" s="5169"/>
      <c r="CF1147" s="5169"/>
      <c r="CG1147" s="5169"/>
      <c r="CH1147" s="5169"/>
    </row>
    <row r="1148" s="4965" customFormat="1" ht="61" customHeight="1" spans="1:86">
      <c r="A1148" s="5079"/>
      <c r="B1148" s="5821"/>
      <c r="C1148" s="5821"/>
      <c r="D1148" s="6040"/>
      <c r="E1148" s="5821"/>
      <c r="F1148" s="6042"/>
      <c r="G1148" s="6043"/>
      <c r="H1148" s="6043"/>
      <c r="I1148" s="6042"/>
      <c r="J1148" s="6043"/>
      <c r="K1148" s="6042"/>
      <c r="L1148" s="6043"/>
      <c r="M1148" s="6050"/>
      <c r="N1148" s="6050"/>
      <c r="O1148" s="6050"/>
      <c r="P1148" s="6050"/>
      <c r="Q1148" s="6050"/>
      <c r="R1148" s="6050"/>
      <c r="S1148" s="6050"/>
      <c r="T1148" s="6050"/>
      <c r="U1148" s="6050"/>
      <c r="V1148" s="6050"/>
      <c r="W1148" s="6050"/>
      <c r="X1148" s="6050"/>
      <c r="Y1148" s="6050"/>
      <c r="Z1148" s="6050"/>
      <c r="AA1148" s="6050"/>
      <c r="AB1148" s="6050"/>
      <c r="AC1148" s="2692">
        <v>4</v>
      </c>
      <c r="AD1148" s="6058" t="s">
        <v>2029</v>
      </c>
      <c r="AE1148" s="6059">
        <v>0.2</v>
      </c>
      <c r="AF1148" s="2723">
        <f>M1145*AE1148</f>
        <v>800217</v>
      </c>
      <c r="AG1148" s="2689">
        <f t="shared" si="249"/>
        <v>800217</v>
      </c>
      <c r="AH1148" s="6058" t="s">
        <v>122</v>
      </c>
      <c r="AI1148" s="2689">
        <v>45243</v>
      </c>
      <c r="AJ1148" s="2689">
        <v>800217</v>
      </c>
      <c r="AK1148" s="2689">
        <v>45243</v>
      </c>
      <c r="AL1148" s="2689">
        <v>800217</v>
      </c>
      <c r="AM1148" s="2689">
        <v>45243</v>
      </c>
      <c r="AN1148" s="2689">
        <f t="shared" si="246"/>
        <v>800217</v>
      </c>
      <c r="AO1148" s="2689">
        <v>45282</v>
      </c>
      <c r="AP1148" s="2692">
        <f t="shared" si="250"/>
        <v>0</v>
      </c>
      <c r="AQ1148" s="6070"/>
      <c r="AR1148" s="2692"/>
      <c r="AS1148" s="6073"/>
      <c r="AT1148" s="6070"/>
      <c r="AU1148" s="2692"/>
      <c r="AV1148" s="2692"/>
      <c r="AW1148" s="2692"/>
      <c r="AX1148" s="2692"/>
      <c r="AY1148" s="2692"/>
      <c r="AZ1148" s="2692"/>
      <c r="BA1148" s="2689"/>
      <c r="BB1148" s="2689"/>
      <c r="BC1148" s="2689"/>
      <c r="BD1148" s="2689"/>
      <c r="BE1148" s="2689"/>
      <c r="BF1148" s="2689"/>
      <c r="BG1148" s="2689"/>
      <c r="BH1148" s="2689"/>
      <c r="BI1148" s="6077"/>
      <c r="BJ1148" s="6077"/>
      <c r="BK1148" s="6077"/>
      <c r="BL1148" s="6077"/>
      <c r="BM1148" s="6077"/>
      <c r="BN1148" s="2689">
        <v>800217</v>
      </c>
      <c r="BO1148" s="2692"/>
      <c r="BP1148" s="2692"/>
      <c r="BQ1148" s="2692"/>
      <c r="BR1148" s="2692"/>
      <c r="BS1148" s="2692"/>
      <c r="BT1148" s="2692"/>
      <c r="BU1148" s="2692"/>
      <c r="BV1148" s="2692"/>
      <c r="BW1148" s="6083"/>
      <c r="BX1148" s="2723"/>
      <c r="BY1148" s="2723"/>
      <c r="BZ1148" s="2723"/>
      <c r="CA1148" s="2723"/>
      <c r="CB1148" s="2689">
        <v>800217</v>
      </c>
      <c r="CC1148" s="2692"/>
      <c r="CD1148" s="2692"/>
      <c r="CE1148" s="5169"/>
      <c r="CF1148" s="5169"/>
      <c r="CG1148" s="5169"/>
      <c r="CH1148" s="5169"/>
    </row>
    <row r="1149" s="4965" customFormat="1" ht="61" customHeight="1" spans="1:86">
      <c r="A1149" s="5079"/>
      <c r="B1149" s="5821"/>
      <c r="C1149" s="5821"/>
      <c r="D1149" s="6040"/>
      <c r="E1149" s="5821"/>
      <c r="F1149" s="6044"/>
      <c r="G1149" s="6045"/>
      <c r="H1149" s="6045"/>
      <c r="I1149" s="6044"/>
      <c r="J1149" s="6045"/>
      <c r="K1149" s="6044"/>
      <c r="L1149" s="6045"/>
      <c r="M1149" s="6051"/>
      <c r="N1149" s="6051"/>
      <c r="O1149" s="6051"/>
      <c r="P1149" s="6051"/>
      <c r="Q1149" s="6051"/>
      <c r="R1149" s="6051"/>
      <c r="S1149" s="6051"/>
      <c r="T1149" s="6051"/>
      <c r="U1149" s="6051"/>
      <c r="V1149" s="6051"/>
      <c r="W1149" s="6051"/>
      <c r="X1149" s="6051"/>
      <c r="Y1149" s="6051"/>
      <c r="Z1149" s="6051"/>
      <c r="AA1149" s="6051"/>
      <c r="AB1149" s="6051"/>
      <c r="AC1149" s="2692">
        <v>5</v>
      </c>
      <c r="AD1149" s="6058" t="s">
        <v>351</v>
      </c>
      <c r="AE1149" s="6059">
        <v>0.1</v>
      </c>
      <c r="AF1149" s="2723">
        <f>M1145*AE1149</f>
        <v>400108.5</v>
      </c>
      <c r="AG1149" s="2689">
        <f t="shared" si="249"/>
        <v>382902.2</v>
      </c>
      <c r="AH1149" s="6058" t="s">
        <v>122</v>
      </c>
      <c r="AI1149" s="2692">
        <v>45804</v>
      </c>
      <c r="AJ1149" s="2692">
        <v>382902.2</v>
      </c>
      <c r="AK1149" s="2692">
        <v>45804</v>
      </c>
      <c r="AL1149" s="2692">
        <v>382902.2</v>
      </c>
      <c r="AM1149" s="2692">
        <v>45805</v>
      </c>
      <c r="AN1149" s="2689">
        <f t="shared" si="246"/>
        <v>382902.2</v>
      </c>
      <c r="AO1149" s="2689">
        <v>45929</v>
      </c>
      <c r="AP1149" s="2692">
        <f t="shared" si="250"/>
        <v>0</v>
      </c>
      <c r="AQ1149" s="6070"/>
      <c r="AR1149" s="2692"/>
      <c r="AS1149" s="6073"/>
      <c r="AT1149" s="6070"/>
      <c r="AU1149" s="2692"/>
      <c r="AV1149" s="2692"/>
      <c r="AW1149" s="2692"/>
      <c r="AX1149" s="2692"/>
      <c r="AY1149" s="2692"/>
      <c r="AZ1149" s="2692"/>
      <c r="BA1149" s="2689"/>
      <c r="BB1149" s="2689"/>
      <c r="BC1149" s="2689">
        <v>200000</v>
      </c>
      <c r="BD1149" s="2689"/>
      <c r="BE1149" s="2689"/>
      <c r="BF1149" s="2689"/>
      <c r="BG1149" s="2689"/>
      <c r="BH1149" s="2689"/>
      <c r="BI1149" s="6077"/>
      <c r="BJ1149" s="6077"/>
      <c r="BK1149" s="6077"/>
      <c r="BL1149" s="6077"/>
      <c r="BM1149" s="6077"/>
      <c r="BN1149" s="2689">
        <v>182902.2</v>
      </c>
      <c r="BO1149" s="2692"/>
      <c r="BP1149" s="2692"/>
      <c r="BQ1149" s="2692">
        <v>200000</v>
      </c>
      <c r="BR1149" s="2692"/>
      <c r="BS1149" s="2692"/>
      <c r="BT1149" s="2692"/>
      <c r="BU1149" s="2692"/>
      <c r="BV1149" s="2692"/>
      <c r="BW1149" s="6083"/>
      <c r="BX1149" s="2723"/>
      <c r="BY1149" s="2723"/>
      <c r="BZ1149" s="2723"/>
      <c r="CA1149" s="2723"/>
      <c r="CB1149" s="2692">
        <v>182902.2</v>
      </c>
      <c r="CC1149" s="2692"/>
      <c r="CD1149" s="2692"/>
      <c r="CE1149" s="5169"/>
      <c r="CF1149" s="5169"/>
      <c r="CG1149" s="5169"/>
      <c r="CH1149" s="5169"/>
    </row>
    <row r="1150" s="4965" customFormat="1" ht="61" customHeight="1" spans="1:86">
      <c r="A1150" s="5079"/>
      <c r="B1150" s="5821"/>
      <c r="C1150" s="5821">
        <v>45128</v>
      </c>
      <c r="D1150" s="6040"/>
      <c r="E1150" s="5821"/>
      <c r="F1150" s="6046" t="s">
        <v>2030</v>
      </c>
      <c r="G1150" s="6046" t="s">
        <v>2023</v>
      </c>
      <c r="H1150" s="6046" t="s">
        <v>353</v>
      </c>
      <c r="I1150" s="6046"/>
      <c r="J1150" s="6046" t="s">
        <v>2024</v>
      </c>
      <c r="K1150" s="6046" t="s">
        <v>2031</v>
      </c>
      <c r="L1150" s="6046" t="s">
        <v>2032</v>
      </c>
      <c r="M1150" s="6052">
        <f>SUM(N1150:AA1159)</f>
        <v>2759220</v>
      </c>
      <c r="N1150" s="6052"/>
      <c r="O1150" s="6052"/>
      <c r="P1150" s="6052"/>
      <c r="Q1150" s="6052"/>
      <c r="R1150" s="6052"/>
      <c r="S1150" s="6052"/>
      <c r="T1150" s="6052"/>
      <c r="U1150" s="6052"/>
      <c r="V1150" s="6052"/>
      <c r="W1150" s="6052"/>
      <c r="X1150" s="6052"/>
      <c r="Y1150" s="6052"/>
      <c r="Z1150" s="6052"/>
      <c r="AA1150" s="6052">
        <v>2759220</v>
      </c>
      <c r="AB1150" s="6055" t="s">
        <v>126</v>
      </c>
      <c r="AC1150" s="6060">
        <v>1</v>
      </c>
      <c r="AD1150" s="6061" t="s">
        <v>1787</v>
      </c>
      <c r="AE1150" s="6062">
        <v>0.1</v>
      </c>
      <c r="AF1150" s="6063">
        <f>M1150*AE1150</f>
        <v>275922</v>
      </c>
      <c r="AG1150" s="6069">
        <f t="shared" si="249"/>
        <v>275922</v>
      </c>
      <c r="AH1150" s="6061" t="s">
        <v>122</v>
      </c>
      <c r="AI1150" s="6060">
        <v>45149</v>
      </c>
      <c r="AJ1150" s="6060">
        <v>275922</v>
      </c>
      <c r="AK1150" s="6060">
        <v>45149</v>
      </c>
      <c r="AL1150" s="6060">
        <v>275922</v>
      </c>
      <c r="AM1150" s="6060">
        <v>45149</v>
      </c>
      <c r="AN1150" s="6060">
        <v>275922</v>
      </c>
      <c r="AO1150" s="6069">
        <v>45196</v>
      </c>
      <c r="AP1150" s="6060">
        <f t="shared" si="250"/>
        <v>0</v>
      </c>
      <c r="AQ1150" s="6071"/>
      <c r="AR1150" s="6060"/>
      <c r="AS1150" s="6074"/>
      <c r="AT1150" s="6071"/>
      <c r="AU1150" s="6060"/>
      <c r="AV1150" s="6060"/>
      <c r="AW1150" s="6060"/>
      <c r="AX1150" s="6060"/>
      <c r="AY1150" s="6060"/>
      <c r="AZ1150" s="6060"/>
      <c r="BA1150" s="6069"/>
      <c r="BB1150" s="6069"/>
      <c r="BC1150" s="6069"/>
      <c r="BD1150" s="6069"/>
      <c r="BE1150" s="6069"/>
      <c r="BF1150" s="6069"/>
      <c r="BG1150" s="6069"/>
      <c r="BH1150" s="6069"/>
      <c r="BI1150" s="6064"/>
      <c r="BJ1150" s="6064"/>
      <c r="BK1150" s="6064"/>
      <c r="BL1150" s="6064"/>
      <c r="BM1150" s="6064"/>
      <c r="BN1150" s="6069">
        <v>275922</v>
      </c>
      <c r="BO1150" s="6060"/>
      <c r="BP1150" s="6060"/>
      <c r="BQ1150" s="6060"/>
      <c r="BR1150" s="6060"/>
      <c r="BS1150" s="6060"/>
      <c r="BT1150" s="6060"/>
      <c r="BU1150" s="6060"/>
      <c r="BV1150" s="6060"/>
      <c r="BW1150" s="6084"/>
      <c r="BX1150" s="6063"/>
      <c r="BY1150" s="6063"/>
      <c r="BZ1150" s="6063"/>
      <c r="CA1150" s="6063"/>
      <c r="CB1150" s="6060">
        <v>275922</v>
      </c>
      <c r="CC1150" s="6060"/>
      <c r="CD1150" s="6060"/>
      <c r="CE1150" s="5169"/>
      <c r="CF1150" s="5169"/>
      <c r="CG1150" s="5169"/>
      <c r="CH1150" s="5169"/>
    </row>
    <row r="1151" s="4965" customFormat="1" ht="61" customHeight="1" spans="1:86">
      <c r="A1151" s="5079"/>
      <c r="B1151" s="5821"/>
      <c r="C1151" s="5821"/>
      <c r="D1151" s="6040"/>
      <c r="E1151" s="5821"/>
      <c r="F1151" s="6047"/>
      <c r="G1151" s="6047"/>
      <c r="H1151" s="6047"/>
      <c r="I1151" s="6048"/>
      <c r="J1151" s="6047"/>
      <c r="K1151" s="6048"/>
      <c r="L1151" s="6047"/>
      <c r="M1151" s="6053"/>
      <c r="N1151" s="6053"/>
      <c r="O1151" s="6053"/>
      <c r="P1151" s="6053"/>
      <c r="Q1151" s="6053"/>
      <c r="R1151" s="6053"/>
      <c r="S1151" s="6053"/>
      <c r="T1151" s="6053"/>
      <c r="U1151" s="6053"/>
      <c r="V1151" s="6053"/>
      <c r="W1151" s="6053"/>
      <c r="X1151" s="6053"/>
      <c r="Y1151" s="6053"/>
      <c r="Z1151" s="6053"/>
      <c r="AA1151" s="6053"/>
      <c r="AB1151" s="6053"/>
      <c r="AC1151" s="6064" t="s">
        <v>2033</v>
      </c>
      <c r="AD1151" s="6061" t="s">
        <v>2034</v>
      </c>
      <c r="AE1151" s="6061" t="s">
        <v>2035</v>
      </c>
      <c r="AF1151" s="6063">
        <f>360000*40%</f>
        <v>144000</v>
      </c>
      <c r="AG1151" s="6069">
        <f t="shared" ref="AG1151:AG1213" si="251">SUM(BA1151:BN1151)</f>
        <v>144000</v>
      </c>
      <c r="AH1151" s="6061" t="s">
        <v>122</v>
      </c>
      <c r="AI1151" s="6060">
        <v>45149</v>
      </c>
      <c r="AJ1151" s="6060">
        <v>144000</v>
      </c>
      <c r="AK1151" s="6060">
        <v>45149</v>
      </c>
      <c r="AL1151" s="6060">
        <v>144000</v>
      </c>
      <c r="AM1151" s="6060">
        <v>45149</v>
      </c>
      <c r="AN1151" s="6060">
        <v>144000</v>
      </c>
      <c r="AO1151" s="6069">
        <v>45196</v>
      </c>
      <c r="AP1151" s="6060">
        <f t="shared" si="250"/>
        <v>0</v>
      </c>
      <c r="AQ1151" s="6071"/>
      <c r="AR1151" s="6060"/>
      <c r="AS1151" s="6074"/>
      <c r="AT1151" s="6071"/>
      <c r="AU1151" s="6060"/>
      <c r="AV1151" s="6060"/>
      <c r="AW1151" s="6060"/>
      <c r="AX1151" s="6060"/>
      <c r="AY1151" s="6060"/>
      <c r="AZ1151" s="6060"/>
      <c r="BA1151" s="6069"/>
      <c r="BB1151" s="6069"/>
      <c r="BC1151" s="6069"/>
      <c r="BD1151" s="6069"/>
      <c r="BE1151" s="6069"/>
      <c r="BF1151" s="6069"/>
      <c r="BG1151" s="6069"/>
      <c r="BH1151" s="6069"/>
      <c r="BI1151" s="6064"/>
      <c r="BJ1151" s="6064"/>
      <c r="BK1151" s="6064"/>
      <c r="BL1151" s="6064"/>
      <c r="BM1151" s="6064"/>
      <c r="BN1151" s="6069">
        <v>144000</v>
      </c>
      <c r="BO1151" s="6060"/>
      <c r="BP1151" s="6060"/>
      <c r="BQ1151" s="6060"/>
      <c r="BR1151" s="6060"/>
      <c r="BS1151" s="6060"/>
      <c r="BT1151" s="6060"/>
      <c r="BU1151" s="6060"/>
      <c r="BV1151" s="6060"/>
      <c r="BW1151" s="6084"/>
      <c r="BX1151" s="6063"/>
      <c r="BY1151" s="6063"/>
      <c r="BZ1151" s="6063"/>
      <c r="CA1151" s="6063"/>
      <c r="CB1151" s="6060">
        <v>144000</v>
      </c>
      <c r="CC1151" s="6060"/>
      <c r="CD1151" s="6060"/>
      <c r="CE1151" s="5169"/>
      <c r="CF1151" s="5169"/>
      <c r="CG1151" s="5169"/>
      <c r="CH1151" s="5169"/>
    </row>
    <row r="1152" s="4965" customFormat="1" ht="61" customHeight="1" spans="1:86">
      <c r="A1152" s="5079"/>
      <c r="B1152" s="5821"/>
      <c r="C1152" s="5821"/>
      <c r="D1152" s="6040"/>
      <c r="E1152" s="5821"/>
      <c r="F1152" s="6047"/>
      <c r="G1152" s="6047"/>
      <c r="H1152" s="6047"/>
      <c r="I1152" s="6048"/>
      <c r="J1152" s="6047"/>
      <c r="K1152" s="6048"/>
      <c r="L1152" s="6047"/>
      <c r="M1152" s="6053"/>
      <c r="N1152" s="6053"/>
      <c r="O1152" s="6053"/>
      <c r="P1152" s="6053"/>
      <c r="Q1152" s="6053"/>
      <c r="R1152" s="6053"/>
      <c r="S1152" s="6053"/>
      <c r="T1152" s="6053"/>
      <c r="U1152" s="6053"/>
      <c r="V1152" s="6053"/>
      <c r="W1152" s="6053"/>
      <c r="X1152" s="6053"/>
      <c r="Y1152" s="6053"/>
      <c r="Z1152" s="6053"/>
      <c r="AA1152" s="6053"/>
      <c r="AB1152" s="6053"/>
      <c r="AC1152" s="6064" t="s">
        <v>2036</v>
      </c>
      <c r="AD1152" s="6061" t="s">
        <v>2037</v>
      </c>
      <c r="AE1152" s="6061" t="s">
        <v>2038</v>
      </c>
      <c r="AF1152" s="6063">
        <f>360000*30%</f>
        <v>108000</v>
      </c>
      <c r="AG1152" s="6069">
        <f t="shared" si="251"/>
        <v>108000</v>
      </c>
      <c r="AH1152" s="6061" t="s">
        <v>122</v>
      </c>
      <c r="AI1152" s="6060">
        <v>45149</v>
      </c>
      <c r="AJ1152" s="6060">
        <v>108000</v>
      </c>
      <c r="AK1152" s="6060">
        <v>45149</v>
      </c>
      <c r="AL1152" s="6060">
        <v>108000</v>
      </c>
      <c r="AM1152" s="6060">
        <v>45149</v>
      </c>
      <c r="AN1152" s="6060">
        <v>108000</v>
      </c>
      <c r="AO1152" s="6069">
        <v>45196</v>
      </c>
      <c r="AP1152" s="6060">
        <f t="shared" si="250"/>
        <v>0</v>
      </c>
      <c r="AQ1152" s="6071"/>
      <c r="AR1152" s="6060"/>
      <c r="AS1152" s="6074"/>
      <c r="AT1152" s="6071"/>
      <c r="AU1152" s="6060"/>
      <c r="AV1152" s="6060"/>
      <c r="AW1152" s="6060"/>
      <c r="AX1152" s="6060"/>
      <c r="AY1152" s="6060"/>
      <c r="AZ1152" s="6060"/>
      <c r="BA1152" s="6069"/>
      <c r="BB1152" s="6069"/>
      <c r="BC1152" s="6069"/>
      <c r="BD1152" s="6069"/>
      <c r="BE1152" s="6069"/>
      <c r="BF1152" s="6069"/>
      <c r="BG1152" s="6069"/>
      <c r="BH1152" s="6069"/>
      <c r="BI1152" s="6064"/>
      <c r="BJ1152" s="6064"/>
      <c r="BK1152" s="6064"/>
      <c r="BL1152" s="6064"/>
      <c r="BM1152" s="6064"/>
      <c r="BN1152" s="6069">
        <v>108000</v>
      </c>
      <c r="BO1152" s="6060"/>
      <c r="BP1152" s="6060"/>
      <c r="BQ1152" s="6060"/>
      <c r="BR1152" s="6060"/>
      <c r="BS1152" s="6060"/>
      <c r="BT1152" s="6060"/>
      <c r="BU1152" s="6060"/>
      <c r="BV1152" s="6060"/>
      <c r="BW1152" s="6084"/>
      <c r="BX1152" s="6063"/>
      <c r="BY1152" s="6063"/>
      <c r="BZ1152" s="6063"/>
      <c r="CA1152" s="6063"/>
      <c r="CB1152" s="6060">
        <v>108000</v>
      </c>
      <c r="CC1152" s="6060"/>
      <c r="CD1152" s="6060"/>
      <c r="CE1152" s="5169"/>
      <c r="CF1152" s="5169"/>
      <c r="CG1152" s="5169"/>
      <c r="CH1152" s="5169"/>
    </row>
    <row r="1153" s="4965" customFormat="1" ht="61" customHeight="1" spans="1:86">
      <c r="A1153" s="5079"/>
      <c r="B1153" s="5821"/>
      <c r="C1153" s="5821"/>
      <c r="D1153" s="6040"/>
      <c r="E1153" s="5821"/>
      <c r="F1153" s="6047"/>
      <c r="G1153" s="6047"/>
      <c r="H1153" s="6047"/>
      <c r="I1153" s="6048"/>
      <c r="J1153" s="6047"/>
      <c r="K1153" s="6048"/>
      <c r="L1153" s="6047"/>
      <c r="M1153" s="6053"/>
      <c r="N1153" s="6053"/>
      <c r="O1153" s="6053"/>
      <c r="P1153" s="6053"/>
      <c r="Q1153" s="6053"/>
      <c r="R1153" s="6053"/>
      <c r="S1153" s="6053"/>
      <c r="T1153" s="6053"/>
      <c r="U1153" s="6053"/>
      <c r="V1153" s="6053"/>
      <c r="W1153" s="6053"/>
      <c r="X1153" s="6053"/>
      <c r="Y1153" s="6053"/>
      <c r="Z1153" s="6053"/>
      <c r="AA1153" s="6053"/>
      <c r="AB1153" s="6053"/>
      <c r="AC1153" s="6064" t="s">
        <v>2039</v>
      </c>
      <c r="AD1153" s="6061" t="s">
        <v>2040</v>
      </c>
      <c r="AE1153" s="6061" t="s">
        <v>2041</v>
      </c>
      <c r="AF1153" s="6063">
        <f>360000*10%</f>
        <v>36000</v>
      </c>
      <c r="AG1153" s="6069">
        <f t="shared" si="251"/>
        <v>36000</v>
      </c>
      <c r="AH1153" s="6061" t="s">
        <v>122</v>
      </c>
      <c r="AI1153" s="6069">
        <v>45512</v>
      </c>
      <c r="AJ1153" s="6069">
        <f>SUM(BD1153:BQ1153)</f>
        <v>36000</v>
      </c>
      <c r="AK1153" s="6069">
        <v>45512</v>
      </c>
      <c r="AL1153" s="6069">
        <f>SUM(BF1153:BS1153)</f>
        <v>36000</v>
      </c>
      <c r="AM1153" s="6069">
        <v>45512</v>
      </c>
      <c r="AN1153" s="6069">
        <f t="shared" ref="AN1151:AN1208" si="252">SUM(BO1153:CB1153)</f>
        <v>36000</v>
      </c>
      <c r="AO1153" s="6069">
        <v>45588</v>
      </c>
      <c r="AP1153" s="6060">
        <f t="shared" si="250"/>
        <v>0</v>
      </c>
      <c r="AQ1153" s="6071"/>
      <c r="AR1153" s="6060"/>
      <c r="AS1153" s="6074"/>
      <c r="AT1153" s="6071"/>
      <c r="AU1153" s="6060"/>
      <c r="AV1153" s="6060"/>
      <c r="AW1153" s="6060"/>
      <c r="AX1153" s="6060"/>
      <c r="AY1153" s="6060"/>
      <c r="AZ1153" s="6060"/>
      <c r="BA1153" s="6069"/>
      <c r="BB1153" s="6069"/>
      <c r="BC1153" s="6069"/>
      <c r="BD1153" s="6069"/>
      <c r="BE1153" s="6069"/>
      <c r="BF1153" s="6069"/>
      <c r="BG1153" s="6069"/>
      <c r="BH1153" s="6069"/>
      <c r="BI1153" s="6064"/>
      <c r="BJ1153" s="6064"/>
      <c r="BK1153" s="6064"/>
      <c r="BL1153" s="6064"/>
      <c r="BM1153" s="6064"/>
      <c r="BN1153" s="6069">
        <v>36000</v>
      </c>
      <c r="BO1153" s="6060"/>
      <c r="BP1153" s="6060"/>
      <c r="BQ1153" s="6060"/>
      <c r="BR1153" s="6060"/>
      <c r="BS1153" s="6060"/>
      <c r="BT1153" s="6060"/>
      <c r="BU1153" s="6060"/>
      <c r="BV1153" s="6060"/>
      <c r="BW1153" s="6084"/>
      <c r="BX1153" s="6063"/>
      <c r="BY1153" s="6063"/>
      <c r="BZ1153" s="6063"/>
      <c r="CA1153" s="6063"/>
      <c r="CB1153" s="6069">
        <v>36000</v>
      </c>
      <c r="CC1153" s="6060"/>
      <c r="CD1153" s="6060"/>
      <c r="CE1153" s="5169">
        <f>SUBTOTAL(9,BO1153:CB1153)</f>
        <v>36000</v>
      </c>
      <c r="CF1153" s="5169">
        <f>AN1153-CE1153</f>
        <v>0</v>
      </c>
      <c r="CG1153" s="5169"/>
      <c r="CH1153" s="5169"/>
    </row>
    <row r="1154" s="4965" customFormat="1" ht="61" customHeight="1" spans="1:86">
      <c r="A1154" s="5079"/>
      <c r="B1154" s="5821"/>
      <c r="C1154" s="5821"/>
      <c r="D1154" s="6040"/>
      <c r="E1154" s="5821"/>
      <c r="F1154" s="6047"/>
      <c r="G1154" s="6047"/>
      <c r="H1154" s="6047"/>
      <c r="I1154" s="6048"/>
      <c r="J1154" s="6047"/>
      <c r="K1154" s="6048"/>
      <c r="L1154" s="6047"/>
      <c r="M1154" s="6053"/>
      <c r="N1154" s="6053"/>
      <c r="O1154" s="6053"/>
      <c r="P1154" s="6053"/>
      <c r="Q1154" s="6053"/>
      <c r="R1154" s="6053"/>
      <c r="S1154" s="6053"/>
      <c r="T1154" s="6053"/>
      <c r="U1154" s="6053"/>
      <c r="V1154" s="6053"/>
      <c r="W1154" s="6053"/>
      <c r="X1154" s="6053"/>
      <c r="Y1154" s="6053"/>
      <c r="Z1154" s="6053"/>
      <c r="AA1154" s="6053"/>
      <c r="AB1154" s="6053"/>
      <c r="AC1154" s="6064" t="s">
        <v>2042</v>
      </c>
      <c r="AD1154" s="6061" t="s">
        <v>2043</v>
      </c>
      <c r="AE1154" s="6061" t="s">
        <v>2044</v>
      </c>
      <c r="AF1154" s="6063">
        <f>2399220*15%</f>
        <v>359883</v>
      </c>
      <c r="AG1154" s="6069">
        <f t="shared" si="251"/>
        <v>359883</v>
      </c>
      <c r="AH1154" s="6061" t="s">
        <v>122</v>
      </c>
      <c r="AI1154" s="6069">
        <v>45149</v>
      </c>
      <c r="AJ1154" s="6060">
        <v>359883</v>
      </c>
      <c r="AK1154" s="6060">
        <v>45149</v>
      </c>
      <c r="AL1154" s="6060">
        <v>359883</v>
      </c>
      <c r="AM1154" s="6060">
        <v>45149</v>
      </c>
      <c r="AN1154" s="6069">
        <v>359883</v>
      </c>
      <c r="AO1154" s="6069">
        <v>45196</v>
      </c>
      <c r="AP1154" s="6060">
        <f t="shared" si="250"/>
        <v>0</v>
      </c>
      <c r="AQ1154" s="6071"/>
      <c r="AR1154" s="6060"/>
      <c r="AS1154" s="6074"/>
      <c r="AT1154" s="6071"/>
      <c r="AU1154" s="6060"/>
      <c r="AV1154" s="6060"/>
      <c r="AW1154" s="6060"/>
      <c r="AX1154" s="6060"/>
      <c r="AY1154" s="6060"/>
      <c r="AZ1154" s="6060"/>
      <c r="BA1154" s="6069"/>
      <c r="BB1154" s="6069"/>
      <c r="BC1154" s="6069"/>
      <c r="BD1154" s="6069"/>
      <c r="BE1154" s="6069"/>
      <c r="BF1154" s="6069"/>
      <c r="BG1154" s="6069"/>
      <c r="BH1154" s="6069"/>
      <c r="BI1154" s="6064"/>
      <c r="BJ1154" s="6064"/>
      <c r="BK1154" s="6064"/>
      <c r="BL1154" s="6064"/>
      <c r="BM1154" s="6064"/>
      <c r="BN1154" s="6069">
        <v>359883</v>
      </c>
      <c r="BO1154" s="6060"/>
      <c r="BP1154" s="6060"/>
      <c r="BQ1154" s="6060"/>
      <c r="BR1154" s="6060"/>
      <c r="BS1154" s="6060"/>
      <c r="BT1154" s="6060"/>
      <c r="BU1154" s="6060"/>
      <c r="BV1154" s="6060"/>
      <c r="BW1154" s="6084"/>
      <c r="BX1154" s="6063"/>
      <c r="BY1154" s="6063"/>
      <c r="BZ1154" s="6063"/>
      <c r="CA1154" s="6063"/>
      <c r="CB1154" s="6060">
        <v>359883</v>
      </c>
      <c r="CC1154" s="6060"/>
      <c r="CD1154" s="6060"/>
      <c r="CE1154" s="5169"/>
      <c r="CF1154" s="5169"/>
      <c r="CG1154" s="5169"/>
      <c r="CH1154" s="5169"/>
    </row>
    <row r="1155" s="4965" customFormat="1" ht="61" customHeight="1" spans="1:86">
      <c r="A1155" s="5079"/>
      <c r="B1155" s="5821"/>
      <c r="C1155" s="5821"/>
      <c r="D1155" s="6040"/>
      <c r="E1155" s="5821"/>
      <c r="F1155" s="6047"/>
      <c r="G1155" s="6047"/>
      <c r="H1155" s="6047"/>
      <c r="I1155" s="6048"/>
      <c r="J1155" s="6047"/>
      <c r="K1155" s="6048"/>
      <c r="L1155" s="6047"/>
      <c r="M1155" s="6053"/>
      <c r="N1155" s="6053"/>
      <c r="O1155" s="6053"/>
      <c r="P1155" s="6053"/>
      <c r="Q1155" s="6053"/>
      <c r="R1155" s="6053"/>
      <c r="S1155" s="6053"/>
      <c r="T1155" s="6053"/>
      <c r="U1155" s="6053"/>
      <c r="V1155" s="6053"/>
      <c r="W1155" s="6053"/>
      <c r="X1155" s="6053"/>
      <c r="Y1155" s="6053"/>
      <c r="Z1155" s="6053"/>
      <c r="AA1155" s="6053"/>
      <c r="AB1155" s="6053"/>
      <c r="AC1155" s="6064" t="s">
        <v>2045</v>
      </c>
      <c r="AD1155" s="6061" t="s">
        <v>2046</v>
      </c>
      <c r="AE1155" s="6061" t="s">
        <v>2047</v>
      </c>
      <c r="AF1155" s="6063">
        <f>2399220*20%</f>
        <v>479844</v>
      </c>
      <c r="AG1155" s="6069">
        <f t="shared" si="251"/>
        <v>479844</v>
      </c>
      <c r="AH1155" s="6061" t="s">
        <v>122</v>
      </c>
      <c r="AI1155" s="6069">
        <v>45243</v>
      </c>
      <c r="AJ1155" s="6060">
        <v>479844</v>
      </c>
      <c r="AK1155" s="6060">
        <v>45243</v>
      </c>
      <c r="AL1155" s="6060">
        <v>479844</v>
      </c>
      <c r="AM1155" s="6060">
        <v>45243</v>
      </c>
      <c r="AN1155" s="6069">
        <f t="shared" si="252"/>
        <v>479844</v>
      </c>
      <c r="AO1155" s="6069">
        <v>45282</v>
      </c>
      <c r="AP1155" s="6060">
        <f t="shared" si="250"/>
        <v>0</v>
      </c>
      <c r="AQ1155" s="6071"/>
      <c r="AR1155" s="6060"/>
      <c r="AS1155" s="6074"/>
      <c r="AT1155" s="6071"/>
      <c r="AU1155" s="6060"/>
      <c r="AV1155" s="6060"/>
      <c r="AW1155" s="6060"/>
      <c r="AX1155" s="6060"/>
      <c r="AY1155" s="6060"/>
      <c r="AZ1155" s="6060"/>
      <c r="BA1155" s="6069"/>
      <c r="BB1155" s="6069"/>
      <c r="BC1155" s="6069"/>
      <c r="BD1155" s="6069"/>
      <c r="BE1155" s="6069"/>
      <c r="BF1155" s="6069"/>
      <c r="BG1155" s="6069"/>
      <c r="BH1155" s="6069"/>
      <c r="BI1155" s="6064"/>
      <c r="BJ1155" s="6064"/>
      <c r="BK1155" s="6064"/>
      <c r="BL1155" s="6064"/>
      <c r="BM1155" s="6064"/>
      <c r="BN1155" s="6069">
        <v>479844</v>
      </c>
      <c r="BO1155" s="6060"/>
      <c r="BP1155" s="6060"/>
      <c r="BQ1155" s="6060"/>
      <c r="BR1155" s="6060"/>
      <c r="BS1155" s="6060"/>
      <c r="BT1155" s="6060"/>
      <c r="BU1155" s="6060"/>
      <c r="BV1155" s="6060"/>
      <c r="BW1155" s="6084"/>
      <c r="BX1155" s="6063"/>
      <c r="BY1155" s="6063"/>
      <c r="BZ1155" s="6063"/>
      <c r="CA1155" s="6063"/>
      <c r="CB1155" s="6060">
        <v>479844</v>
      </c>
      <c r="CC1155" s="6060"/>
      <c r="CD1155" s="6060"/>
      <c r="CE1155" s="5169"/>
      <c r="CF1155" s="5169"/>
      <c r="CG1155" s="5169"/>
      <c r="CH1155" s="5169"/>
    </row>
    <row r="1156" s="4965" customFormat="1" ht="61" customHeight="1" spans="1:86">
      <c r="A1156" s="5079"/>
      <c r="B1156" s="5821"/>
      <c r="C1156" s="5821"/>
      <c r="D1156" s="6040"/>
      <c r="E1156" s="5821"/>
      <c r="F1156" s="6047"/>
      <c r="G1156" s="6047"/>
      <c r="H1156" s="6047"/>
      <c r="I1156" s="6048"/>
      <c r="J1156" s="6047"/>
      <c r="K1156" s="6048"/>
      <c r="L1156" s="6047"/>
      <c r="M1156" s="6053"/>
      <c r="N1156" s="6053"/>
      <c r="O1156" s="6053"/>
      <c r="P1156" s="6053"/>
      <c r="Q1156" s="6053"/>
      <c r="R1156" s="6053"/>
      <c r="S1156" s="6053"/>
      <c r="T1156" s="6053"/>
      <c r="U1156" s="6053"/>
      <c r="V1156" s="6053"/>
      <c r="W1156" s="6053"/>
      <c r="X1156" s="6053"/>
      <c r="Y1156" s="6053"/>
      <c r="Z1156" s="6053"/>
      <c r="AA1156" s="6053"/>
      <c r="AB1156" s="6053"/>
      <c r="AC1156" s="6064" t="s">
        <v>2048</v>
      </c>
      <c r="AD1156" s="6061" t="s">
        <v>2049</v>
      </c>
      <c r="AE1156" s="6061" t="s">
        <v>2044</v>
      </c>
      <c r="AF1156" s="6063">
        <f>2399220*15%</f>
        <v>359883</v>
      </c>
      <c r="AG1156" s="6069">
        <f t="shared" si="251"/>
        <v>359883</v>
      </c>
      <c r="AH1156" s="6061" t="s">
        <v>122</v>
      </c>
      <c r="AI1156" s="6069">
        <v>45512</v>
      </c>
      <c r="AJ1156" s="6069">
        <f>SUM(BD1156:BQ1156)</f>
        <v>359883</v>
      </c>
      <c r="AK1156" s="6069">
        <v>45512</v>
      </c>
      <c r="AL1156" s="6069">
        <f>SUM(BF1156:BS1156)</f>
        <v>359883</v>
      </c>
      <c r="AM1156" s="6069">
        <v>45512</v>
      </c>
      <c r="AN1156" s="6069">
        <f t="shared" si="252"/>
        <v>359883</v>
      </c>
      <c r="AO1156" s="6069">
        <v>45588</v>
      </c>
      <c r="AP1156" s="6060">
        <f t="shared" si="250"/>
        <v>0</v>
      </c>
      <c r="AQ1156" s="6071"/>
      <c r="AR1156" s="6060"/>
      <c r="AS1156" s="6074"/>
      <c r="AT1156" s="6071"/>
      <c r="AU1156" s="6060"/>
      <c r="AV1156" s="6060"/>
      <c r="AW1156" s="6060"/>
      <c r="AX1156" s="6060"/>
      <c r="AY1156" s="6060"/>
      <c r="AZ1156" s="6060"/>
      <c r="BA1156" s="6069"/>
      <c r="BB1156" s="6069"/>
      <c r="BC1156" s="6069"/>
      <c r="BD1156" s="6069"/>
      <c r="BE1156" s="6069"/>
      <c r="BF1156" s="6069"/>
      <c r="BG1156" s="6069"/>
      <c r="BH1156" s="6069"/>
      <c r="BI1156" s="6064"/>
      <c r="BJ1156" s="6064"/>
      <c r="BK1156" s="6064"/>
      <c r="BL1156" s="6064"/>
      <c r="BM1156" s="6064"/>
      <c r="BN1156" s="6069">
        <v>359883</v>
      </c>
      <c r="BO1156" s="6060"/>
      <c r="BP1156" s="6060"/>
      <c r="BQ1156" s="6060"/>
      <c r="BR1156" s="6060"/>
      <c r="BS1156" s="6060"/>
      <c r="BT1156" s="6060"/>
      <c r="BU1156" s="6060"/>
      <c r="BV1156" s="6060"/>
      <c r="BW1156" s="6084"/>
      <c r="BX1156" s="6063"/>
      <c r="BY1156" s="6063"/>
      <c r="BZ1156" s="6063"/>
      <c r="CA1156" s="6063"/>
      <c r="CB1156" s="6060">
        <v>359883</v>
      </c>
      <c r="CC1156" s="6060"/>
      <c r="CD1156" s="6060"/>
      <c r="CE1156" s="5169">
        <f>SUBTOTAL(9,BO1156:CB1156)</f>
        <v>359883</v>
      </c>
      <c r="CF1156" s="5169">
        <f>AN1156-CE1156</f>
        <v>0</v>
      </c>
      <c r="CG1156" s="5169"/>
      <c r="CH1156" s="5169"/>
    </row>
    <row r="1157" s="4965" customFormat="1" ht="61" customHeight="1" spans="1:86">
      <c r="A1157" s="5079"/>
      <c r="B1157" s="5821"/>
      <c r="C1157" s="5821"/>
      <c r="D1157" s="6040"/>
      <c r="E1157" s="5821"/>
      <c r="F1157" s="6047"/>
      <c r="G1157" s="6047"/>
      <c r="H1157" s="6047"/>
      <c r="I1157" s="6048"/>
      <c r="J1157" s="6047"/>
      <c r="K1157" s="6048"/>
      <c r="L1157" s="6047"/>
      <c r="M1157" s="6053"/>
      <c r="N1157" s="6053"/>
      <c r="O1157" s="6053"/>
      <c r="P1157" s="6053"/>
      <c r="Q1157" s="6053"/>
      <c r="R1157" s="6053"/>
      <c r="S1157" s="6053"/>
      <c r="T1157" s="6053"/>
      <c r="U1157" s="6053"/>
      <c r="V1157" s="6053"/>
      <c r="W1157" s="6053"/>
      <c r="X1157" s="6053"/>
      <c r="Y1157" s="6053"/>
      <c r="Z1157" s="6053"/>
      <c r="AA1157" s="6053"/>
      <c r="AB1157" s="6053"/>
      <c r="AC1157" s="6064" t="s">
        <v>2050</v>
      </c>
      <c r="AD1157" s="6061" t="s">
        <v>2051</v>
      </c>
      <c r="AE1157" s="6061" t="s">
        <v>2047</v>
      </c>
      <c r="AF1157" s="6063">
        <f>2399220*20%</f>
        <v>479844</v>
      </c>
      <c r="AG1157" s="6069">
        <f t="shared" si="251"/>
        <v>479844</v>
      </c>
      <c r="AH1157" s="6061" t="s">
        <v>122</v>
      </c>
      <c r="AI1157" s="6069">
        <v>45512</v>
      </c>
      <c r="AJ1157" s="6069">
        <f>SUM(BD1157:BQ1157)</f>
        <v>479844</v>
      </c>
      <c r="AK1157" s="6069">
        <v>45512</v>
      </c>
      <c r="AL1157" s="6069">
        <f>SUM(BF1157:BS1157)</f>
        <v>479844</v>
      </c>
      <c r="AM1157" s="6069">
        <v>45512</v>
      </c>
      <c r="AN1157" s="6069">
        <f t="shared" si="252"/>
        <v>479844</v>
      </c>
      <c r="AO1157" s="6069">
        <v>45588</v>
      </c>
      <c r="AP1157" s="6060">
        <f t="shared" si="250"/>
        <v>0</v>
      </c>
      <c r="AQ1157" s="6071"/>
      <c r="AR1157" s="6060"/>
      <c r="AS1157" s="6074"/>
      <c r="AT1157" s="6071"/>
      <c r="AU1157" s="6060"/>
      <c r="AV1157" s="6060"/>
      <c r="AW1157" s="6060"/>
      <c r="AX1157" s="6060"/>
      <c r="AY1157" s="6060"/>
      <c r="AZ1157" s="6060"/>
      <c r="BA1157" s="6069"/>
      <c r="BB1157" s="6069"/>
      <c r="BC1157" s="6069"/>
      <c r="BD1157" s="6069"/>
      <c r="BE1157" s="6069"/>
      <c r="BF1157" s="6069"/>
      <c r="BG1157" s="6069"/>
      <c r="BH1157" s="6069"/>
      <c r="BI1157" s="6064"/>
      <c r="BJ1157" s="6064"/>
      <c r="BK1157" s="6064"/>
      <c r="BL1157" s="6064"/>
      <c r="BM1157" s="6064"/>
      <c r="BN1157" s="6069">
        <v>479844</v>
      </c>
      <c r="BO1157" s="6060"/>
      <c r="BP1157" s="6060"/>
      <c r="BQ1157" s="6060"/>
      <c r="BR1157" s="6060"/>
      <c r="BS1157" s="6060"/>
      <c r="BT1157" s="6060"/>
      <c r="BU1157" s="6060"/>
      <c r="BV1157" s="6060"/>
      <c r="BW1157" s="6084"/>
      <c r="BX1157" s="6063"/>
      <c r="BY1157" s="6063"/>
      <c r="BZ1157" s="6063"/>
      <c r="CA1157" s="6063"/>
      <c r="CB1157" s="6060">
        <v>479844</v>
      </c>
      <c r="CC1157" s="6060"/>
      <c r="CD1157" s="6060"/>
      <c r="CE1157" s="5169">
        <f>SUBTOTAL(9,BO1157:CB1157)</f>
        <v>479844</v>
      </c>
      <c r="CF1157" s="5169">
        <f>AN1157-CE1157</f>
        <v>0</v>
      </c>
      <c r="CG1157" s="5169"/>
      <c r="CH1157" s="5169"/>
    </row>
    <row r="1158" s="4965" customFormat="1" ht="61" customHeight="1" spans="1:86">
      <c r="A1158" s="5079"/>
      <c r="B1158" s="5821"/>
      <c r="C1158" s="5821"/>
      <c r="D1158" s="6040"/>
      <c r="E1158" s="5821"/>
      <c r="F1158" s="6047"/>
      <c r="G1158" s="6047"/>
      <c r="H1158" s="6047"/>
      <c r="I1158" s="6048"/>
      <c r="J1158" s="6047"/>
      <c r="K1158" s="6048"/>
      <c r="L1158" s="6047"/>
      <c r="M1158" s="6053"/>
      <c r="N1158" s="6053"/>
      <c r="O1158" s="6053"/>
      <c r="P1158" s="6053"/>
      <c r="Q1158" s="6053"/>
      <c r="R1158" s="6053"/>
      <c r="S1158" s="6053"/>
      <c r="T1158" s="6053"/>
      <c r="U1158" s="6053"/>
      <c r="V1158" s="6053"/>
      <c r="W1158" s="6053"/>
      <c r="X1158" s="6053"/>
      <c r="Y1158" s="6053"/>
      <c r="Z1158" s="6053"/>
      <c r="AA1158" s="6053"/>
      <c r="AB1158" s="6053"/>
      <c r="AC1158" s="6064" t="s">
        <v>2052</v>
      </c>
      <c r="AD1158" s="6061" t="s">
        <v>2053</v>
      </c>
      <c r="AE1158" s="6061" t="s">
        <v>2054</v>
      </c>
      <c r="AF1158" s="6063">
        <f>2399220*5%</f>
        <v>119961</v>
      </c>
      <c r="AG1158" s="6069">
        <f t="shared" si="251"/>
        <v>119961</v>
      </c>
      <c r="AH1158" s="6061" t="s">
        <v>122</v>
      </c>
      <c r="AI1158" s="6060">
        <v>45804</v>
      </c>
      <c r="AJ1158" s="6069">
        <f>SUM(BD1158:BQ1158)</f>
        <v>119961</v>
      </c>
      <c r="AK1158" s="6060">
        <v>45804</v>
      </c>
      <c r="AL1158" s="6069">
        <f>SUM(BF1158:BS1158)</f>
        <v>119961</v>
      </c>
      <c r="AM1158" s="6060">
        <v>45805</v>
      </c>
      <c r="AN1158" s="6069">
        <f t="shared" si="252"/>
        <v>119961</v>
      </c>
      <c r="AO1158" s="6069">
        <v>45929</v>
      </c>
      <c r="AP1158" s="6060">
        <f t="shared" si="250"/>
        <v>0</v>
      </c>
      <c r="AQ1158" s="6071"/>
      <c r="AR1158" s="6060"/>
      <c r="AS1158" s="6074"/>
      <c r="AT1158" s="6071"/>
      <c r="AU1158" s="6060"/>
      <c r="AV1158" s="6060"/>
      <c r="AW1158" s="6060"/>
      <c r="AX1158" s="6060"/>
      <c r="AY1158" s="6060"/>
      <c r="AZ1158" s="6060"/>
      <c r="BA1158" s="6069"/>
      <c r="BB1158" s="6069"/>
      <c r="BC1158" s="6069"/>
      <c r="BD1158" s="6069"/>
      <c r="BE1158" s="6069"/>
      <c r="BF1158" s="6069"/>
      <c r="BG1158" s="6069"/>
      <c r="BH1158" s="6069"/>
      <c r="BI1158" s="6064"/>
      <c r="BJ1158" s="6064"/>
      <c r="BK1158" s="6064"/>
      <c r="BL1158" s="6064"/>
      <c r="BM1158" s="6064"/>
      <c r="BN1158" s="6069">
        <v>119961</v>
      </c>
      <c r="BO1158" s="6060"/>
      <c r="BP1158" s="6060"/>
      <c r="BQ1158" s="6060"/>
      <c r="BR1158" s="6060"/>
      <c r="BS1158" s="6060"/>
      <c r="BT1158" s="6060"/>
      <c r="BU1158" s="6060"/>
      <c r="BV1158" s="6060"/>
      <c r="BW1158" s="6084"/>
      <c r="BX1158" s="6063"/>
      <c r="BY1158" s="6063"/>
      <c r="BZ1158" s="6063"/>
      <c r="CA1158" s="6063"/>
      <c r="CB1158" s="6060">
        <v>119961</v>
      </c>
      <c r="CC1158" s="6060"/>
      <c r="CD1158" s="6060"/>
      <c r="CE1158" s="5169"/>
      <c r="CF1158" s="5169"/>
      <c r="CG1158" s="5169"/>
      <c r="CH1158" s="5169"/>
    </row>
    <row r="1159" s="4965" customFormat="1" ht="61" customHeight="1" spans="1:86">
      <c r="A1159" s="5079"/>
      <c r="B1159" s="5821"/>
      <c r="C1159" s="5821"/>
      <c r="D1159" s="6040"/>
      <c r="E1159" s="5821"/>
      <c r="F1159" s="6085"/>
      <c r="G1159" s="6085"/>
      <c r="H1159" s="6085"/>
      <c r="I1159" s="6115"/>
      <c r="J1159" s="6085"/>
      <c r="K1159" s="6115"/>
      <c r="L1159" s="6085"/>
      <c r="M1159" s="6132"/>
      <c r="N1159" s="6132"/>
      <c r="O1159" s="6132"/>
      <c r="P1159" s="6132"/>
      <c r="Q1159" s="6132"/>
      <c r="R1159" s="6132"/>
      <c r="S1159" s="6132"/>
      <c r="T1159" s="6132"/>
      <c r="U1159" s="6132"/>
      <c r="V1159" s="6132"/>
      <c r="W1159" s="6132"/>
      <c r="X1159" s="6132"/>
      <c r="Y1159" s="6132"/>
      <c r="Z1159" s="6132"/>
      <c r="AA1159" s="6132"/>
      <c r="AB1159" s="6132"/>
      <c r="AC1159" s="6060">
        <v>10</v>
      </c>
      <c r="AD1159" s="6061" t="s">
        <v>2055</v>
      </c>
      <c r="AE1159" s="6061" t="s">
        <v>2056</v>
      </c>
      <c r="AF1159" s="6063">
        <f>360000*10%+2399220*15%</f>
        <v>395883</v>
      </c>
      <c r="AG1159" s="6069">
        <f t="shared" si="251"/>
        <v>395883</v>
      </c>
      <c r="AH1159" s="6061" t="s">
        <v>122</v>
      </c>
      <c r="AI1159" s="6060">
        <v>45804</v>
      </c>
      <c r="AJ1159" s="6069">
        <f>SUM(BD1159:BQ1159)</f>
        <v>395883</v>
      </c>
      <c r="AK1159" s="6060">
        <v>45804</v>
      </c>
      <c r="AL1159" s="6069">
        <f>SUM(BF1159:BS1159)</f>
        <v>395883</v>
      </c>
      <c r="AM1159" s="6060">
        <v>45805</v>
      </c>
      <c r="AN1159" s="6069">
        <f t="shared" si="252"/>
        <v>395883</v>
      </c>
      <c r="AO1159" s="6069">
        <v>45929</v>
      </c>
      <c r="AP1159" s="6060">
        <f t="shared" si="250"/>
        <v>0</v>
      </c>
      <c r="AQ1159" s="6071"/>
      <c r="AR1159" s="6060"/>
      <c r="AS1159" s="6074"/>
      <c r="AT1159" s="6071"/>
      <c r="AU1159" s="6060"/>
      <c r="AV1159" s="6060"/>
      <c r="AW1159" s="6060"/>
      <c r="AX1159" s="6060"/>
      <c r="AY1159" s="6060"/>
      <c r="AZ1159" s="6060"/>
      <c r="BA1159" s="6069"/>
      <c r="BB1159" s="6069"/>
      <c r="BC1159" s="6069"/>
      <c r="BD1159" s="6069"/>
      <c r="BE1159" s="6069"/>
      <c r="BF1159" s="6069"/>
      <c r="BG1159" s="6069"/>
      <c r="BH1159" s="6069"/>
      <c r="BI1159" s="6064"/>
      <c r="BJ1159" s="6064"/>
      <c r="BK1159" s="6064"/>
      <c r="BL1159" s="6064"/>
      <c r="BM1159" s="6064"/>
      <c r="BN1159" s="6069">
        <v>395883</v>
      </c>
      <c r="BO1159" s="6060"/>
      <c r="BP1159" s="6060"/>
      <c r="BQ1159" s="6060"/>
      <c r="BR1159" s="6060"/>
      <c r="BS1159" s="6060"/>
      <c r="BT1159" s="6060"/>
      <c r="BU1159" s="6060"/>
      <c r="BV1159" s="6060"/>
      <c r="BW1159" s="6084"/>
      <c r="BX1159" s="6063"/>
      <c r="BY1159" s="6063"/>
      <c r="BZ1159" s="6063"/>
      <c r="CA1159" s="6063"/>
      <c r="CB1159" s="6060">
        <v>395883</v>
      </c>
      <c r="CC1159" s="6060"/>
      <c r="CD1159" s="6060"/>
      <c r="CE1159" s="5169"/>
      <c r="CF1159" s="5169"/>
      <c r="CG1159" s="5169"/>
      <c r="CH1159" s="5169"/>
    </row>
    <row r="1160" s="4965" customFormat="1" ht="61" customHeight="1" spans="1:86">
      <c r="A1160" s="5079"/>
      <c r="B1160" s="5821"/>
      <c r="C1160" s="5821">
        <v>45128</v>
      </c>
      <c r="D1160" s="6040"/>
      <c r="E1160" s="5821"/>
      <c r="F1160" s="6086" t="s">
        <v>2057</v>
      </c>
      <c r="G1160" s="6086" t="s">
        <v>2023</v>
      </c>
      <c r="H1160" s="6086" t="s">
        <v>362</v>
      </c>
      <c r="I1160" s="6086"/>
      <c r="J1160" s="6086" t="s">
        <v>2024</v>
      </c>
      <c r="K1160" s="6086" t="s">
        <v>2058</v>
      </c>
      <c r="L1160" s="6116">
        <v>1200</v>
      </c>
      <c r="M1160" s="6133">
        <f>SUM(N1160:AB1164)</f>
        <v>1260000</v>
      </c>
      <c r="N1160" s="6133"/>
      <c r="O1160" s="6133"/>
      <c r="P1160" s="6133"/>
      <c r="Q1160" s="6133"/>
      <c r="R1160" s="6133"/>
      <c r="S1160" s="6133"/>
      <c r="T1160" s="6133"/>
      <c r="U1160" s="6133"/>
      <c r="V1160" s="6133"/>
      <c r="W1160" s="6133"/>
      <c r="X1160" s="6133"/>
      <c r="Y1160" s="6133"/>
      <c r="Z1160" s="6133"/>
      <c r="AA1160" s="6133">
        <v>1260000</v>
      </c>
      <c r="AB1160" s="6168" t="s">
        <v>126</v>
      </c>
      <c r="AC1160" s="6173">
        <v>1</v>
      </c>
      <c r="AD1160" s="6174" t="s">
        <v>2059</v>
      </c>
      <c r="AE1160" s="6175">
        <v>0.2</v>
      </c>
      <c r="AF1160" s="6176">
        <f>M1160*AE1160</f>
        <v>252000</v>
      </c>
      <c r="AG1160" s="6225">
        <f t="shared" si="251"/>
        <v>252000</v>
      </c>
      <c r="AH1160" s="6174" t="s">
        <v>122</v>
      </c>
      <c r="AI1160" s="6173">
        <v>45149</v>
      </c>
      <c r="AJ1160" s="6173">
        <v>252000</v>
      </c>
      <c r="AK1160" s="6173">
        <v>45149</v>
      </c>
      <c r="AL1160" s="6173">
        <v>252000</v>
      </c>
      <c r="AM1160" s="6173">
        <v>45149</v>
      </c>
      <c r="AN1160" s="6173">
        <v>252000</v>
      </c>
      <c r="AO1160" s="6225">
        <v>45196</v>
      </c>
      <c r="AP1160" s="6173">
        <f t="shared" si="250"/>
        <v>0</v>
      </c>
      <c r="AQ1160" s="6243"/>
      <c r="AR1160" s="6173"/>
      <c r="AS1160" s="6258"/>
      <c r="AT1160" s="6243"/>
      <c r="AU1160" s="6173"/>
      <c r="AV1160" s="6173"/>
      <c r="AW1160" s="6173"/>
      <c r="AX1160" s="6173"/>
      <c r="AY1160" s="6173"/>
      <c r="AZ1160" s="6173"/>
      <c r="BA1160" s="6225"/>
      <c r="BB1160" s="6225"/>
      <c r="BC1160" s="6225"/>
      <c r="BD1160" s="6225"/>
      <c r="BE1160" s="6225"/>
      <c r="BF1160" s="6225"/>
      <c r="BG1160" s="6225"/>
      <c r="BH1160" s="6225"/>
      <c r="BI1160" s="6272"/>
      <c r="BJ1160" s="6272"/>
      <c r="BK1160" s="6272"/>
      <c r="BL1160" s="6272"/>
      <c r="BM1160" s="6272"/>
      <c r="BN1160" s="6225">
        <v>252000</v>
      </c>
      <c r="BO1160" s="6173"/>
      <c r="BP1160" s="6173"/>
      <c r="BQ1160" s="6173"/>
      <c r="BR1160" s="6173"/>
      <c r="BS1160" s="6173"/>
      <c r="BT1160" s="6173"/>
      <c r="BU1160" s="6173"/>
      <c r="BV1160" s="6173"/>
      <c r="BW1160" s="6277"/>
      <c r="BX1160" s="6176"/>
      <c r="BY1160" s="6176"/>
      <c r="BZ1160" s="6176"/>
      <c r="CA1160" s="6176"/>
      <c r="CB1160" s="6173">
        <v>252000</v>
      </c>
      <c r="CC1160" s="6173"/>
      <c r="CD1160" s="6173"/>
      <c r="CE1160" s="5169"/>
      <c r="CF1160" s="5169"/>
      <c r="CG1160" s="5169"/>
      <c r="CH1160" s="5169"/>
    </row>
    <row r="1161" s="4965" customFormat="1" ht="61" customHeight="1" spans="1:86">
      <c r="A1161" s="5079"/>
      <c r="B1161" s="5821"/>
      <c r="C1161" s="5821"/>
      <c r="D1161" s="6040"/>
      <c r="E1161" s="5821"/>
      <c r="F1161" s="6087"/>
      <c r="G1161" s="6087"/>
      <c r="H1161" s="6087"/>
      <c r="I1161" s="6117"/>
      <c r="J1161" s="6087"/>
      <c r="K1161" s="6117"/>
      <c r="L1161" s="6087"/>
      <c r="M1161" s="6134"/>
      <c r="N1161" s="6134"/>
      <c r="O1161" s="6134"/>
      <c r="P1161" s="6134"/>
      <c r="Q1161" s="6134"/>
      <c r="R1161" s="6134"/>
      <c r="S1161" s="6134"/>
      <c r="T1161" s="6134"/>
      <c r="U1161" s="6134"/>
      <c r="V1161" s="6134"/>
      <c r="W1161" s="6134"/>
      <c r="X1161" s="6134"/>
      <c r="Y1161" s="6134"/>
      <c r="Z1161" s="6134"/>
      <c r="AA1161" s="6134"/>
      <c r="AB1161" s="6134"/>
      <c r="AC1161" s="6173">
        <v>2</v>
      </c>
      <c r="AD1161" s="6174" t="s">
        <v>2060</v>
      </c>
      <c r="AE1161" s="6175">
        <v>0.2</v>
      </c>
      <c r="AF1161" s="6176">
        <f>M1160*AE1161</f>
        <v>252000</v>
      </c>
      <c r="AG1161" s="6225">
        <f t="shared" si="251"/>
        <v>252000</v>
      </c>
      <c r="AH1161" s="6174" t="s">
        <v>122</v>
      </c>
      <c r="AI1161" s="6173">
        <v>45149</v>
      </c>
      <c r="AJ1161" s="6173">
        <v>252000</v>
      </c>
      <c r="AK1161" s="6173">
        <v>45149</v>
      </c>
      <c r="AL1161" s="6173">
        <v>252000</v>
      </c>
      <c r="AM1161" s="6173">
        <v>45149</v>
      </c>
      <c r="AN1161" s="6173">
        <v>252000</v>
      </c>
      <c r="AO1161" s="6225">
        <v>45196</v>
      </c>
      <c r="AP1161" s="6173">
        <f t="shared" si="250"/>
        <v>0</v>
      </c>
      <c r="AQ1161" s="6243"/>
      <c r="AR1161" s="6173"/>
      <c r="AS1161" s="6258"/>
      <c r="AT1161" s="6243"/>
      <c r="AU1161" s="6173"/>
      <c r="AV1161" s="6173"/>
      <c r="AW1161" s="6173"/>
      <c r="AX1161" s="6173"/>
      <c r="AY1161" s="6173"/>
      <c r="AZ1161" s="6173"/>
      <c r="BA1161" s="6225"/>
      <c r="BB1161" s="6225"/>
      <c r="BC1161" s="6225"/>
      <c r="BD1161" s="6225"/>
      <c r="BE1161" s="6225"/>
      <c r="BF1161" s="6225"/>
      <c r="BG1161" s="6225"/>
      <c r="BH1161" s="6225"/>
      <c r="BI1161" s="6272"/>
      <c r="BJ1161" s="6272"/>
      <c r="BK1161" s="6272"/>
      <c r="BL1161" s="6272"/>
      <c r="BM1161" s="6272"/>
      <c r="BN1161" s="6225">
        <v>252000</v>
      </c>
      <c r="BO1161" s="6173"/>
      <c r="BP1161" s="6173"/>
      <c r="BQ1161" s="6173"/>
      <c r="BR1161" s="6173"/>
      <c r="BS1161" s="6173"/>
      <c r="BT1161" s="6173"/>
      <c r="BU1161" s="6173"/>
      <c r="BV1161" s="6173"/>
      <c r="BW1161" s="6277"/>
      <c r="BX1161" s="6176"/>
      <c r="BY1161" s="6176"/>
      <c r="BZ1161" s="6176"/>
      <c r="CA1161" s="6176"/>
      <c r="CB1161" s="6173">
        <v>252000</v>
      </c>
      <c r="CC1161" s="6173"/>
      <c r="CD1161" s="6173"/>
      <c r="CE1161" s="5169"/>
      <c r="CF1161" s="5169"/>
      <c r="CG1161" s="5169"/>
      <c r="CH1161" s="5169"/>
    </row>
    <row r="1162" s="4965" customFormat="1" ht="61" customHeight="1" spans="1:86">
      <c r="A1162" s="5079"/>
      <c r="B1162" s="5821"/>
      <c r="C1162" s="5821"/>
      <c r="D1162" s="6040"/>
      <c r="E1162" s="5821"/>
      <c r="F1162" s="6087"/>
      <c r="G1162" s="6087"/>
      <c r="H1162" s="6087"/>
      <c r="I1162" s="6117"/>
      <c r="J1162" s="6087"/>
      <c r="K1162" s="6117"/>
      <c r="L1162" s="6087"/>
      <c r="M1162" s="6134"/>
      <c r="N1162" s="6134"/>
      <c r="O1162" s="6134"/>
      <c r="P1162" s="6134"/>
      <c r="Q1162" s="6134"/>
      <c r="R1162" s="6134"/>
      <c r="S1162" s="6134"/>
      <c r="T1162" s="6134"/>
      <c r="U1162" s="6134"/>
      <c r="V1162" s="6134"/>
      <c r="W1162" s="6134"/>
      <c r="X1162" s="6134"/>
      <c r="Y1162" s="6134"/>
      <c r="Z1162" s="6134"/>
      <c r="AA1162" s="6134"/>
      <c r="AB1162" s="6134"/>
      <c r="AC1162" s="6173">
        <v>3</v>
      </c>
      <c r="AD1162" s="6174" t="s">
        <v>2061</v>
      </c>
      <c r="AE1162" s="6175">
        <v>0.2</v>
      </c>
      <c r="AF1162" s="6176">
        <f>M1160*AE1162</f>
        <v>252000</v>
      </c>
      <c r="AG1162" s="6225">
        <f t="shared" si="251"/>
        <v>252000</v>
      </c>
      <c r="AH1162" s="6174" t="s">
        <v>122</v>
      </c>
      <c r="AI1162" s="6173">
        <v>45149</v>
      </c>
      <c r="AJ1162" s="6173">
        <v>252000</v>
      </c>
      <c r="AK1162" s="6173">
        <v>45149</v>
      </c>
      <c r="AL1162" s="6173">
        <v>252000</v>
      </c>
      <c r="AM1162" s="6173">
        <v>45149</v>
      </c>
      <c r="AN1162" s="6173">
        <v>252000</v>
      </c>
      <c r="AO1162" s="6225">
        <v>45196</v>
      </c>
      <c r="AP1162" s="6173">
        <f t="shared" si="250"/>
        <v>0</v>
      </c>
      <c r="AQ1162" s="6243"/>
      <c r="AR1162" s="6173"/>
      <c r="AS1162" s="6258"/>
      <c r="AT1162" s="6243"/>
      <c r="AU1162" s="6173"/>
      <c r="AV1162" s="6173"/>
      <c r="AW1162" s="6173"/>
      <c r="AX1162" s="6173"/>
      <c r="AY1162" s="6173"/>
      <c r="AZ1162" s="6173"/>
      <c r="BA1162" s="6225"/>
      <c r="BB1162" s="6225"/>
      <c r="BC1162" s="6225"/>
      <c r="BD1162" s="6225"/>
      <c r="BE1162" s="6225"/>
      <c r="BF1162" s="6225"/>
      <c r="BG1162" s="6225"/>
      <c r="BH1162" s="6225"/>
      <c r="BI1162" s="6272"/>
      <c r="BJ1162" s="6272"/>
      <c r="BK1162" s="6272"/>
      <c r="BL1162" s="6272"/>
      <c r="BM1162" s="6272"/>
      <c r="BN1162" s="6225">
        <v>252000</v>
      </c>
      <c r="BO1162" s="6173"/>
      <c r="BP1162" s="6173"/>
      <c r="BQ1162" s="6173"/>
      <c r="BR1162" s="6173"/>
      <c r="BS1162" s="6173"/>
      <c r="BT1162" s="6173"/>
      <c r="BU1162" s="6173"/>
      <c r="BV1162" s="6173"/>
      <c r="BW1162" s="6277"/>
      <c r="BX1162" s="6176"/>
      <c r="BY1162" s="6176"/>
      <c r="BZ1162" s="6176"/>
      <c r="CA1162" s="6176"/>
      <c r="CB1162" s="6173">
        <v>252000</v>
      </c>
      <c r="CC1162" s="6173"/>
      <c r="CD1162" s="6173"/>
      <c r="CE1162" s="5169"/>
      <c r="CF1162" s="5169"/>
      <c r="CG1162" s="5169"/>
      <c r="CH1162" s="5169"/>
    </row>
    <row r="1163" s="4965" customFormat="1" ht="61" customHeight="1" spans="1:86">
      <c r="A1163" s="5079"/>
      <c r="B1163" s="5821"/>
      <c r="C1163" s="5821"/>
      <c r="D1163" s="6040"/>
      <c r="E1163" s="5821"/>
      <c r="F1163" s="6087"/>
      <c r="G1163" s="6087"/>
      <c r="H1163" s="6087"/>
      <c r="I1163" s="6117"/>
      <c r="J1163" s="6087"/>
      <c r="K1163" s="6117"/>
      <c r="L1163" s="6087"/>
      <c r="M1163" s="6134"/>
      <c r="N1163" s="6134"/>
      <c r="O1163" s="6134"/>
      <c r="P1163" s="6134"/>
      <c r="Q1163" s="6134"/>
      <c r="R1163" s="6134"/>
      <c r="S1163" s="6134"/>
      <c r="T1163" s="6134"/>
      <c r="U1163" s="6134"/>
      <c r="V1163" s="6134"/>
      <c r="W1163" s="6134"/>
      <c r="X1163" s="6134"/>
      <c r="Y1163" s="6134"/>
      <c r="Z1163" s="6134"/>
      <c r="AA1163" s="6134"/>
      <c r="AB1163" s="6134"/>
      <c r="AC1163" s="6173">
        <v>4</v>
      </c>
      <c r="AD1163" s="6174" t="s">
        <v>2062</v>
      </c>
      <c r="AE1163" s="6175">
        <v>0.2</v>
      </c>
      <c r="AF1163" s="6176">
        <f>M1160*AE1163</f>
        <v>252000</v>
      </c>
      <c r="AG1163" s="6225">
        <f t="shared" si="251"/>
        <v>252000</v>
      </c>
      <c r="AH1163" s="6174" t="s">
        <v>122</v>
      </c>
      <c r="AI1163" s="6173">
        <v>45149</v>
      </c>
      <c r="AJ1163" s="6173">
        <v>252000</v>
      </c>
      <c r="AK1163" s="6173">
        <v>45149</v>
      </c>
      <c r="AL1163" s="6173">
        <v>252000</v>
      </c>
      <c r="AM1163" s="6173">
        <v>45149</v>
      </c>
      <c r="AN1163" s="6173">
        <v>252000</v>
      </c>
      <c r="AO1163" s="6225">
        <v>45196</v>
      </c>
      <c r="AP1163" s="6173">
        <f t="shared" si="250"/>
        <v>0</v>
      </c>
      <c r="AQ1163" s="6243"/>
      <c r="AR1163" s="6173"/>
      <c r="AS1163" s="6258"/>
      <c r="AT1163" s="6243"/>
      <c r="AU1163" s="6173"/>
      <c r="AV1163" s="6173"/>
      <c r="AW1163" s="6173"/>
      <c r="AX1163" s="6173"/>
      <c r="AY1163" s="6173"/>
      <c r="AZ1163" s="6173"/>
      <c r="BA1163" s="6225"/>
      <c r="BB1163" s="6225"/>
      <c r="BC1163" s="6225"/>
      <c r="BD1163" s="6225"/>
      <c r="BE1163" s="6225"/>
      <c r="BF1163" s="6225"/>
      <c r="BG1163" s="6225"/>
      <c r="BH1163" s="6225"/>
      <c r="BI1163" s="6272"/>
      <c r="BJ1163" s="6272"/>
      <c r="BK1163" s="6272"/>
      <c r="BL1163" s="6272"/>
      <c r="BM1163" s="6272"/>
      <c r="BN1163" s="6225">
        <v>252000</v>
      </c>
      <c r="BO1163" s="6173"/>
      <c r="BP1163" s="6173"/>
      <c r="BQ1163" s="6173"/>
      <c r="BR1163" s="6173"/>
      <c r="BS1163" s="6173"/>
      <c r="BT1163" s="6173"/>
      <c r="BU1163" s="6173"/>
      <c r="BV1163" s="6173"/>
      <c r="BW1163" s="6277"/>
      <c r="BX1163" s="6176"/>
      <c r="BY1163" s="6176"/>
      <c r="BZ1163" s="6176"/>
      <c r="CA1163" s="6176"/>
      <c r="CB1163" s="6173">
        <v>252000</v>
      </c>
      <c r="CC1163" s="6173"/>
      <c r="CD1163" s="6173"/>
      <c r="CE1163" s="5169"/>
      <c r="CF1163" s="5169"/>
      <c r="CG1163" s="5169"/>
      <c r="CH1163" s="5169"/>
    </row>
    <row r="1164" s="4965" customFormat="1" ht="61" customHeight="1" spans="1:86">
      <c r="A1164" s="5079"/>
      <c r="B1164" s="5821"/>
      <c r="C1164" s="5821"/>
      <c r="D1164" s="6040"/>
      <c r="E1164" s="5821"/>
      <c r="F1164" s="6088"/>
      <c r="G1164" s="6088"/>
      <c r="H1164" s="6088"/>
      <c r="I1164" s="6118"/>
      <c r="J1164" s="6088"/>
      <c r="K1164" s="6118"/>
      <c r="L1164" s="6088"/>
      <c r="M1164" s="6135"/>
      <c r="N1164" s="6135"/>
      <c r="O1164" s="6135"/>
      <c r="P1164" s="6135"/>
      <c r="Q1164" s="6135"/>
      <c r="R1164" s="6135"/>
      <c r="S1164" s="6135"/>
      <c r="T1164" s="6135"/>
      <c r="U1164" s="6135"/>
      <c r="V1164" s="6135"/>
      <c r="W1164" s="6135"/>
      <c r="X1164" s="6135"/>
      <c r="Y1164" s="6135"/>
      <c r="Z1164" s="6135"/>
      <c r="AA1164" s="6135"/>
      <c r="AB1164" s="6135"/>
      <c r="AC1164" s="6173">
        <v>5</v>
      </c>
      <c r="AD1164" s="6174" t="s">
        <v>2063</v>
      </c>
      <c r="AE1164" s="6175">
        <v>0.2</v>
      </c>
      <c r="AF1164" s="6176">
        <f>M1160*AE1164</f>
        <v>252000</v>
      </c>
      <c r="AG1164" s="6225">
        <f t="shared" si="251"/>
        <v>225120</v>
      </c>
      <c r="AH1164" s="6174" t="s">
        <v>122</v>
      </c>
      <c r="AI1164" s="6173">
        <v>45804</v>
      </c>
      <c r="AJ1164" s="6173">
        <v>225120</v>
      </c>
      <c r="AK1164" s="6173">
        <v>45804</v>
      </c>
      <c r="AL1164" s="6173">
        <v>225120</v>
      </c>
      <c r="AM1164" s="6173">
        <v>45805</v>
      </c>
      <c r="AN1164" s="6225">
        <f t="shared" si="252"/>
        <v>225120</v>
      </c>
      <c r="AO1164" s="6225">
        <v>45929</v>
      </c>
      <c r="AP1164" s="6173">
        <f t="shared" si="250"/>
        <v>0</v>
      </c>
      <c r="AQ1164" s="6243"/>
      <c r="AR1164" s="6173"/>
      <c r="AS1164" s="6258"/>
      <c r="AT1164" s="6243"/>
      <c r="AU1164" s="6173"/>
      <c r="AV1164" s="6173"/>
      <c r="AW1164" s="6173"/>
      <c r="AX1164" s="6173"/>
      <c r="AY1164" s="6173"/>
      <c r="AZ1164" s="6173"/>
      <c r="BA1164" s="6225"/>
      <c r="BB1164" s="6225"/>
      <c r="BC1164" s="6225"/>
      <c r="BD1164" s="6225"/>
      <c r="BE1164" s="6225"/>
      <c r="BF1164" s="6225"/>
      <c r="BG1164" s="6225"/>
      <c r="BH1164" s="6225"/>
      <c r="BI1164" s="6272"/>
      <c r="BJ1164" s="6272"/>
      <c r="BK1164" s="6272"/>
      <c r="BL1164" s="6272"/>
      <c r="BM1164" s="6272"/>
      <c r="BN1164" s="6225">
        <v>225120</v>
      </c>
      <c r="BO1164" s="6173"/>
      <c r="BP1164" s="6173"/>
      <c r="BQ1164" s="6173"/>
      <c r="BR1164" s="6173"/>
      <c r="BS1164" s="6173"/>
      <c r="BT1164" s="6173"/>
      <c r="BU1164" s="6173"/>
      <c r="BV1164" s="6173"/>
      <c r="BW1164" s="6277"/>
      <c r="BX1164" s="6176"/>
      <c r="BY1164" s="6176"/>
      <c r="BZ1164" s="6176"/>
      <c r="CA1164" s="6176"/>
      <c r="CB1164" s="6173">
        <v>225120</v>
      </c>
      <c r="CC1164" s="6173"/>
      <c r="CD1164" s="6173"/>
      <c r="CE1164" s="5169"/>
      <c r="CF1164" s="5169"/>
      <c r="CG1164" s="5169"/>
      <c r="CH1164" s="5169"/>
    </row>
    <row r="1165" s="4965" customFormat="1" ht="61" customHeight="1" spans="1:86">
      <c r="A1165" s="5079"/>
      <c r="B1165" s="5821"/>
      <c r="C1165" s="5821">
        <v>45128</v>
      </c>
      <c r="D1165" s="6040"/>
      <c r="E1165" s="5821"/>
      <c r="F1165" s="6089" t="s">
        <v>2064</v>
      </c>
      <c r="G1165" s="6089" t="s">
        <v>2023</v>
      </c>
      <c r="H1165" s="6089" t="s">
        <v>2065</v>
      </c>
      <c r="I1165" s="6089"/>
      <c r="J1165" s="6089" t="s">
        <v>2024</v>
      </c>
      <c r="K1165" s="6089" t="s">
        <v>2066</v>
      </c>
      <c r="L1165" s="6089" t="s">
        <v>2067</v>
      </c>
      <c r="M1165" s="6136">
        <f>SUM(N1165:AB1167)</f>
        <v>477082</v>
      </c>
      <c r="N1165" s="6137"/>
      <c r="O1165" s="6137"/>
      <c r="P1165" s="6137"/>
      <c r="Q1165" s="6137"/>
      <c r="R1165" s="6137"/>
      <c r="S1165" s="6137"/>
      <c r="T1165" s="6137"/>
      <c r="U1165" s="6137"/>
      <c r="V1165" s="6137">
        <v>477082</v>
      </c>
      <c r="W1165" s="6137"/>
      <c r="X1165" s="6137"/>
      <c r="Y1165" s="6137"/>
      <c r="Z1165" s="6137"/>
      <c r="AA1165" s="6137"/>
      <c r="AB1165" s="6137"/>
      <c r="AC1165" s="6177">
        <v>1</v>
      </c>
      <c r="AD1165" s="6178" t="s">
        <v>1925</v>
      </c>
      <c r="AE1165" s="6179">
        <v>0.4</v>
      </c>
      <c r="AF1165" s="6180">
        <f>M1165*AE1165</f>
        <v>190832.8</v>
      </c>
      <c r="AG1165" s="6226">
        <f t="shared" si="251"/>
        <v>190832.8</v>
      </c>
      <c r="AH1165" s="6178" t="s">
        <v>122</v>
      </c>
      <c r="AI1165" s="6226">
        <v>45243</v>
      </c>
      <c r="AJ1165" s="6226">
        <v>190832.8</v>
      </c>
      <c r="AK1165" s="6226">
        <v>45243</v>
      </c>
      <c r="AL1165" s="6226">
        <v>190832.8</v>
      </c>
      <c r="AM1165" s="6226">
        <v>45243</v>
      </c>
      <c r="AN1165" s="6226">
        <f t="shared" si="252"/>
        <v>190832.8</v>
      </c>
      <c r="AO1165" s="6226">
        <v>45282</v>
      </c>
      <c r="AP1165" s="6226">
        <f t="shared" si="250"/>
        <v>0</v>
      </c>
      <c r="AQ1165" s="6244"/>
      <c r="AR1165" s="6177"/>
      <c r="AS1165" s="6259"/>
      <c r="AT1165" s="6244"/>
      <c r="AU1165" s="6177"/>
      <c r="AV1165" s="6177"/>
      <c r="AW1165" s="6177"/>
      <c r="AX1165" s="6177"/>
      <c r="AY1165" s="6177"/>
      <c r="AZ1165" s="6177"/>
      <c r="BA1165" s="6226"/>
      <c r="BB1165" s="6226"/>
      <c r="BC1165" s="6226"/>
      <c r="BD1165" s="6226"/>
      <c r="BE1165" s="6226"/>
      <c r="BF1165" s="6226"/>
      <c r="BG1165" s="6226"/>
      <c r="BH1165" s="6226"/>
      <c r="BI1165" s="6273">
        <v>190832.8</v>
      </c>
      <c r="BJ1165" s="6273"/>
      <c r="BK1165" s="6273"/>
      <c r="BL1165" s="6273"/>
      <c r="BM1165" s="6273"/>
      <c r="BN1165" s="6226"/>
      <c r="BO1165" s="6177"/>
      <c r="BP1165" s="6177"/>
      <c r="BQ1165" s="6177"/>
      <c r="BR1165" s="6177"/>
      <c r="BS1165" s="6177"/>
      <c r="BT1165" s="6177"/>
      <c r="BU1165" s="6177"/>
      <c r="BV1165" s="6177"/>
      <c r="BW1165" s="6273">
        <v>190832.8</v>
      </c>
      <c r="BX1165" s="6180"/>
      <c r="BY1165" s="6180"/>
      <c r="BZ1165" s="6180"/>
      <c r="CA1165" s="6180"/>
      <c r="CB1165" s="6177"/>
      <c r="CC1165" s="6177"/>
      <c r="CD1165" s="6177"/>
      <c r="CE1165" s="5169"/>
      <c r="CF1165" s="5169"/>
      <c r="CG1165" s="5169"/>
      <c r="CH1165" s="5169"/>
    </row>
    <row r="1166" s="4965" customFormat="1" ht="61" customHeight="1" spans="1:86">
      <c r="A1166" s="5079"/>
      <c r="B1166" s="5821"/>
      <c r="C1166" s="5821"/>
      <c r="D1166" s="6040"/>
      <c r="E1166" s="5821"/>
      <c r="F1166" s="6090"/>
      <c r="G1166" s="6090"/>
      <c r="H1166" s="6090"/>
      <c r="I1166" s="6119"/>
      <c r="J1166" s="6090"/>
      <c r="K1166" s="6119"/>
      <c r="L1166" s="6090"/>
      <c r="M1166" s="6138"/>
      <c r="N1166" s="6139"/>
      <c r="O1166" s="6139"/>
      <c r="P1166" s="6139"/>
      <c r="Q1166" s="6139"/>
      <c r="R1166" s="6139"/>
      <c r="S1166" s="6139"/>
      <c r="T1166" s="6139"/>
      <c r="U1166" s="6139"/>
      <c r="V1166" s="6139"/>
      <c r="W1166" s="6139"/>
      <c r="X1166" s="6139"/>
      <c r="Y1166" s="6139"/>
      <c r="Z1166" s="6139"/>
      <c r="AA1166" s="6139"/>
      <c r="AB1166" s="6139"/>
      <c r="AC1166" s="6177">
        <v>2</v>
      </c>
      <c r="AD1166" s="6178" t="s">
        <v>2068</v>
      </c>
      <c r="AE1166" s="6179">
        <v>0.55</v>
      </c>
      <c r="AF1166" s="6180">
        <f>M1165*AE1166</f>
        <v>262395.1</v>
      </c>
      <c r="AG1166" s="6226">
        <f t="shared" si="251"/>
        <v>262395.1</v>
      </c>
      <c r="AH1166" s="6178" t="s">
        <v>122</v>
      </c>
      <c r="AI1166" s="6226">
        <v>45243</v>
      </c>
      <c r="AJ1166" s="6226">
        <v>262395.1</v>
      </c>
      <c r="AK1166" s="6226">
        <v>45243</v>
      </c>
      <c r="AL1166" s="6226">
        <v>262395.1</v>
      </c>
      <c r="AM1166" s="6226">
        <v>45243</v>
      </c>
      <c r="AN1166" s="6226">
        <f t="shared" si="252"/>
        <v>262395.1</v>
      </c>
      <c r="AO1166" s="6226">
        <v>45282</v>
      </c>
      <c r="AP1166" s="6226">
        <f t="shared" si="250"/>
        <v>0</v>
      </c>
      <c r="AQ1166" s="6244"/>
      <c r="AR1166" s="6177"/>
      <c r="AS1166" s="6259"/>
      <c r="AT1166" s="6244"/>
      <c r="AU1166" s="6177"/>
      <c r="AV1166" s="6177"/>
      <c r="AW1166" s="6177"/>
      <c r="AX1166" s="6177"/>
      <c r="AY1166" s="6177"/>
      <c r="AZ1166" s="6177"/>
      <c r="BA1166" s="6226"/>
      <c r="BB1166" s="6226"/>
      <c r="BC1166" s="6226"/>
      <c r="BD1166" s="6226"/>
      <c r="BE1166" s="6226"/>
      <c r="BF1166" s="6226"/>
      <c r="BG1166" s="6226"/>
      <c r="BH1166" s="6226"/>
      <c r="BI1166" s="6273">
        <v>262395.1</v>
      </c>
      <c r="BJ1166" s="6273"/>
      <c r="BK1166" s="6273"/>
      <c r="BL1166" s="6273"/>
      <c r="BM1166" s="6273"/>
      <c r="BN1166" s="6226"/>
      <c r="BO1166" s="6177"/>
      <c r="BP1166" s="6177"/>
      <c r="BQ1166" s="6177"/>
      <c r="BR1166" s="6177"/>
      <c r="BS1166" s="6177"/>
      <c r="BT1166" s="6177"/>
      <c r="BU1166" s="6177"/>
      <c r="BV1166" s="6177"/>
      <c r="BW1166" s="6273">
        <v>262395.1</v>
      </c>
      <c r="BX1166" s="6180"/>
      <c r="BY1166" s="6180"/>
      <c r="BZ1166" s="6180"/>
      <c r="CA1166" s="6180"/>
      <c r="CB1166" s="6177"/>
      <c r="CC1166" s="6177"/>
      <c r="CD1166" s="6177"/>
      <c r="CE1166" s="5169"/>
      <c r="CF1166" s="5169"/>
      <c r="CG1166" s="5169"/>
      <c r="CH1166" s="5169"/>
    </row>
    <row r="1167" s="4965" customFormat="1" ht="61" customHeight="1" spans="1:86">
      <c r="A1167" s="5079"/>
      <c r="B1167" s="5821"/>
      <c r="C1167" s="5821"/>
      <c r="D1167" s="6040"/>
      <c r="E1167" s="5821"/>
      <c r="F1167" s="6091"/>
      <c r="G1167" s="6091"/>
      <c r="H1167" s="6091"/>
      <c r="I1167" s="6120"/>
      <c r="J1167" s="6091"/>
      <c r="K1167" s="6120"/>
      <c r="L1167" s="6091"/>
      <c r="M1167" s="6140"/>
      <c r="N1167" s="6141"/>
      <c r="O1167" s="6141"/>
      <c r="P1167" s="6141"/>
      <c r="Q1167" s="6141"/>
      <c r="R1167" s="6141"/>
      <c r="S1167" s="6141"/>
      <c r="T1167" s="6141"/>
      <c r="U1167" s="6141"/>
      <c r="V1167" s="6141"/>
      <c r="W1167" s="6141"/>
      <c r="X1167" s="6141"/>
      <c r="Y1167" s="6141"/>
      <c r="Z1167" s="6141"/>
      <c r="AA1167" s="6141"/>
      <c r="AB1167" s="6141"/>
      <c r="AC1167" s="6177">
        <v>3</v>
      </c>
      <c r="AD1167" s="6178" t="s">
        <v>1927</v>
      </c>
      <c r="AE1167" s="6179">
        <v>0.05</v>
      </c>
      <c r="AF1167" s="6180">
        <f>M1165*AE1167</f>
        <v>23854.1</v>
      </c>
      <c r="AG1167" s="6226">
        <f t="shared" si="251"/>
        <v>11809.69</v>
      </c>
      <c r="AH1167" s="6178" t="s">
        <v>122</v>
      </c>
      <c r="AI1167" s="6177">
        <v>45804</v>
      </c>
      <c r="AJ1167" s="6177">
        <v>11809.69</v>
      </c>
      <c r="AK1167" s="6177">
        <v>45804</v>
      </c>
      <c r="AL1167" s="6177">
        <v>11809.69</v>
      </c>
      <c r="AM1167" s="6177">
        <v>45805</v>
      </c>
      <c r="AN1167" s="6226">
        <f t="shared" si="252"/>
        <v>11809.69</v>
      </c>
      <c r="AO1167" s="6226">
        <v>45929</v>
      </c>
      <c r="AP1167" s="6226">
        <f t="shared" si="250"/>
        <v>0</v>
      </c>
      <c r="AQ1167" s="6244"/>
      <c r="AR1167" s="6177"/>
      <c r="AS1167" s="6259"/>
      <c r="AT1167" s="6244"/>
      <c r="AU1167" s="6177"/>
      <c r="AV1167" s="6177"/>
      <c r="AW1167" s="6177"/>
      <c r="AX1167" s="6177"/>
      <c r="AY1167" s="6177"/>
      <c r="AZ1167" s="6177"/>
      <c r="BA1167" s="6226"/>
      <c r="BB1167" s="6226"/>
      <c r="BC1167" s="6226"/>
      <c r="BD1167" s="6226"/>
      <c r="BE1167" s="6226"/>
      <c r="BF1167" s="6226"/>
      <c r="BG1167" s="6226"/>
      <c r="BH1167" s="6226"/>
      <c r="BI1167" s="6273">
        <v>11809.69</v>
      </c>
      <c r="BJ1167" s="6273"/>
      <c r="BK1167" s="6273"/>
      <c r="BL1167" s="6273"/>
      <c r="BM1167" s="6273"/>
      <c r="BN1167" s="6226"/>
      <c r="BO1167" s="6177"/>
      <c r="BP1167" s="6177"/>
      <c r="BQ1167" s="6177"/>
      <c r="BR1167" s="6177"/>
      <c r="BS1167" s="6177"/>
      <c r="BT1167" s="6177"/>
      <c r="BU1167" s="6177"/>
      <c r="BV1167" s="6177"/>
      <c r="BW1167" s="6273">
        <v>11809.69</v>
      </c>
      <c r="BX1167" s="6180"/>
      <c r="BY1167" s="6180"/>
      <c r="BZ1167" s="6180"/>
      <c r="CA1167" s="6180"/>
      <c r="CB1167" s="6177"/>
      <c r="CC1167" s="6177"/>
      <c r="CD1167" s="6177"/>
      <c r="CE1167" s="5169"/>
      <c r="CF1167" s="5169"/>
      <c r="CG1167" s="5169"/>
      <c r="CH1167" s="5169"/>
    </row>
    <row r="1168" s="4965" customFormat="1" ht="61" customHeight="1" spans="1:86">
      <c r="A1168" s="5079"/>
      <c r="B1168" s="5821"/>
      <c r="C1168" s="5821">
        <v>45128</v>
      </c>
      <c r="D1168" s="6040"/>
      <c r="E1168" s="5821"/>
      <c r="F1168" s="6092" t="s">
        <v>2069</v>
      </c>
      <c r="G1168" s="6092" t="s">
        <v>2023</v>
      </c>
      <c r="H1168" s="6092" t="s">
        <v>2070</v>
      </c>
      <c r="I1168" s="6092"/>
      <c r="J1168" s="6092" t="s">
        <v>2024</v>
      </c>
      <c r="K1168" s="6092">
        <v>194079</v>
      </c>
      <c r="L1168" s="6092" t="s">
        <v>2071</v>
      </c>
      <c r="M1168" s="6142">
        <f>SUM(N1168:AB1171)</f>
        <v>679276.5</v>
      </c>
      <c r="N1168" s="6143"/>
      <c r="O1168" s="6143"/>
      <c r="P1168" s="6143"/>
      <c r="Q1168" s="6143"/>
      <c r="R1168" s="6143"/>
      <c r="S1168" s="6143"/>
      <c r="T1168" s="6143"/>
      <c r="U1168" s="6143">
        <v>679276.5</v>
      </c>
      <c r="V1168" s="6143"/>
      <c r="W1168" s="6143"/>
      <c r="X1168" s="6143"/>
      <c r="Y1168" s="6143"/>
      <c r="Z1168" s="6143"/>
      <c r="AA1168" s="6143"/>
      <c r="AB1168" s="6143"/>
      <c r="AC1168" s="6181">
        <v>1</v>
      </c>
      <c r="AD1168" s="6182" t="s">
        <v>2072</v>
      </c>
      <c r="AE1168" s="6183">
        <v>0.2</v>
      </c>
      <c r="AF1168" s="6184">
        <f>M1168*AE1168</f>
        <v>135855.3</v>
      </c>
      <c r="AG1168" s="6227">
        <f t="shared" si="251"/>
        <v>135855.3</v>
      </c>
      <c r="AH1168" s="6182" t="s">
        <v>122</v>
      </c>
      <c r="AI1168" s="6181">
        <v>45149</v>
      </c>
      <c r="AJ1168" s="6181">
        <v>135855.3</v>
      </c>
      <c r="AK1168" s="6181">
        <v>45149</v>
      </c>
      <c r="AL1168" s="6181">
        <v>135855.3</v>
      </c>
      <c r="AM1168" s="6181">
        <v>45149</v>
      </c>
      <c r="AN1168" s="6181">
        <v>135855.3</v>
      </c>
      <c r="AO1168" s="6227">
        <v>45196</v>
      </c>
      <c r="AP1168" s="6181">
        <f t="shared" si="250"/>
        <v>0</v>
      </c>
      <c r="AQ1168" s="6245"/>
      <c r="AR1168" s="6181"/>
      <c r="AS1168" s="6260"/>
      <c r="AT1168" s="6245"/>
      <c r="AU1168" s="6181"/>
      <c r="AV1168" s="6181"/>
      <c r="AW1168" s="6181"/>
      <c r="AX1168" s="6181"/>
      <c r="AY1168" s="6181"/>
      <c r="AZ1168" s="6181"/>
      <c r="BA1168" s="6227"/>
      <c r="BB1168" s="6227"/>
      <c r="BC1168" s="6227"/>
      <c r="BD1168" s="6227"/>
      <c r="BE1168" s="6227"/>
      <c r="BF1168" s="6227"/>
      <c r="BG1168" s="6227"/>
      <c r="BH1168" s="6227">
        <v>135855.3</v>
      </c>
      <c r="BI1168" s="6274"/>
      <c r="BJ1168" s="6274"/>
      <c r="BK1168" s="6274"/>
      <c r="BL1168" s="6274"/>
      <c r="BM1168" s="6274"/>
      <c r="BN1168" s="6227"/>
      <c r="BO1168" s="6181"/>
      <c r="BP1168" s="6181"/>
      <c r="BQ1168" s="6181"/>
      <c r="BR1168" s="6181"/>
      <c r="BS1168" s="6181"/>
      <c r="BT1168" s="6181"/>
      <c r="BU1168" s="6181"/>
      <c r="BV1168" s="6227">
        <v>135855.3</v>
      </c>
      <c r="BW1168" s="6278"/>
      <c r="BX1168" s="6184"/>
      <c r="BY1168" s="6184"/>
      <c r="BZ1168" s="6184"/>
      <c r="CA1168" s="6184"/>
      <c r="CB1168" s="6181"/>
      <c r="CC1168" s="6181"/>
      <c r="CD1168" s="6181"/>
      <c r="CE1168" s="5169"/>
      <c r="CF1168" s="5169"/>
      <c r="CG1168" s="5169"/>
      <c r="CH1168" s="5169"/>
    </row>
    <row r="1169" s="4965" customFormat="1" ht="61" customHeight="1" spans="1:86">
      <c r="A1169" s="5079"/>
      <c r="B1169" s="5821"/>
      <c r="C1169" s="5821"/>
      <c r="D1169" s="6040"/>
      <c r="E1169" s="5821"/>
      <c r="F1169" s="6093"/>
      <c r="G1169" s="6093"/>
      <c r="H1169" s="6093"/>
      <c r="I1169" s="6121"/>
      <c r="J1169" s="6093"/>
      <c r="K1169" s="6121"/>
      <c r="L1169" s="6093"/>
      <c r="M1169" s="6144"/>
      <c r="N1169" s="6145"/>
      <c r="O1169" s="6145"/>
      <c r="P1169" s="6145"/>
      <c r="Q1169" s="6145"/>
      <c r="R1169" s="6145"/>
      <c r="S1169" s="6145"/>
      <c r="T1169" s="6145"/>
      <c r="U1169" s="6145"/>
      <c r="V1169" s="6145"/>
      <c r="W1169" s="6145"/>
      <c r="X1169" s="6145"/>
      <c r="Y1169" s="6145"/>
      <c r="Z1169" s="6145"/>
      <c r="AA1169" s="6145"/>
      <c r="AB1169" s="6145"/>
      <c r="AC1169" s="6181">
        <v>2</v>
      </c>
      <c r="AD1169" s="6182" t="s">
        <v>2073</v>
      </c>
      <c r="AE1169" s="6183">
        <v>0.3</v>
      </c>
      <c r="AF1169" s="6184">
        <f>M1168*AE1169</f>
        <v>203782.95</v>
      </c>
      <c r="AG1169" s="6227">
        <f t="shared" si="251"/>
        <v>203782.95</v>
      </c>
      <c r="AH1169" s="6182" t="s">
        <v>122</v>
      </c>
      <c r="AI1169" s="6227">
        <v>45243</v>
      </c>
      <c r="AJ1169" s="6227">
        <v>203782.95</v>
      </c>
      <c r="AK1169" s="6227">
        <v>45243</v>
      </c>
      <c r="AL1169" s="6227">
        <v>203782.95</v>
      </c>
      <c r="AM1169" s="6227">
        <v>45243</v>
      </c>
      <c r="AN1169" s="6227">
        <f t="shared" si="252"/>
        <v>203782.95</v>
      </c>
      <c r="AO1169" s="6227">
        <v>45282</v>
      </c>
      <c r="AP1169" s="6181">
        <f t="shared" si="250"/>
        <v>0</v>
      </c>
      <c r="AQ1169" s="6245"/>
      <c r="AR1169" s="6181"/>
      <c r="AS1169" s="6260"/>
      <c r="AT1169" s="6245"/>
      <c r="AU1169" s="6181"/>
      <c r="AV1169" s="6181"/>
      <c r="AW1169" s="6181"/>
      <c r="AX1169" s="6181"/>
      <c r="AY1169" s="6181"/>
      <c r="AZ1169" s="6181"/>
      <c r="BA1169" s="6227"/>
      <c r="BB1169" s="6227"/>
      <c r="BC1169" s="6227"/>
      <c r="BD1169" s="6227"/>
      <c r="BE1169" s="6227"/>
      <c r="BF1169" s="6227"/>
      <c r="BG1169" s="6227"/>
      <c r="BH1169" s="6227">
        <v>203782.95</v>
      </c>
      <c r="BI1169" s="6274"/>
      <c r="BJ1169" s="6274"/>
      <c r="BK1169" s="6274"/>
      <c r="BL1169" s="6274"/>
      <c r="BM1169" s="6274"/>
      <c r="BN1169" s="6227"/>
      <c r="BO1169" s="6181"/>
      <c r="BP1169" s="6181"/>
      <c r="BQ1169" s="6181"/>
      <c r="BR1169" s="6181"/>
      <c r="BS1169" s="6181"/>
      <c r="BT1169" s="6181"/>
      <c r="BU1169" s="6181"/>
      <c r="BV1169" s="6181">
        <v>203782.95</v>
      </c>
      <c r="BW1169" s="6278"/>
      <c r="BX1169" s="6184"/>
      <c r="BY1169" s="6184"/>
      <c r="BZ1169" s="6184"/>
      <c r="CA1169" s="6184"/>
      <c r="CB1169" s="6181"/>
      <c r="CC1169" s="6181"/>
      <c r="CD1169" s="6181"/>
      <c r="CE1169" s="5169"/>
      <c r="CF1169" s="5169"/>
      <c r="CG1169" s="5169"/>
      <c r="CH1169" s="5169"/>
    </row>
    <row r="1170" s="4965" customFormat="1" ht="61" customHeight="1" spans="1:86">
      <c r="A1170" s="5079"/>
      <c r="B1170" s="5821"/>
      <c r="C1170" s="5821"/>
      <c r="D1170" s="6040"/>
      <c r="E1170" s="5821"/>
      <c r="F1170" s="6093"/>
      <c r="G1170" s="6093"/>
      <c r="H1170" s="6093"/>
      <c r="I1170" s="6121"/>
      <c r="J1170" s="6093"/>
      <c r="K1170" s="6121"/>
      <c r="L1170" s="6093"/>
      <c r="M1170" s="6144"/>
      <c r="N1170" s="6145"/>
      <c r="O1170" s="6145"/>
      <c r="P1170" s="6145"/>
      <c r="Q1170" s="6145"/>
      <c r="R1170" s="6145"/>
      <c r="S1170" s="6145"/>
      <c r="T1170" s="6145"/>
      <c r="U1170" s="6145"/>
      <c r="V1170" s="6145"/>
      <c r="W1170" s="6145"/>
      <c r="X1170" s="6145"/>
      <c r="Y1170" s="6145"/>
      <c r="Z1170" s="6145"/>
      <c r="AA1170" s="6145"/>
      <c r="AB1170" s="6145"/>
      <c r="AC1170" s="6181">
        <v>3</v>
      </c>
      <c r="AD1170" s="6182" t="s">
        <v>2074</v>
      </c>
      <c r="AE1170" s="6183">
        <v>0.3</v>
      </c>
      <c r="AF1170" s="6184">
        <f>M1168*AE1170</f>
        <v>203782.95</v>
      </c>
      <c r="AG1170" s="6227">
        <f t="shared" si="251"/>
        <v>203782.95</v>
      </c>
      <c r="AH1170" s="6182" t="s">
        <v>122</v>
      </c>
      <c r="AI1170" s="6227">
        <v>45243</v>
      </c>
      <c r="AJ1170" s="6227">
        <v>203782.95</v>
      </c>
      <c r="AK1170" s="6227">
        <v>45243</v>
      </c>
      <c r="AL1170" s="6227">
        <v>203782.95</v>
      </c>
      <c r="AM1170" s="6227">
        <v>45243</v>
      </c>
      <c r="AN1170" s="6227">
        <f t="shared" si="252"/>
        <v>203782.95</v>
      </c>
      <c r="AO1170" s="6227">
        <v>45282</v>
      </c>
      <c r="AP1170" s="6181">
        <f t="shared" si="250"/>
        <v>0</v>
      </c>
      <c r="AQ1170" s="6245"/>
      <c r="AR1170" s="6181"/>
      <c r="AS1170" s="6260"/>
      <c r="AT1170" s="6245"/>
      <c r="AU1170" s="6181"/>
      <c r="AV1170" s="6181"/>
      <c r="AW1170" s="6181"/>
      <c r="AX1170" s="6181"/>
      <c r="AY1170" s="6181"/>
      <c r="AZ1170" s="6181"/>
      <c r="BA1170" s="6227"/>
      <c r="BB1170" s="6227"/>
      <c r="BC1170" s="6227"/>
      <c r="BD1170" s="6227"/>
      <c r="BE1170" s="6227"/>
      <c r="BF1170" s="6227"/>
      <c r="BG1170" s="6227"/>
      <c r="BH1170" s="6227">
        <v>203782.95</v>
      </c>
      <c r="BI1170" s="6274"/>
      <c r="BJ1170" s="6274"/>
      <c r="BK1170" s="6274"/>
      <c r="BL1170" s="6274"/>
      <c r="BM1170" s="6274"/>
      <c r="BN1170" s="6227"/>
      <c r="BO1170" s="6181"/>
      <c r="BP1170" s="6181"/>
      <c r="BQ1170" s="6181"/>
      <c r="BR1170" s="6181"/>
      <c r="BS1170" s="6181"/>
      <c r="BT1170" s="6181"/>
      <c r="BU1170" s="6181"/>
      <c r="BV1170" s="6181">
        <v>203782.95</v>
      </c>
      <c r="BW1170" s="6278"/>
      <c r="BX1170" s="6184"/>
      <c r="BY1170" s="6184"/>
      <c r="BZ1170" s="6184"/>
      <c r="CA1170" s="6184"/>
      <c r="CB1170" s="6181"/>
      <c r="CC1170" s="6181"/>
      <c r="CD1170" s="6181"/>
      <c r="CE1170" s="5169"/>
      <c r="CF1170" s="5169"/>
      <c r="CG1170" s="5169"/>
      <c r="CH1170" s="5169"/>
    </row>
    <row r="1171" s="4965" customFormat="1" ht="61" customHeight="1" spans="1:86">
      <c r="A1171" s="5079"/>
      <c r="B1171" s="5821"/>
      <c r="C1171" s="5821"/>
      <c r="D1171" s="6040"/>
      <c r="E1171" s="5821"/>
      <c r="F1171" s="6094"/>
      <c r="G1171" s="6094"/>
      <c r="H1171" s="6094"/>
      <c r="I1171" s="6122"/>
      <c r="J1171" s="6094"/>
      <c r="K1171" s="6122"/>
      <c r="L1171" s="6094"/>
      <c r="M1171" s="6146"/>
      <c r="N1171" s="6147"/>
      <c r="O1171" s="6147"/>
      <c r="P1171" s="6147"/>
      <c r="Q1171" s="6147"/>
      <c r="R1171" s="6147"/>
      <c r="S1171" s="6147"/>
      <c r="T1171" s="6147"/>
      <c r="U1171" s="6147"/>
      <c r="V1171" s="6147"/>
      <c r="W1171" s="6147"/>
      <c r="X1171" s="6147"/>
      <c r="Y1171" s="6147"/>
      <c r="Z1171" s="6147"/>
      <c r="AA1171" s="6147"/>
      <c r="AB1171" s="6147"/>
      <c r="AC1171" s="6181">
        <v>4</v>
      </c>
      <c r="AD1171" s="6182" t="s">
        <v>2075</v>
      </c>
      <c r="AE1171" s="6183">
        <v>0.2</v>
      </c>
      <c r="AF1171" s="6184">
        <f>M1168*AE1171</f>
        <v>135855.3</v>
      </c>
      <c r="AG1171" s="6227">
        <f t="shared" si="251"/>
        <v>129833.1</v>
      </c>
      <c r="AH1171" s="6182" t="s">
        <v>122</v>
      </c>
      <c r="AI1171" s="6181">
        <v>45282</v>
      </c>
      <c r="AJ1171" s="6181">
        <v>129833.1</v>
      </c>
      <c r="AK1171" s="6181">
        <v>45282</v>
      </c>
      <c r="AL1171" s="6181">
        <v>129833.1</v>
      </c>
      <c r="AM1171" s="6181">
        <v>45512</v>
      </c>
      <c r="AN1171" s="6227">
        <f t="shared" si="252"/>
        <v>129833.1</v>
      </c>
      <c r="AO1171" s="6227">
        <v>45588</v>
      </c>
      <c r="AP1171" s="6181">
        <f t="shared" si="250"/>
        <v>0</v>
      </c>
      <c r="AQ1171" s="6245"/>
      <c r="AR1171" s="6181"/>
      <c r="AS1171" s="6260"/>
      <c r="AT1171" s="6245"/>
      <c r="AU1171" s="6181"/>
      <c r="AV1171" s="6181"/>
      <c r="AW1171" s="6181"/>
      <c r="AX1171" s="6181"/>
      <c r="AY1171" s="6181"/>
      <c r="AZ1171" s="6181"/>
      <c r="BA1171" s="6227"/>
      <c r="BB1171" s="6227"/>
      <c r="BC1171" s="6227"/>
      <c r="BD1171" s="6227"/>
      <c r="BE1171" s="6227"/>
      <c r="BF1171" s="6227"/>
      <c r="BG1171" s="6227"/>
      <c r="BH1171" s="6227">
        <v>129833.1</v>
      </c>
      <c r="BI1171" s="6274"/>
      <c r="BJ1171" s="6274"/>
      <c r="BK1171" s="6274"/>
      <c r="BL1171" s="6274"/>
      <c r="BM1171" s="6274"/>
      <c r="BN1171" s="6227"/>
      <c r="BO1171" s="6181"/>
      <c r="BP1171" s="6181"/>
      <c r="BQ1171" s="6181"/>
      <c r="BR1171" s="6181"/>
      <c r="BS1171" s="6181"/>
      <c r="BT1171" s="6181"/>
      <c r="BU1171" s="6181"/>
      <c r="BV1171" s="6181">
        <v>129833.1</v>
      </c>
      <c r="BW1171" s="6278"/>
      <c r="BX1171" s="6184"/>
      <c r="BY1171" s="6184"/>
      <c r="BZ1171" s="6184"/>
      <c r="CA1171" s="6184"/>
      <c r="CB1171" s="6181"/>
      <c r="CC1171" s="6181"/>
      <c r="CD1171" s="6181"/>
      <c r="CE1171" s="5169"/>
      <c r="CF1171" s="5169"/>
      <c r="CG1171" s="5169"/>
      <c r="CH1171" s="5169"/>
    </row>
    <row r="1172" s="4965" customFormat="1" ht="61" customHeight="1" spans="1:86">
      <c r="A1172" s="5079"/>
      <c r="B1172" s="5821"/>
      <c r="C1172" s="5821">
        <v>45128</v>
      </c>
      <c r="D1172" s="6040"/>
      <c r="E1172" s="5821"/>
      <c r="F1172" s="2099" t="s">
        <v>2076</v>
      </c>
      <c r="G1172" s="2099" t="s">
        <v>2023</v>
      </c>
      <c r="H1172" s="2099" t="s">
        <v>2077</v>
      </c>
      <c r="I1172" s="2099"/>
      <c r="J1172" s="2099" t="s">
        <v>2024</v>
      </c>
      <c r="K1172" s="2099" t="s">
        <v>171</v>
      </c>
      <c r="L1172" s="2099" t="s">
        <v>2078</v>
      </c>
      <c r="M1172" s="5320">
        <f>SUM(N1172:AB1174)</f>
        <v>480000</v>
      </c>
      <c r="N1172" s="5320"/>
      <c r="O1172" s="5320"/>
      <c r="P1172" s="5320"/>
      <c r="Q1172" s="5320"/>
      <c r="R1172" s="5320"/>
      <c r="S1172" s="5320"/>
      <c r="T1172" s="5320"/>
      <c r="U1172" s="5320"/>
      <c r="V1172" s="5320"/>
      <c r="W1172" s="5320"/>
      <c r="X1172" s="5320"/>
      <c r="Y1172" s="5320"/>
      <c r="Z1172" s="5320"/>
      <c r="AA1172" s="5320">
        <v>480000</v>
      </c>
      <c r="AB1172" s="3405" t="s">
        <v>126</v>
      </c>
      <c r="AC1172" s="3058">
        <v>1</v>
      </c>
      <c r="AD1172" s="1125" t="s">
        <v>2079</v>
      </c>
      <c r="AE1172" s="6056">
        <v>0.2</v>
      </c>
      <c r="AF1172" s="3091">
        <f>M1172*AE1172</f>
        <v>96000</v>
      </c>
      <c r="AG1172" s="3057">
        <f t="shared" si="251"/>
        <v>96000</v>
      </c>
      <c r="AH1172" s="1125" t="s">
        <v>122</v>
      </c>
      <c r="AI1172" s="3058">
        <v>45149</v>
      </c>
      <c r="AJ1172" s="3058">
        <v>96000</v>
      </c>
      <c r="AK1172" s="3058">
        <v>45149</v>
      </c>
      <c r="AL1172" s="3058">
        <v>96000</v>
      </c>
      <c r="AM1172" s="3058">
        <v>45149</v>
      </c>
      <c r="AN1172" s="3058">
        <v>96000</v>
      </c>
      <c r="AO1172" s="3057">
        <v>45196</v>
      </c>
      <c r="AP1172" s="3058">
        <f t="shared" si="250"/>
        <v>0</v>
      </c>
      <c r="AQ1172" s="5138"/>
      <c r="AR1172" s="3058"/>
      <c r="AS1172" s="5983"/>
      <c r="AT1172" s="5138"/>
      <c r="AU1172" s="3058"/>
      <c r="AV1172" s="3058"/>
      <c r="AW1172" s="3058"/>
      <c r="AX1172" s="3058"/>
      <c r="AY1172" s="3058"/>
      <c r="AZ1172" s="3058"/>
      <c r="BA1172" s="3057"/>
      <c r="BB1172" s="3057"/>
      <c r="BC1172" s="3057"/>
      <c r="BD1172" s="3057"/>
      <c r="BE1172" s="3057"/>
      <c r="BF1172" s="3057"/>
      <c r="BG1172" s="3057"/>
      <c r="BH1172" s="3057"/>
      <c r="BI1172" s="584"/>
      <c r="BJ1172" s="584"/>
      <c r="BK1172" s="584"/>
      <c r="BL1172" s="584"/>
      <c r="BM1172" s="584"/>
      <c r="BN1172" s="3057">
        <v>96000</v>
      </c>
      <c r="BO1172" s="3058"/>
      <c r="BP1172" s="3058"/>
      <c r="BQ1172" s="3058"/>
      <c r="BR1172" s="3058"/>
      <c r="BS1172" s="3058"/>
      <c r="BT1172" s="3058"/>
      <c r="BU1172" s="3058"/>
      <c r="BV1172" s="3058"/>
      <c r="BW1172" s="6279"/>
      <c r="BX1172" s="3091"/>
      <c r="BY1172" s="3091"/>
      <c r="BZ1172" s="3091"/>
      <c r="CA1172" s="3091"/>
      <c r="CB1172" s="3058">
        <v>96000</v>
      </c>
      <c r="CC1172" s="3058"/>
      <c r="CD1172" s="3058"/>
      <c r="CE1172" s="5169"/>
      <c r="CF1172" s="5169"/>
      <c r="CG1172" s="5169"/>
      <c r="CH1172" s="5169"/>
    </row>
    <row r="1173" s="4965" customFormat="1" ht="61" customHeight="1" spans="1:86">
      <c r="A1173" s="5079"/>
      <c r="B1173" s="5821"/>
      <c r="C1173" s="5821"/>
      <c r="D1173" s="6040"/>
      <c r="E1173" s="5821"/>
      <c r="F1173" s="5067"/>
      <c r="G1173" s="5067"/>
      <c r="H1173" s="5067"/>
      <c r="I1173" s="6123"/>
      <c r="J1173" s="5067"/>
      <c r="K1173" s="6123"/>
      <c r="L1173" s="5067"/>
      <c r="M1173" s="5321"/>
      <c r="N1173" s="5321"/>
      <c r="O1173" s="5321"/>
      <c r="P1173" s="5321"/>
      <c r="Q1173" s="5321"/>
      <c r="R1173" s="5321"/>
      <c r="S1173" s="5321"/>
      <c r="T1173" s="5321"/>
      <c r="U1173" s="5321"/>
      <c r="V1173" s="5321"/>
      <c r="W1173" s="5321"/>
      <c r="X1173" s="5321"/>
      <c r="Y1173" s="5321"/>
      <c r="Z1173" s="5321"/>
      <c r="AA1173" s="5321"/>
      <c r="AB1173" s="5321"/>
      <c r="AC1173" s="3058">
        <v>2</v>
      </c>
      <c r="AD1173" s="1125" t="s">
        <v>2080</v>
      </c>
      <c r="AE1173" s="6056">
        <v>0.6</v>
      </c>
      <c r="AF1173" s="3091">
        <f>M1172*AE1173</f>
        <v>288000</v>
      </c>
      <c r="AG1173" s="3057">
        <f t="shared" si="251"/>
        <v>288000</v>
      </c>
      <c r="AH1173" s="1125" t="s">
        <v>122</v>
      </c>
      <c r="AI1173" s="3057">
        <v>45243</v>
      </c>
      <c r="AJ1173" s="3057">
        <v>288000</v>
      </c>
      <c r="AK1173" s="3057">
        <v>45243</v>
      </c>
      <c r="AL1173" s="3057">
        <v>288000</v>
      </c>
      <c r="AM1173" s="3057">
        <v>45243</v>
      </c>
      <c r="AN1173" s="3057">
        <f t="shared" si="252"/>
        <v>288000</v>
      </c>
      <c r="AO1173" s="3057">
        <v>45282</v>
      </c>
      <c r="AP1173" s="3058">
        <f t="shared" si="250"/>
        <v>0</v>
      </c>
      <c r="AQ1173" s="5138"/>
      <c r="AR1173" s="3058"/>
      <c r="AS1173" s="5983"/>
      <c r="AT1173" s="5138"/>
      <c r="AU1173" s="3058"/>
      <c r="AV1173" s="3058"/>
      <c r="AW1173" s="3058"/>
      <c r="AX1173" s="3058"/>
      <c r="AY1173" s="3058"/>
      <c r="AZ1173" s="3058"/>
      <c r="BA1173" s="3057"/>
      <c r="BB1173" s="3057"/>
      <c r="BC1173" s="3057"/>
      <c r="BD1173" s="3057"/>
      <c r="BE1173" s="3057"/>
      <c r="BF1173" s="3057"/>
      <c r="BG1173" s="3057"/>
      <c r="BH1173" s="3057"/>
      <c r="BI1173" s="584"/>
      <c r="BJ1173" s="584"/>
      <c r="BK1173" s="584"/>
      <c r="BL1173" s="584"/>
      <c r="BM1173" s="584"/>
      <c r="BN1173" s="3057">
        <v>288000</v>
      </c>
      <c r="BO1173" s="3058"/>
      <c r="BP1173" s="3058"/>
      <c r="BQ1173" s="3058"/>
      <c r="BR1173" s="3058"/>
      <c r="BS1173" s="3058"/>
      <c r="BT1173" s="3058"/>
      <c r="BU1173" s="3058"/>
      <c r="BV1173" s="3058"/>
      <c r="BW1173" s="6279"/>
      <c r="BX1173" s="3091"/>
      <c r="BY1173" s="3091"/>
      <c r="BZ1173" s="3091"/>
      <c r="CA1173" s="3091"/>
      <c r="CB1173" s="3058">
        <v>288000</v>
      </c>
      <c r="CC1173" s="3058"/>
      <c r="CD1173" s="3058"/>
      <c r="CE1173" s="5169"/>
      <c r="CF1173" s="5169"/>
      <c r="CG1173" s="5169"/>
      <c r="CH1173" s="5169"/>
    </row>
    <row r="1174" s="4965" customFormat="1" ht="61" customHeight="1" spans="1:86">
      <c r="A1174" s="5079"/>
      <c r="B1174" s="5822"/>
      <c r="C1174" s="5822"/>
      <c r="D1174" s="5145"/>
      <c r="E1174" s="5822"/>
      <c r="F1174" s="5068"/>
      <c r="G1174" s="5068"/>
      <c r="H1174" s="5068"/>
      <c r="I1174" s="4502"/>
      <c r="J1174" s="5068"/>
      <c r="K1174" s="4502"/>
      <c r="L1174" s="5068"/>
      <c r="M1174" s="5322"/>
      <c r="N1174" s="5322"/>
      <c r="O1174" s="5322"/>
      <c r="P1174" s="5322"/>
      <c r="Q1174" s="5322"/>
      <c r="R1174" s="5322"/>
      <c r="S1174" s="5322"/>
      <c r="T1174" s="5322"/>
      <c r="U1174" s="5322"/>
      <c r="V1174" s="5322"/>
      <c r="W1174" s="5322"/>
      <c r="X1174" s="5322"/>
      <c r="Y1174" s="5322"/>
      <c r="Z1174" s="5322"/>
      <c r="AA1174" s="5322"/>
      <c r="AB1174" s="5322"/>
      <c r="AC1174" s="3058">
        <v>3</v>
      </c>
      <c r="AD1174" s="1125" t="s">
        <v>2081</v>
      </c>
      <c r="AE1174" s="6056">
        <v>0.2</v>
      </c>
      <c r="AF1174" s="3091">
        <f>M1172*AE1174</f>
        <v>96000</v>
      </c>
      <c r="AG1174" s="3057">
        <f t="shared" si="251"/>
        <v>96000</v>
      </c>
      <c r="AH1174" s="1125" t="s">
        <v>122</v>
      </c>
      <c r="AI1174" s="3057">
        <v>45512</v>
      </c>
      <c r="AJ1174" s="3058">
        <v>96000</v>
      </c>
      <c r="AK1174" s="3058">
        <v>45512</v>
      </c>
      <c r="AL1174" s="3058">
        <v>96000</v>
      </c>
      <c r="AM1174" s="3058">
        <v>45512</v>
      </c>
      <c r="AN1174" s="3057">
        <f t="shared" si="252"/>
        <v>96000</v>
      </c>
      <c r="AO1174" s="3057">
        <v>45588</v>
      </c>
      <c r="AP1174" s="3058">
        <f t="shared" si="250"/>
        <v>0</v>
      </c>
      <c r="AQ1174" s="5138"/>
      <c r="AR1174" s="3058"/>
      <c r="AS1174" s="5983"/>
      <c r="AT1174" s="5138"/>
      <c r="AU1174" s="3058"/>
      <c r="AV1174" s="3058"/>
      <c r="AW1174" s="3058"/>
      <c r="AX1174" s="3058"/>
      <c r="AY1174" s="3058"/>
      <c r="AZ1174" s="3058"/>
      <c r="BA1174" s="3057"/>
      <c r="BB1174" s="3057"/>
      <c r="BC1174" s="3057"/>
      <c r="BD1174" s="3057"/>
      <c r="BE1174" s="3057"/>
      <c r="BF1174" s="3057"/>
      <c r="BG1174" s="3057"/>
      <c r="BH1174" s="584"/>
      <c r="BI1174" s="584"/>
      <c r="BJ1174" s="584"/>
      <c r="BK1174" s="584"/>
      <c r="BL1174" s="584"/>
      <c r="BM1174" s="584"/>
      <c r="BN1174" s="3057">
        <v>96000</v>
      </c>
      <c r="BO1174" s="3058"/>
      <c r="BP1174" s="3058"/>
      <c r="BQ1174" s="3058"/>
      <c r="BR1174" s="3058"/>
      <c r="BS1174" s="3058"/>
      <c r="BT1174" s="3058"/>
      <c r="BU1174" s="3058"/>
      <c r="BV1174" s="3058"/>
      <c r="BW1174" s="6279"/>
      <c r="BX1174" s="3091"/>
      <c r="BY1174" s="3091"/>
      <c r="BZ1174" s="3091"/>
      <c r="CA1174" s="3091"/>
      <c r="CB1174" s="3057">
        <v>96000</v>
      </c>
      <c r="CC1174" s="3058"/>
      <c r="CD1174" s="3058"/>
      <c r="CE1174" s="5169"/>
      <c r="CF1174" s="5169"/>
      <c r="CG1174" s="5169"/>
      <c r="CH1174" s="5169"/>
    </row>
    <row r="1175" s="4965" customFormat="1" ht="61" customHeight="1" spans="1:86">
      <c r="A1175" s="5079"/>
      <c r="B1175" s="6040" t="s">
        <v>1951</v>
      </c>
      <c r="C1175" s="5821">
        <v>45219</v>
      </c>
      <c r="D1175" s="6040" t="s">
        <v>2082</v>
      </c>
      <c r="E1175" s="6040" t="s">
        <v>2083</v>
      </c>
      <c r="F1175" s="6095" t="s">
        <v>2084</v>
      </c>
      <c r="G1175" s="6095" t="s">
        <v>2085</v>
      </c>
      <c r="H1175" s="6095" t="s">
        <v>338</v>
      </c>
      <c r="I1175" s="6095"/>
      <c r="J1175" s="6095" t="s">
        <v>2024</v>
      </c>
      <c r="K1175" s="6095" t="s">
        <v>2086</v>
      </c>
      <c r="L1175" s="6095" t="s">
        <v>2087</v>
      </c>
      <c r="M1175" s="6148">
        <f>SUM(N1175:AA1179)</f>
        <v>3005429.58</v>
      </c>
      <c r="N1175" s="6148"/>
      <c r="O1175" s="6148"/>
      <c r="P1175" s="6148"/>
      <c r="Q1175" s="6148"/>
      <c r="R1175" s="6148"/>
      <c r="S1175" s="6148"/>
      <c r="T1175" s="6148"/>
      <c r="U1175" s="6148"/>
      <c r="V1175" s="6148"/>
      <c r="W1175" s="6148"/>
      <c r="X1175" s="6148"/>
      <c r="Y1175" s="6148"/>
      <c r="Z1175" s="6148"/>
      <c r="AA1175" s="6148">
        <v>3005429.58</v>
      </c>
      <c r="AB1175" s="6169" t="s">
        <v>126</v>
      </c>
      <c r="AC1175" s="6185">
        <v>1</v>
      </c>
      <c r="AD1175" s="6186" t="s">
        <v>2027</v>
      </c>
      <c r="AE1175" s="6187">
        <v>0.2</v>
      </c>
      <c r="AF1175" s="6188">
        <f>M1175*AE1175</f>
        <v>601085.916</v>
      </c>
      <c r="AG1175" s="6186">
        <f t="shared" si="251"/>
        <v>601085.916</v>
      </c>
      <c r="AH1175" s="6186" t="s">
        <v>122</v>
      </c>
      <c r="AI1175" s="6228">
        <v>45251</v>
      </c>
      <c r="AJ1175" s="6185">
        <v>601085.916</v>
      </c>
      <c r="AK1175" s="6228">
        <v>45251</v>
      </c>
      <c r="AL1175" s="6185">
        <v>601085.916</v>
      </c>
      <c r="AM1175" s="6228">
        <v>45251</v>
      </c>
      <c r="AN1175" s="6186">
        <f t="shared" si="252"/>
        <v>601085.916</v>
      </c>
      <c r="AO1175" s="6228">
        <v>45289</v>
      </c>
      <c r="AP1175" s="6186">
        <f t="shared" si="250"/>
        <v>0</v>
      </c>
      <c r="AQ1175" s="6246"/>
      <c r="AR1175" s="6185"/>
      <c r="AS1175" s="6261"/>
      <c r="AT1175" s="6246"/>
      <c r="AU1175" s="6246"/>
      <c r="AV1175" s="6246"/>
      <c r="AW1175" s="6246"/>
      <c r="AX1175" s="6246"/>
      <c r="AY1175" s="6246"/>
      <c r="AZ1175" s="6246"/>
      <c r="BA1175" s="6228"/>
      <c r="BB1175" s="6228"/>
      <c r="BC1175" s="6228"/>
      <c r="BD1175" s="6228"/>
      <c r="BE1175" s="6228"/>
      <c r="BF1175" s="6228"/>
      <c r="BG1175" s="6228"/>
      <c r="BH1175" s="6228"/>
      <c r="BI1175" s="6275"/>
      <c r="BJ1175" s="6275"/>
      <c r="BK1175" s="6275"/>
      <c r="BL1175" s="6275"/>
      <c r="BM1175" s="6275"/>
      <c r="BN1175" s="6228">
        <v>601085.916</v>
      </c>
      <c r="BO1175" s="6185"/>
      <c r="BP1175" s="6185"/>
      <c r="BQ1175" s="6185"/>
      <c r="BR1175" s="6185"/>
      <c r="BS1175" s="6185"/>
      <c r="BT1175" s="6185"/>
      <c r="BU1175" s="6185"/>
      <c r="BV1175" s="6185"/>
      <c r="BW1175" s="6280"/>
      <c r="BX1175" s="6188"/>
      <c r="BY1175" s="6188"/>
      <c r="BZ1175" s="6188"/>
      <c r="CA1175" s="6188"/>
      <c r="CB1175" s="6185">
        <v>601085.916</v>
      </c>
      <c r="CC1175" s="6185"/>
      <c r="CD1175" s="6185"/>
      <c r="CE1175" s="5169"/>
      <c r="CF1175" s="5169"/>
      <c r="CG1175" s="5169"/>
      <c r="CH1175" s="5169"/>
    </row>
    <row r="1176" s="4965" customFormat="1" ht="61" customHeight="1" spans="1:86">
      <c r="A1176" s="5079"/>
      <c r="B1176" s="5821"/>
      <c r="C1176" s="5821"/>
      <c r="D1176" s="6040"/>
      <c r="E1176" s="5821"/>
      <c r="F1176" s="6096"/>
      <c r="G1176" s="6096"/>
      <c r="H1176" s="6096"/>
      <c r="I1176" s="6095"/>
      <c r="J1176" s="6096"/>
      <c r="K1176" s="6095"/>
      <c r="L1176" s="6096"/>
      <c r="M1176" s="6148"/>
      <c r="N1176" s="6148"/>
      <c r="O1176" s="6148"/>
      <c r="P1176" s="6148"/>
      <c r="Q1176" s="6148"/>
      <c r="R1176" s="6148"/>
      <c r="S1176" s="6148"/>
      <c r="T1176" s="6148"/>
      <c r="U1176" s="6148"/>
      <c r="V1176" s="6148"/>
      <c r="W1176" s="6148"/>
      <c r="X1176" s="6148"/>
      <c r="Y1176" s="6148"/>
      <c r="Z1176" s="6148"/>
      <c r="AA1176" s="6148"/>
      <c r="AB1176" s="6148"/>
      <c r="AC1176" s="6185">
        <v>2</v>
      </c>
      <c r="AD1176" s="6186" t="s">
        <v>2028</v>
      </c>
      <c r="AE1176" s="6187">
        <v>0.3</v>
      </c>
      <c r="AF1176" s="6188">
        <f>M1175*AE1176</f>
        <v>901628.874</v>
      </c>
      <c r="AG1176" s="6186">
        <f t="shared" si="251"/>
        <v>901628.874</v>
      </c>
      <c r="AH1176" s="6186" t="s">
        <v>122</v>
      </c>
      <c r="AI1176" s="6228">
        <v>45251</v>
      </c>
      <c r="AJ1176" s="6185">
        <v>901628.874</v>
      </c>
      <c r="AK1176" s="6228">
        <v>45251</v>
      </c>
      <c r="AL1176" s="6185">
        <v>901628.874</v>
      </c>
      <c r="AM1176" s="6228">
        <v>45251</v>
      </c>
      <c r="AN1176" s="6186">
        <f t="shared" si="252"/>
        <v>901628.874</v>
      </c>
      <c r="AO1176" s="6228">
        <v>45289</v>
      </c>
      <c r="AP1176" s="6186">
        <f t="shared" si="250"/>
        <v>0</v>
      </c>
      <c r="AQ1176" s="6246"/>
      <c r="AR1176" s="6185"/>
      <c r="AS1176" s="6261"/>
      <c r="AT1176" s="6246"/>
      <c r="AU1176" s="6246"/>
      <c r="AV1176" s="6246"/>
      <c r="AW1176" s="6246"/>
      <c r="AX1176" s="6246"/>
      <c r="AY1176" s="6246"/>
      <c r="AZ1176" s="6246"/>
      <c r="BA1176" s="6228"/>
      <c r="BB1176" s="6228"/>
      <c r="BC1176" s="6228"/>
      <c r="BD1176" s="6228"/>
      <c r="BE1176" s="6228"/>
      <c r="BF1176" s="6228"/>
      <c r="BG1176" s="6228"/>
      <c r="BH1176" s="6228"/>
      <c r="BI1176" s="6275"/>
      <c r="BJ1176" s="6275"/>
      <c r="BK1176" s="6275"/>
      <c r="BL1176" s="6275"/>
      <c r="BM1176" s="6275"/>
      <c r="BN1176" s="6228">
        <v>901628.874</v>
      </c>
      <c r="BO1176" s="6185"/>
      <c r="BP1176" s="6185"/>
      <c r="BQ1176" s="6185"/>
      <c r="BR1176" s="6185"/>
      <c r="BS1176" s="6185"/>
      <c r="BT1176" s="6185"/>
      <c r="BU1176" s="6185"/>
      <c r="BV1176" s="6185"/>
      <c r="BW1176" s="6280"/>
      <c r="BX1176" s="6188"/>
      <c r="BY1176" s="6188"/>
      <c r="BZ1176" s="6188"/>
      <c r="CA1176" s="6188"/>
      <c r="CB1176" s="6185">
        <v>901628.874</v>
      </c>
      <c r="CC1176" s="6185"/>
      <c r="CD1176" s="6185"/>
      <c r="CE1176" s="5169"/>
      <c r="CF1176" s="5169"/>
      <c r="CG1176" s="5169"/>
      <c r="CH1176" s="5169"/>
    </row>
    <row r="1177" s="4965" customFormat="1" ht="61" customHeight="1" spans="1:86">
      <c r="A1177" s="5079"/>
      <c r="B1177" s="5821"/>
      <c r="C1177" s="5821"/>
      <c r="D1177" s="6040"/>
      <c r="E1177" s="5821"/>
      <c r="F1177" s="6096"/>
      <c r="G1177" s="6096"/>
      <c r="H1177" s="6096"/>
      <c r="I1177" s="6095"/>
      <c r="J1177" s="6096"/>
      <c r="K1177" s="6095"/>
      <c r="L1177" s="6096"/>
      <c r="M1177" s="6148"/>
      <c r="N1177" s="6148"/>
      <c r="O1177" s="6148"/>
      <c r="P1177" s="6148"/>
      <c r="Q1177" s="6148"/>
      <c r="R1177" s="6148"/>
      <c r="S1177" s="6148"/>
      <c r="T1177" s="6148"/>
      <c r="U1177" s="6148"/>
      <c r="V1177" s="6148"/>
      <c r="W1177" s="6148"/>
      <c r="X1177" s="6148"/>
      <c r="Y1177" s="6148"/>
      <c r="Z1177" s="6148"/>
      <c r="AA1177" s="6148"/>
      <c r="AB1177" s="6148"/>
      <c r="AC1177" s="6185">
        <v>3</v>
      </c>
      <c r="AD1177" s="6186" t="s">
        <v>1785</v>
      </c>
      <c r="AE1177" s="6187">
        <v>0.2</v>
      </c>
      <c r="AF1177" s="6188">
        <f>M1175*AE1177</f>
        <v>601085.916</v>
      </c>
      <c r="AG1177" s="6186">
        <f t="shared" si="251"/>
        <v>601085.916</v>
      </c>
      <c r="AH1177" s="6186" t="s">
        <v>122</v>
      </c>
      <c r="AI1177" s="6228">
        <v>45251</v>
      </c>
      <c r="AJ1177" s="6185">
        <v>601085.916</v>
      </c>
      <c r="AK1177" s="6228">
        <v>45251</v>
      </c>
      <c r="AL1177" s="6185">
        <v>601085.916</v>
      </c>
      <c r="AM1177" s="6228">
        <v>45251</v>
      </c>
      <c r="AN1177" s="6186">
        <f t="shared" si="252"/>
        <v>601085.916</v>
      </c>
      <c r="AO1177" s="6228">
        <v>45289</v>
      </c>
      <c r="AP1177" s="6186">
        <f t="shared" si="250"/>
        <v>0</v>
      </c>
      <c r="AQ1177" s="6246"/>
      <c r="AR1177" s="6185"/>
      <c r="AS1177" s="6261"/>
      <c r="AT1177" s="6246"/>
      <c r="AU1177" s="6246"/>
      <c r="AV1177" s="6246"/>
      <c r="AW1177" s="6246"/>
      <c r="AX1177" s="6246"/>
      <c r="AY1177" s="6246"/>
      <c r="AZ1177" s="6246"/>
      <c r="BA1177" s="6228"/>
      <c r="BB1177" s="6228"/>
      <c r="BC1177" s="6228"/>
      <c r="BD1177" s="6228"/>
      <c r="BE1177" s="6228"/>
      <c r="BF1177" s="6228"/>
      <c r="BG1177" s="6228"/>
      <c r="BH1177" s="6228"/>
      <c r="BI1177" s="6275"/>
      <c r="BJ1177" s="6275"/>
      <c r="BK1177" s="6275"/>
      <c r="BL1177" s="6275"/>
      <c r="BM1177" s="6275"/>
      <c r="BN1177" s="6228">
        <v>601085.916</v>
      </c>
      <c r="BO1177" s="6185"/>
      <c r="BP1177" s="6185"/>
      <c r="BQ1177" s="6185"/>
      <c r="BR1177" s="6185"/>
      <c r="BS1177" s="6185"/>
      <c r="BT1177" s="6185"/>
      <c r="BU1177" s="6185"/>
      <c r="BV1177" s="6185"/>
      <c r="BW1177" s="6280"/>
      <c r="BX1177" s="6188"/>
      <c r="BY1177" s="6188"/>
      <c r="BZ1177" s="6188"/>
      <c r="CA1177" s="6188"/>
      <c r="CB1177" s="6185">
        <v>601085.916</v>
      </c>
      <c r="CC1177" s="6185"/>
      <c r="CD1177" s="6185"/>
      <c r="CE1177" s="5169"/>
      <c r="CF1177" s="5169"/>
      <c r="CG1177" s="5169"/>
      <c r="CH1177" s="5169"/>
    </row>
    <row r="1178" s="4965" customFormat="1" ht="61" customHeight="1" spans="1:86">
      <c r="A1178" s="5079"/>
      <c r="B1178" s="5821"/>
      <c r="C1178" s="5821"/>
      <c r="D1178" s="6040"/>
      <c r="E1178" s="5821"/>
      <c r="F1178" s="6096"/>
      <c r="G1178" s="6096"/>
      <c r="H1178" s="6096"/>
      <c r="I1178" s="6095"/>
      <c r="J1178" s="6096"/>
      <c r="K1178" s="6095"/>
      <c r="L1178" s="6096"/>
      <c r="M1178" s="6148"/>
      <c r="N1178" s="6148"/>
      <c r="O1178" s="6148"/>
      <c r="P1178" s="6148"/>
      <c r="Q1178" s="6148"/>
      <c r="R1178" s="6148"/>
      <c r="S1178" s="6148"/>
      <c r="T1178" s="6148"/>
      <c r="U1178" s="6148"/>
      <c r="V1178" s="6148"/>
      <c r="W1178" s="6148"/>
      <c r="X1178" s="6148"/>
      <c r="Y1178" s="6148"/>
      <c r="Z1178" s="6148"/>
      <c r="AA1178" s="6148"/>
      <c r="AB1178" s="6148"/>
      <c r="AC1178" s="6185">
        <v>4</v>
      </c>
      <c r="AD1178" s="6186" t="s">
        <v>2088</v>
      </c>
      <c r="AE1178" s="6187">
        <v>0.25</v>
      </c>
      <c r="AF1178" s="6188">
        <f>M1175*AE1178</f>
        <v>751357.395</v>
      </c>
      <c r="AG1178" s="6186">
        <f t="shared" si="251"/>
        <v>751357.395</v>
      </c>
      <c r="AH1178" s="6186" t="s">
        <v>122</v>
      </c>
      <c r="AI1178" s="6228">
        <v>45251</v>
      </c>
      <c r="AJ1178" s="6185">
        <v>751357.395</v>
      </c>
      <c r="AK1178" s="6228">
        <v>45251</v>
      </c>
      <c r="AL1178" s="6185">
        <v>751357.395</v>
      </c>
      <c r="AM1178" s="6228">
        <v>45251</v>
      </c>
      <c r="AN1178" s="6186">
        <f t="shared" si="252"/>
        <v>751357.395</v>
      </c>
      <c r="AO1178" s="6228">
        <v>45289</v>
      </c>
      <c r="AP1178" s="6186">
        <f t="shared" si="250"/>
        <v>0</v>
      </c>
      <c r="AQ1178" s="6246"/>
      <c r="AR1178" s="6185"/>
      <c r="AS1178" s="6261"/>
      <c r="AT1178" s="6246"/>
      <c r="AU1178" s="6246"/>
      <c r="AV1178" s="6246"/>
      <c r="AW1178" s="6246"/>
      <c r="AX1178" s="6246"/>
      <c r="AY1178" s="6246"/>
      <c r="AZ1178" s="6246"/>
      <c r="BA1178" s="6228"/>
      <c r="BB1178" s="6228"/>
      <c r="BC1178" s="6228"/>
      <c r="BD1178" s="6228"/>
      <c r="BE1178" s="6228"/>
      <c r="BF1178" s="6228"/>
      <c r="BG1178" s="6228"/>
      <c r="BH1178" s="6228"/>
      <c r="BI1178" s="6275"/>
      <c r="BJ1178" s="6275"/>
      <c r="BK1178" s="6275"/>
      <c r="BL1178" s="6275"/>
      <c r="BM1178" s="6275"/>
      <c r="BN1178" s="6228">
        <v>751357.395</v>
      </c>
      <c r="BO1178" s="6185"/>
      <c r="BP1178" s="6185"/>
      <c r="BQ1178" s="6185"/>
      <c r="BR1178" s="6185"/>
      <c r="BS1178" s="6185"/>
      <c r="BT1178" s="6185"/>
      <c r="BU1178" s="6185"/>
      <c r="BV1178" s="6185"/>
      <c r="BW1178" s="6280"/>
      <c r="BX1178" s="6188"/>
      <c r="BY1178" s="6188"/>
      <c r="BZ1178" s="6188"/>
      <c r="CA1178" s="6188"/>
      <c r="CB1178" s="6185">
        <v>751357.395</v>
      </c>
      <c r="CC1178" s="6185"/>
      <c r="CD1178" s="6185"/>
      <c r="CE1178" s="5169"/>
      <c r="CF1178" s="5169"/>
      <c r="CG1178" s="5169"/>
      <c r="CH1178" s="5169"/>
    </row>
    <row r="1179" s="4965" customFormat="1" ht="61" customHeight="1" spans="1:86">
      <c r="A1179" s="5079"/>
      <c r="B1179" s="5821"/>
      <c r="C1179" s="5821"/>
      <c r="D1179" s="6040"/>
      <c r="E1179" s="5821"/>
      <c r="F1179" s="6097"/>
      <c r="G1179" s="6097"/>
      <c r="H1179" s="6097"/>
      <c r="I1179" s="6124"/>
      <c r="J1179" s="6097"/>
      <c r="K1179" s="6124"/>
      <c r="L1179" s="6097"/>
      <c r="M1179" s="6149"/>
      <c r="N1179" s="6149"/>
      <c r="O1179" s="6149"/>
      <c r="P1179" s="6149"/>
      <c r="Q1179" s="6149"/>
      <c r="R1179" s="6149"/>
      <c r="S1179" s="6149"/>
      <c r="T1179" s="6149"/>
      <c r="U1179" s="6149"/>
      <c r="V1179" s="6149"/>
      <c r="W1179" s="6149"/>
      <c r="X1179" s="6149"/>
      <c r="Y1179" s="6149"/>
      <c r="Z1179" s="6149"/>
      <c r="AA1179" s="6149"/>
      <c r="AB1179" s="6149"/>
      <c r="AC1179" s="6185">
        <v>5</v>
      </c>
      <c r="AD1179" s="6186" t="s">
        <v>2089</v>
      </c>
      <c r="AE1179" s="6187">
        <v>0.05</v>
      </c>
      <c r="AF1179" s="6188">
        <f>M1175*AE1179</f>
        <v>150271.479</v>
      </c>
      <c r="AG1179" s="6186">
        <f t="shared" si="251"/>
        <v>150256.46</v>
      </c>
      <c r="AH1179" s="6186" t="s">
        <v>122</v>
      </c>
      <c r="AI1179" s="6185">
        <v>45805</v>
      </c>
      <c r="AJ1179" s="6186">
        <f>SUM(BD1179:BQ1179)</f>
        <v>150256.46</v>
      </c>
      <c r="AK1179" s="6185">
        <v>45805</v>
      </c>
      <c r="AL1179" s="6186">
        <f>SUM(BF1179:BS1179)</f>
        <v>150256.46</v>
      </c>
      <c r="AM1179" s="6185">
        <v>45833</v>
      </c>
      <c r="AN1179" s="6186">
        <f t="shared" si="252"/>
        <v>150256.46</v>
      </c>
      <c r="AO1179" s="6228">
        <v>45896</v>
      </c>
      <c r="AP1179" s="6186">
        <f t="shared" si="250"/>
        <v>0</v>
      </c>
      <c r="AQ1179" s="6246"/>
      <c r="AR1179" s="6185"/>
      <c r="AS1179" s="6261"/>
      <c r="AT1179" s="6246"/>
      <c r="AU1179" s="6246"/>
      <c r="AV1179" s="6246"/>
      <c r="AW1179" s="6246"/>
      <c r="AX1179" s="6246"/>
      <c r="AY1179" s="6246"/>
      <c r="AZ1179" s="6246"/>
      <c r="BA1179" s="6228"/>
      <c r="BB1179" s="6228"/>
      <c r="BC1179" s="6228"/>
      <c r="BD1179" s="6228"/>
      <c r="BE1179" s="6228"/>
      <c r="BF1179" s="6228"/>
      <c r="BG1179" s="6228"/>
      <c r="BH1179" s="6228"/>
      <c r="BI1179" s="6275"/>
      <c r="BJ1179" s="6275"/>
      <c r="BK1179" s="6275"/>
      <c r="BL1179" s="6275"/>
      <c r="BM1179" s="6275"/>
      <c r="BN1179" s="6228">
        <v>150256.46</v>
      </c>
      <c r="BO1179" s="6185"/>
      <c r="BP1179" s="6185"/>
      <c r="BQ1179" s="6185"/>
      <c r="BR1179" s="6185"/>
      <c r="BS1179" s="6185"/>
      <c r="BT1179" s="6185"/>
      <c r="BU1179" s="6185"/>
      <c r="BV1179" s="6185"/>
      <c r="BW1179" s="6280"/>
      <c r="BX1179" s="6188"/>
      <c r="BY1179" s="6188"/>
      <c r="BZ1179" s="6188"/>
      <c r="CA1179" s="6188"/>
      <c r="CB1179" s="6185">
        <v>150256.46</v>
      </c>
      <c r="CC1179" s="6185"/>
      <c r="CD1179" s="6185"/>
      <c r="CE1179" s="5169"/>
      <c r="CF1179" s="5169"/>
      <c r="CG1179" s="5169"/>
      <c r="CH1179" s="5169"/>
    </row>
    <row r="1180" s="4965" customFormat="1" ht="61" customHeight="1" spans="1:86">
      <c r="A1180" s="5079"/>
      <c r="B1180" s="5821"/>
      <c r="C1180" s="5821">
        <v>45219</v>
      </c>
      <c r="D1180" s="6040"/>
      <c r="E1180" s="5821"/>
      <c r="F1180" s="6098" t="s">
        <v>2090</v>
      </c>
      <c r="G1180" s="6098" t="s">
        <v>2085</v>
      </c>
      <c r="H1180" s="6098" t="s">
        <v>353</v>
      </c>
      <c r="I1180" s="6098"/>
      <c r="J1180" s="6098" t="s">
        <v>2024</v>
      </c>
      <c r="K1180" s="6098" t="s">
        <v>2091</v>
      </c>
      <c r="L1180" s="6098" t="s">
        <v>2092</v>
      </c>
      <c r="M1180" s="6150">
        <f>SUM(N1180:AA1189)</f>
        <v>3031301</v>
      </c>
      <c r="N1180" s="6150"/>
      <c r="O1180" s="6150"/>
      <c r="P1180" s="6150"/>
      <c r="Q1180" s="6150"/>
      <c r="R1180" s="6150"/>
      <c r="S1180" s="6150"/>
      <c r="T1180" s="6150"/>
      <c r="U1180" s="6150"/>
      <c r="V1180" s="6150"/>
      <c r="W1180" s="6150"/>
      <c r="X1180" s="6150"/>
      <c r="Y1180" s="6150"/>
      <c r="Z1180" s="6150"/>
      <c r="AA1180" s="6150">
        <v>3031301</v>
      </c>
      <c r="AB1180" s="6170" t="s">
        <v>126</v>
      </c>
      <c r="AC1180" s="6189">
        <v>1</v>
      </c>
      <c r="AD1180" s="6190" t="s">
        <v>2093</v>
      </c>
      <c r="AE1180" s="6191">
        <v>0.1</v>
      </c>
      <c r="AF1180" s="6192">
        <f>M1180*AE1180</f>
        <v>303130.1</v>
      </c>
      <c r="AG1180" s="6193">
        <f t="shared" si="251"/>
        <v>303130.1</v>
      </c>
      <c r="AH1180" s="6190" t="s">
        <v>122</v>
      </c>
      <c r="AI1180" s="6229">
        <v>45251</v>
      </c>
      <c r="AJ1180" s="6189">
        <v>303130.1</v>
      </c>
      <c r="AK1180" s="6229">
        <v>45251</v>
      </c>
      <c r="AL1180" s="6189">
        <v>303130.1</v>
      </c>
      <c r="AM1180" s="6229">
        <v>45251</v>
      </c>
      <c r="AN1180" s="6192">
        <f t="shared" si="252"/>
        <v>303130.1</v>
      </c>
      <c r="AO1180" s="6229">
        <v>45289</v>
      </c>
      <c r="AP1180" s="6192">
        <f t="shared" si="250"/>
        <v>0</v>
      </c>
      <c r="AQ1180" s="6247"/>
      <c r="AR1180" s="6189"/>
      <c r="AS1180" s="6262"/>
      <c r="AT1180" s="6247"/>
      <c r="AU1180" s="6247"/>
      <c r="AV1180" s="6247"/>
      <c r="AW1180" s="6247"/>
      <c r="AX1180" s="6247"/>
      <c r="AY1180" s="6247"/>
      <c r="AZ1180" s="6247"/>
      <c r="BA1180" s="6229"/>
      <c r="BB1180" s="6229"/>
      <c r="BC1180" s="6229"/>
      <c r="BD1180" s="6229"/>
      <c r="BE1180" s="6229"/>
      <c r="BF1180" s="6229"/>
      <c r="BG1180" s="6229"/>
      <c r="BH1180" s="6229"/>
      <c r="BI1180" s="6193"/>
      <c r="BJ1180" s="6193"/>
      <c r="BK1180" s="6193"/>
      <c r="BL1180" s="6193"/>
      <c r="BM1180" s="6193"/>
      <c r="BN1180" s="6229">
        <v>303130.1</v>
      </c>
      <c r="BO1180" s="6189"/>
      <c r="BP1180" s="6189"/>
      <c r="BQ1180" s="6189"/>
      <c r="BR1180" s="6189"/>
      <c r="BS1180" s="6189"/>
      <c r="BT1180" s="6189"/>
      <c r="BU1180" s="6189"/>
      <c r="BV1180" s="6189"/>
      <c r="BW1180" s="6281"/>
      <c r="BX1180" s="6192"/>
      <c r="BY1180" s="6192"/>
      <c r="BZ1180" s="6192"/>
      <c r="CA1180" s="6192"/>
      <c r="CB1180" s="6229">
        <v>303130.1</v>
      </c>
      <c r="CC1180" s="6189"/>
      <c r="CD1180" s="6189"/>
      <c r="CE1180" s="5169"/>
      <c r="CF1180" s="5169"/>
      <c r="CG1180" s="5169"/>
      <c r="CH1180" s="5169"/>
    </row>
    <row r="1181" s="4965" customFormat="1" ht="61" customHeight="1" spans="1:86">
      <c r="A1181" s="5079"/>
      <c r="B1181" s="5821"/>
      <c r="C1181" s="5821"/>
      <c r="D1181" s="6040"/>
      <c r="E1181" s="5821"/>
      <c r="F1181" s="6099"/>
      <c r="G1181" s="6099"/>
      <c r="H1181" s="6099"/>
      <c r="I1181" s="6098"/>
      <c r="J1181" s="6099"/>
      <c r="K1181" s="6098"/>
      <c r="L1181" s="6099"/>
      <c r="M1181" s="6150"/>
      <c r="N1181" s="6150"/>
      <c r="O1181" s="6150"/>
      <c r="P1181" s="6150"/>
      <c r="Q1181" s="6150"/>
      <c r="R1181" s="6150"/>
      <c r="S1181" s="6150"/>
      <c r="T1181" s="6150"/>
      <c r="U1181" s="6150"/>
      <c r="V1181" s="6150"/>
      <c r="W1181" s="6150"/>
      <c r="X1181" s="6150"/>
      <c r="Y1181" s="6150"/>
      <c r="Z1181" s="6150"/>
      <c r="AA1181" s="6150"/>
      <c r="AB1181" s="6150"/>
      <c r="AC1181" s="6193" t="s">
        <v>2033</v>
      </c>
      <c r="AD1181" s="6190" t="s">
        <v>2034</v>
      </c>
      <c r="AE1181" s="6190" t="s">
        <v>2035</v>
      </c>
      <c r="AF1181" s="6192">
        <f>362000*40%</f>
        <v>144800</v>
      </c>
      <c r="AG1181" s="6193">
        <f t="shared" si="251"/>
        <v>144800</v>
      </c>
      <c r="AH1181" s="6190" t="s">
        <v>122</v>
      </c>
      <c r="AI1181" s="6229">
        <v>45251</v>
      </c>
      <c r="AJ1181" s="6189">
        <v>144800</v>
      </c>
      <c r="AK1181" s="6229">
        <v>45251</v>
      </c>
      <c r="AL1181" s="6189">
        <v>144800</v>
      </c>
      <c r="AM1181" s="6229">
        <v>45251</v>
      </c>
      <c r="AN1181" s="6192">
        <f t="shared" si="252"/>
        <v>144800</v>
      </c>
      <c r="AO1181" s="6229">
        <v>45289</v>
      </c>
      <c r="AP1181" s="6192">
        <f t="shared" si="250"/>
        <v>0</v>
      </c>
      <c r="AQ1181" s="6247"/>
      <c r="AR1181" s="6189"/>
      <c r="AS1181" s="6262"/>
      <c r="AT1181" s="6247"/>
      <c r="AU1181" s="6247"/>
      <c r="AV1181" s="6247"/>
      <c r="AW1181" s="6247"/>
      <c r="AX1181" s="6247"/>
      <c r="AY1181" s="6247"/>
      <c r="AZ1181" s="6247"/>
      <c r="BA1181" s="6229"/>
      <c r="BB1181" s="6229"/>
      <c r="BC1181" s="6229"/>
      <c r="BD1181" s="6229"/>
      <c r="BE1181" s="6229"/>
      <c r="BF1181" s="6229"/>
      <c r="BG1181" s="6229"/>
      <c r="BH1181" s="6229"/>
      <c r="BI1181" s="6193"/>
      <c r="BJ1181" s="6193"/>
      <c r="BK1181" s="6193"/>
      <c r="BL1181" s="6193"/>
      <c r="BM1181" s="6193"/>
      <c r="BN1181" s="6229">
        <v>144800</v>
      </c>
      <c r="BO1181" s="6189"/>
      <c r="BP1181" s="6189"/>
      <c r="BQ1181" s="6189"/>
      <c r="BR1181" s="6189"/>
      <c r="BS1181" s="6189"/>
      <c r="BT1181" s="6189"/>
      <c r="BU1181" s="6189"/>
      <c r="BV1181" s="6189"/>
      <c r="BW1181" s="6281"/>
      <c r="BX1181" s="6192"/>
      <c r="BY1181" s="6192"/>
      <c r="BZ1181" s="6192"/>
      <c r="CA1181" s="6192"/>
      <c r="CB1181" s="6229">
        <v>144800</v>
      </c>
      <c r="CC1181" s="6189"/>
      <c r="CD1181" s="6189"/>
      <c r="CE1181" s="5169"/>
      <c r="CF1181" s="5169"/>
      <c r="CG1181" s="5169"/>
      <c r="CH1181" s="5169"/>
    </row>
    <row r="1182" s="4965" customFormat="1" ht="61" customHeight="1" spans="1:86">
      <c r="A1182" s="5079"/>
      <c r="B1182" s="5821"/>
      <c r="C1182" s="5821"/>
      <c r="D1182" s="6040"/>
      <c r="E1182" s="5821"/>
      <c r="F1182" s="6099"/>
      <c r="G1182" s="6099"/>
      <c r="H1182" s="6099"/>
      <c r="I1182" s="6098"/>
      <c r="J1182" s="6099"/>
      <c r="K1182" s="6098"/>
      <c r="L1182" s="6099"/>
      <c r="M1182" s="6150"/>
      <c r="N1182" s="6150"/>
      <c r="O1182" s="6150"/>
      <c r="P1182" s="6150"/>
      <c r="Q1182" s="6150"/>
      <c r="R1182" s="6150"/>
      <c r="S1182" s="6150"/>
      <c r="T1182" s="6150"/>
      <c r="U1182" s="6150"/>
      <c r="V1182" s="6150"/>
      <c r="W1182" s="6150"/>
      <c r="X1182" s="6150"/>
      <c r="Y1182" s="6150"/>
      <c r="Z1182" s="6150"/>
      <c r="AA1182" s="6150"/>
      <c r="AB1182" s="6150"/>
      <c r="AC1182" s="6193" t="s">
        <v>2036</v>
      </c>
      <c r="AD1182" s="6190" t="s">
        <v>2037</v>
      </c>
      <c r="AE1182" s="6190" t="s">
        <v>2038</v>
      </c>
      <c r="AF1182" s="6192">
        <f>362000*30%</f>
        <v>108600</v>
      </c>
      <c r="AG1182" s="6193">
        <f t="shared" si="251"/>
        <v>108600</v>
      </c>
      <c r="AH1182" s="6190" t="s">
        <v>122</v>
      </c>
      <c r="AI1182" s="6229">
        <v>45251</v>
      </c>
      <c r="AJ1182" s="6189">
        <v>108600</v>
      </c>
      <c r="AK1182" s="6229">
        <v>45251</v>
      </c>
      <c r="AL1182" s="6189">
        <v>108600</v>
      </c>
      <c r="AM1182" s="6229">
        <v>45251</v>
      </c>
      <c r="AN1182" s="6192">
        <f t="shared" si="252"/>
        <v>108600</v>
      </c>
      <c r="AO1182" s="6229">
        <v>45289</v>
      </c>
      <c r="AP1182" s="6192">
        <f t="shared" si="250"/>
        <v>0</v>
      </c>
      <c r="AQ1182" s="6247"/>
      <c r="AR1182" s="6189"/>
      <c r="AS1182" s="6262"/>
      <c r="AT1182" s="6247"/>
      <c r="AU1182" s="6247"/>
      <c r="AV1182" s="6247"/>
      <c r="AW1182" s="6247"/>
      <c r="AX1182" s="6247"/>
      <c r="AY1182" s="6247"/>
      <c r="AZ1182" s="6247"/>
      <c r="BA1182" s="6229"/>
      <c r="BB1182" s="6229"/>
      <c r="BC1182" s="6229"/>
      <c r="BD1182" s="6229"/>
      <c r="BE1182" s="6229"/>
      <c r="BF1182" s="6229"/>
      <c r="BG1182" s="6229"/>
      <c r="BH1182" s="6229"/>
      <c r="BI1182" s="6193"/>
      <c r="BJ1182" s="6193"/>
      <c r="BK1182" s="6193"/>
      <c r="BL1182" s="6193"/>
      <c r="BM1182" s="6193"/>
      <c r="BN1182" s="6229">
        <v>108600</v>
      </c>
      <c r="BO1182" s="6189"/>
      <c r="BP1182" s="6189"/>
      <c r="BQ1182" s="6189"/>
      <c r="BR1182" s="6189"/>
      <c r="BS1182" s="6189"/>
      <c r="BT1182" s="6189"/>
      <c r="BU1182" s="6189"/>
      <c r="BV1182" s="6189"/>
      <c r="BW1182" s="6281"/>
      <c r="BX1182" s="6192"/>
      <c r="BY1182" s="6192"/>
      <c r="BZ1182" s="6192"/>
      <c r="CA1182" s="6192"/>
      <c r="CB1182" s="6229">
        <v>108600</v>
      </c>
      <c r="CC1182" s="6189"/>
      <c r="CD1182" s="6189"/>
      <c r="CE1182" s="5169"/>
      <c r="CF1182" s="5169"/>
      <c r="CG1182" s="5169"/>
      <c r="CH1182" s="5169"/>
    </row>
    <row r="1183" s="4965" customFormat="1" ht="61" customHeight="1" spans="1:86">
      <c r="A1183" s="5079"/>
      <c r="B1183" s="5821"/>
      <c r="C1183" s="5821"/>
      <c r="D1183" s="6040"/>
      <c r="E1183" s="5821"/>
      <c r="F1183" s="6099"/>
      <c r="G1183" s="6099"/>
      <c r="H1183" s="6099"/>
      <c r="I1183" s="6098"/>
      <c r="J1183" s="6099"/>
      <c r="K1183" s="6098"/>
      <c r="L1183" s="6099"/>
      <c r="M1183" s="6150"/>
      <c r="N1183" s="6150"/>
      <c r="O1183" s="6150"/>
      <c r="P1183" s="6150"/>
      <c r="Q1183" s="6150"/>
      <c r="R1183" s="6150"/>
      <c r="S1183" s="6150"/>
      <c r="T1183" s="6150"/>
      <c r="U1183" s="6150"/>
      <c r="V1183" s="6150"/>
      <c r="W1183" s="6150"/>
      <c r="X1183" s="6150"/>
      <c r="Y1183" s="6150"/>
      <c r="Z1183" s="6150"/>
      <c r="AA1183" s="6150"/>
      <c r="AB1183" s="6150"/>
      <c r="AC1183" s="6193" t="s">
        <v>2039</v>
      </c>
      <c r="AD1183" s="6190" t="s">
        <v>2040</v>
      </c>
      <c r="AE1183" s="6190" t="s">
        <v>2041</v>
      </c>
      <c r="AF1183" s="6192">
        <f>362000*10%</f>
        <v>36200</v>
      </c>
      <c r="AG1183" s="6192">
        <f t="shared" si="251"/>
        <v>36200</v>
      </c>
      <c r="AH1183" s="6190" t="s">
        <v>122</v>
      </c>
      <c r="AI1183" s="6229">
        <v>45518</v>
      </c>
      <c r="AJ1183" s="6189">
        <v>36200</v>
      </c>
      <c r="AK1183" s="6189">
        <v>45518</v>
      </c>
      <c r="AL1183" s="6189">
        <v>36200</v>
      </c>
      <c r="AM1183" s="6189">
        <v>45518</v>
      </c>
      <c r="AN1183" s="6193">
        <f t="shared" si="252"/>
        <v>36200</v>
      </c>
      <c r="AO1183" s="6229">
        <v>45562</v>
      </c>
      <c r="AP1183" s="6192">
        <f t="shared" si="250"/>
        <v>0</v>
      </c>
      <c r="AQ1183" s="6247"/>
      <c r="AR1183" s="6189"/>
      <c r="AS1183" s="6262"/>
      <c r="AT1183" s="6247"/>
      <c r="AU1183" s="6247"/>
      <c r="AV1183" s="6247"/>
      <c r="AW1183" s="6247"/>
      <c r="AX1183" s="6247"/>
      <c r="AY1183" s="6247"/>
      <c r="AZ1183" s="6247"/>
      <c r="BA1183" s="6229"/>
      <c r="BB1183" s="6229"/>
      <c r="BC1183" s="6229"/>
      <c r="BD1183" s="6229"/>
      <c r="BE1183" s="6229"/>
      <c r="BF1183" s="6229"/>
      <c r="BG1183" s="6229"/>
      <c r="BH1183" s="6229"/>
      <c r="BI1183" s="6193"/>
      <c r="BJ1183" s="6193"/>
      <c r="BK1183" s="6193"/>
      <c r="BL1183" s="6193"/>
      <c r="BM1183" s="6193"/>
      <c r="BN1183" s="6229">
        <v>36200</v>
      </c>
      <c r="BO1183" s="6189"/>
      <c r="BP1183" s="6189"/>
      <c r="BQ1183" s="6189"/>
      <c r="BR1183" s="6189"/>
      <c r="BS1183" s="6189"/>
      <c r="BT1183" s="6189"/>
      <c r="BU1183" s="6189"/>
      <c r="BV1183" s="6189"/>
      <c r="BW1183" s="6281"/>
      <c r="BX1183" s="6192"/>
      <c r="BY1183" s="6192"/>
      <c r="BZ1183" s="6192"/>
      <c r="CA1183" s="6192"/>
      <c r="CB1183" s="6229">
        <v>36200</v>
      </c>
      <c r="CC1183" s="6189"/>
      <c r="CD1183" s="6189"/>
      <c r="CE1183" s="5169">
        <f>SUBTOTAL(9,BO1183:CB1183)</f>
        <v>36200</v>
      </c>
      <c r="CF1183" s="5169">
        <f>AN1183-CE1183</f>
        <v>0</v>
      </c>
      <c r="CG1183" s="5169"/>
      <c r="CH1183" s="5169"/>
    </row>
    <row r="1184" s="4965" customFormat="1" ht="61" customHeight="1" spans="1:86">
      <c r="A1184" s="5079"/>
      <c r="B1184" s="5821"/>
      <c r="C1184" s="5821"/>
      <c r="D1184" s="6040"/>
      <c r="E1184" s="5821"/>
      <c r="F1184" s="6099"/>
      <c r="G1184" s="6099"/>
      <c r="H1184" s="6099"/>
      <c r="I1184" s="6098"/>
      <c r="J1184" s="6099"/>
      <c r="K1184" s="6098"/>
      <c r="L1184" s="6099"/>
      <c r="M1184" s="6150"/>
      <c r="N1184" s="6150"/>
      <c r="O1184" s="6150"/>
      <c r="P1184" s="6150"/>
      <c r="Q1184" s="6150"/>
      <c r="R1184" s="6150"/>
      <c r="S1184" s="6150"/>
      <c r="T1184" s="6150"/>
      <c r="U1184" s="6150"/>
      <c r="V1184" s="6150"/>
      <c r="W1184" s="6150"/>
      <c r="X1184" s="6150"/>
      <c r="Y1184" s="6150"/>
      <c r="Z1184" s="6150"/>
      <c r="AA1184" s="6150"/>
      <c r="AB1184" s="6150"/>
      <c r="AC1184" s="6193" t="s">
        <v>2094</v>
      </c>
      <c r="AD1184" s="6190" t="s">
        <v>2043</v>
      </c>
      <c r="AE1184" s="6190" t="s">
        <v>2044</v>
      </c>
      <c r="AF1184" s="6192">
        <f>2669301*15%</f>
        <v>400395.15</v>
      </c>
      <c r="AG1184" s="6193">
        <f t="shared" si="251"/>
        <v>400395.15</v>
      </c>
      <c r="AH1184" s="6190" t="s">
        <v>122</v>
      </c>
      <c r="AI1184" s="6229">
        <v>45251</v>
      </c>
      <c r="AJ1184" s="6189">
        <v>400395.15</v>
      </c>
      <c r="AK1184" s="6229">
        <v>45251</v>
      </c>
      <c r="AL1184" s="6189">
        <v>400395.15</v>
      </c>
      <c r="AM1184" s="6229">
        <v>45251</v>
      </c>
      <c r="AN1184" s="6192">
        <f t="shared" si="252"/>
        <v>400395.15</v>
      </c>
      <c r="AO1184" s="6229">
        <v>45289</v>
      </c>
      <c r="AP1184" s="6192">
        <f t="shared" si="250"/>
        <v>0</v>
      </c>
      <c r="AQ1184" s="6247"/>
      <c r="AR1184" s="6189"/>
      <c r="AS1184" s="6262"/>
      <c r="AT1184" s="6247"/>
      <c r="AU1184" s="6247"/>
      <c r="AV1184" s="6247"/>
      <c r="AW1184" s="6247"/>
      <c r="AX1184" s="6247"/>
      <c r="AY1184" s="6247"/>
      <c r="AZ1184" s="6247"/>
      <c r="BA1184" s="6229"/>
      <c r="BB1184" s="6229"/>
      <c r="BC1184" s="6229"/>
      <c r="BD1184" s="6229"/>
      <c r="BE1184" s="6229"/>
      <c r="BF1184" s="6229"/>
      <c r="BG1184" s="6229"/>
      <c r="BH1184" s="6229"/>
      <c r="BI1184" s="6193"/>
      <c r="BJ1184" s="6193"/>
      <c r="BK1184" s="6193"/>
      <c r="BL1184" s="6193"/>
      <c r="BM1184" s="6193"/>
      <c r="BN1184" s="6229">
        <v>400395.15</v>
      </c>
      <c r="BO1184" s="6189"/>
      <c r="BP1184" s="6189"/>
      <c r="BQ1184" s="6189"/>
      <c r="BR1184" s="6189"/>
      <c r="BS1184" s="6189"/>
      <c r="BT1184" s="6189"/>
      <c r="BU1184" s="6189"/>
      <c r="BV1184" s="6189"/>
      <c r="BW1184" s="6281"/>
      <c r="BX1184" s="6192"/>
      <c r="BY1184" s="6192"/>
      <c r="BZ1184" s="6192"/>
      <c r="CA1184" s="6192"/>
      <c r="CB1184" s="6229">
        <v>400395.15</v>
      </c>
      <c r="CC1184" s="6189"/>
      <c r="CD1184" s="6189"/>
      <c r="CE1184" s="5169"/>
      <c r="CF1184" s="5169"/>
      <c r="CG1184" s="5169"/>
      <c r="CH1184" s="5169"/>
    </row>
    <row r="1185" s="4965" customFormat="1" ht="61" customHeight="1" spans="1:86">
      <c r="A1185" s="5079"/>
      <c r="B1185" s="5821"/>
      <c r="C1185" s="5821"/>
      <c r="D1185" s="6040"/>
      <c r="E1185" s="5821"/>
      <c r="F1185" s="6099"/>
      <c r="G1185" s="6099"/>
      <c r="H1185" s="6099"/>
      <c r="I1185" s="6098"/>
      <c r="J1185" s="6099"/>
      <c r="K1185" s="6098"/>
      <c r="L1185" s="6099"/>
      <c r="M1185" s="6150"/>
      <c r="N1185" s="6150"/>
      <c r="O1185" s="6150"/>
      <c r="P1185" s="6150"/>
      <c r="Q1185" s="6150"/>
      <c r="R1185" s="6150"/>
      <c r="S1185" s="6150"/>
      <c r="T1185" s="6150"/>
      <c r="U1185" s="6150"/>
      <c r="V1185" s="6150"/>
      <c r="W1185" s="6150"/>
      <c r="X1185" s="6150"/>
      <c r="Y1185" s="6150"/>
      <c r="Z1185" s="6150"/>
      <c r="AA1185" s="6150"/>
      <c r="AB1185" s="6150"/>
      <c r="AC1185" s="6193" t="s">
        <v>2095</v>
      </c>
      <c r="AD1185" s="6190" t="s">
        <v>2046</v>
      </c>
      <c r="AE1185" s="6190" t="s">
        <v>2047</v>
      </c>
      <c r="AF1185" s="6192">
        <f>2669301*20%</f>
        <v>533860.2</v>
      </c>
      <c r="AG1185" s="6193">
        <f t="shared" si="251"/>
        <v>533860.2</v>
      </c>
      <c r="AH1185" s="6190" t="s">
        <v>122</v>
      </c>
      <c r="AI1185" s="6229">
        <v>45251</v>
      </c>
      <c r="AJ1185" s="6189">
        <v>533860.2</v>
      </c>
      <c r="AK1185" s="6229">
        <v>45251</v>
      </c>
      <c r="AL1185" s="6189">
        <v>533860.2</v>
      </c>
      <c r="AM1185" s="6229">
        <v>45251</v>
      </c>
      <c r="AN1185" s="6192">
        <f t="shared" si="252"/>
        <v>533860.2</v>
      </c>
      <c r="AO1185" s="6229">
        <v>45289</v>
      </c>
      <c r="AP1185" s="6192">
        <f t="shared" si="250"/>
        <v>0</v>
      </c>
      <c r="AQ1185" s="6247"/>
      <c r="AR1185" s="6189"/>
      <c r="AS1185" s="6262"/>
      <c r="AT1185" s="6247"/>
      <c r="AU1185" s="6247"/>
      <c r="AV1185" s="6247"/>
      <c r="AW1185" s="6247"/>
      <c r="AX1185" s="6247"/>
      <c r="AY1185" s="6247"/>
      <c r="AZ1185" s="6247"/>
      <c r="BA1185" s="6229"/>
      <c r="BB1185" s="6229"/>
      <c r="BC1185" s="6229"/>
      <c r="BD1185" s="6229"/>
      <c r="BE1185" s="6229"/>
      <c r="BF1185" s="6229"/>
      <c r="BG1185" s="6229"/>
      <c r="BH1185" s="6229"/>
      <c r="BI1185" s="6193"/>
      <c r="BJ1185" s="6193"/>
      <c r="BK1185" s="6193"/>
      <c r="BL1185" s="6193"/>
      <c r="BM1185" s="6193"/>
      <c r="BN1185" s="6229">
        <v>533860.2</v>
      </c>
      <c r="BO1185" s="6189"/>
      <c r="BP1185" s="6189"/>
      <c r="BQ1185" s="6189"/>
      <c r="BR1185" s="6189"/>
      <c r="BS1185" s="6189"/>
      <c r="BT1185" s="6189"/>
      <c r="BU1185" s="6189"/>
      <c r="BV1185" s="6189"/>
      <c r="BW1185" s="6281"/>
      <c r="BX1185" s="6192"/>
      <c r="BY1185" s="6192"/>
      <c r="BZ1185" s="6192"/>
      <c r="CA1185" s="6192"/>
      <c r="CB1185" s="6229">
        <v>533860.2</v>
      </c>
      <c r="CC1185" s="6189"/>
      <c r="CD1185" s="6189"/>
      <c r="CE1185" s="5169"/>
      <c r="CF1185" s="5169"/>
      <c r="CG1185" s="5169"/>
      <c r="CH1185" s="5169"/>
    </row>
    <row r="1186" s="4965" customFormat="1" ht="61" customHeight="1" spans="1:86">
      <c r="A1186" s="5079"/>
      <c r="B1186" s="5821"/>
      <c r="C1186" s="5821"/>
      <c r="D1186" s="6040"/>
      <c r="E1186" s="5821"/>
      <c r="F1186" s="6099"/>
      <c r="G1186" s="6099"/>
      <c r="H1186" s="6099"/>
      <c r="I1186" s="6098"/>
      <c r="J1186" s="6099"/>
      <c r="K1186" s="6098"/>
      <c r="L1186" s="6099"/>
      <c r="M1186" s="6150"/>
      <c r="N1186" s="6150"/>
      <c r="O1186" s="6150"/>
      <c r="P1186" s="6150"/>
      <c r="Q1186" s="6150"/>
      <c r="R1186" s="6150"/>
      <c r="S1186" s="6150"/>
      <c r="T1186" s="6150"/>
      <c r="U1186" s="6150"/>
      <c r="V1186" s="6150"/>
      <c r="W1186" s="6150"/>
      <c r="X1186" s="6150"/>
      <c r="Y1186" s="6150"/>
      <c r="Z1186" s="6150"/>
      <c r="AA1186" s="6150"/>
      <c r="AB1186" s="6150"/>
      <c r="AC1186" s="6193" t="s">
        <v>2096</v>
      </c>
      <c r="AD1186" s="6190" t="s">
        <v>2049</v>
      </c>
      <c r="AE1186" s="6190" t="s">
        <v>2044</v>
      </c>
      <c r="AF1186" s="6193">
        <f>2669301*15%</f>
        <v>400395.15</v>
      </c>
      <c r="AG1186" s="6192">
        <f t="shared" si="251"/>
        <v>400395.15</v>
      </c>
      <c r="AH1186" s="6190" t="s">
        <v>122</v>
      </c>
      <c r="AI1186" s="6229">
        <v>45383</v>
      </c>
      <c r="AJ1186" s="6189">
        <v>400395.15</v>
      </c>
      <c r="AK1186" s="6189">
        <v>45383</v>
      </c>
      <c r="AL1186" s="6189">
        <v>400395.15</v>
      </c>
      <c r="AM1186" s="6229">
        <v>45383</v>
      </c>
      <c r="AN1186" s="6193">
        <f t="shared" si="252"/>
        <v>400395.15</v>
      </c>
      <c r="AO1186" s="6229">
        <v>45441</v>
      </c>
      <c r="AP1186" s="6192">
        <f t="shared" si="250"/>
        <v>0</v>
      </c>
      <c r="AQ1186" s="6247"/>
      <c r="AR1186" s="6189"/>
      <c r="AS1186" s="6262"/>
      <c r="AT1186" s="6247"/>
      <c r="AU1186" s="6247"/>
      <c r="AV1186" s="6247"/>
      <c r="AW1186" s="6247"/>
      <c r="AX1186" s="6247"/>
      <c r="AY1186" s="6247"/>
      <c r="AZ1186" s="6247"/>
      <c r="BA1186" s="6229"/>
      <c r="BB1186" s="6229"/>
      <c r="BC1186" s="6229"/>
      <c r="BD1186" s="6229"/>
      <c r="BE1186" s="6229"/>
      <c r="BF1186" s="6229"/>
      <c r="BG1186" s="6229"/>
      <c r="BH1186" s="6229"/>
      <c r="BI1186" s="6193"/>
      <c r="BJ1186" s="6193"/>
      <c r="BK1186" s="6193"/>
      <c r="BL1186" s="6193"/>
      <c r="BM1186" s="6193"/>
      <c r="BN1186" s="6229">
        <v>400395.15</v>
      </c>
      <c r="BO1186" s="6189"/>
      <c r="BP1186" s="6189"/>
      <c r="BQ1186" s="6189"/>
      <c r="BR1186" s="6189"/>
      <c r="BS1186" s="6189"/>
      <c r="BT1186" s="6189"/>
      <c r="BU1186" s="6189"/>
      <c r="BV1186" s="6189"/>
      <c r="BW1186" s="6281"/>
      <c r="BX1186" s="6192"/>
      <c r="BY1186" s="6192"/>
      <c r="BZ1186" s="6192"/>
      <c r="CA1186" s="6192"/>
      <c r="CB1186" s="6229">
        <v>400395.15</v>
      </c>
      <c r="CC1186" s="6189"/>
      <c r="CD1186" s="6189"/>
      <c r="CE1186" s="5169"/>
      <c r="CF1186" s="5169"/>
      <c r="CG1186" s="5169"/>
      <c r="CH1186" s="5169"/>
    </row>
    <row r="1187" s="4965" customFormat="1" ht="61" customHeight="1" spans="1:86">
      <c r="A1187" s="5079"/>
      <c r="B1187" s="5821"/>
      <c r="C1187" s="5821"/>
      <c r="D1187" s="6040"/>
      <c r="E1187" s="5821"/>
      <c r="F1187" s="6099"/>
      <c r="G1187" s="6099"/>
      <c r="H1187" s="6099"/>
      <c r="I1187" s="6098"/>
      <c r="J1187" s="6099"/>
      <c r="K1187" s="6098"/>
      <c r="L1187" s="6099"/>
      <c r="M1187" s="6150"/>
      <c r="N1187" s="6150"/>
      <c r="O1187" s="6150"/>
      <c r="P1187" s="6150"/>
      <c r="Q1187" s="6150"/>
      <c r="R1187" s="6150"/>
      <c r="S1187" s="6150"/>
      <c r="T1187" s="6150"/>
      <c r="U1187" s="6150"/>
      <c r="V1187" s="6150"/>
      <c r="W1187" s="6150"/>
      <c r="X1187" s="6150"/>
      <c r="Y1187" s="6150"/>
      <c r="Z1187" s="6150"/>
      <c r="AA1187" s="6150"/>
      <c r="AB1187" s="6150"/>
      <c r="AC1187" s="6193" t="s">
        <v>2042</v>
      </c>
      <c r="AD1187" s="6190" t="s">
        <v>2051</v>
      </c>
      <c r="AE1187" s="6190" t="s">
        <v>2047</v>
      </c>
      <c r="AF1187" s="6192">
        <f>2669301*20%</f>
        <v>533860.2</v>
      </c>
      <c r="AG1187" s="6192">
        <f t="shared" si="251"/>
        <v>533860.2</v>
      </c>
      <c r="AH1187" s="6190" t="s">
        <v>122</v>
      </c>
      <c r="AI1187" s="6229">
        <v>45518</v>
      </c>
      <c r="AJ1187" s="6189">
        <v>533860.2</v>
      </c>
      <c r="AK1187" s="6189">
        <v>45518</v>
      </c>
      <c r="AL1187" s="6189">
        <v>533860.2</v>
      </c>
      <c r="AM1187" s="6189">
        <v>45518</v>
      </c>
      <c r="AN1187" s="6193">
        <f t="shared" si="252"/>
        <v>533860.2</v>
      </c>
      <c r="AO1187" s="6229">
        <v>45562</v>
      </c>
      <c r="AP1187" s="6192">
        <f t="shared" si="250"/>
        <v>0</v>
      </c>
      <c r="AQ1187" s="6247"/>
      <c r="AR1187" s="6189"/>
      <c r="AS1187" s="6262"/>
      <c r="AT1187" s="6247"/>
      <c r="AU1187" s="6247"/>
      <c r="AV1187" s="6247"/>
      <c r="AW1187" s="6247"/>
      <c r="AX1187" s="6247"/>
      <c r="AY1187" s="6247"/>
      <c r="AZ1187" s="6247"/>
      <c r="BA1187" s="6229"/>
      <c r="BB1187" s="6229"/>
      <c r="BC1187" s="6229"/>
      <c r="BD1187" s="6229"/>
      <c r="BE1187" s="6229"/>
      <c r="BF1187" s="6229"/>
      <c r="BG1187" s="6229"/>
      <c r="BH1187" s="6229"/>
      <c r="BI1187" s="6193"/>
      <c r="BJ1187" s="6193"/>
      <c r="BK1187" s="6193"/>
      <c r="BL1187" s="6193"/>
      <c r="BM1187" s="6193"/>
      <c r="BN1187" s="6229">
        <v>533860.2</v>
      </c>
      <c r="BO1187" s="6189"/>
      <c r="BP1187" s="6189"/>
      <c r="BQ1187" s="6189"/>
      <c r="BR1187" s="6189"/>
      <c r="BS1187" s="6189"/>
      <c r="BT1187" s="6189"/>
      <c r="BU1187" s="6189"/>
      <c r="BV1187" s="6189"/>
      <c r="BW1187" s="6281"/>
      <c r="BX1187" s="6192"/>
      <c r="BY1187" s="6192"/>
      <c r="BZ1187" s="6192"/>
      <c r="CA1187" s="6192"/>
      <c r="CB1187" s="6229">
        <v>533860.2</v>
      </c>
      <c r="CC1187" s="6189"/>
      <c r="CD1187" s="6189"/>
      <c r="CE1187" s="5169">
        <f>SUBTOTAL(9,BO1187:CB1187)</f>
        <v>533860.2</v>
      </c>
      <c r="CF1187" s="5169">
        <f>AN1187-CE1187</f>
        <v>0</v>
      </c>
      <c r="CG1187" s="5169"/>
      <c r="CH1187" s="5169"/>
    </row>
    <row r="1188" s="4965" customFormat="1" ht="61" customHeight="1" spans="1:86">
      <c r="A1188" s="5079"/>
      <c r="B1188" s="5821"/>
      <c r="C1188" s="5821"/>
      <c r="D1188" s="6040"/>
      <c r="E1188" s="5821"/>
      <c r="F1188" s="6099"/>
      <c r="G1188" s="6099"/>
      <c r="H1188" s="6099"/>
      <c r="I1188" s="6098"/>
      <c r="J1188" s="6099"/>
      <c r="K1188" s="6098"/>
      <c r="L1188" s="6099"/>
      <c r="M1188" s="6150"/>
      <c r="N1188" s="6150"/>
      <c r="O1188" s="6150"/>
      <c r="P1188" s="6150"/>
      <c r="Q1188" s="6150"/>
      <c r="R1188" s="6150"/>
      <c r="S1188" s="6150"/>
      <c r="T1188" s="6150"/>
      <c r="U1188" s="6150"/>
      <c r="V1188" s="6150"/>
      <c r="W1188" s="6150"/>
      <c r="X1188" s="6150"/>
      <c r="Y1188" s="6150"/>
      <c r="Z1188" s="6150"/>
      <c r="AA1188" s="6150"/>
      <c r="AB1188" s="6150"/>
      <c r="AC1188" s="6193" t="s">
        <v>2045</v>
      </c>
      <c r="AD1188" s="6190" t="s">
        <v>2053</v>
      </c>
      <c r="AE1188" s="6190" t="s">
        <v>2054</v>
      </c>
      <c r="AF1188" s="6192">
        <f>2669301*5%</f>
        <v>133465.05</v>
      </c>
      <c r="AG1188" s="6192">
        <f t="shared" si="251"/>
        <v>133465.05</v>
      </c>
      <c r="AH1188" s="6190" t="s">
        <v>122</v>
      </c>
      <c r="AI1188" s="6189">
        <v>45805</v>
      </c>
      <c r="AJ1188" s="6192">
        <f>SUM(BD1188:BQ1188)</f>
        <v>133465.05</v>
      </c>
      <c r="AK1188" s="6189">
        <v>45805</v>
      </c>
      <c r="AL1188" s="6192">
        <f>SUM(BF1188:BS1188)</f>
        <v>133465.05</v>
      </c>
      <c r="AM1188" s="6189">
        <v>45833</v>
      </c>
      <c r="AN1188" s="6193">
        <f t="shared" si="252"/>
        <v>133465.05</v>
      </c>
      <c r="AO1188" s="6229">
        <v>45896</v>
      </c>
      <c r="AP1188" s="6192">
        <f t="shared" si="250"/>
        <v>0</v>
      </c>
      <c r="AQ1188" s="6247"/>
      <c r="AR1188" s="6189"/>
      <c r="AS1188" s="6262"/>
      <c r="AT1188" s="6247"/>
      <c r="AU1188" s="6247"/>
      <c r="AV1188" s="6247"/>
      <c r="AW1188" s="6247"/>
      <c r="AX1188" s="6247"/>
      <c r="AY1188" s="6247"/>
      <c r="AZ1188" s="6247"/>
      <c r="BA1188" s="6229"/>
      <c r="BB1188" s="6229"/>
      <c r="BC1188" s="6229"/>
      <c r="BD1188" s="6229"/>
      <c r="BE1188" s="6229"/>
      <c r="BF1188" s="6229"/>
      <c r="BG1188" s="6229"/>
      <c r="BH1188" s="6229"/>
      <c r="BI1188" s="6193"/>
      <c r="BJ1188" s="6193"/>
      <c r="BK1188" s="6193"/>
      <c r="BL1188" s="6193"/>
      <c r="BM1188" s="6193"/>
      <c r="BN1188" s="6229">
        <v>133465.05</v>
      </c>
      <c r="BO1188" s="6189"/>
      <c r="BP1188" s="6189"/>
      <c r="BQ1188" s="6189"/>
      <c r="BR1188" s="6189"/>
      <c r="BS1188" s="6189"/>
      <c r="BT1188" s="6189"/>
      <c r="BU1188" s="6189"/>
      <c r="BV1188" s="6189"/>
      <c r="BW1188" s="6281"/>
      <c r="BX1188" s="6192"/>
      <c r="BY1188" s="6192"/>
      <c r="BZ1188" s="6192"/>
      <c r="CA1188" s="6192"/>
      <c r="CB1188" s="6229">
        <v>133465.05</v>
      </c>
      <c r="CC1188" s="6189"/>
      <c r="CD1188" s="6189"/>
      <c r="CE1188" s="5169"/>
      <c r="CF1188" s="5169"/>
      <c r="CG1188" s="5169"/>
      <c r="CH1188" s="5169"/>
    </row>
    <row r="1189" s="4965" customFormat="1" ht="61" customHeight="1" spans="1:86">
      <c r="A1189" s="5079"/>
      <c r="B1189" s="5821"/>
      <c r="C1189" s="5821"/>
      <c r="D1189" s="6040"/>
      <c r="E1189" s="5821"/>
      <c r="F1189" s="6100"/>
      <c r="G1189" s="6100"/>
      <c r="H1189" s="6100"/>
      <c r="I1189" s="6125"/>
      <c r="J1189" s="6100"/>
      <c r="K1189" s="6125"/>
      <c r="L1189" s="6100"/>
      <c r="M1189" s="6151"/>
      <c r="N1189" s="6151"/>
      <c r="O1189" s="6151"/>
      <c r="P1189" s="6151"/>
      <c r="Q1189" s="6151"/>
      <c r="R1189" s="6151"/>
      <c r="S1189" s="6151"/>
      <c r="T1189" s="6151"/>
      <c r="U1189" s="6151"/>
      <c r="V1189" s="6151"/>
      <c r="W1189" s="6151"/>
      <c r="X1189" s="6151"/>
      <c r="Y1189" s="6151"/>
      <c r="Z1189" s="6151"/>
      <c r="AA1189" s="6151"/>
      <c r="AB1189" s="6151"/>
      <c r="AC1189" s="6189">
        <v>10</v>
      </c>
      <c r="AD1189" s="6190" t="s">
        <v>2055</v>
      </c>
      <c r="AE1189" s="6190" t="s">
        <v>2097</v>
      </c>
      <c r="AF1189" s="6192">
        <f>2669301*15%+362000*10%</f>
        <v>436595.15</v>
      </c>
      <c r="AG1189" s="6192">
        <f t="shared" si="251"/>
        <v>436595.15</v>
      </c>
      <c r="AH1189" s="6190" t="s">
        <v>122</v>
      </c>
      <c r="AI1189" s="6189">
        <v>45805</v>
      </c>
      <c r="AJ1189" s="6192">
        <f>SUM(BD1189:BQ1189)</f>
        <v>436595.15</v>
      </c>
      <c r="AK1189" s="6189">
        <v>45805</v>
      </c>
      <c r="AL1189" s="6192">
        <f>SUM(BF1189:BS1189)</f>
        <v>436595.15</v>
      </c>
      <c r="AM1189" s="6189">
        <v>45833</v>
      </c>
      <c r="AN1189" s="6193">
        <f t="shared" si="252"/>
        <v>436595.15</v>
      </c>
      <c r="AO1189" s="6229">
        <v>45896</v>
      </c>
      <c r="AP1189" s="6192">
        <f t="shared" si="250"/>
        <v>0</v>
      </c>
      <c r="AQ1189" s="6247"/>
      <c r="AR1189" s="6189"/>
      <c r="AS1189" s="6262"/>
      <c r="AT1189" s="6247"/>
      <c r="AU1189" s="6247"/>
      <c r="AV1189" s="6247"/>
      <c r="AW1189" s="6247"/>
      <c r="AX1189" s="6247"/>
      <c r="AY1189" s="6247"/>
      <c r="AZ1189" s="6247"/>
      <c r="BA1189" s="6229"/>
      <c r="BB1189" s="6229"/>
      <c r="BC1189" s="6229"/>
      <c r="BD1189" s="6229"/>
      <c r="BE1189" s="6229"/>
      <c r="BF1189" s="6229"/>
      <c r="BG1189" s="6229"/>
      <c r="BH1189" s="6229"/>
      <c r="BI1189" s="6193"/>
      <c r="BJ1189" s="6193"/>
      <c r="BK1189" s="6193"/>
      <c r="BL1189" s="6193"/>
      <c r="BM1189" s="6193"/>
      <c r="BN1189" s="6229">
        <v>436595.15</v>
      </c>
      <c r="BO1189" s="6189"/>
      <c r="BP1189" s="6189"/>
      <c r="BQ1189" s="6189"/>
      <c r="BR1189" s="6189"/>
      <c r="BS1189" s="6189"/>
      <c r="BT1189" s="6189"/>
      <c r="BU1189" s="6189"/>
      <c r="BV1189" s="6189"/>
      <c r="BW1189" s="6281"/>
      <c r="BX1189" s="6192"/>
      <c r="BY1189" s="6192"/>
      <c r="BZ1189" s="6192"/>
      <c r="CA1189" s="6192"/>
      <c r="CB1189" s="6229">
        <v>436595.15</v>
      </c>
      <c r="CC1189" s="6189"/>
      <c r="CD1189" s="6189"/>
      <c r="CE1189" s="5169"/>
      <c r="CF1189" s="5169"/>
      <c r="CG1189" s="5169"/>
      <c r="CH1189" s="5169"/>
    </row>
    <row r="1190" s="4965" customFormat="1" ht="61" customHeight="1" spans="1:86">
      <c r="A1190" s="5079"/>
      <c r="B1190" s="5821"/>
      <c r="C1190" s="5821">
        <v>45219</v>
      </c>
      <c r="D1190" s="6040"/>
      <c r="E1190" s="5821"/>
      <c r="F1190" s="6101" t="s">
        <v>2098</v>
      </c>
      <c r="G1190" s="6101" t="s">
        <v>2085</v>
      </c>
      <c r="H1190" s="6101" t="s">
        <v>362</v>
      </c>
      <c r="I1190" s="6101"/>
      <c r="J1190" s="6101" t="s">
        <v>2024</v>
      </c>
      <c r="K1190" s="6101" t="s">
        <v>2099</v>
      </c>
      <c r="L1190" s="6101" t="s">
        <v>2100</v>
      </c>
      <c r="M1190" s="6152">
        <f>SUM(N1190:AA1200)</f>
        <v>1602858.89</v>
      </c>
      <c r="N1190" s="6152"/>
      <c r="O1190" s="6152"/>
      <c r="P1190" s="6152"/>
      <c r="Q1190" s="6152"/>
      <c r="R1190" s="6152"/>
      <c r="S1190" s="6152"/>
      <c r="T1190" s="6152"/>
      <c r="U1190" s="6152"/>
      <c r="V1190" s="6152"/>
      <c r="W1190" s="6152"/>
      <c r="X1190" s="6152"/>
      <c r="Y1190" s="6152"/>
      <c r="Z1190" s="6152"/>
      <c r="AA1190" s="6152">
        <v>1602858.89</v>
      </c>
      <c r="AB1190" s="6171" t="s">
        <v>126</v>
      </c>
      <c r="AC1190" s="6194">
        <v>1</v>
      </c>
      <c r="AD1190" s="6195" t="s">
        <v>2059</v>
      </c>
      <c r="AE1190" s="6196">
        <v>0.15</v>
      </c>
      <c r="AF1190" s="6197">
        <f>AE1190*M1190</f>
        <v>240428.8335</v>
      </c>
      <c r="AG1190" s="6230">
        <f t="shared" si="251"/>
        <v>182659.65</v>
      </c>
      <c r="AH1190" s="6198" t="s">
        <v>122</v>
      </c>
      <c r="AI1190" s="6231">
        <v>45251</v>
      </c>
      <c r="AJ1190" s="6230">
        <v>182659.65</v>
      </c>
      <c r="AK1190" s="6231">
        <v>45251</v>
      </c>
      <c r="AL1190" s="6230">
        <v>182659.65</v>
      </c>
      <c r="AM1190" s="6231">
        <v>45251</v>
      </c>
      <c r="AN1190" s="6202">
        <f t="shared" si="252"/>
        <v>182659.65</v>
      </c>
      <c r="AO1190" s="6231">
        <v>45289</v>
      </c>
      <c r="AP1190" s="6202">
        <f t="shared" si="250"/>
        <v>0</v>
      </c>
      <c r="AQ1190" s="6248"/>
      <c r="AR1190" s="6232"/>
      <c r="AS1190" s="6263"/>
      <c r="AT1190" s="6248"/>
      <c r="AU1190" s="6248"/>
      <c r="AV1190" s="6248"/>
      <c r="AW1190" s="6248"/>
      <c r="AX1190" s="6248"/>
      <c r="AY1190" s="6248"/>
      <c r="AZ1190" s="6248"/>
      <c r="BA1190" s="6231"/>
      <c r="BB1190" s="6231"/>
      <c r="BC1190" s="6231"/>
      <c r="BD1190" s="6231"/>
      <c r="BE1190" s="6231"/>
      <c r="BF1190" s="6231"/>
      <c r="BG1190" s="6231"/>
      <c r="BH1190" s="6231"/>
      <c r="BI1190" s="6230"/>
      <c r="BJ1190" s="6230"/>
      <c r="BK1190" s="6230"/>
      <c r="BL1190" s="6230"/>
      <c r="BM1190" s="6230"/>
      <c r="BN1190" s="6231">
        <v>182659.65</v>
      </c>
      <c r="BO1190" s="6232"/>
      <c r="BP1190" s="6232"/>
      <c r="BQ1190" s="6232"/>
      <c r="BR1190" s="6232"/>
      <c r="BS1190" s="6232"/>
      <c r="BT1190" s="6232"/>
      <c r="BU1190" s="6232"/>
      <c r="BV1190" s="6232"/>
      <c r="BW1190" s="6282"/>
      <c r="BX1190" s="6202"/>
      <c r="BY1190" s="6202"/>
      <c r="BZ1190" s="6202"/>
      <c r="CA1190" s="6202"/>
      <c r="CB1190" s="6232">
        <v>182659.65</v>
      </c>
      <c r="CC1190" s="6232"/>
      <c r="CD1190" s="6232"/>
      <c r="CE1190" s="5169"/>
      <c r="CF1190" s="5169"/>
      <c r="CG1190" s="5169"/>
      <c r="CH1190" s="5169"/>
    </row>
    <row r="1191" s="4965" customFormat="1" ht="61" customHeight="1" spans="1:86">
      <c r="A1191" s="5079"/>
      <c r="B1191" s="5821"/>
      <c r="C1191" s="5821"/>
      <c r="D1191" s="6040"/>
      <c r="E1191" s="5821"/>
      <c r="F1191" s="6102"/>
      <c r="G1191" s="6102"/>
      <c r="H1191" s="6102"/>
      <c r="I1191" s="6101"/>
      <c r="J1191" s="6102"/>
      <c r="K1191" s="6101"/>
      <c r="L1191" s="6102"/>
      <c r="M1191" s="6152"/>
      <c r="N1191" s="6152"/>
      <c r="O1191" s="6152"/>
      <c r="P1191" s="6152"/>
      <c r="Q1191" s="6152"/>
      <c r="R1191" s="6152"/>
      <c r="S1191" s="6152"/>
      <c r="T1191" s="6152"/>
      <c r="U1191" s="6152"/>
      <c r="V1191" s="6152"/>
      <c r="W1191" s="6152"/>
      <c r="X1191" s="6152"/>
      <c r="Y1191" s="6152"/>
      <c r="Z1191" s="6152"/>
      <c r="AA1191" s="6152"/>
      <c r="AB1191" s="6152"/>
      <c r="AC1191" s="6153"/>
      <c r="AD1191" s="6198" t="s">
        <v>2101</v>
      </c>
      <c r="AE1191" s="6199"/>
      <c r="AF1191" s="6200"/>
      <c r="AG1191" s="6230">
        <f t="shared" si="251"/>
        <v>57769.18</v>
      </c>
      <c r="AH1191" s="6198" t="s">
        <v>122</v>
      </c>
      <c r="AI1191" s="6231">
        <v>45805</v>
      </c>
      <c r="AJ1191" s="6230">
        <f>SUM(BD1191:BQ1191)</f>
        <v>57769.18</v>
      </c>
      <c r="AK1191" s="6231">
        <v>45805</v>
      </c>
      <c r="AL1191" s="6230">
        <f>SUM(BF1191:BS1191)</f>
        <v>57769.18</v>
      </c>
      <c r="AM1191" s="6231">
        <v>45833</v>
      </c>
      <c r="AN1191" s="6230">
        <f t="shared" si="252"/>
        <v>57769.18</v>
      </c>
      <c r="AO1191" s="6231">
        <v>45896</v>
      </c>
      <c r="AP1191" s="6202">
        <f t="shared" si="250"/>
        <v>0</v>
      </c>
      <c r="AQ1191" s="6248"/>
      <c r="AR1191" s="6232"/>
      <c r="AS1191" s="6263"/>
      <c r="AT1191" s="6248"/>
      <c r="AU1191" s="6248"/>
      <c r="AV1191" s="6248"/>
      <c r="AW1191" s="6248"/>
      <c r="AX1191" s="6248"/>
      <c r="AY1191" s="6248"/>
      <c r="AZ1191" s="6248"/>
      <c r="BA1191" s="6231"/>
      <c r="BB1191" s="6231"/>
      <c r="BC1191" s="6231"/>
      <c r="BD1191" s="6231"/>
      <c r="BE1191" s="6231"/>
      <c r="BF1191" s="6231"/>
      <c r="BG1191" s="6231"/>
      <c r="BH1191" s="6231"/>
      <c r="BI1191" s="6230"/>
      <c r="BJ1191" s="6230"/>
      <c r="BK1191" s="6230"/>
      <c r="BL1191" s="6230"/>
      <c r="BM1191" s="6230"/>
      <c r="BN1191" s="6276">
        <v>57769.18</v>
      </c>
      <c r="BO1191" s="6232"/>
      <c r="BP1191" s="6232"/>
      <c r="BQ1191" s="6232"/>
      <c r="BR1191" s="6232"/>
      <c r="BS1191" s="6232"/>
      <c r="BT1191" s="6232"/>
      <c r="BU1191" s="6232"/>
      <c r="BV1191" s="6232"/>
      <c r="BW1191" s="6282"/>
      <c r="BX1191" s="6202"/>
      <c r="BY1191" s="6202"/>
      <c r="BZ1191" s="6202"/>
      <c r="CA1191" s="6202"/>
      <c r="CB1191" s="6231">
        <v>57769.18</v>
      </c>
      <c r="CC1191" s="6232"/>
      <c r="CD1191" s="6232"/>
      <c r="CE1191" s="5169"/>
      <c r="CF1191" s="5169"/>
      <c r="CG1191" s="5169"/>
      <c r="CH1191" s="5169"/>
    </row>
    <row r="1192" s="4965" customFormat="1" ht="61" customHeight="1" spans="1:86">
      <c r="A1192" s="5079"/>
      <c r="B1192" s="5821"/>
      <c r="C1192" s="5821"/>
      <c r="D1192" s="6040"/>
      <c r="E1192" s="5821"/>
      <c r="F1192" s="6102"/>
      <c r="G1192" s="6102"/>
      <c r="H1192" s="6102"/>
      <c r="I1192" s="6101"/>
      <c r="J1192" s="6102"/>
      <c r="K1192" s="6101"/>
      <c r="L1192" s="6102"/>
      <c r="M1192" s="6152"/>
      <c r="N1192" s="6152"/>
      <c r="O1192" s="6152"/>
      <c r="P1192" s="6152"/>
      <c r="Q1192" s="6152"/>
      <c r="R1192" s="6152"/>
      <c r="S1192" s="6152"/>
      <c r="T1192" s="6152"/>
      <c r="U1192" s="6152"/>
      <c r="V1192" s="6152"/>
      <c r="W1192" s="6152"/>
      <c r="X1192" s="6152"/>
      <c r="Y1192" s="6152"/>
      <c r="Z1192" s="6152"/>
      <c r="AA1192" s="6152"/>
      <c r="AB1192" s="6152"/>
      <c r="AC1192" s="6194">
        <v>2</v>
      </c>
      <c r="AD1192" s="6195" t="s">
        <v>2060</v>
      </c>
      <c r="AE1192" s="6196">
        <v>0.25</v>
      </c>
      <c r="AF1192" s="6197">
        <f>M1190*AE1192</f>
        <v>400714.7225</v>
      </c>
      <c r="AG1192" s="6230">
        <f t="shared" si="251"/>
        <v>304432.76</v>
      </c>
      <c r="AH1192" s="6198" t="s">
        <v>122</v>
      </c>
      <c r="AI1192" s="6231">
        <v>45251</v>
      </c>
      <c r="AJ1192" s="6231">
        <v>304432.76</v>
      </c>
      <c r="AK1192" s="6231">
        <v>45251</v>
      </c>
      <c r="AL1192" s="6231">
        <v>304432.76</v>
      </c>
      <c r="AM1192" s="6231">
        <v>45251</v>
      </c>
      <c r="AN1192" s="6202">
        <f t="shared" si="252"/>
        <v>304432.76</v>
      </c>
      <c r="AO1192" s="6231">
        <v>45289</v>
      </c>
      <c r="AP1192" s="6202">
        <f t="shared" si="250"/>
        <v>0</v>
      </c>
      <c r="AQ1192" s="6248"/>
      <c r="AR1192" s="6232"/>
      <c r="AS1192" s="6263"/>
      <c r="AT1192" s="6248"/>
      <c r="AU1192" s="6248"/>
      <c r="AV1192" s="6248"/>
      <c r="AW1192" s="6248"/>
      <c r="AX1192" s="6248"/>
      <c r="AY1192" s="6248"/>
      <c r="AZ1192" s="6248"/>
      <c r="BA1192" s="6231"/>
      <c r="BB1192" s="6231"/>
      <c r="BC1192" s="6231"/>
      <c r="BD1192" s="6231"/>
      <c r="BE1192" s="6231"/>
      <c r="BF1192" s="6231"/>
      <c r="BG1192" s="6231"/>
      <c r="BH1192" s="6231"/>
      <c r="BI1192" s="6230"/>
      <c r="BJ1192" s="6230"/>
      <c r="BK1192" s="6230"/>
      <c r="BL1192" s="6230"/>
      <c r="BM1192" s="6230"/>
      <c r="BN1192" s="6231">
        <v>304432.76</v>
      </c>
      <c r="BO1192" s="6232"/>
      <c r="BP1192" s="6232"/>
      <c r="BQ1192" s="6232"/>
      <c r="BR1192" s="6232"/>
      <c r="BS1192" s="6232"/>
      <c r="BT1192" s="6232"/>
      <c r="BU1192" s="6232"/>
      <c r="BV1192" s="6232"/>
      <c r="BW1192" s="6282"/>
      <c r="BX1192" s="6202"/>
      <c r="BY1192" s="6202"/>
      <c r="BZ1192" s="6202"/>
      <c r="CA1192" s="6202"/>
      <c r="CB1192" s="6232">
        <v>304432.76</v>
      </c>
      <c r="CC1192" s="6232"/>
      <c r="CD1192" s="6232"/>
      <c r="CE1192" s="5169"/>
      <c r="CF1192" s="5169"/>
      <c r="CG1192" s="5169"/>
      <c r="CH1192" s="5169"/>
    </row>
    <row r="1193" s="4965" customFormat="1" ht="61" customHeight="1" spans="1:86">
      <c r="A1193" s="5079"/>
      <c r="B1193" s="5821"/>
      <c r="C1193" s="5821"/>
      <c r="D1193" s="6040"/>
      <c r="E1193" s="5821"/>
      <c r="F1193" s="6102"/>
      <c r="G1193" s="6102"/>
      <c r="H1193" s="6102"/>
      <c r="I1193" s="6101"/>
      <c r="J1193" s="6102"/>
      <c r="K1193" s="6101"/>
      <c r="L1193" s="6102"/>
      <c r="M1193" s="6152"/>
      <c r="N1193" s="6152"/>
      <c r="O1193" s="6152"/>
      <c r="P1193" s="6152"/>
      <c r="Q1193" s="6152"/>
      <c r="R1193" s="6152"/>
      <c r="S1193" s="6152"/>
      <c r="T1193" s="6152"/>
      <c r="U1193" s="6152"/>
      <c r="V1193" s="6152"/>
      <c r="W1193" s="6152"/>
      <c r="X1193" s="6152"/>
      <c r="Y1193" s="6152"/>
      <c r="Z1193" s="6152"/>
      <c r="AA1193" s="6152"/>
      <c r="AB1193" s="6152"/>
      <c r="AC1193" s="6153"/>
      <c r="AD1193" s="6198" t="s">
        <v>2102</v>
      </c>
      <c r="AE1193" s="6199"/>
      <c r="AF1193" s="6200"/>
      <c r="AG1193" s="6230">
        <f t="shared" si="251"/>
        <v>96281.96</v>
      </c>
      <c r="AH1193" s="6198" t="s">
        <v>122</v>
      </c>
      <c r="AI1193" s="6231">
        <v>45805</v>
      </c>
      <c r="AJ1193" s="6230">
        <f>SUM(BD1193:BQ1193)</f>
        <v>96281.96</v>
      </c>
      <c r="AK1193" s="6231">
        <v>45805</v>
      </c>
      <c r="AL1193" s="6230">
        <f>SUM(BF1193:BS1193)</f>
        <v>96281.96</v>
      </c>
      <c r="AM1193" s="6231">
        <v>45833</v>
      </c>
      <c r="AN1193" s="6230">
        <f t="shared" si="252"/>
        <v>96281.96</v>
      </c>
      <c r="AO1193" s="6231">
        <v>45896</v>
      </c>
      <c r="AP1193" s="6202">
        <f t="shared" si="250"/>
        <v>0</v>
      </c>
      <c r="AQ1193" s="6248"/>
      <c r="AR1193" s="6232"/>
      <c r="AS1193" s="6263"/>
      <c r="AT1193" s="6248"/>
      <c r="AU1193" s="6248"/>
      <c r="AV1193" s="6248"/>
      <c r="AW1193" s="6248"/>
      <c r="AX1193" s="6248"/>
      <c r="AY1193" s="6248"/>
      <c r="AZ1193" s="6248"/>
      <c r="BA1193" s="6231"/>
      <c r="BB1193" s="6231"/>
      <c r="BC1193" s="6231"/>
      <c r="BD1193" s="6231"/>
      <c r="BE1193" s="6231"/>
      <c r="BF1193" s="6231"/>
      <c r="BG1193" s="6231"/>
      <c r="BH1193" s="6231"/>
      <c r="BI1193" s="6230"/>
      <c r="BJ1193" s="6230"/>
      <c r="BK1193" s="6230"/>
      <c r="BL1193" s="6230"/>
      <c r="BM1193" s="6230"/>
      <c r="BN1193" s="6276">
        <v>96281.96</v>
      </c>
      <c r="BO1193" s="6232"/>
      <c r="BP1193" s="6232"/>
      <c r="BQ1193" s="6232"/>
      <c r="BR1193" s="6232"/>
      <c r="BS1193" s="6232"/>
      <c r="BT1193" s="6232"/>
      <c r="BU1193" s="6232"/>
      <c r="BV1193" s="6232"/>
      <c r="BW1193" s="6282"/>
      <c r="BX1193" s="6202"/>
      <c r="BY1193" s="6202"/>
      <c r="BZ1193" s="6202"/>
      <c r="CA1193" s="6202"/>
      <c r="CB1193" s="6232">
        <v>96281.96</v>
      </c>
      <c r="CC1193" s="6232"/>
      <c r="CD1193" s="6232"/>
      <c r="CE1193" s="5169"/>
      <c r="CF1193" s="5169"/>
      <c r="CG1193" s="5169"/>
      <c r="CH1193" s="5169"/>
    </row>
    <row r="1194" s="4965" customFormat="1" ht="61" customHeight="1" spans="1:86">
      <c r="A1194" s="5079"/>
      <c r="B1194" s="5821"/>
      <c r="C1194" s="5821"/>
      <c r="D1194" s="6040"/>
      <c r="E1194" s="5821"/>
      <c r="F1194" s="6102"/>
      <c r="G1194" s="6102"/>
      <c r="H1194" s="6102"/>
      <c r="I1194" s="6101"/>
      <c r="J1194" s="6102"/>
      <c r="K1194" s="6101"/>
      <c r="L1194" s="6102"/>
      <c r="M1194" s="6152"/>
      <c r="N1194" s="6152"/>
      <c r="O1194" s="6152"/>
      <c r="P1194" s="6152"/>
      <c r="Q1194" s="6152"/>
      <c r="R1194" s="6152"/>
      <c r="S1194" s="6152"/>
      <c r="T1194" s="6152"/>
      <c r="U1194" s="6152"/>
      <c r="V1194" s="6152"/>
      <c r="W1194" s="6152"/>
      <c r="X1194" s="6152"/>
      <c r="Y1194" s="6152"/>
      <c r="Z1194" s="6152"/>
      <c r="AA1194" s="6152"/>
      <c r="AB1194" s="6152"/>
      <c r="AC1194" s="6194">
        <v>3</v>
      </c>
      <c r="AD1194" s="6195" t="s">
        <v>2061</v>
      </c>
      <c r="AE1194" s="6196">
        <v>0.2</v>
      </c>
      <c r="AF1194" s="6197">
        <f>M1190*AE1194</f>
        <v>320571.778</v>
      </c>
      <c r="AG1194" s="6230">
        <f t="shared" si="251"/>
        <v>243546.21</v>
      </c>
      <c r="AH1194" s="6198" t="s">
        <v>122</v>
      </c>
      <c r="AI1194" s="6231">
        <v>45251</v>
      </c>
      <c r="AJ1194" s="6230">
        <f>SUM(BD1194:BQ1194)</f>
        <v>243546.21</v>
      </c>
      <c r="AK1194" s="6231">
        <v>45251</v>
      </c>
      <c r="AL1194" s="6230">
        <f>SUM(BF1194:BS1194)</f>
        <v>243546.21</v>
      </c>
      <c r="AM1194" s="6231">
        <v>45251</v>
      </c>
      <c r="AN1194" s="6202">
        <f t="shared" si="252"/>
        <v>243546.21</v>
      </c>
      <c r="AO1194" s="6231">
        <v>45289</v>
      </c>
      <c r="AP1194" s="6202">
        <f t="shared" si="250"/>
        <v>0</v>
      </c>
      <c r="AQ1194" s="6248"/>
      <c r="AR1194" s="6232"/>
      <c r="AS1194" s="6263"/>
      <c r="AT1194" s="6248"/>
      <c r="AU1194" s="6248"/>
      <c r="AV1194" s="6248"/>
      <c r="AW1194" s="6248"/>
      <c r="AX1194" s="6248"/>
      <c r="AY1194" s="6248"/>
      <c r="AZ1194" s="6248"/>
      <c r="BA1194" s="6231"/>
      <c r="BB1194" s="6231"/>
      <c r="BC1194" s="6231"/>
      <c r="BD1194" s="6231"/>
      <c r="BE1194" s="6231"/>
      <c r="BF1194" s="6231"/>
      <c r="BG1194" s="6231"/>
      <c r="BH1194" s="6231"/>
      <c r="BI1194" s="6230"/>
      <c r="BJ1194" s="6230"/>
      <c r="BK1194" s="6230"/>
      <c r="BL1194" s="6230"/>
      <c r="BM1194" s="6230"/>
      <c r="BN1194" s="6232">
        <v>243546.21</v>
      </c>
      <c r="BO1194" s="6232"/>
      <c r="BP1194" s="6232"/>
      <c r="BQ1194" s="6232"/>
      <c r="BR1194" s="6232"/>
      <c r="BS1194" s="6232"/>
      <c r="BT1194" s="6232"/>
      <c r="BU1194" s="6232"/>
      <c r="BV1194" s="6232"/>
      <c r="BW1194" s="6282"/>
      <c r="BX1194" s="6202"/>
      <c r="BY1194" s="6202"/>
      <c r="BZ1194" s="6202"/>
      <c r="CA1194" s="6202"/>
      <c r="CB1194" s="6232">
        <v>243546.21</v>
      </c>
      <c r="CC1194" s="6232"/>
      <c r="CD1194" s="6232"/>
      <c r="CE1194" s="5169"/>
      <c r="CF1194" s="5169"/>
      <c r="CG1194" s="5169"/>
      <c r="CH1194" s="5169"/>
    </row>
    <row r="1195" s="4965" customFormat="1" ht="61" customHeight="1" spans="1:86">
      <c r="A1195" s="5079"/>
      <c r="B1195" s="5821"/>
      <c r="C1195" s="5821"/>
      <c r="D1195" s="6040"/>
      <c r="E1195" s="5821"/>
      <c r="F1195" s="6102"/>
      <c r="G1195" s="6102"/>
      <c r="H1195" s="6102"/>
      <c r="I1195" s="6101"/>
      <c r="J1195" s="6102"/>
      <c r="K1195" s="6101"/>
      <c r="L1195" s="6102"/>
      <c r="M1195" s="6152"/>
      <c r="N1195" s="6152"/>
      <c r="O1195" s="6152"/>
      <c r="P1195" s="6152"/>
      <c r="Q1195" s="6152"/>
      <c r="R1195" s="6152"/>
      <c r="S1195" s="6152"/>
      <c r="T1195" s="6152"/>
      <c r="U1195" s="6152"/>
      <c r="V1195" s="6152"/>
      <c r="W1195" s="6152"/>
      <c r="X1195" s="6152"/>
      <c r="Y1195" s="6152"/>
      <c r="Z1195" s="6152"/>
      <c r="AA1195" s="6152"/>
      <c r="AB1195" s="6152"/>
      <c r="AC1195" s="6153"/>
      <c r="AD1195" s="6198" t="s">
        <v>2103</v>
      </c>
      <c r="AE1195" s="6199"/>
      <c r="AF1195" s="6200"/>
      <c r="AG1195" s="6230">
        <f t="shared" si="251"/>
        <v>77025.57</v>
      </c>
      <c r="AH1195" s="6198" t="s">
        <v>122</v>
      </c>
      <c r="AI1195" s="6231">
        <v>45805</v>
      </c>
      <c r="AJ1195" s="6230">
        <f>SUM(BD1195:BQ1195)</f>
        <v>77025.57</v>
      </c>
      <c r="AK1195" s="6231">
        <v>45805</v>
      </c>
      <c r="AL1195" s="6230">
        <f>SUM(BF1195:BS1195)</f>
        <v>77025.57</v>
      </c>
      <c r="AM1195" s="6231">
        <v>45833</v>
      </c>
      <c r="AN1195" s="6230">
        <f t="shared" si="252"/>
        <v>77025.57</v>
      </c>
      <c r="AO1195" s="6231">
        <v>45896</v>
      </c>
      <c r="AP1195" s="6202">
        <f t="shared" si="250"/>
        <v>0</v>
      </c>
      <c r="AQ1195" s="6248"/>
      <c r="AR1195" s="6232"/>
      <c r="AS1195" s="6263"/>
      <c r="AT1195" s="6248"/>
      <c r="AU1195" s="6248"/>
      <c r="AV1195" s="6248"/>
      <c r="AW1195" s="6248"/>
      <c r="AX1195" s="6248"/>
      <c r="AY1195" s="6248"/>
      <c r="AZ1195" s="6248"/>
      <c r="BA1195" s="6231"/>
      <c r="BB1195" s="6231"/>
      <c r="BC1195" s="6231"/>
      <c r="BD1195" s="6231"/>
      <c r="BE1195" s="6231"/>
      <c r="BF1195" s="6231"/>
      <c r="BG1195" s="6231"/>
      <c r="BH1195" s="6231"/>
      <c r="BI1195" s="6230"/>
      <c r="BJ1195" s="6230"/>
      <c r="BK1195" s="6230"/>
      <c r="BL1195" s="6230"/>
      <c r="BM1195" s="6230"/>
      <c r="BN1195" s="6276">
        <v>77025.57</v>
      </c>
      <c r="BO1195" s="6232"/>
      <c r="BP1195" s="6232"/>
      <c r="BQ1195" s="6232"/>
      <c r="BR1195" s="6232"/>
      <c r="BS1195" s="6232"/>
      <c r="BT1195" s="6232"/>
      <c r="BU1195" s="6232"/>
      <c r="BV1195" s="6232"/>
      <c r="BW1195" s="6282"/>
      <c r="BX1195" s="6202"/>
      <c r="BY1195" s="6202"/>
      <c r="BZ1195" s="6202"/>
      <c r="CA1195" s="6202"/>
      <c r="CB1195" s="6232">
        <v>77025.57</v>
      </c>
      <c r="CC1195" s="6232"/>
      <c r="CD1195" s="6232"/>
      <c r="CE1195" s="5169"/>
      <c r="CF1195" s="5169"/>
      <c r="CG1195" s="5169"/>
      <c r="CH1195" s="5169"/>
    </row>
    <row r="1196" s="4965" customFormat="1" ht="61" customHeight="1" spans="1:86">
      <c r="A1196" s="5079"/>
      <c r="B1196" s="5821"/>
      <c r="C1196" s="5821"/>
      <c r="D1196" s="6040"/>
      <c r="E1196" s="5821"/>
      <c r="F1196" s="6102"/>
      <c r="G1196" s="6102"/>
      <c r="H1196" s="6102"/>
      <c r="I1196" s="6101"/>
      <c r="J1196" s="6102"/>
      <c r="K1196" s="6101"/>
      <c r="L1196" s="6102"/>
      <c r="M1196" s="6152"/>
      <c r="N1196" s="6152"/>
      <c r="O1196" s="6152"/>
      <c r="P1196" s="6152"/>
      <c r="Q1196" s="6152"/>
      <c r="R1196" s="6152"/>
      <c r="S1196" s="6152"/>
      <c r="T1196" s="6152"/>
      <c r="U1196" s="6152"/>
      <c r="V1196" s="6152"/>
      <c r="W1196" s="6152"/>
      <c r="X1196" s="6152"/>
      <c r="Y1196" s="6152"/>
      <c r="Z1196" s="6152"/>
      <c r="AA1196" s="6152"/>
      <c r="AB1196" s="6152"/>
      <c r="AC1196" s="6194">
        <v>4</v>
      </c>
      <c r="AD1196" s="6198" t="s">
        <v>2104</v>
      </c>
      <c r="AE1196" s="6201">
        <v>0.2</v>
      </c>
      <c r="AF1196" s="6202">
        <f>M1190*AE1196</f>
        <v>320571.778</v>
      </c>
      <c r="AG1196" s="6230">
        <f t="shared" si="251"/>
        <v>36736</v>
      </c>
      <c r="AH1196" s="6198" t="s">
        <v>122</v>
      </c>
      <c r="AI1196" s="6231">
        <v>45251</v>
      </c>
      <c r="AJ1196" s="6231">
        <v>36736</v>
      </c>
      <c r="AK1196" s="6231">
        <v>45251</v>
      </c>
      <c r="AL1196" s="6231">
        <v>36736</v>
      </c>
      <c r="AM1196" s="6231">
        <v>45251</v>
      </c>
      <c r="AN1196" s="6202">
        <f t="shared" si="252"/>
        <v>36736</v>
      </c>
      <c r="AO1196" s="6231">
        <v>45289</v>
      </c>
      <c r="AP1196" s="6202">
        <f t="shared" si="250"/>
        <v>0</v>
      </c>
      <c r="AQ1196" s="6248"/>
      <c r="AR1196" s="6232"/>
      <c r="AS1196" s="6263"/>
      <c r="AT1196" s="6248"/>
      <c r="AU1196" s="6248"/>
      <c r="AV1196" s="6248"/>
      <c r="AW1196" s="6248"/>
      <c r="AX1196" s="6248"/>
      <c r="AY1196" s="6248"/>
      <c r="AZ1196" s="6248"/>
      <c r="BA1196" s="6231"/>
      <c r="BB1196" s="6231"/>
      <c r="BC1196" s="6231"/>
      <c r="BD1196" s="6231"/>
      <c r="BE1196" s="6231"/>
      <c r="BF1196" s="6231"/>
      <c r="BG1196" s="6231"/>
      <c r="BH1196" s="6231"/>
      <c r="BI1196" s="6230"/>
      <c r="BJ1196" s="6230"/>
      <c r="BK1196" s="6230"/>
      <c r="BL1196" s="6230"/>
      <c r="BM1196" s="6230"/>
      <c r="BN1196" s="6231">
        <v>36736</v>
      </c>
      <c r="BO1196" s="6232"/>
      <c r="BP1196" s="6232"/>
      <c r="BQ1196" s="6232"/>
      <c r="BR1196" s="6232"/>
      <c r="BS1196" s="6232"/>
      <c r="BT1196" s="6232"/>
      <c r="BU1196" s="6232"/>
      <c r="BV1196" s="6232"/>
      <c r="BW1196" s="6282"/>
      <c r="BX1196" s="6202"/>
      <c r="BY1196" s="6202"/>
      <c r="BZ1196" s="6202"/>
      <c r="CA1196" s="6202"/>
      <c r="CB1196" s="6232">
        <v>36736</v>
      </c>
      <c r="CC1196" s="6232"/>
      <c r="CD1196" s="6232"/>
      <c r="CE1196" s="5169"/>
      <c r="CF1196" s="5169"/>
      <c r="CG1196" s="5169"/>
      <c r="CH1196" s="5169"/>
    </row>
    <row r="1197" s="4965" customFormat="1" ht="61" customHeight="1" spans="1:86">
      <c r="A1197" s="5079"/>
      <c r="B1197" s="5821"/>
      <c r="C1197" s="5821"/>
      <c r="D1197" s="6040"/>
      <c r="E1197" s="5821"/>
      <c r="F1197" s="6102"/>
      <c r="G1197" s="6102"/>
      <c r="H1197" s="6102"/>
      <c r="I1197" s="6101"/>
      <c r="J1197" s="6102"/>
      <c r="K1197" s="6101"/>
      <c r="L1197" s="6102"/>
      <c r="M1197" s="6152"/>
      <c r="N1197" s="6152"/>
      <c r="O1197" s="6152"/>
      <c r="P1197" s="6152"/>
      <c r="Q1197" s="6152"/>
      <c r="R1197" s="6152"/>
      <c r="S1197" s="6152"/>
      <c r="T1197" s="6152"/>
      <c r="U1197" s="6152"/>
      <c r="V1197" s="6152"/>
      <c r="W1197" s="6152"/>
      <c r="X1197" s="6152"/>
      <c r="Y1197" s="6152"/>
      <c r="Z1197" s="6152"/>
      <c r="AA1197" s="6152"/>
      <c r="AB1197" s="6152"/>
      <c r="AC1197" s="6152"/>
      <c r="AD1197" s="6198" t="s">
        <v>2105</v>
      </c>
      <c r="AE1197" s="6201"/>
      <c r="AF1197" s="6202"/>
      <c r="AG1197" s="6230">
        <f t="shared" si="251"/>
        <v>206810.21</v>
      </c>
      <c r="AH1197" s="6198" t="s">
        <v>122</v>
      </c>
      <c r="AI1197" s="6231">
        <v>45383</v>
      </c>
      <c r="AJ1197" s="6231">
        <v>206810.21</v>
      </c>
      <c r="AK1197" s="6231">
        <v>45383</v>
      </c>
      <c r="AL1197" s="6231">
        <v>206810.21</v>
      </c>
      <c r="AM1197" s="6231">
        <v>45383</v>
      </c>
      <c r="AN1197" s="6230">
        <f t="shared" si="252"/>
        <v>206810.21</v>
      </c>
      <c r="AO1197" s="6231">
        <v>45441</v>
      </c>
      <c r="AP1197" s="6202">
        <f t="shared" si="250"/>
        <v>0</v>
      </c>
      <c r="AQ1197" s="6248"/>
      <c r="AR1197" s="6232"/>
      <c r="AS1197" s="6263"/>
      <c r="AT1197" s="6248"/>
      <c r="AU1197" s="6248"/>
      <c r="AV1197" s="6248"/>
      <c r="AW1197" s="6248"/>
      <c r="AX1197" s="6248"/>
      <c r="AY1197" s="6248"/>
      <c r="AZ1197" s="6248"/>
      <c r="BA1197" s="6231"/>
      <c r="BB1197" s="6231"/>
      <c r="BC1197" s="6231"/>
      <c r="BD1197" s="6231"/>
      <c r="BE1197" s="6231"/>
      <c r="BF1197" s="6231"/>
      <c r="BG1197" s="6231"/>
      <c r="BH1197" s="6231"/>
      <c r="BI1197" s="6230"/>
      <c r="BJ1197" s="6230"/>
      <c r="BK1197" s="6230"/>
      <c r="BL1197" s="6230"/>
      <c r="BM1197" s="6230"/>
      <c r="BN1197" s="6231">
        <v>206810.21</v>
      </c>
      <c r="BO1197" s="6232"/>
      <c r="BP1197" s="6232"/>
      <c r="BQ1197" s="6232"/>
      <c r="BR1197" s="6232"/>
      <c r="BS1197" s="6232"/>
      <c r="BT1197" s="6232"/>
      <c r="BU1197" s="6232"/>
      <c r="BV1197" s="6232"/>
      <c r="BW1197" s="6282"/>
      <c r="BX1197" s="6202"/>
      <c r="BY1197" s="6202"/>
      <c r="BZ1197" s="6202"/>
      <c r="CA1197" s="6202"/>
      <c r="CB1197" s="6232">
        <v>206810.21</v>
      </c>
      <c r="CC1197" s="6232"/>
      <c r="CD1197" s="6232"/>
      <c r="CE1197" s="5169"/>
      <c r="CF1197" s="5169"/>
      <c r="CG1197" s="5169"/>
      <c r="CH1197" s="5169"/>
    </row>
    <row r="1198" s="4965" customFormat="1" ht="61" customHeight="1" spans="1:86">
      <c r="A1198" s="5079"/>
      <c r="B1198" s="5821"/>
      <c r="C1198" s="5821"/>
      <c r="D1198" s="6040"/>
      <c r="E1198" s="5821"/>
      <c r="F1198" s="6102"/>
      <c r="G1198" s="6102"/>
      <c r="H1198" s="6102"/>
      <c r="I1198" s="6101"/>
      <c r="J1198" s="6102"/>
      <c r="K1198" s="6101"/>
      <c r="L1198" s="6102"/>
      <c r="M1198" s="6152"/>
      <c r="N1198" s="6152"/>
      <c r="O1198" s="6152"/>
      <c r="P1198" s="6152"/>
      <c r="Q1198" s="6152"/>
      <c r="R1198" s="6152"/>
      <c r="S1198" s="6152"/>
      <c r="T1198" s="6152"/>
      <c r="U1198" s="6152"/>
      <c r="V1198" s="6152"/>
      <c r="W1198" s="6152"/>
      <c r="X1198" s="6152"/>
      <c r="Y1198" s="6152"/>
      <c r="Z1198" s="6152"/>
      <c r="AA1198" s="6152"/>
      <c r="AB1198" s="6152"/>
      <c r="AC1198" s="6153"/>
      <c r="AD1198" s="6198" t="s">
        <v>2062</v>
      </c>
      <c r="AE1198" s="6201"/>
      <c r="AF1198" s="6202"/>
      <c r="AG1198" s="6230">
        <f t="shared" si="251"/>
        <v>77025.57</v>
      </c>
      <c r="AH1198" s="6198" t="s">
        <v>122</v>
      </c>
      <c r="AI1198" s="6231">
        <v>45805</v>
      </c>
      <c r="AJ1198" s="6230">
        <f>SUM(BD1198:BQ1198)</f>
        <v>77025.57</v>
      </c>
      <c r="AK1198" s="6231">
        <v>45805</v>
      </c>
      <c r="AL1198" s="6230">
        <f>SUM(BF1198:BS1198)</f>
        <v>77025.57</v>
      </c>
      <c r="AM1198" s="6231">
        <v>45833</v>
      </c>
      <c r="AN1198" s="6230">
        <f t="shared" si="252"/>
        <v>77025.57</v>
      </c>
      <c r="AO1198" s="6231">
        <v>45896</v>
      </c>
      <c r="AP1198" s="6202">
        <f t="shared" si="250"/>
        <v>0</v>
      </c>
      <c r="AQ1198" s="6248"/>
      <c r="AR1198" s="6232"/>
      <c r="AS1198" s="6263"/>
      <c r="AT1198" s="6248"/>
      <c r="AU1198" s="6248"/>
      <c r="AV1198" s="6248"/>
      <c r="AW1198" s="6248"/>
      <c r="AX1198" s="6248"/>
      <c r="AY1198" s="6248"/>
      <c r="AZ1198" s="6248"/>
      <c r="BA1198" s="6231"/>
      <c r="BB1198" s="6231"/>
      <c r="BC1198" s="6231"/>
      <c r="BD1198" s="6231"/>
      <c r="BE1198" s="6231"/>
      <c r="BF1198" s="6231"/>
      <c r="BG1198" s="6231"/>
      <c r="BH1198" s="6231"/>
      <c r="BI1198" s="6230"/>
      <c r="BJ1198" s="6230"/>
      <c r="BK1198" s="6230"/>
      <c r="BL1198" s="6230"/>
      <c r="BM1198" s="6230"/>
      <c r="BN1198" s="6276">
        <v>77025.57</v>
      </c>
      <c r="BO1198" s="6232"/>
      <c r="BP1198" s="6232"/>
      <c r="BQ1198" s="6232"/>
      <c r="BR1198" s="6232"/>
      <c r="BS1198" s="6232"/>
      <c r="BT1198" s="6232"/>
      <c r="BU1198" s="6232"/>
      <c r="BV1198" s="6232"/>
      <c r="BW1198" s="6282"/>
      <c r="BX1198" s="6202"/>
      <c r="BY1198" s="6202"/>
      <c r="BZ1198" s="6202"/>
      <c r="CA1198" s="6202"/>
      <c r="CB1198" s="6232">
        <v>77025.57</v>
      </c>
      <c r="CC1198" s="6232"/>
      <c r="CD1198" s="6232"/>
      <c r="CE1198" s="5169"/>
      <c r="CF1198" s="5169"/>
      <c r="CG1198" s="5169"/>
      <c r="CH1198" s="5169"/>
    </row>
    <row r="1199" s="4965" customFormat="1" ht="61" customHeight="1" spans="1:86">
      <c r="A1199" s="5079"/>
      <c r="B1199" s="5821"/>
      <c r="C1199" s="5821"/>
      <c r="D1199" s="6040"/>
      <c r="E1199" s="5821"/>
      <c r="F1199" s="6102"/>
      <c r="G1199" s="6102"/>
      <c r="H1199" s="6102"/>
      <c r="I1199" s="6101"/>
      <c r="J1199" s="6102"/>
      <c r="K1199" s="6101"/>
      <c r="L1199" s="6102"/>
      <c r="M1199" s="6152"/>
      <c r="N1199" s="6152"/>
      <c r="O1199" s="6152"/>
      <c r="P1199" s="6152"/>
      <c r="Q1199" s="6152"/>
      <c r="R1199" s="6152"/>
      <c r="S1199" s="6152"/>
      <c r="T1199" s="6152"/>
      <c r="U1199" s="6152"/>
      <c r="V1199" s="6152"/>
      <c r="W1199" s="6152"/>
      <c r="X1199" s="6152"/>
      <c r="Y1199" s="6152"/>
      <c r="Z1199" s="6152"/>
      <c r="AA1199" s="6152"/>
      <c r="AB1199" s="6152"/>
      <c r="AC1199" s="6152">
        <v>5</v>
      </c>
      <c r="AD1199" s="6198" t="s">
        <v>2106</v>
      </c>
      <c r="AE1199" s="6201">
        <v>0.2</v>
      </c>
      <c r="AF1199" s="6202">
        <f>M1190*AE1199</f>
        <v>320571.778</v>
      </c>
      <c r="AG1199" s="6202">
        <f t="shared" si="251"/>
        <v>98330.21</v>
      </c>
      <c r="AH1199" s="6198" t="s">
        <v>122</v>
      </c>
      <c r="AI1199" s="6232">
        <v>45383</v>
      </c>
      <c r="AJ1199" s="6232">
        <v>98330.21</v>
      </c>
      <c r="AK1199" s="6232">
        <v>45383</v>
      </c>
      <c r="AL1199" s="6232">
        <v>98330.21</v>
      </c>
      <c r="AM1199" s="6232">
        <v>45383</v>
      </c>
      <c r="AN1199" s="6230">
        <f t="shared" si="252"/>
        <v>98330.21</v>
      </c>
      <c r="AO1199" s="6231">
        <v>45441</v>
      </c>
      <c r="AP1199" s="6202">
        <f t="shared" si="250"/>
        <v>0</v>
      </c>
      <c r="AQ1199" s="6248"/>
      <c r="AR1199" s="6232"/>
      <c r="AS1199" s="6263"/>
      <c r="AT1199" s="6248"/>
      <c r="AU1199" s="6248"/>
      <c r="AV1199" s="6248"/>
      <c r="AW1199" s="6248"/>
      <c r="AX1199" s="6248"/>
      <c r="AY1199" s="6248"/>
      <c r="AZ1199" s="6248"/>
      <c r="BA1199" s="6231"/>
      <c r="BB1199" s="6231"/>
      <c r="BC1199" s="6231"/>
      <c r="BD1199" s="6231"/>
      <c r="BE1199" s="6231"/>
      <c r="BF1199" s="6231"/>
      <c r="BG1199" s="6231"/>
      <c r="BH1199" s="6231"/>
      <c r="BI1199" s="6230"/>
      <c r="BJ1199" s="6230"/>
      <c r="BK1199" s="6230"/>
      <c r="BL1199" s="6230"/>
      <c r="BM1199" s="6230"/>
      <c r="BN1199" s="6276">
        <v>98330.21</v>
      </c>
      <c r="BO1199" s="6232"/>
      <c r="BP1199" s="6232"/>
      <c r="BQ1199" s="6232"/>
      <c r="BR1199" s="6232"/>
      <c r="BS1199" s="6232"/>
      <c r="BT1199" s="6232"/>
      <c r="BU1199" s="6232"/>
      <c r="BV1199" s="6232"/>
      <c r="BW1199" s="6282"/>
      <c r="BX1199" s="6202"/>
      <c r="BY1199" s="6202"/>
      <c r="BZ1199" s="6202"/>
      <c r="CA1199" s="6202"/>
      <c r="CB1199" s="6232">
        <v>98330.21</v>
      </c>
      <c r="CC1199" s="6232"/>
      <c r="CD1199" s="6232"/>
      <c r="CE1199" s="5169"/>
      <c r="CF1199" s="5169"/>
      <c r="CG1199" s="5169"/>
      <c r="CH1199" s="5169"/>
    </row>
    <row r="1200" s="4965" customFormat="1" ht="61" customHeight="1" spans="1:86">
      <c r="A1200" s="5079"/>
      <c r="B1200" s="5821"/>
      <c r="C1200" s="5821"/>
      <c r="D1200" s="6040"/>
      <c r="E1200" s="5821"/>
      <c r="F1200" s="6103"/>
      <c r="G1200" s="6103"/>
      <c r="H1200" s="6103"/>
      <c r="I1200" s="6126"/>
      <c r="J1200" s="6103"/>
      <c r="K1200" s="6126"/>
      <c r="L1200" s="6103"/>
      <c r="M1200" s="6153"/>
      <c r="N1200" s="6153"/>
      <c r="O1200" s="6153"/>
      <c r="P1200" s="6153"/>
      <c r="Q1200" s="6153"/>
      <c r="R1200" s="6153"/>
      <c r="S1200" s="6153"/>
      <c r="T1200" s="6153"/>
      <c r="U1200" s="6153"/>
      <c r="V1200" s="6153"/>
      <c r="W1200" s="6153"/>
      <c r="X1200" s="6153"/>
      <c r="Y1200" s="6153"/>
      <c r="Z1200" s="6153"/>
      <c r="AA1200" s="6153"/>
      <c r="AB1200" s="6153"/>
      <c r="AC1200" s="6153"/>
      <c r="AD1200" s="6198" t="s">
        <v>2107</v>
      </c>
      <c r="AE1200" s="6201"/>
      <c r="AF1200" s="6202"/>
      <c r="AG1200" s="6230">
        <f t="shared" si="251"/>
        <v>222241.57</v>
      </c>
      <c r="AH1200" s="6198" t="s">
        <v>122</v>
      </c>
      <c r="AI1200" s="6231">
        <v>45805</v>
      </c>
      <c r="AJ1200" s="6230">
        <f t="shared" ref="AJ1200:AJ1208" si="253">SUM(BD1200:BQ1200)</f>
        <v>222241.57</v>
      </c>
      <c r="AK1200" s="6231">
        <v>45805</v>
      </c>
      <c r="AL1200" s="6230">
        <f t="shared" ref="AL1200:AL1208" si="254">SUM(BF1200:BS1200)</f>
        <v>222241.57</v>
      </c>
      <c r="AM1200" s="6231">
        <v>45833</v>
      </c>
      <c r="AN1200" s="6230">
        <f t="shared" si="252"/>
        <v>222241.57</v>
      </c>
      <c r="AO1200" s="6231">
        <v>45896</v>
      </c>
      <c r="AP1200" s="6202">
        <f t="shared" si="250"/>
        <v>0</v>
      </c>
      <c r="AQ1200" s="6248"/>
      <c r="AR1200" s="6232"/>
      <c r="AS1200" s="6263"/>
      <c r="AT1200" s="6248"/>
      <c r="AU1200" s="6248"/>
      <c r="AV1200" s="6248"/>
      <c r="AW1200" s="6248"/>
      <c r="AX1200" s="6248"/>
      <c r="AY1200" s="6248"/>
      <c r="AZ1200" s="6248"/>
      <c r="BA1200" s="6231"/>
      <c r="BB1200" s="6231"/>
      <c r="BC1200" s="6231"/>
      <c r="BD1200" s="6231"/>
      <c r="BE1200" s="6231"/>
      <c r="BF1200" s="6231"/>
      <c r="BG1200" s="6231"/>
      <c r="BH1200" s="6231"/>
      <c r="BI1200" s="6230"/>
      <c r="BJ1200" s="6230"/>
      <c r="BK1200" s="6230"/>
      <c r="BL1200" s="6230"/>
      <c r="BM1200" s="6230"/>
      <c r="BN1200" s="6231">
        <v>222241.57</v>
      </c>
      <c r="BO1200" s="6232"/>
      <c r="BP1200" s="6232"/>
      <c r="BQ1200" s="6232"/>
      <c r="BR1200" s="6232"/>
      <c r="BS1200" s="6232"/>
      <c r="BT1200" s="6232"/>
      <c r="BU1200" s="6232"/>
      <c r="BV1200" s="6232"/>
      <c r="BW1200" s="6282"/>
      <c r="BX1200" s="6202"/>
      <c r="BY1200" s="6202"/>
      <c r="BZ1200" s="6202"/>
      <c r="CA1200" s="6202"/>
      <c r="CB1200" s="6231">
        <v>222241.57</v>
      </c>
      <c r="CC1200" s="6232"/>
      <c r="CD1200" s="6232"/>
      <c r="CE1200" s="5169"/>
      <c r="CF1200" s="5169"/>
      <c r="CG1200" s="5169"/>
      <c r="CH1200" s="5169"/>
    </row>
    <row r="1201" s="4965" customFormat="1" ht="61" customHeight="1" spans="1:86">
      <c r="A1201" s="5079"/>
      <c r="B1201" s="5821"/>
      <c r="C1201" s="5821">
        <v>45219</v>
      </c>
      <c r="D1201" s="6040"/>
      <c r="E1201" s="5821"/>
      <c r="F1201" s="6104" t="s">
        <v>2108</v>
      </c>
      <c r="G1201" s="6104" t="s">
        <v>2085</v>
      </c>
      <c r="H1201" s="6104" t="s">
        <v>2065</v>
      </c>
      <c r="I1201" s="6104"/>
      <c r="J1201" s="6104" t="s">
        <v>2024</v>
      </c>
      <c r="K1201" s="6104" t="s">
        <v>2109</v>
      </c>
      <c r="L1201" s="6104" t="s">
        <v>2110</v>
      </c>
      <c r="M1201" s="6154">
        <f>SUM(N1201:AA1205)</f>
        <v>1011151.3</v>
      </c>
      <c r="N1201" s="6155"/>
      <c r="O1201" s="6155"/>
      <c r="P1201" s="6155">
        <v>220000</v>
      </c>
      <c r="Q1201" s="6155"/>
      <c r="R1201" s="6155"/>
      <c r="S1201" s="6155"/>
      <c r="T1201" s="6155"/>
      <c r="U1201" s="6155">
        <v>172529.67</v>
      </c>
      <c r="V1201" s="6155">
        <v>606454.46</v>
      </c>
      <c r="W1201" s="6155"/>
      <c r="X1201" s="6155"/>
      <c r="Y1201" s="6155"/>
      <c r="Z1201" s="6155"/>
      <c r="AA1201" s="6155">
        <v>12167.17</v>
      </c>
      <c r="AB1201" s="6155"/>
      <c r="AC1201" s="6203">
        <v>1</v>
      </c>
      <c r="AD1201" s="6204" t="s">
        <v>2111</v>
      </c>
      <c r="AE1201" s="6205">
        <v>0.2</v>
      </c>
      <c r="AF1201" s="6206">
        <f>M1201*AE1201</f>
        <v>202230.26</v>
      </c>
      <c r="AG1201" s="6233">
        <f t="shared" si="251"/>
        <v>202230.25</v>
      </c>
      <c r="AH1201" s="6204" t="s">
        <v>122</v>
      </c>
      <c r="AI1201" s="6234">
        <v>45251</v>
      </c>
      <c r="AJ1201" s="6233">
        <f t="shared" si="253"/>
        <v>202230.25</v>
      </c>
      <c r="AK1201" s="6234">
        <v>45251</v>
      </c>
      <c r="AL1201" s="6233">
        <f t="shared" si="254"/>
        <v>202230.25</v>
      </c>
      <c r="AM1201" s="6234">
        <v>45251</v>
      </c>
      <c r="AN1201" s="6206">
        <f t="shared" si="252"/>
        <v>202230.25</v>
      </c>
      <c r="AO1201" s="6234">
        <v>45289</v>
      </c>
      <c r="AP1201" s="6206">
        <f t="shared" si="250"/>
        <v>0</v>
      </c>
      <c r="AQ1201" s="6249"/>
      <c r="AR1201" s="6203"/>
      <c r="AS1201" s="6264"/>
      <c r="AT1201" s="6249"/>
      <c r="AU1201" s="6249"/>
      <c r="AV1201" s="6249"/>
      <c r="AW1201" s="6249"/>
      <c r="AX1201" s="6249"/>
      <c r="AY1201" s="6249"/>
      <c r="AZ1201" s="6249"/>
      <c r="BA1201" s="6234"/>
      <c r="BB1201" s="6234"/>
      <c r="BC1201" s="6234">
        <v>44000</v>
      </c>
      <c r="BD1201" s="6234"/>
      <c r="BE1201" s="6234"/>
      <c r="BF1201" s="6234"/>
      <c r="BG1201" s="6234"/>
      <c r="BH1201" s="6234">
        <v>34505.93</v>
      </c>
      <c r="BI1201" s="6233">
        <v>121290.89</v>
      </c>
      <c r="BJ1201" s="6233"/>
      <c r="BK1201" s="6233"/>
      <c r="BL1201" s="6233"/>
      <c r="BM1201" s="6233"/>
      <c r="BN1201" s="6234">
        <v>2433.43</v>
      </c>
      <c r="BO1201" s="6203"/>
      <c r="BP1201" s="6203"/>
      <c r="BQ1201" s="6234">
        <v>44000</v>
      </c>
      <c r="BR1201" s="6234"/>
      <c r="BS1201" s="6234"/>
      <c r="BT1201" s="6234"/>
      <c r="BU1201" s="6234"/>
      <c r="BV1201" s="6234">
        <v>34505.93</v>
      </c>
      <c r="BW1201" s="6233">
        <v>121290.89</v>
      </c>
      <c r="BX1201" s="6233"/>
      <c r="BY1201" s="6233"/>
      <c r="BZ1201" s="6233"/>
      <c r="CA1201" s="6233"/>
      <c r="CB1201" s="6234">
        <v>2433.43</v>
      </c>
      <c r="CC1201" s="6203"/>
      <c r="CD1201" s="6203"/>
      <c r="CE1201" s="5169"/>
      <c r="CF1201" s="5169"/>
      <c r="CG1201" s="5169"/>
      <c r="CH1201" s="5169"/>
    </row>
    <row r="1202" s="4965" customFormat="1" ht="61" customHeight="1" spans="1:86">
      <c r="A1202" s="5079"/>
      <c r="B1202" s="5821"/>
      <c r="C1202" s="5821"/>
      <c r="D1202" s="6040"/>
      <c r="E1202" s="5821"/>
      <c r="F1202" s="6105"/>
      <c r="G1202" s="6105"/>
      <c r="H1202" s="6105"/>
      <c r="I1202" s="6104"/>
      <c r="J1202" s="6105"/>
      <c r="K1202" s="6104"/>
      <c r="L1202" s="6105"/>
      <c r="M1202" s="6154"/>
      <c r="N1202" s="6155"/>
      <c r="O1202" s="6155"/>
      <c r="P1202" s="6155"/>
      <c r="Q1202" s="6155"/>
      <c r="R1202" s="6155"/>
      <c r="S1202" s="6155"/>
      <c r="T1202" s="6155"/>
      <c r="U1202" s="6155"/>
      <c r="V1202" s="6155"/>
      <c r="W1202" s="6155"/>
      <c r="X1202" s="6155"/>
      <c r="Y1202" s="6155"/>
      <c r="Z1202" s="6155"/>
      <c r="AA1202" s="6155"/>
      <c r="AB1202" s="6155"/>
      <c r="AC1202" s="6203">
        <v>2</v>
      </c>
      <c r="AD1202" s="6204" t="s">
        <v>2112</v>
      </c>
      <c r="AE1202" s="6205">
        <v>0.3</v>
      </c>
      <c r="AF1202" s="6206">
        <f>M1201*AE1202</f>
        <v>303345.39</v>
      </c>
      <c r="AG1202" s="6233">
        <f t="shared" si="251"/>
        <v>303345.39</v>
      </c>
      <c r="AH1202" s="6204" t="s">
        <v>122</v>
      </c>
      <c r="AI1202" s="6234">
        <v>45251</v>
      </c>
      <c r="AJ1202" s="6233">
        <f t="shared" si="253"/>
        <v>303345.39</v>
      </c>
      <c r="AK1202" s="6234">
        <v>45251</v>
      </c>
      <c r="AL1202" s="6233">
        <f t="shared" si="254"/>
        <v>303345.39</v>
      </c>
      <c r="AM1202" s="6234">
        <v>45251</v>
      </c>
      <c r="AN1202" s="6206">
        <f t="shared" si="252"/>
        <v>303345.39</v>
      </c>
      <c r="AO1202" s="6234">
        <v>45289</v>
      </c>
      <c r="AP1202" s="6206">
        <f t="shared" si="250"/>
        <v>0</v>
      </c>
      <c r="AQ1202" s="6249"/>
      <c r="AR1202" s="6203"/>
      <c r="AS1202" s="6264"/>
      <c r="AT1202" s="6249"/>
      <c r="AU1202" s="6249"/>
      <c r="AV1202" s="6249"/>
      <c r="AW1202" s="6249"/>
      <c r="AX1202" s="6249"/>
      <c r="AY1202" s="6249"/>
      <c r="AZ1202" s="6249"/>
      <c r="BA1202" s="6234"/>
      <c r="BB1202" s="6234"/>
      <c r="BC1202" s="6234">
        <v>66000</v>
      </c>
      <c r="BD1202" s="6234"/>
      <c r="BE1202" s="6234"/>
      <c r="BF1202" s="6234"/>
      <c r="BG1202" s="6234"/>
      <c r="BH1202" s="6234">
        <v>51758.9</v>
      </c>
      <c r="BI1202" s="6233">
        <v>181936.34</v>
      </c>
      <c r="BJ1202" s="6233"/>
      <c r="BK1202" s="6233"/>
      <c r="BL1202" s="6233"/>
      <c r="BM1202" s="6233"/>
      <c r="BN1202" s="6234">
        <v>3650.15</v>
      </c>
      <c r="BO1202" s="6203"/>
      <c r="BP1202" s="6203"/>
      <c r="BQ1202" s="6234">
        <v>66000</v>
      </c>
      <c r="BR1202" s="6234"/>
      <c r="BS1202" s="6234"/>
      <c r="BT1202" s="6234"/>
      <c r="BU1202" s="6234"/>
      <c r="BV1202" s="6234">
        <v>51758.9</v>
      </c>
      <c r="BW1202" s="6233">
        <v>181936.34</v>
      </c>
      <c r="BX1202" s="6233"/>
      <c r="BY1202" s="6233"/>
      <c r="BZ1202" s="6233"/>
      <c r="CA1202" s="6233"/>
      <c r="CB1202" s="6234">
        <v>3650.15</v>
      </c>
      <c r="CC1202" s="6203"/>
      <c r="CD1202" s="6203"/>
      <c r="CE1202" s="5169"/>
      <c r="CF1202" s="5169"/>
      <c r="CG1202" s="5169"/>
      <c r="CH1202" s="5169"/>
    </row>
    <row r="1203" s="4965" customFormat="1" ht="61" customHeight="1" spans="1:86">
      <c r="A1203" s="5079"/>
      <c r="B1203" s="5821"/>
      <c r="C1203" s="5821"/>
      <c r="D1203" s="6040"/>
      <c r="E1203" s="5821"/>
      <c r="F1203" s="6105"/>
      <c r="G1203" s="6105"/>
      <c r="H1203" s="6105"/>
      <c r="I1203" s="6104"/>
      <c r="J1203" s="6105"/>
      <c r="K1203" s="6104"/>
      <c r="L1203" s="6105"/>
      <c r="M1203" s="6154"/>
      <c r="N1203" s="6155"/>
      <c r="O1203" s="6155"/>
      <c r="P1203" s="6155"/>
      <c r="Q1203" s="6155"/>
      <c r="R1203" s="6155"/>
      <c r="S1203" s="6155"/>
      <c r="T1203" s="6155"/>
      <c r="U1203" s="6155"/>
      <c r="V1203" s="6155"/>
      <c r="W1203" s="6155"/>
      <c r="X1203" s="6155"/>
      <c r="Y1203" s="6155"/>
      <c r="Z1203" s="6155"/>
      <c r="AA1203" s="6155"/>
      <c r="AB1203" s="6155"/>
      <c r="AC1203" s="6203">
        <v>3</v>
      </c>
      <c r="AD1203" s="6204" t="s">
        <v>2113</v>
      </c>
      <c r="AE1203" s="6205">
        <v>0.2</v>
      </c>
      <c r="AF1203" s="6206">
        <f>M1201*AE1203</f>
        <v>202230.26</v>
      </c>
      <c r="AG1203" s="6233">
        <f t="shared" si="251"/>
        <v>202230.26</v>
      </c>
      <c r="AH1203" s="6204" t="s">
        <v>122</v>
      </c>
      <c r="AI1203" s="6234">
        <v>45251</v>
      </c>
      <c r="AJ1203" s="6233">
        <f t="shared" si="253"/>
        <v>202230.26</v>
      </c>
      <c r="AK1203" s="6234">
        <v>45251</v>
      </c>
      <c r="AL1203" s="6233">
        <f t="shared" si="254"/>
        <v>202230.26</v>
      </c>
      <c r="AM1203" s="6234">
        <v>45251</v>
      </c>
      <c r="AN1203" s="6206">
        <f t="shared" si="252"/>
        <v>202230.26</v>
      </c>
      <c r="AO1203" s="6234">
        <v>45289</v>
      </c>
      <c r="AP1203" s="6206">
        <f t="shared" si="250"/>
        <v>0</v>
      </c>
      <c r="AQ1203" s="6249"/>
      <c r="AR1203" s="6203"/>
      <c r="AS1203" s="6264"/>
      <c r="AT1203" s="6249"/>
      <c r="AU1203" s="6249"/>
      <c r="AV1203" s="6249"/>
      <c r="AW1203" s="6249"/>
      <c r="AX1203" s="6249"/>
      <c r="AY1203" s="6249"/>
      <c r="AZ1203" s="6249"/>
      <c r="BA1203" s="6234"/>
      <c r="BB1203" s="6234"/>
      <c r="BC1203" s="6234">
        <v>44000</v>
      </c>
      <c r="BD1203" s="6234"/>
      <c r="BE1203" s="6234"/>
      <c r="BF1203" s="6234"/>
      <c r="BG1203" s="6234"/>
      <c r="BH1203" s="6234">
        <v>34505.93</v>
      </c>
      <c r="BI1203" s="6233">
        <v>121290.89</v>
      </c>
      <c r="BJ1203" s="6233"/>
      <c r="BK1203" s="6233"/>
      <c r="BL1203" s="6233"/>
      <c r="BM1203" s="6233"/>
      <c r="BN1203" s="6234">
        <v>2433.44</v>
      </c>
      <c r="BO1203" s="6203"/>
      <c r="BP1203" s="6203"/>
      <c r="BQ1203" s="6234">
        <v>44000</v>
      </c>
      <c r="BR1203" s="6234"/>
      <c r="BS1203" s="6234"/>
      <c r="BT1203" s="6234"/>
      <c r="BU1203" s="6234"/>
      <c r="BV1203" s="6234">
        <v>34505.93</v>
      </c>
      <c r="BW1203" s="6233">
        <v>121290.89</v>
      </c>
      <c r="BX1203" s="6233"/>
      <c r="BY1203" s="6233"/>
      <c r="BZ1203" s="6233"/>
      <c r="CA1203" s="6233"/>
      <c r="CB1203" s="6234">
        <v>2433.44</v>
      </c>
      <c r="CC1203" s="6203"/>
      <c r="CD1203" s="6203"/>
      <c r="CE1203" s="5169"/>
      <c r="CF1203" s="5169"/>
      <c r="CG1203" s="5169"/>
      <c r="CH1203" s="5169"/>
    </row>
    <row r="1204" s="4965" customFormat="1" ht="61" customHeight="1" spans="1:86">
      <c r="A1204" s="5079"/>
      <c r="B1204" s="5821"/>
      <c r="C1204" s="5821"/>
      <c r="D1204" s="6040"/>
      <c r="E1204" s="5821"/>
      <c r="F1204" s="6105"/>
      <c r="G1204" s="6105"/>
      <c r="H1204" s="6105"/>
      <c r="I1204" s="6104"/>
      <c r="J1204" s="6105"/>
      <c r="K1204" s="6104"/>
      <c r="L1204" s="6105"/>
      <c r="M1204" s="6154"/>
      <c r="N1204" s="6155"/>
      <c r="O1204" s="6155"/>
      <c r="P1204" s="6155"/>
      <c r="Q1204" s="6155"/>
      <c r="R1204" s="6155"/>
      <c r="S1204" s="6155"/>
      <c r="T1204" s="6155"/>
      <c r="U1204" s="6155"/>
      <c r="V1204" s="6155"/>
      <c r="W1204" s="6155"/>
      <c r="X1204" s="6155"/>
      <c r="Y1204" s="6155"/>
      <c r="Z1204" s="6155"/>
      <c r="AA1204" s="6155"/>
      <c r="AB1204" s="6155"/>
      <c r="AC1204" s="6203">
        <v>4</v>
      </c>
      <c r="AD1204" s="6204" t="s">
        <v>2068</v>
      </c>
      <c r="AE1204" s="6205">
        <v>0.25</v>
      </c>
      <c r="AF1204" s="6206">
        <f>M1201*AE1204</f>
        <v>252787.825</v>
      </c>
      <c r="AG1204" s="6233">
        <f t="shared" si="251"/>
        <v>252787.83</v>
      </c>
      <c r="AH1204" s="6204" t="s">
        <v>122</v>
      </c>
      <c r="AI1204" s="6234">
        <v>45251</v>
      </c>
      <c r="AJ1204" s="6233">
        <f t="shared" si="253"/>
        <v>252787.83</v>
      </c>
      <c r="AK1204" s="6234">
        <v>45251</v>
      </c>
      <c r="AL1204" s="6233">
        <f t="shared" si="254"/>
        <v>252787.83</v>
      </c>
      <c r="AM1204" s="6234">
        <v>45251</v>
      </c>
      <c r="AN1204" s="6206">
        <f t="shared" si="252"/>
        <v>252787.83</v>
      </c>
      <c r="AO1204" s="6234">
        <v>45289</v>
      </c>
      <c r="AP1204" s="6206">
        <f t="shared" si="250"/>
        <v>0</v>
      </c>
      <c r="AQ1204" s="6249"/>
      <c r="AR1204" s="6203"/>
      <c r="AS1204" s="6264"/>
      <c r="AT1204" s="6249"/>
      <c r="AU1204" s="6249"/>
      <c r="AV1204" s="6249"/>
      <c r="AW1204" s="6249"/>
      <c r="AX1204" s="6249"/>
      <c r="AY1204" s="6249"/>
      <c r="AZ1204" s="6249"/>
      <c r="BA1204" s="6234"/>
      <c r="BB1204" s="6234"/>
      <c r="BC1204" s="6234">
        <v>55000</v>
      </c>
      <c r="BD1204" s="6234"/>
      <c r="BE1204" s="6234"/>
      <c r="BF1204" s="6234"/>
      <c r="BG1204" s="6234"/>
      <c r="BH1204" s="6234">
        <v>43132.42</v>
      </c>
      <c r="BI1204" s="6233">
        <v>151613.62</v>
      </c>
      <c r="BJ1204" s="6233"/>
      <c r="BK1204" s="6233"/>
      <c r="BL1204" s="6233"/>
      <c r="BM1204" s="6233"/>
      <c r="BN1204" s="6234">
        <v>3041.79</v>
      </c>
      <c r="BO1204" s="6203"/>
      <c r="BP1204" s="6203"/>
      <c r="BQ1204" s="6234">
        <v>55000</v>
      </c>
      <c r="BR1204" s="6234"/>
      <c r="BS1204" s="6234"/>
      <c r="BT1204" s="6234"/>
      <c r="BU1204" s="6234"/>
      <c r="BV1204" s="6234">
        <v>43132.42</v>
      </c>
      <c r="BW1204" s="6233">
        <v>151613.62</v>
      </c>
      <c r="BX1204" s="6233"/>
      <c r="BY1204" s="6233"/>
      <c r="BZ1204" s="6233"/>
      <c r="CA1204" s="6233"/>
      <c r="CB1204" s="6234">
        <v>3041.79</v>
      </c>
      <c r="CC1204" s="6203"/>
      <c r="CD1204" s="6203"/>
      <c r="CE1204" s="5169"/>
      <c r="CF1204" s="5169"/>
      <c r="CG1204" s="5169"/>
      <c r="CH1204" s="5169"/>
    </row>
    <row r="1205" s="4965" customFormat="1" ht="61" customHeight="1" spans="1:86">
      <c r="A1205" s="5079"/>
      <c r="B1205" s="5821"/>
      <c r="C1205" s="5821"/>
      <c r="D1205" s="6040"/>
      <c r="E1205" s="5821"/>
      <c r="F1205" s="6106"/>
      <c r="G1205" s="6106"/>
      <c r="H1205" s="6106"/>
      <c r="I1205" s="6127"/>
      <c r="J1205" s="6106"/>
      <c r="K1205" s="6127"/>
      <c r="L1205" s="6106"/>
      <c r="M1205" s="6156"/>
      <c r="N1205" s="6157"/>
      <c r="O1205" s="6157"/>
      <c r="P1205" s="6157"/>
      <c r="Q1205" s="6157"/>
      <c r="R1205" s="6157"/>
      <c r="S1205" s="6157"/>
      <c r="T1205" s="6157"/>
      <c r="U1205" s="6157"/>
      <c r="V1205" s="6157"/>
      <c r="W1205" s="6157"/>
      <c r="X1205" s="6157"/>
      <c r="Y1205" s="6157"/>
      <c r="Z1205" s="6157"/>
      <c r="AA1205" s="6157"/>
      <c r="AB1205" s="6157"/>
      <c r="AC1205" s="6203">
        <v>5</v>
      </c>
      <c r="AD1205" s="6204" t="s">
        <v>2089</v>
      </c>
      <c r="AE1205" s="6205">
        <v>0.05</v>
      </c>
      <c r="AF1205" s="6206">
        <f>M1201*AE1205</f>
        <v>50557.565</v>
      </c>
      <c r="AG1205" s="6206">
        <f t="shared" si="251"/>
        <v>50557.57</v>
      </c>
      <c r="AH1205" s="6204" t="s">
        <v>122</v>
      </c>
      <c r="AI1205" s="6203">
        <v>45805</v>
      </c>
      <c r="AJ1205" s="6206">
        <f t="shared" si="253"/>
        <v>50557.57</v>
      </c>
      <c r="AK1205" s="6203">
        <v>45805</v>
      </c>
      <c r="AL1205" s="6206">
        <f t="shared" si="254"/>
        <v>50557.57</v>
      </c>
      <c r="AM1205" s="6203">
        <v>45833</v>
      </c>
      <c r="AN1205" s="6233">
        <f t="shared" si="252"/>
        <v>50557.57</v>
      </c>
      <c r="AO1205" s="6234">
        <v>45896</v>
      </c>
      <c r="AP1205" s="6206">
        <f t="shared" si="250"/>
        <v>0</v>
      </c>
      <c r="AQ1205" s="6249"/>
      <c r="AR1205" s="6203"/>
      <c r="AS1205" s="6264"/>
      <c r="AT1205" s="6249"/>
      <c r="AU1205" s="6249"/>
      <c r="AV1205" s="6249"/>
      <c r="AW1205" s="6249"/>
      <c r="AX1205" s="6249"/>
      <c r="AY1205" s="6249"/>
      <c r="AZ1205" s="6249"/>
      <c r="BA1205" s="6234"/>
      <c r="BB1205" s="6234"/>
      <c r="BC1205" s="6234"/>
      <c r="BD1205" s="6234"/>
      <c r="BE1205" s="6234"/>
      <c r="BF1205" s="6234"/>
      <c r="BG1205" s="6234"/>
      <c r="BH1205" s="6234"/>
      <c r="BI1205" s="6233">
        <v>50557.57</v>
      </c>
      <c r="BJ1205" s="6233"/>
      <c r="BK1205" s="6233"/>
      <c r="BL1205" s="6233"/>
      <c r="BM1205" s="6233"/>
      <c r="BN1205" s="6234"/>
      <c r="BO1205" s="6203"/>
      <c r="BP1205" s="6203"/>
      <c r="BQ1205" s="6203"/>
      <c r="BR1205" s="6203"/>
      <c r="BS1205" s="6203"/>
      <c r="BT1205" s="6203"/>
      <c r="BU1205" s="6203"/>
      <c r="BV1205" s="6203"/>
      <c r="BW1205" s="6233">
        <v>50557.57</v>
      </c>
      <c r="BX1205" s="6206"/>
      <c r="BY1205" s="6206"/>
      <c r="BZ1205" s="6206"/>
      <c r="CA1205" s="6206"/>
      <c r="CB1205" s="6285"/>
      <c r="CC1205" s="6203"/>
      <c r="CD1205" s="6203"/>
      <c r="CE1205" s="5169"/>
      <c r="CF1205" s="5169"/>
      <c r="CG1205" s="5169"/>
      <c r="CH1205" s="5169"/>
    </row>
    <row r="1206" s="4965" customFormat="1" ht="61" customHeight="1" spans="1:86">
      <c r="A1206" s="5079"/>
      <c r="B1206" s="5821"/>
      <c r="C1206" s="5821">
        <v>45219</v>
      </c>
      <c r="D1206" s="6040"/>
      <c r="E1206" s="5821"/>
      <c r="F1206" s="6107" t="s">
        <v>2114</v>
      </c>
      <c r="G1206" s="6107" t="s">
        <v>2085</v>
      </c>
      <c r="H1206" s="6107" t="s">
        <v>2070</v>
      </c>
      <c r="I1206" s="6107"/>
      <c r="J1206" s="6107" t="s">
        <v>2024</v>
      </c>
      <c r="K1206" s="6107" t="s">
        <v>2115</v>
      </c>
      <c r="L1206" s="6107" t="s">
        <v>2116</v>
      </c>
      <c r="M1206" s="6158">
        <f>SUM(N1206:AA1210)</f>
        <v>594268.86</v>
      </c>
      <c r="N1206" s="6159"/>
      <c r="O1206" s="6159"/>
      <c r="P1206" s="6159"/>
      <c r="Q1206" s="6159"/>
      <c r="R1206" s="6159"/>
      <c r="S1206" s="6159"/>
      <c r="T1206" s="6159"/>
      <c r="U1206" s="6159">
        <v>594268.86</v>
      </c>
      <c r="V1206" s="6159"/>
      <c r="W1206" s="6159"/>
      <c r="X1206" s="6159"/>
      <c r="Y1206" s="6159"/>
      <c r="Z1206" s="6159"/>
      <c r="AA1206" s="6159"/>
      <c r="AB1206" s="6159"/>
      <c r="AC1206" s="6207">
        <v>1</v>
      </c>
      <c r="AD1206" s="6208" t="s">
        <v>2117</v>
      </c>
      <c r="AE1206" s="6209">
        <v>0.2</v>
      </c>
      <c r="AF1206" s="6210">
        <f>M1206*AE1206</f>
        <v>118853.772</v>
      </c>
      <c r="AG1206" s="6235">
        <f t="shared" si="251"/>
        <v>118853.772</v>
      </c>
      <c r="AH1206" s="6208" t="s">
        <v>122</v>
      </c>
      <c r="AI1206" s="6236">
        <v>45251</v>
      </c>
      <c r="AJ1206" s="6235">
        <f t="shared" si="253"/>
        <v>118853.772</v>
      </c>
      <c r="AK1206" s="6236">
        <v>45251</v>
      </c>
      <c r="AL1206" s="6235">
        <f t="shared" si="254"/>
        <v>118853.772</v>
      </c>
      <c r="AM1206" s="6236">
        <v>45251</v>
      </c>
      <c r="AN1206" s="6210">
        <f t="shared" si="252"/>
        <v>118853.772</v>
      </c>
      <c r="AO1206" s="6236">
        <v>45289</v>
      </c>
      <c r="AP1206" s="6210">
        <f t="shared" si="250"/>
        <v>0</v>
      </c>
      <c r="AQ1206" s="6250"/>
      <c r="AR1206" s="6207"/>
      <c r="AS1206" s="6265"/>
      <c r="AT1206" s="6250"/>
      <c r="AU1206" s="6250"/>
      <c r="AV1206" s="6250"/>
      <c r="AW1206" s="6250"/>
      <c r="AX1206" s="6250"/>
      <c r="AY1206" s="6250"/>
      <c r="AZ1206" s="6250"/>
      <c r="BA1206" s="6236"/>
      <c r="BB1206" s="6236"/>
      <c r="BC1206" s="6236"/>
      <c r="BD1206" s="6236"/>
      <c r="BE1206" s="6236"/>
      <c r="BF1206" s="6236"/>
      <c r="BG1206" s="6236"/>
      <c r="BH1206" s="6236">
        <v>118853.772</v>
      </c>
      <c r="BI1206" s="6235"/>
      <c r="BJ1206" s="6235"/>
      <c r="BK1206" s="6235"/>
      <c r="BL1206" s="6235"/>
      <c r="BM1206" s="6235"/>
      <c r="BN1206" s="6236"/>
      <c r="BO1206" s="6207"/>
      <c r="BP1206" s="6207"/>
      <c r="BQ1206" s="6207"/>
      <c r="BR1206" s="6207"/>
      <c r="BS1206" s="6207"/>
      <c r="BT1206" s="6207"/>
      <c r="BU1206" s="6207"/>
      <c r="BV1206" s="6207">
        <v>118853.772</v>
      </c>
      <c r="BW1206" s="6283"/>
      <c r="BX1206" s="6210"/>
      <c r="BY1206" s="6210"/>
      <c r="BZ1206" s="6210"/>
      <c r="CA1206" s="6210"/>
      <c r="CB1206" s="6286"/>
      <c r="CC1206" s="6207"/>
      <c r="CD1206" s="6207"/>
      <c r="CE1206" s="5169"/>
      <c r="CF1206" s="5169"/>
      <c r="CG1206" s="5169"/>
      <c r="CH1206" s="5169"/>
    </row>
    <row r="1207" s="4965" customFormat="1" ht="61" customHeight="1" spans="1:86">
      <c r="A1207" s="5079"/>
      <c r="B1207" s="5821"/>
      <c r="C1207" s="5821"/>
      <c r="D1207" s="6040"/>
      <c r="E1207" s="5821"/>
      <c r="F1207" s="6108"/>
      <c r="G1207" s="6108"/>
      <c r="H1207" s="6108"/>
      <c r="I1207" s="6107"/>
      <c r="J1207" s="6108"/>
      <c r="K1207" s="6107"/>
      <c r="L1207" s="6108"/>
      <c r="M1207" s="6158"/>
      <c r="N1207" s="6159"/>
      <c r="O1207" s="6159"/>
      <c r="P1207" s="6159"/>
      <c r="Q1207" s="6159"/>
      <c r="R1207" s="6159"/>
      <c r="S1207" s="6159"/>
      <c r="T1207" s="6159"/>
      <c r="U1207" s="6159"/>
      <c r="V1207" s="6159"/>
      <c r="W1207" s="6159"/>
      <c r="X1207" s="6159"/>
      <c r="Y1207" s="6159"/>
      <c r="Z1207" s="6159"/>
      <c r="AA1207" s="6159"/>
      <c r="AB1207" s="6159"/>
      <c r="AC1207" s="6207">
        <v>2</v>
      </c>
      <c r="AD1207" s="6208" t="s">
        <v>2118</v>
      </c>
      <c r="AE1207" s="6209">
        <v>0.2</v>
      </c>
      <c r="AF1207" s="6210">
        <f>M1206*AE1207</f>
        <v>118853.772</v>
      </c>
      <c r="AG1207" s="6235">
        <f t="shared" si="251"/>
        <v>118853.772</v>
      </c>
      <c r="AH1207" s="6208" t="s">
        <v>122</v>
      </c>
      <c r="AI1207" s="6236">
        <v>45251</v>
      </c>
      <c r="AJ1207" s="6235">
        <f t="shared" si="253"/>
        <v>118853.772</v>
      </c>
      <c r="AK1207" s="6236">
        <v>45251</v>
      </c>
      <c r="AL1207" s="6235">
        <f t="shared" si="254"/>
        <v>118853.772</v>
      </c>
      <c r="AM1207" s="6236">
        <v>45251</v>
      </c>
      <c r="AN1207" s="6210">
        <f t="shared" si="252"/>
        <v>118853.772</v>
      </c>
      <c r="AO1207" s="6236">
        <v>45289</v>
      </c>
      <c r="AP1207" s="6210">
        <f t="shared" si="250"/>
        <v>0</v>
      </c>
      <c r="AQ1207" s="6250"/>
      <c r="AR1207" s="6207"/>
      <c r="AS1207" s="6265"/>
      <c r="AT1207" s="6250"/>
      <c r="AU1207" s="6250"/>
      <c r="AV1207" s="6250"/>
      <c r="AW1207" s="6250"/>
      <c r="AX1207" s="6250"/>
      <c r="AY1207" s="6250"/>
      <c r="AZ1207" s="6250"/>
      <c r="BA1207" s="6236"/>
      <c r="BB1207" s="6236"/>
      <c r="BC1207" s="6236"/>
      <c r="BD1207" s="6236"/>
      <c r="BE1207" s="6236"/>
      <c r="BF1207" s="6236"/>
      <c r="BG1207" s="6236"/>
      <c r="BH1207" s="6236">
        <v>118853.772</v>
      </c>
      <c r="BI1207" s="6235"/>
      <c r="BJ1207" s="6235"/>
      <c r="BK1207" s="6235"/>
      <c r="BL1207" s="6235"/>
      <c r="BM1207" s="6235"/>
      <c r="BN1207" s="6236"/>
      <c r="BO1207" s="6207"/>
      <c r="BP1207" s="6207"/>
      <c r="BQ1207" s="6207"/>
      <c r="BR1207" s="6207"/>
      <c r="BS1207" s="6207"/>
      <c r="BT1207" s="6207"/>
      <c r="BU1207" s="6207"/>
      <c r="BV1207" s="6207">
        <v>118853.772</v>
      </c>
      <c r="BW1207" s="6283"/>
      <c r="BX1207" s="6210"/>
      <c r="BY1207" s="6210"/>
      <c r="BZ1207" s="6210"/>
      <c r="CA1207" s="6210"/>
      <c r="CB1207" s="6286"/>
      <c r="CC1207" s="6207"/>
      <c r="CD1207" s="6207"/>
      <c r="CE1207" s="5169"/>
      <c r="CF1207" s="5169"/>
      <c r="CG1207" s="5169"/>
      <c r="CH1207" s="5169"/>
    </row>
    <row r="1208" s="4965" customFormat="1" ht="61" customHeight="1" spans="1:86">
      <c r="A1208" s="5079"/>
      <c r="B1208" s="5821"/>
      <c r="C1208" s="5821"/>
      <c r="D1208" s="6040"/>
      <c r="E1208" s="5821"/>
      <c r="F1208" s="6108"/>
      <c r="G1208" s="6108"/>
      <c r="H1208" s="6108"/>
      <c r="I1208" s="6107"/>
      <c r="J1208" s="6108"/>
      <c r="K1208" s="6107"/>
      <c r="L1208" s="6108"/>
      <c r="M1208" s="6158"/>
      <c r="N1208" s="6159"/>
      <c r="O1208" s="6159"/>
      <c r="P1208" s="6159"/>
      <c r="Q1208" s="6159"/>
      <c r="R1208" s="6159"/>
      <c r="S1208" s="6159"/>
      <c r="T1208" s="6159"/>
      <c r="U1208" s="6159"/>
      <c r="V1208" s="6159"/>
      <c r="W1208" s="6159"/>
      <c r="X1208" s="6159"/>
      <c r="Y1208" s="6159"/>
      <c r="Z1208" s="6159"/>
      <c r="AA1208" s="6159"/>
      <c r="AB1208" s="6159"/>
      <c r="AC1208" s="6207">
        <v>3</v>
      </c>
      <c r="AD1208" s="6208" t="s">
        <v>2119</v>
      </c>
      <c r="AE1208" s="6209">
        <v>0.4</v>
      </c>
      <c r="AF1208" s="6210">
        <f>M1206*AE1208</f>
        <v>237707.544</v>
      </c>
      <c r="AG1208" s="6235">
        <f t="shared" si="251"/>
        <v>237707.544</v>
      </c>
      <c r="AH1208" s="6208" t="s">
        <v>122</v>
      </c>
      <c r="AI1208" s="6236">
        <v>45251</v>
      </c>
      <c r="AJ1208" s="6235">
        <f t="shared" si="253"/>
        <v>237707.544</v>
      </c>
      <c r="AK1208" s="6236">
        <v>45251</v>
      </c>
      <c r="AL1208" s="6235">
        <f t="shared" si="254"/>
        <v>237707.544</v>
      </c>
      <c r="AM1208" s="6236">
        <v>45251</v>
      </c>
      <c r="AN1208" s="6210">
        <f t="shared" si="252"/>
        <v>237707.544</v>
      </c>
      <c r="AO1208" s="6236">
        <v>45289</v>
      </c>
      <c r="AP1208" s="6210">
        <f t="shared" si="250"/>
        <v>0</v>
      </c>
      <c r="AQ1208" s="6250"/>
      <c r="AR1208" s="6207"/>
      <c r="AS1208" s="6265"/>
      <c r="AT1208" s="6250"/>
      <c r="AU1208" s="6250"/>
      <c r="AV1208" s="6250"/>
      <c r="AW1208" s="6250"/>
      <c r="AX1208" s="6250"/>
      <c r="AY1208" s="6250"/>
      <c r="AZ1208" s="6250"/>
      <c r="BA1208" s="6236"/>
      <c r="BB1208" s="6236"/>
      <c r="BC1208" s="6236"/>
      <c r="BD1208" s="6236"/>
      <c r="BE1208" s="6236"/>
      <c r="BF1208" s="6236"/>
      <c r="BG1208" s="6236"/>
      <c r="BH1208" s="6236">
        <v>237707.544</v>
      </c>
      <c r="BI1208" s="6235"/>
      <c r="BJ1208" s="6235"/>
      <c r="BK1208" s="6235"/>
      <c r="BL1208" s="6235"/>
      <c r="BM1208" s="6235"/>
      <c r="BN1208" s="6236"/>
      <c r="BO1208" s="6207"/>
      <c r="BP1208" s="6207"/>
      <c r="BQ1208" s="6207"/>
      <c r="BR1208" s="6207"/>
      <c r="BS1208" s="6207"/>
      <c r="BT1208" s="6207"/>
      <c r="BU1208" s="6207"/>
      <c r="BV1208" s="6207">
        <v>237707.544</v>
      </c>
      <c r="BW1208" s="6283"/>
      <c r="BX1208" s="6210"/>
      <c r="BY1208" s="6210"/>
      <c r="BZ1208" s="6210"/>
      <c r="CA1208" s="6210"/>
      <c r="CB1208" s="6286"/>
      <c r="CC1208" s="6207"/>
      <c r="CD1208" s="6207"/>
      <c r="CE1208" s="5169"/>
      <c r="CF1208" s="5169"/>
      <c r="CG1208" s="5169"/>
      <c r="CH1208" s="5169"/>
    </row>
    <row r="1209" s="4965" customFormat="1" ht="61" customHeight="1" spans="1:86">
      <c r="A1209" s="5079"/>
      <c r="B1209" s="5821"/>
      <c r="C1209" s="5821"/>
      <c r="D1209" s="6040"/>
      <c r="E1209" s="5821"/>
      <c r="F1209" s="6108"/>
      <c r="G1209" s="6108"/>
      <c r="H1209" s="6108"/>
      <c r="I1209" s="6107"/>
      <c r="J1209" s="6108"/>
      <c r="K1209" s="6107"/>
      <c r="L1209" s="6108"/>
      <c r="M1209" s="6158"/>
      <c r="N1209" s="6159"/>
      <c r="O1209" s="6159"/>
      <c r="P1209" s="6159"/>
      <c r="Q1209" s="6159"/>
      <c r="R1209" s="6159"/>
      <c r="S1209" s="6159"/>
      <c r="T1209" s="6159"/>
      <c r="U1209" s="6159"/>
      <c r="V1209" s="6159"/>
      <c r="W1209" s="6159"/>
      <c r="X1209" s="6159"/>
      <c r="Y1209" s="6159"/>
      <c r="Z1209" s="6159"/>
      <c r="AA1209" s="6159"/>
      <c r="AB1209" s="6159"/>
      <c r="AC1209" s="6211">
        <v>4</v>
      </c>
      <c r="AD1209" s="6212" t="s">
        <v>2120</v>
      </c>
      <c r="AE1209" s="6213">
        <v>0.2</v>
      </c>
      <c r="AF1209" s="6214">
        <f>M1206*AE1209</f>
        <v>118853.772</v>
      </c>
      <c r="AG1209" s="6235">
        <f t="shared" si="251"/>
        <v>-0.01</v>
      </c>
      <c r="AH1209" s="6208" t="s">
        <v>122</v>
      </c>
      <c r="AI1209" s="6236">
        <v>45805</v>
      </c>
      <c r="AJ1209" s="6235">
        <v>-0.01</v>
      </c>
      <c r="AK1209" s="6207">
        <v>45833</v>
      </c>
      <c r="AL1209" s="6211">
        <v>118853.76</v>
      </c>
      <c r="AM1209" s="6211">
        <v>45833</v>
      </c>
      <c r="AN1209" s="6241">
        <f>SUM(BO1210:CB1210)</f>
        <v>118853.76</v>
      </c>
      <c r="AO1209" s="6251">
        <v>45896</v>
      </c>
      <c r="AP1209" s="6214">
        <f>AG1210+AG1209-AN1209</f>
        <v>0</v>
      </c>
      <c r="AQ1209" s="6250"/>
      <c r="AR1209" s="6207"/>
      <c r="AS1209" s="6265"/>
      <c r="AT1209" s="6250"/>
      <c r="AU1209" s="6250"/>
      <c r="AV1209" s="6250"/>
      <c r="AW1209" s="6250"/>
      <c r="AX1209" s="6250"/>
      <c r="AY1209" s="6250"/>
      <c r="AZ1209" s="6250"/>
      <c r="BA1209" s="6236"/>
      <c r="BB1209" s="6236"/>
      <c r="BC1209" s="6236"/>
      <c r="BD1209" s="6236"/>
      <c r="BE1209" s="6236"/>
      <c r="BF1209" s="6236"/>
      <c r="BG1209" s="6236"/>
      <c r="BH1209" s="6236">
        <v>-0.01</v>
      </c>
      <c r="BI1209" s="6235"/>
      <c r="BJ1209" s="6235"/>
      <c r="BK1209" s="6235"/>
      <c r="BL1209" s="6235"/>
      <c r="BM1209" s="6235"/>
      <c r="BN1209" s="6236"/>
      <c r="BO1209" s="6207"/>
      <c r="BP1209" s="6207"/>
      <c r="BQ1209" s="6207"/>
      <c r="BR1209" s="6207"/>
      <c r="BS1209" s="6207"/>
      <c r="BT1209" s="6207"/>
      <c r="BU1209" s="6207"/>
      <c r="BV1209" s="6207"/>
      <c r="BW1209" s="6283"/>
      <c r="BX1209" s="6210"/>
      <c r="BY1209" s="6210"/>
      <c r="BZ1209" s="6210"/>
      <c r="CA1209" s="6210"/>
      <c r="CB1209" s="6286"/>
      <c r="CC1209" s="6207"/>
      <c r="CD1209" s="6207"/>
      <c r="CE1209" s="5169"/>
      <c r="CF1209" s="5169"/>
      <c r="CG1209" s="5169"/>
      <c r="CH1209" s="5169"/>
    </row>
    <row r="1210" s="4965" customFormat="1" ht="61" customHeight="1" spans="1:86">
      <c r="A1210" s="5079"/>
      <c r="B1210" s="5821"/>
      <c r="C1210" s="5821"/>
      <c r="D1210" s="6040"/>
      <c r="E1210" s="5821"/>
      <c r="F1210" s="6109"/>
      <c r="G1210" s="6109"/>
      <c r="H1210" s="6109"/>
      <c r="I1210" s="6128"/>
      <c r="J1210" s="6109"/>
      <c r="K1210" s="6128"/>
      <c r="L1210" s="6109"/>
      <c r="M1210" s="6160"/>
      <c r="N1210" s="6161"/>
      <c r="O1210" s="6161"/>
      <c r="P1210" s="6161"/>
      <c r="Q1210" s="6161"/>
      <c r="R1210" s="6161"/>
      <c r="S1210" s="6161"/>
      <c r="T1210" s="6161"/>
      <c r="U1210" s="6161"/>
      <c r="V1210" s="6161"/>
      <c r="W1210" s="6161"/>
      <c r="X1210" s="6161"/>
      <c r="Y1210" s="6161"/>
      <c r="Z1210" s="6161"/>
      <c r="AA1210" s="6161"/>
      <c r="AB1210" s="6161"/>
      <c r="AC1210" s="6161"/>
      <c r="AD1210" s="6128"/>
      <c r="AE1210" s="6215"/>
      <c r="AF1210" s="6216"/>
      <c r="AG1210" s="6235">
        <f t="shared" si="251"/>
        <v>118853.77</v>
      </c>
      <c r="AH1210" s="6208" t="s">
        <v>122</v>
      </c>
      <c r="AI1210" s="6236">
        <v>45286</v>
      </c>
      <c r="AJ1210" s="6207">
        <v>118853.77</v>
      </c>
      <c r="AK1210" s="6207">
        <v>45285</v>
      </c>
      <c r="AL1210" s="6161"/>
      <c r="AM1210" s="6161"/>
      <c r="AN1210" s="6242"/>
      <c r="AO1210" s="6252"/>
      <c r="AP1210" s="6216"/>
      <c r="AQ1210" s="6250"/>
      <c r="AR1210" s="6207"/>
      <c r="AS1210" s="6265"/>
      <c r="AT1210" s="6250"/>
      <c r="AU1210" s="6250"/>
      <c r="AV1210" s="6250"/>
      <c r="AW1210" s="6250"/>
      <c r="AX1210" s="6250"/>
      <c r="AY1210" s="6250"/>
      <c r="AZ1210" s="6250"/>
      <c r="BA1210" s="6236"/>
      <c r="BB1210" s="6236"/>
      <c r="BC1210" s="6236"/>
      <c r="BD1210" s="6236"/>
      <c r="BE1210" s="6270"/>
      <c r="BF1210" s="6270"/>
      <c r="BG1210" s="6270"/>
      <c r="BH1210" s="6236">
        <v>118853.77</v>
      </c>
      <c r="BI1210" s="6235"/>
      <c r="BJ1210" s="6235"/>
      <c r="BK1210" s="6235"/>
      <c r="BL1210" s="6235"/>
      <c r="BM1210" s="6235"/>
      <c r="BN1210" s="6236"/>
      <c r="BO1210" s="6207"/>
      <c r="BP1210" s="6207"/>
      <c r="BQ1210" s="6207"/>
      <c r="BR1210" s="6207"/>
      <c r="BS1210" s="6207"/>
      <c r="BT1210" s="6207"/>
      <c r="BU1210" s="6207"/>
      <c r="BV1210" s="6207">
        <v>118853.76</v>
      </c>
      <c r="BW1210" s="6283"/>
      <c r="BX1210" s="6210"/>
      <c r="BY1210" s="6210"/>
      <c r="BZ1210" s="6210"/>
      <c r="CA1210" s="6210"/>
      <c r="CB1210" s="6286"/>
      <c r="CC1210" s="6207"/>
      <c r="CD1210" s="6207"/>
      <c r="CE1210" s="5169"/>
      <c r="CF1210" s="5169"/>
      <c r="CG1210" s="5169"/>
      <c r="CH1210" s="5169"/>
    </row>
    <row r="1211" s="4965" customFormat="1" ht="61" customHeight="1" spans="1:86">
      <c r="A1211" s="5079"/>
      <c r="B1211" s="5821"/>
      <c r="C1211" s="5821">
        <v>45219</v>
      </c>
      <c r="D1211" s="6040"/>
      <c r="E1211" s="5821"/>
      <c r="F1211" s="6110" t="s">
        <v>2121</v>
      </c>
      <c r="G1211" s="6110" t="s">
        <v>2085</v>
      </c>
      <c r="H1211" s="6110" t="s">
        <v>2122</v>
      </c>
      <c r="I1211" s="6110"/>
      <c r="J1211" s="6110" t="s">
        <v>2024</v>
      </c>
      <c r="K1211" s="6110" t="s">
        <v>2115</v>
      </c>
      <c r="L1211" s="6110" t="s">
        <v>2123</v>
      </c>
      <c r="M1211" s="6162">
        <f>SUM(N1211:AA1213)</f>
        <v>191699.63</v>
      </c>
      <c r="N1211" s="6163"/>
      <c r="O1211" s="6163"/>
      <c r="P1211" s="6163"/>
      <c r="Q1211" s="6163"/>
      <c r="R1211" s="6163"/>
      <c r="S1211" s="6163"/>
      <c r="T1211" s="6163"/>
      <c r="U1211" s="6163">
        <v>191699.63</v>
      </c>
      <c r="V1211" s="6163"/>
      <c r="W1211" s="6163"/>
      <c r="X1211" s="6163"/>
      <c r="Y1211" s="6163"/>
      <c r="Z1211" s="6163"/>
      <c r="AA1211" s="6163"/>
      <c r="AB1211" s="6163"/>
      <c r="AC1211" s="6217">
        <v>1</v>
      </c>
      <c r="AD1211" s="6218" t="s">
        <v>2124</v>
      </c>
      <c r="AE1211" s="6219">
        <v>0.2</v>
      </c>
      <c r="AF1211" s="6220">
        <f>M1211*AE1211</f>
        <v>38339.926</v>
      </c>
      <c r="AG1211" s="6222">
        <f t="shared" si="251"/>
        <v>38339.926</v>
      </c>
      <c r="AH1211" s="6218" t="s">
        <v>122</v>
      </c>
      <c r="AI1211" s="6221">
        <v>45251</v>
      </c>
      <c r="AJ1211" s="6221">
        <v>38339.926</v>
      </c>
      <c r="AK1211" s="6221">
        <v>45251</v>
      </c>
      <c r="AL1211" s="6221">
        <v>38339.926</v>
      </c>
      <c r="AM1211" s="6221">
        <v>45251</v>
      </c>
      <c r="AN1211" s="6220">
        <f t="shared" ref="AN1210:AN1230" si="255">SUM(BO1211:CB1211)</f>
        <v>38339.926</v>
      </c>
      <c r="AO1211" s="6221">
        <v>45289</v>
      </c>
      <c r="AP1211" s="6220">
        <f t="shared" ref="AP1210:AP1227" si="256">AG1211-AN1211</f>
        <v>0</v>
      </c>
      <c r="AQ1211" s="6253"/>
      <c r="AR1211" s="6217"/>
      <c r="AS1211" s="6266"/>
      <c r="AT1211" s="6253"/>
      <c r="AU1211" s="6253"/>
      <c r="AV1211" s="6253"/>
      <c r="AW1211" s="6253"/>
      <c r="AX1211" s="6253"/>
      <c r="AY1211" s="6253"/>
      <c r="AZ1211" s="6253"/>
      <c r="BA1211" s="6221"/>
      <c r="BB1211" s="6221"/>
      <c r="BC1211" s="6221"/>
      <c r="BD1211" s="6221"/>
      <c r="BE1211" s="6221"/>
      <c r="BF1211" s="6221"/>
      <c r="BG1211" s="6221"/>
      <c r="BH1211" s="6221">
        <v>38339.926</v>
      </c>
      <c r="BI1211" s="6222"/>
      <c r="BJ1211" s="6222"/>
      <c r="BK1211" s="6222"/>
      <c r="BL1211" s="6222"/>
      <c r="BM1211" s="6222"/>
      <c r="BN1211" s="6221"/>
      <c r="BO1211" s="6217"/>
      <c r="BP1211" s="6217"/>
      <c r="BQ1211" s="6217"/>
      <c r="BR1211" s="6217"/>
      <c r="BS1211" s="6217"/>
      <c r="BT1211" s="6217"/>
      <c r="BU1211" s="6217"/>
      <c r="BV1211" s="6217">
        <v>38339.926</v>
      </c>
      <c r="BW1211" s="6284"/>
      <c r="BX1211" s="6220"/>
      <c r="BY1211" s="6220"/>
      <c r="BZ1211" s="6220"/>
      <c r="CA1211" s="6220"/>
      <c r="CB1211" s="6287"/>
      <c r="CC1211" s="6217"/>
      <c r="CD1211" s="6217"/>
      <c r="CE1211" s="5169"/>
      <c r="CF1211" s="5169"/>
      <c r="CG1211" s="5169"/>
      <c r="CH1211" s="5169"/>
    </row>
    <row r="1212" s="4965" customFormat="1" ht="61" customHeight="1" spans="1:86">
      <c r="A1212" s="5079"/>
      <c r="B1212" s="5821"/>
      <c r="C1212" s="5821"/>
      <c r="D1212" s="6040"/>
      <c r="E1212" s="5821"/>
      <c r="F1212" s="6111"/>
      <c r="G1212" s="6111"/>
      <c r="H1212" s="6111"/>
      <c r="I1212" s="6110"/>
      <c r="J1212" s="6111"/>
      <c r="K1212" s="6110"/>
      <c r="L1212" s="6111"/>
      <c r="M1212" s="6162"/>
      <c r="N1212" s="6163"/>
      <c r="O1212" s="6163"/>
      <c r="P1212" s="6163"/>
      <c r="Q1212" s="6163"/>
      <c r="R1212" s="6163"/>
      <c r="S1212" s="6163"/>
      <c r="T1212" s="6163"/>
      <c r="U1212" s="6163"/>
      <c r="V1212" s="6163"/>
      <c r="W1212" s="6163"/>
      <c r="X1212" s="6163"/>
      <c r="Y1212" s="6163"/>
      <c r="Z1212" s="6163"/>
      <c r="AA1212" s="6163"/>
      <c r="AB1212" s="6163"/>
      <c r="AC1212" s="6217">
        <v>2</v>
      </c>
      <c r="AD1212" s="6218" t="s">
        <v>2125</v>
      </c>
      <c r="AE1212" s="6219">
        <v>0.6</v>
      </c>
      <c r="AF1212" s="6220">
        <f>M1211*AE1212</f>
        <v>115019.778</v>
      </c>
      <c r="AG1212" s="6222">
        <f t="shared" si="251"/>
        <v>115019.778</v>
      </c>
      <c r="AH1212" s="6218" t="s">
        <v>122</v>
      </c>
      <c r="AI1212" s="6221">
        <v>45251</v>
      </c>
      <c r="AJ1212" s="6221">
        <v>115019.778</v>
      </c>
      <c r="AK1212" s="6221">
        <v>45251</v>
      </c>
      <c r="AL1212" s="6221">
        <v>115019.778</v>
      </c>
      <c r="AM1212" s="6221">
        <v>45251</v>
      </c>
      <c r="AN1212" s="6220">
        <f t="shared" si="255"/>
        <v>115019.778</v>
      </c>
      <c r="AO1212" s="6221">
        <v>45289</v>
      </c>
      <c r="AP1212" s="6220">
        <f t="shared" si="256"/>
        <v>0</v>
      </c>
      <c r="AQ1212" s="6253"/>
      <c r="AR1212" s="6217"/>
      <c r="AS1212" s="6266"/>
      <c r="AT1212" s="6253"/>
      <c r="AU1212" s="6253"/>
      <c r="AV1212" s="6253"/>
      <c r="AW1212" s="6253"/>
      <c r="AX1212" s="6253"/>
      <c r="AY1212" s="6253"/>
      <c r="AZ1212" s="6253"/>
      <c r="BA1212" s="6221"/>
      <c r="BB1212" s="6221"/>
      <c r="BC1212" s="6221"/>
      <c r="BD1212" s="6221"/>
      <c r="BE1212" s="6221"/>
      <c r="BF1212" s="6221"/>
      <c r="BG1212" s="6221"/>
      <c r="BH1212" s="6221">
        <v>115019.778</v>
      </c>
      <c r="BI1212" s="6222"/>
      <c r="BJ1212" s="6222"/>
      <c r="BK1212" s="6222"/>
      <c r="BL1212" s="6222"/>
      <c r="BM1212" s="6222"/>
      <c r="BN1212" s="6221"/>
      <c r="BO1212" s="6217"/>
      <c r="BP1212" s="6217"/>
      <c r="BQ1212" s="6217"/>
      <c r="BR1212" s="6217"/>
      <c r="BS1212" s="6217"/>
      <c r="BT1212" s="6217"/>
      <c r="BU1212" s="6217"/>
      <c r="BV1212" s="6217">
        <v>115019.778</v>
      </c>
      <c r="BW1212" s="6284"/>
      <c r="BX1212" s="6220"/>
      <c r="BY1212" s="6220"/>
      <c r="BZ1212" s="6220"/>
      <c r="CA1212" s="6220"/>
      <c r="CB1212" s="6287"/>
      <c r="CC1212" s="6217"/>
      <c r="CD1212" s="6217"/>
      <c r="CE1212" s="5169"/>
      <c r="CF1212" s="5169"/>
      <c r="CG1212" s="5169"/>
      <c r="CH1212" s="5169"/>
    </row>
    <row r="1213" s="4980" customFormat="1" ht="61" customHeight="1" spans="1:86">
      <c r="A1213" s="5667"/>
      <c r="B1213" s="5817"/>
      <c r="C1213" s="5817"/>
      <c r="D1213" s="5145"/>
      <c r="E1213" s="5822"/>
      <c r="F1213" s="6112"/>
      <c r="G1213" s="6112"/>
      <c r="H1213" s="6112"/>
      <c r="I1213" s="6129"/>
      <c r="J1213" s="6112"/>
      <c r="K1213" s="6129"/>
      <c r="L1213" s="6112"/>
      <c r="M1213" s="6164"/>
      <c r="N1213" s="6165"/>
      <c r="O1213" s="6165"/>
      <c r="P1213" s="6165"/>
      <c r="Q1213" s="6165"/>
      <c r="R1213" s="6165"/>
      <c r="S1213" s="6165"/>
      <c r="T1213" s="6165"/>
      <c r="U1213" s="6165"/>
      <c r="V1213" s="6165"/>
      <c r="W1213" s="6165"/>
      <c r="X1213" s="6165"/>
      <c r="Y1213" s="6165"/>
      <c r="Z1213" s="6165"/>
      <c r="AA1213" s="6165"/>
      <c r="AB1213" s="6165"/>
      <c r="AC1213" s="6221">
        <v>3</v>
      </c>
      <c r="AD1213" s="6218" t="s">
        <v>2126</v>
      </c>
      <c r="AE1213" s="6218">
        <v>0.2</v>
      </c>
      <c r="AF1213" s="6222">
        <f>M1211*AE1213</f>
        <v>38339.926</v>
      </c>
      <c r="AG1213" s="6237">
        <f t="shared" si="251"/>
        <v>38339.93</v>
      </c>
      <c r="AH1213" s="6238" t="s">
        <v>122</v>
      </c>
      <c r="AI1213" s="6239">
        <v>45650</v>
      </c>
      <c r="AJ1213" s="6221">
        <v>38339.93</v>
      </c>
      <c r="AK1213" s="6221">
        <v>45650</v>
      </c>
      <c r="AL1213" s="6221">
        <v>38339.93</v>
      </c>
      <c r="AM1213" s="6221">
        <v>45805</v>
      </c>
      <c r="AN1213" s="6222">
        <f t="shared" si="255"/>
        <v>38339.93</v>
      </c>
      <c r="AO1213" s="6221">
        <v>45896</v>
      </c>
      <c r="AP1213" s="6222">
        <f t="shared" si="256"/>
        <v>0</v>
      </c>
      <c r="AQ1213" s="6254"/>
      <c r="AR1213" s="6221"/>
      <c r="AS1213" s="6267"/>
      <c r="AT1213" s="6254"/>
      <c r="AU1213" s="6253"/>
      <c r="AV1213" s="6253"/>
      <c r="AW1213" s="6253"/>
      <c r="AX1213" s="6253"/>
      <c r="AY1213" s="6253"/>
      <c r="AZ1213" s="6253"/>
      <c r="BA1213" s="6221"/>
      <c r="BB1213" s="6221"/>
      <c r="BC1213" s="6221"/>
      <c r="BD1213" s="6221"/>
      <c r="BE1213" s="6221"/>
      <c r="BF1213" s="6221"/>
      <c r="BG1213" s="6221"/>
      <c r="BH1213" s="6271">
        <v>38339.93</v>
      </c>
      <c r="BI1213" s="6222"/>
      <c r="BJ1213" s="6222"/>
      <c r="BK1213" s="6222"/>
      <c r="BL1213" s="6222"/>
      <c r="BM1213" s="6222"/>
      <c r="BN1213" s="6221"/>
      <c r="BO1213" s="6221"/>
      <c r="BP1213" s="6221"/>
      <c r="BQ1213" s="6221"/>
      <c r="BR1213" s="6221"/>
      <c r="BS1213" s="6221"/>
      <c r="BT1213" s="6221"/>
      <c r="BU1213" s="6221"/>
      <c r="BV1213" s="6221">
        <v>38339.93</v>
      </c>
      <c r="BW1213" s="6222"/>
      <c r="BX1213" s="6222"/>
      <c r="BY1213" s="6222"/>
      <c r="BZ1213" s="6222"/>
      <c r="CA1213" s="6222"/>
      <c r="CB1213" s="6271"/>
      <c r="CC1213" s="6221"/>
      <c r="CD1213" s="6221"/>
      <c r="CE1213" s="5154"/>
      <c r="CF1213" s="5154"/>
      <c r="CG1213" s="5154"/>
      <c r="CH1213" s="5154"/>
    </row>
    <row r="1214" s="4965" customFormat="1" ht="51.75" customHeight="1" spans="1:86">
      <c r="A1214" s="5079"/>
      <c r="B1214" s="1035" t="s">
        <v>1951</v>
      </c>
      <c r="C1214" s="5820">
        <v>45275</v>
      </c>
      <c r="D1214" s="1035" t="s">
        <v>2127</v>
      </c>
      <c r="E1214" s="1035" t="s">
        <v>2128</v>
      </c>
      <c r="F1214" s="6113" t="s">
        <v>2129</v>
      </c>
      <c r="G1214" s="6113" t="s">
        <v>2130</v>
      </c>
      <c r="H1214" s="6113" t="s">
        <v>338</v>
      </c>
      <c r="I1214" s="6130"/>
      <c r="J1214" s="6113" t="s">
        <v>2131</v>
      </c>
      <c r="K1214" s="6113" t="s">
        <v>2132</v>
      </c>
      <c r="L1214" s="6113" t="s">
        <v>2133</v>
      </c>
      <c r="M1214" s="6166">
        <f>SUM(N1214:AA1218)</f>
        <v>5185500</v>
      </c>
      <c r="N1214" s="6167"/>
      <c r="O1214" s="6167"/>
      <c r="P1214" s="6167">
        <v>1665000</v>
      </c>
      <c r="Q1214" s="6167">
        <v>1800000</v>
      </c>
      <c r="R1214" s="6167"/>
      <c r="S1214" s="6167"/>
      <c r="T1214" s="6167"/>
      <c r="U1214" s="6167"/>
      <c r="V1214" s="6167">
        <v>350000</v>
      </c>
      <c r="W1214" s="6167"/>
      <c r="X1214" s="6167"/>
      <c r="Y1214" s="6167"/>
      <c r="Z1214" s="6167"/>
      <c r="AA1214" s="6167">
        <v>1370500</v>
      </c>
      <c r="AB1214" s="6172" t="s">
        <v>126</v>
      </c>
      <c r="AC1214" s="6166">
        <v>1</v>
      </c>
      <c r="AD1214" s="6113" t="s">
        <v>2027</v>
      </c>
      <c r="AE1214" s="6223">
        <v>0.2</v>
      </c>
      <c r="AF1214" s="6224">
        <f>M1214*AE1214</f>
        <v>1037100</v>
      </c>
      <c r="AG1214" s="6240">
        <f t="shared" ref="AG1214:AG1219" si="257">ROUND(SUM(BA1214:BN1214),2)</f>
        <v>1032868.82</v>
      </c>
      <c r="AH1214" s="6113" t="s">
        <v>122</v>
      </c>
      <c r="AI1214" s="6240">
        <v>45286</v>
      </c>
      <c r="AJ1214" s="6166">
        <v>1032868.82</v>
      </c>
      <c r="AK1214" s="6166">
        <v>45281</v>
      </c>
      <c r="AL1214" s="6166">
        <v>1032868.82</v>
      </c>
      <c r="AM1214" s="6166">
        <v>45300</v>
      </c>
      <c r="AN1214" s="6240">
        <f t="shared" si="255"/>
        <v>1032868.82</v>
      </c>
      <c r="AO1214" s="6255">
        <v>45323</v>
      </c>
      <c r="AP1214" s="6240">
        <f t="shared" si="256"/>
        <v>0</v>
      </c>
      <c r="AQ1214" s="6256" t="s">
        <v>2134</v>
      </c>
      <c r="AR1214" s="6166"/>
      <c r="AS1214" s="6268"/>
      <c r="AT1214" s="6130" t="s">
        <v>2135</v>
      </c>
      <c r="AU1214" s="6166"/>
      <c r="AV1214" s="6166"/>
      <c r="AW1214" s="6166"/>
      <c r="AX1214" s="6166"/>
      <c r="AY1214" s="6166"/>
      <c r="AZ1214" s="6166"/>
      <c r="BA1214" s="6240"/>
      <c r="BB1214" s="6240"/>
      <c r="BC1214" s="6240">
        <v>400000</v>
      </c>
      <c r="BD1214" s="6240">
        <v>500000</v>
      </c>
      <c r="BE1214" s="6240"/>
      <c r="BF1214" s="6240"/>
      <c r="BG1214" s="6240"/>
      <c r="BH1214" s="6240"/>
      <c r="BI1214" s="6255">
        <v>110000</v>
      </c>
      <c r="BJ1214" s="6255"/>
      <c r="BK1214" s="6255"/>
      <c r="BL1214" s="6255"/>
      <c r="BM1214" s="6255"/>
      <c r="BN1214" s="6240">
        <v>22868.82</v>
      </c>
      <c r="BO1214" s="6166"/>
      <c r="BP1214" s="6166"/>
      <c r="BQ1214" s="6240">
        <v>400000</v>
      </c>
      <c r="BR1214" s="6240">
        <v>500000</v>
      </c>
      <c r="BS1214" s="6240"/>
      <c r="BT1214" s="6240"/>
      <c r="BU1214" s="6240"/>
      <c r="BV1214" s="6240"/>
      <c r="BW1214" s="6255">
        <v>110000</v>
      </c>
      <c r="BX1214" s="6255"/>
      <c r="BY1214" s="6255"/>
      <c r="BZ1214" s="6255"/>
      <c r="CA1214" s="6255"/>
      <c r="CB1214" s="6240">
        <v>22868.82</v>
      </c>
      <c r="CC1214" s="6166"/>
      <c r="CD1214" s="6166"/>
      <c r="CE1214" s="5169"/>
      <c r="CF1214" s="5169"/>
      <c r="CG1214" s="5169"/>
      <c r="CH1214" s="5169"/>
    </row>
    <row r="1215" s="4965" customFormat="1" ht="51.75" customHeight="1" spans="1:86">
      <c r="A1215" s="5079"/>
      <c r="B1215" s="1035"/>
      <c r="C1215" s="5821"/>
      <c r="D1215" s="1035"/>
      <c r="E1215" s="5079"/>
      <c r="F1215" s="6114"/>
      <c r="G1215" s="6114"/>
      <c r="H1215" s="6114"/>
      <c r="I1215" s="6131"/>
      <c r="J1215" s="6114"/>
      <c r="K1215" s="6113"/>
      <c r="L1215" s="6114"/>
      <c r="M1215" s="6166"/>
      <c r="N1215" s="6167"/>
      <c r="O1215" s="6167"/>
      <c r="P1215" s="6167"/>
      <c r="Q1215" s="6167"/>
      <c r="R1215" s="6167"/>
      <c r="S1215" s="6167"/>
      <c r="T1215" s="6167"/>
      <c r="U1215" s="6167"/>
      <c r="V1215" s="6167"/>
      <c r="W1215" s="6167"/>
      <c r="X1215" s="6167"/>
      <c r="Y1215" s="6167"/>
      <c r="Z1215" s="6167"/>
      <c r="AA1215" s="6167"/>
      <c r="AB1215" s="6167"/>
      <c r="AC1215" s="6166">
        <v>2</v>
      </c>
      <c r="AD1215" s="6113" t="s">
        <v>2028</v>
      </c>
      <c r="AE1215" s="6223">
        <v>0.3</v>
      </c>
      <c r="AF1215" s="6224">
        <f>M1214*AE1215</f>
        <v>1555650</v>
      </c>
      <c r="AG1215" s="6240">
        <f t="shared" si="257"/>
        <v>1549303.23</v>
      </c>
      <c r="AH1215" s="6113" t="s">
        <v>122</v>
      </c>
      <c r="AI1215" s="6240">
        <v>45286</v>
      </c>
      <c r="AJ1215" s="6166">
        <v>1549303.23</v>
      </c>
      <c r="AK1215" s="6166">
        <v>45281</v>
      </c>
      <c r="AL1215" s="6166">
        <v>1549303.23</v>
      </c>
      <c r="AM1215" s="6166">
        <v>45359</v>
      </c>
      <c r="AN1215" s="6240">
        <f t="shared" si="255"/>
        <v>1549303.23</v>
      </c>
      <c r="AO1215" s="6240">
        <v>45380</v>
      </c>
      <c r="AP1215" s="6240">
        <f t="shared" si="256"/>
        <v>0</v>
      </c>
      <c r="AQ1215" s="6257" t="s">
        <v>2134</v>
      </c>
      <c r="AR1215" s="6166"/>
      <c r="AS1215" s="6268"/>
      <c r="AT1215" s="6131"/>
      <c r="AU1215" s="6166"/>
      <c r="AV1215" s="6166"/>
      <c r="AW1215" s="6166"/>
      <c r="AX1215" s="6166"/>
      <c r="AY1215" s="6166"/>
      <c r="AZ1215" s="6166"/>
      <c r="BA1215" s="6240"/>
      <c r="BB1215" s="6240"/>
      <c r="BC1215" s="6240">
        <v>600000</v>
      </c>
      <c r="BD1215" s="6240">
        <v>800000</v>
      </c>
      <c r="BE1215" s="6240"/>
      <c r="BF1215" s="6240"/>
      <c r="BG1215" s="6240"/>
      <c r="BH1215" s="6240"/>
      <c r="BI1215" s="6255">
        <v>130000</v>
      </c>
      <c r="BJ1215" s="6255"/>
      <c r="BK1215" s="6255"/>
      <c r="BL1215" s="6255"/>
      <c r="BM1215" s="6255"/>
      <c r="BN1215" s="6240">
        <v>19303.23</v>
      </c>
      <c r="BO1215" s="6166"/>
      <c r="BP1215" s="6166"/>
      <c r="BQ1215" s="6240">
        <v>600000</v>
      </c>
      <c r="BR1215" s="6240">
        <v>800000</v>
      </c>
      <c r="BS1215" s="6240"/>
      <c r="BT1215" s="6240"/>
      <c r="BU1215" s="6240"/>
      <c r="BV1215" s="6240"/>
      <c r="BW1215" s="6255">
        <v>130000</v>
      </c>
      <c r="BX1215" s="6255"/>
      <c r="BY1215" s="6255"/>
      <c r="BZ1215" s="6255"/>
      <c r="CA1215" s="6255"/>
      <c r="CB1215" s="6240">
        <v>19303.23</v>
      </c>
      <c r="CC1215" s="6166"/>
      <c r="CD1215" s="6166"/>
      <c r="CE1215" s="5169"/>
      <c r="CF1215" s="5169"/>
      <c r="CG1215" s="5169"/>
      <c r="CH1215" s="5169"/>
    </row>
    <row r="1216" s="4965" customFormat="1" ht="51.75" customHeight="1" spans="1:86">
      <c r="A1216" s="5079"/>
      <c r="B1216" s="1035"/>
      <c r="C1216" s="5821"/>
      <c r="D1216" s="1035"/>
      <c r="E1216" s="5079"/>
      <c r="F1216" s="6114"/>
      <c r="G1216" s="6114"/>
      <c r="H1216" s="6114"/>
      <c r="I1216" s="6131"/>
      <c r="J1216" s="6114"/>
      <c r="K1216" s="6113"/>
      <c r="L1216" s="6114"/>
      <c r="M1216" s="6166"/>
      <c r="N1216" s="6167"/>
      <c r="O1216" s="6167"/>
      <c r="P1216" s="6167"/>
      <c r="Q1216" s="6167"/>
      <c r="R1216" s="6167"/>
      <c r="S1216" s="6167"/>
      <c r="T1216" s="6167"/>
      <c r="U1216" s="6167"/>
      <c r="V1216" s="6167"/>
      <c r="W1216" s="6167"/>
      <c r="X1216" s="6167"/>
      <c r="Y1216" s="6167"/>
      <c r="Z1216" s="6167"/>
      <c r="AA1216" s="6167"/>
      <c r="AB1216" s="6167"/>
      <c r="AC1216" s="6166">
        <v>3</v>
      </c>
      <c r="AD1216" s="6113" t="s">
        <v>1785</v>
      </c>
      <c r="AE1216" s="6223">
        <v>0.2</v>
      </c>
      <c r="AF1216" s="6224">
        <f>M1214*AE1216</f>
        <v>1037100</v>
      </c>
      <c r="AG1216" s="6240">
        <f t="shared" si="257"/>
        <v>1032868.82</v>
      </c>
      <c r="AH1216" s="6113" t="s">
        <v>122</v>
      </c>
      <c r="AI1216" s="6240">
        <v>45286</v>
      </c>
      <c r="AJ1216" s="6166">
        <v>1032868.82</v>
      </c>
      <c r="AK1216" s="6166">
        <v>45281</v>
      </c>
      <c r="AL1216" s="6166">
        <v>1032868.82</v>
      </c>
      <c r="AM1216" s="6166">
        <v>45359</v>
      </c>
      <c r="AN1216" s="6240">
        <f t="shared" si="255"/>
        <v>1032868.82</v>
      </c>
      <c r="AO1216" s="6240">
        <v>45380</v>
      </c>
      <c r="AP1216" s="6240">
        <f t="shared" si="256"/>
        <v>0</v>
      </c>
      <c r="AQ1216" s="6257" t="s">
        <v>2134</v>
      </c>
      <c r="AR1216" s="6166"/>
      <c r="AS1216" s="6268"/>
      <c r="AT1216" s="6269"/>
      <c r="AU1216" s="6166"/>
      <c r="AV1216" s="6166"/>
      <c r="AW1216" s="6166"/>
      <c r="AX1216" s="6166"/>
      <c r="AY1216" s="6166"/>
      <c r="AZ1216" s="6166"/>
      <c r="BA1216" s="6240"/>
      <c r="BB1216" s="6240"/>
      <c r="BC1216" s="6240">
        <v>400000</v>
      </c>
      <c r="BD1216" s="6240">
        <v>500000</v>
      </c>
      <c r="BE1216" s="6240"/>
      <c r="BF1216" s="6240"/>
      <c r="BG1216" s="6240"/>
      <c r="BH1216" s="6240"/>
      <c r="BI1216" s="6255">
        <v>110000</v>
      </c>
      <c r="BJ1216" s="6255"/>
      <c r="BK1216" s="6255"/>
      <c r="BL1216" s="6255"/>
      <c r="BM1216" s="6255"/>
      <c r="BN1216" s="6240">
        <v>22868.82</v>
      </c>
      <c r="BO1216" s="6166"/>
      <c r="BP1216" s="6166"/>
      <c r="BQ1216" s="6240">
        <v>400000</v>
      </c>
      <c r="BR1216" s="6240">
        <v>500000</v>
      </c>
      <c r="BS1216" s="6240"/>
      <c r="BT1216" s="6240"/>
      <c r="BU1216" s="6240"/>
      <c r="BV1216" s="6240"/>
      <c r="BW1216" s="6255">
        <v>110000</v>
      </c>
      <c r="BX1216" s="6255"/>
      <c r="BY1216" s="6255"/>
      <c r="BZ1216" s="6255"/>
      <c r="CA1216" s="6255"/>
      <c r="CB1216" s="6240">
        <v>22868.82</v>
      </c>
      <c r="CC1216" s="6166"/>
      <c r="CD1216" s="6166"/>
      <c r="CE1216" s="5169"/>
      <c r="CF1216" s="5169"/>
      <c r="CG1216" s="5169"/>
      <c r="CH1216" s="5169"/>
    </row>
    <row r="1217" s="4980" customFormat="1" ht="45" customHeight="1" spans="1:86">
      <c r="A1217" s="5667"/>
      <c r="B1217" s="1035"/>
      <c r="C1217" s="5868"/>
      <c r="D1217" s="1035"/>
      <c r="E1217" s="5079"/>
      <c r="F1217" s="6288"/>
      <c r="G1217" s="6288"/>
      <c r="H1217" s="6288"/>
      <c r="I1217" s="6131"/>
      <c r="J1217" s="6288"/>
      <c r="K1217" s="6113"/>
      <c r="L1217" s="6288"/>
      <c r="M1217" s="6240"/>
      <c r="N1217" s="6167"/>
      <c r="O1217" s="6167"/>
      <c r="P1217" s="6167"/>
      <c r="Q1217" s="6167"/>
      <c r="R1217" s="6167"/>
      <c r="S1217" s="6167"/>
      <c r="T1217" s="6167"/>
      <c r="U1217" s="6167"/>
      <c r="V1217" s="6167"/>
      <c r="W1217" s="6167"/>
      <c r="X1217" s="6167"/>
      <c r="Y1217" s="6167"/>
      <c r="Z1217" s="6167"/>
      <c r="AA1217" s="6167"/>
      <c r="AB1217" s="6167"/>
      <c r="AC1217" s="6240">
        <v>4</v>
      </c>
      <c r="AD1217" s="6113" t="s">
        <v>2088</v>
      </c>
      <c r="AE1217" s="6113">
        <v>0.25</v>
      </c>
      <c r="AF1217" s="6255">
        <f>M1214*AE1217</f>
        <v>1296375</v>
      </c>
      <c r="AG1217" s="6240">
        <f t="shared" si="257"/>
        <v>1291086.03</v>
      </c>
      <c r="AH1217" s="6390" t="s">
        <v>122</v>
      </c>
      <c r="AI1217" s="6391">
        <v>45649</v>
      </c>
      <c r="AJ1217" s="6240">
        <v>1291086.03</v>
      </c>
      <c r="AK1217" s="6240">
        <v>45649</v>
      </c>
      <c r="AL1217" s="6240">
        <v>1291086.03</v>
      </c>
      <c r="AM1217" s="6240">
        <v>45973</v>
      </c>
      <c r="AN1217" s="6406">
        <f t="shared" si="255"/>
        <v>1291086.03</v>
      </c>
      <c r="AO1217" s="6406">
        <v>46021</v>
      </c>
      <c r="AP1217" s="6240">
        <f t="shared" si="256"/>
        <v>0</v>
      </c>
      <c r="AQ1217" s="6412"/>
      <c r="AR1217" s="6240"/>
      <c r="AS1217" s="6425"/>
      <c r="AT1217" s="6412"/>
      <c r="AU1217" s="6166"/>
      <c r="AV1217" s="6166"/>
      <c r="AW1217" s="6166"/>
      <c r="AX1217" s="6166"/>
      <c r="AY1217" s="6166"/>
      <c r="AZ1217" s="6166"/>
      <c r="BA1217" s="6240"/>
      <c r="BB1217" s="6240"/>
      <c r="BC1217" s="6240">
        <v>265000</v>
      </c>
      <c r="BD1217" s="6240"/>
      <c r="BE1217" s="6240"/>
      <c r="BF1217" s="6240"/>
      <c r="BG1217" s="6240"/>
      <c r="BH1217" s="6240"/>
      <c r="BI1217" s="6255"/>
      <c r="BJ1217" s="6255"/>
      <c r="BK1217" s="6255"/>
      <c r="BL1217" s="6255"/>
      <c r="BM1217" s="6255"/>
      <c r="BN1217" s="6240">
        <v>1026086.03</v>
      </c>
      <c r="BO1217" s="6240"/>
      <c r="BP1217" s="6240"/>
      <c r="BQ1217" s="6240">
        <v>265000</v>
      </c>
      <c r="BR1217" s="6240"/>
      <c r="BS1217" s="6240"/>
      <c r="BT1217" s="6240"/>
      <c r="BU1217" s="6240"/>
      <c r="BV1217" s="6240"/>
      <c r="BW1217" s="6255"/>
      <c r="BX1217" s="6255"/>
      <c r="BY1217" s="6255"/>
      <c r="BZ1217" s="6255"/>
      <c r="CA1217" s="6255"/>
      <c r="CB1217" s="6240">
        <v>1026086.03</v>
      </c>
      <c r="CC1217" s="6240"/>
      <c r="CD1217" s="6240"/>
      <c r="CE1217" s="5154"/>
      <c r="CF1217" s="5154"/>
      <c r="CG1217" s="5154"/>
      <c r="CH1217" s="5154"/>
    </row>
    <row r="1218" s="4965" customFormat="1" ht="45" customHeight="1" spans="1:86">
      <c r="A1218" s="5079"/>
      <c r="B1218" s="1035"/>
      <c r="C1218" s="5822"/>
      <c r="D1218" s="1035"/>
      <c r="E1218" s="5079"/>
      <c r="F1218" s="6114"/>
      <c r="G1218" s="6114"/>
      <c r="H1218" s="6114"/>
      <c r="I1218" s="6269"/>
      <c r="J1218" s="6114"/>
      <c r="K1218" s="6113"/>
      <c r="L1218" s="6114"/>
      <c r="M1218" s="6166"/>
      <c r="N1218" s="6323"/>
      <c r="O1218" s="6323"/>
      <c r="P1218" s="6323"/>
      <c r="Q1218" s="6323"/>
      <c r="R1218" s="6323"/>
      <c r="S1218" s="6323"/>
      <c r="T1218" s="6323"/>
      <c r="U1218" s="6323"/>
      <c r="V1218" s="6323"/>
      <c r="W1218" s="6323"/>
      <c r="X1218" s="6323"/>
      <c r="Y1218" s="6323"/>
      <c r="Z1218" s="6323"/>
      <c r="AA1218" s="6323"/>
      <c r="AB1218" s="6323"/>
      <c r="AC1218" s="6166">
        <v>5</v>
      </c>
      <c r="AD1218" s="6113" t="s">
        <v>2089</v>
      </c>
      <c r="AE1218" s="6223">
        <v>0.05</v>
      </c>
      <c r="AF1218" s="6224">
        <f>M1214*AE1218</f>
        <v>259275</v>
      </c>
      <c r="AG1218" s="6240">
        <f t="shared" si="257"/>
        <v>0</v>
      </c>
      <c r="AH1218" s="6113"/>
      <c r="AI1218" s="6166"/>
      <c r="AJ1218" s="6166"/>
      <c r="AK1218" s="6166"/>
      <c r="AL1218" s="6166"/>
      <c r="AM1218" s="6166"/>
      <c r="AN1218" s="6240">
        <f t="shared" si="255"/>
        <v>0</v>
      </c>
      <c r="AO1218" s="6240"/>
      <c r="AP1218" s="6240">
        <f t="shared" si="256"/>
        <v>0</v>
      </c>
      <c r="AQ1218" s="6257"/>
      <c r="AR1218" s="6166"/>
      <c r="AS1218" s="6268"/>
      <c r="AT1218" s="6257"/>
      <c r="AU1218" s="6166"/>
      <c r="AV1218" s="6166"/>
      <c r="AW1218" s="6166"/>
      <c r="AX1218" s="6166"/>
      <c r="AY1218" s="6166"/>
      <c r="AZ1218" s="6166"/>
      <c r="BA1218" s="6240"/>
      <c r="BB1218" s="6240"/>
      <c r="BC1218" s="6240"/>
      <c r="BD1218" s="6240"/>
      <c r="BE1218" s="6240"/>
      <c r="BF1218" s="6240"/>
      <c r="BG1218" s="6240"/>
      <c r="BH1218" s="6240"/>
      <c r="BI1218" s="6255"/>
      <c r="BJ1218" s="6255"/>
      <c r="BK1218" s="6255"/>
      <c r="BL1218" s="6255"/>
      <c r="BM1218" s="6255"/>
      <c r="BN1218" s="6240"/>
      <c r="BO1218" s="6166"/>
      <c r="BP1218" s="6166"/>
      <c r="BQ1218" s="6166"/>
      <c r="BR1218" s="6166"/>
      <c r="BS1218" s="6166"/>
      <c r="BT1218" s="6166"/>
      <c r="BU1218" s="6166"/>
      <c r="BV1218" s="6166"/>
      <c r="BW1218" s="6445"/>
      <c r="BX1218" s="6224"/>
      <c r="BY1218" s="6224"/>
      <c r="BZ1218" s="6224"/>
      <c r="CA1218" s="6224"/>
      <c r="CB1218" s="6453"/>
      <c r="CC1218" s="6166"/>
      <c r="CD1218" s="6166"/>
      <c r="CE1218" s="5169"/>
      <c r="CF1218" s="5169"/>
      <c r="CG1218" s="5169"/>
      <c r="CH1218" s="5169"/>
    </row>
    <row r="1219" s="4965" customFormat="1" ht="45" customHeight="1" spans="1:86">
      <c r="A1219" s="5079"/>
      <c r="B1219" s="1035"/>
      <c r="C1219" s="5820">
        <v>45275</v>
      </c>
      <c r="D1219" s="1035"/>
      <c r="E1219" s="5079"/>
      <c r="F1219" s="6289" t="s">
        <v>2136</v>
      </c>
      <c r="G1219" s="6289" t="s">
        <v>2130</v>
      </c>
      <c r="H1219" s="6289" t="s">
        <v>353</v>
      </c>
      <c r="I1219" s="6308"/>
      <c r="J1219" s="6289" t="s">
        <v>2131</v>
      </c>
      <c r="K1219" s="6289" t="s">
        <v>2137</v>
      </c>
      <c r="L1219" s="6289" t="s">
        <v>2138</v>
      </c>
      <c r="M1219" s="6324">
        <f>SUM(N1219:AA1226)</f>
        <v>1715044</v>
      </c>
      <c r="N1219" s="6325"/>
      <c r="O1219" s="6325"/>
      <c r="P1219" s="6325"/>
      <c r="Q1219" s="6325"/>
      <c r="R1219" s="6325"/>
      <c r="S1219" s="6325"/>
      <c r="T1219" s="6325"/>
      <c r="U1219" s="6325"/>
      <c r="V1219" s="6325"/>
      <c r="W1219" s="6325"/>
      <c r="X1219" s="6325"/>
      <c r="Y1219" s="6325"/>
      <c r="Z1219" s="6325"/>
      <c r="AA1219" s="6325">
        <v>1715044</v>
      </c>
      <c r="AB1219" s="6342" t="s">
        <v>126</v>
      </c>
      <c r="AC1219" s="6324">
        <v>1</v>
      </c>
      <c r="AD1219" s="6289" t="s">
        <v>2093</v>
      </c>
      <c r="AE1219" s="6346">
        <v>0.1</v>
      </c>
      <c r="AF1219" s="6347">
        <f>M1219*AE1219</f>
        <v>171504.4</v>
      </c>
      <c r="AG1219" s="6324">
        <f t="shared" si="257"/>
        <v>171504.4</v>
      </c>
      <c r="AH1219" s="6289" t="s">
        <v>122</v>
      </c>
      <c r="AI1219" s="6326">
        <v>45286</v>
      </c>
      <c r="AJ1219" s="6324">
        <v>171504.4</v>
      </c>
      <c r="AK1219" s="6324">
        <v>45281</v>
      </c>
      <c r="AL1219" s="6324">
        <v>171504.4</v>
      </c>
      <c r="AM1219" s="6324">
        <v>45300</v>
      </c>
      <c r="AN1219" s="6326">
        <f t="shared" si="255"/>
        <v>171504.4</v>
      </c>
      <c r="AO1219" s="6348">
        <v>45323</v>
      </c>
      <c r="AP1219" s="6326">
        <f t="shared" si="256"/>
        <v>0</v>
      </c>
      <c r="AQ1219" s="6413"/>
      <c r="AR1219" s="6324"/>
      <c r="AS1219" s="6426"/>
      <c r="AT1219" s="6413"/>
      <c r="AU1219" s="6324"/>
      <c r="AV1219" s="6324"/>
      <c r="AW1219" s="6324"/>
      <c r="AX1219" s="6324"/>
      <c r="AY1219" s="6324"/>
      <c r="AZ1219" s="6324"/>
      <c r="BA1219" s="6326"/>
      <c r="BB1219" s="6326"/>
      <c r="BC1219" s="6326"/>
      <c r="BD1219" s="6326"/>
      <c r="BE1219" s="6326"/>
      <c r="BF1219" s="6326"/>
      <c r="BG1219" s="6326"/>
      <c r="BH1219" s="6326"/>
      <c r="BI1219" s="6348"/>
      <c r="BJ1219" s="6348"/>
      <c r="BK1219" s="6348"/>
      <c r="BL1219" s="6348"/>
      <c r="BM1219" s="6348"/>
      <c r="BN1219" s="6326">
        <v>171504.4</v>
      </c>
      <c r="BO1219" s="6324"/>
      <c r="BP1219" s="6324"/>
      <c r="BQ1219" s="6324"/>
      <c r="BR1219" s="6324"/>
      <c r="BS1219" s="6324"/>
      <c r="BT1219" s="6324"/>
      <c r="BU1219" s="6324"/>
      <c r="BV1219" s="6324"/>
      <c r="BW1219" s="6446"/>
      <c r="BX1219" s="6347"/>
      <c r="BY1219" s="6347"/>
      <c r="BZ1219" s="6347"/>
      <c r="CA1219" s="6347"/>
      <c r="CB1219" s="6326">
        <v>171504.4</v>
      </c>
      <c r="CC1219" s="6324"/>
      <c r="CD1219" s="6324"/>
      <c r="CE1219" s="5169"/>
      <c r="CF1219" s="5169"/>
      <c r="CG1219" s="5169"/>
      <c r="CH1219" s="5169"/>
    </row>
    <row r="1220" s="4965" customFormat="1" ht="45" customHeight="1" spans="1:86">
      <c r="A1220" s="5079"/>
      <c r="B1220" s="1035"/>
      <c r="C1220" s="5821"/>
      <c r="D1220" s="1035"/>
      <c r="E1220" s="5079"/>
      <c r="F1220" s="6290"/>
      <c r="G1220" s="6290"/>
      <c r="H1220" s="6290"/>
      <c r="I1220" s="6309"/>
      <c r="J1220" s="6290"/>
      <c r="K1220" s="6289"/>
      <c r="L1220" s="6290"/>
      <c r="M1220" s="6324"/>
      <c r="N1220" s="6325"/>
      <c r="O1220" s="6325"/>
      <c r="P1220" s="6325"/>
      <c r="Q1220" s="6325"/>
      <c r="R1220" s="6325"/>
      <c r="S1220" s="6325"/>
      <c r="T1220" s="6325"/>
      <c r="U1220" s="6325"/>
      <c r="V1220" s="6325"/>
      <c r="W1220" s="6325"/>
      <c r="X1220" s="6325"/>
      <c r="Y1220" s="6325"/>
      <c r="Z1220" s="6325"/>
      <c r="AA1220" s="6325"/>
      <c r="AB1220" s="6325"/>
      <c r="AC1220" s="6324">
        <v>2</v>
      </c>
      <c r="AD1220" s="6289" t="s">
        <v>2034</v>
      </c>
      <c r="AE1220" s="6289" t="s">
        <v>2035</v>
      </c>
      <c r="AF1220" s="6347">
        <f>337500*0.4</f>
        <v>135000</v>
      </c>
      <c r="AG1220" s="6324">
        <f t="shared" ref="AG1220:AG1227" si="258">ROUND(SUM(BA1220:BN1220),2)</f>
        <v>135000</v>
      </c>
      <c r="AH1220" s="6289" t="s">
        <v>122</v>
      </c>
      <c r="AI1220" s="6326">
        <v>45286</v>
      </c>
      <c r="AJ1220" s="6324">
        <v>135000</v>
      </c>
      <c r="AK1220" s="6324">
        <v>45281</v>
      </c>
      <c r="AL1220" s="6324">
        <v>135000</v>
      </c>
      <c r="AM1220" s="6324">
        <v>45300</v>
      </c>
      <c r="AN1220" s="6326">
        <f t="shared" si="255"/>
        <v>135000</v>
      </c>
      <c r="AO1220" s="6348">
        <v>45323</v>
      </c>
      <c r="AP1220" s="6326">
        <f t="shared" si="256"/>
        <v>0</v>
      </c>
      <c r="AQ1220" s="6413"/>
      <c r="AR1220" s="6324"/>
      <c r="AS1220" s="6426"/>
      <c r="AT1220" s="6413"/>
      <c r="AU1220" s="6324"/>
      <c r="AV1220" s="6324"/>
      <c r="AW1220" s="6324"/>
      <c r="AX1220" s="6324"/>
      <c r="AY1220" s="6324"/>
      <c r="AZ1220" s="6324"/>
      <c r="BA1220" s="6326"/>
      <c r="BB1220" s="6326"/>
      <c r="BC1220" s="6326"/>
      <c r="BD1220" s="6326"/>
      <c r="BE1220" s="6326"/>
      <c r="BF1220" s="6326"/>
      <c r="BG1220" s="6326"/>
      <c r="BH1220" s="6326"/>
      <c r="BI1220" s="6348"/>
      <c r="BJ1220" s="6348"/>
      <c r="BK1220" s="6348"/>
      <c r="BL1220" s="6348"/>
      <c r="BM1220" s="6348"/>
      <c r="BN1220" s="6326">
        <v>135000</v>
      </c>
      <c r="BO1220" s="6324"/>
      <c r="BP1220" s="6324"/>
      <c r="BQ1220" s="6324"/>
      <c r="BR1220" s="6324"/>
      <c r="BS1220" s="6324"/>
      <c r="BT1220" s="6324"/>
      <c r="BU1220" s="6324"/>
      <c r="BV1220" s="6324"/>
      <c r="BW1220" s="6446"/>
      <c r="BX1220" s="6347"/>
      <c r="BY1220" s="6347"/>
      <c r="BZ1220" s="6347"/>
      <c r="CA1220" s="6347"/>
      <c r="CB1220" s="6326">
        <v>135000</v>
      </c>
      <c r="CC1220" s="6324"/>
      <c r="CD1220" s="6324"/>
      <c r="CE1220" s="5169"/>
      <c r="CF1220" s="5169"/>
      <c r="CG1220" s="5169"/>
      <c r="CH1220" s="5169"/>
    </row>
    <row r="1221" s="4965" customFormat="1" ht="45" customHeight="1" spans="1:86">
      <c r="A1221" s="5079"/>
      <c r="B1221" s="1035"/>
      <c r="C1221" s="5821"/>
      <c r="D1221" s="1035"/>
      <c r="E1221" s="5079"/>
      <c r="F1221" s="6290"/>
      <c r="G1221" s="6290"/>
      <c r="H1221" s="6290"/>
      <c r="I1221" s="6309"/>
      <c r="J1221" s="6290"/>
      <c r="K1221" s="6289"/>
      <c r="L1221" s="6290"/>
      <c r="M1221" s="6324"/>
      <c r="N1221" s="6325"/>
      <c r="O1221" s="6325"/>
      <c r="P1221" s="6325"/>
      <c r="Q1221" s="6325"/>
      <c r="R1221" s="6325"/>
      <c r="S1221" s="6325"/>
      <c r="T1221" s="6325"/>
      <c r="U1221" s="6325"/>
      <c r="V1221" s="6325"/>
      <c r="W1221" s="6325"/>
      <c r="X1221" s="6325"/>
      <c r="Y1221" s="6325"/>
      <c r="Z1221" s="6325"/>
      <c r="AA1221" s="6325"/>
      <c r="AB1221" s="6325"/>
      <c r="AC1221" s="6324">
        <v>3</v>
      </c>
      <c r="AD1221" s="6289" t="s">
        <v>2037</v>
      </c>
      <c r="AE1221" s="6289" t="s">
        <v>2035</v>
      </c>
      <c r="AF1221" s="6347">
        <f>337500*0.4</f>
        <v>135000</v>
      </c>
      <c r="AG1221" s="6324">
        <f t="shared" si="258"/>
        <v>135000</v>
      </c>
      <c r="AH1221" s="6289" t="s">
        <v>122</v>
      </c>
      <c r="AI1221" s="6326">
        <v>45286</v>
      </c>
      <c r="AJ1221" s="6324">
        <v>135000</v>
      </c>
      <c r="AK1221" s="6324">
        <v>45281</v>
      </c>
      <c r="AL1221" s="6324">
        <v>135000</v>
      </c>
      <c r="AM1221" s="6324">
        <v>45300</v>
      </c>
      <c r="AN1221" s="6326">
        <f t="shared" si="255"/>
        <v>135000</v>
      </c>
      <c r="AO1221" s="6348">
        <v>45323</v>
      </c>
      <c r="AP1221" s="6326">
        <f t="shared" si="256"/>
        <v>0</v>
      </c>
      <c r="AQ1221" s="6413"/>
      <c r="AR1221" s="6324"/>
      <c r="AS1221" s="6426"/>
      <c r="AT1221" s="6413"/>
      <c r="AU1221" s="6324"/>
      <c r="AV1221" s="6324"/>
      <c r="AW1221" s="6324"/>
      <c r="AX1221" s="6324"/>
      <c r="AY1221" s="6324"/>
      <c r="AZ1221" s="6324"/>
      <c r="BA1221" s="6326"/>
      <c r="BB1221" s="6326"/>
      <c r="BC1221" s="6326"/>
      <c r="BD1221" s="6326"/>
      <c r="BE1221" s="6326"/>
      <c r="BF1221" s="6326"/>
      <c r="BG1221" s="6326"/>
      <c r="BH1221" s="6326"/>
      <c r="BI1221" s="6348"/>
      <c r="BJ1221" s="6348"/>
      <c r="BK1221" s="6348"/>
      <c r="BL1221" s="6348"/>
      <c r="BM1221" s="6348"/>
      <c r="BN1221" s="6326">
        <v>135000</v>
      </c>
      <c r="BO1221" s="6324"/>
      <c r="BP1221" s="6324"/>
      <c r="BQ1221" s="6324"/>
      <c r="BR1221" s="6324"/>
      <c r="BS1221" s="6324"/>
      <c r="BT1221" s="6324"/>
      <c r="BU1221" s="6324"/>
      <c r="BV1221" s="6324"/>
      <c r="BW1221" s="6446"/>
      <c r="BX1221" s="6347"/>
      <c r="BY1221" s="6347"/>
      <c r="BZ1221" s="6347"/>
      <c r="CA1221" s="6347"/>
      <c r="CB1221" s="6326">
        <v>135000</v>
      </c>
      <c r="CC1221" s="6324"/>
      <c r="CD1221" s="6324"/>
      <c r="CE1221" s="5169"/>
      <c r="CF1221" s="5169"/>
      <c r="CG1221" s="5169"/>
      <c r="CH1221" s="5169"/>
    </row>
    <row r="1222" s="4965" customFormat="1" ht="45" customHeight="1" spans="1:86">
      <c r="A1222" s="5079"/>
      <c r="B1222" s="1035"/>
      <c r="C1222" s="5821"/>
      <c r="D1222" s="1035"/>
      <c r="E1222" s="5079"/>
      <c r="F1222" s="6290"/>
      <c r="G1222" s="6290"/>
      <c r="H1222" s="6290"/>
      <c r="I1222" s="6309"/>
      <c r="J1222" s="6290"/>
      <c r="K1222" s="6289"/>
      <c r="L1222" s="6290"/>
      <c r="M1222" s="6324"/>
      <c r="N1222" s="6325"/>
      <c r="O1222" s="6325"/>
      <c r="P1222" s="6325"/>
      <c r="Q1222" s="6325"/>
      <c r="R1222" s="6325"/>
      <c r="S1222" s="6325"/>
      <c r="T1222" s="6325"/>
      <c r="U1222" s="6325"/>
      <c r="V1222" s="6325"/>
      <c r="W1222" s="6325"/>
      <c r="X1222" s="6325"/>
      <c r="Y1222" s="6325"/>
      <c r="Z1222" s="6325"/>
      <c r="AA1222" s="6325"/>
      <c r="AB1222" s="6325"/>
      <c r="AC1222" s="6324">
        <v>4</v>
      </c>
      <c r="AD1222" s="6289" t="s">
        <v>2043</v>
      </c>
      <c r="AE1222" s="6289" t="s">
        <v>2044</v>
      </c>
      <c r="AF1222" s="6348">
        <f>1377544*0.15</f>
        <v>206631.6</v>
      </c>
      <c r="AG1222" s="6324">
        <f t="shared" si="258"/>
        <v>206631.6</v>
      </c>
      <c r="AH1222" s="6289" t="s">
        <v>122</v>
      </c>
      <c r="AI1222" s="6326">
        <v>45286</v>
      </c>
      <c r="AJ1222" s="6324">
        <v>206631.6</v>
      </c>
      <c r="AK1222" s="6324">
        <v>45281</v>
      </c>
      <c r="AL1222" s="6324">
        <v>206631.6</v>
      </c>
      <c r="AM1222" s="6324">
        <v>45300</v>
      </c>
      <c r="AN1222" s="6326">
        <f t="shared" si="255"/>
        <v>206631.6</v>
      </c>
      <c r="AO1222" s="6348">
        <v>45323</v>
      </c>
      <c r="AP1222" s="6326">
        <f t="shared" si="256"/>
        <v>0</v>
      </c>
      <c r="AQ1222" s="6413"/>
      <c r="AR1222" s="6324"/>
      <c r="AS1222" s="6426"/>
      <c r="AT1222" s="6413"/>
      <c r="AU1222" s="6324"/>
      <c r="AV1222" s="6324"/>
      <c r="AW1222" s="6324"/>
      <c r="AX1222" s="6324"/>
      <c r="AY1222" s="6324"/>
      <c r="AZ1222" s="6324"/>
      <c r="BA1222" s="6326"/>
      <c r="BB1222" s="6326"/>
      <c r="BC1222" s="6326"/>
      <c r="BD1222" s="6326"/>
      <c r="BE1222" s="6326"/>
      <c r="BF1222" s="6326"/>
      <c r="BG1222" s="6326"/>
      <c r="BH1222" s="6326"/>
      <c r="BI1222" s="6348"/>
      <c r="BJ1222" s="6348"/>
      <c r="BK1222" s="6348"/>
      <c r="BL1222" s="6348"/>
      <c r="BM1222" s="6348"/>
      <c r="BN1222" s="6326">
        <v>206631.6</v>
      </c>
      <c r="BO1222" s="6324"/>
      <c r="BP1222" s="6324"/>
      <c r="BQ1222" s="6324"/>
      <c r="BR1222" s="6324"/>
      <c r="BS1222" s="6324"/>
      <c r="BT1222" s="6324"/>
      <c r="BU1222" s="6324"/>
      <c r="BV1222" s="6324"/>
      <c r="BW1222" s="6446"/>
      <c r="BX1222" s="6347"/>
      <c r="BY1222" s="6347"/>
      <c r="BZ1222" s="6347"/>
      <c r="CA1222" s="6347"/>
      <c r="CB1222" s="6326">
        <v>206631.6</v>
      </c>
      <c r="CC1222" s="6324"/>
      <c r="CD1222" s="6324"/>
      <c r="CE1222" s="5169"/>
      <c r="CF1222" s="5169"/>
      <c r="CG1222" s="5169"/>
      <c r="CH1222" s="5169"/>
    </row>
    <row r="1223" s="4965" customFormat="1" ht="45" customHeight="1" spans="1:86">
      <c r="A1223" s="5079"/>
      <c r="B1223" s="1035"/>
      <c r="C1223" s="5821"/>
      <c r="D1223" s="1035"/>
      <c r="E1223" s="5079"/>
      <c r="F1223" s="6290"/>
      <c r="G1223" s="6290"/>
      <c r="H1223" s="6290"/>
      <c r="I1223" s="6309"/>
      <c r="J1223" s="6290"/>
      <c r="K1223" s="6289"/>
      <c r="L1223" s="6290"/>
      <c r="M1223" s="6324"/>
      <c r="N1223" s="6325"/>
      <c r="O1223" s="6325"/>
      <c r="P1223" s="6325"/>
      <c r="Q1223" s="6325"/>
      <c r="R1223" s="6325"/>
      <c r="S1223" s="6325"/>
      <c r="T1223" s="6325"/>
      <c r="U1223" s="6325"/>
      <c r="V1223" s="6325"/>
      <c r="W1223" s="6325"/>
      <c r="X1223" s="6325"/>
      <c r="Y1223" s="6325"/>
      <c r="Z1223" s="6325"/>
      <c r="AA1223" s="6325"/>
      <c r="AB1223" s="6325"/>
      <c r="AC1223" s="6324">
        <v>5</v>
      </c>
      <c r="AD1223" s="6289" t="s">
        <v>2046</v>
      </c>
      <c r="AE1223" s="6289" t="s">
        <v>2047</v>
      </c>
      <c r="AF1223" s="6347">
        <f>1377544*0.2</f>
        <v>275508.8</v>
      </c>
      <c r="AG1223" s="6324">
        <f t="shared" si="258"/>
        <v>275508.8</v>
      </c>
      <c r="AH1223" s="6289" t="s">
        <v>122</v>
      </c>
      <c r="AI1223" s="6326">
        <v>45286</v>
      </c>
      <c r="AJ1223" s="6324">
        <v>275508.8</v>
      </c>
      <c r="AK1223" s="6324">
        <v>45281</v>
      </c>
      <c r="AL1223" s="6324">
        <v>275508.8</v>
      </c>
      <c r="AM1223" s="6324">
        <v>45359</v>
      </c>
      <c r="AN1223" s="6326">
        <f t="shared" si="255"/>
        <v>275508.8</v>
      </c>
      <c r="AO1223" s="6326">
        <v>45380</v>
      </c>
      <c r="AP1223" s="6326">
        <f t="shared" si="256"/>
        <v>0</v>
      </c>
      <c r="AQ1223" s="6413"/>
      <c r="AR1223" s="6324"/>
      <c r="AS1223" s="6426"/>
      <c r="AT1223" s="6413"/>
      <c r="AU1223" s="6324"/>
      <c r="AV1223" s="6324"/>
      <c r="AW1223" s="6324"/>
      <c r="AX1223" s="6324"/>
      <c r="AY1223" s="6324"/>
      <c r="AZ1223" s="6324"/>
      <c r="BA1223" s="6326"/>
      <c r="BB1223" s="6326"/>
      <c r="BC1223" s="6326"/>
      <c r="BD1223" s="6326"/>
      <c r="BE1223" s="6326"/>
      <c r="BF1223" s="6326"/>
      <c r="BG1223" s="6326"/>
      <c r="BH1223" s="6326"/>
      <c r="BI1223" s="6348"/>
      <c r="BJ1223" s="6348"/>
      <c r="BK1223" s="6348"/>
      <c r="BL1223" s="6348"/>
      <c r="BM1223" s="6348"/>
      <c r="BN1223" s="6326">
        <v>275508.8</v>
      </c>
      <c r="BO1223" s="6324"/>
      <c r="BP1223" s="6324"/>
      <c r="BQ1223" s="6324"/>
      <c r="BR1223" s="6324"/>
      <c r="BS1223" s="6324"/>
      <c r="BT1223" s="6324"/>
      <c r="BU1223" s="6324"/>
      <c r="BV1223" s="6324"/>
      <c r="BW1223" s="6446"/>
      <c r="BX1223" s="6347"/>
      <c r="BY1223" s="6347"/>
      <c r="BZ1223" s="6347"/>
      <c r="CA1223" s="6347"/>
      <c r="CB1223" s="6326">
        <v>275508.8</v>
      </c>
      <c r="CC1223" s="6324"/>
      <c r="CD1223" s="6324"/>
      <c r="CE1223" s="5169"/>
      <c r="CF1223" s="5169"/>
      <c r="CG1223" s="5169"/>
      <c r="CH1223" s="5169"/>
    </row>
    <row r="1224" s="4965" customFormat="1" ht="45" customHeight="1" spans="1:86">
      <c r="A1224" s="5079"/>
      <c r="B1224" s="1035"/>
      <c r="C1224" s="5821"/>
      <c r="D1224" s="1035"/>
      <c r="E1224" s="5079"/>
      <c r="F1224" s="6290"/>
      <c r="G1224" s="6290"/>
      <c r="H1224" s="6290"/>
      <c r="I1224" s="6309"/>
      <c r="J1224" s="6290"/>
      <c r="K1224" s="6289"/>
      <c r="L1224" s="6290"/>
      <c r="M1224" s="6324"/>
      <c r="N1224" s="6325"/>
      <c r="O1224" s="6325"/>
      <c r="P1224" s="6325"/>
      <c r="Q1224" s="6325"/>
      <c r="R1224" s="6325"/>
      <c r="S1224" s="6325"/>
      <c r="T1224" s="6325"/>
      <c r="U1224" s="6325"/>
      <c r="V1224" s="6325"/>
      <c r="W1224" s="6325"/>
      <c r="X1224" s="6325"/>
      <c r="Y1224" s="6325"/>
      <c r="Z1224" s="6325"/>
      <c r="AA1224" s="6325"/>
      <c r="AB1224" s="6325"/>
      <c r="AC1224" s="6324">
        <v>6</v>
      </c>
      <c r="AD1224" s="6289" t="s">
        <v>2049</v>
      </c>
      <c r="AE1224" s="6289" t="s">
        <v>2044</v>
      </c>
      <c r="AF1224" s="6347">
        <f>1377544*0.15</f>
        <v>206631.6</v>
      </c>
      <c r="AG1224" s="6324">
        <f t="shared" si="258"/>
        <v>206631.6</v>
      </c>
      <c r="AH1224" s="6289" t="s">
        <v>122</v>
      </c>
      <c r="AI1224" s="6326">
        <v>45432</v>
      </c>
      <c r="AJ1224" s="6324">
        <v>206631.6</v>
      </c>
      <c r="AK1224" s="6324">
        <v>45432</v>
      </c>
      <c r="AL1224" s="6407">
        <v>206631.6</v>
      </c>
      <c r="AM1224" s="6324">
        <v>45433</v>
      </c>
      <c r="AN1224" s="6326">
        <f t="shared" si="255"/>
        <v>206631.6</v>
      </c>
      <c r="AO1224" s="6326">
        <v>45470</v>
      </c>
      <c r="AP1224" s="6326">
        <f t="shared" si="256"/>
        <v>0</v>
      </c>
      <c r="AQ1224" s="6413"/>
      <c r="AR1224" s="6324"/>
      <c r="AS1224" s="6426"/>
      <c r="AT1224" s="6413"/>
      <c r="AU1224" s="6324"/>
      <c r="AV1224" s="6324"/>
      <c r="AW1224" s="6324"/>
      <c r="AX1224" s="6324"/>
      <c r="AY1224" s="6324"/>
      <c r="AZ1224" s="6324"/>
      <c r="BA1224" s="6326"/>
      <c r="BB1224" s="6326"/>
      <c r="BC1224" s="6326"/>
      <c r="BD1224" s="6326"/>
      <c r="BE1224" s="6326"/>
      <c r="BF1224" s="6326"/>
      <c r="BG1224" s="6326"/>
      <c r="BH1224" s="6326"/>
      <c r="BI1224" s="6348"/>
      <c r="BJ1224" s="6348"/>
      <c r="BK1224" s="6348"/>
      <c r="BL1224" s="6348"/>
      <c r="BM1224" s="6348"/>
      <c r="BN1224" s="6326">
        <v>206631.6</v>
      </c>
      <c r="BO1224" s="6324"/>
      <c r="BP1224" s="6324"/>
      <c r="BQ1224" s="6324"/>
      <c r="BR1224" s="6324"/>
      <c r="BS1224" s="6324"/>
      <c r="BT1224" s="6324"/>
      <c r="BU1224" s="6324"/>
      <c r="BV1224" s="6324"/>
      <c r="BW1224" s="6446"/>
      <c r="BX1224" s="6347"/>
      <c r="BY1224" s="6347"/>
      <c r="BZ1224" s="6347"/>
      <c r="CA1224" s="6347"/>
      <c r="CB1224" s="6326">
        <v>206631.6</v>
      </c>
      <c r="CC1224" s="6324"/>
      <c r="CD1224" s="6324"/>
      <c r="CE1224" s="5169"/>
      <c r="CF1224" s="5169"/>
      <c r="CG1224" s="5169"/>
      <c r="CH1224" s="5169"/>
    </row>
    <row r="1225" s="4980" customFormat="1" ht="45" customHeight="1" spans="1:86">
      <c r="A1225" s="5667"/>
      <c r="B1225" s="1035"/>
      <c r="C1225" s="5868"/>
      <c r="D1225" s="1035"/>
      <c r="E1225" s="5079"/>
      <c r="F1225" s="6291"/>
      <c r="G1225" s="6291"/>
      <c r="H1225" s="6291"/>
      <c r="I1225" s="6309"/>
      <c r="J1225" s="6291"/>
      <c r="K1225" s="6289"/>
      <c r="L1225" s="6291"/>
      <c r="M1225" s="6326"/>
      <c r="N1225" s="6325"/>
      <c r="O1225" s="6325"/>
      <c r="P1225" s="6325"/>
      <c r="Q1225" s="6325"/>
      <c r="R1225" s="6325"/>
      <c r="S1225" s="6325"/>
      <c r="T1225" s="6325"/>
      <c r="U1225" s="6325"/>
      <c r="V1225" s="6325"/>
      <c r="W1225" s="6325"/>
      <c r="X1225" s="6325"/>
      <c r="Y1225" s="6325"/>
      <c r="Z1225" s="6325"/>
      <c r="AA1225" s="6325"/>
      <c r="AB1225" s="6325"/>
      <c r="AC1225" s="6326">
        <v>7</v>
      </c>
      <c r="AD1225" s="6289" t="s">
        <v>2051</v>
      </c>
      <c r="AE1225" s="6289" t="s">
        <v>2139</v>
      </c>
      <c r="AF1225" s="6348">
        <f>1377544*0.25</f>
        <v>344386</v>
      </c>
      <c r="AG1225" s="6324">
        <f t="shared" si="258"/>
        <v>344386</v>
      </c>
      <c r="AH1225" s="6392" t="s">
        <v>122</v>
      </c>
      <c r="AI1225" s="6393">
        <v>45649</v>
      </c>
      <c r="AJ1225" s="6326">
        <v>344386</v>
      </c>
      <c r="AK1225" s="6326">
        <v>45649</v>
      </c>
      <c r="AL1225" s="6326">
        <v>344386</v>
      </c>
      <c r="AM1225" s="6326">
        <v>45973</v>
      </c>
      <c r="AN1225" s="6408">
        <f t="shared" si="255"/>
        <v>344386</v>
      </c>
      <c r="AO1225" s="6408">
        <v>46021</v>
      </c>
      <c r="AP1225" s="6326">
        <f t="shared" si="256"/>
        <v>0</v>
      </c>
      <c r="AQ1225" s="6414"/>
      <c r="AR1225" s="6326"/>
      <c r="AS1225" s="6427"/>
      <c r="AT1225" s="6414"/>
      <c r="AU1225" s="6324"/>
      <c r="AV1225" s="6324"/>
      <c r="AW1225" s="6324"/>
      <c r="AX1225" s="6324"/>
      <c r="AY1225" s="6324"/>
      <c r="AZ1225" s="6324"/>
      <c r="BA1225" s="6326"/>
      <c r="BB1225" s="6326"/>
      <c r="BC1225" s="6326"/>
      <c r="BD1225" s="6326"/>
      <c r="BE1225" s="6326"/>
      <c r="BF1225" s="6326"/>
      <c r="BG1225" s="6326"/>
      <c r="BH1225" s="6326"/>
      <c r="BI1225" s="6348"/>
      <c r="BJ1225" s="6348"/>
      <c r="BK1225" s="6348"/>
      <c r="BL1225" s="6348"/>
      <c r="BM1225" s="6348"/>
      <c r="BN1225" s="6326">
        <v>344386</v>
      </c>
      <c r="BO1225" s="6326"/>
      <c r="BP1225" s="6326"/>
      <c r="BQ1225" s="6326"/>
      <c r="BR1225" s="6326"/>
      <c r="BS1225" s="6326"/>
      <c r="BT1225" s="6326"/>
      <c r="BU1225" s="6326"/>
      <c r="BV1225" s="6326"/>
      <c r="BW1225" s="6348"/>
      <c r="BX1225" s="6348"/>
      <c r="BY1225" s="6348"/>
      <c r="BZ1225" s="6348"/>
      <c r="CA1225" s="6348"/>
      <c r="CB1225" s="6326">
        <v>344386</v>
      </c>
      <c r="CC1225" s="6326"/>
      <c r="CD1225" s="6326"/>
      <c r="CE1225" s="5154">
        <f>SUBTOTAL(9,BO1225:CB1225)</f>
        <v>344386</v>
      </c>
      <c r="CF1225" s="5154">
        <f>AN1225-CE1225</f>
        <v>0</v>
      </c>
      <c r="CG1225" s="5154"/>
      <c r="CH1225" s="5154"/>
    </row>
    <row r="1226" s="4965" customFormat="1" ht="45" customHeight="1" spans="1:86">
      <c r="A1226" s="5079"/>
      <c r="B1226" s="1035"/>
      <c r="C1226" s="5822"/>
      <c r="D1226" s="1035"/>
      <c r="E1226" s="5079"/>
      <c r="F1226" s="6290"/>
      <c r="G1226" s="6290"/>
      <c r="H1226" s="6290"/>
      <c r="I1226" s="6310"/>
      <c r="J1226" s="6290"/>
      <c r="K1226" s="6289"/>
      <c r="L1226" s="6290"/>
      <c r="M1226" s="6324"/>
      <c r="N1226" s="6327"/>
      <c r="O1226" s="6327"/>
      <c r="P1226" s="6327"/>
      <c r="Q1226" s="6327"/>
      <c r="R1226" s="6327"/>
      <c r="S1226" s="6327"/>
      <c r="T1226" s="6327"/>
      <c r="U1226" s="6327"/>
      <c r="V1226" s="6327"/>
      <c r="W1226" s="6327"/>
      <c r="X1226" s="6327"/>
      <c r="Y1226" s="6327"/>
      <c r="Z1226" s="6327"/>
      <c r="AA1226" s="6327"/>
      <c r="AB1226" s="6327"/>
      <c r="AC1226" s="6324">
        <v>8</v>
      </c>
      <c r="AD1226" s="6289" t="s">
        <v>2055</v>
      </c>
      <c r="AE1226" s="6289" t="s">
        <v>2056</v>
      </c>
      <c r="AF1226" s="6347">
        <f>337500*0.1+1377544*0.15</f>
        <v>240381.6</v>
      </c>
      <c r="AG1226" s="6324">
        <f t="shared" si="258"/>
        <v>0</v>
      </c>
      <c r="AH1226" s="6289"/>
      <c r="AI1226" s="6324"/>
      <c r="AJ1226" s="6324"/>
      <c r="AK1226" s="6324"/>
      <c r="AL1226" s="6324"/>
      <c r="AM1226" s="6324"/>
      <c r="AN1226" s="6326">
        <f t="shared" si="255"/>
        <v>0</v>
      </c>
      <c r="AO1226" s="6326"/>
      <c r="AP1226" s="6326">
        <f t="shared" si="256"/>
        <v>0</v>
      </c>
      <c r="AQ1226" s="6413"/>
      <c r="AR1226" s="6324"/>
      <c r="AS1226" s="6426"/>
      <c r="AT1226" s="6413"/>
      <c r="AU1226" s="6324"/>
      <c r="AV1226" s="6324"/>
      <c r="AW1226" s="6324"/>
      <c r="AX1226" s="6324"/>
      <c r="AY1226" s="6324"/>
      <c r="AZ1226" s="6324"/>
      <c r="BA1226" s="6326"/>
      <c r="BB1226" s="6326"/>
      <c r="BC1226" s="6326"/>
      <c r="BD1226" s="6326"/>
      <c r="BE1226" s="6326"/>
      <c r="BF1226" s="6326"/>
      <c r="BG1226" s="6326"/>
      <c r="BH1226" s="6326"/>
      <c r="BI1226" s="6348"/>
      <c r="BJ1226" s="6348"/>
      <c r="BK1226" s="6348"/>
      <c r="BL1226" s="6348"/>
      <c r="BM1226" s="6348"/>
      <c r="BN1226" s="6326"/>
      <c r="BO1226" s="6324"/>
      <c r="BP1226" s="6324"/>
      <c r="BQ1226" s="6324"/>
      <c r="BR1226" s="6324"/>
      <c r="BS1226" s="6324"/>
      <c r="BT1226" s="6324"/>
      <c r="BU1226" s="6324"/>
      <c r="BV1226" s="6324"/>
      <c r="BW1226" s="6446"/>
      <c r="BX1226" s="6347"/>
      <c r="BY1226" s="6347"/>
      <c r="BZ1226" s="6347"/>
      <c r="CA1226" s="6347"/>
      <c r="CB1226" s="6407"/>
      <c r="CC1226" s="6324"/>
      <c r="CD1226" s="6324"/>
      <c r="CE1226" s="5169"/>
      <c r="CF1226" s="5169"/>
      <c r="CG1226" s="5169"/>
      <c r="CH1226" s="5169"/>
    </row>
    <row r="1227" s="4965" customFormat="1" ht="45" customHeight="1" spans="1:86">
      <c r="A1227" s="5079"/>
      <c r="B1227" s="1035"/>
      <c r="C1227" s="5820">
        <v>45275</v>
      </c>
      <c r="D1227" s="1035"/>
      <c r="E1227" s="5079"/>
      <c r="F1227" s="5543" t="s">
        <v>2140</v>
      </c>
      <c r="G1227" s="5543" t="s">
        <v>2130</v>
      </c>
      <c r="H1227" s="5543" t="s">
        <v>362</v>
      </c>
      <c r="I1227" s="5547"/>
      <c r="J1227" s="5543" t="s">
        <v>2131</v>
      </c>
      <c r="K1227" s="5543" t="s">
        <v>2141</v>
      </c>
      <c r="L1227" s="5543" t="s">
        <v>2142</v>
      </c>
      <c r="M1227" s="2973">
        <f>SUM(N1227:AA1239)</f>
        <v>3239912</v>
      </c>
      <c r="N1227" s="5563"/>
      <c r="O1227" s="5563"/>
      <c r="P1227" s="5563"/>
      <c r="Q1227" s="5563"/>
      <c r="R1227" s="5563"/>
      <c r="S1227" s="5563"/>
      <c r="T1227" s="5563"/>
      <c r="U1227" s="5563"/>
      <c r="V1227" s="5563"/>
      <c r="W1227" s="5563"/>
      <c r="X1227" s="5563"/>
      <c r="Y1227" s="5563"/>
      <c r="Z1227" s="5563"/>
      <c r="AA1227" s="5563">
        <v>3239912</v>
      </c>
      <c r="AB1227" s="5583" t="s">
        <v>126</v>
      </c>
      <c r="AC1227" s="5561">
        <v>1</v>
      </c>
      <c r="AD1227" s="5543" t="s">
        <v>2143</v>
      </c>
      <c r="AE1227" s="6349">
        <v>0.2</v>
      </c>
      <c r="AF1227" s="6350">
        <f>M1227*AE1227</f>
        <v>647982.4</v>
      </c>
      <c r="AG1227" s="2973">
        <f t="shared" si="258"/>
        <v>463094.4</v>
      </c>
      <c r="AH1227" s="5543" t="s">
        <v>122</v>
      </c>
      <c r="AI1227" s="5588">
        <v>45286</v>
      </c>
      <c r="AJ1227" s="2973">
        <v>463094.4</v>
      </c>
      <c r="AK1227" s="2973">
        <v>45281</v>
      </c>
      <c r="AL1227" s="2973">
        <v>463094.4</v>
      </c>
      <c r="AM1227" s="2973">
        <v>45300</v>
      </c>
      <c r="AN1227" s="5588">
        <f t="shared" si="255"/>
        <v>463094.4</v>
      </c>
      <c r="AO1227" s="5613">
        <v>45323</v>
      </c>
      <c r="AP1227" s="5588">
        <f t="shared" si="256"/>
        <v>0</v>
      </c>
      <c r="AQ1227" s="5614"/>
      <c r="AR1227" s="2973"/>
      <c r="AS1227" s="6428"/>
      <c r="AT1227" s="5614"/>
      <c r="AU1227" s="2973"/>
      <c r="AV1227" s="2973"/>
      <c r="AW1227" s="2973"/>
      <c r="AX1227" s="2973"/>
      <c r="AY1227" s="2973"/>
      <c r="AZ1227" s="2973"/>
      <c r="BA1227" s="5588"/>
      <c r="BB1227" s="5588"/>
      <c r="BC1227" s="5588"/>
      <c r="BD1227" s="5588"/>
      <c r="BE1227" s="5588"/>
      <c r="BF1227" s="5588"/>
      <c r="BG1227" s="5588"/>
      <c r="BH1227" s="5588"/>
      <c r="BI1227" s="5613"/>
      <c r="BJ1227" s="5613"/>
      <c r="BK1227" s="5613"/>
      <c r="BL1227" s="5613"/>
      <c r="BM1227" s="5613"/>
      <c r="BN1227" s="5588">
        <v>463094.4</v>
      </c>
      <c r="BO1227" s="2973"/>
      <c r="BP1227" s="2973"/>
      <c r="BQ1227" s="2973"/>
      <c r="BR1227" s="2973"/>
      <c r="BS1227" s="2973"/>
      <c r="BT1227" s="2973"/>
      <c r="BU1227" s="2973"/>
      <c r="BV1227" s="2973"/>
      <c r="BW1227" s="5619"/>
      <c r="BX1227" s="2986"/>
      <c r="BY1227" s="2986"/>
      <c r="BZ1227" s="2986"/>
      <c r="CA1227" s="2986"/>
      <c r="CB1227" s="5588">
        <v>463094.4</v>
      </c>
      <c r="CC1227" s="2973"/>
      <c r="CD1227" s="2973"/>
      <c r="CE1227" s="5169"/>
      <c r="CF1227" s="5169"/>
      <c r="CG1227" s="5169"/>
      <c r="CH1227" s="5169"/>
    </row>
    <row r="1228" s="4965" customFormat="1" ht="45" customHeight="1" spans="1:86">
      <c r="A1228" s="5079"/>
      <c r="B1228" s="1035"/>
      <c r="C1228" s="5821"/>
      <c r="D1228" s="1035"/>
      <c r="E1228" s="5079"/>
      <c r="F1228" s="3176"/>
      <c r="G1228" s="3176"/>
      <c r="H1228" s="3176"/>
      <c r="I1228" s="5562"/>
      <c r="J1228" s="3176"/>
      <c r="K1228" s="5543"/>
      <c r="L1228" s="3176"/>
      <c r="M1228" s="2973"/>
      <c r="N1228" s="5563"/>
      <c r="O1228" s="5563"/>
      <c r="P1228" s="5563"/>
      <c r="Q1228" s="5563"/>
      <c r="R1228" s="5563"/>
      <c r="S1228" s="5563"/>
      <c r="T1228" s="5563"/>
      <c r="U1228" s="5563"/>
      <c r="V1228" s="5563"/>
      <c r="W1228" s="5563"/>
      <c r="X1228" s="5563"/>
      <c r="Y1228" s="5563"/>
      <c r="Z1228" s="5563"/>
      <c r="AA1228" s="5563"/>
      <c r="AB1228" s="5563"/>
      <c r="AC1228" s="5563"/>
      <c r="AD1228" s="5543" t="s">
        <v>2144</v>
      </c>
      <c r="AE1228" s="6351"/>
      <c r="AF1228" s="6352"/>
      <c r="AG1228" s="2973">
        <f t="shared" ref="AG1228:AG1241" si="259">ROUND(SUM(BA1228:BN1228),2)</f>
        <v>87288</v>
      </c>
      <c r="AH1228" s="5543" t="s">
        <v>122</v>
      </c>
      <c r="AI1228" s="2973">
        <v>45432</v>
      </c>
      <c r="AJ1228" s="2973">
        <v>87288</v>
      </c>
      <c r="AK1228" s="2973">
        <v>45432</v>
      </c>
      <c r="AL1228" s="5652">
        <v>87288</v>
      </c>
      <c r="AM1228" s="2973">
        <v>45433</v>
      </c>
      <c r="AN1228" s="5588">
        <f t="shared" si="255"/>
        <v>87288</v>
      </c>
      <c r="AO1228" s="5588">
        <v>45470</v>
      </c>
      <c r="AP1228" s="5588">
        <f t="shared" ref="AP1228:AP1241" si="260">AG1228-AN1228</f>
        <v>0</v>
      </c>
      <c r="AQ1228" s="5614"/>
      <c r="AR1228" s="2973"/>
      <c r="AS1228" s="6428"/>
      <c r="AT1228" s="5614"/>
      <c r="AU1228" s="2973"/>
      <c r="AV1228" s="2973"/>
      <c r="AW1228" s="2973"/>
      <c r="AX1228" s="2973"/>
      <c r="AY1228" s="2973"/>
      <c r="AZ1228" s="2973"/>
      <c r="BA1228" s="5588"/>
      <c r="BB1228" s="5588"/>
      <c r="BC1228" s="5588"/>
      <c r="BD1228" s="5588"/>
      <c r="BE1228" s="5588"/>
      <c r="BF1228" s="5588"/>
      <c r="BG1228" s="5588"/>
      <c r="BH1228" s="5588"/>
      <c r="BI1228" s="5613"/>
      <c r="BJ1228" s="5613"/>
      <c r="BK1228" s="5613"/>
      <c r="BL1228" s="5613"/>
      <c r="BM1228" s="5613"/>
      <c r="BN1228" s="5588">
        <v>87288</v>
      </c>
      <c r="BO1228" s="2973"/>
      <c r="BP1228" s="2973"/>
      <c r="BQ1228" s="2973"/>
      <c r="BR1228" s="2973"/>
      <c r="BS1228" s="2973"/>
      <c r="BT1228" s="2973"/>
      <c r="BU1228" s="2973"/>
      <c r="BV1228" s="2973"/>
      <c r="BW1228" s="5619"/>
      <c r="BX1228" s="2986"/>
      <c r="BY1228" s="2986"/>
      <c r="BZ1228" s="2986"/>
      <c r="CA1228" s="2986"/>
      <c r="CB1228" s="5588">
        <v>87288</v>
      </c>
      <c r="CC1228" s="2973"/>
      <c r="CD1228" s="2973"/>
      <c r="CE1228" s="5169"/>
      <c r="CF1228" s="5169"/>
      <c r="CG1228" s="5169"/>
      <c r="CH1228" s="5169"/>
    </row>
    <row r="1229" s="4980" customFormat="1" ht="45" customHeight="1" spans="1:86">
      <c r="A1229" s="5667"/>
      <c r="B1229" s="1035"/>
      <c r="C1229" s="5868"/>
      <c r="D1229" s="1035"/>
      <c r="E1229" s="5079"/>
      <c r="F1229" s="6292"/>
      <c r="G1229" s="6292"/>
      <c r="H1229" s="6292"/>
      <c r="I1229" s="5562"/>
      <c r="J1229" s="6292"/>
      <c r="K1229" s="5543"/>
      <c r="L1229" s="6292"/>
      <c r="M1229" s="5588"/>
      <c r="N1229" s="5563"/>
      <c r="O1229" s="5563"/>
      <c r="P1229" s="5563"/>
      <c r="Q1229" s="5563"/>
      <c r="R1229" s="5563"/>
      <c r="S1229" s="5563"/>
      <c r="T1229" s="5563"/>
      <c r="U1229" s="5563"/>
      <c r="V1229" s="5563"/>
      <c r="W1229" s="5563"/>
      <c r="X1229" s="5563"/>
      <c r="Y1229" s="5563"/>
      <c r="Z1229" s="5563"/>
      <c r="AA1229" s="5563"/>
      <c r="AB1229" s="5563"/>
      <c r="AC1229" s="6353"/>
      <c r="AD1229" s="5543" t="s">
        <v>2145</v>
      </c>
      <c r="AE1229" s="5562"/>
      <c r="AF1229" s="5583"/>
      <c r="AG1229" s="2973">
        <f t="shared" si="259"/>
        <v>97600</v>
      </c>
      <c r="AH1229" s="6394" t="s">
        <v>122</v>
      </c>
      <c r="AI1229" s="6395">
        <v>45649</v>
      </c>
      <c r="AJ1229" s="5588">
        <v>97600</v>
      </c>
      <c r="AK1229" s="5588">
        <v>45649</v>
      </c>
      <c r="AL1229" s="5588">
        <v>97600</v>
      </c>
      <c r="AM1229" s="5588">
        <v>45973</v>
      </c>
      <c r="AN1229" s="5618">
        <f t="shared" si="255"/>
        <v>97600</v>
      </c>
      <c r="AO1229" s="5619">
        <v>46021</v>
      </c>
      <c r="AP1229" s="5588">
        <f t="shared" si="260"/>
        <v>0</v>
      </c>
      <c r="AQ1229" s="5648"/>
      <c r="AR1229" s="5588"/>
      <c r="AS1229" s="6429"/>
      <c r="AT1229" s="5648"/>
      <c r="AU1229" s="2973"/>
      <c r="AV1229" s="2973"/>
      <c r="AW1229" s="2973"/>
      <c r="AX1229" s="2973"/>
      <c r="AY1229" s="2973"/>
      <c r="AZ1229" s="2973"/>
      <c r="BA1229" s="5588"/>
      <c r="BB1229" s="5588"/>
      <c r="BC1229" s="5588"/>
      <c r="BD1229" s="5588"/>
      <c r="BE1229" s="5588"/>
      <c r="BF1229" s="5588"/>
      <c r="BG1229" s="5588"/>
      <c r="BH1229" s="5588"/>
      <c r="BI1229" s="5613"/>
      <c r="BJ1229" s="5613"/>
      <c r="BK1229" s="5613"/>
      <c r="BL1229" s="5613"/>
      <c r="BM1229" s="5613"/>
      <c r="BN1229" s="5588">
        <v>97600</v>
      </c>
      <c r="BO1229" s="5588"/>
      <c r="BP1229" s="5588"/>
      <c r="BQ1229" s="5588"/>
      <c r="BR1229" s="5588"/>
      <c r="BS1229" s="5588"/>
      <c r="BT1229" s="5588"/>
      <c r="BU1229" s="5588"/>
      <c r="BV1229" s="5588"/>
      <c r="BW1229" s="5613"/>
      <c r="BX1229" s="5613"/>
      <c r="BY1229" s="5613"/>
      <c r="BZ1229" s="5613"/>
      <c r="CA1229" s="5613"/>
      <c r="CB1229" s="5588">
        <v>97600</v>
      </c>
      <c r="CC1229" s="5588"/>
      <c r="CD1229" s="5588"/>
      <c r="CE1229" s="5154"/>
      <c r="CF1229" s="5154"/>
      <c r="CG1229" s="5154"/>
      <c r="CH1229" s="5154"/>
    </row>
    <row r="1230" s="4980" customFormat="1" ht="45" customHeight="1" spans="1:86">
      <c r="A1230" s="5667"/>
      <c r="B1230" s="1035"/>
      <c r="C1230" s="5868"/>
      <c r="D1230" s="1035"/>
      <c r="E1230" s="5079"/>
      <c r="F1230" s="6292"/>
      <c r="G1230" s="6292"/>
      <c r="H1230" s="6292"/>
      <c r="I1230" s="5562"/>
      <c r="J1230" s="6292"/>
      <c r="K1230" s="5543"/>
      <c r="L1230" s="6292"/>
      <c r="M1230" s="5588"/>
      <c r="N1230" s="5563"/>
      <c r="O1230" s="5563"/>
      <c r="P1230" s="5563"/>
      <c r="Q1230" s="5563"/>
      <c r="R1230" s="5563"/>
      <c r="S1230" s="5563"/>
      <c r="T1230" s="5563"/>
      <c r="U1230" s="5563"/>
      <c r="V1230" s="5563"/>
      <c r="W1230" s="5563"/>
      <c r="X1230" s="5563"/>
      <c r="Y1230" s="5563"/>
      <c r="Z1230" s="5563"/>
      <c r="AA1230" s="5563"/>
      <c r="AB1230" s="5563"/>
      <c r="AC1230" s="6354">
        <v>2</v>
      </c>
      <c r="AD1230" s="5543" t="s">
        <v>2146</v>
      </c>
      <c r="AE1230" s="5547">
        <v>0.2</v>
      </c>
      <c r="AF1230" s="5582">
        <f>M1227*AE1230</f>
        <v>647982.4</v>
      </c>
      <c r="AG1230" s="2973">
        <f t="shared" si="259"/>
        <v>463094.4</v>
      </c>
      <c r="AH1230" s="5543" t="s">
        <v>122</v>
      </c>
      <c r="AI1230" s="5588">
        <v>45286</v>
      </c>
      <c r="AJ1230" s="5588">
        <v>463094.4</v>
      </c>
      <c r="AK1230" s="5588">
        <v>45281</v>
      </c>
      <c r="AL1230" s="5588">
        <v>463094.4</v>
      </c>
      <c r="AM1230" s="5588">
        <v>45300</v>
      </c>
      <c r="AN1230" s="5588">
        <f t="shared" si="255"/>
        <v>463094.4</v>
      </c>
      <c r="AO1230" s="5613">
        <v>45323</v>
      </c>
      <c r="AP1230" s="5588">
        <f t="shared" si="260"/>
        <v>0</v>
      </c>
      <c r="AQ1230" s="5648"/>
      <c r="AR1230" s="5588"/>
      <c r="AS1230" s="6429"/>
      <c r="AT1230" s="5648"/>
      <c r="AU1230" s="2973"/>
      <c r="AV1230" s="2973"/>
      <c r="AW1230" s="2973"/>
      <c r="AX1230" s="2973"/>
      <c r="AY1230" s="2973"/>
      <c r="AZ1230" s="2973"/>
      <c r="BA1230" s="5588"/>
      <c r="BB1230" s="5588"/>
      <c r="BC1230" s="5588"/>
      <c r="BD1230" s="5588"/>
      <c r="BE1230" s="5588"/>
      <c r="BF1230" s="5588"/>
      <c r="BG1230" s="5588"/>
      <c r="BH1230" s="5588"/>
      <c r="BI1230" s="5613"/>
      <c r="BJ1230" s="5613"/>
      <c r="BK1230" s="5613"/>
      <c r="BL1230" s="5613"/>
      <c r="BM1230" s="5613"/>
      <c r="BN1230" s="5588">
        <v>463094.4</v>
      </c>
      <c r="BO1230" s="5588"/>
      <c r="BP1230" s="5588"/>
      <c r="BQ1230" s="5588"/>
      <c r="BR1230" s="5588"/>
      <c r="BS1230" s="5588"/>
      <c r="BT1230" s="5588"/>
      <c r="BU1230" s="5588"/>
      <c r="BV1230" s="5588"/>
      <c r="BW1230" s="5613"/>
      <c r="BX1230" s="5613"/>
      <c r="BY1230" s="5613"/>
      <c r="BZ1230" s="5613"/>
      <c r="CA1230" s="5613"/>
      <c r="CB1230" s="5588">
        <v>463094.4</v>
      </c>
      <c r="CC1230" s="5588"/>
      <c r="CD1230" s="5588"/>
      <c r="CE1230" s="5154"/>
      <c r="CF1230" s="5154"/>
      <c r="CG1230" s="5154"/>
      <c r="CH1230" s="5154"/>
    </row>
    <row r="1231" s="4980" customFormat="1" ht="45" customHeight="1" spans="1:86">
      <c r="A1231" s="5667"/>
      <c r="B1231" s="1035"/>
      <c r="C1231" s="5868"/>
      <c r="D1231" s="1035"/>
      <c r="E1231" s="5079"/>
      <c r="F1231" s="6292"/>
      <c r="G1231" s="6292"/>
      <c r="H1231" s="6292"/>
      <c r="I1231" s="5562"/>
      <c r="J1231" s="6292"/>
      <c r="K1231" s="5543"/>
      <c r="L1231" s="6292"/>
      <c r="M1231" s="5588"/>
      <c r="N1231" s="5563"/>
      <c r="O1231" s="5563"/>
      <c r="P1231" s="5563"/>
      <c r="Q1231" s="5563"/>
      <c r="R1231" s="5563"/>
      <c r="S1231" s="5563"/>
      <c r="T1231" s="5563"/>
      <c r="U1231" s="5563"/>
      <c r="V1231" s="5563"/>
      <c r="W1231" s="5563"/>
      <c r="X1231" s="5563"/>
      <c r="Y1231" s="5563"/>
      <c r="Z1231" s="5563"/>
      <c r="AA1231" s="5563"/>
      <c r="AB1231" s="5563"/>
      <c r="AC1231" s="6353"/>
      <c r="AD1231" s="5543" t="s">
        <v>2147</v>
      </c>
      <c r="AE1231" s="5562"/>
      <c r="AF1231" s="5583"/>
      <c r="AG1231" s="2973">
        <f t="shared" si="259"/>
        <v>87288</v>
      </c>
      <c r="AH1231" s="5543" t="s">
        <v>122</v>
      </c>
      <c r="AI1231" s="5588">
        <v>45432</v>
      </c>
      <c r="AJ1231" s="5588">
        <v>87288</v>
      </c>
      <c r="AK1231" s="5588">
        <v>45432</v>
      </c>
      <c r="AL1231" s="5612">
        <v>87288</v>
      </c>
      <c r="AM1231" s="5588">
        <v>45433</v>
      </c>
      <c r="AN1231" s="5588">
        <f t="shared" ref="AN1231:AN1242" si="261">SUM(BO1231:CB1231)</f>
        <v>87288</v>
      </c>
      <c r="AO1231" s="5588">
        <v>45470</v>
      </c>
      <c r="AP1231" s="5588">
        <f t="shared" si="260"/>
        <v>0</v>
      </c>
      <c r="AQ1231" s="5648"/>
      <c r="AR1231" s="5588"/>
      <c r="AS1231" s="6429"/>
      <c r="AT1231" s="5648"/>
      <c r="AU1231" s="2973"/>
      <c r="AV1231" s="2973"/>
      <c r="AW1231" s="2973"/>
      <c r="AX1231" s="2973"/>
      <c r="AY1231" s="2973"/>
      <c r="AZ1231" s="2973"/>
      <c r="BA1231" s="5588"/>
      <c r="BB1231" s="5588"/>
      <c r="BC1231" s="5588"/>
      <c r="BD1231" s="5588"/>
      <c r="BE1231" s="5588"/>
      <c r="BF1231" s="5588"/>
      <c r="BG1231" s="5588"/>
      <c r="BH1231" s="5588"/>
      <c r="BI1231" s="5613"/>
      <c r="BJ1231" s="5613"/>
      <c r="BK1231" s="5613"/>
      <c r="BL1231" s="5613"/>
      <c r="BM1231" s="5613"/>
      <c r="BN1231" s="5588">
        <v>87288</v>
      </c>
      <c r="BO1231" s="5588"/>
      <c r="BP1231" s="5588"/>
      <c r="BQ1231" s="5588"/>
      <c r="BR1231" s="5588"/>
      <c r="BS1231" s="5588"/>
      <c r="BT1231" s="5588"/>
      <c r="BU1231" s="5588"/>
      <c r="BV1231" s="5588"/>
      <c r="BW1231" s="5613"/>
      <c r="BX1231" s="5613"/>
      <c r="BY1231" s="5613"/>
      <c r="BZ1231" s="5613"/>
      <c r="CA1231" s="5613"/>
      <c r="CB1231" s="5588">
        <v>87288</v>
      </c>
      <c r="CC1231" s="5588"/>
      <c r="CD1231" s="5588"/>
      <c r="CE1231" s="5154"/>
      <c r="CF1231" s="5154"/>
      <c r="CG1231" s="5154"/>
      <c r="CH1231" s="5154"/>
    </row>
    <row r="1232" s="4980" customFormat="1" ht="45" customHeight="1" spans="1:86">
      <c r="A1232" s="5667"/>
      <c r="B1232" s="1035"/>
      <c r="C1232" s="5868"/>
      <c r="D1232" s="1035"/>
      <c r="E1232" s="5079"/>
      <c r="F1232" s="6292"/>
      <c r="G1232" s="6292"/>
      <c r="H1232" s="6292"/>
      <c r="I1232" s="5562"/>
      <c r="J1232" s="6292"/>
      <c r="K1232" s="5543"/>
      <c r="L1232" s="6292"/>
      <c r="M1232" s="5588"/>
      <c r="N1232" s="5563"/>
      <c r="O1232" s="5563"/>
      <c r="P1232" s="5563"/>
      <c r="Q1232" s="5563"/>
      <c r="R1232" s="5563"/>
      <c r="S1232" s="5563"/>
      <c r="T1232" s="5563"/>
      <c r="U1232" s="5563"/>
      <c r="V1232" s="5563"/>
      <c r="W1232" s="5563"/>
      <c r="X1232" s="5563"/>
      <c r="Y1232" s="5563"/>
      <c r="Z1232" s="5563"/>
      <c r="AA1232" s="5563"/>
      <c r="AB1232" s="5563"/>
      <c r="AC1232" s="6353"/>
      <c r="AD1232" s="5543" t="s">
        <v>2148</v>
      </c>
      <c r="AE1232" s="5562"/>
      <c r="AF1232" s="5583"/>
      <c r="AG1232" s="2973">
        <f t="shared" si="259"/>
        <v>97600</v>
      </c>
      <c r="AH1232" s="6394" t="s">
        <v>122</v>
      </c>
      <c r="AI1232" s="6395">
        <v>45649</v>
      </c>
      <c r="AJ1232" s="5588">
        <v>97600</v>
      </c>
      <c r="AK1232" s="5588">
        <v>45649</v>
      </c>
      <c r="AL1232" s="5588">
        <v>97600</v>
      </c>
      <c r="AM1232" s="5588">
        <v>45973</v>
      </c>
      <c r="AN1232" s="5618">
        <f t="shared" si="261"/>
        <v>97600</v>
      </c>
      <c r="AO1232" s="5619">
        <v>46021</v>
      </c>
      <c r="AP1232" s="5588">
        <f t="shared" si="260"/>
        <v>0</v>
      </c>
      <c r="AQ1232" s="5648"/>
      <c r="AR1232" s="5588"/>
      <c r="AS1232" s="6429"/>
      <c r="AT1232" s="5648"/>
      <c r="AU1232" s="2973"/>
      <c r="AV1232" s="2973"/>
      <c r="AW1232" s="2973"/>
      <c r="AX1232" s="2973"/>
      <c r="AY1232" s="2973"/>
      <c r="AZ1232" s="2973"/>
      <c r="BA1232" s="5588"/>
      <c r="BB1232" s="5588"/>
      <c r="BC1232" s="5588"/>
      <c r="BD1232" s="5588"/>
      <c r="BE1232" s="5588"/>
      <c r="BF1232" s="5588"/>
      <c r="BG1232" s="5588"/>
      <c r="BH1232" s="5588"/>
      <c r="BI1232" s="5613"/>
      <c r="BJ1232" s="5613"/>
      <c r="BK1232" s="5613"/>
      <c r="BL1232" s="5613"/>
      <c r="BM1232" s="5613"/>
      <c r="BN1232" s="5588">
        <v>97600</v>
      </c>
      <c r="BO1232" s="5588"/>
      <c r="BP1232" s="5588"/>
      <c r="BQ1232" s="5588"/>
      <c r="BR1232" s="5588"/>
      <c r="BS1232" s="5588"/>
      <c r="BT1232" s="5588"/>
      <c r="BU1232" s="5588"/>
      <c r="BV1232" s="5588"/>
      <c r="BW1232" s="5613"/>
      <c r="BX1232" s="5613"/>
      <c r="BY1232" s="5613"/>
      <c r="BZ1232" s="5613"/>
      <c r="CA1232" s="5613"/>
      <c r="CB1232" s="5588">
        <v>97600</v>
      </c>
      <c r="CC1232" s="5588"/>
      <c r="CD1232" s="5588"/>
      <c r="CE1232" s="5154"/>
      <c r="CF1232" s="5154"/>
      <c r="CG1232" s="5154"/>
      <c r="CH1232" s="5154"/>
    </row>
    <row r="1233" s="4980" customFormat="1" ht="45" customHeight="1" spans="1:86">
      <c r="A1233" s="5667"/>
      <c r="B1233" s="1035"/>
      <c r="C1233" s="5868"/>
      <c r="D1233" s="1035"/>
      <c r="E1233" s="5079"/>
      <c r="F1233" s="6292"/>
      <c r="G1233" s="6292"/>
      <c r="H1233" s="6292"/>
      <c r="I1233" s="5562"/>
      <c r="J1233" s="6292"/>
      <c r="K1233" s="5543"/>
      <c r="L1233" s="6292"/>
      <c r="M1233" s="5588"/>
      <c r="N1233" s="5563"/>
      <c r="O1233" s="5563"/>
      <c r="P1233" s="5563"/>
      <c r="Q1233" s="5563"/>
      <c r="R1233" s="5563"/>
      <c r="S1233" s="5563"/>
      <c r="T1233" s="5563"/>
      <c r="U1233" s="5563"/>
      <c r="V1233" s="5563"/>
      <c r="W1233" s="5563"/>
      <c r="X1233" s="5563"/>
      <c r="Y1233" s="5563"/>
      <c r="Z1233" s="5563"/>
      <c r="AA1233" s="5563"/>
      <c r="AB1233" s="5563"/>
      <c r="AC1233" s="6354">
        <v>3</v>
      </c>
      <c r="AD1233" s="5543" t="s">
        <v>2149</v>
      </c>
      <c r="AE1233" s="5547">
        <v>0.2</v>
      </c>
      <c r="AF1233" s="5582">
        <f>M1227*AE1233</f>
        <v>647982.4</v>
      </c>
      <c r="AG1233" s="2973">
        <f t="shared" si="259"/>
        <v>456960</v>
      </c>
      <c r="AH1233" s="5543" t="s">
        <v>122</v>
      </c>
      <c r="AI1233" s="5588">
        <v>45286</v>
      </c>
      <c r="AJ1233" s="5588">
        <v>456960</v>
      </c>
      <c r="AK1233" s="5588">
        <v>45281</v>
      </c>
      <c r="AL1233" s="5588">
        <v>456960</v>
      </c>
      <c r="AM1233" s="5588">
        <v>45359</v>
      </c>
      <c r="AN1233" s="5588">
        <f t="shared" si="261"/>
        <v>456960</v>
      </c>
      <c r="AO1233" s="5588">
        <v>45380</v>
      </c>
      <c r="AP1233" s="5588">
        <f t="shared" si="260"/>
        <v>0</v>
      </c>
      <c r="AQ1233" s="5648"/>
      <c r="AR1233" s="5588"/>
      <c r="AS1233" s="6429"/>
      <c r="AT1233" s="5648"/>
      <c r="AU1233" s="2973"/>
      <c r="AV1233" s="2973"/>
      <c r="AW1233" s="2973"/>
      <c r="AX1233" s="2973"/>
      <c r="AY1233" s="2973"/>
      <c r="AZ1233" s="2973"/>
      <c r="BA1233" s="5588"/>
      <c r="BB1233" s="5588"/>
      <c r="BC1233" s="5588"/>
      <c r="BD1233" s="5588"/>
      <c r="BE1233" s="5588"/>
      <c r="BF1233" s="5588"/>
      <c r="BG1233" s="5588"/>
      <c r="BH1233" s="5588"/>
      <c r="BI1233" s="5613"/>
      <c r="BJ1233" s="5613"/>
      <c r="BK1233" s="5613"/>
      <c r="BL1233" s="5613"/>
      <c r="BM1233" s="5613"/>
      <c r="BN1233" s="5588">
        <v>456960</v>
      </c>
      <c r="BO1233" s="5588"/>
      <c r="BP1233" s="5588"/>
      <c r="BQ1233" s="5588"/>
      <c r="BR1233" s="5588"/>
      <c r="BS1233" s="5588"/>
      <c r="BT1233" s="5588"/>
      <c r="BU1233" s="5588"/>
      <c r="BV1233" s="5588"/>
      <c r="BW1233" s="5613"/>
      <c r="BX1233" s="5613"/>
      <c r="BY1233" s="5613"/>
      <c r="BZ1233" s="5613"/>
      <c r="CA1233" s="5613"/>
      <c r="CB1233" s="5588">
        <v>456960</v>
      </c>
      <c r="CC1233" s="5588"/>
      <c r="CD1233" s="5588"/>
      <c r="CE1233" s="5154"/>
      <c r="CF1233" s="5154"/>
      <c r="CG1233" s="5154"/>
      <c r="CH1233" s="5154"/>
    </row>
    <row r="1234" s="4980" customFormat="1" ht="45" customHeight="1" spans="1:86">
      <c r="A1234" s="5667"/>
      <c r="B1234" s="1035"/>
      <c r="C1234" s="5868"/>
      <c r="D1234" s="1035"/>
      <c r="E1234" s="5079"/>
      <c r="F1234" s="6292"/>
      <c r="G1234" s="6292"/>
      <c r="H1234" s="6292"/>
      <c r="I1234" s="5562"/>
      <c r="J1234" s="6292"/>
      <c r="K1234" s="5543"/>
      <c r="L1234" s="6292"/>
      <c r="M1234" s="5588"/>
      <c r="N1234" s="5563"/>
      <c r="O1234" s="5563"/>
      <c r="P1234" s="5563"/>
      <c r="Q1234" s="5563"/>
      <c r="R1234" s="5563"/>
      <c r="S1234" s="5563"/>
      <c r="T1234" s="5563"/>
      <c r="U1234" s="5563"/>
      <c r="V1234" s="5563"/>
      <c r="W1234" s="5563"/>
      <c r="X1234" s="5563"/>
      <c r="Y1234" s="5563"/>
      <c r="Z1234" s="5563"/>
      <c r="AA1234" s="5563"/>
      <c r="AB1234" s="5563"/>
      <c r="AC1234" s="6353"/>
      <c r="AD1234" s="5543" t="s">
        <v>2150</v>
      </c>
      <c r="AE1234" s="5562"/>
      <c r="AF1234" s="5583"/>
      <c r="AG1234" s="2973">
        <f t="shared" si="259"/>
        <v>87288</v>
      </c>
      <c r="AH1234" s="5543" t="s">
        <v>122</v>
      </c>
      <c r="AI1234" s="5588">
        <v>45432</v>
      </c>
      <c r="AJ1234" s="5588">
        <v>87288</v>
      </c>
      <c r="AK1234" s="5588">
        <v>45432</v>
      </c>
      <c r="AL1234" s="5612">
        <v>87288</v>
      </c>
      <c r="AM1234" s="5588">
        <v>45433</v>
      </c>
      <c r="AN1234" s="5588">
        <f t="shared" si="261"/>
        <v>87288</v>
      </c>
      <c r="AO1234" s="5588">
        <v>45470</v>
      </c>
      <c r="AP1234" s="5588">
        <f t="shared" si="260"/>
        <v>0</v>
      </c>
      <c r="AQ1234" s="5648"/>
      <c r="AR1234" s="5588"/>
      <c r="AS1234" s="6429"/>
      <c r="AT1234" s="5648"/>
      <c r="AU1234" s="2973"/>
      <c r="AV1234" s="2973"/>
      <c r="AW1234" s="2973"/>
      <c r="AX1234" s="2973"/>
      <c r="AY1234" s="2973"/>
      <c r="AZ1234" s="2973"/>
      <c r="BA1234" s="5588"/>
      <c r="BB1234" s="5588"/>
      <c r="BC1234" s="5588"/>
      <c r="BD1234" s="5588"/>
      <c r="BE1234" s="5588"/>
      <c r="BF1234" s="5588"/>
      <c r="BG1234" s="5588"/>
      <c r="BH1234" s="5588"/>
      <c r="BI1234" s="5613"/>
      <c r="BJ1234" s="5613"/>
      <c r="BK1234" s="5613"/>
      <c r="BL1234" s="5613"/>
      <c r="BM1234" s="5613"/>
      <c r="BN1234" s="5588">
        <v>87288</v>
      </c>
      <c r="BO1234" s="5588"/>
      <c r="BP1234" s="5588"/>
      <c r="BQ1234" s="5588"/>
      <c r="BR1234" s="5588"/>
      <c r="BS1234" s="5588"/>
      <c r="BT1234" s="5588"/>
      <c r="BU1234" s="5588"/>
      <c r="BV1234" s="5588"/>
      <c r="BW1234" s="5613"/>
      <c r="BX1234" s="5613"/>
      <c r="BY1234" s="5613"/>
      <c r="BZ1234" s="5613"/>
      <c r="CA1234" s="5613"/>
      <c r="CB1234" s="5588">
        <v>87288</v>
      </c>
      <c r="CC1234" s="5588"/>
      <c r="CD1234" s="5588"/>
      <c r="CE1234" s="5154"/>
      <c r="CF1234" s="5154"/>
      <c r="CG1234" s="5154"/>
      <c r="CH1234" s="5154"/>
    </row>
    <row r="1235" s="4980" customFormat="1" ht="45" customHeight="1" spans="1:86">
      <c r="A1235" s="5667"/>
      <c r="B1235" s="1035"/>
      <c r="C1235" s="5868"/>
      <c r="D1235" s="1035"/>
      <c r="E1235" s="5079"/>
      <c r="F1235" s="6292"/>
      <c r="G1235" s="6292"/>
      <c r="H1235" s="6292"/>
      <c r="I1235" s="5562"/>
      <c r="J1235" s="6292"/>
      <c r="K1235" s="5543"/>
      <c r="L1235" s="6292"/>
      <c r="M1235" s="5588"/>
      <c r="N1235" s="5563"/>
      <c r="O1235" s="5563"/>
      <c r="P1235" s="5563"/>
      <c r="Q1235" s="5563"/>
      <c r="R1235" s="5563"/>
      <c r="S1235" s="5563"/>
      <c r="T1235" s="5563"/>
      <c r="U1235" s="5563"/>
      <c r="V1235" s="5563"/>
      <c r="W1235" s="5563"/>
      <c r="X1235" s="5563"/>
      <c r="Y1235" s="5563"/>
      <c r="Z1235" s="5563"/>
      <c r="AA1235" s="5563"/>
      <c r="AB1235" s="5563"/>
      <c r="AC1235" s="6353"/>
      <c r="AD1235" s="5543" t="s">
        <v>2151</v>
      </c>
      <c r="AE1235" s="5562"/>
      <c r="AF1235" s="5583"/>
      <c r="AG1235" s="2973">
        <f t="shared" si="259"/>
        <v>97600</v>
      </c>
      <c r="AH1235" s="6394" t="s">
        <v>122</v>
      </c>
      <c r="AI1235" s="6395">
        <v>45649</v>
      </c>
      <c r="AJ1235" s="5588">
        <v>97600</v>
      </c>
      <c r="AK1235" s="5588">
        <v>45649</v>
      </c>
      <c r="AL1235" s="5588">
        <v>97600</v>
      </c>
      <c r="AM1235" s="5588">
        <v>45973</v>
      </c>
      <c r="AN1235" s="5618">
        <f t="shared" si="261"/>
        <v>97600</v>
      </c>
      <c r="AO1235" s="5619">
        <v>46021</v>
      </c>
      <c r="AP1235" s="5588">
        <f t="shared" si="260"/>
        <v>0</v>
      </c>
      <c r="AQ1235" s="5648"/>
      <c r="AR1235" s="5588"/>
      <c r="AS1235" s="6429"/>
      <c r="AT1235" s="5648"/>
      <c r="AU1235" s="2973"/>
      <c r="AV1235" s="2973"/>
      <c r="AW1235" s="2973"/>
      <c r="AX1235" s="2973"/>
      <c r="AY1235" s="2973"/>
      <c r="AZ1235" s="2973"/>
      <c r="BA1235" s="5588"/>
      <c r="BB1235" s="5588"/>
      <c r="BC1235" s="5588"/>
      <c r="BD1235" s="5588"/>
      <c r="BE1235" s="5588"/>
      <c r="BF1235" s="5588"/>
      <c r="BG1235" s="5588"/>
      <c r="BH1235" s="5588"/>
      <c r="BI1235" s="5613"/>
      <c r="BJ1235" s="5613"/>
      <c r="BK1235" s="5613"/>
      <c r="BL1235" s="5613"/>
      <c r="BM1235" s="5613"/>
      <c r="BN1235" s="5588">
        <v>97600</v>
      </c>
      <c r="BO1235" s="5588"/>
      <c r="BP1235" s="5588"/>
      <c r="BQ1235" s="5588"/>
      <c r="BR1235" s="5588"/>
      <c r="BS1235" s="5588"/>
      <c r="BT1235" s="5588"/>
      <c r="BU1235" s="5588"/>
      <c r="BV1235" s="5588"/>
      <c r="BW1235" s="5613"/>
      <c r="BX1235" s="5613"/>
      <c r="BY1235" s="5613"/>
      <c r="BZ1235" s="5613"/>
      <c r="CA1235" s="5613"/>
      <c r="CB1235" s="5588">
        <v>97600</v>
      </c>
      <c r="CC1235" s="5588"/>
      <c r="CD1235" s="5588"/>
      <c r="CE1235" s="5154"/>
      <c r="CF1235" s="5154"/>
      <c r="CG1235" s="5154"/>
      <c r="CH1235" s="5154"/>
    </row>
    <row r="1236" s="4980" customFormat="1" ht="45" customHeight="1" spans="1:86">
      <c r="A1236" s="5667"/>
      <c r="B1236" s="1035"/>
      <c r="C1236" s="5868"/>
      <c r="D1236" s="1035"/>
      <c r="E1236" s="5079"/>
      <c r="F1236" s="6292"/>
      <c r="G1236" s="6292"/>
      <c r="H1236" s="6292"/>
      <c r="I1236" s="5562"/>
      <c r="J1236" s="6292"/>
      <c r="K1236" s="5543"/>
      <c r="L1236" s="6292"/>
      <c r="M1236" s="5588"/>
      <c r="N1236" s="5563"/>
      <c r="O1236" s="5563"/>
      <c r="P1236" s="5563"/>
      <c r="Q1236" s="5563"/>
      <c r="R1236" s="5563"/>
      <c r="S1236" s="5563"/>
      <c r="T1236" s="5563"/>
      <c r="U1236" s="5563"/>
      <c r="V1236" s="5563"/>
      <c r="W1236" s="5563"/>
      <c r="X1236" s="5563"/>
      <c r="Y1236" s="5563"/>
      <c r="Z1236" s="5563"/>
      <c r="AA1236" s="5563"/>
      <c r="AB1236" s="5563"/>
      <c r="AC1236" s="6354">
        <v>4</v>
      </c>
      <c r="AD1236" s="5543" t="s">
        <v>2152</v>
      </c>
      <c r="AE1236" s="5547">
        <v>0.2</v>
      </c>
      <c r="AF1236" s="5582">
        <f>M1227*AE1236</f>
        <v>647982.4</v>
      </c>
      <c r="AG1236" s="2973">
        <f t="shared" si="259"/>
        <v>251568</v>
      </c>
      <c r="AH1236" s="5543" t="s">
        <v>122</v>
      </c>
      <c r="AI1236" s="5588">
        <v>45432</v>
      </c>
      <c r="AJ1236" s="5588">
        <v>251568</v>
      </c>
      <c r="AK1236" s="5588">
        <v>45432</v>
      </c>
      <c r="AL1236" s="5612">
        <v>251568</v>
      </c>
      <c r="AM1236" s="5588">
        <v>45433</v>
      </c>
      <c r="AN1236" s="5588">
        <f t="shared" si="261"/>
        <v>251568</v>
      </c>
      <c r="AO1236" s="5588">
        <v>45470</v>
      </c>
      <c r="AP1236" s="5588">
        <f t="shared" si="260"/>
        <v>0</v>
      </c>
      <c r="AQ1236" s="5648"/>
      <c r="AR1236" s="5588"/>
      <c r="AS1236" s="6429"/>
      <c r="AT1236" s="5648"/>
      <c r="AU1236" s="2973"/>
      <c r="AV1236" s="2973"/>
      <c r="AW1236" s="2973"/>
      <c r="AX1236" s="2973"/>
      <c r="AY1236" s="2973"/>
      <c r="AZ1236" s="2973"/>
      <c r="BA1236" s="5588"/>
      <c r="BB1236" s="5588"/>
      <c r="BC1236" s="5588"/>
      <c r="BD1236" s="5588"/>
      <c r="BE1236" s="5588"/>
      <c r="BF1236" s="5588"/>
      <c r="BG1236" s="5588"/>
      <c r="BH1236" s="5588"/>
      <c r="BI1236" s="5613"/>
      <c r="BJ1236" s="5613"/>
      <c r="BK1236" s="5613"/>
      <c r="BL1236" s="5613"/>
      <c r="BM1236" s="5613"/>
      <c r="BN1236" s="5588">
        <v>251568</v>
      </c>
      <c r="BO1236" s="5588"/>
      <c r="BP1236" s="5588"/>
      <c r="BQ1236" s="5588"/>
      <c r="BR1236" s="5588"/>
      <c r="BS1236" s="5588"/>
      <c r="BT1236" s="5588"/>
      <c r="BU1236" s="5588"/>
      <c r="BV1236" s="5588"/>
      <c r="BW1236" s="5613"/>
      <c r="BX1236" s="5613"/>
      <c r="BY1236" s="5613"/>
      <c r="BZ1236" s="5613"/>
      <c r="CA1236" s="5613"/>
      <c r="CB1236" s="5588">
        <v>251568</v>
      </c>
      <c r="CC1236" s="5588"/>
      <c r="CD1236" s="5588"/>
      <c r="CE1236" s="5154"/>
      <c r="CF1236" s="5154"/>
      <c r="CG1236" s="5154"/>
      <c r="CH1236" s="5154"/>
    </row>
    <row r="1237" s="4980" customFormat="1" ht="45" customHeight="1" spans="1:86">
      <c r="A1237" s="5667"/>
      <c r="B1237" s="1035"/>
      <c r="C1237" s="5868"/>
      <c r="D1237" s="1035"/>
      <c r="E1237" s="5079"/>
      <c r="F1237" s="6292"/>
      <c r="G1237" s="6292"/>
      <c r="H1237" s="6292"/>
      <c r="I1237" s="5562"/>
      <c r="J1237" s="6292"/>
      <c r="K1237" s="5543"/>
      <c r="L1237" s="6292"/>
      <c r="M1237" s="5588"/>
      <c r="N1237" s="5563"/>
      <c r="O1237" s="5563"/>
      <c r="P1237" s="5563"/>
      <c r="Q1237" s="5563"/>
      <c r="R1237" s="5563"/>
      <c r="S1237" s="5563"/>
      <c r="T1237" s="5563"/>
      <c r="U1237" s="5563"/>
      <c r="V1237" s="5563"/>
      <c r="W1237" s="5563"/>
      <c r="X1237" s="5563"/>
      <c r="Y1237" s="5563"/>
      <c r="Z1237" s="5563"/>
      <c r="AA1237" s="5563"/>
      <c r="AB1237" s="5563"/>
      <c r="AC1237" s="6355"/>
      <c r="AD1237" s="5543" t="s">
        <v>2153</v>
      </c>
      <c r="AE1237" s="5564"/>
      <c r="AF1237" s="5659"/>
      <c r="AG1237" s="6396">
        <f t="shared" si="259"/>
        <v>184888</v>
      </c>
      <c r="AH1237" s="6394" t="s">
        <v>122</v>
      </c>
      <c r="AI1237" s="6395">
        <v>45649</v>
      </c>
      <c r="AJ1237" s="5588">
        <v>184888</v>
      </c>
      <c r="AK1237" s="5588">
        <v>45649</v>
      </c>
      <c r="AL1237" s="5588"/>
      <c r="AM1237" s="5588"/>
      <c r="AN1237" s="5618">
        <f t="shared" si="261"/>
        <v>184888</v>
      </c>
      <c r="AO1237" s="5619">
        <v>46203</v>
      </c>
      <c r="AP1237" s="5588">
        <f t="shared" si="260"/>
        <v>0</v>
      </c>
      <c r="AQ1237" s="5648"/>
      <c r="AR1237" s="5588"/>
      <c r="AS1237" s="6429"/>
      <c r="AT1237" s="5648"/>
      <c r="AU1237" s="2973"/>
      <c r="AV1237" s="2973"/>
      <c r="AW1237" s="2973"/>
      <c r="AX1237" s="2973"/>
      <c r="AY1237" s="2973"/>
      <c r="AZ1237" s="2973"/>
      <c r="BA1237" s="5588"/>
      <c r="BB1237" s="5588"/>
      <c r="BC1237" s="5588"/>
      <c r="BD1237" s="5588"/>
      <c r="BE1237" s="5588"/>
      <c r="BF1237" s="5588"/>
      <c r="BG1237" s="5588"/>
      <c r="BH1237" s="5588"/>
      <c r="BI1237" s="5613"/>
      <c r="BJ1237" s="5613"/>
      <c r="BK1237" s="5613"/>
      <c r="BL1237" s="5613"/>
      <c r="BM1237" s="5613"/>
      <c r="BN1237" s="5588">
        <v>184888</v>
      </c>
      <c r="BO1237" s="5588"/>
      <c r="BP1237" s="5588"/>
      <c r="BQ1237" s="5588"/>
      <c r="BR1237" s="5588"/>
      <c r="BS1237" s="5588"/>
      <c r="BT1237" s="5588"/>
      <c r="BU1237" s="5588"/>
      <c r="BV1237" s="5588"/>
      <c r="BW1237" s="5613"/>
      <c r="BX1237" s="5613"/>
      <c r="BY1237" s="5613"/>
      <c r="BZ1237" s="5613"/>
      <c r="CA1237" s="5613"/>
      <c r="CB1237" s="5588">
        <v>184888</v>
      </c>
      <c r="CC1237" s="5588"/>
      <c r="CD1237" s="5588"/>
      <c r="CE1237" s="5154"/>
      <c r="CF1237" s="5154"/>
      <c r="CG1237" s="5154"/>
      <c r="CH1237" s="5154"/>
    </row>
    <row r="1238" s="4980" customFormat="1" ht="45" customHeight="1" spans="1:86">
      <c r="A1238" s="5667"/>
      <c r="B1238" s="1035"/>
      <c r="C1238" s="5868"/>
      <c r="D1238" s="1035"/>
      <c r="E1238" s="5079"/>
      <c r="F1238" s="6292"/>
      <c r="G1238" s="6292"/>
      <c r="H1238" s="6292"/>
      <c r="I1238" s="5562"/>
      <c r="J1238" s="6292"/>
      <c r="K1238" s="5543"/>
      <c r="L1238" s="6292"/>
      <c r="M1238" s="5588"/>
      <c r="N1238" s="5563"/>
      <c r="O1238" s="5563"/>
      <c r="P1238" s="5563"/>
      <c r="Q1238" s="5563"/>
      <c r="R1238" s="5563"/>
      <c r="S1238" s="5563"/>
      <c r="T1238" s="5563"/>
      <c r="U1238" s="5563"/>
      <c r="V1238" s="5563"/>
      <c r="W1238" s="5563"/>
      <c r="X1238" s="5563"/>
      <c r="Y1238" s="5563"/>
      <c r="Z1238" s="5563"/>
      <c r="AA1238" s="5563"/>
      <c r="AB1238" s="5563"/>
      <c r="AC1238" s="6353">
        <v>5</v>
      </c>
      <c r="AD1238" s="5543" t="s">
        <v>2154</v>
      </c>
      <c r="AE1238" s="5562">
        <v>0.2</v>
      </c>
      <c r="AF1238" s="5583">
        <f>M1227*AE1238</f>
        <v>647982.4</v>
      </c>
      <c r="AG1238" s="2973">
        <f t="shared" si="259"/>
        <v>408679.2</v>
      </c>
      <c r="AH1238" s="6394" t="s">
        <v>122</v>
      </c>
      <c r="AI1238" s="6395">
        <v>45649</v>
      </c>
      <c r="AJ1238" s="5588">
        <v>408679.2</v>
      </c>
      <c r="AK1238" s="5588">
        <v>45649</v>
      </c>
      <c r="AL1238" s="5588">
        <v>408679.2</v>
      </c>
      <c r="AM1238" s="5588">
        <v>45973</v>
      </c>
      <c r="AN1238" s="5618">
        <f t="shared" si="261"/>
        <v>408679.2</v>
      </c>
      <c r="AO1238" s="5619">
        <v>46021</v>
      </c>
      <c r="AP1238" s="5588"/>
      <c r="AQ1238" s="5648"/>
      <c r="AR1238" s="5588"/>
      <c r="AS1238" s="6429"/>
      <c r="AT1238" s="5648"/>
      <c r="AU1238" s="2973"/>
      <c r="AV1238" s="2973"/>
      <c r="AW1238" s="2973"/>
      <c r="AX1238" s="2973"/>
      <c r="AY1238" s="2973"/>
      <c r="AZ1238" s="2973"/>
      <c r="BA1238" s="5588"/>
      <c r="BB1238" s="5588"/>
      <c r="BC1238" s="5588"/>
      <c r="BD1238" s="5588"/>
      <c r="BE1238" s="5588"/>
      <c r="BF1238" s="5588"/>
      <c r="BG1238" s="5588"/>
      <c r="BH1238" s="5588"/>
      <c r="BI1238" s="5613"/>
      <c r="BJ1238" s="5613"/>
      <c r="BK1238" s="5613"/>
      <c r="BL1238" s="5613"/>
      <c r="BM1238" s="5613"/>
      <c r="BN1238" s="5588">
        <v>408679.2</v>
      </c>
      <c r="BO1238" s="5588"/>
      <c r="BP1238" s="5588"/>
      <c r="BQ1238" s="5588"/>
      <c r="BR1238" s="5588"/>
      <c r="BS1238" s="5588"/>
      <c r="BT1238" s="5588"/>
      <c r="BU1238" s="5588"/>
      <c r="BV1238" s="5588"/>
      <c r="BW1238" s="5613"/>
      <c r="BX1238" s="5613"/>
      <c r="BY1238" s="5613"/>
      <c r="BZ1238" s="5613"/>
      <c r="CA1238" s="5613"/>
      <c r="CB1238" s="5588">
        <v>408679.2</v>
      </c>
      <c r="CC1238" s="5588"/>
      <c r="CD1238" s="5588"/>
      <c r="CE1238" s="5154"/>
      <c r="CF1238" s="5154"/>
      <c r="CG1238" s="5154"/>
      <c r="CH1238" s="5154"/>
    </row>
    <row r="1239" s="4965" customFormat="1" ht="45" customHeight="1" spans="1:86">
      <c r="A1239" s="5079"/>
      <c r="B1239" s="1035"/>
      <c r="C1239" s="5822"/>
      <c r="D1239" s="1035"/>
      <c r="E1239" s="5079"/>
      <c r="F1239" s="3176"/>
      <c r="G1239" s="3176"/>
      <c r="H1239" s="3176"/>
      <c r="I1239" s="5564"/>
      <c r="J1239" s="3176"/>
      <c r="K1239" s="5543"/>
      <c r="L1239" s="3176"/>
      <c r="M1239" s="2973"/>
      <c r="N1239" s="5565"/>
      <c r="O1239" s="5565"/>
      <c r="P1239" s="5565"/>
      <c r="Q1239" s="5565"/>
      <c r="R1239" s="5565"/>
      <c r="S1239" s="5565"/>
      <c r="T1239" s="5565"/>
      <c r="U1239" s="5565"/>
      <c r="V1239" s="5565"/>
      <c r="W1239" s="5565"/>
      <c r="X1239" s="5565"/>
      <c r="Y1239" s="5565"/>
      <c r="Z1239" s="5565"/>
      <c r="AA1239" s="5565"/>
      <c r="AB1239" s="5565"/>
      <c r="AC1239" s="5565"/>
      <c r="AD1239" s="5543" t="s">
        <v>2155</v>
      </c>
      <c r="AE1239" s="6356"/>
      <c r="AF1239" s="6357"/>
      <c r="AG1239" s="2973">
        <f t="shared" si="259"/>
        <v>0</v>
      </c>
      <c r="AH1239" s="5543"/>
      <c r="AI1239" s="2973"/>
      <c r="AJ1239" s="2973"/>
      <c r="AK1239" s="2973"/>
      <c r="AL1239" s="2973"/>
      <c r="AM1239" s="2973"/>
      <c r="AN1239" s="5588">
        <f t="shared" si="261"/>
        <v>0</v>
      </c>
      <c r="AO1239" s="5588"/>
      <c r="AP1239" s="5588">
        <f>AG1239-AN1239</f>
        <v>0</v>
      </c>
      <c r="AQ1239" s="5614"/>
      <c r="AR1239" s="2973"/>
      <c r="AS1239" s="6428"/>
      <c r="AT1239" s="5614"/>
      <c r="AU1239" s="2973"/>
      <c r="AV1239" s="2973"/>
      <c r="AW1239" s="2973"/>
      <c r="AX1239" s="2973"/>
      <c r="AY1239" s="2973"/>
      <c r="AZ1239" s="2973"/>
      <c r="BA1239" s="5588"/>
      <c r="BB1239" s="5588"/>
      <c r="BC1239" s="5588"/>
      <c r="BD1239" s="5588"/>
      <c r="BE1239" s="5588"/>
      <c r="BF1239" s="5588"/>
      <c r="BG1239" s="5588"/>
      <c r="BH1239" s="5588"/>
      <c r="BI1239" s="5613"/>
      <c r="BJ1239" s="5613"/>
      <c r="BK1239" s="5613"/>
      <c r="BL1239" s="5613"/>
      <c r="BM1239" s="5613"/>
      <c r="BN1239" s="5588"/>
      <c r="BO1239" s="2973"/>
      <c r="BP1239" s="2973"/>
      <c r="BQ1239" s="2973"/>
      <c r="BR1239" s="2973"/>
      <c r="BS1239" s="2973"/>
      <c r="BT1239" s="2973"/>
      <c r="BU1239" s="2973"/>
      <c r="BV1239" s="2973"/>
      <c r="BW1239" s="5619"/>
      <c r="BX1239" s="2986"/>
      <c r="BY1239" s="2986"/>
      <c r="BZ1239" s="2986"/>
      <c r="CA1239" s="2986"/>
      <c r="CB1239" s="5652"/>
      <c r="CC1239" s="2973"/>
      <c r="CD1239" s="2973"/>
      <c r="CE1239" s="5169"/>
      <c r="CF1239" s="5169"/>
      <c r="CG1239" s="5169"/>
      <c r="CH1239" s="5169"/>
    </row>
    <row r="1240" s="4965" customFormat="1" ht="45" customHeight="1" spans="1:86">
      <c r="A1240" s="5079"/>
      <c r="B1240" s="1035"/>
      <c r="C1240" s="5820">
        <v>45275</v>
      </c>
      <c r="D1240" s="1035"/>
      <c r="E1240" s="5079"/>
      <c r="F1240" s="6293" t="s">
        <v>2156</v>
      </c>
      <c r="G1240" s="6293" t="s">
        <v>2130</v>
      </c>
      <c r="H1240" s="6293" t="s">
        <v>2065</v>
      </c>
      <c r="I1240" s="6311"/>
      <c r="J1240" s="6293" t="s">
        <v>2131</v>
      </c>
      <c r="K1240" s="6293" t="s">
        <v>2157</v>
      </c>
      <c r="L1240" s="6293" t="s">
        <v>2158</v>
      </c>
      <c r="M1240" s="6328">
        <f>SUM(N1240:AA1245)</f>
        <v>1035000</v>
      </c>
      <c r="N1240" s="6329"/>
      <c r="O1240" s="6329"/>
      <c r="P1240" s="6329">
        <v>170000</v>
      </c>
      <c r="Q1240" s="6329"/>
      <c r="R1240" s="6329"/>
      <c r="S1240" s="6329"/>
      <c r="T1240" s="6329"/>
      <c r="U1240" s="6329"/>
      <c r="V1240" s="6329">
        <v>655657.72</v>
      </c>
      <c r="W1240" s="6329"/>
      <c r="X1240" s="6329"/>
      <c r="Y1240" s="6329"/>
      <c r="Z1240" s="6329"/>
      <c r="AA1240" s="6329">
        <v>209342.28</v>
      </c>
      <c r="AB1240" s="6329"/>
      <c r="AC1240" s="6358">
        <v>1</v>
      </c>
      <c r="AD1240" s="6293" t="s">
        <v>2159</v>
      </c>
      <c r="AE1240" s="6359">
        <v>0.2</v>
      </c>
      <c r="AF1240" s="6360">
        <f>M1240*AE1240</f>
        <v>207000</v>
      </c>
      <c r="AG1240" s="6358">
        <f t="shared" si="259"/>
        <v>207000</v>
      </c>
      <c r="AH1240" s="6293" t="s">
        <v>122</v>
      </c>
      <c r="AI1240" s="6358">
        <v>45287</v>
      </c>
      <c r="AJ1240" s="6358">
        <v>207000</v>
      </c>
      <c r="AK1240" s="6358">
        <v>45287</v>
      </c>
      <c r="AL1240" s="6358">
        <v>207000</v>
      </c>
      <c r="AM1240" s="6358">
        <v>45359</v>
      </c>
      <c r="AN1240" s="6366">
        <f t="shared" si="261"/>
        <v>207000</v>
      </c>
      <c r="AO1240" s="6366">
        <v>45380</v>
      </c>
      <c r="AP1240" s="6366">
        <f>AG1240-AN1240</f>
        <v>0</v>
      </c>
      <c r="AQ1240" s="6415"/>
      <c r="AR1240" s="6358"/>
      <c r="AS1240" s="6430"/>
      <c r="AT1240" s="6415"/>
      <c r="AU1240" s="6358"/>
      <c r="AV1240" s="6358"/>
      <c r="AW1240" s="6358"/>
      <c r="AX1240" s="6358"/>
      <c r="AY1240" s="6358"/>
      <c r="AZ1240" s="6358"/>
      <c r="BA1240" s="6366"/>
      <c r="BB1240" s="6366"/>
      <c r="BC1240" s="6366">
        <v>75868.46</v>
      </c>
      <c r="BD1240" s="6366"/>
      <c r="BE1240" s="6366"/>
      <c r="BF1240" s="6366"/>
      <c r="BG1240" s="6366"/>
      <c r="BH1240" s="6366"/>
      <c r="BI1240" s="6367">
        <v>131131.54</v>
      </c>
      <c r="BJ1240" s="6367"/>
      <c r="BK1240" s="6367"/>
      <c r="BL1240" s="6367"/>
      <c r="BM1240" s="6367"/>
      <c r="BN1240" s="6366"/>
      <c r="BO1240" s="6358"/>
      <c r="BP1240" s="6358"/>
      <c r="BQ1240" s="6358">
        <v>75868.46</v>
      </c>
      <c r="BR1240" s="6358"/>
      <c r="BS1240" s="6358"/>
      <c r="BT1240" s="6358"/>
      <c r="BU1240" s="6358"/>
      <c r="BV1240" s="6358"/>
      <c r="BW1240" s="6447">
        <v>131131.54</v>
      </c>
      <c r="BX1240" s="6360"/>
      <c r="BY1240" s="6360"/>
      <c r="BZ1240" s="6360"/>
      <c r="CA1240" s="6360"/>
      <c r="CB1240" s="6328"/>
      <c r="CC1240" s="6358"/>
      <c r="CD1240" s="6358"/>
      <c r="CE1240" s="5169"/>
      <c r="CF1240" s="5169"/>
      <c r="CG1240" s="5169"/>
      <c r="CH1240" s="5169"/>
    </row>
    <row r="1241" s="4965" customFormat="1" ht="45" customHeight="1" spans="1:86">
      <c r="A1241" s="5079"/>
      <c r="B1241" s="1035"/>
      <c r="C1241" s="5821"/>
      <c r="D1241" s="1035"/>
      <c r="E1241" s="5079"/>
      <c r="F1241" s="6294"/>
      <c r="G1241" s="6294"/>
      <c r="H1241" s="6294"/>
      <c r="I1241" s="6312"/>
      <c r="J1241" s="6294"/>
      <c r="K1241" s="6293"/>
      <c r="L1241" s="6294"/>
      <c r="M1241" s="6328"/>
      <c r="N1241" s="6329"/>
      <c r="O1241" s="6329"/>
      <c r="P1241" s="6329"/>
      <c r="Q1241" s="6329"/>
      <c r="R1241" s="6329"/>
      <c r="S1241" s="6329"/>
      <c r="T1241" s="6329"/>
      <c r="U1241" s="6329"/>
      <c r="V1241" s="6329"/>
      <c r="W1241" s="6329"/>
      <c r="X1241" s="6329"/>
      <c r="Y1241" s="6329"/>
      <c r="Z1241" s="6329"/>
      <c r="AA1241" s="6329"/>
      <c r="AB1241" s="6329"/>
      <c r="AC1241" s="6361">
        <v>2</v>
      </c>
      <c r="AD1241" s="6311" t="s">
        <v>2112</v>
      </c>
      <c r="AE1241" s="6362">
        <v>0.3</v>
      </c>
      <c r="AF1241" s="6363">
        <f>M1240*AE1241</f>
        <v>310500</v>
      </c>
      <c r="AG1241" s="6361">
        <f t="shared" si="259"/>
        <v>305527.15</v>
      </c>
      <c r="AH1241" s="6311" t="s">
        <v>122</v>
      </c>
      <c r="AI1241" s="6397">
        <v>45432</v>
      </c>
      <c r="AJ1241" s="6361">
        <v>305527.15</v>
      </c>
      <c r="AK1241" s="6397">
        <v>45432</v>
      </c>
      <c r="AL1241" s="6409">
        <v>305527.15</v>
      </c>
      <c r="AM1241" s="6361">
        <v>45433</v>
      </c>
      <c r="AN1241" s="6366">
        <f t="shared" si="261"/>
        <v>279936.4</v>
      </c>
      <c r="AO1241" s="6366">
        <v>45470</v>
      </c>
      <c r="AP1241" s="6366">
        <f>AG1241-AN1241</f>
        <v>25590.75</v>
      </c>
      <c r="AQ1241" s="6416" t="s">
        <v>2160</v>
      </c>
      <c r="AR1241" s="6358"/>
      <c r="AS1241" s="6430"/>
      <c r="AT1241" s="6415"/>
      <c r="AU1241" s="6358"/>
      <c r="AV1241" s="6358"/>
      <c r="AW1241" s="6358"/>
      <c r="AX1241" s="6358"/>
      <c r="AY1241" s="6358"/>
      <c r="AZ1241" s="6358"/>
      <c r="BA1241" s="6366"/>
      <c r="BB1241" s="6366"/>
      <c r="BC1241" s="6366">
        <v>18263.08</v>
      </c>
      <c r="BD1241" s="6366"/>
      <c r="BE1241" s="6366"/>
      <c r="BF1241" s="6366"/>
      <c r="BG1241" s="6366"/>
      <c r="BH1241" s="6366"/>
      <c r="BI1241" s="6367"/>
      <c r="BJ1241" s="6367"/>
      <c r="BK1241" s="6367"/>
      <c r="BL1241" s="6367"/>
      <c r="BM1241" s="6367"/>
      <c r="BN1241" s="6366">
        <f>95539.61+196697.31-4972.85</f>
        <v>287264.07</v>
      </c>
      <c r="BO1241" s="6358"/>
      <c r="BP1241" s="6358"/>
      <c r="BQ1241" s="6366"/>
      <c r="BR1241" s="6366"/>
      <c r="BS1241" s="6366"/>
      <c r="BT1241" s="6366"/>
      <c r="BU1241" s="6366"/>
      <c r="BV1241" s="6366"/>
      <c r="BW1241" s="6367"/>
      <c r="BX1241" s="6367"/>
      <c r="BY1241" s="6367"/>
      <c r="BZ1241" s="6367"/>
      <c r="CA1241" s="6367"/>
      <c r="CB1241" s="6366">
        <v>279936.4</v>
      </c>
      <c r="CC1241" s="6358"/>
      <c r="CD1241" s="6358"/>
      <c r="CE1241" s="5169"/>
      <c r="CF1241" s="5169"/>
      <c r="CG1241" s="5169"/>
      <c r="CH1241" s="5169"/>
    </row>
    <row r="1242" s="4965" customFormat="1" ht="45" customHeight="1" spans="1:86">
      <c r="A1242" s="5079"/>
      <c r="B1242" s="1035"/>
      <c r="C1242" s="5821"/>
      <c r="D1242" s="1035"/>
      <c r="E1242" s="5079"/>
      <c r="F1242" s="6294"/>
      <c r="G1242" s="6294"/>
      <c r="H1242" s="6294"/>
      <c r="I1242" s="6312"/>
      <c r="J1242" s="6294"/>
      <c r="K1242" s="6293"/>
      <c r="L1242" s="6294"/>
      <c r="M1242" s="6328"/>
      <c r="N1242" s="6329"/>
      <c r="O1242" s="6329"/>
      <c r="P1242" s="6329"/>
      <c r="Q1242" s="6329"/>
      <c r="R1242" s="6329"/>
      <c r="S1242" s="6329"/>
      <c r="T1242" s="6329"/>
      <c r="U1242" s="6329"/>
      <c r="V1242" s="6329"/>
      <c r="W1242" s="6329"/>
      <c r="X1242" s="6329"/>
      <c r="Y1242" s="6329"/>
      <c r="Z1242" s="6329"/>
      <c r="AA1242" s="6329"/>
      <c r="AB1242" s="6329"/>
      <c r="AC1242" s="6331"/>
      <c r="AD1242" s="6313"/>
      <c r="AE1242" s="6364"/>
      <c r="AF1242" s="6365"/>
      <c r="AG1242" s="6331"/>
      <c r="AH1242" s="6313"/>
      <c r="AI1242" s="6398"/>
      <c r="AJ1242" s="6331"/>
      <c r="AK1242" s="6398"/>
      <c r="AL1242" s="6410"/>
      <c r="AM1242" s="6331"/>
      <c r="AN1242" s="6330">
        <f t="shared" si="261"/>
        <v>25590.75</v>
      </c>
      <c r="AO1242" s="6366">
        <v>45597</v>
      </c>
      <c r="AP1242" s="6366">
        <f>AG1242-AN1242</f>
        <v>-25590.75</v>
      </c>
      <c r="AQ1242" s="6415"/>
      <c r="AR1242" s="6358"/>
      <c r="AS1242" s="6430"/>
      <c r="AT1242" s="6415"/>
      <c r="AU1242" s="6358"/>
      <c r="AV1242" s="6358"/>
      <c r="AW1242" s="6358"/>
      <c r="AX1242" s="6358"/>
      <c r="AY1242" s="6358"/>
      <c r="AZ1242" s="6358"/>
      <c r="BA1242" s="6366"/>
      <c r="BB1242" s="6366"/>
      <c r="BC1242" s="6366"/>
      <c r="BD1242" s="6366"/>
      <c r="BE1242" s="6366"/>
      <c r="BF1242" s="6366"/>
      <c r="BG1242" s="6366"/>
      <c r="BH1242" s="6366"/>
      <c r="BI1242" s="6367"/>
      <c r="BJ1242" s="6367"/>
      <c r="BK1242" s="6367"/>
      <c r="BL1242" s="6367"/>
      <c r="BM1242" s="6367"/>
      <c r="BN1242" s="6366"/>
      <c r="BO1242" s="6358"/>
      <c r="BP1242" s="6358"/>
      <c r="BQ1242" s="6366">
        <v>18263.08</v>
      </c>
      <c r="BR1242" s="6358"/>
      <c r="BS1242" s="6358"/>
      <c r="BT1242" s="6358"/>
      <c r="BU1242" s="6358"/>
      <c r="BV1242" s="6358"/>
      <c r="BW1242" s="6447"/>
      <c r="BX1242" s="6360"/>
      <c r="BY1242" s="6360"/>
      <c r="BZ1242" s="6360"/>
      <c r="CA1242" s="6360"/>
      <c r="CB1242" s="6328">
        <f>BN1241-CB1241</f>
        <v>7327.66999999998</v>
      </c>
      <c r="CC1242" s="6358"/>
      <c r="CD1242" s="6358"/>
      <c r="CE1242" s="5169"/>
      <c r="CF1242" s="5169"/>
      <c r="CG1242" s="5169"/>
      <c r="CH1242" s="5169"/>
    </row>
    <row r="1243" s="4965" customFormat="1" ht="45" customHeight="1" spans="1:86">
      <c r="A1243" s="5079"/>
      <c r="B1243" s="1035"/>
      <c r="C1243" s="5821"/>
      <c r="D1243" s="1035"/>
      <c r="E1243" s="5079"/>
      <c r="F1243" s="6294"/>
      <c r="G1243" s="6294"/>
      <c r="H1243" s="6294"/>
      <c r="I1243" s="6312"/>
      <c r="J1243" s="6294"/>
      <c r="K1243" s="6293"/>
      <c r="L1243" s="6294"/>
      <c r="M1243" s="6328"/>
      <c r="N1243" s="6329"/>
      <c r="O1243" s="6329"/>
      <c r="P1243" s="6329"/>
      <c r="Q1243" s="6329"/>
      <c r="R1243" s="6329"/>
      <c r="S1243" s="6329"/>
      <c r="T1243" s="6329"/>
      <c r="U1243" s="6329"/>
      <c r="V1243" s="6329"/>
      <c r="W1243" s="6329"/>
      <c r="X1243" s="6329"/>
      <c r="Y1243" s="6329"/>
      <c r="Z1243" s="6329"/>
      <c r="AA1243" s="6329"/>
      <c r="AB1243" s="6329"/>
      <c r="AC1243" s="6358">
        <v>3</v>
      </c>
      <c r="AD1243" s="6293" t="s">
        <v>2161</v>
      </c>
      <c r="AE1243" s="6359">
        <v>0.2</v>
      </c>
      <c r="AF1243" s="6360">
        <f>M1240*AE1243</f>
        <v>207000</v>
      </c>
      <c r="AG1243" s="6358">
        <f t="shared" ref="AG1243:AG1252" si="262">ROUND(SUM(BA1243:BN1243),2)</f>
        <v>207000</v>
      </c>
      <c r="AH1243" s="6293" t="s">
        <v>122</v>
      </c>
      <c r="AI1243" s="6358">
        <v>45287</v>
      </c>
      <c r="AJ1243" s="6358">
        <v>207000</v>
      </c>
      <c r="AK1243" s="6358">
        <v>45287</v>
      </c>
      <c r="AL1243" s="6328">
        <v>207000</v>
      </c>
      <c r="AM1243" s="6358">
        <v>45433</v>
      </c>
      <c r="AN1243" s="6330">
        <f t="shared" ref="AN1243:AN1273" si="263">SUM(BO1243:CB1243)</f>
        <v>207000</v>
      </c>
      <c r="AO1243" s="6366">
        <v>45597</v>
      </c>
      <c r="AP1243" s="6366">
        <f t="shared" ref="AP1243:AP1273" si="264">AG1243-AN1243</f>
        <v>0</v>
      </c>
      <c r="AQ1243" s="6415"/>
      <c r="AR1243" s="6358"/>
      <c r="AS1243" s="6430"/>
      <c r="AT1243" s="6415"/>
      <c r="AU1243" s="6358"/>
      <c r="AV1243" s="6358"/>
      <c r="AW1243" s="6358"/>
      <c r="AX1243" s="6358"/>
      <c r="AY1243" s="6358"/>
      <c r="AZ1243" s="6358"/>
      <c r="BA1243" s="6366"/>
      <c r="BB1243" s="6366"/>
      <c r="BC1243" s="6366">
        <v>75868.46</v>
      </c>
      <c r="BD1243" s="6366"/>
      <c r="BE1243" s="6366"/>
      <c r="BF1243" s="6366"/>
      <c r="BG1243" s="6366"/>
      <c r="BH1243" s="6366"/>
      <c r="BI1243" s="6367">
        <v>131131.54</v>
      </c>
      <c r="BJ1243" s="6367"/>
      <c r="BK1243" s="6367"/>
      <c r="BL1243" s="6367"/>
      <c r="BM1243" s="6367"/>
      <c r="BN1243" s="6366"/>
      <c r="BO1243" s="6358"/>
      <c r="BP1243" s="6358"/>
      <c r="BQ1243" s="6358">
        <v>75868.46</v>
      </c>
      <c r="BR1243" s="6358"/>
      <c r="BS1243" s="6358"/>
      <c r="BT1243" s="6358"/>
      <c r="BU1243" s="6358"/>
      <c r="BV1243" s="6358"/>
      <c r="BW1243" s="6367">
        <v>131131.54</v>
      </c>
      <c r="BX1243" s="6360"/>
      <c r="BY1243" s="6360"/>
      <c r="BZ1243" s="6360"/>
      <c r="CA1243" s="6360"/>
      <c r="CB1243" s="6328"/>
      <c r="CC1243" s="6358"/>
      <c r="CD1243" s="6358"/>
      <c r="CE1243" s="5169">
        <f>SUBTOTAL(9,BO1243:CB1243)</f>
        <v>207000</v>
      </c>
      <c r="CF1243" s="5169">
        <f>AN1243-CE1243</f>
        <v>0</v>
      </c>
      <c r="CG1243" s="5169"/>
      <c r="CH1243" s="5169"/>
    </row>
    <row r="1244" s="4980" customFormat="1" ht="41.65" customHeight="1" spans="1:86">
      <c r="A1244" s="5667"/>
      <c r="B1244" s="1035"/>
      <c r="C1244" s="5868"/>
      <c r="D1244" s="1035"/>
      <c r="E1244" s="5079"/>
      <c r="F1244" s="6295"/>
      <c r="G1244" s="6295"/>
      <c r="H1244" s="6295"/>
      <c r="I1244" s="6312"/>
      <c r="J1244" s="6295"/>
      <c r="K1244" s="6293"/>
      <c r="L1244" s="6295"/>
      <c r="M1244" s="6330"/>
      <c r="N1244" s="6329"/>
      <c r="O1244" s="6329"/>
      <c r="P1244" s="6329"/>
      <c r="Q1244" s="6329"/>
      <c r="R1244" s="6329"/>
      <c r="S1244" s="6329"/>
      <c r="T1244" s="6329"/>
      <c r="U1244" s="6329"/>
      <c r="V1244" s="6329"/>
      <c r="W1244" s="6329"/>
      <c r="X1244" s="6329"/>
      <c r="Y1244" s="6329"/>
      <c r="Z1244" s="6329"/>
      <c r="AA1244" s="6329"/>
      <c r="AB1244" s="6329"/>
      <c r="AC1244" s="6366">
        <v>4</v>
      </c>
      <c r="AD1244" s="6293" t="s">
        <v>2162</v>
      </c>
      <c r="AE1244" s="6293">
        <v>0.25</v>
      </c>
      <c r="AF1244" s="6367">
        <f>M1240*AE1244</f>
        <v>258750</v>
      </c>
      <c r="AG1244" s="6358">
        <f t="shared" si="262"/>
        <v>257766.66</v>
      </c>
      <c r="AH1244" s="6399" t="s">
        <v>122</v>
      </c>
      <c r="AI1244" s="6400">
        <v>45649</v>
      </c>
      <c r="AJ1244" s="6366">
        <v>257766.66</v>
      </c>
      <c r="AK1244" s="6366">
        <v>45649</v>
      </c>
      <c r="AL1244" s="6366">
        <v>257766.66</v>
      </c>
      <c r="AM1244" s="6366">
        <v>45973</v>
      </c>
      <c r="AN1244" s="6411">
        <f t="shared" si="263"/>
        <v>257766.66</v>
      </c>
      <c r="AO1244" s="6411">
        <v>46021</v>
      </c>
      <c r="AP1244" s="6366">
        <f t="shared" si="264"/>
        <v>0</v>
      </c>
      <c r="AQ1244" s="6417"/>
      <c r="AR1244" s="6366"/>
      <c r="AS1244" s="6431"/>
      <c r="AT1244" s="6417"/>
      <c r="AU1244" s="6358"/>
      <c r="AV1244" s="6358"/>
      <c r="AW1244" s="6358"/>
      <c r="AX1244" s="6358"/>
      <c r="AY1244" s="6358"/>
      <c r="AZ1244" s="6358"/>
      <c r="BA1244" s="6366"/>
      <c r="BB1244" s="6366"/>
      <c r="BC1244" s="6366"/>
      <c r="BD1244" s="6366"/>
      <c r="BE1244" s="6366"/>
      <c r="BF1244" s="6366"/>
      <c r="BG1244" s="6366"/>
      <c r="BH1244" s="6366"/>
      <c r="BI1244" s="6367">
        <v>257766.66</v>
      </c>
      <c r="BJ1244" s="6367"/>
      <c r="BK1244" s="6367"/>
      <c r="BL1244" s="6367"/>
      <c r="BM1244" s="6367"/>
      <c r="BN1244" s="6366"/>
      <c r="BO1244" s="6366"/>
      <c r="BP1244" s="6366"/>
      <c r="BQ1244" s="6366"/>
      <c r="BR1244" s="6366"/>
      <c r="BS1244" s="6366"/>
      <c r="BT1244" s="6366"/>
      <c r="BU1244" s="6366"/>
      <c r="BV1244" s="6366"/>
      <c r="BW1244" s="6367">
        <v>257766.66</v>
      </c>
      <c r="BX1244" s="6367"/>
      <c r="BY1244" s="6367"/>
      <c r="BZ1244" s="6367"/>
      <c r="CA1244" s="6367"/>
      <c r="CB1244" s="6330"/>
      <c r="CC1244" s="6366"/>
      <c r="CD1244" s="6366"/>
      <c r="CE1244" s="5154"/>
      <c r="CF1244" s="5154"/>
      <c r="CG1244" s="5154"/>
      <c r="CH1244" s="5154"/>
    </row>
    <row r="1245" s="4965" customFormat="1" ht="45" customHeight="1" spans="1:86">
      <c r="A1245" s="5079"/>
      <c r="B1245" s="1035"/>
      <c r="C1245" s="5822"/>
      <c r="D1245" s="1035"/>
      <c r="E1245" s="5079"/>
      <c r="F1245" s="6294"/>
      <c r="G1245" s="6294"/>
      <c r="H1245" s="6294"/>
      <c r="I1245" s="6313"/>
      <c r="J1245" s="6294"/>
      <c r="K1245" s="6293"/>
      <c r="L1245" s="6294"/>
      <c r="M1245" s="6328"/>
      <c r="N1245" s="6331"/>
      <c r="O1245" s="6331"/>
      <c r="P1245" s="6331"/>
      <c r="Q1245" s="6331"/>
      <c r="R1245" s="6331"/>
      <c r="S1245" s="6331"/>
      <c r="T1245" s="6331"/>
      <c r="U1245" s="6331"/>
      <c r="V1245" s="6331"/>
      <c r="W1245" s="6331"/>
      <c r="X1245" s="6331"/>
      <c r="Y1245" s="6331"/>
      <c r="Z1245" s="6331"/>
      <c r="AA1245" s="6331"/>
      <c r="AB1245" s="6331"/>
      <c r="AC1245" s="6358">
        <v>5</v>
      </c>
      <c r="AD1245" s="6293" t="s">
        <v>2089</v>
      </c>
      <c r="AE1245" s="6359">
        <v>0.05</v>
      </c>
      <c r="AF1245" s="6360">
        <f>M1240*AE1245</f>
        <v>51750</v>
      </c>
      <c r="AG1245" s="6358">
        <f t="shared" si="262"/>
        <v>0</v>
      </c>
      <c r="AH1245" s="6293"/>
      <c r="AI1245" s="6358"/>
      <c r="AJ1245" s="6358"/>
      <c r="AK1245" s="6358"/>
      <c r="AL1245" s="6358"/>
      <c r="AM1245" s="6358"/>
      <c r="AN1245" s="6366">
        <f t="shared" si="263"/>
        <v>0</v>
      </c>
      <c r="AO1245" s="6366"/>
      <c r="AP1245" s="6366">
        <f t="shared" si="264"/>
        <v>0</v>
      </c>
      <c r="AQ1245" s="6415"/>
      <c r="AR1245" s="6358"/>
      <c r="AS1245" s="6430"/>
      <c r="AT1245" s="6415"/>
      <c r="AU1245" s="6358"/>
      <c r="AV1245" s="6358"/>
      <c r="AW1245" s="6358"/>
      <c r="AX1245" s="6358"/>
      <c r="AY1245" s="6358"/>
      <c r="AZ1245" s="6358"/>
      <c r="BA1245" s="6366"/>
      <c r="BB1245" s="6366"/>
      <c r="BC1245" s="6366"/>
      <c r="BD1245" s="6366"/>
      <c r="BE1245" s="6366"/>
      <c r="BF1245" s="6366"/>
      <c r="BG1245" s="6366"/>
      <c r="BH1245" s="6366"/>
      <c r="BI1245" s="6367"/>
      <c r="BJ1245" s="6367"/>
      <c r="BK1245" s="6367"/>
      <c r="BL1245" s="6367"/>
      <c r="BM1245" s="6367"/>
      <c r="BN1245" s="6366"/>
      <c r="BO1245" s="6358"/>
      <c r="BP1245" s="6358"/>
      <c r="BQ1245" s="6358"/>
      <c r="BR1245" s="6358"/>
      <c r="BS1245" s="6358"/>
      <c r="BT1245" s="6358"/>
      <c r="BU1245" s="6358"/>
      <c r="BV1245" s="6358"/>
      <c r="BW1245" s="6447"/>
      <c r="BX1245" s="6360"/>
      <c r="BY1245" s="6360"/>
      <c r="BZ1245" s="6360"/>
      <c r="CA1245" s="6360"/>
      <c r="CB1245" s="6328"/>
      <c r="CC1245" s="6358"/>
      <c r="CD1245" s="6358"/>
      <c r="CE1245" s="5169"/>
      <c r="CF1245" s="5169"/>
      <c r="CG1245" s="5169"/>
      <c r="CH1245" s="5169"/>
    </row>
    <row r="1246" s="4965" customFormat="1" ht="45" customHeight="1" spans="1:95">
      <c r="A1246" s="5079"/>
      <c r="B1246" s="1035"/>
      <c r="C1246" s="5820">
        <v>45275</v>
      </c>
      <c r="D1246" s="1035"/>
      <c r="E1246" s="5079"/>
      <c r="F1246" s="6296" t="s">
        <v>2163</v>
      </c>
      <c r="G1246" s="6296" t="s">
        <v>2130</v>
      </c>
      <c r="H1246" s="6296" t="s">
        <v>2070</v>
      </c>
      <c r="I1246" s="6314"/>
      <c r="J1246" s="6296" t="s">
        <v>2131</v>
      </c>
      <c r="K1246" s="6296" t="s">
        <v>2164</v>
      </c>
      <c r="L1246" s="6296" t="s">
        <v>2165</v>
      </c>
      <c r="M1246" s="6332">
        <f>SUM(N1246:AA1249)</f>
        <v>791600</v>
      </c>
      <c r="N1246" s="6333"/>
      <c r="O1246" s="6333"/>
      <c r="P1246" s="6333"/>
      <c r="Q1246" s="6333"/>
      <c r="R1246" s="6333"/>
      <c r="S1246" s="6333"/>
      <c r="T1246" s="6333"/>
      <c r="U1246" s="6333">
        <v>791600</v>
      </c>
      <c r="V1246" s="6333"/>
      <c r="W1246" s="6333"/>
      <c r="X1246" s="6333"/>
      <c r="Y1246" s="6333"/>
      <c r="Z1246" s="6333"/>
      <c r="AA1246" s="6333"/>
      <c r="AB1246" s="6333"/>
      <c r="AC1246" s="6368">
        <v>1</v>
      </c>
      <c r="AD1246" s="6296" t="s">
        <v>2166</v>
      </c>
      <c r="AE1246" s="6369">
        <v>0.2</v>
      </c>
      <c r="AF1246" s="6370">
        <f>M1246*AE1246</f>
        <v>158320</v>
      </c>
      <c r="AG1246" s="6368">
        <f t="shared" si="262"/>
        <v>158320</v>
      </c>
      <c r="AH1246" s="6296" t="s">
        <v>122</v>
      </c>
      <c r="AI1246" s="6371">
        <v>45287</v>
      </c>
      <c r="AJ1246" s="6368">
        <v>158320</v>
      </c>
      <c r="AK1246" s="6371">
        <v>45287</v>
      </c>
      <c r="AL1246" s="6368">
        <v>158320</v>
      </c>
      <c r="AM1246" s="6368">
        <v>45359</v>
      </c>
      <c r="AN1246" s="6371">
        <f t="shared" si="263"/>
        <v>158320</v>
      </c>
      <c r="AO1246" s="6371">
        <v>45380</v>
      </c>
      <c r="AP1246" s="6371">
        <f t="shared" si="264"/>
        <v>0</v>
      </c>
      <c r="AQ1246" s="6418"/>
      <c r="AR1246" s="6368"/>
      <c r="AS1246" s="6432"/>
      <c r="AT1246" s="6418"/>
      <c r="AU1246" s="6368"/>
      <c r="AV1246" s="6368"/>
      <c r="AW1246" s="6368"/>
      <c r="AX1246" s="6368"/>
      <c r="AY1246" s="6368"/>
      <c r="AZ1246" s="6368"/>
      <c r="BA1246" s="6371"/>
      <c r="BB1246" s="6371"/>
      <c r="BC1246" s="6371"/>
      <c r="BD1246" s="6371"/>
      <c r="BE1246" s="6441"/>
      <c r="BF1246" s="6441"/>
      <c r="BG1246" s="6441"/>
      <c r="BH1246" s="6371">
        <v>158320</v>
      </c>
      <c r="BI1246" s="6372"/>
      <c r="BJ1246" s="6372"/>
      <c r="BK1246" s="6372"/>
      <c r="BL1246" s="6372"/>
      <c r="BM1246" s="6372"/>
      <c r="BN1246" s="6371"/>
      <c r="BO1246" s="6368"/>
      <c r="BP1246" s="6368"/>
      <c r="BQ1246" s="6368"/>
      <c r="BR1246" s="6368"/>
      <c r="BS1246" s="6368"/>
      <c r="BT1246" s="6368"/>
      <c r="BU1246" s="6368"/>
      <c r="BV1246" s="6368">
        <v>158320</v>
      </c>
      <c r="BW1246" s="6448"/>
      <c r="BX1246" s="6370"/>
      <c r="BY1246" s="6370"/>
      <c r="BZ1246" s="6370"/>
      <c r="CA1246" s="6370"/>
      <c r="CB1246" s="6332"/>
      <c r="CC1246" s="6368"/>
      <c r="CD1246" s="6368"/>
      <c r="CE1246" s="6457"/>
      <c r="CF1246" s="6457"/>
      <c r="CG1246" s="6457"/>
      <c r="CH1246" s="6457"/>
      <c r="CI1246" s="6459"/>
      <c r="CJ1246" s="6459"/>
      <c r="CK1246" s="6459"/>
      <c r="CL1246" s="6459"/>
      <c r="CM1246" s="6459"/>
      <c r="CN1246" s="6459"/>
      <c r="CO1246" s="6459"/>
      <c r="CP1246" s="6459"/>
      <c r="CQ1246" s="6459"/>
    </row>
    <row r="1247" s="4965" customFormat="1" ht="76" spans="1:95">
      <c r="A1247" s="5079"/>
      <c r="B1247" s="1035"/>
      <c r="C1247" s="5821"/>
      <c r="D1247" s="1035"/>
      <c r="E1247" s="5079"/>
      <c r="F1247" s="6297"/>
      <c r="G1247" s="6297"/>
      <c r="H1247" s="6297"/>
      <c r="I1247" s="6315"/>
      <c r="J1247" s="6297"/>
      <c r="K1247" s="6296"/>
      <c r="L1247" s="6297"/>
      <c r="M1247" s="6332"/>
      <c r="N1247" s="6333"/>
      <c r="O1247" s="6333"/>
      <c r="P1247" s="6333"/>
      <c r="Q1247" s="6333"/>
      <c r="R1247" s="6333"/>
      <c r="S1247" s="6333"/>
      <c r="T1247" s="6333"/>
      <c r="U1247" s="6333"/>
      <c r="V1247" s="6333"/>
      <c r="W1247" s="6333"/>
      <c r="X1247" s="6333"/>
      <c r="Y1247" s="6333"/>
      <c r="Z1247" s="6333"/>
      <c r="AA1247" s="6333"/>
      <c r="AB1247" s="6333"/>
      <c r="AC1247" s="6368">
        <v>2</v>
      </c>
      <c r="AD1247" s="6296" t="s">
        <v>2167</v>
      </c>
      <c r="AE1247" s="6369">
        <v>0.2</v>
      </c>
      <c r="AF1247" s="6370">
        <f>M1246*AE1247</f>
        <v>158320</v>
      </c>
      <c r="AG1247" s="6368">
        <f t="shared" si="262"/>
        <v>158320</v>
      </c>
      <c r="AH1247" s="6296" t="s">
        <v>122</v>
      </c>
      <c r="AI1247" s="6371">
        <v>45287</v>
      </c>
      <c r="AJ1247" s="6368">
        <v>158320</v>
      </c>
      <c r="AK1247" s="6371">
        <v>45287</v>
      </c>
      <c r="AL1247" s="6332">
        <v>158320</v>
      </c>
      <c r="AM1247" s="6368">
        <v>45433</v>
      </c>
      <c r="AN1247" s="6334">
        <f t="shared" si="263"/>
        <v>158320</v>
      </c>
      <c r="AO1247" s="6371">
        <v>45597</v>
      </c>
      <c r="AP1247" s="6371">
        <f t="shared" si="264"/>
        <v>0</v>
      </c>
      <c r="AQ1247" s="6418"/>
      <c r="AR1247" s="6368"/>
      <c r="AS1247" s="6432"/>
      <c r="AT1247" s="6418"/>
      <c r="AU1247" s="6368"/>
      <c r="AV1247" s="6368"/>
      <c r="AW1247" s="6368"/>
      <c r="AX1247" s="6368"/>
      <c r="AY1247" s="6368"/>
      <c r="AZ1247" s="6368"/>
      <c r="BA1247" s="6371"/>
      <c r="BB1247" s="6371"/>
      <c r="BC1247" s="6371"/>
      <c r="BD1247" s="6371"/>
      <c r="BE1247" s="6371"/>
      <c r="BF1247" s="6371"/>
      <c r="BG1247" s="6371"/>
      <c r="BH1247" s="6371">
        <v>158320</v>
      </c>
      <c r="BI1247" s="6372"/>
      <c r="BJ1247" s="6372"/>
      <c r="BK1247" s="6372"/>
      <c r="BL1247" s="6372"/>
      <c r="BM1247" s="6372"/>
      <c r="BN1247" s="6371"/>
      <c r="BO1247" s="6368"/>
      <c r="BP1247" s="6368"/>
      <c r="BQ1247" s="6368"/>
      <c r="BR1247" s="6368"/>
      <c r="BS1247" s="6368"/>
      <c r="BT1247" s="6368"/>
      <c r="BU1247" s="6368"/>
      <c r="BV1247" s="6368">
        <v>158320</v>
      </c>
      <c r="BW1247" s="6448"/>
      <c r="BX1247" s="6370"/>
      <c r="BY1247" s="6370"/>
      <c r="BZ1247" s="6370"/>
      <c r="CA1247" s="6370"/>
      <c r="CB1247" s="6332"/>
      <c r="CC1247" s="6368"/>
      <c r="CD1247" s="6368"/>
      <c r="CE1247" s="5169">
        <f>SUBTOTAL(9,BO1247:CB1247)</f>
        <v>158320</v>
      </c>
      <c r="CF1247" s="5169">
        <f>AN1247-CE1247</f>
        <v>0</v>
      </c>
      <c r="CG1247" s="6457"/>
      <c r="CH1247" s="6457"/>
      <c r="CI1247" s="6459"/>
      <c r="CJ1247" s="6459"/>
      <c r="CK1247" s="6459"/>
      <c r="CL1247" s="6459"/>
      <c r="CM1247" s="6459"/>
      <c r="CN1247" s="6459"/>
      <c r="CO1247" s="6459"/>
      <c r="CP1247" s="6459"/>
      <c r="CQ1247" s="6459"/>
    </row>
    <row r="1248" s="4965" customFormat="1" ht="76" spans="1:95">
      <c r="A1248" s="5079"/>
      <c r="B1248" s="1035"/>
      <c r="C1248" s="5821"/>
      <c r="D1248" s="1035"/>
      <c r="E1248" s="5079"/>
      <c r="F1248" s="6297"/>
      <c r="G1248" s="6297"/>
      <c r="H1248" s="6297"/>
      <c r="I1248" s="6315"/>
      <c r="J1248" s="6297"/>
      <c r="K1248" s="6296"/>
      <c r="L1248" s="6297"/>
      <c r="M1248" s="6332"/>
      <c r="N1248" s="6333"/>
      <c r="O1248" s="6333"/>
      <c r="P1248" s="6333"/>
      <c r="Q1248" s="6333"/>
      <c r="R1248" s="6333"/>
      <c r="S1248" s="6333"/>
      <c r="T1248" s="6333"/>
      <c r="U1248" s="6333"/>
      <c r="V1248" s="6333"/>
      <c r="W1248" s="6333"/>
      <c r="X1248" s="6333"/>
      <c r="Y1248" s="6333"/>
      <c r="Z1248" s="6333"/>
      <c r="AA1248" s="6333"/>
      <c r="AB1248" s="6333"/>
      <c r="AC1248" s="6368">
        <v>3</v>
      </c>
      <c r="AD1248" s="6296" t="s">
        <v>2168</v>
      </c>
      <c r="AE1248" s="6369">
        <v>0.4</v>
      </c>
      <c r="AF1248" s="6370">
        <f>M1246*AE1248</f>
        <v>316640</v>
      </c>
      <c r="AG1248" s="6368">
        <f t="shared" si="262"/>
        <v>306829.02</v>
      </c>
      <c r="AH1248" s="6296" t="s">
        <v>122</v>
      </c>
      <c r="AI1248" s="6371">
        <v>45432</v>
      </c>
      <c r="AJ1248" s="6368">
        <v>306829.02</v>
      </c>
      <c r="AK1248" s="6368">
        <v>45432</v>
      </c>
      <c r="AL1248" s="6332">
        <v>306829.02</v>
      </c>
      <c r="AM1248" s="6368">
        <v>45433</v>
      </c>
      <c r="AN1248" s="6334">
        <f t="shared" si="263"/>
        <v>306829.02</v>
      </c>
      <c r="AO1248" s="6371">
        <v>45597</v>
      </c>
      <c r="AP1248" s="6371">
        <f t="shared" si="264"/>
        <v>0</v>
      </c>
      <c r="AQ1248" s="6419" t="s">
        <v>2169</v>
      </c>
      <c r="AR1248" s="6368"/>
      <c r="AS1248" s="6432"/>
      <c r="AT1248" s="6418"/>
      <c r="AU1248" s="6368"/>
      <c r="AV1248" s="6368"/>
      <c r="AW1248" s="6368"/>
      <c r="AX1248" s="6368"/>
      <c r="AY1248" s="6368"/>
      <c r="AZ1248" s="6368"/>
      <c r="BA1248" s="6371"/>
      <c r="BB1248" s="6371"/>
      <c r="BC1248" s="6371"/>
      <c r="BD1248" s="6371"/>
      <c r="BE1248" s="6371"/>
      <c r="BF1248" s="6371"/>
      <c r="BG1248" s="6371"/>
      <c r="BH1248" s="6334">
        <v>306829.02</v>
      </c>
      <c r="BI1248" s="6372"/>
      <c r="BJ1248" s="6372"/>
      <c r="BK1248" s="6372"/>
      <c r="BL1248" s="6372"/>
      <c r="BM1248" s="6372"/>
      <c r="BN1248" s="6371"/>
      <c r="BO1248" s="6368"/>
      <c r="BP1248" s="6368"/>
      <c r="BQ1248" s="6368"/>
      <c r="BR1248" s="6368"/>
      <c r="BS1248" s="6368"/>
      <c r="BT1248" s="6368"/>
      <c r="BU1248" s="6368"/>
      <c r="BV1248" s="6371">
        <v>306829.02</v>
      </c>
      <c r="BW1248" s="6448"/>
      <c r="BX1248" s="6370"/>
      <c r="BY1248" s="6370"/>
      <c r="BZ1248" s="6370"/>
      <c r="CA1248" s="6370"/>
      <c r="CB1248" s="6332"/>
      <c r="CC1248" s="6368"/>
      <c r="CD1248" s="6368"/>
      <c r="CE1248" s="5169">
        <f>SUBTOTAL(9,BO1248:CB1248)</f>
        <v>306829.02</v>
      </c>
      <c r="CF1248" s="5169">
        <f>AN1248-CE1248</f>
        <v>0</v>
      </c>
      <c r="CG1248" s="6457"/>
      <c r="CH1248" s="6457"/>
      <c r="CI1248" s="6459"/>
      <c r="CJ1248" s="6459"/>
      <c r="CK1248" s="6459"/>
      <c r="CL1248" s="6459"/>
      <c r="CM1248" s="6459"/>
      <c r="CN1248" s="6459"/>
      <c r="CO1248" s="6459"/>
      <c r="CP1248" s="6459"/>
      <c r="CQ1248" s="6459"/>
    </row>
    <row r="1249" s="4980" customFormat="1" ht="45" customHeight="1" spans="1:95">
      <c r="A1249" s="5667"/>
      <c r="B1249" s="1035"/>
      <c r="C1249" s="5817"/>
      <c r="D1249" s="1035"/>
      <c r="E1249" s="5079"/>
      <c r="F1249" s="6298"/>
      <c r="G1249" s="6298"/>
      <c r="H1249" s="6298"/>
      <c r="I1249" s="6316"/>
      <c r="J1249" s="6298"/>
      <c r="K1249" s="6296"/>
      <c r="L1249" s="6298"/>
      <c r="M1249" s="6334"/>
      <c r="N1249" s="6335"/>
      <c r="O1249" s="6335"/>
      <c r="P1249" s="6335"/>
      <c r="Q1249" s="6335"/>
      <c r="R1249" s="6335"/>
      <c r="S1249" s="6335"/>
      <c r="T1249" s="6335"/>
      <c r="U1249" s="6335"/>
      <c r="V1249" s="6335"/>
      <c r="W1249" s="6335"/>
      <c r="X1249" s="6335"/>
      <c r="Y1249" s="6335"/>
      <c r="Z1249" s="6335"/>
      <c r="AA1249" s="6335"/>
      <c r="AB1249" s="6335"/>
      <c r="AC1249" s="6371">
        <v>4</v>
      </c>
      <c r="AD1249" s="6296" t="s">
        <v>2170</v>
      </c>
      <c r="AE1249" s="6296">
        <v>0.2</v>
      </c>
      <c r="AF1249" s="6372">
        <f>M1246*AE1249</f>
        <v>158320</v>
      </c>
      <c r="AG1249" s="6368">
        <f t="shared" si="262"/>
        <v>156701.66</v>
      </c>
      <c r="AH1249" s="6401" t="s">
        <v>122</v>
      </c>
      <c r="AI1249" s="6401">
        <v>45649</v>
      </c>
      <c r="AJ1249" s="6371">
        <v>156701.66</v>
      </c>
      <c r="AK1249" s="6371">
        <v>45649</v>
      </c>
      <c r="AL1249" s="6371">
        <v>156701.66</v>
      </c>
      <c r="AM1249" s="6371">
        <v>45855</v>
      </c>
      <c r="AN1249" s="3065">
        <f t="shared" si="263"/>
        <v>156701.66</v>
      </c>
      <c r="AO1249" s="6371">
        <v>45896</v>
      </c>
      <c r="AP1249" s="6371">
        <f t="shared" si="264"/>
        <v>0</v>
      </c>
      <c r="AQ1249" s="6420"/>
      <c r="AR1249" s="6371"/>
      <c r="AS1249" s="6433"/>
      <c r="AT1249" s="6420"/>
      <c r="AU1249" s="6368"/>
      <c r="AV1249" s="6368"/>
      <c r="AW1249" s="6368"/>
      <c r="AX1249" s="6368"/>
      <c r="AY1249" s="6368"/>
      <c r="AZ1249" s="6368"/>
      <c r="BA1249" s="6371"/>
      <c r="BB1249" s="6371"/>
      <c r="BC1249" s="6371"/>
      <c r="BD1249" s="6371"/>
      <c r="BE1249" s="6371"/>
      <c r="BF1249" s="6371"/>
      <c r="BG1249" s="6371"/>
      <c r="BH1249" s="6334">
        <v>156701.66</v>
      </c>
      <c r="BI1249" s="6372"/>
      <c r="BJ1249" s="6372"/>
      <c r="BK1249" s="6372"/>
      <c r="BL1249" s="6372"/>
      <c r="BM1249" s="6372"/>
      <c r="BN1249" s="6371"/>
      <c r="BO1249" s="6371"/>
      <c r="BP1249" s="6371"/>
      <c r="BQ1249" s="6371"/>
      <c r="BR1249" s="6371"/>
      <c r="BS1249" s="6371"/>
      <c r="BT1249" s="6371"/>
      <c r="BU1249" s="6371"/>
      <c r="BV1249" s="6371">
        <v>156701.66</v>
      </c>
      <c r="BW1249" s="6372"/>
      <c r="BX1249" s="6372"/>
      <c r="BY1249" s="6372"/>
      <c r="BZ1249" s="6372"/>
      <c r="CA1249" s="6372"/>
      <c r="CB1249" s="6334"/>
      <c r="CC1249" s="6371"/>
      <c r="CD1249" s="6371"/>
      <c r="CE1249" s="6458"/>
      <c r="CF1249" s="6458"/>
      <c r="CG1249" s="6458"/>
      <c r="CH1249" s="6458"/>
      <c r="CI1249" s="6460"/>
      <c r="CJ1249" s="6460"/>
      <c r="CK1249" s="6460"/>
      <c r="CL1249" s="6460"/>
      <c r="CM1249" s="6460"/>
      <c r="CN1249" s="6460"/>
      <c r="CO1249" s="6460"/>
      <c r="CP1249" s="6460"/>
      <c r="CQ1249" s="6460"/>
    </row>
    <row r="1250" s="4965" customFormat="1" ht="45" customHeight="1" spans="1:86">
      <c r="A1250" s="5079"/>
      <c r="B1250" s="1035"/>
      <c r="C1250" s="5820">
        <v>45275</v>
      </c>
      <c r="D1250" s="1035"/>
      <c r="E1250" s="5079"/>
      <c r="F1250" s="6299" t="s">
        <v>2171</v>
      </c>
      <c r="G1250" s="6299" t="s">
        <v>2130</v>
      </c>
      <c r="H1250" s="6299" t="s">
        <v>2122</v>
      </c>
      <c r="I1250" s="6317"/>
      <c r="J1250" s="6299" t="s">
        <v>2131</v>
      </c>
      <c r="K1250" s="6299" t="s">
        <v>2164</v>
      </c>
      <c r="L1250" s="6299" t="s">
        <v>2123</v>
      </c>
      <c r="M1250" s="6336">
        <f>SUM(N1250:AA1252)</f>
        <v>197900</v>
      </c>
      <c r="N1250" s="6337"/>
      <c r="O1250" s="6337"/>
      <c r="P1250" s="6337"/>
      <c r="Q1250" s="6337"/>
      <c r="R1250" s="6337"/>
      <c r="S1250" s="6337"/>
      <c r="T1250" s="6337"/>
      <c r="U1250" s="6337">
        <v>197900</v>
      </c>
      <c r="V1250" s="6337"/>
      <c r="W1250" s="6337"/>
      <c r="X1250" s="6337"/>
      <c r="Y1250" s="6337"/>
      <c r="Z1250" s="6337"/>
      <c r="AA1250" s="6337"/>
      <c r="AB1250" s="6337"/>
      <c r="AC1250" s="6373">
        <v>1</v>
      </c>
      <c r="AD1250" s="6299" t="s">
        <v>2172</v>
      </c>
      <c r="AE1250" s="6374">
        <v>0.2</v>
      </c>
      <c r="AF1250" s="6375">
        <f>M1250*AE1250</f>
        <v>39580</v>
      </c>
      <c r="AG1250" s="6373">
        <f t="shared" si="262"/>
        <v>38966.82</v>
      </c>
      <c r="AH1250" s="6299" t="s">
        <v>122</v>
      </c>
      <c r="AI1250" s="6376">
        <v>45432</v>
      </c>
      <c r="AJ1250" s="6373">
        <v>38966.82</v>
      </c>
      <c r="AK1250" s="6373">
        <v>45432</v>
      </c>
      <c r="AL1250" s="6336">
        <v>38966.82</v>
      </c>
      <c r="AM1250" s="6373">
        <v>45433</v>
      </c>
      <c r="AN1250" s="6338">
        <f t="shared" si="263"/>
        <v>38966.82</v>
      </c>
      <c r="AO1250" s="6376">
        <v>45597</v>
      </c>
      <c r="AP1250" s="6376">
        <f t="shared" si="264"/>
        <v>0</v>
      </c>
      <c r="AQ1250" s="6421"/>
      <c r="AR1250" s="6373"/>
      <c r="AS1250" s="6434"/>
      <c r="AT1250" s="6421"/>
      <c r="AU1250" s="6373"/>
      <c r="AV1250" s="6373"/>
      <c r="AW1250" s="6373"/>
      <c r="AX1250" s="6373"/>
      <c r="AY1250" s="6373"/>
      <c r="AZ1250" s="6373"/>
      <c r="BA1250" s="6376"/>
      <c r="BB1250" s="6376"/>
      <c r="BC1250" s="6376"/>
      <c r="BD1250" s="6376"/>
      <c r="BE1250" s="6376"/>
      <c r="BF1250" s="6376"/>
      <c r="BG1250" s="6376"/>
      <c r="BH1250" s="6338">
        <v>38966.82</v>
      </c>
      <c r="BI1250" s="6377"/>
      <c r="BJ1250" s="6377"/>
      <c r="BK1250" s="6377"/>
      <c r="BL1250" s="6377"/>
      <c r="BM1250" s="6377"/>
      <c r="BN1250" s="6376"/>
      <c r="BO1250" s="6373"/>
      <c r="BP1250" s="6373"/>
      <c r="BQ1250" s="6373"/>
      <c r="BR1250" s="6373"/>
      <c r="BS1250" s="6373"/>
      <c r="BT1250" s="6373"/>
      <c r="BU1250" s="6373"/>
      <c r="BV1250" s="6373">
        <v>38966.82</v>
      </c>
      <c r="BW1250" s="6449"/>
      <c r="BX1250" s="6375"/>
      <c r="BY1250" s="6375"/>
      <c r="BZ1250" s="6375"/>
      <c r="CA1250" s="6375"/>
      <c r="CB1250" s="6336"/>
      <c r="CC1250" s="6373"/>
      <c r="CD1250" s="6373"/>
      <c r="CE1250" s="5169">
        <f>SUBTOTAL(9,BO1250:CB1250)</f>
        <v>38966.82</v>
      </c>
      <c r="CF1250" s="5169">
        <f>AN1250-CE1250</f>
        <v>0</v>
      </c>
      <c r="CG1250" s="5169"/>
      <c r="CH1250" s="5169"/>
    </row>
    <row r="1251" s="4965" customFormat="1" ht="45" customHeight="1" spans="1:86">
      <c r="A1251" s="5079"/>
      <c r="B1251" s="1035"/>
      <c r="C1251" s="5821"/>
      <c r="D1251" s="1035"/>
      <c r="E1251" s="5079"/>
      <c r="F1251" s="6300"/>
      <c r="G1251" s="6300"/>
      <c r="H1251" s="6300"/>
      <c r="I1251" s="6318"/>
      <c r="J1251" s="6300"/>
      <c r="K1251" s="6299"/>
      <c r="L1251" s="6300"/>
      <c r="M1251" s="6336"/>
      <c r="N1251" s="6337"/>
      <c r="O1251" s="6337"/>
      <c r="P1251" s="6337"/>
      <c r="Q1251" s="6337"/>
      <c r="R1251" s="6337"/>
      <c r="S1251" s="6337"/>
      <c r="T1251" s="6337"/>
      <c r="U1251" s="6337"/>
      <c r="V1251" s="6337"/>
      <c r="W1251" s="6337"/>
      <c r="X1251" s="6337"/>
      <c r="Y1251" s="6337"/>
      <c r="Z1251" s="6337"/>
      <c r="AA1251" s="6337"/>
      <c r="AB1251" s="6337"/>
      <c r="AC1251" s="6373">
        <v>2</v>
      </c>
      <c r="AD1251" s="6299" t="s">
        <v>2173</v>
      </c>
      <c r="AE1251" s="6374">
        <v>0.6</v>
      </c>
      <c r="AF1251" s="6375">
        <f>M1250*AE1251</f>
        <v>118740</v>
      </c>
      <c r="AG1251" s="6373">
        <f t="shared" si="262"/>
        <v>116900.44</v>
      </c>
      <c r="AH1251" s="6299" t="s">
        <v>122</v>
      </c>
      <c r="AI1251" s="6376">
        <v>45432</v>
      </c>
      <c r="AJ1251" s="6373">
        <v>116900.44</v>
      </c>
      <c r="AK1251" s="6373">
        <v>45432</v>
      </c>
      <c r="AL1251" s="6336">
        <v>116900.44</v>
      </c>
      <c r="AM1251" s="6373">
        <v>45433</v>
      </c>
      <c r="AN1251" s="6338">
        <f t="shared" si="263"/>
        <v>116900.44</v>
      </c>
      <c r="AO1251" s="6376">
        <v>45597</v>
      </c>
      <c r="AP1251" s="6376">
        <f t="shared" si="264"/>
        <v>0</v>
      </c>
      <c r="AQ1251" s="6421"/>
      <c r="AR1251" s="6373"/>
      <c r="AS1251" s="6434"/>
      <c r="AT1251" s="6421"/>
      <c r="AU1251" s="6373"/>
      <c r="AV1251" s="6373"/>
      <c r="AW1251" s="6373"/>
      <c r="AX1251" s="6373"/>
      <c r="AY1251" s="6373"/>
      <c r="AZ1251" s="6373"/>
      <c r="BA1251" s="6376"/>
      <c r="BB1251" s="6376"/>
      <c r="BC1251" s="6376"/>
      <c r="BD1251" s="6376"/>
      <c r="BE1251" s="6376"/>
      <c r="BF1251" s="6376"/>
      <c r="BG1251" s="6376"/>
      <c r="BH1251" s="6338">
        <v>116900.44</v>
      </c>
      <c r="BI1251" s="6377"/>
      <c r="BJ1251" s="6377"/>
      <c r="BK1251" s="6377"/>
      <c r="BL1251" s="6377"/>
      <c r="BM1251" s="6377"/>
      <c r="BN1251" s="6376"/>
      <c r="BO1251" s="6373"/>
      <c r="BP1251" s="6373"/>
      <c r="BQ1251" s="6373"/>
      <c r="BR1251" s="6373"/>
      <c r="BS1251" s="6373"/>
      <c r="BT1251" s="6373"/>
      <c r="BU1251" s="6373"/>
      <c r="BV1251" s="6373">
        <v>116900.44</v>
      </c>
      <c r="BW1251" s="6449"/>
      <c r="BX1251" s="6375"/>
      <c r="BY1251" s="6375"/>
      <c r="BZ1251" s="6375"/>
      <c r="CA1251" s="6375"/>
      <c r="CB1251" s="6336"/>
      <c r="CC1251" s="6373"/>
      <c r="CD1251" s="6373"/>
      <c r="CE1251" s="5169">
        <f>SUBTOTAL(9,BO1251:CB1251)</f>
        <v>116900.44</v>
      </c>
      <c r="CF1251" s="5169">
        <f>AN1251-CE1251</f>
        <v>0</v>
      </c>
      <c r="CG1251" s="5169"/>
      <c r="CH1251" s="5169"/>
    </row>
    <row r="1252" s="4980" customFormat="1" ht="45" customHeight="1" spans="1:86">
      <c r="A1252" s="5667"/>
      <c r="B1252" s="1035"/>
      <c r="C1252" s="5817"/>
      <c r="D1252" s="1035"/>
      <c r="E1252" s="5079"/>
      <c r="F1252" s="6301"/>
      <c r="G1252" s="6301"/>
      <c r="H1252" s="6301"/>
      <c r="I1252" s="6319"/>
      <c r="J1252" s="6301"/>
      <c r="K1252" s="6299"/>
      <c r="L1252" s="6301"/>
      <c r="M1252" s="6338"/>
      <c r="N1252" s="6339"/>
      <c r="O1252" s="6339"/>
      <c r="P1252" s="6339"/>
      <c r="Q1252" s="6339"/>
      <c r="R1252" s="6339"/>
      <c r="S1252" s="6339"/>
      <c r="T1252" s="6339"/>
      <c r="U1252" s="6339"/>
      <c r="V1252" s="6339"/>
      <c r="W1252" s="6339"/>
      <c r="X1252" s="6339"/>
      <c r="Y1252" s="6339"/>
      <c r="Z1252" s="6339"/>
      <c r="AA1252" s="6339"/>
      <c r="AB1252" s="6339"/>
      <c r="AC1252" s="6376">
        <v>3</v>
      </c>
      <c r="AD1252" s="6299" t="s">
        <v>2174</v>
      </c>
      <c r="AE1252" s="6299">
        <v>0.2</v>
      </c>
      <c r="AF1252" s="6377">
        <f>M1250*AE1252</f>
        <v>39580</v>
      </c>
      <c r="AG1252" s="6373">
        <f t="shared" si="262"/>
        <v>39175.41</v>
      </c>
      <c r="AH1252" s="6402" t="s">
        <v>122</v>
      </c>
      <c r="AI1252" s="6402">
        <v>45649</v>
      </c>
      <c r="AJ1252" s="6376">
        <v>39175.41</v>
      </c>
      <c r="AK1252" s="6376">
        <v>45649</v>
      </c>
      <c r="AL1252" s="6376"/>
      <c r="AM1252" s="6376"/>
      <c r="AN1252" s="6376">
        <f t="shared" si="263"/>
        <v>0</v>
      </c>
      <c r="AO1252" s="6376"/>
      <c r="AP1252" s="6376">
        <f t="shared" si="264"/>
        <v>39175.41</v>
      </c>
      <c r="AQ1252" s="6422"/>
      <c r="AR1252" s="6376"/>
      <c r="AS1252" s="6435"/>
      <c r="AT1252" s="6422"/>
      <c r="AU1252" s="6373"/>
      <c r="AV1252" s="6373"/>
      <c r="AW1252" s="6373"/>
      <c r="AX1252" s="6373"/>
      <c r="AY1252" s="6373"/>
      <c r="AZ1252" s="6373"/>
      <c r="BA1252" s="6376"/>
      <c r="BB1252" s="6376"/>
      <c r="BC1252" s="6376"/>
      <c r="BD1252" s="6376"/>
      <c r="BE1252" s="6376"/>
      <c r="BF1252" s="6376"/>
      <c r="BG1252" s="6376"/>
      <c r="BH1252" s="6338">
        <v>39175.41</v>
      </c>
      <c r="BI1252" s="6377"/>
      <c r="BJ1252" s="6377"/>
      <c r="BK1252" s="6377"/>
      <c r="BL1252" s="6377"/>
      <c r="BM1252" s="6377"/>
      <c r="BN1252" s="6376"/>
      <c r="BO1252" s="6376"/>
      <c r="BP1252" s="6376"/>
      <c r="BQ1252" s="6376"/>
      <c r="BR1252" s="6376"/>
      <c r="BS1252" s="6376"/>
      <c r="BT1252" s="6376"/>
      <c r="BU1252" s="6376"/>
      <c r="BV1252" s="6376"/>
      <c r="BW1252" s="6377"/>
      <c r="BX1252" s="6377"/>
      <c r="BY1252" s="6377"/>
      <c r="BZ1252" s="6377"/>
      <c r="CA1252" s="6377"/>
      <c r="CB1252" s="6338"/>
      <c r="CC1252" s="6376"/>
      <c r="CD1252" s="6376"/>
      <c r="CE1252" s="5154"/>
      <c r="CF1252" s="5154"/>
      <c r="CG1252" s="5154"/>
      <c r="CH1252" s="5154"/>
    </row>
    <row r="1253" s="4965" customFormat="1" ht="50.25" customHeight="1" spans="1:86">
      <c r="A1253" s="5079"/>
      <c r="B1253" s="5050" t="s">
        <v>1951</v>
      </c>
      <c r="C1253" s="5079">
        <v>45432</v>
      </c>
      <c r="D1253" s="5050" t="s">
        <v>2175</v>
      </c>
      <c r="E1253" s="5820"/>
      <c r="F1253" s="6302" t="s">
        <v>2176</v>
      </c>
      <c r="G1253" s="6302" t="s">
        <v>2177</v>
      </c>
      <c r="H1253" s="6302" t="s">
        <v>2178</v>
      </c>
      <c r="I1253" s="6302"/>
      <c r="J1253" s="6302" t="s">
        <v>2179</v>
      </c>
      <c r="K1253" s="6302" t="s">
        <v>2180</v>
      </c>
      <c r="L1253" s="6302" t="s">
        <v>2087</v>
      </c>
      <c r="M1253" s="3328">
        <f>SUM(N1253:AA1257)</f>
        <v>1466871.2</v>
      </c>
      <c r="N1253" s="3330"/>
      <c r="O1253" s="3330"/>
      <c r="P1253" s="3330">
        <v>200000</v>
      </c>
      <c r="Q1253" s="3330"/>
      <c r="R1253" s="3330"/>
      <c r="S1253" s="3330"/>
      <c r="T1253" s="3330"/>
      <c r="U1253" s="3330"/>
      <c r="V1253" s="3330"/>
      <c r="W1253" s="3330"/>
      <c r="X1253" s="3330"/>
      <c r="Y1253" s="3330"/>
      <c r="Z1253" s="3330"/>
      <c r="AA1253" s="3330">
        <v>1266871.2</v>
      </c>
      <c r="AB1253" s="6343" t="s">
        <v>126</v>
      </c>
      <c r="AC1253" s="6378">
        <v>1</v>
      </c>
      <c r="AD1253" s="6379" t="s">
        <v>2027</v>
      </c>
      <c r="AE1253" s="6380">
        <v>0.2</v>
      </c>
      <c r="AF1253" s="3426">
        <f>M1253*AE1253</f>
        <v>293374.24</v>
      </c>
      <c r="AG1253" s="3394">
        <f t="shared" ref="AG1243:AG1285" si="265">SUM(BA1253:BN1253)</f>
        <v>293374.24</v>
      </c>
      <c r="AH1253" s="6403" t="s">
        <v>122</v>
      </c>
      <c r="AI1253" s="3394">
        <v>45538</v>
      </c>
      <c r="AJ1253" s="6378">
        <v>293374.24</v>
      </c>
      <c r="AK1253" s="3394">
        <v>45538</v>
      </c>
      <c r="AL1253" s="6378">
        <v>293374.24</v>
      </c>
      <c r="AM1253" s="6378">
        <v>45540</v>
      </c>
      <c r="AN1253" s="3394">
        <f t="shared" si="263"/>
        <v>293374.24</v>
      </c>
      <c r="AO1253" s="3394">
        <v>45562</v>
      </c>
      <c r="AP1253" s="6378">
        <f t="shared" si="264"/>
        <v>0</v>
      </c>
      <c r="AQ1253" s="6423"/>
      <c r="AR1253" s="6378"/>
      <c r="AS1253" s="6436"/>
      <c r="AT1253" s="6423"/>
      <c r="AU1253" s="2680"/>
      <c r="AV1253" s="2680"/>
      <c r="AW1253" s="2680"/>
      <c r="AX1253" s="2680"/>
      <c r="AY1253" s="2680"/>
      <c r="AZ1253" s="2680"/>
      <c r="BA1253" s="3394"/>
      <c r="BB1253" s="3394"/>
      <c r="BC1253" s="3394"/>
      <c r="BD1253" s="3394"/>
      <c r="BE1253" s="3394"/>
      <c r="BF1253" s="3394"/>
      <c r="BG1253" s="3394"/>
      <c r="BH1253" s="3394"/>
      <c r="BI1253" s="6443"/>
      <c r="BJ1253" s="6443"/>
      <c r="BK1253" s="6443"/>
      <c r="BL1253" s="6443"/>
      <c r="BM1253" s="6443"/>
      <c r="BN1253" s="3394">
        <v>293374.24</v>
      </c>
      <c r="BO1253" s="6378"/>
      <c r="BP1253" s="6378"/>
      <c r="BQ1253" s="6378"/>
      <c r="BR1253" s="6378"/>
      <c r="BS1253" s="6378"/>
      <c r="BT1253" s="6378"/>
      <c r="BU1253" s="6378"/>
      <c r="BV1253" s="6378"/>
      <c r="BW1253" s="6450"/>
      <c r="BX1253" s="3426"/>
      <c r="BY1253" s="3426"/>
      <c r="BZ1253" s="3426"/>
      <c r="CA1253" s="3426"/>
      <c r="CB1253" s="6454">
        <v>293374.24</v>
      </c>
      <c r="CC1253" s="6378"/>
      <c r="CD1253" s="6378"/>
      <c r="CE1253" s="5169">
        <f>SUBTOTAL(9,BO1253:CB1253)</f>
        <v>293374.24</v>
      </c>
      <c r="CF1253" s="5169">
        <f>AN1253-CE1253</f>
        <v>0</v>
      </c>
      <c r="CG1253" s="5169"/>
      <c r="CH1253" s="5169"/>
    </row>
    <row r="1254" s="4965" customFormat="1" ht="50.25" customHeight="1" spans="1:86">
      <c r="A1254" s="5079"/>
      <c r="B1254" s="6040"/>
      <c r="C1254" s="5079"/>
      <c r="D1254" s="6040"/>
      <c r="E1254" s="5821"/>
      <c r="F1254" s="6303"/>
      <c r="G1254" s="6303"/>
      <c r="H1254" s="6303"/>
      <c r="I1254" s="6320"/>
      <c r="J1254" s="6303"/>
      <c r="K1254" s="6320"/>
      <c r="L1254" s="6303"/>
      <c r="M1254" s="3330"/>
      <c r="N1254" s="3330"/>
      <c r="O1254" s="3330"/>
      <c r="P1254" s="3330"/>
      <c r="Q1254" s="3330"/>
      <c r="R1254" s="3330"/>
      <c r="S1254" s="3330"/>
      <c r="T1254" s="3330"/>
      <c r="U1254" s="3330"/>
      <c r="V1254" s="3330"/>
      <c r="W1254" s="3330"/>
      <c r="X1254" s="3330"/>
      <c r="Y1254" s="3330"/>
      <c r="Z1254" s="3330"/>
      <c r="AA1254" s="3330"/>
      <c r="AB1254" s="3330"/>
      <c r="AC1254" s="6378">
        <v>2</v>
      </c>
      <c r="AD1254" s="6379" t="s">
        <v>2028</v>
      </c>
      <c r="AE1254" s="6380">
        <v>0.3</v>
      </c>
      <c r="AF1254" s="3426">
        <f>M1253*AE1254</f>
        <v>440061.36</v>
      </c>
      <c r="AG1254" s="3394">
        <f t="shared" si="265"/>
        <v>440061.36</v>
      </c>
      <c r="AH1254" s="6403" t="s">
        <v>122</v>
      </c>
      <c r="AI1254" s="3394">
        <v>45538</v>
      </c>
      <c r="AJ1254" s="6378">
        <v>440061.36</v>
      </c>
      <c r="AK1254" s="3394">
        <v>45538</v>
      </c>
      <c r="AL1254" s="6378">
        <v>440061.36</v>
      </c>
      <c r="AM1254" s="6378">
        <v>45540</v>
      </c>
      <c r="AN1254" s="3394">
        <f t="shared" si="263"/>
        <v>440061.36</v>
      </c>
      <c r="AO1254" s="3394">
        <v>45562</v>
      </c>
      <c r="AP1254" s="6378">
        <f t="shared" si="264"/>
        <v>0</v>
      </c>
      <c r="AQ1254" s="6423"/>
      <c r="AR1254" s="6378"/>
      <c r="AS1254" s="6436"/>
      <c r="AT1254" s="6423"/>
      <c r="AU1254" s="2680"/>
      <c r="AV1254" s="2680"/>
      <c r="AW1254" s="2680"/>
      <c r="AX1254" s="2680"/>
      <c r="AY1254" s="2680"/>
      <c r="AZ1254" s="2680"/>
      <c r="BA1254" s="3394"/>
      <c r="BB1254" s="3394"/>
      <c r="BC1254" s="3394"/>
      <c r="BD1254" s="3394"/>
      <c r="BE1254" s="3394"/>
      <c r="BF1254" s="3394"/>
      <c r="BG1254" s="3394"/>
      <c r="BH1254" s="3394"/>
      <c r="BI1254" s="6443"/>
      <c r="BJ1254" s="6443"/>
      <c r="BK1254" s="6443"/>
      <c r="BL1254" s="6443"/>
      <c r="BM1254" s="6443"/>
      <c r="BN1254" s="3394">
        <v>440061.36</v>
      </c>
      <c r="BO1254" s="6378"/>
      <c r="BP1254" s="6378"/>
      <c r="BQ1254" s="6378"/>
      <c r="BR1254" s="6378"/>
      <c r="BS1254" s="6378"/>
      <c r="BT1254" s="6378"/>
      <c r="BU1254" s="6378"/>
      <c r="BV1254" s="6378"/>
      <c r="BW1254" s="6450"/>
      <c r="BX1254" s="3426"/>
      <c r="BY1254" s="3426"/>
      <c r="BZ1254" s="3426"/>
      <c r="CA1254" s="3426"/>
      <c r="CB1254" s="6454">
        <v>440061.36</v>
      </c>
      <c r="CC1254" s="6378"/>
      <c r="CD1254" s="6378"/>
      <c r="CE1254" s="5169">
        <f>SUBTOTAL(9,BO1254:CB1254)</f>
        <v>440061.36</v>
      </c>
      <c r="CF1254" s="5169">
        <f>AN1254-CE1254</f>
        <v>0</v>
      </c>
      <c r="CG1254" s="5169"/>
      <c r="CH1254" s="5169"/>
    </row>
    <row r="1255" s="4965" customFormat="1" ht="50.25" customHeight="1" spans="1:86">
      <c r="A1255" s="5079"/>
      <c r="B1255" s="6040"/>
      <c r="C1255" s="5079"/>
      <c r="D1255" s="6040"/>
      <c r="E1255" s="5821"/>
      <c r="F1255" s="6303"/>
      <c r="G1255" s="6303"/>
      <c r="H1255" s="6303"/>
      <c r="I1255" s="6320"/>
      <c r="J1255" s="6303"/>
      <c r="K1255" s="6320"/>
      <c r="L1255" s="6303"/>
      <c r="M1255" s="3330"/>
      <c r="N1255" s="3330"/>
      <c r="O1255" s="3330"/>
      <c r="P1255" s="3330"/>
      <c r="Q1255" s="3330"/>
      <c r="R1255" s="3330"/>
      <c r="S1255" s="3330"/>
      <c r="T1255" s="3330"/>
      <c r="U1255" s="3330"/>
      <c r="V1255" s="3330"/>
      <c r="W1255" s="3330"/>
      <c r="X1255" s="3330"/>
      <c r="Y1255" s="3330"/>
      <c r="Z1255" s="3330"/>
      <c r="AA1255" s="3330"/>
      <c r="AB1255" s="3330"/>
      <c r="AC1255" s="6378">
        <v>3</v>
      </c>
      <c r="AD1255" s="6379" t="s">
        <v>1785</v>
      </c>
      <c r="AE1255" s="6380">
        <v>0.2</v>
      </c>
      <c r="AF1255" s="3426">
        <f>M1253*AE1255</f>
        <v>293374.24</v>
      </c>
      <c r="AG1255" s="3394">
        <f t="shared" si="265"/>
        <v>293374.24</v>
      </c>
      <c r="AH1255" s="6403" t="s">
        <v>122</v>
      </c>
      <c r="AI1255" s="3394">
        <v>45538</v>
      </c>
      <c r="AJ1255" s="6378">
        <v>293374.24</v>
      </c>
      <c r="AK1255" s="3394">
        <v>45538</v>
      </c>
      <c r="AL1255" s="6378">
        <v>293374.24</v>
      </c>
      <c r="AM1255" s="6378">
        <v>45540</v>
      </c>
      <c r="AN1255" s="3394">
        <f t="shared" si="263"/>
        <v>293374.24</v>
      </c>
      <c r="AO1255" s="3394">
        <v>45562</v>
      </c>
      <c r="AP1255" s="6378">
        <f t="shared" si="264"/>
        <v>0</v>
      </c>
      <c r="AQ1255" s="6423"/>
      <c r="AR1255" s="6378"/>
      <c r="AS1255" s="6436"/>
      <c r="AT1255" s="6423"/>
      <c r="AU1255" s="2680"/>
      <c r="AV1255" s="2680"/>
      <c r="AW1255" s="2680"/>
      <c r="AX1255" s="2680"/>
      <c r="AY1255" s="2680"/>
      <c r="AZ1255" s="2680"/>
      <c r="BA1255" s="3394"/>
      <c r="BB1255" s="3394"/>
      <c r="BC1255" s="3394"/>
      <c r="BD1255" s="3394"/>
      <c r="BE1255" s="3394"/>
      <c r="BF1255" s="3394"/>
      <c r="BG1255" s="3394"/>
      <c r="BH1255" s="3394"/>
      <c r="BI1255" s="6443"/>
      <c r="BJ1255" s="6443"/>
      <c r="BK1255" s="6443"/>
      <c r="BL1255" s="6443"/>
      <c r="BM1255" s="6443"/>
      <c r="BN1255" s="3394">
        <v>293374.24</v>
      </c>
      <c r="BO1255" s="6378"/>
      <c r="BP1255" s="6378"/>
      <c r="BQ1255" s="6378"/>
      <c r="BR1255" s="6378"/>
      <c r="BS1255" s="6378"/>
      <c r="BT1255" s="6378"/>
      <c r="BU1255" s="6378"/>
      <c r="BV1255" s="6378"/>
      <c r="BW1255" s="6450"/>
      <c r="BX1255" s="3426"/>
      <c r="BY1255" s="3426"/>
      <c r="BZ1255" s="3426"/>
      <c r="CA1255" s="3426"/>
      <c r="CB1255" s="6454">
        <v>293374.24</v>
      </c>
      <c r="CC1255" s="6378"/>
      <c r="CD1255" s="6378"/>
      <c r="CE1255" s="5169">
        <f>SUBTOTAL(9,BO1255:CB1255)</f>
        <v>293374.24</v>
      </c>
      <c r="CF1255" s="5169">
        <f>AN1255-CE1255</f>
        <v>0</v>
      </c>
      <c r="CG1255" s="5169"/>
      <c r="CH1255" s="5169"/>
    </row>
    <row r="1256" s="4965" customFormat="1" ht="50.25" customHeight="1" spans="1:86">
      <c r="A1256" s="5079"/>
      <c r="B1256" s="6040"/>
      <c r="C1256" s="5079"/>
      <c r="D1256" s="6040"/>
      <c r="E1256" s="5821"/>
      <c r="F1256" s="6303"/>
      <c r="G1256" s="6303"/>
      <c r="H1256" s="6303"/>
      <c r="I1256" s="6320"/>
      <c r="J1256" s="6303"/>
      <c r="K1256" s="6320"/>
      <c r="L1256" s="6303"/>
      <c r="M1256" s="3330"/>
      <c r="N1256" s="3330"/>
      <c r="O1256" s="3330"/>
      <c r="P1256" s="3330"/>
      <c r="Q1256" s="3330"/>
      <c r="R1256" s="3330"/>
      <c r="S1256" s="3330"/>
      <c r="T1256" s="3330"/>
      <c r="U1256" s="3330"/>
      <c r="V1256" s="3330"/>
      <c r="W1256" s="3330"/>
      <c r="X1256" s="3330"/>
      <c r="Y1256" s="3330"/>
      <c r="Z1256" s="3330"/>
      <c r="AA1256" s="3330"/>
      <c r="AB1256" s="3330"/>
      <c r="AC1256" s="6378">
        <v>4</v>
      </c>
      <c r="AD1256" s="6379" t="s">
        <v>2088</v>
      </c>
      <c r="AE1256" s="6380">
        <v>0.25</v>
      </c>
      <c r="AF1256" s="3426">
        <f>M1253*AE1256</f>
        <v>366717.8</v>
      </c>
      <c r="AG1256" s="3394">
        <f t="shared" si="265"/>
        <v>366717.8</v>
      </c>
      <c r="AH1256" s="6403" t="s">
        <v>122</v>
      </c>
      <c r="AI1256" s="6378">
        <v>45538</v>
      </c>
      <c r="AJ1256" s="6378">
        <v>366717.8</v>
      </c>
      <c r="AK1256" s="6378">
        <v>45538</v>
      </c>
      <c r="AL1256" s="6378">
        <v>366717.8</v>
      </c>
      <c r="AM1256" s="6378">
        <v>45540</v>
      </c>
      <c r="AN1256" s="3394">
        <f t="shared" si="263"/>
        <v>366717.8</v>
      </c>
      <c r="AO1256" s="3394">
        <v>45562</v>
      </c>
      <c r="AP1256" s="6378">
        <f t="shared" si="264"/>
        <v>0</v>
      </c>
      <c r="AQ1256" s="6423"/>
      <c r="AR1256" s="6378"/>
      <c r="AS1256" s="6436"/>
      <c r="AT1256" s="6423"/>
      <c r="AU1256" s="2680"/>
      <c r="AV1256" s="2680"/>
      <c r="AW1256" s="2680"/>
      <c r="AX1256" s="2680"/>
      <c r="AY1256" s="2680"/>
      <c r="AZ1256" s="2680"/>
      <c r="BA1256" s="3394"/>
      <c r="BB1256" s="3394"/>
      <c r="BC1256" s="3394"/>
      <c r="BD1256" s="3394"/>
      <c r="BE1256" s="3394"/>
      <c r="BF1256" s="3394"/>
      <c r="BG1256" s="3394"/>
      <c r="BH1256" s="3394"/>
      <c r="BI1256" s="6443"/>
      <c r="BJ1256" s="6443"/>
      <c r="BK1256" s="6443"/>
      <c r="BL1256" s="6443"/>
      <c r="BM1256" s="6443"/>
      <c r="BN1256" s="3394">
        <v>366717.8</v>
      </c>
      <c r="BO1256" s="6378"/>
      <c r="BP1256" s="6378"/>
      <c r="BQ1256" s="6378"/>
      <c r="BR1256" s="6378"/>
      <c r="BS1256" s="6378"/>
      <c r="BT1256" s="6378"/>
      <c r="BU1256" s="6378"/>
      <c r="BV1256" s="6378"/>
      <c r="BW1256" s="6450"/>
      <c r="BX1256" s="3426"/>
      <c r="BY1256" s="3426"/>
      <c r="BZ1256" s="3426"/>
      <c r="CA1256" s="3426"/>
      <c r="CB1256" s="6454">
        <v>366717.8</v>
      </c>
      <c r="CC1256" s="6378"/>
      <c r="CD1256" s="6378"/>
      <c r="CE1256" s="5169"/>
      <c r="CF1256" s="5169"/>
      <c r="CG1256" s="5169"/>
      <c r="CH1256" s="5169"/>
    </row>
    <row r="1257" s="4965" customFormat="1" ht="50.25" customHeight="1" spans="1:86">
      <c r="A1257" s="5079"/>
      <c r="B1257" s="6040"/>
      <c r="C1257" s="5079"/>
      <c r="D1257" s="6040"/>
      <c r="E1257" s="5822"/>
      <c r="F1257" s="6304"/>
      <c r="G1257" s="6304"/>
      <c r="H1257" s="6304"/>
      <c r="I1257" s="6321"/>
      <c r="J1257" s="6304"/>
      <c r="K1257" s="6321"/>
      <c r="L1257" s="6303"/>
      <c r="M1257" s="3332"/>
      <c r="N1257" s="3332"/>
      <c r="O1257" s="3332"/>
      <c r="P1257" s="3332"/>
      <c r="Q1257" s="3332"/>
      <c r="R1257" s="3332"/>
      <c r="S1257" s="3332"/>
      <c r="T1257" s="3332"/>
      <c r="U1257" s="3332"/>
      <c r="V1257" s="3332"/>
      <c r="W1257" s="3332"/>
      <c r="X1257" s="3332"/>
      <c r="Y1257" s="3332"/>
      <c r="Z1257" s="3332"/>
      <c r="AA1257" s="3332"/>
      <c r="AB1257" s="3332"/>
      <c r="AC1257" s="6378">
        <v>5</v>
      </c>
      <c r="AD1257" s="6379" t="s">
        <v>2089</v>
      </c>
      <c r="AE1257" s="6380">
        <v>0.05</v>
      </c>
      <c r="AF1257" s="3426">
        <f>M1253*AE1257</f>
        <v>73343.56</v>
      </c>
      <c r="AG1257" s="3394">
        <f t="shared" si="265"/>
        <v>0</v>
      </c>
      <c r="AH1257" s="6403"/>
      <c r="AI1257" s="6378"/>
      <c r="AJ1257" s="6378"/>
      <c r="AK1257" s="6378"/>
      <c r="AL1257" s="6378"/>
      <c r="AM1257" s="6378"/>
      <c r="AN1257" s="6378">
        <f t="shared" si="263"/>
        <v>0</v>
      </c>
      <c r="AO1257" s="3394"/>
      <c r="AP1257" s="6378">
        <f t="shared" si="264"/>
        <v>0</v>
      </c>
      <c r="AQ1257" s="6423"/>
      <c r="AR1257" s="6378"/>
      <c r="AS1257" s="6436"/>
      <c r="AT1257" s="6423"/>
      <c r="AU1257" s="2680"/>
      <c r="AV1257" s="2680"/>
      <c r="AW1257" s="2680"/>
      <c r="AX1257" s="2680"/>
      <c r="AY1257" s="2680"/>
      <c r="AZ1257" s="2680"/>
      <c r="BA1257" s="3394"/>
      <c r="BB1257" s="3394"/>
      <c r="BC1257" s="3394"/>
      <c r="BD1257" s="3394"/>
      <c r="BE1257" s="3394"/>
      <c r="BF1257" s="3394"/>
      <c r="BG1257" s="3394"/>
      <c r="BH1257" s="3394"/>
      <c r="BI1257" s="6443"/>
      <c r="BJ1257" s="6443"/>
      <c r="BK1257" s="6443"/>
      <c r="BL1257" s="6443"/>
      <c r="BM1257" s="6443"/>
      <c r="BN1257" s="3394"/>
      <c r="BO1257" s="6378"/>
      <c r="BP1257" s="6378"/>
      <c r="BQ1257" s="6378"/>
      <c r="BR1257" s="6378"/>
      <c r="BS1257" s="6378"/>
      <c r="BT1257" s="6378"/>
      <c r="BU1257" s="6378"/>
      <c r="BV1257" s="6378"/>
      <c r="BW1257" s="6450"/>
      <c r="BX1257" s="3426"/>
      <c r="BY1257" s="3426"/>
      <c r="BZ1257" s="3426"/>
      <c r="CA1257" s="3426"/>
      <c r="CB1257" s="6454"/>
      <c r="CC1257" s="6378"/>
      <c r="CD1257" s="6378"/>
      <c r="CE1257" s="5169"/>
      <c r="CF1257" s="5169"/>
      <c r="CG1257" s="5169"/>
      <c r="CH1257" s="5169"/>
    </row>
    <row r="1258" s="4965" customFormat="1" ht="50.25" customHeight="1" spans="1:86">
      <c r="A1258" s="5079"/>
      <c r="B1258" s="6040"/>
      <c r="C1258" s="5079">
        <v>45432</v>
      </c>
      <c r="D1258" s="6040"/>
      <c r="E1258" s="5820"/>
      <c r="F1258" s="2320" t="s">
        <v>2181</v>
      </c>
      <c r="G1258" s="2320" t="s">
        <v>2177</v>
      </c>
      <c r="H1258" s="2320" t="s">
        <v>2182</v>
      </c>
      <c r="I1258" s="2320"/>
      <c r="J1258" s="2320" t="s">
        <v>2179</v>
      </c>
      <c r="K1258" s="2320" t="s">
        <v>2183</v>
      </c>
      <c r="L1258" s="2320" t="s">
        <v>2184</v>
      </c>
      <c r="M1258" s="3063">
        <f>SUM(N1258:AA1262)</f>
        <v>927000</v>
      </c>
      <c r="N1258" s="3334"/>
      <c r="O1258" s="3334"/>
      <c r="P1258" s="3334"/>
      <c r="Q1258" s="3334"/>
      <c r="R1258" s="3334"/>
      <c r="S1258" s="3334"/>
      <c r="T1258" s="3334"/>
      <c r="U1258" s="3334"/>
      <c r="V1258" s="3334"/>
      <c r="W1258" s="3334"/>
      <c r="X1258" s="3334"/>
      <c r="Y1258" s="3334"/>
      <c r="Z1258" s="3334"/>
      <c r="AA1258" s="3334">
        <v>927000</v>
      </c>
      <c r="AB1258" s="6344" t="s">
        <v>126</v>
      </c>
      <c r="AC1258" s="3061">
        <v>1</v>
      </c>
      <c r="AD1258" s="5418" t="s">
        <v>2093</v>
      </c>
      <c r="AE1258" s="6381">
        <v>0.1</v>
      </c>
      <c r="AF1258" s="3094">
        <f>M1258*AE1258</f>
        <v>92700</v>
      </c>
      <c r="AG1258" s="6404">
        <f t="shared" si="265"/>
        <v>92700</v>
      </c>
      <c r="AH1258" s="6405" t="s">
        <v>122</v>
      </c>
      <c r="AI1258" s="6404">
        <v>45628</v>
      </c>
      <c r="AJ1258" s="4099">
        <v>92700</v>
      </c>
      <c r="AK1258" s="4099">
        <v>45628</v>
      </c>
      <c r="AL1258" s="3061">
        <v>92700</v>
      </c>
      <c r="AM1258" s="4099">
        <v>45629</v>
      </c>
      <c r="AN1258" s="4099">
        <f t="shared" si="263"/>
        <v>92700</v>
      </c>
      <c r="AO1258" s="4099">
        <v>45674</v>
      </c>
      <c r="AP1258" s="4099">
        <f t="shared" si="264"/>
        <v>0</v>
      </c>
      <c r="AQ1258" s="5458"/>
      <c r="AR1258" s="3061"/>
      <c r="AS1258" s="6437"/>
      <c r="AT1258" s="5458"/>
      <c r="AU1258" s="2680"/>
      <c r="AV1258" s="2680"/>
      <c r="AW1258" s="2680"/>
      <c r="AX1258" s="2680"/>
      <c r="AY1258" s="2680"/>
      <c r="AZ1258" s="2680"/>
      <c r="BA1258" s="4099"/>
      <c r="BB1258" s="4099"/>
      <c r="BC1258" s="4099"/>
      <c r="BD1258" s="4099"/>
      <c r="BE1258" s="4099"/>
      <c r="BF1258" s="4099"/>
      <c r="BG1258" s="4099"/>
      <c r="BH1258" s="4099"/>
      <c r="BI1258" s="5491"/>
      <c r="BJ1258" s="5491"/>
      <c r="BK1258" s="5491"/>
      <c r="BL1258" s="5491"/>
      <c r="BM1258" s="5491"/>
      <c r="BN1258" s="4099">
        <v>92700</v>
      </c>
      <c r="BO1258" s="3061"/>
      <c r="BP1258" s="3061"/>
      <c r="BQ1258" s="3061"/>
      <c r="BR1258" s="3061"/>
      <c r="BS1258" s="3061"/>
      <c r="BT1258" s="3061"/>
      <c r="BU1258" s="3061"/>
      <c r="BV1258" s="4099"/>
      <c r="BW1258" s="6451"/>
      <c r="BX1258" s="3094"/>
      <c r="BY1258" s="3094"/>
      <c r="BZ1258" s="3094"/>
      <c r="CA1258" s="3094"/>
      <c r="CB1258" s="6455">
        <v>92700</v>
      </c>
      <c r="CC1258" s="3061"/>
      <c r="CD1258" s="3061"/>
      <c r="CE1258" s="5169">
        <f>SUBTOTAL(9,BO1258:CB1258)</f>
        <v>92700</v>
      </c>
      <c r="CF1258" s="5169">
        <f>AN1258-CE1258</f>
        <v>0</v>
      </c>
      <c r="CG1258" s="5169"/>
      <c r="CH1258" s="5169"/>
    </row>
    <row r="1259" s="4965" customFormat="1" ht="50.25" customHeight="1" spans="1:86">
      <c r="A1259" s="5079"/>
      <c r="B1259" s="6040"/>
      <c r="C1259" s="5079"/>
      <c r="D1259" s="6040"/>
      <c r="E1259" s="5821"/>
      <c r="F1259" s="6305"/>
      <c r="G1259" s="6305"/>
      <c r="H1259" s="6305"/>
      <c r="I1259" s="2322"/>
      <c r="J1259" s="6305"/>
      <c r="K1259" s="2322"/>
      <c r="L1259" s="6305"/>
      <c r="M1259" s="3334"/>
      <c r="N1259" s="3334"/>
      <c r="O1259" s="3334"/>
      <c r="P1259" s="3334"/>
      <c r="Q1259" s="3334"/>
      <c r="R1259" s="3334"/>
      <c r="S1259" s="3334"/>
      <c r="T1259" s="3334"/>
      <c r="U1259" s="3334"/>
      <c r="V1259" s="3334"/>
      <c r="W1259" s="3334"/>
      <c r="X1259" s="3334"/>
      <c r="Y1259" s="3334"/>
      <c r="Z1259" s="3334"/>
      <c r="AA1259" s="3334"/>
      <c r="AB1259" s="3334"/>
      <c r="AC1259" s="3061">
        <v>2</v>
      </c>
      <c r="AD1259" s="5418" t="s">
        <v>2046</v>
      </c>
      <c r="AE1259" s="6381">
        <v>0.35</v>
      </c>
      <c r="AF1259" s="3094">
        <f>M1258*AE1259</f>
        <v>324450</v>
      </c>
      <c r="AG1259" s="6404">
        <f t="shared" si="265"/>
        <v>324450</v>
      </c>
      <c r="AH1259" s="6405" t="s">
        <v>122</v>
      </c>
      <c r="AI1259" s="6404">
        <v>45628</v>
      </c>
      <c r="AJ1259" s="4099">
        <v>324450</v>
      </c>
      <c r="AK1259" s="4099">
        <v>45628</v>
      </c>
      <c r="AL1259" s="3061">
        <v>324450</v>
      </c>
      <c r="AM1259" s="4099">
        <v>45629</v>
      </c>
      <c r="AN1259" s="4099">
        <f t="shared" si="263"/>
        <v>324450</v>
      </c>
      <c r="AO1259" s="4099">
        <v>45674</v>
      </c>
      <c r="AP1259" s="4099">
        <f t="shared" si="264"/>
        <v>0</v>
      </c>
      <c r="AQ1259" s="5458"/>
      <c r="AR1259" s="3061"/>
      <c r="AS1259" s="6437"/>
      <c r="AT1259" s="5458"/>
      <c r="AU1259" s="2680"/>
      <c r="AV1259" s="2680"/>
      <c r="AW1259" s="2680"/>
      <c r="AX1259" s="2680"/>
      <c r="AY1259" s="2680"/>
      <c r="AZ1259" s="2680"/>
      <c r="BA1259" s="4099"/>
      <c r="BB1259" s="4099"/>
      <c r="BC1259" s="4099"/>
      <c r="BD1259" s="4099"/>
      <c r="BE1259" s="4099"/>
      <c r="BF1259" s="4099"/>
      <c r="BG1259" s="4099"/>
      <c r="BH1259" s="4099"/>
      <c r="BI1259" s="5491"/>
      <c r="BJ1259" s="5491"/>
      <c r="BK1259" s="5491"/>
      <c r="BL1259" s="5491"/>
      <c r="BM1259" s="5491"/>
      <c r="BN1259" s="4099">
        <v>324450</v>
      </c>
      <c r="BO1259" s="3061"/>
      <c r="BP1259" s="3061"/>
      <c r="BQ1259" s="3061"/>
      <c r="BR1259" s="3061"/>
      <c r="BS1259" s="3061"/>
      <c r="BT1259" s="3061"/>
      <c r="BU1259" s="3061"/>
      <c r="BV1259" s="4099"/>
      <c r="BW1259" s="6451"/>
      <c r="BX1259" s="3094"/>
      <c r="BY1259" s="3094"/>
      <c r="BZ1259" s="3094"/>
      <c r="CA1259" s="3094"/>
      <c r="CB1259" s="6455">
        <v>324450</v>
      </c>
      <c r="CC1259" s="3061"/>
      <c r="CD1259" s="3061"/>
      <c r="CE1259" s="5169">
        <f>SUBTOTAL(9,BO1259:CB1259)</f>
        <v>324450</v>
      </c>
      <c r="CF1259" s="5169">
        <f>AN1259-CE1259</f>
        <v>0</v>
      </c>
      <c r="CG1259" s="5169"/>
      <c r="CH1259" s="5169"/>
    </row>
    <row r="1260" s="4965" customFormat="1" ht="50.25" customHeight="1" spans="1:86">
      <c r="A1260" s="5079"/>
      <c r="B1260" s="6040"/>
      <c r="C1260" s="5079"/>
      <c r="D1260" s="6040"/>
      <c r="E1260" s="5821"/>
      <c r="F1260" s="6305"/>
      <c r="G1260" s="6305"/>
      <c r="H1260" s="6305"/>
      <c r="I1260" s="2322"/>
      <c r="J1260" s="6305"/>
      <c r="K1260" s="2322"/>
      <c r="L1260" s="6305"/>
      <c r="M1260" s="3334"/>
      <c r="N1260" s="3334"/>
      <c r="O1260" s="3334"/>
      <c r="P1260" s="3334"/>
      <c r="Q1260" s="3334"/>
      <c r="R1260" s="3334"/>
      <c r="S1260" s="3334"/>
      <c r="T1260" s="3334"/>
      <c r="U1260" s="3334"/>
      <c r="V1260" s="3334"/>
      <c r="W1260" s="3334"/>
      <c r="X1260" s="3334"/>
      <c r="Y1260" s="3334"/>
      <c r="Z1260" s="3334"/>
      <c r="AA1260" s="3334"/>
      <c r="AB1260" s="3334"/>
      <c r="AC1260" s="3061">
        <v>3</v>
      </c>
      <c r="AD1260" s="5418" t="s">
        <v>2049</v>
      </c>
      <c r="AE1260" s="6381">
        <v>0.15</v>
      </c>
      <c r="AF1260" s="3094">
        <f>M1258*AE1260</f>
        <v>139050</v>
      </c>
      <c r="AG1260" s="6404">
        <f t="shared" si="265"/>
        <v>139050</v>
      </c>
      <c r="AH1260" s="6405" t="s">
        <v>122</v>
      </c>
      <c r="AI1260" s="6404">
        <v>45628</v>
      </c>
      <c r="AJ1260" s="4099">
        <v>139050</v>
      </c>
      <c r="AK1260" s="4099">
        <v>45628</v>
      </c>
      <c r="AL1260" s="3061">
        <v>139050</v>
      </c>
      <c r="AM1260" s="4099">
        <v>45629</v>
      </c>
      <c r="AN1260" s="4099">
        <f t="shared" si="263"/>
        <v>139050</v>
      </c>
      <c r="AO1260" s="4099">
        <v>45674</v>
      </c>
      <c r="AP1260" s="4099">
        <f t="shared" si="264"/>
        <v>0</v>
      </c>
      <c r="AQ1260" s="5458"/>
      <c r="AR1260" s="3061"/>
      <c r="AS1260" s="6437"/>
      <c r="AT1260" s="5458"/>
      <c r="AU1260" s="2680"/>
      <c r="AV1260" s="2680"/>
      <c r="AW1260" s="2680"/>
      <c r="AX1260" s="2680"/>
      <c r="AY1260" s="2680"/>
      <c r="AZ1260" s="2680"/>
      <c r="BA1260" s="4099"/>
      <c r="BB1260" s="4099"/>
      <c r="BC1260" s="4099"/>
      <c r="BD1260" s="4099"/>
      <c r="BE1260" s="4099"/>
      <c r="BF1260" s="4099"/>
      <c r="BG1260" s="4099"/>
      <c r="BH1260" s="4099"/>
      <c r="BI1260" s="5491"/>
      <c r="BJ1260" s="5491"/>
      <c r="BK1260" s="5491"/>
      <c r="BL1260" s="5491"/>
      <c r="BM1260" s="5491"/>
      <c r="BN1260" s="4099">
        <v>139050</v>
      </c>
      <c r="BO1260" s="3061"/>
      <c r="BP1260" s="3061"/>
      <c r="BQ1260" s="3061"/>
      <c r="BR1260" s="3061"/>
      <c r="BS1260" s="3061"/>
      <c r="BT1260" s="3061"/>
      <c r="BU1260" s="3061"/>
      <c r="BV1260" s="4099"/>
      <c r="BW1260" s="6451"/>
      <c r="BX1260" s="3094"/>
      <c r="BY1260" s="3094"/>
      <c r="BZ1260" s="3094"/>
      <c r="CA1260" s="3094"/>
      <c r="CB1260" s="6455">
        <v>139050</v>
      </c>
      <c r="CC1260" s="3061"/>
      <c r="CD1260" s="3061"/>
      <c r="CE1260" s="5169"/>
      <c r="CF1260" s="5169"/>
      <c r="CG1260" s="5169"/>
      <c r="CH1260" s="5169"/>
    </row>
    <row r="1261" s="4965" customFormat="1" ht="50.25" customHeight="1" spans="1:86">
      <c r="A1261" s="5079"/>
      <c r="B1261" s="6040"/>
      <c r="C1261" s="5079"/>
      <c r="D1261" s="6040"/>
      <c r="E1261" s="5821"/>
      <c r="F1261" s="6305"/>
      <c r="G1261" s="6305"/>
      <c r="H1261" s="6305"/>
      <c r="I1261" s="2322"/>
      <c r="J1261" s="6305"/>
      <c r="K1261" s="2322"/>
      <c r="L1261" s="6305"/>
      <c r="M1261" s="3334"/>
      <c r="N1261" s="3334"/>
      <c r="O1261" s="3334"/>
      <c r="P1261" s="3334"/>
      <c r="Q1261" s="3334"/>
      <c r="R1261" s="3334"/>
      <c r="S1261" s="3334"/>
      <c r="T1261" s="3334"/>
      <c r="U1261" s="3334"/>
      <c r="V1261" s="3334"/>
      <c r="W1261" s="3334"/>
      <c r="X1261" s="3334"/>
      <c r="Y1261" s="3334"/>
      <c r="Z1261" s="3334"/>
      <c r="AA1261" s="3334"/>
      <c r="AB1261" s="3334"/>
      <c r="AC1261" s="3061">
        <v>4</v>
      </c>
      <c r="AD1261" s="5418" t="s">
        <v>2051</v>
      </c>
      <c r="AE1261" s="6381">
        <v>0.25</v>
      </c>
      <c r="AF1261" s="3094">
        <f>M1258*AE1261</f>
        <v>231750</v>
      </c>
      <c r="AG1261" s="6404">
        <f t="shared" si="265"/>
        <v>231750</v>
      </c>
      <c r="AH1261" s="6405" t="s">
        <v>122</v>
      </c>
      <c r="AI1261" s="6404">
        <v>45628</v>
      </c>
      <c r="AJ1261" s="4099">
        <v>231750</v>
      </c>
      <c r="AK1261" s="4099">
        <v>45628</v>
      </c>
      <c r="AL1261" s="3061">
        <v>231750</v>
      </c>
      <c r="AM1261" s="4099">
        <v>45629</v>
      </c>
      <c r="AN1261" s="4099">
        <f t="shared" si="263"/>
        <v>231750</v>
      </c>
      <c r="AO1261" s="4099">
        <v>45674</v>
      </c>
      <c r="AP1261" s="4099">
        <f t="shared" si="264"/>
        <v>0</v>
      </c>
      <c r="AQ1261" s="5458"/>
      <c r="AR1261" s="3061"/>
      <c r="AS1261" s="6437"/>
      <c r="AT1261" s="5458"/>
      <c r="AU1261" s="2680"/>
      <c r="AV1261" s="2680"/>
      <c r="AW1261" s="2680"/>
      <c r="AX1261" s="2680"/>
      <c r="AY1261" s="2680"/>
      <c r="AZ1261" s="2680"/>
      <c r="BA1261" s="4099"/>
      <c r="BB1261" s="4099"/>
      <c r="BC1261" s="4099"/>
      <c r="BD1261" s="4099"/>
      <c r="BE1261" s="4099"/>
      <c r="BF1261" s="4099"/>
      <c r="BG1261" s="4099"/>
      <c r="BH1261" s="4099"/>
      <c r="BI1261" s="5491"/>
      <c r="BJ1261" s="5491"/>
      <c r="BK1261" s="5491"/>
      <c r="BL1261" s="5491"/>
      <c r="BM1261" s="5491"/>
      <c r="BN1261" s="4099">
        <v>231750</v>
      </c>
      <c r="BO1261" s="3061"/>
      <c r="BP1261" s="3061"/>
      <c r="BQ1261" s="3061"/>
      <c r="BR1261" s="3061"/>
      <c r="BS1261" s="3061"/>
      <c r="BT1261" s="3061"/>
      <c r="BU1261" s="3061"/>
      <c r="BV1261" s="4099"/>
      <c r="BW1261" s="6451"/>
      <c r="BX1261" s="3094"/>
      <c r="BY1261" s="3094"/>
      <c r="BZ1261" s="3094"/>
      <c r="CA1261" s="3094"/>
      <c r="CB1261" s="6455">
        <v>231750</v>
      </c>
      <c r="CC1261" s="3061"/>
      <c r="CD1261" s="3061"/>
      <c r="CE1261" s="5169"/>
      <c r="CF1261" s="5169"/>
      <c r="CG1261" s="5169"/>
      <c r="CH1261" s="5169"/>
    </row>
    <row r="1262" s="4965" customFormat="1" ht="50.25" customHeight="1" spans="1:86">
      <c r="A1262" s="5079"/>
      <c r="B1262" s="6040"/>
      <c r="C1262" s="5079"/>
      <c r="D1262" s="6040"/>
      <c r="E1262" s="5822"/>
      <c r="F1262" s="6306"/>
      <c r="G1262" s="6306"/>
      <c r="H1262" s="6306"/>
      <c r="I1262" s="2324"/>
      <c r="J1262" s="6306"/>
      <c r="K1262" s="2324"/>
      <c r="L1262" s="6305"/>
      <c r="M1262" s="3335"/>
      <c r="N1262" s="3335"/>
      <c r="O1262" s="3335"/>
      <c r="P1262" s="3335"/>
      <c r="Q1262" s="3335"/>
      <c r="R1262" s="3335"/>
      <c r="S1262" s="3335"/>
      <c r="T1262" s="3335"/>
      <c r="U1262" s="3335"/>
      <c r="V1262" s="3335"/>
      <c r="W1262" s="3335"/>
      <c r="X1262" s="3335"/>
      <c r="Y1262" s="3335"/>
      <c r="Z1262" s="3335"/>
      <c r="AA1262" s="3335"/>
      <c r="AB1262" s="3335"/>
      <c r="AC1262" s="3061">
        <v>5</v>
      </c>
      <c r="AD1262" s="5418" t="s">
        <v>2055</v>
      </c>
      <c r="AE1262" s="6381">
        <v>0.15</v>
      </c>
      <c r="AF1262" s="3094">
        <f>M1258*AE1262</f>
        <v>139050</v>
      </c>
      <c r="AG1262" s="4099">
        <f t="shared" si="265"/>
        <v>0</v>
      </c>
      <c r="AH1262" s="5418"/>
      <c r="AI1262" s="3061"/>
      <c r="AJ1262" s="3061"/>
      <c r="AK1262" s="3061"/>
      <c r="AL1262" s="3061"/>
      <c r="AM1262" s="3061"/>
      <c r="AN1262" s="4099">
        <f t="shared" si="263"/>
        <v>0</v>
      </c>
      <c r="AO1262" s="4099"/>
      <c r="AP1262" s="4099">
        <f t="shared" si="264"/>
        <v>0</v>
      </c>
      <c r="AQ1262" s="5458"/>
      <c r="AR1262" s="3061"/>
      <c r="AS1262" s="6437"/>
      <c r="AT1262" s="5458"/>
      <c r="AU1262" s="2680"/>
      <c r="AV1262" s="2680"/>
      <c r="AW1262" s="2680"/>
      <c r="AX1262" s="2680"/>
      <c r="AY1262" s="2680"/>
      <c r="AZ1262" s="2680"/>
      <c r="BA1262" s="4099"/>
      <c r="BB1262" s="4099"/>
      <c r="BC1262" s="4099"/>
      <c r="BD1262" s="4099"/>
      <c r="BE1262" s="4099"/>
      <c r="BF1262" s="4099"/>
      <c r="BG1262" s="4099"/>
      <c r="BH1262" s="4099"/>
      <c r="BI1262" s="5491"/>
      <c r="BJ1262" s="5491"/>
      <c r="BK1262" s="5491"/>
      <c r="BL1262" s="5491"/>
      <c r="BM1262" s="5491"/>
      <c r="BN1262" s="4099"/>
      <c r="BO1262" s="3061"/>
      <c r="BP1262" s="3061"/>
      <c r="BQ1262" s="3061"/>
      <c r="BR1262" s="3061"/>
      <c r="BS1262" s="3061"/>
      <c r="BT1262" s="3061"/>
      <c r="BU1262" s="3061"/>
      <c r="BV1262" s="3061"/>
      <c r="BW1262" s="6451"/>
      <c r="BX1262" s="3094"/>
      <c r="BY1262" s="3094"/>
      <c r="BZ1262" s="3094"/>
      <c r="CA1262" s="3094"/>
      <c r="CB1262" s="6455"/>
      <c r="CC1262" s="3061"/>
      <c r="CD1262" s="3061"/>
      <c r="CE1262" s="5169"/>
      <c r="CF1262" s="5169"/>
      <c r="CG1262" s="5169"/>
      <c r="CH1262" s="5169"/>
    </row>
    <row r="1263" s="4965" customFormat="1" ht="50.25" customHeight="1" spans="1:86">
      <c r="A1263" s="5079"/>
      <c r="B1263" s="6040"/>
      <c r="C1263" s="5820">
        <v>45432</v>
      </c>
      <c r="D1263" s="6040"/>
      <c r="E1263" s="5820"/>
      <c r="F1263" s="5553" t="s">
        <v>2185</v>
      </c>
      <c r="G1263" s="5553" t="s">
        <v>2177</v>
      </c>
      <c r="H1263" s="5553" t="s">
        <v>2186</v>
      </c>
      <c r="I1263" s="5553"/>
      <c r="J1263" s="5553" t="s">
        <v>2179</v>
      </c>
      <c r="K1263" s="5553" t="s">
        <v>2187</v>
      </c>
      <c r="L1263" s="5553" t="s">
        <v>2188</v>
      </c>
      <c r="M1263" s="5571">
        <f>SUM(N1263:AA1268)</f>
        <v>610710.3</v>
      </c>
      <c r="N1263" s="3324"/>
      <c r="O1263" s="3324"/>
      <c r="P1263" s="3324"/>
      <c r="Q1263" s="3324"/>
      <c r="R1263" s="3324"/>
      <c r="S1263" s="3324"/>
      <c r="T1263" s="3324"/>
      <c r="U1263" s="3324"/>
      <c r="V1263" s="3324"/>
      <c r="W1263" s="3324"/>
      <c r="X1263" s="3324"/>
      <c r="Y1263" s="3324"/>
      <c r="Z1263" s="3324"/>
      <c r="AA1263" s="3324">
        <f>835910.3-225200</f>
        <v>610710.3</v>
      </c>
      <c r="AB1263" s="6345" t="s">
        <v>126</v>
      </c>
      <c r="AC1263" s="2963">
        <v>1</v>
      </c>
      <c r="AD1263" s="5608" t="s">
        <v>1787</v>
      </c>
      <c r="AE1263" s="6382">
        <v>0.2</v>
      </c>
      <c r="AF1263" s="2982">
        <f>M1263*AE1263</f>
        <v>122142.06</v>
      </c>
      <c r="AG1263" s="2960">
        <f t="shared" si="265"/>
        <v>122142.06</v>
      </c>
      <c r="AH1263" s="5608" t="s">
        <v>122</v>
      </c>
      <c r="AI1263" s="2960">
        <v>45538</v>
      </c>
      <c r="AJ1263" s="2963">
        <v>122142.06</v>
      </c>
      <c r="AK1263" s="2960">
        <v>45538</v>
      </c>
      <c r="AL1263" s="2963">
        <v>122142.06</v>
      </c>
      <c r="AM1263" s="2963">
        <v>45540</v>
      </c>
      <c r="AN1263" s="2960">
        <f t="shared" si="263"/>
        <v>122142.06</v>
      </c>
      <c r="AO1263" s="2960">
        <v>45562</v>
      </c>
      <c r="AP1263" s="2960">
        <f t="shared" si="264"/>
        <v>0</v>
      </c>
      <c r="AQ1263" s="5634"/>
      <c r="AR1263" s="2963"/>
      <c r="AS1263" s="6438"/>
      <c r="AT1263" s="5634"/>
      <c r="AU1263" s="2680"/>
      <c r="AV1263" s="2680"/>
      <c r="AW1263" s="2680"/>
      <c r="AX1263" s="2680"/>
      <c r="AY1263" s="2680"/>
      <c r="AZ1263" s="2680"/>
      <c r="BA1263" s="2960"/>
      <c r="BB1263" s="2960"/>
      <c r="BC1263" s="2960"/>
      <c r="BD1263" s="2960"/>
      <c r="BE1263" s="2960"/>
      <c r="BF1263" s="2960"/>
      <c r="BG1263" s="2960"/>
      <c r="BH1263" s="2960"/>
      <c r="BI1263" s="918"/>
      <c r="BJ1263" s="918"/>
      <c r="BK1263" s="918"/>
      <c r="BL1263" s="918"/>
      <c r="BM1263" s="918"/>
      <c r="BN1263" s="2960">
        <v>122142.06</v>
      </c>
      <c r="BO1263" s="2963"/>
      <c r="BP1263" s="2963"/>
      <c r="BQ1263" s="2963"/>
      <c r="BR1263" s="2963"/>
      <c r="BS1263" s="2963"/>
      <c r="BT1263" s="2963"/>
      <c r="BU1263" s="2963"/>
      <c r="BV1263" s="2963"/>
      <c r="BW1263" s="5623"/>
      <c r="BX1263" s="2982"/>
      <c r="BY1263" s="2982"/>
      <c r="BZ1263" s="2982"/>
      <c r="CA1263" s="2982"/>
      <c r="CB1263" s="5651">
        <v>122142.06</v>
      </c>
      <c r="CC1263" s="2963"/>
      <c r="CD1263" s="2963"/>
      <c r="CE1263" s="5169">
        <f>SUBTOTAL(9,BO1263:CB1263)</f>
        <v>122142.06</v>
      </c>
      <c r="CF1263" s="5169">
        <f>AN1263-CE1263</f>
        <v>0</v>
      </c>
      <c r="CG1263" s="5169"/>
      <c r="CH1263" s="5169"/>
    </row>
    <row r="1264" s="4965" customFormat="1" ht="50.25" customHeight="1" spans="1:86">
      <c r="A1264" s="5079"/>
      <c r="B1264" s="6040"/>
      <c r="C1264" s="5821"/>
      <c r="D1264" s="6040"/>
      <c r="E1264" s="5821"/>
      <c r="F1264" s="5572"/>
      <c r="G1264" s="5572"/>
      <c r="H1264" s="5572"/>
      <c r="I1264" s="5572"/>
      <c r="J1264" s="5572"/>
      <c r="K1264" s="5572"/>
      <c r="L1264" s="5554"/>
      <c r="M1264" s="3324"/>
      <c r="N1264" s="3324"/>
      <c r="O1264" s="3324"/>
      <c r="P1264" s="3324"/>
      <c r="Q1264" s="3324"/>
      <c r="R1264" s="3324"/>
      <c r="S1264" s="3324"/>
      <c r="T1264" s="3324"/>
      <c r="U1264" s="3324"/>
      <c r="V1264" s="3324"/>
      <c r="W1264" s="3324"/>
      <c r="X1264" s="3324"/>
      <c r="Y1264" s="3324"/>
      <c r="Z1264" s="3324"/>
      <c r="AA1264" s="3324"/>
      <c r="AB1264" s="3324"/>
      <c r="AC1264" s="2963">
        <v>2</v>
      </c>
      <c r="AD1264" s="5608" t="s">
        <v>2189</v>
      </c>
      <c r="AE1264" s="6382">
        <v>0.2</v>
      </c>
      <c r="AF1264" s="2982">
        <f>M1263*AE1264</f>
        <v>122142.06</v>
      </c>
      <c r="AG1264" s="2960">
        <f t="shared" si="265"/>
        <v>122142.06</v>
      </c>
      <c r="AH1264" s="5608" t="s">
        <v>122</v>
      </c>
      <c r="AI1264" s="2960">
        <v>45538</v>
      </c>
      <c r="AJ1264" s="2963">
        <v>122142.06</v>
      </c>
      <c r="AK1264" s="2960">
        <v>45538</v>
      </c>
      <c r="AL1264" s="2963">
        <v>122142.06</v>
      </c>
      <c r="AM1264" s="2963">
        <v>45540</v>
      </c>
      <c r="AN1264" s="2960">
        <f t="shared" si="263"/>
        <v>122142.06</v>
      </c>
      <c r="AO1264" s="2960">
        <v>45562</v>
      </c>
      <c r="AP1264" s="2960">
        <f t="shared" si="264"/>
        <v>0</v>
      </c>
      <c r="AQ1264" s="5634"/>
      <c r="AR1264" s="2963"/>
      <c r="AS1264" s="6438"/>
      <c r="AT1264" s="5634"/>
      <c r="AU1264" s="2680"/>
      <c r="AV1264" s="2680"/>
      <c r="AW1264" s="2680"/>
      <c r="AX1264" s="2680"/>
      <c r="AY1264" s="2680"/>
      <c r="AZ1264" s="2680"/>
      <c r="BA1264" s="2960"/>
      <c r="BB1264" s="2960"/>
      <c r="BC1264" s="2960"/>
      <c r="BD1264" s="2960"/>
      <c r="BE1264" s="2960"/>
      <c r="BF1264" s="2960"/>
      <c r="BG1264" s="2960"/>
      <c r="BH1264" s="2960"/>
      <c r="BI1264" s="918"/>
      <c r="BJ1264" s="918"/>
      <c r="BK1264" s="918"/>
      <c r="BL1264" s="918"/>
      <c r="BM1264" s="918"/>
      <c r="BN1264" s="2960">
        <v>122142.06</v>
      </c>
      <c r="BO1264" s="2963"/>
      <c r="BP1264" s="2963"/>
      <c r="BQ1264" s="2963"/>
      <c r="BR1264" s="2963"/>
      <c r="BS1264" s="2963"/>
      <c r="BT1264" s="2963"/>
      <c r="BU1264" s="2963"/>
      <c r="BV1264" s="2963"/>
      <c r="BW1264" s="5623"/>
      <c r="BX1264" s="2982"/>
      <c r="BY1264" s="2982"/>
      <c r="BZ1264" s="2982"/>
      <c r="CA1264" s="2982"/>
      <c r="CB1264" s="5651">
        <v>122142.06</v>
      </c>
      <c r="CC1264" s="2963"/>
      <c r="CD1264" s="2963"/>
      <c r="CE1264" s="5169">
        <f>SUBTOTAL(9,BO1264:CB1264)</f>
        <v>122142.06</v>
      </c>
      <c r="CF1264" s="5169">
        <f>AN1264-CE1264</f>
        <v>0</v>
      </c>
      <c r="CG1264" s="5169"/>
      <c r="CH1264" s="5169"/>
    </row>
    <row r="1265" s="4965" customFormat="1" ht="50.25" customHeight="1" spans="1:86">
      <c r="A1265" s="5079"/>
      <c r="B1265" s="6040"/>
      <c r="C1265" s="5821"/>
      <c r="D1265" s="6040"/>
      <c r="E1265" s="5821"/>
      <c r="F1265" s="5572"/>
      <c r="G1265" s="5572"/>
      <c r="H1265" s="5572"/>
      <c r="I1265" s="5572"/>
      <c r="J1265" s="5572"/>
      <c r="K1265" s="5572"/>
      <c r="L1265" s="5554"/>
      <c r="M1265" s="3324"/>
      <c r="N1265" s="3324"/>
      <c r="O1265" s="3324"/>
      <c r="P1265" s="3324"/>
      <c r="Q1265" s="3324"/>
      <c r="R1265" s="3324"/>
      <c r="S1265" s="3324"/>
      <c r="T1265" s="3324"/>
      <c r="U1265" s="3324"/>
      <c r="V1265" s="3324"/>
      <c r="W1265" s="3324"/>
      <c r="X1265" s="3324"/>
      <c r="Y1265" s="3324"/>
      <c r="Z1265" s="3324"/>
      <c r="AA1265" s="3324"/>
      <c r="AB1265" s="3324"/>
      <c r="AC1265" s="2963">
        <v>3</v>
      </c>
      <c r="AD1265" s="5608" t="s">
        <v>2190</v>
      </c>
      <c r="AE1265" s="6382">
        <v>0.2</v>
      </c>
      <c r="AF1265" s="2982">
        <f>M1263*AE1265</f>
        <v>122142.06</v>
      </c>
      <c r="AG1265" s="2960">
        <f t="shared" si="265"/>
        <v>122142.06</v>
      </c>
      <c r="AH1265" s="5608" t="s">
        <v>122</v>
      </c>
      <c r="AI1265" s="2963">
        <v>45538</v>
      </c>
      <c r="AJ1265" s="2963">
        <v>122142.06</v>
      </c>
      <c r="AK1265" s="2963">
        <v>45538</v>
      </c>
      <c r="AL1265" s="2963">
        <v>122142.06</v>
      </c>
      <c r="AM1265" s="2963">
        <v>45540</v>
      </c>
      <c r="AN1265" s="2960">
        <f t="shared" si="263"/>
        <v>122142.06</v>
      </c>
      <c r="AO1265" s="2960">
        <v>45562</v>
      </c>
      <c r="AP1265" s="2960">
        <f t="shared" si="264"/>
        <v>0</v>
      </c>
      <c r="AQ1265" s="5634"/>
      <c r="AR1265" s="2963"/>
      <c r="AS1265" s="6438"/>
      <c r="AT1265" s="5634"/>
      <c r="AU1265" s="2680"/>
      <c r="AV1265" s="2680"/>
      <c r="AW1265" s="2680"/>
      <c r="AX1265" s="2680"/>
      <c r="AY1265" s="2680"/>
      <c r="AZ1265" s="2680"/>
      <c r="BA1265" s="2960"/>
      <c r="BB1265" s="2960"/>
      <c r="BC1265" s="2960"/>
      <c r="BD1265" s="2960"/>
      <c r="BE1265" s="2960"/>
      <c r="BF1265" s="2960"/>
      <c r="BG1265" s="2960"/>
      <c r="BH1265" s="2960"/>
      <c r="BI1265" s="918"/>
      <c r="BJ1265" s="918"/>
      <c r="BK1265" s="918"/>
      <c r="BL1265" s="918"/>
      <c r="BM1265" s="918"/>
      <c r="BN1265" s="2960">
        <v>122142.06</v>
      </c>
      <c r="BO1265" s="2963"/>
      <c r="BP1265" s="2963"/>
      <c r="BQ1265" s="2963"/>
      <c r="BR1265" s="2963"/>
      <c r="BS1265" s="2963"/>
      <c r="BT1265" s="2963"/>
      <c r="BU1265" s="2963"/>
      <c r="BV1265" s="2963"/>
      <c r="BW1265" s="5623"/>
      <c r="BX1265" s="2982"/>
      <c r="BY1265" s="2982"/>
      <c r="BZ1265" s="2982"/>
      <c r="CA1265" s="2982"/>
      <c r="CB1265" s="5651">
        <v>122142.06</v>
      </c>
      <c r="CC1265" s="2963"/>
      <c r="CD1265" s="2963"/>
      <c r="CE1265" s="5169"/>
      <c r="CF1265" s="5169"/>
      <c r="CG1265" s="5169"/>
      <c r="CH1265" s="5169"/>
    </row>
    <row r="1266" s="4965" customFormat="1" ht="50.25" customHeight="1" spans="1:86">
      <c r="A1266" s="5079"/>
      <c r="B1266" s="6040"/>
      <c r="C1266" s="5821"/>
      <c r="D1266" s="6040"/>
      <c r="E1266" s="5821"/>
      <c r="F1266" s="5572"/>
      <c r="G1266" s="5572"/>
      <c r="H1266" s="5572"/>
      <c r="I1266" s="5572"/>
      <c r="J1266" s="5572"/>
      <c r="K1266" s="5572"/>
      <c r="L1266" s="5554"/>
      <c r="M1266" s="3324"/>
      <c r="N1266" s="3324"/>
      <c r="O1266" s="3324"/>
      <c r="P1266" s="3324"/>
      <c r="Q1266" s="3324"/>
      <c r="R1266" s="3324"/>
      <c r="S1266" s="3324"/>
      <c r="T1266" s="3324"/>
      <c r="U1266" s="3324"/>
      <c r="V1266" s="3324"/>
      <c r="W1266" s="3324"/>
      <c r="X1266" s="3324"/>
      <c r="Y1266" s="3324"/>
      <c r="Z1266" s="3324"/>
      <c r="AA1266" s="3324"/>
      <c r="AB1266" s="3324"/>
      <c r="AC1266" s="2963">
        <v>4</v>
      </c>
      <c r="AD1266" s="5608" t="s">
        <v>2191</v>
      </c>
      <c r="AE1266" s="6382">
        <v>0.2</v>
      </c>
      <c r="AF1266" s="2982">
        <f>M1263*AE1266</f>
        <v>122142.06</v>
      </c>
      <c r="AG1266" s="2960">
        <f t="shared" si="265"/>
        <v>122142.06</v>
      </c>
      <c r="AH1266" s="5608" t="s">
        <v>122</v>
      </c>
      <c r="AI1266" s="2963">
        <v>45538</v>
      </c>
      <c r="AJ1266" s="2963">
        <v>122142.06</v>
      </c>
      <c r="AK1266" s="2963">
        <v>45538</v>
      </c>
      <c r="AL1266" s="2963">
        <v>122142.06</v>
      </c>
      <c r="AM1266" s="2963">
        <v>45540</v>
      </c>
      <c r="AN1266" s="2960">
        <f t="shared" si="263"/>
        <v>122142.06</v>
      </c>
      <c r="AO1266" s="2960">
        <v>45562</v>
      </c>
      <c r="AP1266" s="2960">
        <f t="shared" si="264"/>
        <v>0</v>
      </c>
      <c r="AQ1266" s="5634"/>
      <c r="AR1266" s="2963"/>
      <c r="AS1266" s="6438"/>
      <c r="AT1266" s="5634"/>
      <c r="AU1266" s="2680"/>
      <c r="AV1266" s="2680"/>
      <c r="AW1266" s="2680"/>
      <c r="AX1266" s="2680"/>
      <c r="AY1266" s="2680"/>
      <c r="AZ1266" s="2680"/>
      <c r="BA1266" s="2960"/>
      <c r="BB1266" s="2960"/>
      <c r="BC1266" s="2960"/>
      <c r="BD1266" s="2960"/>
      <c r="BE1266" s="2960"/>
      <c r="BF1266" s="2960"/>
      <c r="BG1266" s="2960"/>
      <c r="BH1266" s="2960"/>
      <c r="BI1266" s="918"/>
      <c r="BJ1266" s="918"/>
      <c r="BK1266" s="918"/>
      <c r="BL1266" s="918"/>
      <c r="BM1266" s="918"/>
      <c r="BN1266" s="2960">
        <v>122142.06</v>
      </c>
      <c r="BO1266" s="2963"/>
      <c r="BP1266" s="2963"/>
      <c r="BQ1266" s="2963"/>
      <c r="BR1266" s="2963"/>
      <c r="BS1266" s="2963"/>
      <c r="BT1266" s="2963"/>
      <c r="BU1266" s="2963"/>
      <c r="BV1266" s="2963"/>
      <c r="BW1266" s="5623"/>
      <c r="BX1266" s="2982"/>
      <c r="BY1266" s="2982"/>
      <c r="BZ1266" s="2982"/>
      <c r="CA1266" s="2982"/>
      <c r="CB1266" s="5651">
        <v>122142.06</v>
      </c>
      <c r="CC1266" s="2963"/>
      <c r="CD1266" s="2963"/>
      <c r="CE1266" s="5169"/>
      <c r="CF1266" s="5169"/>
      <c r="CG1266" s="5169"/>
      <c r="CH1266" s="5169"/>
    </row>
    <row r="1267" s="4965" customFormat="1" ht="50.25" customHeight="1" spans="1:86">
      <c r="A1267" s="5079"/>
      <c r="B1267" s="6040"/>
      <c r="C1267" s="5821"/>
      <c r="D1267" s="6040"/>
      <c r="E1267" s="5821"/>
      <c r="F1267" s="5572"/>
      <c r="G1267" s="5572"/>
      <c r="H1267" s="5572"/>
      <c r="I1267" s="5572"/>
      <c r="J1267" s="5572"/>
      <c r="K1267" s="5572"/>
      <c r="L1267" s="5554"/>
      <c r="M1267" s="3324"/>
      <c r="N1267" s="3324"/>
      <c r="O1267" s="3324"/>
      <c r="P1267" s="3324"/>
      <c r="Q1267" s="3324"/>
      <c r="R1267" s="3324"/>
      <c r="S1267" s="3324"/>
      <c r="T1267" s="3324"/>
      <c r="U1267" s="3324"/>
      <c r="V1267" s="3324"/>
      <c r="W1267" s="3324"/>
      <c r="X1267" s="3324"/>
      <c r="Y1267" s="3324"/>
      <c r="Z1267" s="3324"/>
      <c r="AA1267" s="3324"/>
      <c r="AB1267" s="3324"/>
      <c r="AC1267" s="5571">
        <v>5</v>
      </c>
      <c r="AD1267" s="5608" t="s">
        <v>2192</v>
      </c>
      <c r="AE1267" s="6383">
        <v>0.2</v>
      </c>
      <c r="AF1267" s="6384">
        <f>M1263*AE1267</f>
        <v>122142.06</v>
      </c>
      <c r="AG1267" s="2960">
        <f t="shared" si="265"/>
        <v>54798.6</v>
      </c>
      <c r="AH1267" s="5608" t="s">
        <v>122</v>
      </c>
      <c r="AI1267" s="2963">
        <v>45538</v>
      </c>
      <c r="AJ1267" s="2963">
        <v>54798.6</v>
      </c>
      <c r="AK1267" s="2963">
        <v>45538</v>
      </c>
      <c r="AL1267" s="2963">
        <v>54798.6</v>
      </c>
      <c r="AM1267" s="2963">
        <v>45540</v>
      </c>
      <c r="AN1267" s="2960">
        <f t="shared" si="263"/>
        <v>54798.6</v>
      </c>
      <c r="AO1267" s="2960">
        <v>45562</v>
      </c>
      <c r="AP1267" s="2960">
        <f t="shared" si="264"/>
        <v>0</v>
      </c>
      <c r="AQ1267" s="5634"/>
      <c r="AR1267" s="2963"/>
      <c r="AS1267" s="6438"/>
      <c r="AT1267" s="5634"/>
      <c r="AU1267" s="2680"/>
      <c r="AV1267" s="2680"/>
      <c r="AW1267" s="2680"/>
      <c r="AX1267" s="2680"/>
      <c r="AY1267" s="2680"/>
      <c r="AZ1267" s="2680"/>
      <c r="BA1267" s="2960"/>
      <c r="BB1267" s="2960"/>
      <c r="BC1267" s="2960"/>
      <c r="BD1267" s="2960"/>
      <c r="BE1267" s="2960"/>
      <c r="BF1267" s="2960"/>
      <c r="BG1267" s="2960"/>
      <c r="BH1267" s="2960"/>
      <c r="BI1267" s="918"/>
      <c r="BJ1267" s="918"/>
      <c r="BK1267" s="918"/>
      <c r="BL1267" s="918"/>
      <c r="BM1267" s="918"/>
      <c r="BN1267" s="2960">
        <v>54798.6</v>
      </c>
      <c r="BO1267" s="2963"/>
      <c r="BP1267" s="2963"/>
      <c r="BQ1267" s="2963"/>
      <c r="BR1267" s="2963"/>
      <c r="BS1267" s="2963"/>
      <c r="BT1267" s="2963"/>
      <c r="BU1267" s="2963"/>
      <c r="BV1267" s="2963"/>
      <c r="BW1267" s="5623"/>
      <c r="BX1267" s="2982"/>
      <c r="BY1267" s="2982"/>
      <c r="BZ1267" s="2982"/>
      <c r="CA1267" s="2982"/>
      <c r="CB1267" s="5651">
        <v>54798.6</v>
      </c>
      <c r="CC1267" s="2963"/>
      <c r="CD1267" s="2963"/>
      <c r="CE1267" s="5169"/>
      <c r="CF1267" s="5169"/>
      <c r="CG1267" s="5169"/>
      <c r="CH1267" s="5169"/>
    </row>
    <row r="1268" s="4965" customFormat="1" ht="50.25" customHeight="1" spans="1:86">
      <c r="A1268" s="5079"/>
      <c r="B1268" s="6040"/>
      <c r="C1268" s="5821"/>
      <c r="D1268" s="6040"/>
      <c r="E1268" s="5821"/>
      <c r="F1268" s="5572"/>
      <c r="G1268" s="5572"/>
      <c r="H1268" s="5572"/>
      <c r="I1268" s="4671"/>
      <c r="J1268" s="5572"/>
      <c r="K1268" s="5572"/>
      <c r="L1268" s="5554"/>
      <c r="M1268" s="3383"/>
      <c r="N1268" s="3383"/>
      <c r="O1268" s="3383"/>
      <c r="P1268" s="3383"/>
      <c r="Q1268" s="3383"/>
      <c r="R1268" s="3383"/>
      <c r="S1268" s="3383"/>
      <c r="T1268" s="3383"/>
      <c r="U1268" s="3383"/>
      <c r="V1268" s="3383"/>
      <c r="W1268" s="3383"/>
      <c r="X1268" s="3383"/>
      <c r="Y1268" s="3383"/>
      <c r="Z1268" s="3383"/>
      <c r="AA1268" s="3383"/>
      <c r="AB1268" s="3383"/>
      <c r="AC1268" s="3383"/>
      <c r="AD1268" s="5608" t="s">
        <v>2193</v>
      </c>
      <c r="AE1268" s="6385"/>
      <c r="AF1268" s="3416"/>
      <c r="AG1268" s="2960">
        <f t="shared" si="265"/>
        <v>0</v>
      </c>
      <c r="AH1268" s="5608"/>
      <c r="AI1268" s="2963"/>
      <c r="AJ1268" s="2963"/>
      <c r="AK1268" s="2963"/>
      <c r="AL1268" s="2963"/>
      <c r="AM1268" s="2963"/>
      <c r="AN1268" s="2960">
        <f t="shared" si="263"/>
        <v>0</v>
      </c>
      <c r="AO1268" s="2960"/>
      <c r="AP1268" s="2960">
        <f t="shared" si="264"/>
        <v>0</v>
      </c>
      <c r="AQ1268" s="5634"/>
      <c r="AR1268" s="2963"/>
      <c r="AS1268" s="6438"/>
      <c r="AT1268" s="5634"/>
      <c r="AU1268" s="2680"/>
      <c r="AV1268" s="2680"/>
      <c r="AW1268" s="2680"/>
      <c r="AX1268" s="2680"/>
      <c r="AY1268" s="2680"/>
      <c r="AZ1268" s="2680"/>
      <c r="BA1268" s="2960"/>
      <c r="BB1268" s="2960"/>
      <c r="BC1268" s="2960"/>
      <c r="BD1268" s="2960"/>
      <c r="BE1268" s="2960"/>
      <c r="BF1268" s="2960"/>
      <c r="BG1268" s="2960"/>
      <c r="BH1268" s="2960"/>
      <c r="BI1268" s="918"/>
      <c r="BJ1268" s="918"/>
      <c r="BK1268" s="918"/>
      <c r="BL1268" s="918"/>
      <c r="BM1268" s="918"/>
      <c r="BN1268" s="2960"/>
      <c r="BO1268" s="2963"/>
      <c r="BP1268" s="2963"/>
      <c r="BQ1268" s="2963"/>
      <c r="BR1268" s="2963"/>
      <c r="BS1268" s="2963"/>
      <c r="BT1268" s="2963"/>
      <c r="BU1268" s="2963"/>
      <c r="BV1268" s="2963"/>
      <c r="BW1268" s="5623"/>
      <c r="BX1268" s="2982"/>
      <c r="BY1268" s="2982"/>
      <c r="BZ1268" s="2982"/>
      <c r="CA1268" s="2982"/>
      <c r="CB1268" s="5651"/>
      <c r="CC1268" s="2963"/>
      <c r="CD1268" s="2963"/>
      <c r="CE1268" s="5169"/>
      <c r="CF1268" s="5169"/>
      <c r="CG1268" s="5169"/>
      <c r="CH1268" s="5169"/>
    </row>
    <row r="1269" s="4965" customFormat="1" ht="50.25" customHeight="1" spans="1:86">
      <c r="A1269" s="5079"/>
      <c r="B1269" s="6040"/>
      <c r="C1269" s="5821"/>
      <c r="D1269" s="6040"/>
      <c r="E1269" s="5821"/>
      <c r="F1269" s="5572"/>
      <c r="G1269" s="5572"/>
      <c r="H1269" s="5572" t="s">
        <v>2194</v>
      </c>
      <c r="I1269" s="5571"/>
      <c r="J1269" s="5572"/>
      <c r="K1269" s="6322" t="s">
        <v>2195</v>
      </c>
      <c r="L1269" s="6322" t="s">
        <v>2196</v>
      </c>
      <c r="M1269" s="5571">
        <f>SUM(N1269:AA1273)</f>
        <v>225200</v>
      </c>
      <c r="N1269" s="5571"/>
      <c r="O1269" s="5571"/>
      <c r="P1269" s="5571"/>
      <c r="Q1269" s="5571"/>
      <c r="R1269" s="5571"/>
      <c r="S1269" s="5571"/>
      <c r="T1269" s="5571"/>
      <c r="U1269" s="5571"/>
      <c r="V1269" s="5571"/>
      <c r="W1269" s="5571"/>
      <c r="X1269" s="5571"/>
      <c r="Y1269" s="5571"/>
      <c r="Z1269" s="5571"/>
      <c r="AA1269" s="5571">
        <v>225200</v>
      </c>
      <c r="AB1269" s="5585" t="s">
        <v>126</v>
      </c>
      <c r="AC1269" s="2963">
        <v>1</v>
      </c>
      <c r="AD1269" s="5608" t="s">
        <v>1787</v>
      </c>
      <c r="AE1269" s="6382">
        <v>0.2</v>
      </c>
      <c r="AF1269" s="6386">
        <f>M1269*AE1269</f>
        <v>45040</v>
      </c>
      <c r="AG1269" s="2960">
        <f t="shared" si="265"/>
        <v>45040</v>
      </c>
      <c r="AH1269" s="5608" t="s">
        <v>122</v>
      </c>
      <c r="AI1269" s="5608">
        <v>45744</v>
      </c>
      <c r="AJ1269" s="5608">
        <v>45040</v>
      </c>
      <c r="AK1269" s="5608">
        <v>45744</v>
      </c>
      <c r="AL1269" s="5608">
        <v>45040</v>
      </c>
      <c r="AM1269" s="5608">
        <v>45744</v>
      </c>
      <c r="AN1269" s="2960">
        <f t="shared" si="263"/>
        <v>45040</v>
      </c>
      <c r="AO1269" s="5608">
        <v>45777</v>
      </c>
      <c r="AP1269" s="2960">
        <f t="shared" si="264"/>
        <v>0</v>
      </c>
      <c r="AQ1269" s="5608"/>
      <c r="AR1269" s="5608"/>
      <c r="AS1269" s="5608"/>
      <c r="AT1269" s="5608"/>
      <c r="AU1269" s="5608"/>
      <c r="AV1269" s="5608"/>
      <c r="AW1269" s="5608"/>
      <c r="AX1269" s="5608"/>
      <c r="AY1269" s="5608"/>
      <c r="AZ1269" s="5608"/>
      <c r="BA1269" s="5608"/>
      <c r="BB1269" s="5608"/>
      <c r="BC1269" s="5608"/>
      <c r="BD1269" s="5608"/>
      <c r="BE1269" s="5608"/>
      <c r="BF1269" s="5608"/>
      <c r="BG1269" s="5608"/>
      <c r="BH1269" s="5608"/>
      <c r="BI1269" s="5608"/>
      <c r="BJ1269" s="5608"/>
      <c r="BK1269" s="5608"/>
      <c r="BL1269" s="5608"/>
      <c r="BM1269" s="5608"/>
      <c r="BN1269" s="5608">
        <v>45040</v>
      </c>
      <c r="BO1269" s="5608"/>
      <c r="BP1269" s="5608"/>
      <c r="BQ1269" s="5608"/>
      <c r="BR1269" s="5608"/>
      <c r="BS1269" s="5608"/>
      <c r="BT1269" s="5608"/>
      <c r="BU1269" s="5608"/>
      <c r="BV1269" s="5608"/>
      <c r="BW1269" s="5608"/>
      <c r="BX1269" s="5608"/>
      <c r="BY1269" s="5608"/>
      <c r="BZ1269" s="5608"/>
      <c r="CA1269" s="5608"/>
      <c r="CB1269" s="5608">
        <v>45040</v>
      </c>
      <c r="CC1269" s="5608"/>
      <c r="CD1269" s="5608"/>
      <c r="CE1269" s="5169"/>
      <c r="CF1269" s="5169"/>
      <c r="CG1269" s="5169"/>
      <c r="CH1269" s="5169"/>
    </row>
    <row r="1270" s="4965" customFormat="1" ht="50.25" customHeight="1" spans="1:86">
      <c r="A1270" s="5079"/>
      <c r="B1270" s="6040"/>
      <c r="C1270" s="5821"/>
      <c r="D1270" s="6040"/>
      <c r="E1270" s="5821"/>
      <c r="F1270" s="5572"/>
      <c r="G1270" s="5572"/>
      <c r="H1270" s="5572"/>
      <c r="I1270" s="3324"/>
      <c r="J1270" s="5572"/>
      <c r="K1270" s="5554"/>
      <c r="L1270" s="5554"/>
      <c r="M1270" s="3324"/>
      <c r="N1270" s="3324"/>
      <c r="O1270" s="3324"/>
      <c r="P1270" s="3324"/>
      <c r="Q1270" s="3324"/>
      <c r="R1270" s="3324"/>
      <c r="S1270" s="3324"/>
      <c r="T1270" s="3324"/>
      <c r="U1270" s="3324"/>
      <c r="V1270" s="3324"/>
      <c r="W1270" s="3324"/>
      <c r="X1270" s="3324"/>
      <c r="Y1270" s="3324"/>
      <c r="Z1270" s="3324"/>
      <c r="AA1270" s="3324"/>
      <c r="AB1270" s="3324"/>
      <c r="AC1270" s="2963">
        <v>2</v>
      </c>
      <c r="AD1270" s="5608" t="s">
        <v>2189</v>
      </c>
      <c r="AE1270" s="6382">
        <v>0.2</v>
      </c>
      <c r="AF1270" s="6386">
        <f>M1269*AE1270</f>
        <v>45040</v>
      </c>
      <c r="AG1270" s="2960">
        <f t="shared" si="265"/>
        <v>45040</v>
      </c>
      <c r="AH1270" s="5608" t="s">
        <v>122</v>
      </c>
      <c r="AI1270" s="5608">
        <v>45744</v>
      </c>
      <c r="AJ1270" s="5608">
        <v>45040</v>
      </c>
      <c r="AK1270" s="5608">
        <v>45744</v>
      </c>
      <c r="AL1270" s="5608">
        <v>45040</v>
      </c>
      <c r="AM1270" s="5608">
        <v>45744</v>
      </c>
      <c r="AN1270" s="2960">
        <f t="shared" si="263"/>
        <v>45040</v>
      </c>
      <c r="AO1270" s="5608">
        <v>45777</v>
      </c>
      <c r="AP1270" s="2960">
        <f t="shared" si="264"/>
        <v>0</v>
      </c>
      <c r="AQ1270" s="5608"/>
      <c r="AR1270" s="5608"/>
      <c r="AS1270" s="5608"/>
      <c r="AT1270" s="5608"/>
      <c r="AU1270" s="5608"/>
      <c r="AV1270" s="5608"/>
      <c r="AW1270" s="5608"/>
      <c r="AX1270" s="5608"/>
      <c r="AY1270" s="5608"/>
      <c r="AZ1270" s="5608"/>
      <c r="BA1270" s="5608"/>
      <c r="BB1270" s="5608"/>
      <c r="BC1270" s="5608"/>
      <c r="BD1270" s="5608"/>
      <c r="BE1270" s="5608"/>
      <c r="BF1270" s="5608"/>
      <c r="BG1270" s="5608"/>
      <c r="BH1270" s="5608"/>
      <c r="BI1270" s="5608"/>
      <c r="BJ1270" s="5608"/>
      <c r="BK1270" s="5608"/>
      <c r="BL1270" s="5608"/>
      <c r="BM1270" s="5608"/>
      <c r="BN1270" s="5608">
        <v>45040</v>
      </c>
      <c r="BO1270" s="5608"/>
      <c r="BP1270" s="5608"/>
      <c r="BQ1270" s="5608"/>
      <c r="BR1270" s="5608"/>
      <c r="BS1270" s="5608"/>
      <c r="BT1270" s="5608"/>
      <c r="BU1270" s="5608"/>
      <c r="BV1270" s="5608"/>
      <c r="BW1270" s="5608"/>
      <c r="BX1270" s="5608"/>
      <c r="BY1270" s="5608"/>
      <c r="BZ1270" s="5608"/>
      <c r="CA1270" s="5608"/>
      <c r="CB1270" s="5608">
        <v>45040</v>
      </c>
      <c r="CC1270" s="5608"/>
      <c r="CD1270" s="5608"/>
      <c r="CE1270" s="5169"/>
      <c r="CF1270" s="5169"/>
      <c r="CG1270" s="5169"/>
      <c r="CH1270" s="5169"/>
    </row>
    <row r="1271" s="4965" customFormat="1" ht="50.25" customHeight="1" spans="1:86">
      <c r="A1271" s="5079"/>
      <c r="B1271" s="6040"/>
      <c r="C1271" s="5821"/>
      <c r="D1271" s="6040"/>
      <c r="E1271" s="5821"/>
      <c r="F1271" s="5572"/>
      <c r="G1271" s="5572"/>
      <c r="H1271" s="5572"/>
      <c r="I1271" s="3324"/>
      <c r="J1271" s="5572"/>
      <c r="K1271" s="5554"/>
      <c r="L1271" s="5554"/>
      <c r="M1271" s="3324"/>
      <c r="N1271" s="3324"/>
      <c r="O1271" s="3324"/>
      <c r="P1271" s="3324"/>
      <c r="Q1271" s="3324"/>
      <c r="R1271" s="3324"/>
      <c r="S1271" s="3324"/>
      <c r="T1271" s="3324"/>
      <c r="U1271" s="3324"/>
      <c r="V1271" s="3324"/>
      <c r="W1271" s="3324"/>
      <c r="X1271" s="3324"/>
      <c r="Y1271" s="3324"/>
      <c r="Z1271" s="3324"/>
      <c r="AA1271" s="3324"/>
      <c r="AB1271" s="3324"/>
      <c r="AC1271" s="2963">
        <v>3</v>
      </c>
      <c r="AD1271" s="5608" t="s">
        <v>2190</v>
      </c>
      <c r="AE1271" s="6382">
        <v>0.2</v>
      </c>
      <c r="AF1271" s="6386">
        <f>M1269*AE1271</f>
        <v>45040</v>
      </c>
      <c r="AG1271" s="2960">
        <f t="shared" si="265"/>
        <v>45040</v>
      </c>
      <c r="AH1271" s="5608" t="s">
        <v>122</v>
      </c>
      <c r="AI1271" s="5608">
        <v>45744</v>
      </c>
      <c r="AJ1271" s="5608">
        <v>45040</v>
      </c>
      <c r="AK1271" s="5608">
        <v>45744</v>
      </c>
      <c r="AL1271" s="5608">
        <v>45040</v>
      </c>
      <c r="AM1271" s="5608">
        <v>45744</v>
      </c>
      <c r="AN1271" s="2960">
        <f t="shared" si="263"/>
        <v>45040</v>
      </c>
      <c r="AO1271" s="5608">
        <v>45777</v>
      </c>
      <c r="AP1271" s="2960">
        <f t="shared" si="264"/>
        <v>0</v>
      </c>
      <c r="AQ1271" s="5608"/>
      <c r="AR1271" s="5608"/>
      <c r="AS1271" s="5608"/>
      <c r="AT1271" s="5608"/>
      <c r="AU1271" s="5608"/>
      <c r="AV1271" s="5608"/>
      <c r="AW1271" s="5608"/>
      <c r="AX1271" s="5608"/>
      <c r="AY1271" s="5608"/>
      <c r="AZ1271" s="5608"/>
      <c r="BA1271" s="5608"/>
      <c r="BB1271" s="5608"/>
      <c r="BC1271" s="5608"/>
      <c r="BD1271" s="5608"/>
      <c r="BE1271" s="5608"/>
      <c r="BF1271" s="5608"/>
      <c r="BG1271" s="5608"/>
      <c r="BH1271" s="5608"/>
      <c r="BI1271" s="5608"/>
      <c r="BJ1271" s="5608"/>
      <c r="BK1271" s="5608"/>
      <c r="BL1271" s="5608"/>
      <c r="BM1271" s="5608"/>
      <c r="BN1271" s="5608">
        <v>45040</v>
      </c>
      <c r="BO1271" s="5608"/>
      <c r="BP1271" s="5608"/>
      <c r="BQ1271" s="5608"/>
      <c r="BR1271" s="5608"/>
      <c r="BS1271" s="5608"/>
      <c r="BT1271" s="5608"/>
      <c r="BU1271" s="5608"/>
      <c r="BV1271" s="5608"/>
      <c r="BW1271" s="5608"/>
      <c r="BX1271" s="5608"/>
      <c r="BY1271" s="5608"/>
      <c r="BZ1271" s="5608"/>
      <c r="CA1271" s="5608"/>
      <c r="CB1271" s="5608">
        <v>45040</v>
      </c>
      <c r="CC1271" s="5608"/>
      <c r="CD1271" s="5608"/>
      <c r="CE1271" s="5169"/>
      <c r="CF1271" s="5169"/>
      <c r="CG1271" s="5169"/>
      <c r="CH1271" s="5169"/>
    </row>
    <row r="1272" s="4965" customFormat="1" ht="50.25" customHeight="1" spans="1:86">
      <c r="A1272" s="5079"/>
      <c r="B1272" s="6040"/>
      <c r="C1272" s="5821"/>
      <c r="D1272" s="6040"/>
      <c r="E1272" s="5821"/>
      <c r="F1272" s="5572"/>
      <c r="G1272" s="5572"/>
      <c r="H1272" s="5572"/>
      <c r="I1272" s="3324"/>
      <c r="J1272" s="5572"/>
      <c r="K1272" s="5554"/>
      <c r="L1272" s="5554"/>
      <c r="M1272" s="3324"/>
      <c r="N1272" s="3324"/>
      <c r="O1272" s="3324"/>
      <c r="P1272" s="3324"/>
      <c r="Q1272" s="3324"/>
      <c r="R1272" s="3324"/>
      <c r="S1272" s="3324"/>
      <c r="T1272" s="3324"/>
      <c r="U1272" s="3324"/>
      <c r="V1272" s="3324"/>
      <c r="W1272" s="3324"/>
      <c r="X1272" s="3324"/>
      <c r="Y1272" s="3324"/>
      <c r="Z1272" s="3324"/>
      <c r="AA1272" s="3324"/>
      <c r="AB1272" s="3324"/>
      <c r="AC1272" s="2963">
        <v>4</v>
      </c>
      <c r="AD1272" s="5608" t="s">
        <v>2191</v>
      </c>
      <c r="AE1272" s="6382">
        <v>0.2</v>
      </c>
      <c r="AF1272" s="6386">
        <f>M1269*AE1272</f>
        <v>45040</v>
      </c>
      <c r="AG1272" s="2960">
        <f t="shared" si="265"/>
        <v>45040</v>
      </c>
      <c r="AH1272" s="5608" t="s">
        <v>122</v>
      </c>
      <c r="AI1272" s="5608">
        <v>45744</v>
      </c>
      <c r="AJ1272" s="5608">
        <v>45040</v>
      </c>
      <c r="AK1272" s="5608">
        <v>45744</v>
      </c>
      <c r="AL1272" s="5608">
        <v>45040</v>
      </c>
      <c r="AM1272" s="5608">
        <v>45744</v>
      </c>
      <c r="AN1272" s="2960">
        <f t="shared" si="263"/>
        <v>45040</v>
      </c>
      <c r="AO1272" s="5608">
        <v>45777</v>
      </c>
      <c r="AP1272" s="2960">
        <f t="shared" si="264"/>
        <v>0</v>
      </c>
      <c r="AQ1272" s="5608"/>
      <c r="AR1272" s="5608"/>
      <c r="AS1272" s="5608"/>
      <c r="AT1272" s="5608"/>
      <c r="AU1272" s="5608"/>
      <c r="AV1272" s="5608"/>
      <c r="AW1272" s="5608"/>
      <c r="AX1272" s="5608"/>
      <c r="AY1272" s="5608"/>
      <c r="AZ1272" s="5608"/>
      <c r="BA1272" s="5608"/>
      <c r="BB1272" s="5608"/>
      <c r="BC1272" s="5608"/>
      <c r="BD1272" s="5608"/>
      <c r="BE1272" s="5608"/>
      <c r="BF1272" s="5608"/>
      <c r="BG1272" s="5608"/>
      <c r="BH1272" s="5608"/>
      <c r="BI1272" s="5608"/>
      <c r="BJ1272" s="5608"/>
      <c r="BK1272" s="5608"/>
      <c r="BL1272" s="5608"/>
      <c r="BM1272" s="5608"/>
      <c r="BN1272" s="5608">
        <v>45040</v>
      </c>
      <c r="BO1272" s="5608"/>
      <c r="BP1272" s="5608"/>
      <c r="BQ1272" s="5608"/>
      <c r="BR1272" s="5608"/>
      <c r="BS1272" s="5608"/>
      <c r="BT1272" s="5608"/>
      <c r="BU1272" s="5608"/>
      <c r="BV1272" s="5608"/>
      <c r="BW1272" s="5608"/>
      <c r="BX1272" s="5608"/>
      <c r="BY1272" s="5608"/>
      <c r="BZ1272" s="5608"/>
      <c r="CA1272" s="5608"/>
      <c r="CB1272" s="5608">
        <v>45040</v>
      </c>
      <c r="CC1272" s="5608"/>
      <c r="CD1272" s="5608"/>
      <c r="CE1272" s="5169"/>
      <c r="CF1272" s="5169"/>
      <c r="CG1272" s="5169"/>
      <c r="CH1272" s="5169"/>
    </row>
    <row r="1273" s="4965" customFormat="1" ht="50.25" customHeight="1" spans="1:86">
      <c r="A1273" s="5079"/>
      <c r="B1273" s="6040"/>
      <c r="C1273" s="5822"/>
      <c r="D1273" s="6040"/>
      <c r="E1273" s="5821"/>
      <c r="F1273" s="5572"/>
      <c r="G1273" s="5572"/>
      <c r="H1273" s="5572"/>
      <c r="I1273" s="3383"/>
      <c r="J1273" s="5572"/>
      <c r="K1273" s="5555"/>
      <c r="L1273" s="5555"/>
      <c r="M1273" s="3383"/>
      <c r="N1273" s="3383"/>
      <c r="O1273" s="3383"/>
      <c r="P1273" s="3383"/>
      <c r="Q1273" s="3383"/>
      <c r="R1273" s="3383"/>
      <c r="S1273" s="3383"/>
      <c r="T1273" s="3383"/>
      <c r="U1273" s="3383"/>
      <c r="V1273" s="3383"/>
      <c r="W1273" s="3383"/>
      <c r="X1273" s="3383"/>
      <c r="Y1273" s="3383"/>
      <c r="Z1273" s="3383"/>
      <c r="AA1273" s="3383"/>
      <c r="AB1273" s="3383"/>
      <c r="AC1273" s="2963">
        <v>5</v>
      </c>
      <c r="AD1273" s="5608" t="s">
        <v>2155</v>
      </c>
      <c r="AE1273" s="6382">
        <v>0.2</v>
      </c>
      <c r="AF1273" s="2982">
        <f>M1269*AE1273</f>
        <v>45040</v>
      </c>
      <c r="AG1273" s="2960">
        <f t="shared" si="265"/>
        <v>0</v>
      </c>
      <c r="AH1273" s="5608"/>
      <c r="AI1273" s="5608"/>
      <c r="AJ1273" s="5608"/>
      <c r="AK1273" s="5608"/>
      <c r="AL1273" s="5608"/>
      <c r="AM1273" s="5608"/>
      <c r="AN1273" s="2960">
        <f t="shared" si="263"/>
        <v>0</v>
      </c>
      <c r="AO1273" s="5608"/>
      <c r="AP1273" s="2960">
        <f t="shared" si="264"/>
        <v>0</v>
      </c>
      <c r="AQ1273" s="5608"/>
      <c r="AR1273" s="5608"/>
      <c r="AS1273" s="5608"/>
      <c r="AT1273" s="5608"/>
      <c r="AU1273" s="5608"/>
      <c r="AV1273" s="5608"/>
      <c r="AW1273" s="5608"/>
      <c r="AX1273" s="5608"/>
      <c r="AY1273" s="5608"/>
      <c r="AZ1273" s="5608"/>
      <c r="BA1273" s="5608"/>
      <c r="BB1273" s="5608"/>
      <c r="BC1273" s="5608"/>
      <c r="BD1273" s="5608"/>
      <c r="BE1273" s="5608"/>
      <c r="BF1273" s="5608"/>
      <c r="BG1273" s="5608"/>
      <c r="BH1273" s="5608"/>
      <c r="BI1273" s="5608"/>
      <c r="BJ1273" s="5608"/>
      <c r="BK1273" s="5608"/>
      <c r="BL1273" s="5608"/>
      <c r="BM1273" s="5608"/>
      <c r="BN1273" s="5608"/>
      <c r="BO1273" s="5608"/>
      <c r="BP1273" s="5608"/>
      <c r="BQ1273" s="5608"/>
      <c r="BR1273" s="5608"/>
      <c r="BS1273" s="5608"/>
      <c r="BT1273" s="5608"/>
      <c r="BU1273" s="5608"/>
      <c r="BV1273" s="5608"/>
      <c r="BW1273" s="5608"/>
      <c r="BX1273" s="5608"/>
      <c r="BY1273" s="5608"/>
      <c r="BZ1273" s="5608"/>
      <c r="CA1273" s="5608"/>
      <c r="CB1273" s="5608"/>
      <c r="CC1273" s="5608"/>
      <c r="CD1273" s="5608"/>
      <c r="CE1273" s="5169"/>
      <c r="CF1273" s="5169"/>
      <c r="CG1273" s="5169"/>
      <c r="CH1273" s="5169"/>
    </row>
    <row r="1274" s="4965" customFormat="1" ht="50.25" customHeight="1" spans="1:86">
      <c r="A1274" s="5079"/>
      <c r="B1274" s="6040"/>
      <c r="C1274" s="5079">
        <v>45432</v>
      </c>
      <c r="D1274" s="6040"/>
      <c r="E1274" s="5820"/>
      <c r="F1274" s="5370" t="s">
        <v>2197</v>
      </c>
      <c r="G1274" s="5370" t="s">
        <v>2177</v>
      </c>
      <c r="H1274" s="5370" t="s">
        <v>2198</v>
      </c>
      <c r="I1274" s="5370"/>
      <c r="J1274" s="5370" t="s">
        <v>2179</v>
      </c>
      <c r="K1274" s="5370" t="s">
        <v>2199</v>
      </c>
      <c r="L1274" s="5370" t="s">
        <v>2200</v>
      </c>
      <c r="M1274" s="3154">
        <f>SUM(N1274:AA1278)</f>
        <v>524437.32</v>
      </c>
      <c r="N1274" s="3154"/>
      <c r="O1274" s="3154"/>
      <c r="P1274" s="3154"/>
      <c r="Q1274" s="3154"/>
      <c r="R1274" s="3154"/>
      <c r="S1274" s="3154"/>
      <c r="T1274" s="3154"/>
      <c r="U1274" s="3154"/>
      <c r="V1274" s="3154">
        <v>524437.32</v>
      </c>
      <c r="W1274" s="3154"/>
      <c r="X1274" s="3154"/>
      <c r="Y1274" s="3154"/>
      <c r="Z1274" s="3154"/>
      <c r="AA1274" s="3154"/>
      <c r="AB1274" s="906" t="s">
        <v>32</v>
      </c>
      <c r="AC1274" s="2682">
        <v>1</v>
      </c>
      <c r="AD1274" s="440" t="s">
        <v>2159</v>
      </c>
      <c r="AE1274" s="6387">
        <v>0.2</v>
      </c>
      <c r="AF1274" s="2716">
        <f>M1274*AE1274</f>
        <v>104887.464</v>
      </c>
      <c r="AG1274" s="2957">
        <f t="shared" si="265"/>
        <v>104887.46</v>
      </c>
      <c r="AH1274" s="440" t="s">
        <v>122</v>
      </c>
      <c r="AI1274" s="2957">
        <v>45538</v>
      </c>
      <c r="AJ1274" s="2682">
        <v>104887.46</v>
      </c>
      <c r="AK1274" s="2957">
        <v>45538</v>
      </c>
      <c r="AL1274" s="2682">
        <v>104887.46</v>
      </c>
      <c r="AM1274" s="2682">
        <v>45540</v>
      </c>
      <c r="AN1274" s="2957">
        <f t="shared" ref="AN1274:AN1300" si="266">SUM(BO1274:CB1274)</f>
        <v>104887.46</v>
      </c>
      <c r="AO1274" s="2957">
        <v>45562</v>
      </c>
      <c r="AP1274" s="2957">
        <f t="shared" ref="AP1274:AP1300" si="267">AG1274-AN1274</f>
        <v>0</v>
      </c>
      <c r="AQ1274" s="5410"/>
      <c r="AR1274" s="2682"/>
      <c r="AS1274" s="6439"/>
      <c r="AT1274" s="5410"/>
      <c r="AU1274" s="2680"/>
      <c r="AV1274" s="2680"/>
      <c r="AW1274" s="2680"/>
      <c r="AX1274" s="2680"/>
      <c r="AY1274" s="2680"/>
      <c r="AZ1274" s="2680"/>
      <c r="BA1274" s="2957"/>
      <c r="BB1274" s="2957"/>
      <c r="BC1274" s="2957"/>
      <c r="BD1274" s="2957"/>
      <c r="BE1274" s="2957"/>
      <c r="BF1274" s="2957"/>
      <c r="BG1274" s="2957"/>
      <c r="BH1274" s="2957"/>
      <c r="BI1274" s="600">
        <v>104887.46</v>
      </c>
      <c r="BJ1274" s="600"/>
      <c r="BK1274" s="600"/>
      <c r="BL1274" s="600"/>
      <c r="BM1274" s="600"/>
      <c r="BN1274" s="2957"/>
      <c r="BO1274" s="2682"/>
      <c r="BP1274" s="2682"/>
      <c r="BQ1274" s="2682"/>
      <c r="BR1274" s="2682"/>
      <c r="BS1274" s="2682"/>
      <c r="BT1274" s="2682"/>
      <c r="BU1274" s="2682"/>
      <c r="BV1274" s="2682"/>
      <c r="BW1274" s="600">
        <v>104887.46</v>
      </c>
      <c r="BX1274" s="2716"/>
      <c r="BY1274" s="2716"/>
      <c r="BZ1274" s="2716"/>
      <c r="CA1274" s="2716"/>
      <c r="CB1274" s="2957"/>
      <c r="CC1274" s="2682"/>
      <c r="CD1274" s="2682"/>
      <c r="CE1274" s="5169">
        <f>SUBTOTAL(9,BO1274:CB1274)</f>
        <v>104887.46</v>
      </c>
      <c r="CF1274" s="5169">
        <f>AN1274-CE1274</f>
        <v>0</v>
      </c>
      <c r="CG1274" s="5169"/>
      <c r="CH1274" s="5169"/>
    </row>
    <row r="1275" s="4965" customFormat="1" ht="50.25" customHeight="1" spans="1:86">
      <c r="A1275" s="5079"/>
      <c r="B1275" s="6040"/>
      <c r="C1275" s="5079"/>
      <c r="D1275" s="6040"/>
      <c r="E1275" s="5821"/>
      <c r="F1275" s="5372"/>
      <c r="G1275" s="5443"/>
      <c r="H1275" s="5443"/>
      <c r="I1275" s="5421"/>
      <c r="J1275" s="5443"/>
      <c r="K1275" s="5421"/>
      <c r="L1275" s="5443"/>
      <c r="M1275" s="3154"/>
      <c r="N1275" s="3154"/>
      <c r="O1275" s="3154"/>
      <c r="P1275" s="3154"/>
      <c r="Q1275" s="3154"/>
      <c r="R1275" s="3154"/>
      <c r="S1275" s="3154"/>
      <c r="T1275" s="3154"/>
      <c r="U1275" s="3154"/>
      <c r="V1275" s="3154"/>
      <c r="W1275" s="3154"/>
      <c r="X1275" s="3154"/>
      <c r="Y1275" s="3154"/>
      <c r="Z1275" s="3154"/>
      <c r="AA1275" s="3154"/>
      <c r="AB1275" s="3154"/>
      <c r="AC1275" s="2682">
        <v>2</v>
      </c>
      <c r="AD1275" s="440" t="s">
        <v>2161</v>
      </c>
      <c r="AE1275" s="6387">
        <v>0.3</v>
      </c>
      <c r="AF1275" s="2716">
        <f>M1274*AE1275</f>
        <v>157331.196</v>
      </c>
      <c r="AG1275" s="2957">
        <f t="shared" si="265"/>
        <v>157331.2</v>
      </c>
      <c r="AH1275" s="440" t="s">
        <v>122</v>
      </c>
      <c r="AI1275" s="2957">
        <v>45538</v>
      </c>
      <c r="AJ1275" s="2682">
        <v>157331.2</v>
      </c>
      <c r="AK1275" s="2957">
        <v>45538</v>
      </c>
      <c r="AL1275" s="2682">
        <v>157331.2</v>
      </c>
      <c r="AM1275" s="2682">
        <v>45540</v>
      </c>
      <c r="AN1275" s="2957">
        <f t="shared" si="266"/>
        <v>157331.2</v>
      </c>
      <c r="AO1275" s="2957">
        <v>45562</v>
      </c>
      <c r="AP1275" s="2957">
        <f t="shared" si="267"/>
        <v>0</v>
      </c>
      <c r="AQ1275" s="5410"/>
      <c r="AR1275" s="2682"/>
      <c r="AS1275" s="6439"/>
      <c r="AT1275" s="5410"/>
      <c r="AU1275" s="2680"/>
      <c r="AV1275" s="2680"/>
      <c r="AW1275" s="2680"/>
      <c r="AX1275" s="2680"/>
      <c r="AY1275" s="2680"/>
      <c r="AZ1275" s="2680"/>
      <c r="BA1275" s="2957"/>
      <c r="BB1275" s="2957"/>
      <c r="BC1275" s="2957"/>
      <c r="BD1275" s="2957"/>
      <c r="BE1275" s="2957"/>
      <c r="BF1275" s="2957"/>
      <c r="BG1275" s="2957"/>
      <c r="BH1275" s="2957"/>
      <c r="BI1275" s="600">
        <v>150750.1</v>
      </c>
      <c r="BJ1275" s="600"/>
      <c r="BK1275" s="600"/>
      <c r="BL1275" s="600"/>
      <c r="BM1275" s="600"/>
      <c r="BN1275" s="2957">
        <v>6581.1</v>
      </c>
      <c r="BO1275" s="2682"/>
      <c r="BP1275" s="2682"/>
      <c r="BQ1275" s="2682"/>
      <c r="BR1275" s="2682"/>
      <c r="BS1275" s="2682"/>
      <c r="BT1275" s="2682"/>
      <c r="BU1275" s="2682"/>
      <c r="BV1275" s="2682"/>
      <c r="BW1275" s="600">
        <v>150750.1</v>
      </c>
      <c r="BX1275" s="2716"/>
      <c r="BY1275" s="2716"/>
      <c r="BZ1275" s="2716"/>
      <c r="CA1275" s="2716"/>
      <c r="CB1275" s="2957">
        <v>6581.1</v>
      </c>
      <c r="CC1275" s="2682"/>
      <c r="CD1275" s="2682"/>
      <c r="CE1275" s="5169">
        <f>SUBTOTAL(9,BO1275:CB1275)</f>
        <v>157331.2</v>
      </c>
      <c r="CF1275" s="5169">
        <f>AN1275-CE1275</f>
        <v>0</v>
      </c>
      <c r="CG1275" s="5169"/>
      <c r="CH1275" s="5169"/>
    </row>
    <row r="1276" s="4965" customFormat="1" ht="50.25" customHeight="1" spans="1:86">
      <c r="A1276" s="5079"/>
      <c r="B1276" s="6040"/>
      <c r="C1276" s="5079"/>
      <c r="D1276" s="6040"/>
      <c r="E1276" s="5821"/>
      <c r="F1276" s="5372"/>
      <c r="G1276" s="5443"/>
      <c r="H1276" s="5443"/>
      <c r="I1276" s="5421"/>
      <c r="J1276" s="5443"/>
      <c r="K1276" s="5421"/>
      <c r="L1276" s="5443"/>
      <c r="M1276" s="3154"/>
      <c r="N1276" s="3154"/>
      <c r="O1276" s="3154"/>
      <c r="P1276" s="3154"/>
      <c r="Q1276" s="3154"/>
      <c r="R1276" s="3154"/>
      <c r="S1276" s="3154"/>
      <c r="T1276" s="3154"/>
      <c r="U1276" s="3154"/>
      <c r="V1276" s="3154"/>
      <c r="W1276" s="3154"/>
      <c r="X1276" s="3154"/>
      <c r="Y1276" s="3154"/>
      <c r="Z1276" s="3154"/>
      <c r="AA1276" s="3154"/>
      <c r="AB1276" s="3154"/>
      <c r="AC1276" s="2682">
        <v>3</v>
      </c>
      <c r="AD1276" s="440" t="s">
        <v>2112</v>
      </c>
      <c r="AE1276" s="6387">
        <v>0.2</v>
      </c>
      <c r="AF1276" s="2716">
        <f>M1274*AE1276</f>
        <v>104887.464</v>
      </c>
      <c r="AG1276" s="2957">
        <f t="shared" si="265"/>
        <v>0</v>
      </c>
      <c r="AH1276" s="440"/>
      <c r="AI1276" s="2682"/>
      <c r="AJ1276" s="2682"/>
      <c r="AK1276" s="2682"/>
      <c r="AL1276" s="2682"/>
      <c r="AM1276" s="2682"/>
      <c r="AN1276" s="2957">
        <f t="shared" si="266"/>
        <v>0</v>
      </c>
      <c r="AO1276" s="2957"/>
      <c r="AP1276" s="2957">
        <f t="shared" si="267"/>
        <v>0</v>
      </c>
      <c r="AQ1276" s="5410"/>
      <c r="AR1276" s="2682"/>
      <c r="AS1276" s="6439"/>
      <c r="AT1276" s="5410"/>
      <c r="AU1276" s="2680"/>
      <c r="AV1276" s="2680"/>
      <c r="AW1276" s="2680"/>
      <c r="AX1276" s="2680"/>
      <c r="AY1276" s="2680"/>
      <c r="AZ1276" s="2680"/>
      <c r="BA1276" s="2957"/>
      <c r="BB1276" s="2957"/>
      <c r="BC1276" s="2957"/>
      <c r="BD1276" s="2957"/>
      <c r="BE1276" s="2957"/>
      <c r="BF1276" s="2957"/>
      <c r="BG1276" s="2957"/>
      <c r="BH1276" s="2957"/>
      <c r="BI1276" s="600"/>
      <c r="BJ1276" s="600"/>
      <c r="BK1276" s="600"/>
      <c r="BL1276" s="600"/>
      <c r="BM1276" s="600"/>
      <c r="BN1276" s="2957"/>
      <c r="BO1276" s="2682"/>
      <c r="BP1276" s="2682"/>
      <c r="BQ1276" s="2682"/>
      <c r="BR1276" s="2682"/>
      <c r="BS1276" s="2682"/>
      <c r="BT1276" s="2682"/>
      <c r="BU1276" s="2682"/>
      <c r="BV1276" s="2682"/>
      <c r="BW1276" s="5394"/>
      <c r="BX1276" s="2716"/>
      <c r="BY1276" s="2716"/>
      <c r="BZ1276" s="2716"/>
      <c r="CA1276" s="2716"/>
      <c r="CB1276" s="5627"/>
      <c r="CC1276" s="2682"/>
      <c r="CD1276" s="2682"/>
      <c r="CE1276" s="5169"/>
      <c r="CF1276" s="5169"/>
      <c r="CG1276" s="5169"/>
      <c r="CH1276" s="5169"/>
    </row>
    <row r="1277" s="4965" customFormat="1" ht="50.25" customHeight="1" spans="1:86">
      <c r="A1277" s="5079"/>
      <c r="B1277" s="6040"/>
      <c r="C1277" s="5079"/>
      <c r="D1277" s="6040"/>
      <c r="E1277" s="5821"/>
      <c r="F1277" s="5372"/>
      <c r="G1277" s="5443"/>
      <c r="H1277" s="5443"/>
      <c r="I1277" s="5421"/>
      <c r="J1277" s="5443"/>
      <c r="K1277" s="5421"/>
      <c r="L1277" s="5443"/>
      <c r="M1277" s="3154"/>
      <c r="N1277" s="3154"/>
      <c r="O1277" s="3154"/>
      <c r="P1277" s="3154"/>
      <c r="Q1277" s="3154"/>
      <c r="R1277" s="3154"/>
      <c r="S1277" s="3154"/>
      <c r="T1277" s="3154"/>
      <c r="U1277" s="3154"/>
      <c r="V1277" s="3154"/>
      <c r="W1277" s="3154"/>
      <c r="X1277" s="3154"/>
      <c r="Y1277" s="3154"/>
      <c r="Z1277" s="3154"/>
      <c r="AA1277" s="3154"/>
      <c r="AB1277" s="3154"/>
      <c r="AC1277" s="2682">
        <v>4</v>
      </c>
      <c r="AD1277" s="440" t="s">
        <v>2162</v>
      </c>
      <c r="AE1277" s="6387">
        <v>0.25</v>
      </c>
      <c r="AF1277" s="2716">
        <f>M1274*AE1277</f>
        <v>131109.33</v>
      </c>
      <c r="AG1277" s="2957">
        <f t="shared" si="265"/>
        <v>0</v>
      </c>
      <c r="AH1277" s="440"/>
      <c r="AI1277" s="2682"/>
      <c r="AJ1277" s="2682"/>
      <c r="AK1277" s="2682"/>
      <c r="AL1277" s="2682"/>
      <c r="AM1277" s="2682"/>
      <c r="AN1277" s="2957">
        <f t="shared" si="266"/>
        <v>0</v>
      </c>
      <c r="AO1277" s="2957"/>
      <c r="AP1277" s="2957">
        <f t="shared" si="267"/>
        <v>0</v>
      </c>
      <c r="AQ1277" s="5410"/>
      <c r="AR1277" s="2682"/>
      <c r="AS1277" s="6439"/>
      <c r="AT1277" s="5410"/>
      <c r="AU1277" s="2680"/>
      <c r="AV1277" s="2680"/>
      <c r="AW1277" s="2680"/>
      <c r="AX1277" s="2680"/>
      <c r="AY1277" s="2680"/>
      <c r="AZ1277" s="2680"/>
      <c r="BA1277" s="2957"/>
      <c r="BB1277" s="2957"/>
      <c r="BC1277" s="2957"/>
      <c r="BD1277" s="2957"/>
      <c r="BE1277" s="2957"/>
      <c r="BF1277" s="2957"/>
      <c r="BG1277" s="2957"/>
      <c r="BH1277" s="2957"/>
      <c r="BI1277" s="600"/>
      <c r="BJ1277" s="600"/>
      <c r="BK1277" s="600"/>
      <c r="BL1277" s="600"/>
      <c r="BM1277" s="600"/>
      <c r="BN1277" s="2957"/>
      <c r="BO1277" s="2682"/>
      <c r="BP1277" s="2682"/>
      <c r="BQ1277" s="2682"/>
      <c r="BR1277" s="2682"/>
      <c r="BS1277" s="2682"/>
      <c r="BT1277" s="2682"/>
      <c r="BU1277" s="2682"/>
      <c r="BV1277" s="2682"/>
      <c r="BW1277" s="5394"/>
      <c r="BX1277" s="2716"/>
      <c r="BY1277" s="2716"/>
      <c r="BZ1277" s="2716"/>
      <c r="CA1277" s="2716"/>
      <c r="CB1277" s="5627"/>
      <c r="CC1277" s="2682"/>
      <c r="CD1277" s="2682"/>
      <c r="CE1277" s="5169"/>
      <c r="CF1277" s="5169"/>
      <c r="CG1277" s="5169"/>
      <c r="CH1277" s="5169"/>
    </row>
    <row r="1278" s="4965" customFormat="1" ht="50.25" customHeight="1" spans="1:86">
      <c r="A1278" s="5079"/>
      <c r="B1278" s="6040"/>
      <c r="C1278" s="5079"/>
      <c r="D1278" s="6040"/>
      <c r="E1278" s="5822"/>
      <c r="F1278" s="5373"/>
      <c r="G1278" s="5444"/>
      <c r="H1278" s="5444"/>
      <c r="I1278" s="5422"/>
      <c r="J1278" s="5444"/>
      <c r="K1278" s="5422"/>
      <c r="L1278" s="5443"/>
      <c r="M1278" s="3171"/>
      <c r="N1278" s="3171"/>
      <c r="O1278" s="3171"/>
      <c r="P1278" s="3171"/>
      <c r="Q1278" s="3171"/>
      <c r="R1278" s="3171"/>
      <c r="S1278" s="3171"/>
      <c r="T1278" s="3171"/>
      <c r="U1278" s="3171"/>
      <c r="V1278" s="3171"/>
      <c r="W1278" s="3171"/>
      <c r="X1278" s="3171"/>
      <c r="Y1278" s="3171"/>
      <c r="Z1278" s="3171"/>
      <c r="AA1278" s="3171"/>
      <c r="AB1278" s="3171"/>
      <c r="AC1278" s="2682">
        <v>5</v>
      </c>
      <c r="AD1278" s="440" t="s">
        <v>2089</v>
      </c>
      <c r="AE1278" s="6387">
        <v>0.05</v>
      </c>
      <c r="AF1278" s="2716">
        <f>M1274*AE1278</f>
        <v>26221.866</v>
      </c>
      <c r="AG1278" s="2957">
        <f t="shared" si="265"/>
        <v>0</v>
      </c>
      <c r="AH1278" s="440"/>
      <c r="AI1278" s="2682"/>
      <c r="AJ1278" s="2682"/>
      <c r="AK1278" s="2682"/>
      <c r="AL1278" s="2682"/>
      <c r="AM1278" s="2682"/>
      <c r="AN1278" s="2957">
        <f t="shared" si="266"/>
        <v>0</v>
      </c>
      <c r="AO1278" s="2957"/>
      <c r="AP1278" s="2957">
        <f t="shared" si="267"/>
        <v>0</v>
      </c>
      <c r="AQ1278" s="5410"/>
      <c r="AR1278" s="2682"/>
      <c r="AS1278" s="6439"/>
      <c r="AT1278" s="5410"/>
      <c r="AU1278" s="2680"/>
      <c r="AV1278" s="2680"/>
      <c r="AW1278" s="2680"/>
      <c r="AX1278" s="2680"/>
      <c r="AY1278" s="2680"/>
      <c r="AZ1278" s="2680"/>
      <c r="BA1278" s="2957"/>
      <c r="BB1278" s="2957"/>
      <c r="BC1278" s="2957"/>
      <c r="BD1278" s="2957"/>
      <c r="BE1278" s="2957"/>
      <c r="BF1278" s="2957"/>
      <c r="BG1278" s="2957"/>
      <c r="BH1278" s="2957"/>
      <c r="BI1278" s="600"/>
      <c r="BJ1278" s="600"/>
      <c r="BK1278" s="600"/>
      <c r="BL1278" s="600"/>
      <c r="BM1278" s="600"/>
      <c r="BN1278" s="2957"/>
      <c r="BO1278" s="2682"/>
      <c r="BP1278" s="2682"/>
      <c r="BQ1278" s="2682"/>
      <c r="BR1278" s="2682"/>
      <c r="BS1278" s="2682"/>
      <c r="BT1278" s="2682"/>
      <c r="BU1278" s="2682"/>
      <c r="BV1278" s="2682"/>
      <c r="BW1278" s="5394"/>
      <c r="BX1278" s="2716"/>
      <c r="BY1278" s="2716"/>
      <c r="BZ1278" s="2716"/>
      <c r="CA1278" s="2716"/>
      <c r="CB1278" s="5627"/>
      <c r="CC1278" s="2682"/>
      <c r="CD1278" s="2682"/>
      <c r="CE1278" s="5169"/>
      <c r="CF1278" s="5169"/>
      <c r="CG1278" s="5169"/>
      <c r="CH1278" s="5169"/>
    </row>
    <row r="1279" s="4965" customFormat="1" ht="50.25" customHeight="1" spans="1:86">
      <c r="A1279" s="5079"/>
      <c r="B1279" s="6040"/>
      <c r="C1279" s="5079">
        <v>45432</v>
      </c>
      <c r="D1279" s="6040"/>
      <c r="E1279" s="5820"/>
      <c r="F1279" s="2326" t="s">
        <v>2201</v>
      </c>
      <c r="G1279" s="2326" t="s">
        <v>2177</v>
      </c>
      <c r="H1279" s="2326" t="s">
        <v>2202</v>
      </c>
      <c r="I1279" s="2326"/>
      <c r="J1279" s="2326" t="s">
        <v>2179</v>
      </c>
      <c r="K1279" s="2326" t="s">
        <v>2203</v>
      </c>
      <c r="L1279" s="2326" t="s">
        <v>2165</v>
      </c>
      <c r="M1279" s="6340">
        <f>SUM(N1279:AA1282)</f>
        <v>369164.08</v>
      </c>
      <c r="N1279" s="6341"/>
      <c r="O1279" s="6341"/>
      <c r="P1279" s="6341"/>
      <c r="Q1279" s="6341"/>
      <c r="R1279" s="6341"/>
      <c r="S1279" s="6341"/>
      <c r="T1279" s="6341"/>
      <c r="U1279" s="6341">
        <v>369164.08</v>
      </c>
      <c r="V1279" s="6341"/>
      <c r="W1279" s="6341"/>
      <c r="X1279" s="6341"/>
      <c r="Y1279" s="6341"/>
      <c r="Z1279" s="6341"/>
      <c r="AA1279" s="6341"/>
      <c r="AB1279" s="6341"/>
      <c r="AC1279" s="3066">
        <v>1</v>
      </c>
      <c r="AD1279" s="6388" t="s">
        <v>2166</v>
      </c>
      <c r="AE1279" s="6389">
        <v>0.2</v>
      </c>
      <c r="AF1279" s="3098">
        <f>M1279*AE1279</f>
        <v>73832.816</v>
      </c>
      <c r="AG1279" s="3065">
        <f t="shared" si="265"/>
        <v>73832.816</v>
      </c>
      <c r="AH1279" s="6388" t="s">
        <v>122</v>
      </c>
      <c r="AI1279" s="3065">
        <v>45538</v>
      </c>
      <c r="AJ1279" s="3066">
        <v>73832.816</v>
      </c>
      <c r="AK1279" s="3065">
        <v>45538</v>
      </c>
      <c r="AL1279" s="3066">
        <v>73832.816</v>
      </c>
      <c r="AM1279" s="3066">
        <v>45540</v>
      </c>
      <c r="AN1279" s="3065">
        <f t="shared" si="266"/>
        <v>73832.816</v>
      </c>
      <c r="AO1279" s="3065">
        <v>45562</v>
      </c>
      <c r="AP1279" s="3065">
        <f t="shared" si="267"/>
        <v>0</v>
      </c>
      <c r="AQ1279" s="6424"/>
      <c r="AR1279" s="3066"/>
      <c r="AS1279" s="6440"/>
      <c r="AT1279" s="6424"/>
      <c r="AU1279" s="2680"/>
      <c r="AV1279" s="2680"/>
      <c r="AW1279" s="2680"/>
      <c r="AX1279" s="2680"/>
      <c r="AY1279" s="2680"/>
      <c r="AZ1279" s="2680"/>
      <c r="BA1279" s="3065"/>
      <c r="BB1279" s="3065"/>
      <c r="BC1279" s="3065"/>
      <c r="BD1279" s="3065"/>
      <c r="BE1279" s="3065"/>
      <c r="BF1279" s="3065"/>
      <c r="BG1279" s="3065"/>
      <c r="BH1279" s="6442">
        <v>73832.816</v>
      </c>
      <c r="BI1279" s="6444"/>
      <c r="BJ1279" s="6444"/>
      <c r="BK1279" s="6444"/>
      <c r="BL1279" s="6444"/>
      <c r="BM1279" s="6444"/>
      <c r="BN1279" s="3065"/>
      <c r="BO1279" s="3066"/>
      <c r="BP1279" s="3066"/>
      <c r="BQ1279" s="3066"/>
      <c r="BR1279" s="3066"/>
      <c r="BS1279" s="3066"/>
      <c r="BT1279" s="3066"/>
      <c r="BU1279" s="3066"/>
      <c r="BV1279" s="3066">
        <v>73832.816</v>
      </c>
      <c r="BW1279" s="6452"/>
      <c r="BX1279" s="3098"/>
      <c r="BY1279" s="3098"/>
      <c r="BZ1279" s="3098"/>
      <c r="CA1279" s="3098"/>
      <c r="CB1279" s="6456"/>
      <c r="CC1279" s="3066"/>
      <c r="CD1279" s="3066"/>
      <c r="CE1279" s="5169">
        <f>SUBTOTAL(9,BO1279:CB1279)</f>
        <v>73832.816</v>
      </c>
      <c r="CF1279" s="5169">
        <f>AN1279-CE1279</f>
        <v>0</v>
      </c>
      <c r="CG1279" s="5169"/>
      <c r="CH1279" s="5169"/>
    </row>
    <row r="1280" s="4965" customFormat="1" ht="50.25" customHeight="1" spans="1:86">
      <c r="A1280" s="5079"/>
      <c r="B1280" s="6040"/>
      <c r="C1280" s="5079"/>
      <c r="D1280" s="6040"/>
      <c r="E1280" s="5821"/>
      <c r="F1280" s="6307"/>
      <c r="G1280" s="6307"/>
      <c r="H1280" s="6307"/>
      <c r="I1280" s="2328"/>
      <c r="J1280" s="6307"/>
      <c r="K1280" s="2328"/>
      <c r="L1280" s="6307"/>
      <c r="M1280" s="6341"/>
      <c r="N1280" s="6341"/>
      <c r="O1280" s="6341"/>
      <c r="P1280" s="6341"/>
      <c r="Q1280" s="6341"/>
      <c r="R1280" s="6341"/>
      <c r="S1280" s="6341"/>
      <c r="T1280" s="6341"/>
      <c r="U1280" s="6341"/>
      <c r="V1280" s="6341"/>
      <c r="W1280" s="6341"/>
      <c r="X1280" s="6341"/>
      <c r="Y1280" s="6341"/>
      <c r="Z1280" s="6341"/>
      <c r="AA1280" s="6341"/>
      <c r="AB1280" s="6341"/>
      <c r="AC1280" s="3066">
        <v>2</v>
      </c>
      <c r="AD1280" s="6388" t="s">
        <v>2167</v>
      </c>
      <c r="AE1280" s="6389">
        <v>0.2</v>
      </c>
      <c r="AF1280" s="3098">
        <f>M1279*AE1280</f>
        <v>73832.816</v>
      </c>
      <c r="AG1280" s="3065">
        <f t="shared" si="265"/>
        <v>73832.816</v>
      </c>
      <c r="AH1280" s="6388" t="s">
        <v>122</v>
      </c>
      <c r="AI1280" s="3065">
        <v>45538</v>
      </c>
      <c r="AJ1280" s="3066">
        <v>73832.816</v>
      </c>
      <c r="AK1280" s="3065">
        <v>45538</v>
      </c>
      <c r="AL1280" s="3066">
        <v>73832.816</v>
      </c>
      <c r="AM1280" s="3066">
        <v>45540</v>
      </c>
      <c r="AN1280" s="3065">
        <f t="shared" si="266"/>
        <v>73832.816</v>
      </c>
      <c r="AO1280" s="3065">
        <v>45562</v>
      </c>
      <c r="AP1280" s="3065">
        <f t="shared" si="267"/>
        <v>0</v>
      </c>
      <c r="AQ1280" s="6424"/>
      <c r="AR1280" s="3066"/>
      <c r="AS1280" s="6440"/>
      <c r="AT1280" s="6424"/>
      <c r="AU1280" s="2680"/>
      <c r="AV1280" s="2680"/>
      <c r="AW1280" s="2680"/>
      <c r="AX1280" s="2680"/>
      <c r="AY1280" s="2680"/>
      <c r="AZ1280" s="2680"/>
      <c r="BA1280" s="3065"/>
      <c r="BB1280" s="3065"/>
      <c r="BC1280" s="3065"/>
      <c r="BD1280" s="3065"/>
      <c r="BE1280" s="3065"/>
      <c r="BF1280" s="3065"/>
      <c r="BG1280" s="3065"/>
      <c r="BH1280" s="6442">
        <v>73832.816</v>
      </c>
      <c r="BI1280" s="6444"/>
      <c r="BJ1280" s="6444"/>
      <c r="BK1280" s="6444"/>
      <c r="BL1280" s="6444"/>
      <c r="BM1280" s="6444"/>
      <c r="BN1280" s="3065"/>
      <c r="BO1280" s="3066"/>
      <c r="BP1280" s="3066"/>
      <c r="BQ1280" s="3066"/>
      <c r="BR1280" s="3066"/>
      <c r="BS1280" s="3066"/>
      <c r="BT1280" s="3066"/>
      <c r="BU1280" s="3066"/>
      <c r="BV1280" s="3066">
        <v>73832.816</v>
      </c>
      <c r="BW1280" s="6452"/>
      <c r="BX1280" s="3098"/>
      <c r="BY1280" s="3098"/>
      <c r="BZ1280" s="3098"/>
      <c r="CA1280" s="3098"/>
      <c r="CB1280" s="6456"/>
      <c r="CC1280" s="3066"/>
      <c r="CD1280" s="3066"/>
      <c r="CE1280" s="5169">
        <f>SUBTOTAL(9,BO1280:CB1280)</f>
        <v>73832.816</v>
      </c>
      <c r="CF1280" s="5169">
        <f>AN1280-CE1280</f>
        <v>0</v>
      </c>
      <c r="CG1280" s="5169"/>
      <c r="CH1280" s="5169"/>
    </row>
    <row r="1281" s="4965" customFormat="1" ht="50.25" customHeight="1" spans="1:86">
      <c r="A1281" s="5079"/>
      <c r="B1281" s="6040"/>
      <c r="C1281" s="5079"/>
      <c r="D1281" s="6040"/>
      <c r="E1281" s="5821"/>
      <c r="F1281" s="6307"/>
      <c r="G1281" s="6307"/>
      <c r="H1281" s="6307"/>
      <c r="I1281" s="2328"/>
      <c r="J1281" s="6307"/>
      <c r="K1281" s="2328"/>
      <c r="L1281" s="6307"/>
      <c r="M1281" s="6341"/>
      <c r="N1281" s="6341"/>
      <c r="O1281" s="6341"/>
      <c r="P1281" s="6341"/>
      <c r="Q1281" s="6341"/>
      <c r="R1281" s="6341"/>
      <c r="S1281" s="6341"/>
      <c r="T1281" s="6341"/>
      <c r="U1281" s="6341"/>
      <c r="V1281" s="6341"/>
      <c r="W1281" s="6341"/>
      <c r="X1281" s="6341"/>
      <c r="Y1281" s="6341"/>
      <c r="Z1281" s="6341"/>
      <c r="AA1281" s="6341"/>
      <c r="AB1281" s="6341"/>
      <c r="AC1281" s="3066">
        <v>3</v>
      </c>
      <c r="AD1281" s="6388" t="s">
        <v>2204</v>
      </c>
      <c r="AE1281" s="6389">
        <v>0.4</v>
      </c>
      <c r="AF1281" s="3098">
        <f>M1279*AE1281</f>
        <v>147665.632</v>
      </c>
      <c r="AG1281" s="3065">
        <f t="shared" si="265"/>
        <v>147665.632</v>
      </c>
      <c r="AH1281" s="6388" t="s">
        <v>122</v>
      </c>
      <c r="AI1281" s="3065">
        <v>45538</v>
      </c>
      <c r="AJ1281" s="3066">
        <v>147665.632</v>
      </c>
      <c r="AK1281" s="3065">
        <v>45538</v>
      </c>
      <c r="AL1281" s="3066">
        <v>147665.632</v>
      </c>
      <c r="AM1281" s="3066">
        <v>45540</v>
      </c>
      <c r="AN1281" s="3065">
        <f t="shared" si="266"/>
        <v>147665.632</v>
      </c>
      <c r="AO1281" s="3065">
        <v>45562</v>
      </c>
      <c r="AP1281" s="3065">
        <f t="shared" si="267"/>
        <v>0</v>
      </c>
      <c r="AQ1281" s="6424"/>
      <c r="AR1281" s="3066"/>
      <c r="AS1281" s="6440"/>
      <c r="AT1281" s="6424"/>
      <c r="AU1281" s="2680"/>
      <c r="AV1281" s="2680"/>
      <c r="AW1281" s="2680"/>
      <c r="AX1281" s="2680"/>
      <c r="AY1281" s="2680"/>
      <c r="AZ1281" s="2680"/>
      <c r="BA1281" s="3065"/>
      <c r="BB1281" s="3065"/>
      <c r="BC1281" s="3065"/>
      <c r="BD1281" s="3065"/>
      <c r="BE1281" s="3065"/>
      <c r="BF1281" s="3065"/>
      <c r="BG1281" s="3065"/>
      <c r="BH1281" s="6442">
        <v>147665.632</v>
      </c>
      <c r="BI1281" s="6444"/>
      <c r="BJ1281" s="6444"/>
      <c r="BK1281" s="6444"/>
      <c r="BL1281" s="6444"/>
      <c r="BM1281" s="6444"/>
      <c r="BN1281" s="3065"/>
      <c r="BO1281" s="3066"/>
      <c r="BP1281" s="3066"/>
      <c r="BQ1281" s="3066"/>
      <c r="BR1281" s="3066"/>
      <c r="BS1281" s="3066"/>
      <c r="BT1281" s="3066"/>
      <c r="BU1281" s="3066"/>
      <c r="BV1281" s="3066">
        <v>147665.632</v>
      </c>
      <c r="BW1281" s="6452"/>
      <c r="BX1281" s="3098"/>
      <c r="BY1281" s="3098"/>
      <c r="BZ1281" s="3098"/>
      <c r="CA1281" s="3098"/>
      <c r="CB1281" s="6456"/>
      <c r="CC1281" s="3066"/>
      <c r="CD1281" s="3066"/>
      <c r="CE1281" s="5169"/>
      <c r="CF1281" s="5169"/>
      <c r="CG1281" s="5169"/>
      <c r="CH1281" s="5169"/>
    </row>
    <row r="1282" s="4965" customFormat="1" ht="50.25" customHeight="1" spans="1:86">
      <c r="A1282" s="5079"/>
      <c r="B1282" s="6040"/>
      <c r="C1282" s="5079"/>
      <c r="D1282" s="6040"/>
      <c r="E1282" s="5822"/>
      <c r="F1282" s="6461"/>
      <c r="G1282" s="6461"/>
      <c r="H1282" s="6461"/>
      <c r="I1282" s="2330"/>
      <c r="J1282" s="6461"/>
      <c r="K1282" s="2330"/>
      <c r="L1282" s="6307"/>
      <c r="M1282" s="6485"/>
      <c r="N1282" s="6485"/>
      <c r="O1282" s="6485"/>
      <c r="P1282" s="6485"/>
      <c r="Q1282" s="6485"/>
      <c r="R1282" s="6485"/>
      <c r="S1282" s="6485"/>
      <c r="T1282" s="6485"/>
      <c r="U1282" s="6485"/>
      <c r="V1282" s="6485"/>
      <c r="W1282" s="6485"/>
      <c r="X1282" s="6485"/>
      <c r="Y1282" s="6485"/>
      <c r="Z1282" s="6485"/>
      <c r="AA1282" s="6485"/>
      <c r="AB1282" s="6485"/>
      <c r="AC1282" s="3066">
        <v>4</v>
      </c>
      <c r="AD1282" s="6388" t="s">
        <v>2170</v>
      </c>
      <c r="AE1282" s="6389">
        <v>0.2</v>
      </c>
      <c r="AF1282" s="3098">
        <f>M1279*AE1282</f>
        <v>73832.816</v>
      </c>
      <c r="AG1282" s="6527">
        <f t="shared" si="265"/>
        <v>73832.816</v>
      </c>
      <c r="AH1282" s="6528" t="s">
        <v>349</v>
      </c>
      <c r="AI1282" s="6527">
        <v>46203</v>
      </c>
      <c r="AJ1282" s="3066"/>
      <c r="AK1282" s="3066"/>
      <c r="AL1282" s="3066"/>
      <c r="AM1282" s="3066"/>
      <c r="AN1282" s="6527">
        <f t="shared" si="266"/>
        <v>73832.816</v>
      </c>
      <c r="AO1282" s="6527">
        <v>46233</v>
      </c>
      <c r="AP1282" s="3065">
        <f t="shared" si="267"/>
        <v>0</v>
      </c>
      <c r="AQ1282" s="6424"/>
      <c r="AR1282" s="3066"/>
      <c r="AS1282" s="6440"/>
      <c r="AT1282" s="6424"/>
      <c r="AU1282" s="2680"/>
      <c r="AV1282" s="2680"/>
      <c r="AW1282" s="2680"/>
      <c r="AX1282" s="2680"/>
      <c r="AY1282" s="2680"/>
      <c r="AZ1282" s="2680"/>
      <c r="BA1282" s="3065"/>
      <c r="BB1282" s="3065"/>
      <c r="BC1282" s="3065"/>
      <c r="BD1282" s="3065"/>
      <c r="BE1282" s="3065"/>
      <c r="BF1282" s="3065"/>
      <c r="BG1282" s="3065"/>
      <c r="BH1282" s="3065">
        <v>73832.816</v>
      </c>
      <c r="BI1282" s="6444"/>
      <c r="BJ1282" s="6444"/>
      <c r="BK1282" s="6444"/>
      <c r="BL1282" s="6444"/>
      <c r="BM1282" s="6444"/>
      <c r="BN1282" s="3065"/>
      <c r="BO1282" s="3066"/>
      <c r="BP1282" s="3066"/>
      <c r="BQ1282" s="3066"/>
      <c r="BR1282" s="3066"/>
      <c r="BS1282" s="3066"/>
      <c r="BT1282" s="3066"/>
      <c r="BU1282" s="3066"/>
      <c r="BV1282" s="3066">
        <v>73832.816</v>
      </c>
      <c r="BW1282" s="6452"/>
      <c r="BX1282" s="3098"/>
      <c r="BY1282" s="3098"/>
      <c r="BZ1282" s="3098"/>
      <c r="CA1282" s="3098"/>
      <c r="CB1282" s="6456"/>
      <c r="CC1282" s="3066"/>
      <c r="CD1282" s="3066"/>
      <c r="CE1282" s="5169"/>
      <c r="CF1282" s="5169"/>
      <c r="CG1282" s="5169"/>
      <c r="CH1282" s="5169"/>
    </row>
    <row r="1283" s="4965" customFormat="1" ht="50.25" customHeight="1" spans="1:86">
      <c r="A1283" s="5079"/>
      <c r="B1283" s="6040"/>
      <c r="C1283" s="5079">
        <v>45432</v>
      </c>
      <c r="D1283" s="6040"/>
      <c r="E1283" s="5820"/>
      <c r="F1283" s="6462" t="s">
        <v>2205</v>
      </c>
      <c r="G1283" s="6462" t="s">
        <v>2177</v>
      </c>
      <c r="H1283" s="6462" t="s">
        <v>2206</v>
      </c>
      <c r="I1283" s="6462"/>
      <c r="J1283" s="6462" t="s">
        <v>2179</v>
      </c>
      <c r="K1283" s="6462" t="s">
        <v>2203</v>
      </c>
      <c r="L1283" s="6462" t="s">
        <v>2123</v>
      </c>
      <c r="M1283" s="6486">
        <f>SUM(N1283:AA1285)</f>
        <v>92291.02</v>
      </c>
      <c r="N1283" s="6487"/>
      <c r="O1283" s="6487"/>
      <c r="P1283" s="6487"/>
      <c r="Q1283" s="6487"/>
      <c r="R1283" s="6487"/>
      <c r="S1283" s="6487"/>
      <c r="T1283" s="6487"/>
      <c r="U1283" s="6487">
        <v>92291.02</v>
      </c>
      <c r="V1283" s="6487"/>
      <c r="W1283" s="6487"/>
      <c r="X1283" s="6487"/>
      <c r="Y1283" s="6487"/>
      <c r="Z1283" s="6487"/>
      <c r="AA1283" s="6487"/>
      <c r="AB1283" s="6487"/>
      <c r="AC1283" s="6502">
        <v>1</v>
      </c>
      <c r="AD1283" s="6503" t="s">
        <v>2172</v>
      </c>
      <c r="AE1283" s="6504">
        <v>0.2</v>
      </c>
      <c r="AF1283" s="6505">
        <f>M1283*AE1283</f>
        <v>18458.204</v>
      </c>
      <c r="AG1283" s="6529">
        <f t="shared" si="265"/>
        <v>18458.204</v>
      </c>
      <c r="AH1283" s="6506" t="s">
        <v>122</v>
      </c>
      <c r="AI1283" s="6529">
        <v>45538</v>
      </c>
      <c r="AJ1283" s="6502">
        <v>18458.204</v>
      </c>
      <c r="AK1283" s="6529">
        <v>45538</v>
      </c>
      <c r="AL1283" s="6502">
        <v>18458.204</v>
      </c>
      <c r="AM1283" s="6502">
        <v>45540</v>
      </c>
      <c r="AN1283" s="6529">
        <f t="shared" si="266"/>
        <v>18458.204</v>
      </c>
      <c r="AO1283" s="6529">
        <v>45562</v>
      </c>
      <c r="AP1283" s="6529">
        <f t="shared" si="267"/>
        <v>0</v>
      </c>
      <c r="AQ1283" s="6552"/>
      <c r="AR1283" s="6502"/>
      <c r="AS1283" s="6558"/>
      <c r="AT1283" s="6552"/>
      <c r="AU1283" s="2680"/>
      <c r="AV1283" s="2680"/>
      <c r="AW1283" s="2680"/>
      <c r="AX1283" s="2680"/>
      <c r="AY1283" s="2680"/>
      <c r="AZ1283" s="2680"/>
      <c r="BA1283" s="6529"/>
      <c r="BB1283" s="6529"/>
      <c r="BC1283" s="6529"/>
      <c r="BD1283" s="6529"/>
      <c r="BE1283" s="6529"/>
      <c r="BF1283" s="6529"/>
      <c r="BG1283" s="6529"/>
      <c r="BH1283" s="6564">
        <v>18458.204</v>
      </c>
      <c r="BI1283" s="6565"/>
      <c r="BJ1283" s="6565"/>
      <c r="BK1283" s="6565"/>
      <c r="BL1283" s="6565"/>
      <c r="BM1283" s="6565"/>
      <c r="BN1283" s="6529"/>
      <c r="BO1283" s="6502"/>
      <c r="BP1283" s="6502"/>
      <c r="BQ1283" s="6502"/>
      <c r="BR1283" s="6502"/>
      <c r="BS1283" s="6502"/>
      <c r="BT1283" s="6502"/>
      <c r="BU1283" s="6502"/>
      <c r="BV1283" s="6502">
        <v>18458.204</v>
      </c>
      <c r="BW1283" s="6568"/>
      <c r="BX1283" s="6505"/>
      <c r="BY1283" s="6505"/>
      <c r="BZ1283" s="6505"/>
      <c r="CA1283" s="6505"/>
      <c r="CB1283" s="6573"/>
      <c r="CC1283" s="6502"/>
      <c r="CD1283" s="6502"/>
      <c r="CE1283" s="5169">
        <f>SUBTOTAL(9,BO1283:CB1283)</f>
        <v>18458.204</v>
      </c>
      <c r="CF1283" s="5169">
        <f>AN1283-CE1283</f>
        <v>0</v>
      </c>
      <c r="CG1283" s="5169"/>
      <c r="CH1283" s="5169"/>
    </row>
    <row r="1284" s="4965" customFormat="1" ht="50.25" customHeight="1" spans="1:86">
      <c r="A1284" s="5079"/>
      <c r="B1284" s="6040"/>
      <c r="C1284" s="5079"/>
      <c r="D1284" s="6040"/>
      <c r="E1284" s="5821"/>
      <c r="F1284" s="6463"/>
      <c r="G1284" s="6463"/>
      <c r="H1284" s="6463"/>
      <c r="I1284" s="6479"/>
      <c r="J1284" s="6463"/>
      <c r="K1284" s="6479"/>
      <c r="L1284" s="6463"/>
      <c r="M1284" s="6487"/>
      <c r="N1284" s="6487"/>
      <c r="O1284" s="6487"/>
      <c r="P1284" s="6487"/>
      <c r="Q1284" s="6487"/>
      <c r="R1284" s="6487"/>
      <c r="S1284" s="6487"/>
      <c r="T1284" s="6487"/>
      <c r="U1284" s="6487"/>
      <c r="V1284" s="6487"/>
      <c r="W1284" s="6487"/>
      <c r="X1284" s="6487"/>
      <c r="Y1284" s="6487"/>
      <c r="Z1284" s="6487"/>
      <c r="AA1284" s="6487"/>
      <c r="AB1284" s="6487"/>
      <c r="AC1284" s="6502">
        <v>2</v>
      </c>
      <c r="AD1284" s="6506" t="s">
        <v>2173</v>
      </c>
      <c r="AE1284" s="6504">
        <v>0.6</v>
      </c>
      <c r="AF1284" s="6505">
        <f>M1283*AE1284</f>
        <v>55374.612</v>
      </c>
      <c r="AG1284" s="6529">
        <f t="shared" si="265"/>
        <v>55374.612</v>
      </c>
      <c r="AH1284" s="6506" t="s">
        <v>122</v>
      </c>
      <c r="AI1284" s="6529">
        <v>45538</v>
      </c>
      <c r="AJ1284" s="6502">
        <v>55374.612</v>
      </c>
      <c r="AK1284" s="6529">
        <v>45538</v>
      </c>
      <c r="AL1284" s="6502">
        <v>55374.612</v>
      </c>
      <c r="AM1284" s="6502">
        <v>45540</v>
      </c>
      <c r="AN1284" s="6529">
        <f t="shared" si="266"/>
        <v>55374.612</v>
      </c>
      <c r="AO1284" s="6529">
        <v>45562</v>
      </c>
      <c r="AP1284" s="6529">
        <f t="shared" si="267"/>
        <v>0</v>
      </c>
      <c r="AQ1284" s="6552"/>
      <c r="AR1284" s="6502"/>
      <c r="AS1284" s="6558"/>
      <c r="AT1284" s="6552"/>
      <c r="AU1284" s="2680"/>
      <c r="AV1284" s="2680"/>
      <c r="AW1284" s="2680"/>
      <c r="AX1284" s="2680"/>
      <c r="AY1284" s="2680"/>
      <c r="AZ1284" s="2680"/>
      <c r="BA1284" s="6529"/>
      <c r="BB1284" s="6529"/>
      <c r="BC1284" s="6529"/>
      <c r="BD1284" s="6529"/>
      <c r="BE1284" s="6529"/>
      <c r="BF1284" s="6529"/>
      <c r="BG1284" s="6529"/>
      <c r="BH1284" s="6564">
        <v>55374.612</v>
      </c>
      <c r="BI1284" s="6565"/>
      <c r="BJ1284" s="6565"/>
      <c r="BK1284" s="6565"/>
      <c r="BL1284" s="6565"/>
      <c r="BM1284" s="6565"/>
      <c r="BN1284" s="6529"/>
      <c r="BO1284" s="6502"/>
      <c r="BP1284" s="6502"/>
      <c r="BQ1284" s="6502"/>
      <c r="BR1284" s="6502"/>
      <c r="BS1284" s="6502"/>
      <c r="BT1284" s="6502"/>
      <c r="BU1284" s="6502"/>
      <c r="BV1284" s="6502">
        <v>55374.612</v>
      </c>
      <c r="BW1284" s="6568"/>
      <c r="BX1284" s="6505"/>
      <c r="BY1284" s="6505"/>
      <c r="BZ1284" s="6505"/>
      <c r="CA1284" s="6505"/>
      <c r="CB1284" s="6573"/>
      <c r="CC1284" s="6502"/>
      <c r="CD1284" s="6502"/>
      <c r="CE1284" s="5169"/>
      <c r="CF1284" s="5169"/>
      <c r="CG1284" s="5169"/>
      <c r="CH1284" s="5169"/>
    </row>
    <row r="1285" s="4965" customFormat="1" ht="50.25" customHeight="1" spans="1:86">
      <c r="A1285" s="5079"/>
      <c r="B1285" s="6040"/>
      <c r="C1285" s="5079"/>
      <c r="D1285" s="6040"/>
      <c r="E1285" s="5822"/>
      <c r="F1285" s="6464"/>
      <c r="G1285" s="6464"/>
      <c r="H1285" s="6464"/>
      <c r="I1285" s="6480"/>
      <c r="J1285" s="6464"/>
      <c r="K1285" s="6480"/>
      <c r="L1285" s="6463"/>
      <c r="M1285" s="6488"/>
      <c r="N1285" s="6488"/>
      <c r="O1285" s="6488"/>
      <c r="P1285" s="6488"/>
      <c r="Q1285" s="6488"/>
      <c r="R1285" s="6488"/>
      <c r="S1285" s="6488"/>
      <c r="T1285" s="6488"/>
      <c r="U1285" s="6488"/>
      <c r="V1285" s="6488"/>
      <c r="W1285" s="6488"/>
      <c r="X1285" s="6488"/>
      <c r="Y1285" s="6488"/>
      <c r="Z1285" s="6488"/>
      <c r="AA1285" s="6488"/>
      <c r="AB1285" s="6488"/>
      <c r="AC1285" s="6502">
        <v>3</v>
      </c>
      <c r="AD1285" s="6506" t="s">
        <v>2174</v>
      </c>
      <c r="AE1285" s="6504">
        <v>0.2</v>
      </c>
      <c r="AF1285" s="6505">
        <f>M1283*AE1285</f>
        <v>18458.204</v>
      </c>
      <c r="AG1285" s="6529">
        <f t="shared" si="265"/>
        <v>0</v>
      </c>
      <c r="AH1285" s="6506"/>
      <c r="AI1285" s="6502"/>
      <c r="AJ1285" s="6502"/>
      <c r="AK1285" s="6502"/>
      <c r="AL1285" s="6502"/>
      <c r="AM1285" s="6502"/>
      <c r="AN1285" s="6529">
        <f t="shared" si="266"/>
        <v>0</v>
      </c>
      <c r="AO1285" s="6529"/>
      <c r="AP1285" s="6529">
        <f t="shared" si="267"/>
        <v>0</v>
      </c>
      <c r="AQ1285" s="6552"/>
      <c r="AR1285" s="6502"/>
      <c r="AS1285" s="6558"/>
      <c r="AT1285" s="6552"/>
      <c r="AU1285" s="2680"/>
      <c r="AV1285" s="2680"/>
      <c r="AW1285" s="2680"/>
      <c r="AX1285" s="2680"/>
      <c r="AY1285" s="2680"/>
      <c r="AZ1285" s="2680"/>
      <c r="BA1285" s="6529"/>
      <c r="BB1285" s="6529"/>
      <c r="BC1285" s="6529"/>
      <c r="BD1285" s="6529"/>
      <c r="BE1285" s="6529"/>
      <c r="BF1285" s="6529"/>
      <c r="BG1285" s="6529"/>
      <c r="BH1285" s="6529"/>
      <c r="BI1285" s="6565"/>
      <c r="BJ1285" s="6565"/>
      <c r="BK1285" s="6565"/>
      <c r="BL1285" s="6565"/>
      <c r="BM1285" s="6565"/>
      <c r="BN1285" s="6529"/>
      <c r="BO1285" s="6502"/>
      <c r="BP1285" s="6502"/>
      <c r="BQ1285" s="6502"/>
      <c r="BR1285" s="6502"/>
      <c r="BS1285" s="6502"/>
      <c r="BT1285" s="6502"/>
      <c r="BU1285" s="6502"/>
      <c r="BV1285" s="6502"/>
      <c r="BW1285" s="6568"/>
      <c r="BX1285" s="6505"/>
      <c r="BY1285" s="6505"/>
      <c r="BZ1285" s="6505"/>
      <c r="CA1285" s="6505"/>
      <c r="CB1285" s="6573"/>
      <c r="CC1285" s="6502"/>
      <c r="CD1285" s="6502"/>
      <c r="CE1285" s="5169"/>
      <c r="CF1285" s="5169"/>
      <c r="CG1285" s="5169"/>
      <c r="CH1285" s="5169"/>
    </row>
    <row r="1286" s="4965" customFormat="1" ht="50.25" customHeight="1" spans="1:86">
      <c r="A1286" s="5079"/>
      <c r="B1286" s="1035" t="s">
        <v>1951</v>
      </c>
      <c r="C1286" s="5079">
        <v>45434</v>
      </c>
      <c r="D1286" s="1035" t="s">
        <v>2207</v>
      </c>
      <c r="E1286" s="5820"/>
      <c r="F1286" s="5543" t="s">
        <v>2208</v>
      </c>
      <c r="G1286" s="5543" t="s">
        <v>2209</v>
      </c>
      <c r="H1286" s="5543" t="s">
        <v>2178</v>
      </c>
      <c r="I1286" s="5547"/>
      <c r="J1286" s="5543" t="s">
        <v>2210</v>
      </c>
      <c r="K1286" s="5543" t="s">
        <v>2211</v>
      </c>
      <c r="L1286" s="5543" t="s">
        <v>2212</v>
      </c>
      <c r="M1286" s="2973">
        <f>SUM(N1286:AA1291)</f>
        <v>2484539</v>
      </c>
      <c r="N1286" s="2973"/>
      <c r="O1286" s="2973"/>
      <c r="P1286" s="2973"/>
      <c r="Q1286" s="2973"/>
      <c r="R1286" s="2973"/>
      <c r="S1286" s="2973"/>
      <c r="T1286" s="2973"/>
      <c r="U1286" s="2973"/>
      <c r="V1286" s="2973"/>
      <c r="W1286" s="2973"/>
      <c r="X1286" s="2973"/>
      <c r="Y1286" s="2973"/>
      <c r="Z1286" s="2973"/>
      <c r="AA1286" s="2973">
        <v>2484539</v>
      </c>
      <c r="AB1286" s="5613" t="s">
        <v>126</v>
      </c>
      <c r="AC1286" s="5561">
        <v>1</v>
      </c>
      <c r="AD1286" s="5547" t="s">
        <v>2027</v>
      </c>
      <c r="AE1286" s="6349">
        <v>0.2</v>
      </c>
      <c r="AF1286" s="6350">
        <f>M1286*AE1286</f>
        <v>496907.8</v>
      </c>
      <c r="AG1286" s="6354">
        <f>SUM(BA1286:BN1287)</f>
        <v>496909.79</v>
      </c>
      <c r="AH1286" s="5547" t="s">
        <v>122</v>
      </c>
      <c r="AI1286" s="6354">
        <v>45496</v>
      </c>
      <c r="AJ1286" s="5561">
        <v>496909.79</v>
      </c>
      <c r="AK1286" s="5561">
        <v>45496</v>
      </c>
      <c r="AL1286" s="5561">
        <v>496909.79</v>
      </c>
      <c r="AM1286" s="5561">
        <v>45497</v>
      </c>
      <c r="AN1286" s="5588">
        <f t="shared" si="266"/>
        <v>334800</v>
      </c>
      <c r="AO1286" s="5588">
        <v>45649</v>
      </c>
      <c r="AP1286" s="5588">
        <f t="shared" si="267"/>
        <v>162109.79</v>
      </c>
      <c r="AQ1286" s="5613" t="s">
        <v>2213</v>
      </c>
      <c r="AR1286" s="2973"/>
      <c r="AS1286" s="6428"/>
      <c r="AT1286" s="5614"/>
      <c r="AU1286" s="2680"/>
      <c r="AV1286" s="2680"/>
      <c r="AW1286" s="2680"/>
      <c r="AX1286" s="2680"/>
      <c r="AY1286" s="2680"/>
      <c r="AZ1286" s="2680"/>
      <c r="BA1286" s="5588"/>
      <c r="BB1286" s="5588"/>
      <c r="BC1286" s="5588"/>
      <c r="BD1286" s="5588"/>
      <c r="BE1286" s="5588"/>
      <c r="BF1286" s="5588"/>
      <c r="BG1286" s="5588"/>
      <c r="BH1286" s="5588"/>
      <c r="BI1286" s="5613"/>
      <c r="BJ1286" s="5613"/>
      <c r="BK1286" s="5613"/>
      <c r="BL1286" s="5613"/>
      <c r="BM1286" s="5613"/>
      <c r="BN1286" s="5588">
        <v>334800</v>
      </c>
      <c r="BO1286" s="2973"/>
      <c r="BP1286" s="2973"/>
      <c r="BQ1286" s="2973"/>
      <c r="BR1286" s="2973"/>
      <c r="BS1286" s="2973"/>
      <c r="BT1286" s="2973"/>
      <c r="BU1286" s="2973"/>
      <c r="BV1286" s="2973"/>
      <c r="BW1286" s="5619"/>
      <c r="BX1286" s="2986"/>
      <c r="BY1286" s="2986"/>
      <c r="BZ1286" s="2986"/>
      <c r="CA1286" s="2986"/>
      <c r="CB1286" s="5652">
        <v>334800</v>
      </c>
      <c r="CC1286" s="2973"/>
      <c r="CD1286" s="2973"/>
      <c r="CE1286" s="5169">
        <f>SUBTOTAL(9,BO1286:CB1286)</f>
        <v>334800</v>
      </c>
      <c r="CF1286" s="5169">
        <f>AN1286-CE1286</f>
        <v>0</v>
      </c>
      <c r="CG1286" s="5169"/>
      <c r="CH1286" s="5169"/>
    </row>
    <row r="1287" s="4965" customFormat="1" ht="50.25" customHeight="1" spans="1:86">
      <c r="A1287" s="5079"/>
      <c r="B1287" s="1035"/>
      <c r="C1287" s="5079"/>
      <c r="D1287" s="1035"/>
      <c r="E1287" s="5821"/>
      <c r="F1287" s="3176"/>
      <c r="G1287" s="3176"/>
      <c r="H1287" s="3176"/>
      <c r="I1287" s="5562"/>
      <c r="J1287" s="3176"/>
      <c r="K1287" s="5543"/>
      <c r="L1287" s="3176"/>
      <c r="M1287" s="2973"/>
      <c r="N1287" s="2973"/>
      <c r="O1287" s="2973"/>
      <c r="P1287" s="2973"/>
      <c r="Q1287" s="2973"/>
      <c r="R1287" s="2973"/>
      <c r="S1287" s="2973"/>
      <c r="T1287" s="2973"/>
      <c r="U1287" s="2973"/>
      <c r="V1287" s="2973"/>
      <c r="W1287" s="2973"/>
      <c r="X1287" s="2973"/>
      <c r="Y1287" s="2973"/>
      <c r="Z1287" s="2973"/>
      <c r="AA1287" s="2973"/>
      <c r="AB1287" s="2973"/>
      <c r="AC1287" s="5565"/>
      <c r="AD1287" s="5564"/>
      <c r="AE1287" s="6356"/>
      <c r="AF1287" s="6357"/>
      <c r="AG1287" s="6355"/>
      <c r="AH1287" s="5564"/>
      <c r="AI1287" s="6355"/>
      <c r="AJ1287" s="5565"/>
      <c r="AK1287" s="5565"/>
      <c r="AL1287" s="5565"/>
      <c r="AM1287" s="5565"/>
      <c r="AN1287" s="5588">
        <f t="shared" si="266"/>
        <v>162109.79</v>
      </c>
      <c r="AO1287" s="5588">
        <v>45651</v>
      </c>
      <c r="AP1287" s="5588">
        <f t="shared" si="267"/>
        <v>-162109.79</v>
      </c>
      <c r="AQ1287" s="5614"/>
      <c r="AR1287" s="2973"/>
      <c r="AS1287" s="6428"/>
      <c r="AT1287" s="5614"/>
      <c r="AU1287" s="2680"/>
      <c r="AV1287" s="2680"/>
      <c r="AW1287" s="2680"/>
      <c r="AX1287" s="2680"/>
      <c r="AY1287" s="2680"/>
      <c r="AZ1287" s="2680"/>
      <c r="BA1287" s="5588"/>
      <c r="BB1287" s="5588"/>
      <c r="BC1287" s="5588">
        <v>40000</v>
      </c>
      <c r="BD1287" s="5588"/>
      <c r="BE1287" s="5588"/>
      <c r="BF1287" s="5588"/>
      <c r="BG1287" s="5588"/>
      <c r="BH1287" s="5588"/>
      <c r="BI1287" s="5613"/>
      <c r="BJ1287" s="5613"/>
      <c r="BK1287" s="5613"/>
      <c r="BL1287" s="5613"/>
      <c r="BM1287" s="5613"/>
      <c r="BN1287" s="5588">
        <v>122109.79</v>
      </c>
      <c r="BO1287" s="2973"/>
      <c r="BP1287" s="2973"/>
      <c r="BQ1287" s="2973">
        <v>40000</v>
      </c>
      <c r="BR1287" s="2973"/>
      <c r="BS1287" s="2973"/>
      <c r="BT1287" s="2973"/>
      <c r="BU1287" s="2973"/>
      <c r="BV1287" s="2973"/>
      <c r="BW1287" s="5619"/>
      <c r="BX1287" s="2986"/>
      <c r="BY1287" s="2986"/>
      <c r="BZ1287" s="2986"/>
      <c r="CA1287" s="2986"/>
      <c r="CB1287" s="5652">
        <v>122109.79</v>
      </c>
      <c r="CC1287" s="2973"/>
      <c r="CD1287" s="2973"/>
      <c r="CE1287" s="5169"/>
      <c r="CF1287" s="5169"/>
      <c r="CG1287" s="5169"/>
      <c r="CH1287" s="5169"/>
    </row>
    <row r="1288" s="4965" customFormat="1" ht="50.25" customHeight="1" spans="1:86">
      <c r="A1288" s="5079"/>
      <c r="B1288" s="1035"/>
      <c r="C1288" s="5079"/>
      <c r="D1288" s="1035"/>
      <c r="E1288" s="5821"/>
      <c r="F1288" s="3176"/>
      <c r="G1288" s="3176"/>
      <c r="H1288" s="3176"/>
      <c r="I1288" s="5562"/>
      <c r="J1288" s="3176"/>
      <c r="K1288" s="5543"/>
      <c r="L1288" s="3176"/>
      <c r="M1288" s="2973"/>
      <c r="N1288" s="2973"/>
      <c r="O1288" s="2973"/>
      <c r="P1288" s="2973"/>
      <c r="Q1288" s="2973"/>
      <c r="R1288" s="2973"/>
      <c r="S1288" s="2973"/>
      <c r="T1288" s="2973"/>
      <c r="U1288" s="2973"/>
      <c r="V1288" s="2973"/>
      <c r="W1288" s="2973"/>
      <c r="X1288" s="2973"/>
      <c r="Y1288" s="2973"/>
      <c r="Z1288" s="2973"/>
      <c r="AA1288" s="2973"/>
      <c r="AB1288" s="2973"/>
      <c r="AC1288" s="2973">
        <v>2</v>
      </c>
      <c r="AD1288" s="5543" t="s">
        <v>2028</v>
      </c>
      <c r="AE1288" s="6507">
        <v>0.3</v>
      </c>
      <c r="AF1288" s="2986">
        <f>M1286*AE1288</f>
        <v>745361.7</v>
      </c>
      <c r="AG1288" s="5588">
        <f t="shared" ref="AG1288:AG1333" si="268">SUM(BA1288:BN1288)</f>
        <v>745364.7</v>
      </c>
      <c r="AH1288" s="5543" t="s">
        <v>122</v>
      </c>
      <c r="AI1288" s="5588">
        <v>45496</v>
      </c>
      <c r="AJ1288" s="2973">
        <v>745364.7</v>
      </c>
      <c r="AK1288" s="2973">
        <v>45496</v>
      </c>
      <c r="AL1288" s="2973">
        <v>745364.7</v>
      </c>
      <c r="AM1288" s="2973">
        <v>45497</v>
      </c>
      <c r="AN1288" s="5588">
        <f t="shared" si="266"/>
        <v>745364.7</v>
      </c>
      <c r="AO1288" s="5588">
        <v>45651</v>
      </c>
      <c r="AP1288" s="5588">
        <f t="shared" si="267"/>
        <v>0</v>
      </c>
      <c r="AQ1288" s="5614"/>
      <c r="AR1288" s="2973"/>
      <c r="AS1288" s="6428"/>
      <c r="AT1288" s="5614"/>
      <c r="AU1288" s="2680"/>
      <c r="AV1288" s="2680"/>
      <c r="AW1288" s="2680"/>
      <c r="AX1288" s="2680"/>
      <c r="AY1288" s="2680"/>
      <c r="AZ1288" s="2680"/>
      <c r="BA1288" s="5588"/>
      <c r="BB1288" s="5588"/>
      <c r="BC1288" s="5588">
        <v>60000</v>
      </c>
      <c r="BD1288" s="5588"/>
      <c r="BE1288" s="5588"/>
      <c r="BF1288" s="5588"/>
      <c r="BG1288" s="5588"/>
      <c r="BH1288" s="5588"/>
      <c r="BI1288" s="5613"/>
      <c r="BJ1288" s="5613"/>
      <c r="BK1288" s="5613"/>
      <c r="BL1288" s="5613"/>
      <c r="BM1288" s="5613"/>
      <c r="BN1288" s="5588">
        <f>745361.7-60000+3</f>
        <v>685364.7</v>
      </c>
      <c r="BO1288" s="2973"/>
      <c r="BP1288" s="2973"/>
      <c r="BQ1288" s="2973">
        <v>60000</v>
      </c>
      <c r="BR1288" s="2973"/>
      <c r="BS1288" s="2973"/>
      <c r="BT1288" s="2973"/>
      <c r="BU1288" s="2973"/>
      <c r="BV1288" s="2973"/>
      <c r="BW1288" s="5619"/>
      <c r="BX1288" s="2986"/>
      <c r="BY1288" s="2986"/>
      <c r="BZ1288" s="2986"/>
      <c r="CA1288" s="2986"/>
      <c r="CB1288" s="5652">
        <v>685364.7</v>
      </c>
      <c r="CC1288" s="2973"/>
      <c r="CD1288" s="2973"/>
      <c r="CE1288" s="5169">
        <f>SUBTOTAL(9,BO1288:CB1288)</f>
        <v>745364.7</v>
      </c>
      <c r="CF1288" s="5169">
        <f>AN1288-CE1288</f>
        <v>0</v>
      </c>
      <c r="CG1288" s="5169"/>
      <c r="CH1288" s="5169"/>
    </row>
    <row r="1289" s="4965" customFormat="1" ht="50.25" customHeight="1" spans="1:86">
      <c r="A1289" s="5079"/>
      <c r="B1289" s="1035"/>
      <c r="C1289" s="5079"/>
      <c r="D1289" s="1035"/>
      <c r="E1289" s="5821"/>
      <c r="F1289" s="3176"/>
      <c r="G1289" s="3176"/>
      <c r="H1289" s="3176"/>
      <c r="I1289" s="5562"/>
      <c r="J1289" s="3176"/>
      <c r="K1289" s="5543"/>
      <c r="L1289" s="3176"/>
      <c r="M1289" s="2973"/>
      <c r="N1289" s="2973"/>
      <c r="O1289" s="2973"/>
      <c r="P1289" s="2973"/>
      <c r="Q1289" s="2973"/>
      <c r="R1289" s="2973"/>
      <c r="S1289" s="2973"/>
      <c r="T1289" s="2973"/>
      <c r="U1289" s="2973"/>
      <c r="V1289" s="2973"/>
      <c r="W1289" s="2973"/>
      <c r="X1289" s="2973"/>
      <c r="Y1289" s="2973"/>
      <c r="Z1289" s="2973"/>
      <c r="AA1289" s="2973"/>
      <c r="AB1289" s="2973"/>
      <c r="AC1289" s="2973">
        <v>3</v>
      </c>
      <c r="AD1289" s="5543" t="s">
        <v>1785</v>
      </c>
      <c r="AE1289" s="6507">
        <v>0.2</v>
      </c>
      <c r="AF1289" s="2986">
        <f>M1286*AE1289</f>
        <v>496907.8</v>
      </c>
      <c r="AG1289" s="5588">
        <f t="shared" si="268"/>
        <v>496909.79</v>
      </c>
      <c r="AH1289" s="5543" t="s">
        <v>122</v>
      </c>
      <c r="AI1289" s="5588">
        <v>45496</v>
      </c>
      <c r="AJ1289" s="2973">
        <v>496909.79</v>
      </c>
      <c r="AK1289" s="2973">
        <v>45496</v>
      </c>
      <c r="AL1289" s="2973">
        <v>496909.79</v>
      </c>
      <c r="AM1289" s="2973">
        <v>45497</v>
      </c>
      <c r="AN1289" s="5588">
        <f t="shared" si="266"/>
        <v>496909.79</v>
      </c>
      <c r="AO1289" s="5588">
        <v>45651</v>
      </c>
      <c r="AP1289" s="5588">
        <f t="shared" si="267"/>
        <v>0</v>
      </c>
      <c r="AQ1289" s="5614"/>
      <c r="AR1289" s="2973"/>
      <c r="AS1289" s="6428"/>
      <c r="AT1289" s="5614"/>
      <c r="AU1289" s="2680"/>
      <c r="AV1289" s="2680"/>
      <c r="AW1289" s="2680"/>
      <c r="AX1289" s="2680"/>
      <c r="AY1289" s="2680"/>
      <c r="AZ1289" s="2680"/>
      <c r="BA1289" s="5588"/>
      <c r="BB1289" s="5588"/>
      <c r="BC1289" s="5588">
        <v>40000</v>
      </c>
      <c r="BD1289" s="5588"/>
      <c r="BE1289" s="5588"/>
      <c r="BF1289" s="5588"/>
      <c r="BG1289" s="5588"/>
      <c r="BH1289" s="5588"/>
      <c r="BI1289" s="5613"/>
      <c r="BJ1289" s="5613"/>
      <c r="BK1289" s="5613"/>
      <c r="BL1289" s="5613"/>
      <c r="BM1289" s="5613"/>
      <c r="BN1289" s="5588">
        <v>456909.79</v>
      </c>
      <c r="BO1289" s="2973"/>
      <c r="BP1289" s="2973"/>
      <c r="BQ1289" s="2973">
        <v>40000</v>
      </c>
      <c r="BR1289" s="2973"/>
      <c r="BS1289" s="2973"/>
      <c r="BT1289" s="2973"/>
      <c r="BU1289" s="2973"/>
      <c r="BV1289" s="2973"/>
      <c r="BW1289" s="5619"/>
      <c r="BX1289" s="2986"/>
      <c r="BY1289" s="2986"/>
      <c r="BZ1289" s="2986"/>
      <c r="CA1289" s="2986"/>
      <c r="CB1289" s="5652">
        <v>456909.79</v>
      </c>
      <c r="CC1289" s="2973"/>
      <c r="CD1289" s="2973"/>
      <c r="CE1289" s="5169">
        <f>SUBTOTAL(9,BO1289:CB1289)</f>
        <v>496909.79</v>
      </c>
      <c r="CF1289" s="5169">
        <f>AN1289-CE1289</f>
        <v>0</v>
      </c>
      <c r="CG1289" s="5169"/>
      <c r="CH1289" s="5169"/>
    </row>
    <row r="1290" s="4965" customFormat="1" ht="50.25" customHeight="1" spans="1:86">
      <c r="A1290" s="5079"/>
      <c r="B1290" s="1035"/>
      <c r="C1290" s="5079"/>
      <c r="D1290" s="1035"/>
      <c r="E1290" s="5821"/>
      <c r="F1290" s="3176"/>
      <c r="G1290" s="3176"/>
      <c r="H1290" s="3176"/>
      <c r="I1290" s="5562"/>
      <c r="J1290" s="3176"/>
      <c r="K1290" s="5543"/>
      <c r="L1290" s="3176"/>
      <c r="M1290" s="2973"/>
      <c r="N1290" s="2973"/>
      <c r="O1290" s="2973"/>
      <c r="P1290" s="2973"/>
      <c r="Q1290" s="2973"/>
      <c r="R1290" s="2973"/>
      <c r="S1290" s="2973"/>
      <c r="T1290" s="2973"/>
      <c r="U1290" s="2973"/>
      <c r="V1290" s="2973"/>
      <c r="W1290" s="2973"/>
      <c r="X1290" s="2973"/>
      <c r="Y1290" s="2973"/>
      <c r="Z1290" s="2973"/>
      <c r="AA1290" s="2973"/>
      <c r="AB1290" s="2973"/>
      <c r="AC1290" s="2973">
        <v>4</v>
      </c>
      <c r="AD1290" s="5543" t="s">
        <v>2088</v>
      </c>
      <c r="AE1290" s="6507">
        <v>0.25</v>
      </c>
      <c r="AF1290" s="2986">
        <f>M1286*AE1290</f>
        <v>621134.75</v>
      </c>
      <c r="AG1290" s="5588">
        <f t="shared" si="268"/>
        <v>621137.24</v>
      </c>
      <c r="AH1290" s="5543" t="s">
        <v>122</v>
      </c>
      <c r="AI1290" s="5588">
        <v>45799</v>
      </c>
      <c r="AJ1290" s="2973">
        <v>621137.24</v>
      </c>
      <c r="AK1290" s="5588">
        <v>45799</v>
      </c>
      <c r="AL1290" s="2973">
        <v>621137.24</v>
      </c>
      <c r="AM1290" s="5588">
        <v>45799</v>
      </c>
      <c r="AN1290" s="5618">
        <f t="shared" si="266"/>
        <v>621137.24</v>
      </c>
      <c r="AO1290" s="5618">
        <v>46052</v>
      </c>
      <c r="AP1290" s="5588">
        <f t="shared" si="267"/>
        <v>0</v>
      </c>
      <c r="AQ1290" s="5614"/>
      <c r="AR1290" s="2973"/>
      <c r="AS1290" s="6428"/>
      <c r="AT1290" s="5614"/>
      <c r="AU1290" s="2680"/>
      <c r="AV1290" s="2680"/>
      <c r="AW1290" s="2680"/>
      <c r="AX1290" s="2680"/>
      <c r="AY1290" s="2680"/>
      <c r="AZ1290" s="2680"/>
      <c r="BA1290" s="5588"/>
      <c r="BB1290" s="5588"/>
      <c r="BC1290" s="5588"/>
      <c r="BD1290" s="5588"/>
      <c r="BE1290" s="5588"/>
      <c r="BF1290" s="5588"/>
      <c r="BG1290" s="5588"/>
      <c r="BH1290" s="5588"/>
      <c r="BI1290" s="5613"/>
      <c r="BJ1290" s="5613"/>
      <c r="BK1290" s="5613"/>
      <c r="BL1290" s="5613"/>
      <c r="BM1290" s="5613"/>
      <c r="BN1290" s="5588">
        <v>621137.24</v>
      </c>
      <c r="BO1290" s="2973"/>
      <c r="BP1290" s="2973"/>
      <c r="BQ1290" s="2973"/>
      <c r="BR1290" s="2973"/>
      <c r="BS1290" s="2973"/>
      <c r="BT1290" s="2973"/>
      <c r="BU1290" s="2973"/>
      <c r="BV1290" s="2973"/>
      <c r="BW1290" s="5619"/>
      <c r="BX1290" s="2986"/>
      <c r="BY1290" s="2986"/>
      <c r="BZ1290" s="2986"/>
      <c r="CA1290" s="2986"/>
      <c r="CB1290" s="5652">
        <v>621137.24</v>
      </c>
      <c r="CC1290" s="2973"/>
      <c r="CD1290" s="2973"/>
      <c r="CE1290" s="5169"/>
      <c r="CF1290" s="5169"/>
      <c r="CG1290" s="5169"/>
      <c r="CH1290" s="5169"/>
    </row>
    <row r="1291" s="4965" customFormat="1" ht="50.25" customHeight="1" spans="1:86">
      <c r="A1291" s="5079"/>
      <c r="B1291" s="1035"/>
      <c r="C1291" s="5079"/>
      <c r="D1291" s="1035"/>
      <c r="E1291" s="5822"/>
      <c r="F1291" s="3176"/>
      <c r="G1291" s="3176"/>
      <c r="H1291" s="3176"/>
      <c r="I1291" s="5564"/>
      <c r="J1291" s="3176"/>
      <c r="K1291" s="5543"/>
      <c r="L1291" s="3176"/>
      <c r="M1291" s="2973"/>
      <c r="N1291" s="2973"/>
      <c r="O1291" s="2973"/>
      <c r="P1291" s="2973"/>
      <c r="Q1291" s="2973"/>
      <c r="R1291" s="2973"/>
      <c r="S1291" s="2973"/>
      <c r="T1291" s="2973"/>
      <c r="U1291" s="2973"/>
      <c r="V1291" s="2973"/>
      <c r="W1291" s="2973"/>
      <c r="X1291" s="2973"/>
      <c r="Y1291" s="2973"/>
      <c r="Z1291" s="2973"/>
      <c r="AA1291" s="2973"/>
      <c r="AB1291" s="2973"/>
      <c r="AC1291" s="2973">
        <v>5</v>
      </c>
      <c r="AD1291" s="5543" t="s">
        <v>2089</v>
      </c>
      <c r="AE1291" s="6507">
        <v>0.05</v>
      </c>
      <c r="AF1291" s="2986">
        <f>M1286*AE1291</f>
        <v>124226.95</v>
      </c>
      <c r="AG1291" s="5588">
        <f t="shared" si="268"/>
        <v>0</v>
      </c>
      <c r="AH1291" s="5543"/>
      <c r="AI1291" s="2973"/>
      <c r="AJ1291" s="2973"/>
      <c r="AK1291" s="2973"/>
      <c r="AL1291" s="2973"/>
      <c r="AM1291" s="2973"/>
      <c r="AN1291" s="5588">
        <f t="shared" si="266"/>
        <v>0</v>
      </c>
      <c r="AO1291" s="5588"/>
      <c r="AP1291" s="5588">
        <f t="shared" si="267"/>
        <v>0</v>
      </c>
      <c r="AQ1291" s="5614"/>
      <c r="AR1291" s="2973"/>
      <c r="AS1291" s="6428"/>
      <c r="AT1291" s="5614"/>
      <c r="AU1291" s="2680"/>
      <c r="AV1291" s="2680"/>
      <c r="AW1291" s="2680"/>
      <c r="AX1291" s="2680"/>
      <c r="AY1291" s="2680"/>
      <c r="AZ1291" s="2680"/>
      <c r="BA1291" s="5588"/>
      <c r="BB1291" s="5588"/>
      <c r="BC1291" s="5588"/>
      <c r="BD1291" s="5588"/>
      <c r="BE1291" s="5588"/>
      <c r="BF1291" s="5588"/>
      <c r="BG1291" s="5588"/>
      <c r="BH1291" s="5588"/>
      <c r="BI1291" s="5613"/>
      <c r="BJ1291" s="5613"/>
      <c r="BK1291" s="5613"/>
      <c r="BL1291" s="5613"/>
      <c r="BM1291" s="5613"/>
      <c r="BN1291" s="5588"/>
      <c r="BO1291" s="2973"/>
      <c r="BP1291" s="2973"/>
      <c r="BQ1291" s="2973"/>
      <c r="BR1291" s="2973"/>
      <c r="BS1291" s="2973"/>
      <c r="BT1291" s="2973"/>
      <c r="BU1291" s="2973"/>
      <c r="BV1291" s="2973"/>
      <c r="BW1291" s="5619"/>
      <c r="BX1291" s="2986"/>
      <c r="BY1291" s="2986"/>
      <c r="BZ1291" s="2986"/>
      <c r="CA1291" s="2986"/>
      <c r="CB1291" s="5652"/>
      <c r="CC1291" s="2973"/>
      <c r="CD1291" s="2973"/>
      <c r="CE1291" s="5169"/>
      <c r="CF1291" s="5169"/>
      <c r="CG1291" s="5169"/>
      <c r="CH1291" s="5169"/>
    </row>
    <row r="1292" s="4965" customFormat="1" ht="50.25" customHeight="1" spans="1:86">
      <c r="A1292" s="5079"/>
      <c r="B1292" s="1035"/>
      <c r="C1292" s="5820">
        <v>45434</v>
      </c>
      <c r="D1292" s="1035"/>
      <c r="E1292" s="5820"/>
      <c r="F1292" s="5670" t="s">
        <v>2214</v>
      </c>
      <c r="G1292" s="5670" t="s">
        <v>2209</v>
      </c>
      <c r="H1292" s="5670" t="s">
        <v>2182</v>
      </c>
      <c r="I1292" s="5670"/>
      <c r="J1292" s="5670" t="s">
        <v>2210</v>
      </c>
      <c r="K1292" s="5670" t="s">
        <v>2215</v>
      </c>
      <c r="L1292" s="5670" t="s">
        <v>2216</v>
      </c>
      <c r="M1292" s="3080">
        <f>SUM(N1292:AA1299)</f>
        <v>1131400</v>
      </c>
      <c r="N1292" s="3080"/>
      <c r="O1292" s="3080"/>
      <c r="P1292" s="3080"/>
      <c r="Q1292" s="3080"/>
      <c r="R1292" s="3080"/>
      <c r="S1292" s="3080"/>
      <c r="T1292" s="3080"/>
      <c r="U1292" s="3080"/>
      <c r="V1292" s="3080"/>
      <c r="W1292" s="3080"/>
      <c r="X1292" s="3080"/>
      <c r="Y1292" s="3080"/>
      <c r="Z1292" s="3080"/>
      <c r="AA1292" s="3080">
        <v>1131400</v>
      </c>
      <c r="AB1292" s="5668" t="s">
        <v>126</v>
      </c>
      <c r="AC1292" s="3077">
        <v>1</v>
      </c>
      <c r="AD1292" s="5698" t="s">
        <v>2093</v>
      </c>
      <c r="AE1292" s="6508">
        <v>0.1</v>
      </c>
      <c r="AF1292" s="3100">
        <f>M1292*AE1292</f>
        <v>113140</v>
      </c>
      <c r="AG1292" s="5472">
        <f t="shared" si="268"/>
        <v>113140</v>
      </c>
      <c r="AH1292" s="5698" t="s">
        <v>122</v>
      </c>
      <c r="AI1292" s="5472">
        <v>45496</v>
      </c>
      <c r="AJ1292" s="3077">
        <v>113140</v>
      </c>
      <c r="AK1292" s="5472">
        <v>45496</v>
      </c>
      <c r="AL1292" s="3077">
        <v>113140</v>
      </c>
      <c r="AM1292" s="3077">
        <v>45497</v>
      </c>
      <c r="AN1292" s="5472">
        <f t="shared" si="266"/>
        <v>113140</v>
      </c>
      <c r="AO1292" s="5472">
        <v>45590</v>
      </c>
      <c r="AP1292" s="5472">
        <f t="shared" si="267"/>
        <v>0</v>
      </c>
      <c r="AQ1292" s="6553"/>
      <c r="AR1292" s="3077"/>
      <c r="AS1292" s="6559"/>
      <c r="AT1292" s="6553"/>
      <c r="AU1292" s="2680"/>
      <c r="AV1292" s="2680"/>
      <c r="AW1292" s="2680"/>
      <c r="AX1292" s="2680"/>
      <c r="AY1292" s="2680"/>
      <c r="AZ1292" s="2680"/>
      <c r="BA1292" s="5472"/>
      <c r="BB1292" s="5472"/>
      <c r="BC1292" s="5472"/>
      <c r="BD1292" s="5472"/>
      <c r="BE1292" s="5472"/>
      <c r="BF1292" s="5472"/>
      <c r="BG1292" s="5472"/>
      <c r="BH1292" s="5472"/>
      <c r="BI1292" s="6566"/>
      <c r="BJ1292" s="6566"/>
      <c r="BK1292" s="6566"/>
      <c r="BL1292" s="6566"/>
      <c r="BM1292" s="6566"/>
      <c r="BN1292" s="5472">
        <v>113140</v>
      </c>
      <c r="BO1292" s="3077"/>
      <c r="BP1292" s="3077"/>
      <c r="BQ1292" s="3077"/>
      <c r="BR1292" s="3077"/>
      <c r="BS1292" s="3077"/>
      <c r="BT1292" s="3077"/>
      <c r="BU1292" s="3077"/>
      <c r="BV1292" s="3077"/>
      <c r="BW1292" s="6569"/>
      <c r="BX1292" s="3100"/>
      <c r="BY1292" s="3100"/>
      <c r="BZ1292" s="3100"/>
      <c r="CA1292" s="3100"/>
      <c r="CB1292" s="6574">
        <v>113140</v>
      </c>
      <c r="CC1292" s="3077"/>
      <c r="CD1292" s="3077"/>
      <c r="CE1292" s="5169">
        <f>SUBTOTAL(9,BO1292:CB1292)</f>
        <v>113140</v>
      </c>
      <c r="CF1292" s="5169">
        <f>AN1292-CE1292</f>
        <v>0</v>
      </c>
      <c r="CG1292" s="5169"/>
      <c r="CH1292" s="5169"/>
    </row>
    <row r="1293" s="4965" customFormat="1" ht="50.25" customHeight="1" spans="1:86">
      <c r="A1293" s="5079"/>
      <c r="B1293" s="1035"/>
      <c r="C1293" s="5821"/>
      <c r="D1293" s="1035"/>
      <c r="E1293" s="5821"/>
      <c r="F1293" s="6465"/>
      <c r="G1293" s="6465"/>
      <c r="H1293" s="6465"/>
      <c r="I1293" s="6481"/>
      <c r="J1293" s="6465"/>
      <c r="K1293" s="6481"/>
      <c r="L1293" s="6465"/>
      <c r="M1293" s="6489"/>
      <c r="N1293" s="6489"/>
      <c r="O1293" s="6489"/>
      <c r="P1293" s="6489"/>
      <c r="Q1293" s="6489"/>
      <c r="R1293" s="6489"/>
      <c r="S1293" s="6489"/>
      <c r="T1293" s="6489"/>
      <c r="U1293" s="6489"/>
      <c r="V1293" s="6489"/>
      <c r="W1293" s="6489"/>
      <c r="X1293" s="6489"/>
      <c r="Y1293" s="6489"/>
      <c r="Z1293" s="6489"/>
      <c r="AA1293" s="6489"/>
      <c r="AB1293" s="6489"/>
      <c r="AC1293" s="3077">
        <v>2</v>
      </c>
      <c r="AD1293" s="5698" t="s">
        <v>2034</v>
      </c>
      <c r="AE1293" s="5698" t="s">
        <v>2035</v>
      </c>
      <c r="AF1293" s="3100">
        <f>192000*40%</f>
        <v>76800</v>
      </c>
      <c r="AG1293" s="5472">
        <f t="shared" si="268"/>
        <v>76800</v>
      </c>
      <c r="AH1293" s="5698" t="s">
        <v>122</v>
      </c>
      <c r="AI1293" s="5472">
        <v>45496</v>
      </c>
      <c r="AJ1293" s="3077">
        <v>76800</v>
      </c>
      <c r="AK1293" s="5472">
        <v>45496</v>
      </c>
      <c r="AL1293" s="3077">
        <v>76800</v>
      </c>
      <c r="AM1293" s="3077">
        <v>45497</v>
      </c>
      <c r="AN1293" s="5472">
        <f t="shared" si="266"/>
        <v>76800</v>
      </c>
      <c r="AO1293" s="5472">
        <v>45590</v>
      </c>
      <c r="AP1293" s="5472">
        <f t="shared" si="267"/>
        <v>0</v>
      </c>
      <c r="AQ1293" s="6553"/>
      <c r="AR1293" s="3077"/>
      <c r="AS1293" s="6559"/>
      <c r="AT1293" s="6553"/>
      <c r="AU1293" s="2680"/>
      <c r="AV1293" s="2680"/>
      <c r="AW1293" s="2680"/>
      <c r="AX1293" s="2680"/>
      <c r="AY1293" s="2680"/>
      <c r="AZ1293" s="2680"/>
      <c r="BA1293" s="5472"/>
      <c r="BB1293" s="5472"/>
      <c r="BC1293" s="5472"/>
      <c r="BD1293" s="5472"/>
      <c r="BE1293" s="5472"/>
      <c r="BF1293" s="5472"/>
      <c r="BG1293" s="5472"/>
      <c r="BH1293" s="5472"/>
      <c r="BI1293" s="6566"/>
      <c r="BJ1293" s="6566"/>
      <c r="BK1293" s="6566"/>
      <c r="BL1293" s="6566"/>
      <c r="BM1293" s="6566"/>
      <c r="BN1293" s="5472">
        <v>76800</v>
      </c>
      <c r="BO1293" s="3077"/>
      <c r="BP1293" s="3077"/>
      <c r="BQ1293" s="3077"/>
      <c r="BR1293" s="3077"/>
      <c r="BS1293" s="3077"/>
      <c r="BT1293" s="3077"/>
      <c r="BU1293" s="3077"/>
      <c r="BV1293" s="3077"/>
      <c r="BW1293" s="6569"/>
      <c r="BX1293" s="3100"/>
      <c r="BY1293" s="3100"/>
      <c r="BZ1293" s="3100"/>
      <c r="CA1293" s="3100"/>
      <c r="CB1293" s="6574">
        <v>76800</v>
      </c>
      <c r="CC1293" s="3077"/>
      <c r="CD1293" s="3077"/>
      <c r="CE1293" s="5169">
        <f>SUBTOTAL(9,BO1293:CB1293)</f>
        <v>76800</v>
      </c>
      <c r="CF1293" s="5169">
        <f>AN1293-CE1293</f>
        <v>0</v>
      </c>
      <c r="CG1293" s="5169"/>
      <c r="CH1293" s="5169"/>
    </row>
    <row r="1294" s="4965" customFormat="1" ht="50.25" customHeight="1" spans="1:86">
      <c r="A1294" s="5079"/>
      <c r="B1294" s="1035"/>
      <c r="C1294" s="5821"/>
      <c r="D1294" s="1035"/>
      <c r="E1294" s="5821"/>
      <c r="F1294" s="6465"/>
      <c r="G1294" s="6465"/>
      <c r="H1294" s="6465"/>
      <c r="I1294" s="6481"/>
      <c r="J1294" s="6465"/>
      <c r="K1294" s="6481"/>
      <c r="L1294" s="6465"/>
      <c r="M1294" s="6489"/>
      <c r="N1294" s="6489"/>
      <c r="O1294" s="6489"/>
      <c r="P1294" s="6489"/>
      <c r="Q1294" s="6489"/>
      <c r="R1294" s="6489"/>
      <c r="S1294" s="6489"/>
      <c r="T1294" s="6489"/>
      <c r="U1294" s="6489"/>
      <c r="V1294" s="6489"/>
      <c r="W1294" s="6489"/>
      <c r="X1294" s="6489"/>
      <c r="Y1294" s="6489"/>
      <c r="Z1294" s="6489"/>
      <c r="AA1294" s="6489"/>
      <c r="AB1294" s="6489"/>
      <c r="AC1294" s="3077">
        <v>3</v>
      </c>
      <c r="AD1294" s="5698" t="s">
        <v>2037</v>
      </c>
      <c r="AE1294" s="5698" t="s">
        <v>2035</v>
      </c>
      <c r="AF1294" s="3100">
        <f>192000*40%</f>
        <v>76800</v>
      </c>
      <c r="AG1294" s="5472">
        <f t="shared" si="268"/>
        <v>76800</v>
      </c>
      <c r="AH1294" s="5698" t="s">
        <v>122</v>
      </c>
      <c r="AI1294" s="5472">
        <v>45496</v>
      </c>
      <c r="AJ1294" s="3077">
        <v>76800</v>
      </c>
      <c r="AK1294" s="5472">
        <v>45496</v>
      </c>
      <c r="AL1294" s="3077">
        <v>76800</v>
      </c>
      <c r="AM1294" s="3077">
        <v>45497</v>
      </c>
      <c r="AN1294" s="5472">
        <f t="shared" si="266"/>
        <v>76800</v>
      </c>
      <c r="AO1294" s="5472">
        <v>45590</v>
      </c>
      <c r="AP1294" s="5472">
        <f t="shared" si="267"/>
        <v>0</v>
      </c>
      <c r="AQ1294" s="6553"/>
      <c r="AR1294" s="3077"/>
      <c r="AS1294" s="6559"/>
      <c r="AT1294" s="6553"/>
      <c r="AU1294" s="2680"/>
      <c r="AV1294" s="2680"/>
      <c r="AW1294" s="2680"/>
      <c r="AX1294" s="2680"/>
      <c r="AY1294" s="2680"/>
      <c r="AZ1294" s="2680"/>
      <c r="BA1294" s="5472"/>
      <c r="BB1294" s="5472"/>
      <c r="BC1294" s="5472"/>
      <c r="BD1294" s="5472"/>
      <c r="BE1294" s="5472"/>
      <c r="BF1294" s="5472"/>
      <c r="BG1294" s="5472"/>
      <c r="BH1294" s="5472"/>
      <c r="BI1294" s="6566"/>
      <c r="BJ1294" s="6566"/>
      <c r="BK1294" s="6566"/>
      <c r="BL1294" s="6566"/>
      <c r="BM1294" s="6566"/>
      <c r="BN1294" s="5472">
        <v>76800</v>
      </c>
      <c r="BO1294" s="3077"/>
      <c r="BP1294" s="3077"/>
      <c r="BQ1294" s="3077"/>
      <c r="BR1294" s="3077"/>
      <c r="BS1294" s="3077"/>
      <c r="BT1294" s="3077"/>
      <c r="BU1294" s="3077"/>
      <c r="BV1294" s="3077"/>
      <c r="BW1294" s="6569"/>
      <c r="BX1294" s="3100"/>
      <c r="BY1294" s="3100"/>
      <c r="BZ1294" s="3100"/>
      <c r="CA1294" s="3100"/>
      <c r="CB1294" s="6574">
        <v>76800</v>
      </c>
      <c r="CC1294" s="3077"/>
      <c r="CD1294" s="3077"/>
      <c r="CE1294" s="5169">
        <f>SUBTOTAL(9,BO1294:CB1294)</f>
        <v>76800</v>
      </c>
      <c r="CF1294" s="5169">
        <f>AN1294-CE1294</f>
        <v>0</v>
      </c>
      <c r="CG1294" s="5169"/>
      <c r="CH1294" s="5169"/>
    </row>
    <row r="1295" s="4965" customFormat="1" ht="50.25" customHeight="1" spans="1:86">
      <c r="A1295" s="5079"/>
      <c r="B1295" s="1035"/>
      <c r="C1295" s="5821"/>
      <c r="D1295" s="1035"/>
      <c r="E1295" s="5821"/>
      <c r="F1295" s="6465"/>
      <c r="G1295" s="6465"/>
      <c r="H1295" s="6465"/>
      <c r="I1295" s="6481"/>
      <c r="J1295" s="6465"/>
      <c r="K1295" s="6481"/>
      <c r="L1295" s="6465"/>
      <c r="M1295" s="6489"/>
      <c r="N1295" s="6489"/>
      <c r="O1295" s="6489"/>
      <c r="P1295" s="6489"/>
      <c r="Q1295" s="6489"/>
      <c r="R1295" s="6489"/>
      <c r="S1295" s="6489"/>
      <c r="T1295" s="6489"/>
      <c r="U1295" s="6489"/>
      <c r="V1295" s="6489"/>
      <c r="W1295" s="6489"/>
      <c r="X1295" s="6489"/>
      <c r="Y1295" s="6489"/>
      <c r="Z1295" s="6489"/>
      <c r="AA1295" s="6489"/>
      <c r="AB1295" s="6489"/>
      <c r="AC1295" s="3077">
        <v>4</v>
      </c>
      <c r="AD1295" s="5698" t="s">
        <v>2043</v>
      </c>
      <c r="AE1295" s="5698" t="s">
        <v>2044</v>
      </c>
      <c r="AF1295" s="3100">
        <f>939400*15%</f>
        <v>140910</v>
      </c>
      <c r="AG1295" s="5472">
        <f t="shared" si="268"/>
        <v>140910</v>
      </c>
      <c r="AH1295" s="5698" t="s">
        <v>122</v>
      </c>
      <c r="AI1295" s="5472">
        <v>45496</v>
      </c>
      <c r="AJ1295" s="3077">
        <v>140910</v>
      </c>
      <c r="AK1295" s="5472">
        <v>45496</v>
      </c>
      <c r="AL1295" s="3077">
        <v>140910</v>
      </c>
      <c r="AM1295" s="3077">
        <v>45497</v>
      </c>
      <c r="AN1295" s="5472">
        <f t="shared" si="266"/>
        <v>140910</v>
      </c>
      <c r="AO1295" s="5472">
        <v>45590</v>
      </c>
      <c r="AP1295" s="5472">
        <f t="shared" si="267"/>
        <v>0</v>
      </c>
      <c r="AQ1295" s="6553"/>
      <c r="AR1295" s="3077"/>
      <c r="AS1295" s="6559"/>
      <c r="AT1295" s="6553"/>
      <c r="AU1295" s="2680"/>
      <c r="AV1295" s="2680"/>
      <c r="AW1295" s="2680"/>
      <c r="AX1295" s="2680"/>
      <c r="AY1295" s="2680"/>
      <c r="AZ1295" s="2680"/>
      <c r="BA1295" s="5472"/>
      <c r="BB1295" s="5472"/>
      <c r="BC1295" s="5472"/>
      <c r="BD1295" s="5472"/>
      <c r="BE1295" s="5472"/>
      <c r="BF1295" s="5472"/>
      <c r="BG1295" s="5472"/>
      <c r="BH1295" s="5472"/>
      <c r="BI1295" s="6566"/>
      <c r="BJ1295" s="6566"/>
      <c r="BK1295" s="6566"/>
      <c r="BL1295" s="6566"/>
      <c r="BM1295" s="6566"/>
      <c r="BN1295" s="5472">
        <v>140910</v>
      </c>
      <c r="BO1295" s="3077"/>
      <c r="BP1295" s="3077"/>
      <c r="BQ1295" s="3077"/>
      <c r="BR1295" s="3077"/>
      <c r="BS1295" s="3077"/>
      <c r="BT1295" s="3077"/>
      <c r="BU1295" s="3077"/>
      <c r="BV1295" s="3077"/>
      <c r="BW1295" s="6569"/>
      <c r="BX1295" s="3100"/>
      <c r="BY1295" s="3100"/>
      <c r="BZ1295" s="3100"/>
      <c r="CA1295" s="3100"/>
      <c r="CB1295" s="6574">
        <v>140910</v>
      </c>
      <c r="CC1295" s="3077"/>
      <c r="CD1295" s="3077"/>
      <c r="CE1295" s="5169">
        <f>SUBTOTAL(9,BO1295:CB1295)</f>
        <v>140910</v>
      </c>
      <c r="CF1295" s="5169">
        <f>AN1295-CE1295</f>
        <v>0</v>
      </c>
      <c r="CG1295" s="5169"/>
      <c r="CH1295" s="5169"/>
    </row>
    <row r="1296" s="4965" customFormat="1" ht="50.25" customHeight="1" spans="1:86">
      <c r="A1296" s="5079"/>
      <c r="B1296" s="1035"/>
      <c r="C1296" s="5821"/>
      <c r="D1296" s="1035"/>
      <c r="E1296" s="5821"/>
      <c r="F1296" s="6465"/>
      <c r="G1296" s="6465"/>
      <c r="H1296" s="6465"/>
      <c r="I1296" s="6481"/>
      <c r="J1296" s="6465"/>
      <c r="K1296" s="6481"/>
      <c r="L1296" s="6465"/>
      <c r="M1296" s="6489"/>
      <c r="N1296" s="6489"/>
      <c r="O1296" s="6489"/>
      <c r="P1296" s="6489"/>
      <c r="Q1296" s="6489"/>
      <c r="R1296" s="6489"/>
      <c r="S1296" s="6489"/>
      <c r="T1296" s="6489"/>
      <c r="U1296" s="6489"/>
      <c r="V1296" s="6489"/>
      <c r="W1296" s="6489"/>
      <c r="X1296" s="6489"/>
      <c r="Y1296" s="6489"/>
      <c r="Z1296" s="6489"/>
      <c r="AA1296" s="6489"/>
      <c r="AB1296" s="6489"/>
      <c r="AC1296" s="3077">
        <v>5</v>
      </c>
      <c r="AD1296" s="5698" t="s">
        <v>2046</v>
      </c>
      <c r="AE1296" s="5698" t="s">
        <v>2047</v>
      </c>
      <c r="AF1296" s="3100">
        <f>939400*20%</f>
        <v>187880</v>
      </c>
      <c r="AG1296" s="5472">
        <f t="shared" si="268"/>
        <v>187880</v>
      </c>
      <c r="AH1296" s="5698" t="s">
        <v>122</v>
      </c>
      <c r="AI1296" s="5472">
        <v>45496</v>
      </c>
      <c r="AJ1296" s="3077">
        <v>187880</v>
      </c>
      <c r="AK1296" s="5472">
        <v>45496</v>
      </c>
      <c r="AL1296" s="3077">
        <v>187880</v>
      </c>
      <c r="AM1296" s="3077">
        <v>45497</v>
      </c>
      <c r="AN1296" s="5472">
        <f t="shared" si="266"/>
        <v>187880</v>
      </c>
      <c r="AO1296" s="5472">
        <v>45590</v>
      </c>
      <c r="AP1296" s="5472">
        <f t="shared" si="267"/>
        <v>0</v>
      </c>
      <c r="AQ1296" s="6553"/>
      <c r="AR1296" s="3077"/>
      <c r="AS1296" s="6559"/>
      <c r="AT1296" s="6553"/>
      <c r="AU1296" s="2680"/>
      <c r="AV1296" s="2680"/>
      <c r="AW1296" s="2680"/>
      <c r="AX1296" s="2680"/>
      <c r="AY1296" s="2680"/>
      <c r="AZ1296" s="2680"/>
      <c r="BA1296" s="5472"/>
      <c r="BB1296" s="5472"/>
      <c r="BC1296" s="5472"/>
      <c r="BD1296" s="5472"/>
      <c r="BE1296" s="5472"/>
      <c r="BF1296" s="5472"/>
      <c r="BG1296" s="5472"/>
      <c r="BH1296" s="5472"/>
      <c r="BI1296" s="6566"/>
      <c r="BJ1296" s="6566"/>
      <c r="BK1296" s="6566"/>
      <c r="BL1296" s="6566"/>
      <c r="BM1296" s="6566"/>
      <c r="BN1296" s="5472">
        <v>187880</v>
      </c>
      <c r="BO1296" s="3077"/>
      <c r="BP1296" s="3077"/>
      <c r="BQ1296" s="3077"/>
      <c r="BR1296" s="3077"/>
      <c r="BS1296" s="3077"/>
      <c r="BT1296" s="3077"/>
      <c r="BU1296" s="3077"/>
      <c r="BV1296" s="3077"/>
      <c r="BW1296" s="6569"/>
      <c r="BX1296" s="3100"/>
      <c r="BY1296" s="3100"/>
      <c r="BZ1296" s="3100"/>
      <c r="CA1296" s="3100"/>
      <c r="CB1296" s="6574">
        <v>187880</v>
      </c>
      <c r="CC1296" s="3077"/>
      <c r="CD1296" s="3077"/>
      <c r="CE1296" s="5169">
        <f>SUBTOTAL(9,BO1296:CB1296)</f>
        <v>187880</v>
      </c>
      <c r="CF1296" s="5169">
        <f>AN1296-CE1296</f>
        <v>0</v>
      </c>
      <c r="CG1296" s="5169"/>
      <c r="CH1296" s="5169"/>
    </row>
    <row r="1297" s="4965" customFormat="1" ht="50.25" customHeight="1" spans="1:86">
      <c r="A1297" s="5079"/>
      <c r="B1297" s="1035"/>
      <c r="C1297" s="5821"/>
      <c r="D1297" s="1035"/>
      <c r="E1297" s="5821"/>
      <c r="F1297" s="6465"/>
      <c r="G1297" s="6465"/>
      <c r="H1297" s="6465"/>
      <c r="I1297" s="6481"/>
      <c r="J1297" s="6465"/>
      <c r="K1297" s="6481"/>
      <c r="L1297" s="6465"/>
      <c r="M1297" s="6489"/>
      <c r="N1297" s="6489"/>
      <c r="O1297" s="6489"/>
      <c r="P1297" s="6489"/>
      <c r="Q1297" s="6489"/>
      <c r="R1297" s="6489"/>
      <c r="S1297" s="6489"/>
      <c r="T1297" s="6489"/>
      <c r="U1297" s="6489"/>
      <c r="V1297" s="6489"/>
      <c r="W1297" s="6489"/>
      <c r="X1297" s="6489"/>
      <c r="Y1297" s="6489"/>
      <c r="Z1297" s="6489"/>
      <c r="AA1297" s="6489"/>
      <c r="AB1297" s="6489"/>
      <c r="AC1297" s="3077">
        <v>6</v>
      </c>
      <c r="AD1297" s="5698" t="s">
        <v>2049</v>
      </c>
      <c r="AE1297" s="5698" t="s">
        <v>2044</v>
      </c>
      <c r="AF1297" s="3100">
        <f>939400*15%</f>
        <v>140910</v>
      </c>
      <c r="AG1297" s="5472">
        <f t="shared" si="268"/>
        <v>140910</v>
      </c>
      <c r="AH1297" s="5698" t="s">
        <v>122</v>
      </c>
      <c r="AI1297" s="5472">
        <v>45799</v>
      </c>
      <c r="AJ1297" s="3077">
        <v>140910</v>
      </c>
      <c r="AK1297" s="5472">
        <v>45799</v>
      </c>
      <c r="AL1297" s="3077">
        <v>140910</v>
      </c>
      <c r="AM1297" s="5472">
        <v>45799</v>
      </c>
      <c r="AN1297" s="5693">
        <f t="shared" si="266"/>
        <v>140910</v>
      </c>
      <c r="AO1297" s="5693">
        <v>46052</v>
      </c>
      <c r="AP1297" s="5472">
        <f t="shared" si="267"/>
        <v>0</v>
      </c>
      <c r="AQ1297" s="6553"/>
      <c r="AR1297" s="3077"/>
      <c r="AS1297" s="6559"/>
      <c r="AT1297" s="6553"/>
      <c r="AU1297" s="2680"/>
      <c r="AV1297" s="2680"/>
      <c r="AW1297" s="2680"/>
      <c r="AX1297" s="2680"/>
      <c r="AY1297" s="2680"/>
      <c r="AZ1297" s="2680"/>
      <c r="BA1297" s="5472"/>
      <c r="BB1297" s="5472"/>
      <c r="BC1297" s="5472"/>
      <c r="BD1297" s="5472"/>
      <c r="BE1297" s="5472"/>
      <c r="BF1297" s="5472"/>
      <c r="BG1297" s="5472"/>
      <c r="BH1297" s="5472"/>
      <c r="BI1297" s="6566"/>
      <c r="BJ1297" s="6566"/>
      <c r="BK1297" s="6566"/>
      <c r="BL1297" s="6566"/>
      <c r="BM1297" s="6566"/>
      <c r="BN1297" s="5472">
        <v>140910</v>
      </c>
      <c r="BO1297" s="3077"/>
      <c r="BP1297" s="3077"/>
      <c r="BQ1297" s="3077"/>
      <c r="BR1297" s="3077"/>
      <c r="BS1297" s="3077"/>
      <c r="BT1297" s="3077"/>
      <c r="BU1297" s="3077"/>
      <c r="BV1297" s="3077"/>
      <c r="BW1297" s="6569"/>
      <c r="BX1297" s="3100"/>
      <c r="BY1297" s="3100"/>
      <c r="BZ1297" s="3100"/>
      <c r="CA1297" s="3100"/>
      <c r="CB1297" s="6574">
        <v>140910</v>
      </c>
      <c r="CC1297" s="3077"/>
      <c r="CD1297" s="3077"/>
      <c r="CE1297" s="5169"/>
      <c r="CF1297" s="5169"/>
      <c r="CG1297" s="5169"/>
      <c r="CH1297" s="5169"/>
    </row>
    <row r="1298" s="4965" customFormat="1" ht="50.25" customHeight="1" spans="1:86">
      <c r="A1298" s="5079"/>
      <c r="B1298" s="1035"/>
      <c r="C1298" s="5821"/>
      <c r="D1298" s="1035"/>
      <c r="E1298" s="5821"/>
      <c r="F1298" s="6465"/>
      <c r="G1298" s="6465"/>
      <c r="H1298" s="6465"/>
      <c r="I1298" s="6481"/>
      <c r="J1298" s="6465"/>
      <c r="K1298" s="6481"/>
      <c r="L1298" s="6465"/>
      <c r="M1298" s="6489"/>
      <c r="N1298" s="6489"/>
      <c r="O1298" s="6489"/>
      <c r="P1298" s="6489"/>
      <c r="Q1298" s="6489"/>
      <c r="R1298" s="6489"/>
      <c r="S1298" s="6489"/>
      <c r="T1298" s="6489"/>
      <c r="U1298" s="6489"/>
      <c r="V1298" s="6489"/>
      <c r="W1298" s="6489"/>
      <c r="X1298" s="6489"/>
      <c r="Y1298" s="6489"/>
      <c r="Z1298" s="6489"/>
      <c r="AA1298" s="6489"/>
      <c r="AB1298" s="6489"/>
      <c r="AC1298" s="3077">
        <v>7</v>
      </c>
      <c r="AD1298" s="5698" t="s">
        <v>2051</v>
      </c>
      <c r="AE1298" s="5698" t="s">
        <v>2139</v>
      </c>
      <c r="AF1298" s="3100">
        <f>939400*25%</f>
        <v>234850</v>
      </c>
      <c r="AG1298" s="5472">
        <f t="shared" si="268"/>
        <v>234850</v>
      </c>
      <c r="AH1298" s="5698" t="s">
        <v>122</v>
      </c>
      <c r="AI1298" s="5472">
        <v>45799</v>
      </c>
      <c r="AJ1298" s="3077">
        <v>234850</v>
      </c>
      <c r="AK1298" s="5472">
        <v>45799</v>
      </c>
      <c r="AL1298" s="3077">
        <v>234850</v>
      </c>
      <c r="AM1298" s="5472">
        <v>45799</v>
      </c>
      <c r="AN1298" s="5693">
        <f t="shared" si="266"/>
        <v>234850</v>
      </c>
      <c r="AO1298" s="5693">
        <v>46052</v>
      </c>
      <c r="AP1298" s="5472">
        <f t="shared" si="267"/>
        <v>0</v>
      </c>
      <c r="AQ1298" s="6553"/>
      <c r="AR1298" s="3077"/>
      <c r="AS1298" s="6559"/>
      <c r="AT1298" s="6553"/>
      <c r="AU1298" s="2680"/>
      <c r="AV1298" s="2680"/>
      <c r="AW1298" s="2680"/>
      <c r="AX1298" s="2680"/>
      <c r="AY1298" s="2680"/>
      <c r="AZ1298" s="2680"/>
      <c r="BA1298" s="5472"/>
      <c r="BB1298" s="5472"/>
      <c r="BC1298" s="5472"/>
      <c r="BD1298" s="5472"/>
      <c r="BE1298" s="5472"/>
      <c r="BF1298" s="5472"/>
      <c r="BG1298" s="5472"/>
      <c r="BH1298" s="5472"/>
      <c r="BI1298" s="6566"/>
      <c r="BJ1298" s="6566"/>
      <c r="BK1298" s="6566"/>
      <c r="BL1298" s="6566"/>
      <c r="BM1298" s="6566"/>
      <c r="BN1298" s="5472">
        <v>234850</v>
      </c>
      <c r="BO1298" s="3077"/>
      <c r="BP1298" s="3077"/>
      <c r="BQ1298" s="3077"/>
      <c r="BR1298" s="3077"/>
      <c r="BS1298" s="3077"/>
      <c r="BT1298" s="3077"/>
      <c r="BU1298" s="3077"/>
      <c r="BV1298" s="3077"/>
      <c r="BW1298" s="6569"/>
      <c r="BX1298" s="3100"/>
      <c r="BY1298" s="3100"/>
      <c r="BZ1298" s="3100"/>
      <c r="CA1298" s="3100"/>
      <c r="CB1298" s="6574">
        <v>234850</v>
      </c>
      <c r="CC1298" s="3077"/>
      <c r="CD1298" s="3077"/>
      <c r="CE1298" s="5169"/>
      <c r="CF1298" s="5169"/>
      <c r="CG1298" s="5169"/>
      <c r="CH1298" s="5169"/>
    </row>
    <row r="1299" s="4965" customFormat="1" ht="50.25" customHeight="1" spans="1:86">
      <c r="A1299" s="5079"/>
      <c r="B1299" s="1035"/>
      <c r="C1299" s="5821"/>
      <c r="D1299" s="1035"/>
      <c r="E1299" s="5822"/>
      <c r="F1299" s="6466"/>
      <c r="G1299" s="6466"/>
      <c r="H1299" s="6466"/>
      <c r="I1299" s="5673"/>
      <c r="J1299" s="6466"/>
      <c r="K1299" s="5673"/>
      <c r="L1299" s="6466"/>
      <c r="M1299" s="6490"/>
      <c r="N1299" s="6490"/>
      <c r="O1299" s="6490"/>
      <c r="P1299" s="6490"/>
      <c r="Q1299" s="6490"/>
      <c r="R1299" s="6490"/>
      <c r="S1299" s="6490"/>
      <c r="T1299" s="6490"/>
      <c r="U1299" s="6490"/>
      <c r="V1299" s="6490"/>
      <c r="W1299" s="6490"/>
      <c r="X1299" s="6490"/>
      <c r="Y1299" s="6490"/>
      <c r="Z1299" s="6490"/>
      <c r="AA1299" s="6490"/>
      <c r="AB1299" s="6490"/>
      <c r="AC1299" s="3077">
        <v>8</v>
      </c>
      <c r="AD1299" s="5698" t="s">
        <v>2055</v>
      </c>
      <c r="AE1299" s="5698" t="s">
        <v>2056</v>
      </c>
      <c r="AF1299" s="3100">
        <f>192000*10%+939400*15%</f>
        <v>160110</v>
      </c>
      <c r="AG1299" s="5472">
        <f t="shared" si="268"/>
        <v>0</v>
      </c>
      <c r="AH1299" s="5698"/>
      <c r="AI1299" s="3077"/>
      <c r="AJ1299" s="3077"/>
      <c r="AK1299" s="3077"/>
      <c r="AL1299" s="3077"/>
      <c r="AM1299" s="3077"/>
      <c r="AN1299" s="5472">
        <f t="shared" si="266"/>
        <v>0</v>
      </c>
      <c r="AO1299" s="5472"/>
      <c r="AP1299" s="5472">
        <f t="shared" si="267"/>
        <v>0</v>
      </c>
      <c r="AQ1299" s="6553"/>
      <c r="AR1299" s="3077"/>
      <c r="AS1299" s="6559"/>
      <c r="AT1299" s="6553"/>
      <c r="AU1299" s="2680"/>
      <c r="AV1299" s="2680"/>
      <c r="AW1299" s="2680"/>
      <c r="AX1299" s="2680"/>
      <c r="AY1299" s="2680"/>
      <c r="AZ1299" s="2680"/>
      <c r="BA1299" s="5472"/>
      <c r="BB1299" s="5472"/>
      <c r="BC1299" s="5472"/>
      <c r="BD1299" s="5472"/>
      <c r="BE1299" s="5472"/>
      <c r="BF1299" s="5472"/>
      <c r="BG1299" s="5472"/>
      <c r="BH1299" s="5472"/>
      <c r="BI1299" s="6566"/>
      <c r="BJ1299" s="6566"/>
      <c r="BK1299" s="6566"/>
      <c r="BL1299" s="6566"/>
      <c r="BM1299" s="6566"/>
      <c r="BN1299" s="5472"/>
      <c r="BO1299" s="3077"/>
      <c r="BP1299" s="3077"/>
      <c r="BQ1299" s="3077"/>
      <c r="BR1299" s="3077"/>
      <c r="BS1299" s="3077"/>
      <c r="BT1299" s="3077"/>
      <c r="BU1299" s="3077"/>
      <c r="BV1299" s="3077"/>
      <c r="BW1299" s="6569"/>
      <c r="BX1299" s="3100"/>
      <c r="BY1299" s="3100"/>
      <c r="BZ1299" s="3100"/>
      <c r="CA1299" s="3100"/>
      <c r="CB1299" s="6574"/>
      <c r="CC1299" s="3077"/>
      <c r="CD1299" s="3077"/>
      <c r="CE1299" s="5169"/>
      <c r="CF1299" s="5169"/>
      <c r="CG1299" s="5169"/>
      <c r="CH1299" s="5169"/>
    </row>
    <row r="1300" s="4965" customFormat="1" ht="50.25" customHeight="1" spans="1:86">
      <c r="A1300" s="5079"/>
      <c r="B1300" s="1035"/>
      <c r="C1300" s="5820">
        <v>45434</v>
      </c>
      <c r="D1300" s="1035"/>
      <c r="E1300" s="5820"/>
      <c r="F1300" s="6314" t="s">
        <v>2217</v>
      </c>
      <c r="G1300" s="6314" t="s">
        <v>2209</v>
      </c>
      <c r="H1300" s="6314" t="s">
        <v>993</v>
      </c>
      <c r="I1300" s="6314"/>
      <c r="J1300" s="6314" t="s">
        <v>2210</v>
      </c>
      <c r="K1300" s="6314" t="s">
        <v>2218</v>
      </c>
      <c r="L1300" s="6314" t="s">
        <v>2219</v>
      </c>
      <c r="M1300" s="6491">
        <f>SUM(N1300:AA1308)</f>
        <v>1960564.3</v>
      </c>
      <c r="N1300" s="6491"/>
      <c r="O1300" s="6491"/>
      <c r="P1300" s="6491"/>
      <c r="Q1300" s="6491"/>
      <c r="R1300" s="6491"/>
      <c r="S1300" s="6491"/>
      <c r="T1300" s="6491"/>
      <c r="U1300" s="6491"/>
      <c r="V1300" s="6491"/>
      <c r="W1300" s="6491"/>
      <c r="X1300" s="6491"/>
      <c r="Y1300" s="6491"/>
      <c r="Z1300" s="6491"/>
      <c r="AA1300" s="6491">
        <v>1960564.3</v>
      </c>
      <c r="AB1300" s="6498" t="s">
        <v>126</v>
      </c>
      <c r="AC1300" s="6491">
        <v>1</v>
      </c>
      <c r="AD1300" s="6296" t="s">
        <v>2220</v>
      </c>
      <c r="AE1300" s="6509">
        <v>0.2</v>
      </c>
      <c r="AF1300" s="6510">
        <f>M1300*AE1300</f>
        <v>392112.86</v>
      </c>
      <c r="AG1300" s="6371">
        <f t="shared" si="268"/>
        <v>217100</v>
      </c>
      <c r="AH1300" s="6296" t="s">
        <v>122</v>
      </c>
      <c r="AI1300" s="6371">
        <v>45496</v>
      </c>
      <c r="AJ1300" s="6371">
        <v>217100</v>
      </c>
      <c r="AK1300" s="6371">
        <v>45496</v>
      </c>
      <c r="AL1300" s="6368">
        <v>217100</v>
      </c>
      <c r="AM1300" s="6368">
        <v>45497</v>
      </c>
      <c r="AN1300" s="6371">
        <f t="shared" si="266"/>
        <v>217100</v>
      </c>
      <c r="AO1300" s="6371">
        <v>45651</v>
      </c>
      <c r="AP1300" s="6371">
        <f t="shared" si="267"/>
        <v>0</v>
      </c>
      <c r="AQ1300" s="6418"/>
      <c r="AR1300" s="6368"/>
      <c r="AS1300" s="6432"/>
      <c r="AT1300" s="6418"/>
      <c r="AU1300" s="2680"/>
      <c r="AV1300" s="2680"/>
      <c r="AW1300" s="2680"/>
      <c r="AX1300" s="2680"/>
      <c r="AY1300" s="2680"/>
      <c r="AZ1300" s="2680"/>
      <c r="BA1300" s="6371"/>
      <c r="BB1300" s="6371"/>
      <c r="BC1300" s="6371"/>
      <c r="BD1300" s="6371"/>
      <c r="BE1300" s="6371"/>
      <c r="BF1300" s="6371"/>
      <c r="BG1300" s="6371"/>
      <c r="BH1300" s="6371"/>
      <c r="BI1300" s="6372"/>
      <c r="BJ1300" s="6372"/>
      <c r="BK1300" s="6372"/>
      <c r="BL1300" s="6372"/>
      <c r="BM1300" s="6372"/>
      <c r="BN1300" s="6371">
        <v>217100</v>
      </c>
      <c r="BO1300" s="6368"/>
      <c r="BP1300" s="6368"/>
      <c r="BQ1300" s="6368"/>
      <c r="BR1300" s="6368"/>
      <c r="BS1300" s="6368"/>
      <c r="BT1300" s="6368"/>
      <c r="BU1300" s="6368"/>
      <c r="BV1300" s="6368"/>
      <c r="BW1300" s="6448"/>
      <c r="BX1300" s="6370"/>
      <c r="BY1300" s="6370"/>
      <c r="BZ1300" s="6370"/>
      <c r="CA1300" s="6370"/>
      <c r="CB1300" s="6371">
        <v>217100</v>
      </c>
      <c r="CC1300" s="6368"/>
      <c r="CD1300" s="6368"/>
      <c r="CE1300" s="5169">
        <f>SUBTOTAL(9,BO1300:CB1300)</f>
        <v>217100</v>
      </c>
      <c r="CF1300" s="5169">
        <f>AN1300-CE1300</f>
        <v>0</v>
      </c>
      <c r="CG1300" s="5169"/>
      <c r="CH1300" s="5169"/>
    </row>
    <row r="1301" s="4965" customFormat="1" ht="50.25" customHeight="1" spans="1:86">
      <c r="A1301" s="5079"/>
      <c r="B1301" s="1035"/>
      <c r="C1301" s="5821"/>
      <c r="D1301" s="1035"/>
      <c r="E1301" s="5821"/>
      <c r="F1301" s="6467"/>
      <c r="G1301" s="6468"/>
      <c r="H1301" s="6468"/>
      <c r="I1301" s="6315"/>
      <c r="J1301" s="6468"/>
      <c r="K1301" s="6315"/>
      <c r="L1301" s="6468"/>
      <c r="M1301" s="6333"/>
      <c r="N1301" s="6333"/>
      <c r="O1301" s="6333"/>
      <c r="P1301" s="6333"/>
      <c r="Q1301" s="6333"/>
      <c r="R1301" s="6333"/>
      <c r="S1301" s="6333"/>
      <c r="T1301" s="6333"/>
      <c r="U1301" s="6333"/>
      <c r="V1301" s="6333"/>
      <c r="W1301" s="6333"/>
      <c r="X1301" s="6333"/>
      <c r="Y1301" s="6333"/>
      <c r="Z1301" s="6333"/>
      <c r="AA1301" s="6333"/>
      <c r="AB1301" s="6333"/>
      <c r="AC1301" s="6335"/>
      <c r="AD1301" s="6296" t="s">
        <v>1787</v>
      </c>
      <c r="AE1301" s="6511"/>
      <c r="AF1301" s="6512"/>
      <c r="AG1301" s="6371">
        <f t="shared" si="268"/>
        <v>175012.86</v>
      </c>
      <c r="AH1301" s="6296" t="s">
        <v>122</v>
      </c>
      <c r="AI1301" s="6371">
        <v>45799</v>
      </c>
      <c r="AJ1301" s="6368">
        <v>175012.86</v>
      </c>
      <c r="AK1301" s="6371">
        <v>45799</v>
      </c>
      <c r="AL1301" s="6368">
        <v>175012.86</v>
      </c>
      <c r="AM1301" s="6371">
        <v>45799</v>
      </c>
      <c r="AN1301" s="6441">
        <f t="shared" ref="AN1301:AN1332" si="269">SUM(BO1301:CB1301)</f>
        <v>175012.86</v>
      </c>
      <c r="AO1301" s="6441">
        <v>46052</v>
      </c>
      <c r="AP1301" s="6371">
        <f t="shared" ref="AP1301:AP1332" si="270">AG1301-AN1301</f>
        <v>0</v>
      </c>
      <c r="AQ1301" s="6418"/>
      <c r="AR1301" s="6368"/>
      <c r="AS1301" s="6432"/>
      <c r="AT1301" s="6418"/>
      <c r="AU1301" s="2680"/>
      <c r="AV1301" s="2680"/>
      <c r="AW1301" s="2680"/>
      <c r="AX1301" s="2680"/>
      <c r="AY1301" s="2680"/>
      <c r="AZ1301" s="2680"/>
      <c r="BA1301" s="6371"/>
      <c r="BB1301" s="6371"/>
      <c r="BC1301" s="6371"/>
      <c r="BD1301" s="6371"/>
      <c r="BE1301" s="6371"/>
      <c r="BF1301" s="6371"/>
      <c r="BG1301" s="6371"/>
      <c r="BH1301" s="6371"/>
      <c r="BI1301" s="6372"/>
      <c r="BJ1301" s="6372"/>
      <c r="BK1301" s="6372"/>
      <c r="BL1301" s="6372"/>
      <c r="BM1301" s="6372"/>
      <c r="BN1301" s="6371">
        <v>175012.86</v>
      </c>
      <c r="BO1301" s="6368"/>
      <c r="BP1301" s="6368"/>
      <c r="BQ1301" s="6368"/>
      <c r="BR1301" s="6368"/>
      <c r="BS1301" s="6368"/>
      <c r="BT1301" s="6368"/>
      <c r="BU1301" s="6368"/>
      <c r="BV1301" s="6368"/>
      <c r="BW1301" s="6448"/>
      <c r="BX1301" s="6370"/>
      <c r="BY1301" s="6370"/>
      <c r="BZ1301" s="6370"/>
      <c r="CA1301" s="6370"/>
      <c r="CB1301" s="6371">
        <v>175012.86</v>
      </c>
      <c r="CC1301" s="6368"/>
      <c r="CD1301" s="6368"/>
      <c r="CE1301" s="5169"/>
      <c r="CF1301" s="5169"/>
      <c r="CG1301" s="5169"/>
      <c r="CH1301" s="5169"/>
    </row>
    <row r="1302" s="4965" customFormat="1" ht="50.25" customHeight="1" spans="1:86">
      <c r="A1302" s="5079"/>
      <c r="B1302" s="1035"/>
      <c r="C1302" s="5821"/>
      <c r="D1302" s="1035"/>
      <c r="E1302" s="5821"/>
      <c r="F1302" s="6467"/>
      <c r="G1302" s="6468"/>
      <c r="H1302" s="6468"/>
      <c r="I1302" s="6315"/>
      <c r="J1302" s="6468"/>
      <c r="K1302" s="6315"/>
      <c r="L1302" s="6468"/>
      <c r="M1302" s="6333"/>
      <c r="N1302" s="6333"/>
      <c r="O1302" s="6333"/>
      <c r="P1302" s="6333"/>
      <c r="Q1302" s="6333"/>
      <c r="R1302" s="6333"/>
      <c r="S1302" s="6333"/>
      <c r="T1302" s="6333"/>
      <c r="U1302" s="6333"/>
      <c r="V1302" s="6333"/>
      <c r="W1302" s="6333"/>
      <c r="X1302" s="6333"/>
      <c r="Y1302" s="6333"/>
      <c r="Z1302" s="6333"/>
      <c r="AA1302" s="6333"/>
      <c r="AB1302" s="6333"/>
      <c r="AC1302" s="6491">
        <v>2</v>
      </c>
      <c r="AD1302" s="6296" t="s">
        <v>2221</v>
      </c>
      <c r="AE1302" s="6509">
        <v>0.2</v>
      </c>
      <c r="AF1302" s="6510">
        <f>M1300*AE1302</f>
        <v>392112.86</v>
      </c>
      <c r="AG1302" s="6371">
        <f t="shared" si="268"/>
        <v>217100</v>
      </c>
      <c r="AH1302" s="6296" t="s">
        <v>122</v>
      </c>
      <c r="AI1302" s="6371">
        <v>45496</v>
      </c>
      <c r="AJ1302" s="6368">
        <v>217100</v>
      </c>
      <c r="AK1302" s="6371">
        <v>45496</v>
      </c>
      <c r="AL1302" s="6368">
        <v>217100</v>
      </c>
      <c r="AM1302" s="6368">
        <v>45497</v>
      </c>
      <c r="AN1302" s="6371">
        <f t="shared" si="269"/>
        <v>217100</v>
      </c>
      <c r="AO1302" s="6371">
        <v>45651</v>
      </c>
      <c r="AP1302" s="6371">
        <f t="shared" si="270"/>
        <v>0</v>
      </c>
      <c r="AQ1302" s="6418"/>
      <c r="AR1302" s="6368"/>
      <c r="AS1302" s="6432"/>
      <c r="AT1302" s="6418"/>
      <c r="AU1302" s="2680"/>
      <c r="AV1302" s="2680"/>
      <c r="AW1302" s="2680"/>
      <c r="AX1302" s="2680"/>
      <c r="AY1302" s="2680"/>
      <c r="AZ1302" s="2680"/>
      <c r="BA1302" s="6371"/>
      <c r="BB1302" s="6371"/>
      <c r="BC1302" s="6371"/>
      <c r="BD1302" s="6371"/>
      <c r="BE1302" s="6371"/>
      <c r="BF1302" s="6371"/>
      <c r="BG1302" s="6371"/>
      <c r="BH1302" s="6371"/>
      <c r="BI1302" s="6372"/>
      <c r="BJ1302" s="6372"/>
      <c r="BK1302" s="6372"/>
      <c r="BL1302" s="6372"/>
      <c r="BM1302" s="6372"/>
      <c r="BN1302" s="6371">
        <v>217100</v>
      </c>
      <c r="BO1302" s="6368"/>
      <c r="BP1302" s="6368"/>
      <c r="BQ1302" s="6368"/>
      <c r="BR1302" s="6368"/>
      <c r="BS1302" s="6368"/>
      <c r="BT1302" s="6368"/>
      <c r="BU1302" s="6368"/>
      <c r="BV1302" s="6368"/>
      <c r="BW1302" s="6448"/>
      <c r="BX1302" s="6370"/>
      <c r="BY1302" s="6370"/>
      <c r="BZ1302" s="6370"/>
      <c r="CA1302" s="6370"/>
      <c r="CB1302" s="6371">
        <v>217100</v>
      </c>
      <c r="CC1302" s="6368"/>
      <c r="CD1302" s="6368"/>
      <c r="CE1302" s="5169">
        <f>SUBTOTAL(9,BO1302:CB1302)</f>
        <v>217100</v>
      </c>
      <c r="CF1302" s="5169">
        <f>AN1302-CE1302</f>
        <v>0</v>
      </c>
      <c r="CG1302" s="5169"/>
      <c r="CH1302" s="5169"/>
    </row>
    <row r="1303" s="4965" customFormat="1" ht="50.25" customHeight="1" spans="1:86">
      <c r="A1303" s="5079"/>
      <c r="B1303" s="1035"/>
      <c r="C1303" s="5821"/>
      <c r="D1303" s="1035"/>
      <c r="E1303" s="5821"/>
      <c r="F1303" s="6467"/>
      <c r="G1303" s="6468"/>
      <c r="H1303" s="6468"/>
      <c r="I1303" s="6315"/>
      <c r="J1303" s="6468"/>
      <c r="K1303" s="6315"/>
      <c r="L1303" s="6468"/>
      <c r="M1303" s="6333"/>
      <c r="N1303" s="6333"/>
      <c r="O1303" s="6333"/>
      <c r="P1303" s="6333"/>
      <c r="Q1303" s="6333"/>
      <c r="R1303" s="6333"/>
      <c r="S1303" s="6333"/>
      <c r="T1303" s="6333"/>
      <c r="U1303" s="6333"/>
      <c r="V1303" s="6333"/>
      <c r="W1303" s="6333"/>
      <c r="X1303" s="6333"/>
      <c r="Y1303" s="6333"/>
      <c r="Z1303" s="6333"/>
      <c r="AA1303" s="6333"/>
      <c r="AB1303" s="6333"/>
      <c r="AC1303" s="6335"/>
      <c r="AD1303" s="6296" t="s">
        <v>2189</v>
      </c>
      <c r="AE1303" s="6511"/>
      <c r="AF1303" s="6512"/>
      <c r="AG1303" s="6371">
        <f t="shared" si="268"/>
        <v>175012.86</v>
      </c>
      <c r="AH1303" s="6296" t="s">
        <v>122</v>
      </c>
      <c r="AI1303" s="6371">
        <v>45799</v>
      </c>
      <c r="AJ1303" s="6371">
        <f>SUM(BD1303:BQ1303)</f>
        <v>175012.86</v>
      </c>
      <c r="AK1303" s="6371">
        <v>45799</v>
      </c>
      <c r="AL1303" s="6371">
        <f>SUM(BF1303:BS1303)</f>
        <v>175012.86</v>
      </c>
      <c r="AM1303" s="6371">
        <v>45799</v>
      </c>
      <c r="AN1303" s="6441">
        <f t="shared" si="269"/>
        <v>175012.86</v>
      </c>
      <c r="AO1303" s="6441">
        <v>46052</v>
      </c>
      <c r="AP1303" s="6371">
        <f t="shared" si="270"/>
        <v>0</v>
      </c>
      <c r="AQ1303" s="6418"/>
      <c r="AR1303" s="6368"/>
      <c r="AS1303" s="6432"/>
      <c r="AT1303" s="6418"/>
      <c r="AU1303" s="2680"/>
      <c r="AV1303" s="2680"/>
      <c r="AW1303" s="2680"/>
      <c r="AX1303" s="2680"/>
      <c r="AY1303" s="2680"/>
      <c r="AZ1303" s="2680"/>
      <c r="BA1303" s="6371"/>
      <c r="BB1303" s="6371"/>
      <c r="BC1303" s="6371"/>
      <c r="BD1303" s="6371"/>
      <c r="BE1303" s="6371"/>
      <c r="BF1303" s="6371"/>
      <c r="BG1303" s="6371"/>
      <c r="BH1303" s="6371"/>
      <c r="BI1303" s="6372"/>
      <c r="BJ1303" s="6372"/>
      <c r="BK1303" s="6372"/>
      <c r="BL1303" s="6372"/>
      <c r="BM1303" s="6372"/>
      <c r="BN1303" s="6371">
        <v>175012.86</v>
      </c>
      <c r="BO1303" s="6368"/>
      <c r="BP1303" s="6368"/>
      <c r="BQ1303" s="6368"/>
      <c r="BR1303" s="6368"/>
      <c r="BS1303" s="6368"/>
      <c r="BT1303" s="6368"/>
      <c r="BU1303" s="6368"/>
      <c r="BV1303" s="6368"/>
      <c r="BW1303" s="6448"/>
      <c r="BX1303" s="6370"/>
      <c r="BY1303" s="6370"/>
      <c r="BZ1303" s="6370"/>
      <c r="CA1303" s="6370"/>
      <c r="CB1303" s="6371">
        <v>175012.86</v>
      </c>
      <c r="CC1303" s="6368"/>
      <c r="CD1303" s="6368"/>
      <c r="CE1303" s="5169"/>
      <c r="CF1303" s="5169"/>
      <c r="CG1303" s="5169"/>
      <c r="CH1303" s="5169"/>
    </row>
    <row r="1304" s="4965" customFormat="1" ht="50.25" customHeight="1" spans="1:86">
      <c r="A1304" s="5079"/>
      <c r="B1304" s="1035"/>
      <c r="C1304" s="5821"/>
      <c r="D1304" s="1035"/>
      <c r="E1304" s="5821"/>
      <c r="F1304" s="6467"/>
      <c r="G1304" s="6468"/>
      <c r="H1304" s="6468"/>
      <c r="I1304" s="6315"/>
      <c r="J1304" s="6468"/>
      <c r="K1304" s="6315"/>
      <c r="L1304" s="6468"/>
      <c r="M1304" s="6333"/>
      <c r="N1304" s="6333"/>
      <c r="O1304" s="6333"/>
      <c r="P1304" s="6333"/>
      <c r="Q1304" s="6333"/>
      <c r="R1304" s="6333"/>
      <c r="S1304" s="6333"/>
      <c r="T1304" s="6333"/>
      <c r="U1304" s="6333"/>
      <c r="V1304" s="6333"/>
      <c r="W1304" s="6333"/>
      <c r="X1304" s="6333"/>
      <c r="Y1304" s="6333"/>
      <c r="Z1304" s="6333"/>
      <c r="AA1304" s="6333"/>
      <c r="AB1304" s="6333"/>
      <c r="AC1304" s="6491">
        <v>3</v>
      </c>
      <c r="AD1304" s="6296" t="s">
        <v>2222</v>
      </c>
      <c r="AE1304" s="6509">
        <v>0.2</v>
      </c>
      <c r="AF1304" s="6510">
        <f>M1300*AE1304</f>
        <v>392112.86</v>
      </c>
      <c r="AG1304" s="6371">
        <f t="shared" si="268"/>
        <v>217100</v>
      </c>
      <c r="AH1304" s="6296" t="s">
        <v>122</v>
      </c>
      <c r="AI1304" s="6371">
        <v>45496</v>
      </c>
      <c r="AJ1304" s="6368">
        <v>217100</v>
      </c>
      <c r="AK1304" s="6371">
        <v>45496</v>
      </c>
      <c r="AL1304" s="6368">
        <v>217100</v>
      </c>
      <c r="AM1304" s="6368">
        <v>45497</v>
      </c>
      <c r="AN1304" s="6371">
        <f t="shared" si="269"/>
        <v>217100</v>
      </c>
      <c r="AO1304" s="6371">
        <v>45651</v>
      </c>
      <c r="AP1304" s="6371">
        <f t="shared" si="270"/>
        <v>0</v>
      </c>
      <c r="AQ1304" s="6418"/>
      <c r="AR1304" s="6368"/>
      <c r="AS1304" s="6432"/>
      <c r="AT1304" s="6418"/>
      <c r="AU1304" s="2680"/>
      <c r="AV1304" s="2680"/>
      <c r="AW1304" s="2680"/>
      <c r="AX1304" s="2680"/>
      <c r="AY1304" s="2680"/>
      <c r="AZ1304" s="2680"/>
      <c r="BA1304" s="6371"/>
      <c r="BB1304" s="6371"/>
      <c r="BC1304" s="6371"/>
      <c r="BD1304" s="6371"/>
      <c r="BE1304" s="6371"/>
      <c r="BF1304" s="6371"/>
      <c r="BG1304" s="6371"/>
      <c r="BH1304" s="6371"/>
      <c r="BI1304" s="6372"/>
      <c r="BJ1304" s="6372"/>
      <c r="BK1304" s="6372"/>
      <c r="BL1304" s="6372"/>
      <c r="BM1304" s="6372"/>
      <c r="BN1304" s="6371">
        <v>217100</v>
      </c>
      <c r="BO1304" s="6368"/>
      <c r="BP1304" s="6368"/>
      <c r="BQ1304" s="6368"/>
      <c r="BR1304" s="6368"/>
      <c r="BS1304" s="6368"/>
      <c r="BT1304" s="6368"/>
      <c r="BU1304" s="6368"/>
      <c r="BV1304" s="6368"/>
      <c r="BW1304" s="6448"/>
      <c r="BX1304" s="6370"/>
      <c r="BY1304" s="6370"/>
      <c r="BZ1304" s="6370"/>
      <c r="CA1304" s="6370"/>
      <c r="CB1304" s="6371">
        <v>217100</v>
      </c>
      <c r="CC1304" s="6368"/>
      <c r="CD1304" s="6368"/>
      <c r="CE1304" s="5169">
        <f>SUBTOTAL(9,BO1304:CB1304)</f>
        <v>217100</v>
      </c>
      <c r="CF1304" s="5169">
        <f>AN1304-CE1304</f>
        <v>0</v>
      </c>
      <c r="CG1304" s="5169"/>
      <c r="CH1304" s="5169"/>
    </row>
    <row r="1305" s="4965" customFormat="1" ht="50.25" customHeight="1" spans="1:86">
      <c r="A1305" s="5079"/>
      <c r="B1305" s="1035"/>
      <c r="C1305" s="5821"/>
      <c r="D1305" s="1035"/>
      <c r="E1305" s="5821"/>
      <c r="F1305" s="6467"/>
      <c r="G1305" s="6468"/>
      <c r="H1305" s="6468"/>
      <c r="I1305" s="6315"/>
      <c r="J1305" s="6468"/>
      <c r="K1305" s="6315"/>
      <c r="L1305" s="6468"/>
      <c r="M1305" s="6333"/>
      <c r="N1305" s="6333"/>
      <c r="O1305" s="6333"/>
      <c r="P1305" s="6333"/>
      <c r="Q1305" s="6333"/>
      <c r="R1305" s="6333"/>
      <c r="S1305" s="6333"/>
      <c r="T1305" s="6333"/>
      <c r="U1305" s="6333"/>
      <c r="V1305" s="6333"/>
      <c r="W1305" s="6333"/>
      <c r="X1305" s="6333"/>
      <c r="Y1305" s="6333"/>
      <c r="Z1305" s="6333"/>
      <c r="AA1305" s="6333"/>
      <c r="AB1305" s="6333"/>
      <c r="AC1305" s="6335"/>
      <c r="AD1305" s="6296" t="s">
        <v>2190</v>
      </c>
      <c r="AE1305" s="6511"/>
      <c r="AF1305" s="6512"/>
      <c r="AG1305" s="6371">
        <f t="shared" si="268"/>
        <v>175012.86</v>
      </c>
      <c r="AH1305" s="6296" t="s">
        <v>122</v>
      </c>
      <c r="AI1305" s="6371">
        <v>45799</v>
      </c>
      <c r="AJ1305" s="6371">
        <f>SUM(BD1305:BQ1305)</f>
        <v>175012.86</v>
      </c>
      <c r="AK1305" s="6371">
        <v>45799</v>
      </c>
      <c r="AL1305" s="6371">
        <f>SUM(BF1305:BS1305)</f>
        <v>175012.86</v>
      </c>
      <c r="AM1305" s="6371">
        <v>45799</v>
      </c>
      <c r="AN1305" s="6441">
        <f t="shared" si="269"/>
        <v>175012.86</v>
      </c>
      <c r="AO1305" s="6441">
        <v>46052</v>
      </c>
      <c r="AP1305" s="6371">
        <f t="shared" si="270"/>
        <v>0</v>
      </c>
      <c r="AQ1305" s="6418"/>
      <c r="AR1305" s="6368"/>
      <c r="AS1305" s="6432"/>
      <c r="AT1305" s="6418"/>
      <c r="AU1305" s="2680"/>
      <c r="AV1305" s="2680"/>
      <c r="AW1305" s="2680"/>
      <c r="AX1305" s="2680"/>
      <c r="AY1305" s="2680"/>
      <c r="AZ1305" s="2680"/>
      <c r="BA1305" s="6371"/>
      <c r="BB1305" s="6371"/>
      <c r="BC1305" s="6371"/>
      <c r="BD1305" s="6371"/>
      <c r="BE1305" s="6371"/>
      <c r="BF1305" s="6371"/>
      <c r="BG1305" s="6371"/>
      <c r="BH1305" s="6371"/>
      <c r="BI1305" s="6372"/>
      <c r="BJ1305" s="6372"/>
      <c r="BK1305" s="6372"/>
      <c r="BL1305" s="6372"/>
      <c r="BM1305" s="6372"/>
      <c r="BN1305" s="6371">
        <v>175012.86</v>
      </c>
      <c r="BO1305" s="6368"/>
      <c r="BP1305" s="6368"/>
      <c r="BQ1305" s="6368"/>
      <c r="BR1305" s="6368"/>
      <c r="BS1305" s="6368"/>
      <c r="BT1305" s="6368"/>
      <c r="BU1305" s="6368"/>
      <c r="BV1305" s="6368"/>
      <c r="BW1305" s="6448"/>
      <c r="BX1305" s="6370"/>
      <c r="BY1305" s="6370"/>
      <c r="BZ1305" s="6370"/>
      <c r="CA1305" s="6370"/>
      <c r="CB1305" s="6371">
        <v>175012.86</v>
      </c>
      <c r="CC1305" s="6368"/>
      <c r="CD1305" s="6368"/>
      <c r="CE1305" s="5169"/>
      <c r="CF1305" s="5169"/>
      <c r="CG1305" s="5169"/>
      <c r="CH1305" s="5169"/>
    </row>
    <row r="1306" s="4965" customFormat="1" ht="50.25" customHeight="1" spans="1:86">
      <c r="A1306" s="5079"/>
      <c r="B1306" s="1035"/>
      <c r="C1306" s="5821"/>
      <c r="D1306" s="1035"/>
      <c r="E1306" s="5821"/>
      <c r="F1306" s="6467"/>
      <c r="G1306" s="6468"/>
      <c r="H1306" s="6468"/>
      <c r="I1306" s="6315"/>
      <c r="J1306" s="6468"/>
      <c r="K1306" s="6315"/>
      <c r="L1306" s="6468"/>
      <c r="M1306" s="6333"/>
      <c r="N1306" s="6333"/>
      <c r="O1306" s="6333"/>
      <c r="P1306" s="6333"/>
      <c r="Q1306" s="6333"/>
      <c r="R1306" s="6333"/>
      <c r="S1306" s="6333"/>
      <c r="T1306" s="6333"/>
      <c r="U1306" s="6333"/>
      <c r="V1306" s="6333"/>
      <c r="W1306" s="6333"/>
      <c r="X1306" s="6333"/>
      <c r="Y1306" s="6333"/>
      <c r="Z1306" s="6333"/>
      <c r="AA1306" s="6333"/>
      <c r="AB1306" s="6333"/>
      <c r="AC1306" s="6491">
        <v>4</v>
      </c>
      <c r="AD1306" s="6296" t="s">
        <v>2223</v>
      </c>
      <c r="AE1306" s="6509">
        <v>0.2</v>
      </c>
      <c r="AF1306" s="6510">
        <f>M1300*AE1306</f>
        <v>392112.86</v>
      </c>
      <c r="AG1306" s="6371">
        <f t="shared" si="268"/>
        <v>217100</v>
      </c>
      <c r="AH1306" s="6296" t="s">
        <v>122</v>
      </c>
      <c r="AI1306" s="6371">
        <v>45496</v>
      </c>
      <c r="AJ1306" s="6368">
        <v>217100</v>
      </c>
      <c r="AK1306" s="6371">
        <v>45496</v>
      </c>
      <c r="AL1306" s="6368">
        <v>217100</v>
      </c>
      <c r="AM1306" s="6368">
        <v>45497</v>
      </c>
      <c r="AN1306" s="6371">
        <f t="shared" si="269"/>
        <v>217100</v>
      </c>
      <c r="AO1306" s="6371">
        <v>45651</v>
      </c>
      <c r="AP1306" s="6371">
        <f t="shared" si="270"/>
        <v>0</v>
      </c>
      <c r="AQ1306" s="6418"/>
      <c r="AR1306" s="6368"/>
      <c r="AS1306" s="6432"/>
      <c r="AT1306" s="6418"/>
      <c r="AU1306" s="2680"/>
      <c r="AV1306" s="2680"/>
      <c r="AW1306" s="2680"/>
      <c r="AX1306" s="2680"/>
      <c r="AY1306" s="2680"/>
      <c r="AZ1306" s="2680"/>
      <c r="BA1306" s="6371"/>
      <c r="BB1306" s="6371"/>
      <c r="BC1306" s="6371"/>
      <c r="BD1306" s="6371"/>
      <c r="BE1306" s="6371"/>
      <c r="BF1306" s="6371"/>
      <c r="BG1306" s="6371"/>
      <c r="BH1306" s="6371"/>
      <c r="BI1306" s="6372"/>
      <c r="BJ1306" s="6372"/>
      <c r="BK1306" s="6372"/>
      <c r="BL1306" s="6372"/>
      <c r="BM1306" s="6372"/>
      <c r="BN1306" s="6371">
        <v>217100</v>
      </c>
      <c r="BO1306" s="6368"/>
      <c r="BP1306" s="6368"/>
      <c r="BQ1306" s="6368"/>
      <c r="BR1306" s="6368"/>
      <c r="BS1306" s="6368"/>
      <c r="BT1306" s="6368"/>
      <c r="BU1306" s="6368"/>
      <c r="BV1306" s="6368"/>
      <c r="BW1306" s="6448"/>
      <c r="BX1306" s="6370"/>
      <c r="BY1306" s="6370"/>
      <c r="BZ1306" s="6370"/>
      <c r="CA1306" s="6370"/>
      <c r="CB1306" s="6371">
        <v>217100</v>
      </c>
      <c r="CC1306" s="6368"/>
      <c r="CD1306" s="6368"/>
      <c r="CE1306" s="5169">
        <f>SUBTOTAL(9,BO1306:CB1306)</f>
        <v>217100</v>
      </c>
      <c r="CF1306" s="5169">
        <f>AN1306-CE1306</f>
        <v>0</v>
      </c>
      <c r="CG1306" s="5169"/>
      <c r="CH1306" s="5169"/>
    </row>
    <row r="1307" s="4965" customFormat="1" ht="50.25" customHeight="1" spans="1:86">
      <c r="A1307" s="5079"/>
      <c r="B1307" s="1035"/>
      <c r="C1307" s="5821"/>
      <c r="D1307" s="1035"/>
      <c r="E1307" s="5821"/>
      <c r="F1307" s="6467"/>
      <c r="G1307" s="6468"/>
      <c r="H1307" s="6468"/>
      <c r="I1307" s="6315"/>
      <c r="J1307" s="6468"/>
      <c r="K1307" s="6315"/>
      <c r="L1307" s="6468"/>
      <c r="M1307" s="6333"/>
      <c r="N1307" s="6333"/>
      <c r="O1307" s="6333"/>
      <c r="P1307" s="6333"/>
      <c r="Q1307" s="6333"/>
      <c r="R1307" s="6333"/>
      <c r="S1307" s="6333"/>
      <c r="T1307" s="6333"/>
      <c r="U1307" s="6333"/>
      <c r="V1307" s="6333"/>
      <c r="W1307" s="6333"/>
      <c r="X1307" s="6333"/>
      <c r="Y1307" s="6333"/>
      <c r="Z1307" s="6333"/>
      <c r="AA1307" s="6333"/>
      <c r="AB1307" s="6333"/>
      <c r="AC1307" s="6335"/>
      <c r="AD1307" s="6296" t="s">
        <v>2191</v>
      </c>
      <c r="AE1307" s="6511"/>
      <c r="AF1307" s="6512"/>
      <c r="AG1307" s="6441">
        <f t="shared" si="268"/>
        <v>175012.86</v>
      </c>
      <c r="AH1307" s="6530" t="s">
        <v>349</v>
      </c>
      <c r="AI1307" s="6441">
        <v>46172</v>
      </c>
      <c r="AJ1307" s="6368"/>
      <c r="AK1307" s="6368"/>
      <c r="AL1307" s="6368"/>
      <c r="AM1307" s="6368"/>
      <c r="AN1307" s="6441">
        <f t="shared" si="269"/>
        <v>175012.86</v>
      </c>
      <c r="AO1307" s="6441">
        <v>46203</v>
      </c>
      <c r="AP1307" s="6371">
        <f t="shared" si="270"/>
        <v>0</v>
      </c>
      <c r="AQ1307" s="6418"/>
      <c r="AR1307" s="6368"/>
      <c r="AS1307" s="6432"/>
      <c r="AT1307" s="6418"/>
      <c r="AU1307" s="2680"/>
      <c r="AV1307" s="2680"/>
      <c r="AW1307" s="2680"/>
      <c r="AX1307" s="2680"/>
      <c r="AY1307" s="2680"/>
      <c r="AZ1307" s="2680"/>
      <c r="BA1307" s="6371"/>
      <c r="BB1307" s="6371"/>
      <c r="BC1307" s="6371"/>
      <c r="BD1307" s="6371"/>
      <c r="BE1307" s="6371"/>
      <c r="BF1307" s="6371"/>
      <c r="BG1307" s="6371"/>
      <c r="BH1307" s="6371"/>
      <c r="BI1307" s="6372"/>
      <c r="BJ1307" s="6372"/>
      <c r="BK1307" s="6372"/>
      <c r="BL1307" s="6372"/>
      <c r="BM1307" s="6372"/>
      <c r="BN1307" s="6371">
        <v>175012.86</v>
      </c>
      <c r="BO1307" s="6368"/>
      <c r="BP1307" s="6368"/>
      <c r="BQ1307" s="6368"/>
      <c r="BR1307" s="6368"/>
      <c r="BS1307" s="6368"/>
      <c r="BT1307" s="6368"/>
      <c r="BU1307" s="6368"/>
      <c r="BV1307" s="6368"/>
      <c r="BW1307" s="6448"/>
      <c r="BX1307" s="6370"/>
      <c r="BY1307" s="6370"/>
      <c r="BZ1307" s="6370"/>
      <c r="CA1307" s="6370"/>
      <c r="CB1307" s="6371">
        <v>175012.86</v>
      </c>
      <c r="CC1307" s="6368"/>
      <c r="CD1307" s="6368"/>
      <c r="CE1307" s="5169"/>
      <c r="CF1307" s="5169"/>
      <c r="CG1307" s="5169"/>
      <c r="CH1307" s="5169"/>
    </row>
    <row r="1308" s="4965" customFormat="1" ht="50.25" customHeight="1" spans="1:86">
      <c r="A1308" s="5079"/>
      <c r="B1308" s="1035"/>
      <c r="C1308" s="5822"/>
      <c r="D1308" s="1035"/>
      <c r="E1308" s="5822"/>
      <c r="F1308" s="6469"/>
      <c r="G1308" s="6470"/>
      <c r="H1308" s="6470"/>
      <c r="I1308" s="6316"/>
      <c r="J1308" s="6470"/>
      <c r="K1308" s="6316"/>
      <c r="L1308" s="6470"/>
      <c r="M1308" s="6335"/>
      <c r="N1308" s="6335"/>
      <c r="O1308" s="6335"/>
      <c r="P1308" s="6335"/>
      <c r="Q1308" s="6335"/>
      <c r="R1308" s="6335"/>
      <c r="S1308" s="6335"/>
      <c r="T1308" s="6335"/>
      <c r="U1308" s="6335"/>
      <c r="V1308" s="6335"/>
      <c r="W1308" s="6335"/>
      <c r="X1308" s="6335"/>
      <c r="Y1308" s="6335"/>
      <c r="Z1308" s="6335"/>
      <c r="AA1308" s="6335"/>
      <c r="AB1308" s="6335"/>
      <c r="AC1308" s="6368">
        <v>5</v>
      </c>
      <c r="AD1308" s="6296" t="s">
        <v>2155</v>
      </c>
      <c r="AE1308" s="6369">
        <v>0.2</v>
      </c>
      <c r="AF1308" s="6370">
        <f>M1300*AE1308</f>
        <v>392112.86</v>
      </c>
      <c r="AG1308" s="6371">
        <f t="shared" si="268"/>
        <v>0</v>
      </c>
      <c r="AH1308" s="6296"/>
      <c r="AI1308" s="6368"/>
      <c r="AJ1308" s="6368"/>
      <c r="AK1308" s="6368"/>
      <c r="AL1308" s="6368"/>
      <c r="AM1308" s="6368"/>
      <c r="AN1308" s="6371">
        <f t="shared" si="269"/>
        <v>0</v>
      </c>
      <c r="AO1308" s="6371"/>
      <c r="AP1308" s="6371">
        <f t="shared" si="270"/>
        <v>0</v>
      </c>
      <c r="AQ1308" s="6418"/>
      <c r="AR1308" s="6368"/>
      <c r="AS1308" s="6432"/>
      <c r="AT1308" s="6418"/>
      <c r="AU1308" s="2680"/>
      <c r="AV1308" s="2680"/>
      <c r="AW1308" s="2680"/>
      <c r="AX1308" s="2680"/>
      <c r="AY1308" s="2680"/>
      <c r="AZ1308" s="2680"/>
      <c r="BA1308" s="6371"/>
      <c r="BB1308" s="6371"/>
      <c r="BC1308" s="6371"/>
      <c r="BD1308" s="6371"/>
      <c r="BE1308" s="6371"/>
      <c r="BF1308" s="6371"/>
      <c r="BG1308" s="6371"/>
      <c r="BH1308" s="6371"/>
      <c r="BI1308" s="6372"/>
      <c r="BJ1308" s="6372"/>
      <c r="BK1308" s="6372"/>
      <c r="BL1308" s="6372"/>
      <c r="BM1308" s="6372"/>
      <c r="BN1308" s="6371"/>
      <c r="BO1308" s="6368"/>
      <c r="BP1308" s="6368"/>
      <c r="BQ1308" s="6368"/>
      <c r="BR1308" s="6368"/>
      <c r="BS1308" s="6368"/>
      <c r="BT1308" s="6368"/>
      <c r="BU1308" s="6368"/>
      <c r="BV1308" s="6368"/>
      <c r="BW1308" s="6448"/>
      <c r="BX1308" s="6370"/>
      <c r="BY1308" s="6370"/>
      <c r="BZ1308" s="6370"/>
      <c r="CA1308" s="6370"/>
      <c r="CB1308" s="6332"/>
      <c r="CC1308" s="6368"/>
      <c r="CD1308" s="6368"/>
      <c r="CE1308" s="5169"/>
      <c r="CF1308" s="5169"/>
      <c r="CG1308" s="5169"/>
      <c r="CH1308" s="5169"/>
    </row>
    <row r="1309" s="4965" customFormat="1" ht="50.25" customHeight="1" spans="1:86">
      <c r="A1309" s="5079"/>
      <c r="B1309" s="1035"/>
      <c r="C1309" s="5820">
        <v>45434</v>
      </c>
      <c r="D1309" s="1035"/>
      <c r="E1309" s="5820"/>
      <c r="F1309" s="6471" t="s">
        <v>2224</v>
      </c>
      <c r="G1309" s="6471" t="s">
        <v>2209</v>
      </c>
      <c r="H1309" s="6471" t="s">
        <v>2225</v>
      </c>
      <c r="I1309" s="6471"/>
      <c r="J1309" s="6471" t="s">
        <v>2210</v>
      </c>
      <c r="K1309" s="6471" t="s">
        <v>2226</v>
      </c>
      <c r="L1309" s="6471" t="s">
        <v>2227</v>
      </c>
      <c r="M1309" s="6492">
        <f>SUM(N1309:AA1313)</f>
        <v>810840</v>
      </c>
      <c r="N1309" s="6492"/>
      <c r="O1309" s="6492"/>
      <c r="P1309" s="6492"/>
      <c r="Q1309" s="6492"/>
      <c r="R1309" s="6492"/>
      <c r="S1309" s="6492"/>
      <c r="T1309" s="6492"/>
      <c r="U1309" s="6492"/>
      <c r="V1309" s="6492">
        <v>810840</v>
      </c>
      <c r="W1309" s="6492"/>
      <c r="X1309" s="6492"/>
      <c r="Y1309" s="6499"/>
      <c r="Z1309" s="6492"/>
      <c r="AA1309" s="6492"/>
      <c r="AB1309" s="6492"/>
      <c r="AC1309" s="6499">
        <v>1</v>
      </c>
      <c r="AD1309" s="6513" t="s">
        <v>2159</v>
      </c>
      <c r="AE1309" s="6514">
        <v>0.2</v>
      </c>
      <c r="AF1309" s="6515">
        <f>M1309*AE1309</f>
        <v>162168</v>
      </c>
      <c r="AG1309" s="6531">
        <f t="shared" si="268"/>
        <v>162168</v>
      </c>
      <c r="AH1309" s="6513" t="s">
        <v>122</v>
      </c>
      <c r="AI1309" s="6531">
        <v>45496</v>
      </c>
      <c r="AJ1309" s="6499">
        <v>162168</v>
      </c>
      <c r="AK1309" s="6499">
        <v>45496</v>
      </c>
      <c r="AL1309" s="6499">
        <v>162168</v>
      </c>
      <c r="AM1309" s="6499">
        <v>45497</v>
      </c>
      <c r="AN1309" s="6531">
        <f t="shared" si="269"/>
        <v>162168</v>
      </c>
      <c r="AO1309" s="6531">
        <v>45651</v>
      </c>
      <c r="AP1309" s="6531">
        <f t="shared" si="270"/>
        <v>0</v>
      </c>
      <c r="AQ1309" s="6554"/>
      <c r="AR1309" s="6499"/>
      <c r="AS1309" s="6560"/>
      <c r="AT1309" s="6554"/>
      <c r="AU1309" s="2680"/>
      <c r="AV1309" s="2680"/>
      <c r="AW1309" s="2680"/>
      <c r="AX1309" s="2680"/>
      <c r="AY1309" s="2680"/>
      <c r="AZ1309" s="2680"/>
      <c r="BA1309" s="6531"/>
      <c r="BB1309" s="6531"/>
      <c r="BC1309" s="6531"/>
      <c r="BD1309" s="6531"/>
      <c r="BE1309" s="6531"/>
      <c r="BF1309" s="6531"/>
      <c r="BG1309" s="6531"/>
      <c r="BH1309" s="6531"/>
      <c r="BI1309" s="6546">
        <v>69664.8</v>
      </c>
      <c r="BJ1309" s="6546"/>
      <c r="BK1309" s="6546"/>
      <c r="BL1309" s="6546"/>
      <c r="BM1309" s="6546"/>
      <c r="BN1309" s="6531">
        <v>92503.2</v>
      </c>
      <c r="BO1309" s="6499"/>
      <c r="BP1309" s="6499"/>
      <c r="BQ1309" s="6499"/>
      <c r="BR1309" s="6499"/>
      <c r="BS1309" s="6499"/>
      <c r="BT1309" s="6499"/>
      <c r="BU1309" s="6499"/>
      <c r="BV1309" s="6499"/>
      <c r="BW1309" s="6546">
        <v>69664.8</v>
      </c>
      <c r="BX1309" s="6546"/>
      <c r="BY1309" s="6546"/>
      <c r="BZ1309" s="6546"/>
      <c r="CA1309" s="6546"/>
      <c r="CB1309" s="6545">
        <v>92503.2</v>
      </c>
      <c r="CC1309" s="6499"/>
      <c r="CD1309" s="6499"/>
      <c r="CE1309" s="5169">
        <f>SUBTOTAL(9,BO1309:CB1309)</f>
        <v>162168</v>
      </c>
      <c r="CF1309" s="5169">
        <f>AN1309-CE1309</f>
        <v>0</v>
      </c>
      <c r="CG1309" s="5169"/>
      <c r="CH1309" s="5169"/>
    </row>
    <row r="1310" s="4965" customFormat="1" ht="50.25" customHeight="1" spans="1:86">
      <c r="A1310" s="5079"/>
      <c r="B1310" s="1035"/>
      <c r="C1310" s="5821"/>
      <c r="D1310" s="1035"/>
      <c r="E1310" s="5821"/>
      <c r="F1310" s="6472"/>
      <c r="G1310" s="6472"/>
      <c r="H1310" s="6472"/>
      <c r="I1310" s="6482"/>
      <c r="J1310" s="6472"/>
      <c r="K1310" s="6482"/>
      <c r="L1310" s="6472"/>
      <c r="M1310" s="6493"/>
      <c r="N1310" s="6493"/>
      <c r="O1310" s="6493"/>
      <c r="P1310" s="6493"/>
      <c r="Q1310" s="6493"/>
      <c r="R1310" s="6493"/>
      <c r="S1310" s="6493"/>
      <c r="T1310" s="6493"/>
      <c r="U1310" s="6493"/>
      <c r="V1310" s="6493"/>
      <c r="W1310" s="6493"/>
      <c r="X1310" s="6493"/>
      <c r="Y1310" s="6499"/>
      <c r="Z1310" s="6493"/>
      <c r="AA1310" s="6493"/>
      <c r="AB1310" s="6493"/>
      <c r="AC1310" s="6499">
        <v>2</v>
      </c>
      <c r="AD1310" s="6513" t="s">
        <v>2161</v>
      </c>
      <c r="AE1310" s="6514">
        <v>0.3</v>
      </c>
      <c r="AF1310" s="6515">
        <f>M1309*AE1310</f>
        <v>243252</v>
      </c>
      <c r="AG1310" s="6531">
        <f t="shared" si="268"/>
        <v>243252</v>
      </c>
      <c r="AH1310" s="6513" t="s">
        <v>122</v>
      </c>
      <c r="AI1310" s="6531">
        <v>45496</v>
      </c>
      <c r="AJ1310" s="6499">
        <v>243252</v>
      </c>
      <c r="AK1310" s="6499">
        <v>45496</v>
      </c>
      <c r="AL1310" s="6499">
        <v>243252</v>
      </c>
      <c r="AM1310" s="6499">
        <v>45497</v>
      </c>
      <c r="AN1310" s="6531">
        <f t="shared" si="269"/>
        <v>243252</v>
      </c>
      <c r="AO1310" s="6531">
        <v>45651</v>
      </c>
      <c r="AP1310" s="6531">
        <f t="shared" si="270"/>
        <v>0</v>
      </c>
      <c r="AQ1310" s="6554"/>
      <c r="AR1310" s="6499"/>
      <c r="AS1310" s="6560"/>
      <c r="AT1310" s="6554"/>
      <c r="AU1310" s="2680"/>
      <c r="AV1310" s="2680"/>
      <c r="AW1310" s="2680"/>
      <c r="AX1310" s="2680"/>
      <c r="AY1310" s="2680"/>
      <c r="AZ1310" s="2680"/>
      <c r="BA1310" s="6531"/>
      <c r="BB1310" s="6531"/>
      <c r="BC1310" s="6531"/>
      <c r="BD1310" s="6531"/>
      <c r="BE1310" s="6531"/>
      <c r="BF1310" s="6531"/>
      <c r="BG1310" s="6531"/>
      <c r="BH1310" s="6531"/>
      <c r="BI1310" s="6546">
        <v>104497.2</v>
      </c>
      <c r="BJ1310" s="6546"/>
      <c r="BK1310" s="6546"/>
      <c r="BL1310" s="6546"/>
      <c r="BM1310" s="6546"/>
      <c r="BN1310" s="6531">
        <v>138754.8</v>
      </c>
      <c r="BO1310" s="6499"/>
      <c r="BP1310" s="6499"/>
      <c r="BQ1310" s="6499"/>
      <c r="BR1310" s="6499"/>
      <c r="BS1310" s="6499"/>
      <c r="BT1310" s="6499"/>
      <c r="BU1310" s="6499"/>
      <c r="BV1310" s="6499"/>
      <c r="BW1310" s="6546">
        <v>104497.2</v>
      </c>
      <c r="BX1310" s="6546"/>
      <c r="BY1310" s="6546"/>
      <c r="BZ1310" s="6546"/>
      <c r="CA1310" s="6546"/>
      <c r="CB1310" s="6545">
        <v>138754.8</v>
      </c>
      <c r="CC1310" s="6499"/>
      <c r="CD1310" s="6499"/>
      <c r="CE1310" s="5169">
        <f>SUBTOTAL(9,BO1310:CB1310)</f>
        <v>243252</v>
      </c>
      <c r="CF1310" s="5169">
        <f>AN1310-CE1310</f>
        <v>0</v>
      </c>
      <c r="CG1310" s="5169"/>
      <c r="CH1310" s="5169"/>
    </row>
    <row r="1311" s="4965" customFormat="1" ht="50.25" customHeight="1" spans="1:86">
      <c r="A1311" s="5079"/>
      <c r="B1311" s="1035"/>
      <c r="C1311" s="5821"/>
      <c r="D1311" s="1035"/>
      <c r="E1311" s="5821"/>
      <c r="F1311" s="6472"/>
      <c r="G1311" s="6472"/>
      <c r="H1311" s="6472"/>
      <c r="I1311" s="6482"/>
      <c r="J1311" s="6472"/>
      <c r="K1311" s="6482"/>
      <c r="L1311" s="6472"/>
      <c r="M1311" s="6493"/>
      <c r="N1311" s="6493"/>
      <c r="O1311" s="6493"/>
      <c r="P1311" s="6493"/>
      <c r="Q1311" s="6493"/>
      <c r="R1311" s="6493"/>
      <c r="S1311" s="6493"/>
      <c r="T1311" s="6493"/>
      <c r="U1311" s="6493"/>
      <c r="V1311" s="6493"/>
      <c r="W1311" s="6493"/>
      <c r="X1311" s="6493"/>
      <c r="Y1311" s="6499"/>
      <c r="Z1311" s="6493"/>
      <c r="AA1311" s="6493"/>
      <c r="AB1311" s="6493"/>
      <c r="AC1311" s="6499">
        <v>3</v>
      </c>
      <c r="AD1311" s="6513" t="s">
        <v>2112</v>
      </c>
      <c r="AE1311" s="6514">
        <v>0.2</v>
      </c>
      <c r="AF1311" s="6515">
        <f>M1309*AE1311</f>
        <v>162168</v>
      </c>
      <c r="AG1311" s="6531">
        <f t="shared" si="268"/>
        <v>162168</v>
      </c>
      <c r="AH1311" s="6513" t="s">
        <v>122</v>
      </c>
      <c r="AI1311" s="6531">
        <v>45799</v>
      </c>
      <c r="AJ1311" s="6499">
        <v>162168</v>
      </c>
      <c r="AK1311" s="6531">
        <v>45799</v>
      </c>
      <c r="AL1311" s="6499">
        <v>162168</v>
      </c>
      <c r="AM1311" s="6531">
        <v>45799</v>
      </c>
      <c r="AN1311" s="6550">
        <f t="shared" si="269"/>
        <v>162168</v>
      </c>
      <c r="AO1311" s="6550">
        <v>46052</v>
      </c>
      <c r="AP1311" s="6531">
        <f t="shared" si="270"/>
        <v>0</v>
      </c>
      <c r="AQ1311" s="6554"/>
      <c r="AR1311" s="6499"/>
      <c r="AS1311" s="6560"/>
      <c r="AT1311" s="6554"/>
      <c r="AU1311" s="2680"/>
      <c r="AV1311" s="2680"/>
      <c r="AW1311" s="2680"/>
      <c r="AX1311" s="2680"/>
      <c r="AY1311" s="2680"/>
      <c r="AZ1311" s="2680"/>
      <c r="BA1311" s="6531"/>
      <c r="BB1311" s="6531"/>
      <c r="BC1311" s="6531"/>
      <c r="BD1311" s="6531"/>
      <c r="BE1311" s="6531"/>
      <c r="BF1311" s="6531"/>
      <c r="BG1311" s="6531"/>
      <c r="BH1311" s="6531"/>
      <c r="BI1311" s="6546"/>
      <c r="BJ1311" s="6546"/>
      <c r="BK1311" s="6546"/>
      <c r="BL1311" s="6546"/>
      <c r="BM1311" s="6546"/>
      <c r="BN1311" s="6531">
        <v>162168</v>
      </c>
      <c r="BO1311" s="6499"/>
      <c r="BP1311" s="6499"/>
      <c r="BQ1311" s="6499"/>
      <c r="BR1311" s="6499"/>
      <c r="BS1311" s="6499"/>
      <c r="BT1311" s="6499"/>
      <c r="BU1311" s="6499"/>
      <c r="BV1311" s="6499"/>
      <c r="BW1311" s="6570"/>
      <c r="BX1311" s="6515"/>
      <c r="BY1311" s="6515"/>
      <c r="BZ1311" s="6515"/>
      <c r="CA1311" s="6515"/>
      <c r="CB1311" s="6575">
        <v>162168</v>
      </c>
      <c r="CC1311" s="6499"/>
      <c r="CD1311" s="6499"/>
      <c r="CE1311" s="5169"/>
      <c r="CF1311" s="5169"/>
      <c r="CG1311" s="5169"/>
      <c r="CH1311" s="5169"/>
    </row>
    <row r="1312" s="4965" customFormat="1" ht="50.25" customHeight="1" spans="1:86">
      <c r="A1312" s="5079"/>
      <c r="B1312" s="1035"/>
      <c r="C1312" s="5821"/>
      <c r="D1312" s="1035"/>
      <c r="E1312" s="5821"/>
      <c r="F1312" s="6472"/>
      <c r="G1312" s="6472"/>
      <c r="H1312" s="6472"/>
      <c r="I1312" s="6482"/>
      <c r="J1312" s="6472"/>
      <c r="K1312" s="6482"/>
      <c r="L1312" s="6472"/>
      <c r="M1312" s="6493"/>
      <c r="N1312" s="6493"/>
      <c r="O1312" s="6493"/>
      <c r="P1312" s="6493"/>
      <c r="Q1312" s="6493"/>
      <c r="R1312" s="6493"/>
      <c r="S1312" s="6493"/>
      <c r="T1312" s="6493"/>
      <c r="U1312" s="6493"/>
      <c r="V1312" s="6493"/>
      <c r="W1312" s="6493"/>
      <c r="X1312" s="6493"/>
      <c r="Y1312" s="6499"/>
      <c r="Z1312" s="6493"/>
      <c r="AA1312" s="6493"/>
      <c r="AB1312" s="6493"/>
      <c r="AC1312" s="6499">
        <v>4</v>
      </c>
      <c r="AD1312" s="6513" t="s">
        <v>2162</v>
      </c>
      <c r="AE1312" s="6514">
        <v>0.25</v>
      </c>
      <c r="AF1312" s="6515">
        <f>M1309*AE1312</f>
        <v>202710</v>
      </c>
      <c r="AG1312" s="6531">
        <f t="shared" si="268"/>
        <v>202710</v>
      </c>
      <c r="AH1312" s="6513" t="s">
        <v>122</v>
      </c>
      <c r="AI1312" s="6531">
        <v>45799</v>
      </c>
      <c r="AJ1312" s="6499">
        <v>202710</v>
      </c>
      <c r="AK1312" s="6531">
        <v>45799</v>
      </c>
      <c r="AL1312" s="6499">
        <v>202710</v>
      </c>
      <c r="AM1312" s="6531">
        <v>45799</v>
      </c>
      <c r="AN1312" s="6550">
        <f t="shared" si="269"/>
        <v>202710</v>
      </c>
      <c r="AO1312" s="6550">
        <v>46052</v>
      </c>
      <c r="AP1312" s="6531">
        <f t="shared" si="270"/>
        <v>0</v>
      </c>
      <c r="AQ1312" s="6554"/>
      <c r="AR1312" s="6499"/>
      <c r="AS1312" s="6560"/>
      <c r="AT1312" s="6554"/>
      <c r="AU1312" s="2680"/>
      <c r="AV1312" s="2680"/>
      <c r="AW1312" s="2680"/>
      <c r="AX1312" s="2680"/>
      <c r="AY1312" s="2680"/>
      <c r="AZ1312" s="2680"/>
      <c r="BA1312" s="6531"/>
      <c r="BB1312" s="6531"/>
      <c r="BC1312" s="6531"/>
      <c r="BD1312" s="6531"/>
      <c r="BE1312" s="6531"/>
      <c r="BF1312" s="6531"/>
      <c r="BG1312" s="6531"/>
      <c r="BH1312" s="6531"/>
      <c r="BI1312" s="6546"/>
      <c r="BJ1312" s="6546"/>
      <c r="BK1312" s="6546"/>
      <c r="BL1312" s="6546"/>
      <c r="BM1312" s="6546"/>
      <c r="BN1312" s="6531">
        <v>202710</v>
      </c>
      <c r="BO1312" s="6499"/>
      <c r="BP1312" s="6499"/>
      <c r="BQ1312" s="6499"/>
      <c r="BR1312" s="6499"/>
      <c r="BS1312" s="6499"/>
      <c r="BT1312" s="6499"/>
      <c r="BU1312" s="6499"/>
      <c r="BV1312" s="6499"/>
      <c r="BW1312" s="6570"/>
      <c r="BX1312" s="6515"/>
      <c r="BY1312" s="6515"/>
      <c r="BZ1312" s="6515"/>
      <c r="CA1312" s="6515"/>
      <c r="CB1312" s="6575">
        <v>202710</v>
      </c>
      <c r="CC1312" s="6499"/>
      <c r="CD1312" s="6499"/>
      <c r="CE1312" s="5169"/>
      <c r="CF1312" s="5169"/>
      <c r="CG1312" s="5169"/>
      <c r="CH1312" s="5169"/>
    </row>
    <row r="1313" s="4965" customFormat="1" ht="50.25" customHeight="1" spans="1:86">
      <c r="A1313" s="5079"/>
      <c r="B1313" s="1035"/>
      <c r="C1313" s="5822"/>
      <c r="D1313" s="1035"/>
      <c r="E1313" s="5822"/>
      <c r="F1313" s="6473"/>
      <c r="G1313" s="6473"/>
      <c r="H1313" s="6473"/>
      <c r="I1313" s="6483"/>
      <c r="J1313" s="6473"/>
      <c r="K1313" s="6483"/>
      <c r="L1313" s="6473"/>
      <c r="M1313" s="6494"/>
      <c r="N1313" s="6494"/>
      <c r="O1313" s="6494"/>
      <c r="P1313" s="6494"/>
      <c r="Q1313" s="6494"/>
      <c r="R1313" s="6494"/>
      <c r="S1313" s="6494"/>
      <c r="T1313" s="6494"/>
      <c r="U1313" s="6494"/>
      <c r="V1313" s="6494"/>
      <c r="W1313" s="6494"/>
      <c r="X1313" s="6494"/>
      <c r="Y1313" s="6499"/>
      <c r="Z1313" s="6494"/>
      <c r="AA1313" s="6494"/>
      <c r="AB1313" s="6494"/>
      <c r="AC1313" s="6499">
        <v>5</v>
      </c>
      <c r="AD1313" s="6513" t="s">
        <v>2089</v>
      </c>
      <c r="AE1313" s="6514">
        <v>0.05</v>
      </c>
      <c r="AF1313" s="6515">
        <f>M1309*AE1313</f>
        <v>40542</v>
      </c>
      <c r="AG1313" s="6531">
        <f t="shared" si="268"/>
        <v>0</v>
      </c>
      <c r="AH1313" s="6513"/>
      <c r="AI1313" s="6499"/>
      <c r="AJ1313" s="6499"/>
      <c r="AK1313" s="6499"/>
      <c r="AL1313" s="6499"/>
      <c r="AM1313" s="6499"/>
      <c r="AN1313" s="6531">
        <f t="shared" si="269"/>
        <v>0</v>
      </c>
      <c r="AO1313" s="6531"/>
      <c r="AP1313" s="6531">
        <f t="shared" si="270"/>
        <v>0</v>
      </c>
      <c r="AQ1313" s="6554"/>
      <c r="AR1313" s="6499"/>
      <c r="AS1313" s="6560"/>
      <c r="AT1313" s="6554"/>
      <c r="AU1313" s="2680"/>
      <c r="AV1313" s="2680"/>
      <c r="AW1313" s="2680"/>
      <c r="AX1313" s="2680"/>
      <c r="AY1313" s="2680"/>
      <c r="AZ1313" s="2680"/>
      <c r="BA1313" s="6531"/>
      <c r="BB1313" s="6531"/>
      <c r="BC1313" s="6531"/>
      <c r="BD1313" s="6531"/>
      <c r="BE1313" s="6531"/>
      <c r="BF1313" s="6531"/>
      <c r="BG1313" s="6531"/>
      <c r="BH1313" s="6531"/>
      <c r="BI1313" s="6546"/>
      <c r="BJ1313" s="6546"/>
      <c r="BK1313" s="6546"/>
      <c r="BL1313" s="6546"/>
      <c r="BM1313" s="6546"/>
      <c r="BN1313" s="6531"/>
      <c r="BO1313" s="6499"/>
      <c r="BP1313" s="6499"/>
      <c r="BQ1313" s="6499"/>
      <c r="BR1313" s="6499"/>
      <c r="BS1313" s="6499"/>
      <c r="BT1313" s="6499"/>
      <c r="BU1313" s="6499"/>
      <c r="BV1313" s="6499"/>
      <c r="BW1313" s="6570"/>
      <c r="BX1313" s="6515"/>
      <c r="BY1313" s="6515"/>
      <c r="BZ1313" s="6515"/>
      <c r="CA1313" s="6515"/>
      <c r="CB1313" s="6575"/>
      <c r="CC1313" s="6499"/>
      <c r="CD1313" s="6499"/>
      <c r="CE1313" s="5169"/>
      <c r="CF1313" s="5169"/>
      <c r="CG1313" s="5169"/>
      <c r="CH1313" s="5169"/>
    </row>
    <row r="1314" s="4965" customFormat="1" ht="50.25" customHeight="1" spans="1:86">
      <c r="A1314" s="5079"/>
      <c r="B1314" s="1035"/>
      <c r="C1314" s="5820">
        <v>45434</v>
      </c>
      <c r="D1314" s="1035"/>
      <c r="E1314" s="5820"/>
      <c r="F1314" s="6474" t="s">
        <v>2228</v>
      </c>
      <c r="G1314" s="6475" t="s">
        <v>2209</v>
      </c>
      <c r="H1314" s="6474" t="s">
        <v>2229</v>
      </c>
      <c r="I1314" s="6474"/>
      <c r="J1314" s="6474" t="s">
        <v>2210</v>
      </c>
      <c r="K1314" s="6474" t="s">
        <v>2230</v>
      </c>
      <c r="L1314" s="6474" t="s">
        <v>2231</v>
      </c>
      <c r="M1314" s="2829">
        <f>SUM(N1314:AA1317)</f>
        <v>615844</v>
      </c>
      <c r="N1314" s="2829"/>
      <c r="O1314" s="2829"/>
      <c r="P1314" s="2829"/>
      <c r="Q1314" s="2829"/>
      <c r="R1314" s="2829"/>
      <c r="S1314" s="2829"/>
      <c r="T1314" s="2829"/>
      <c r="U1314" s="2829">
        <v>615844</v>
      </c>
      <c r="V1314" s="2829"/>
      <c r="W1314" s="2829"/>
      <c r="X1314" s="2829"/>
      <c r="Y1314" s="6495"/>
      <c r="Z1314" s="6495"/>
      <c r="AA1314" s="2829"/>
      <c r="AB1314" s="2829"/>
      <c r="AC1314" s="2826">
        <v>1</v>
      </c>
      <c r="AD1314" s="6516" t="s">
        <v>2166</v>
      </c>
      <c r="AE1314" s="6517">
        <v>0.2</v>
      </c>
      <c r="AF1314" s="2847">
        <f>M1314*AE1314</f>
        <v>123168.8</v>
      </c>
      <c r="AG1314" s="2667">
        <f t="shared" si="268"/>
        <v>123169.69</v>
      </c>
      <c r="AH1314" s="6516" t="s">
        <v>122</v>
      </c>
      <c r="AI1314" s="2667">
        <v>45496</v>
      </c>
      <c r="AJ1314" s="2826">
        <v>123169.69</v>
      </c>
      <c r="AK1314" s="2667">
        <v>45496</v>
      </c>
      <c r="AL1314" s="2826">
        <v>123169.69</v>
      </c>
      <c r="AM1314" s="2826">
        <v>45497</v>
      </c>
      <c r="AN1314" s="2667">
        <f t="shared" si="269"/>
        <v>123169.69</v>
      </c>
      <c r="AO1314" s="2667">
        <v>45651</v>
      </c>
      <c r="AP1314" s="2667">
        <f t="shared" si="270"/>
        <v>0</v>
      </c>
      <c r="AQ1314" s="6555"/>
      <c r="AR1314" s="2826"/>
      <c r="AS1314" s="6561"/>
      <c r="AT1314" s="6555"/>
      <c r="AU1314" s="2680"/>
      <c r="AV1314" s="2680"/>
      <c r="AW1314" s="2680"/>
      <c r="AX1314" s="2680"/>
      <c r="AY1314" s="2680"/>
      <c r="AZ1314" s="2680"/>
      <c r="BA1314" s="2667"/>
      <c r="BB1314" s="2667"/>
      <c r="BC1314" s="2667"/>
      <c r="BD1314" s="2667"/>
      <c r="BE1314" s="2667"/>
      <c r="BF1314" s="2667"/>
      <c r="BG1314" s="2667"/>
      <c r="BH1314" s="6542">
        <v>123169.69</v>
      </c>
      <c r="BI1314" s="2711"/>
      <c r="BJ1314" s="2711"/>
      <c r="BK1314" s="2711"/>
      <c r="BL1314" s="2711"/>
      <c r="BM1314" s="2711"/>
      <c r="BN1314" s="2667"/>
      <c r="BO1314" s="2826"/>
      <c r="BP1314" s="2826"/>
      <c r="BQ1314" s="2826"/>
      <c r="BR1314" s="2826"/>
      <c r="BS1314" s="2826"/>
      <c r="BT1314" s="2826"/>
      <c r="BU1314" s="2826"/>
      <c r="BV1314" s="2826">
        <v>123169.69</v>
      </c>
      <c r="BW1314" s="6571"/>
      <c r="BX1314" s="2847"/>
      <c r="BY1314" s="2847"/>
      <c r="BZ1314" s="2847"/>
      <c r="CA1314" s="2847"/>
      <c r="CB1314" s="6576"/>
      <c r="CC1314" s="2826"/>
      <c r="CD1314" s="2826"/>
      <c r="CE1314" s="5169">
        <f>SUBTOTAL(9,BO1314:CB1314)</f>
        <v>123169.69</v>
      </c>
      <c r="CF1314" s="5169">
        <f>AN1314-CE1314</f>
        <v>0</v>
      </c>
      <c r="CG1314" s="5169"/>
      <c r="CH1314" s="5169"/>
    </row>
    <row r="1315" s="4965" customFormat="1" ht="50.25" customHeight="1" spans="1:86">
      <c r="A1315" s="5079"/>
      <c r="B1315" s="1035"/>
      <c r="C1315" s="5821"/>
      <c r="D1315" s="1035"/>
      <c r="E1315" s="5821"/>
      <c r="F1315" s="6476"/>
      <c r="G1315" s="6476"/>
      <c r="H1315" s="6476"/>
      <c r="I1315" s="6484"/>
      <c r="J1315" s="6476"/>
      <c r="K1315" s="6484"/>
      <c r="L1315" s="6476"/>
      <c r="M1315" s="6495"/>
      <c r="N1315" s="6495"/>
      <c r="O1315" s="6495"/>
      <c r="P1315" s="6495"/>
      <c r="Q1315" s="6495"/>
      <c r="R1315" s="6495"/>
      <c r="S1315" s="6495"/>
      <c r="T1315" s="6495"/>
      <c r="U1315" s="6495"/>
      <c r="V1315" s="6495"/>
      <c r="W1315" s="6495"/>
      <c r="X1315" s="6495"/>
      <c r="Y1315" s="6495"/>
      <c r="Z1315" s="6495"/>
      <c r="AA1315" s="6495"/>
      <c r="AB1315" s="6495"/>
      <c r="AC1315" s="2826">
        <v>2</v>
      </c>
      <c r="AD1315" s="6516" t="s">
        <v>2167</v>
      </c>
      <c r="AE1315" s="6517">
        <v>0.2</v>
      </c>
      <c r="AF1315" s="2847">
        <f>M1314*AE1315</f>
        <v>123168.8</v>
      </c>
      <c r="AG1315" s="2667">
        <f t="shared" si="268"/>
        <v>123169.69</v>
      </c>
      <c r="AH1315" s="6516" t="s">
        <v>122</v>
      </c>
      <c r="AI1315" s="2667">
        <v>45496</v>
      </c>
      <c r="AJ1315" s="2826">
        <v>123169.69</v>
      </c>
      <c r="AK1315" s="2667">
        <v>45496</v>
      </c>
      <c r="AL1315" s="2826">
        <v>123169.69</v>
      </c>
      <c r="AM1315" s="2826">
        <v>45497</v>
      </c>
      <c r="AN1315" s="2667">
        <f t="shared" si="269"/>
        <v>123169.69</v>
      </c>
      <c r="AO1315" s="2667">
        <v>45651</v>
      </c>
      <c r="AP1315" s="2667">
        <f t="shared" si="270"/>
        <v>0</v>
      </c>
      <c r="AQ1315" s="6555"/>
      <c r="AR1315" s="2826"/>
      <c r="AS1315" s="6561"/>
      <c r="AT1315" s="6555"/>
      <c r="AU1315" s="2680"/>
      <c r="AV1315" s="2680"/>
      <c r="AW1315" s="2680"/>
      <c r="AX1315" s="2680"/>
      <c r="AY1315" s="2680"/>
      <c r="AZ1315" s="2680"/>
      <c r="BA1315" s="2667"/>
      <c r="BB1315" s="2667"/>
      <c r="BC1315" s="2667"/>
      <c r="BD1315" s="2667"/>
      <c r="BE1315" s="2667"/>
      <c r="BF1315" s="2667"/>
      <c r="BG1315" s="2667"/>
      <c r="BH1315" s="6542">
        <v>123169.69</v>
      </c>
      <c r="BI1315" s="2711"/>
      <c r="BJ1315" s="2711"/>
      <c r="BK1315" s="2711"/>
      <c r="BL1315" s="2711"/>
      <c r="BM1315" s="2711"/>
      <c r="BN1315" s="2667"/>
      <c r="BO1315" s="2826"/>
      <c r="BP1315" s="2826"/>
      <c r="BQ1315" s="2826"/>
      <c r="BR1315" s="2826"/>
      <c r="BS1315" s="2826"/>
      <c r="BT1315" s="2826"/>
      <c r="BU1315" s="2826"/>
      <c r="BV1315" s="2826">
        <v>123169.69</v>
      </c>
      <c r="BW1315" s="6571"/>
      <c r="BX1315" s="2847"/>
      <c r="BY1315" s="2847"/>
      <c r="BZ1315" s="2847"/>
      <c r="CA1315" s="2847"/>
      <c r="CB1315" s="6576"/>
      <c r="CC1315" s="2826"/>
      <c r="CD1315" s="2826"/>
      <c r="CE1315" s="5169">
        <f>SUBTOTAL(9,BO1315:CB1315)</f>
        <v>123169.69</v>
      </c>
      <c r="CF1315" s="5169">
        <f>AN1315-CE1315</f>
        <v>0</v>
      </c>
      <c r="CG1315" s="5169"/>
      <c r="CH1315" s="5169"/>
    </row>
    <row r="1316" s="4965" customFormat="1" ht="50.25" customHeight="1" spans="1:86">
      <c r="A1316" s="5079"/>
      <c r="B1316" s="1035"/>
      <c r="C1316" s="5821"/>
      <c r="D1316" s="1035"/>
      <c r="E1316" s="5821"/>
      <c r="F1316" s="6476"/>
      <c r="G1316" s="6476"/>
      <c r="H1316" s="6476"/>
      <c r="I1316" s="6484"/>
      <c r="J1316" s="6476"/>
      <c r="K1316" s="6484"/>
      <c r="L1316" s="6476"/>
      <c r="M1316" s="6495"/>
      <c r="N1316" s="6495"/>
      <c r="O1316" s="6495"/>
      <c r="P1316" s="6495"/>
      <c r="Q1316" s="6495"/>
      <c r="R1316" s="6495"/>
      <c r="S1316" s="6495"/>
      <c r="T1316" s="6495"/>
      <c r="U1316" s="6495"/>
      <c r="V1316" s="6495"/>
      <c r="W1316" s="6495"/>
      <c r="X1316" s="6495"/>
      <c r="Y1316" s="6495"/>
      <c r="Z1316" s="6495"/>
      <c r="AA1316" s="6495"/>
      <c r="AB1316" s="6495"/>
      <c r="AC1316" s="2826">
        <v>3</v>
      </c>
      <c r="AD1316" s="6516" t="s">
        <v>2204</v>
      </c>
      <c r="AE1316" s="6517">
        <v>0.4</v>
      </c>
      <c r="AF1316" s="2847">
        <f>M1314*AE1316</f>
        <v>246337.6</v>
      </c>
      <c r="AG1316" s="2667">
        <f t="shared" si="268"/>
        <v>246339.37</v>
      </c>
      <c r="AH1316" s="6516" t="s">
        <v>122</v>
      </c>
      <c r="AI1316" s="2667">
        <v>45496</v>
      </c>
      <c r="AJ1316" s="2826">
        <v>246339.37</v>
      </c>
      <c r="AK1316" s="2667">
        <v>45496</v>
      </c>
      <c r="AL1316" s="2826">
        <v>246339.37</v>
      </c>
      <c r="AM1316" s="2826">
        <v>45497</v>
      </c>
      <c r="AN1316" s="2667">
        <f t="shared" si="269"/>
        <v>246339.37</v>
      </c>
      <c r="AO1316" s="2667">
        <v>45651</v>
      </c>
      <c r="AP1316" s="2667">
        <f t="shared" si="270"/>
        <v>0</v>
      </c>
      <c r="AQ1316" s="6555"/>
      <c r="AR1316" s="2826"/>
      <c r="AS1316" s="6561"/>
      <c r="AT1316" s="6555"/>
      <c r="AU1316" s="2680"/>
      <c r="AV1316" s="2680"/>
      <c r="AW1316" s="2680"/>
      <c r="AX1316" s="2680"/>
      <c r="AY1316" s="2680"/>
      <c r="AZ1316" s="2680"/>
      <c r="BA1316" s="2667"/>
      <c r="BB1316" s="2667"/>
      <c r="BC1316" s="2667"/>
      <c r="BD1316" s="2667"/>
      <c r="BE1316" s="2667"/>
      <c r="BF1316" s="2667"/>
      <c r="BG1316" s="2667"/>
      <c r="BH1316" s="6542">
        <v>246339.37</v>
      </c>
      <c r="BI1316" s="2711"/>
      <c r="BJ1316" s="2711"/>
      <c r="BK1316" s="2711"/>
      <c r="BL1316" s="2711"/>
      <c r="BM1316" s="2711"/>
      <c r="BN1316" s="2667"/>
      <c r="BO1316" s="2826"/>
      <c r="BP1316" s="2826"/>
      <c r="BQ1316" s="2826"/>
      <c r="BR1316" s="2826"/>
      <c r="BS1316" s="2826"/>
      <c r="BT1316" s="2826"/>
      <c r="BU1316" s="2826"/>
      <c r="BV1316" s="2826">
        <v>246339.37</v>
      </c>
      <c r="BW1316" s="6571"/>
      <c r="BX1316" s="2847"/>
      <c r="BY1316" s="2847"/>
      <c r="BZ1316" s="2847"/>
      <c r="CA1316" s="2847"/>
      <c r="CB1316" s="6576"/>
      <c r="CC1316" s="2826"/>
      <c r="CD1316" s="2826"/>
      <c r="CE1316" s="5169">
        <f>SUBTOTAL(9,BO1316:CB1316)</f>
        <v>246339.37</v>
      </c>
      <c r="CF1316" s="5169">
        <f>AN1316-CE1316</f>
        <v>0</v>
      </c>
      <c r="CG1316" s="5169"/>
      <c r="CH1316" s="5169"/>
    </row>
    <row r="1317" s="4965" customFormat="1" ht="50.25" customHeight="1" spans="1:86">
      <c r="A1317" s="5079"/>
      <c r="B1317" s="1035"/>
      <c r="C1317" s="5822"/>
      <c r="D1317" s="1035"/>
      <c r="E1317" s="5822"/>
      <c r="F1317" s="6477"/>
      <c r="G1317" s="6477"/>
      <c r="H1317" s="6477"/>
      <c r="I1317" s="2332"/>
      <c r="J1317" s="6477"/>
      <c r="K1317" s="2332"/>
      <c r="L1317" s="6477"/>
      <c r="M1317" s="2832"/>
      <c r="N1317" s="2832"/>
      <c r="O1317" s="2832"/>
      <c r="P1317" s="2832"/>
      <c r="Q1317" s="2832"/>
      <c r="R1317" s="2832"/>
      <c r="S1317" s="2832"/>
      <c r="T1317" s="2832"/>
      <c r="U1317" s="2832"/>
      <c r="V1317" s="2832"/>
      <c r="W1317" s="2832"/>
      <c r="X1317" s="2832"/>
      <c r="Y1317" s="2832"/>
      <c r="Z1317" s="2832"/>
      <c r="AA1317" s="2832"/>
      <c r="AB1317" s="2832"/>
      <c r="AC1317" s="2826">
        <v>4</v>
      </c>
      <c r="AD1317" s="6516" t="s">
        <v>2170</v>
      </c>
      <c r="AE1317" s="6517">
        <v>0.2</v>
      </c>
      <c r="AF1317" s="2847">
        <f>M1314*AE1317</f>
        <v>123168.8</v>
      </c>
      <c r="AG1317" s="6532">
        <f t="shared" si="268"/>
        <v>123169.69</v>
      </c>
      <c r="AH1317" s="6533" t="s">
        <v>122</v>
      </c>
      <c r="AI1317" s="6532">
        <v>45649</v>
      </c>
      <c r="AJ1317" s="2667">
        <v>123169.69</v>
      </c>
      <c r="AK1317" s="2667">
        <v>45649</v>
      </c>
      <c r="AL1317" s="2826"/>
      <c r="AM1317" s="2826"/>
      <c r="AN1317" s="6551">
        <f t="shared" si="269"/>
        <v>123168.8</v>
      </c>
      <c r="AO1317" s="6551">
        <v>46052</v>
      </c>
      <c r="AP1317" s="2667">
        <f t="shared" si="270"/>
        <v>0.889999999999418</v>
      </c>
      <c r="AQ1317" s="6555"/>
      <c r="AR1317" s="2826"/>
      <c r="AS1317" s="6561"/>
      <c r="AT1317" s="6555"/>
      <c r="AU1317" s="2680"/>
      <c r="AV1317" s="2680"/>
      <c r="AW1317" s="2680"/>
      <c r="AX1317" s="2680"/>
      <c r="AY1317" s="2680"/>
      <c r="AZ1317" s="2680"/>
      <c r="BA1317" s="2667"/>
      <c r="BB1317" s="2667"/>
      <c r="BC1317" s="2667"/>
      <c r="BD1317" s="2667"/>
      <c r="BE1317" s="2667"/>
      <c r="BF1317" s="2667"/>
      <c r="BG1317" s="2667"/>
      <c r="BH1317" s="6542">
        <v>123169.69</v>
      </c>
      <c r="BI1317" s="2711"/>
      <c r="BJ1317" s="2711"/>
      <c r="BK1317" s="2711"/>
      <c r="BL1317" s="2711"/>
      <c r="BM1317" s="2711"/>
      <c r="BN1317" s="2667"/>
      <c r="BO1317" s="2826"/>
      <c r="BP1317" s="2826"/>
      <c r="BQ1317" s="2826"/>
      <c r="BR1317" s="2826"/>
      <c r="BS1317" s="2826"/>
      <c r="BT1317" s="2826"/>
      <c r="BU1317" s="2826"/>
      <c r="BV1317" s="6551">
        <v>123168.8</v>
      </c>
      <c r="BW1317" s="6571"/>
      <c r="BX1317" s="2847"/>
      <c r="BY1317" s="2847"/>
      <c r="BZ1317" s="2847"/>
      <c r="CA1317" s="2847"/>
      <c r="CB1317" s="6576"/>
      <c r="CC1317" s="2826"/>
      <c r="CD1317" s="2826"/>
      <c r="CE1317" s="5169"/>
      <c r="CF1317" s="5169"/>
      <c r="CG1317" s="5169"/>
      <c r="CH1317" s="5169"/>
    </row>
    <row r="1318" s="4965" customFormat="1" ht="50.25" customHeight="1" spans="1:86">
      <c r="A1318" s="5079"/>
      <c r="B1318" s="1035"/>
      <c r="C1318" s="5820">
        <v>45434</v>
      </c>
      <c r="D1318" s="1035"/>
      <c r="E1318" s="5820"/>
      <c r="F1318" s="2326" t="s">
        <v>2232</v>
      </c>
      <c r="G1318" s="2326" t="s">
        <v>2209</v>
      </c>
      <c r="H1318" s="2326" t="s">
        <v>2206</v>
      </c>
      <c r="I1318" s="2326"/>
      <c r="J1318" s="2326" t="s">
        <v>2210</v>
      </c>
      <c r="K1318" s="2326" t="s">
        <v>2230</v>
      </c>
      <c r="L1318" s="2326" t="s">
        <v>2123</v>
      </c>
      <c r="M1318" s="6340">
        <f>SUM(N1318:AA1320)</f>
        <v>153961</v>
      </c>
      <c r="N1318" s="6340"/>
      <c r="O1318" s="6340"/>
      <c r="P1318" s="6340"/>
      <c r="Q1318" s="6340"/>
      <c r="R1318" s="6340"/>
      <c r="S1318" s="6340"/>
      <c r="T1318" s="6340"/>
      <c r="U1318" s="6340">
        <v>153961</v>
      </c>
      <c r="V1318" s="6340"/>
      <c r="W1318" s="6340"/>
      <c r="X1318" s="6340"/>
      <c r="Y1318" s="6340"/>
      <c r="Z1318" s="6340"/>
      <c r="AA1318" s="6340"/>
      <c r="AB1318" s="6340"/>
      <c r="AC1318" s="3066">
        <v>1</v>
      </c>
      <c r="AD1318" s="6388" t="s">
        <v>2172</v>
      </c>
      <c r="AE1318" s="6389">
        <v>0.2</v>
      </c>
      <c r="AF1318" s="3098">
        <f>M1318*AE1318</f>
        <v>30792.2</v>
      </c>
      <c r="AG1318" s="3065">
        <f t="shared" si="268"/>
        <v>30792.2</v>
      </c>
      <c r="AH1318" s="6388" t="s">
        <v>122</v>
      </c>
      <c r="AI1318" s="3065">
        <v>45496</v>
      </c>
      <c r="AJ1318" s="3065">
        <v>30792.2</v>
      </c>
      <c r="AK1318" s="3065">
        <v>45496</v>
      </c>
      <c r="AL1318" s="3066">
        <v>30792.2</v>
      </c>
      <c r="AM1318" s="3066">
        <v>45497</v>
      </c>
      <c r="AN1318" s="3065">
        <f t="shared" si="269"/>
        <v>30792.2</v>
      </c>
      <c r="AO1318" s="3065">
        <v>45651</v>
      </c>
      <c r="AP1318" s="3065">
        <f t="shared" si="270"/>
        <v>0</v>
      </c>
      <c r="AQ1318" s="6424"/>
      <c r="AR1318" s="3066"/>
      <c r="AS1318" s="6440"/>
      <c r="AT1318" s="6424"/>
      <c r="AU1318" s="2680"/>
      <c r="AV1318" s="2680"/>
      <c r="AW1318" s="2680"/>
      <c r="AX1318" s="2680"/>
      <c r="AY1318" s="2680"/>
      <c r="AZ1318" s="2680"/>
      <c r="BA1318" s="3065"/>
      <c r="BB1318" s="3065"/>
      <c r="BC1318" s="3065"/>
      <c r="BD1318" s="3065"/>
      <c r="BE1318" s="3065"/>
      <c r="BF1318" s="3065"/>
      <c r="BG1318" s="3065"/>
      <c r="BH1318" s="6442">
        <v>30792.2</v>
      </c>
      <c r="BI1318" s="6444"/>
      <c r="BJ1318" s="6444"/>
      <c r="BK1318" s="6444"/>
      <c r="BL1318" s="6444"/>
      <c r="BM1318" s="6444"/>
      <c r="BN1318" s="3065"/>
      <c r="BO1318" s="3066"/>
      <c r="BP1318" s="3066"/>
      <c r="BQ1318" s="3066"/>
      <c r="BR1318" s="3066"/>
      <c r="BS1318" s="3066"/>
      <c r="BT1318" s="3066"/>
      <c r="BU1318" s="3066"/>
      <c r="BV1318" s="3065">
        <v>30792.2</v>
      </c>
      <c r="BW1318" s="6452"/>
      <c r="BX1318" s="3098"/>
      <c r="BY1318" s="3098"/>
      <c r="BZ1318" s="3098"/>
      <c r="CA1318" s="3098"/>
      <c r="CB1318" s="6456"/>
      <c r="CC1318" s="3066"/>
      <c r="CD1318" s="3066"/>
      <c r="CE1318" s="5169">
        <f>SUBTOTAL(9,BO1318:CB1318)</f>
        <v>30792.2</v>
      </c>
      <c r="CF1318" s="5169">
        <f>AN1318-CE1318</f>
        <v>0</v>
      </c>
      <c r="CG1318" s="5169"/>
      <c r="CH1318" s="5169"/>
    </row>
    <row r="1319" s="4965" customFormat="1" ht="50.25" customHeight="1" spans="1:86">
      <c r="A1319" s="5079"/>
      <c r="B1319" s="1035"/>
      <c r="C1319" s="5821"/>
      <c r="D1319" s="1035"/>
      <c r="E1319" s="5821"/>
      <c r="F1319" s="6307"/>
      <c r="G1319" s="6307"/>
      <c r="H1319" s="6307"/>
      <c r="I1319" s="2328"/>
      <c r="J1319" s="6307"/>
      <c r="K1319" s="2328"/>
      <c r="L1319" s="6307"/>
      <c r="M1319" s="6341"/>
      <c r="N1319" s="6341"/>
      <c r="O1319" s="6341"/>
      <c r="P1319" s="6341"/>
      <c r="Q1319" s="6341"/>
      <c r="R1319" s="6341"/>
      <c r="S1319" s="6341"/>
      <c r="T1319" s="6341"/>
      <c r="U1319" s="6341"/>
      <c r="V1319" s="6341"/>
      <c r="W1319" s="6341"/>
      <c r="X1319" s="6341"/>
      <c r="Y1319" s="6341"/>
      <c r="Z1319" s="6341"/>
      <c r="AA1319" s="6341"/>
      <c r="AB1319" s="6341"/>
      <c r="AC1319" s="3066">
        <v>2</v>
      </c>
      <c r="AD1319" s="6388" t="s">
        <v>2173</v>
      </c>
      <c r="AE1319" s="6389">
        <v>0.6</v>
      </c>
      <c r="AF1319" s="3098">
        <f>M1318*AE1319</f>
        <v>92376.6</v>
      </c>
      <c r="AG1319" s="6534">
        <f t="shared" si="268"/>
        <v>92377.49</v>
      </c>
      <c r="AH1319" s="6535" t="s">
        <v>122</v>
      </c>
      <c r="AI1319" s="6534">
        <v>45649</v>
      </c>
      <c r="AJ1319" s="3065">
        <v>92377.49</v>
      </c>
      <c r="AK1319" s="3065">
        <v>45649</v>
      </c>
      <c r="AL1319" s="3065">
        <v>92377.49</v>
      </c>
      <c r="AM1319" s="3066">
        <v>45799</v>
      </c>
      <c r="AN1319" s="6527">
        <f t="shared" si="269"/>
        <v>92376.6</v>
      </c>
      <c r="AO1319" s="6527">
        <v>46052</v>
      </c>
      <c r="AP1319" s="3065">
        <f t="shared" si="270"/>
        <v>0.889999999999418</v>
      </c>
      <c r="AQ1319" s="6424"/>
      <c r="AR1319" s="3066"/>
      <c r="AS1319" s="6440"/>
      <c r="AT1319" s="6424"/>
      <c r="AU1319" s="2680"/>
      <c r="AV1319" s="2680"/>
      <c r="AW1319" s="2680"/>
      <c r="AX1319" s="2680"/>
      <c r="AY1319" s="2680"/>
      <c r="AZ1319" s="2680"/>
      <c r="BA1319" s="3065"/>
      <c r="BB1319" s="3065"/>
      <c r="BC1319" s="3065"/>
      <c r="BD1319" s="3065"/>
      <c r="BE1319" s="3065"/>
      <c r="BF1319" s="3065"/>
      <c r="BG1319" s="3065"/>
      <c r="BH1319" s="6442">
        <v>92377.49</v>
      </c>
      <c r="BI1319" s="6444"/>
      <c r="BJ1319" s="6444"/>
      <c r="BK1319" s="6444"/>
      <c r="BL1319" s="6444"/>
      <c r="BM1319" s="6444"/>
      <c r="BN1319" s="3065"/>
      <c r="BO1319" s="3066"/>
      <c r="BP1319" s="3066"/>
      <c r="BQ1319" s="3066"/>
      <c r="BR1319" s="3066"/>
      <c r="BS1319" s="3066"/>
      <c r="BT1319" s="3066"/>
      <c r="BU1319" s="3066"/>
      <c r="BV1319" s="3066">
        <v>92376.6</v>
      </c>
      <c r="BW1319" s="6452"/>
      <c r="BX1319" s="3098"/>
      <c r="BY1319" s="3098"/>
      <c r="BZ1319" s="3098"/>
      <c r="CA1319" s="3098"/>
      <c r="CB1319" s="6456"/>
      <c r="CC1319" s="3066"/>
      <c r="CD1319" s="3066"/>
      <c r="CE1319" s="5169">
        <f>SUBTOTAL(9,BO1319:CB1319)</f>
        <v>92376.6</v>
      </c>
      <c r="CF1319" s="5169">
        <f>AN1319-CE1319</f>
        <v>0</v>
      </c>
      <c r="CG1319" s="5169"/>
      <c r="CH1319" s="5169"/>
    </row>
    <row r="1320" s="4965" customFormat="1" ht="50.25" customHeight="1" spans="1:86">
      <c r="A1320" s="5079"/>
      <c r="B1320" s="1035"/>
      <c r="C1320" s="5822"/>
      <c r="D1320" s="1035"/>
      <c r="E1320" s="5822"/>
      <c r="F1320" s="6461"/>
      <c r="G1320" s="6461"/>
      <c r="H1320" s="6461"/>
      <c r="I1320" s="2330"/>
      <c r="J1320" s="6461"/>
      <c r="K1320" s="2330"/>
      <c r="L1320" s="6461"/>
      <c r="M1320" s="6485"/>
      <c r="N1320" s="6485"/>
      <c r="O1320" s="6485"/>
      <c r="P1320" s="6485"/>
      <c r="Q1320" s="6485"/>
      <c r="R1320" s="6485"/>
      <c r="S1320" s="6485"/>
      <c r="T1320" s="6485"/>
      <c r="U1320" s="6485"/>
      <c r="V1320" s="6485"/>
      <c r="W1320" s="6485"/>
      <c r="X1320" s="6485"/>
      <c r="Y1320" s="6485"/>
      <c r="Z1320" s="6485"/>
      <c r="AA1320" s="6485"/>
      <c r="AB1320" s="6485"/>
      <c r="AC1320" s="3066">
        <v>3</v>
      </c>
      <c r="AD1320" s="6388" t="s">
        <v>2174</v>
      </c>
      <c r="AE1320" s="6389">
        <v>0.2</v>
      </c>
      <c r="AF1320" s="3098">
        <f>M1318*AE1320</f>
        <v>30792.2</v>
      </c>
      <c r="AG1320" s="3065">
        <f t="shared" si="268"/>
        <v>0</v>
      </c>
      <c r="AH1320" s="6388"/>
      <c r="AI1320" s="3066"/>
      <c r="AJ1320" s="3066"/>
      <c r="AK1320" s="3066"/>
      <c r="AL1320" s="3066"/>
      <c r="AM1320" s="3066"/>
      <c r="AN1320" s="3065">
        <f t="shared" si="269"/>
        <v>0</v>
      </c>
      <c r="AO1320" s="3065"/>
      <c r="AP1320" s="3065">
        <f t="shared" si="270"/>
        <v>0</v>
      </c>
      <c r="AQ1320" s="6424"/>
      <c r="AR1320" s="3066"/>
      <c r="AS1320" s="6440"/>
      <c r="AT1320" s="6424"/>
      <c r="AU1320" s="2680"/>
      <c r="AV1320" s="2680"/>
      <c r="AW1320" s="2680"/>
      <c r="AX1320" s="2680"/>
      <c r="AY1320" s="2680"/>
      <c r="AZ1320" s="2680"/>
      <c r="BA1320" s="3065"/>
      <c r="BB1320" s="3065"/>
      <c r="BC1320" s="3065"/>
      <c r="BD1320" s="3065"/>
      <c r="BE1320" s="3065"/>
      <c r="BF1320" s="3065"/>
      <c r="BG1320" s="3065"/>
      <c r="BH1320" s="3065"/>
      <c r="BI1320" s="6444"/>
      <c r="BJ1320" s="6444"/>
      <c r="BK1320" s="6444"/>
      <c r="BL1320" s="6444"/>
      <c r="BM1320" s="6444"/>
      <c r="BN1320" s="3065"/>
      <c r="BO1320" s="3066"/>
      <c r="BP1320" s="3066"/>
      <c r="BQ1320" s="3066"/>
      <c r="BR1320" s="3066"/>
      <c r="BS1320" s="3066"/>
      <c r="BT1320" s="3066"/>
      <c r="BU1320" s="3066"/>
      <c r="BV1320" s="3066"/>
      <c r="BW1320" s="6452"/>
      <c r="BX1320" s="3098"/>
      <c r="BY1320" s="3098"/>
      <c r="BZ1320" s="3098"/>
      <c r="CA1320" s="3098"/>
      <c r="CB1320" s="6456"/>
      <c r="CC1320" s="3066"/>
      <c r="CD1320" s="3066"/>
      <c r="CE1320" s="5169"/>
      <c r="CF1320" s="5169"/>
      <c r="CG1320" s="5169"/>
      <c r="CH1320" s="5169"/>
    </row>
    <row r="1321" s="4965" customFormat="1" ht="50.25" customHeight="1" spans="1:86">
      <c r="A1321" s="5079"/>
      <c r="B1321" s="1035" t="s">
        <v>1951</v>
      </c>
      <c r="C1321" s="5079">
        <v>45477</v>
      </c>
      <c r="D1321" s="1035" t="s">
        <v>2233</v>
      </c>
      <c r="E1321" s="5079"/>
      <c r="F1321" s="5543" t="s">
        <v>2234</v>
      </c>
      <c r="G1321" s="5543" t="s">
        <v>2235</v>
      </c>
      <c r="H1321" s="5543" t="s">
        <v>2182</v>
      </c>
      <c r="I1321" s="5543" t="s">
        <v>2236</v>
      </c>
      <c r="J1321" s="5543" t="s">
        <v>2237</v>
      </c>
      <c r="K1321" s="5543" t="s">
        <v>2238</v>
      </c>
      <c r="L1321" s="5547" t="s">
        <v>2239</v>
      </c>
      <c r="M1321" s="5561">
        <f>SUM(N1321:AA1325)</f>
        <v>1132955</v>
      </c>
      <c r="N1321" s="5563"/>
      <c r="O1321" s="5563"/>
      <c r="P1321" s="5563"/>
      <c r="Q1321" s="5563"/>
      <c r="R1321" s="5563"/>
      <c r="S1321" s="5563"/>
      <c r="T1321" s="5563"/>
      <c r="U1321" s="5563"/>
      <c r="V1321" s="5563"/>
      <c r="W1321" s="5563"/>
      <c r="X1321" s="5563"/>
      <c r="Y1321" s="5563"/>
      <c r="Z1321" s="5563"/>
      <c r="AA1321" s="5563">
        <v>1132955</v>
      </c>
      <c r="AB1321" s="5583" t="s">
        <v>126</v>
      </c>
      <c r="AC1321" s="2973">
        <v>1</v>
      </c>
      <c r="AD1321" s="3176" t="s">
        <v>2093</v>
      </c>
      <c r="AE1321" s="6507">
        <v>0.1</v>
      </c>
      <c r="AF1321" s="2986">
        <f>AA1321*AE1321</f>
        <v>113295.5</v>
      </c>
      <c r="AG1321" s="5830">
        <f t="shared" si="268"/>
        <v>113295.5</v>
      </c>
      <c r="AH1321" s="6536" t="s">
        <v>122</v>
      </c>
      <c r="AI1321" s="5612">
        <v>45628</v>
      </c>
      <c r="AJ1321" s="5588">
        <v>113295.5</v>
      </c>
      <c r="AK1321" s="5588">
        <v>45628</v>
      </c>
      <c r="AL1321" s="5588">
        <v>113295.5</v>
      </c>
      <c r="AM1321" s="5588">
        <v>45629</v>
      </c>
      <c r="AN1321" s="2986">
        <f t="shared" si="269"/>
        <v>113295.5</v>
      </c>
      <c r="AO1321" s="5588">
        <v>45650</v>
      </c>
      <c r="AP1321" s="2986">
        <f t="shared" si="270"/>
        <v>0</v>
      </c>
      <c r="AQ1321" s="5614"/>
      <c r="AR1321" s="2973"/>
      <c r="AS1321" s="6428"/>
      <c r="AT1321" s="5614"/>
      <c r="AU1321" s="2680"/>
      <c r="AV1321" s="2680"/>
      <c r="AW1321" s="2680"/>
      <c r="AX1321" s="2680"/>
      <c r="AY1321" s="2680"/>
      <c r="AZ1321" s="2680"/>
      <c r="BA1321" s="5588"/>
      <c r="BB1321" s="5588"/>
      <c r="BC1321" s="5588"/>
      <c r="BD1321" s="5588"/>
      <c r="BE1321" s="5588"/>
      <c r="BF1321" s="5588"/>
      <c r="BG1321" s="5588"/>
      <c r="BH1321" s="5588"/>
      <c r="BI1321" s="5613"/>
      <c r="BJ1321" s="5613"/>
      <c r="BK1321" s="5613"/>
      <c r="BL1321" s="5613"/>
      <c r="BM1321" s="5613"/>
      <c r="BN1321" s="5588">
        <v>113295.5</v>
      </c>
      <c r="BO1321" s="2973"/>
      <c r="BP1321" s="2973"/>
      <c r="BQ1321" s="2973"/>
      <c r="BR1321" s="2973"/>
      <c r="BS1321" s="2973"/>
      <c r="BT1321" s="2973"/>
      <c r="BU1321" s="2973"/>
      <c r="BV1321" s="2973"/>
      <c r="BW1321" s="5619"/>
      <c r="BX1321" s="2986"/>
      <c r="BY1321" s="2986"/>
      <c r="BZ1321" s="2986"/>
      <c r="CA1321" s="2986"/>
      <c r="CB1321" s="5652">
        <v>113295.5</v>
      </c>
      <c r="CC1321" s="2973"/>
      <c r="CD1321" s="2973"/>
      <c r="CE1321" s="5169"/>
      <c r="CF1321" s="5169"/>
      <c r="CG1321" s="5169"/>
      <c r="CH1321" s="5169"/>
    </row>
    <row r="1322" s="4965" customFormat="1" ht="50.25" customHeight="1" spans="1:86">
      <c r="A1322" s="5079"/>
      <c r="B1322" s="1035"/>
      <c r="C1322" s="5079"/>
      <c r="D1322" s="1035"/>
      <c r="E1322" s="5079"/>
      <c r="F1322" s="3176"/>
      <c r="G1322" s="3176"/>
      <c r="H1322" s="3176"/>
      <c r="I1322" s="3176"/>
      <c r="J1322" s="3176"/>
      <c r="K1322" s="5543"/>
      <c r="L1322" s="5548"/>
      <c r="M1322" s="5563"/>
      <c r="N1322" s="5563"/>
      <c r="O1322" s="5563"/>
      <c r="P1322" s="5563"/>
      <c r="Q1322" s="5563"/>
      <c r="R1322" s="5563"/>
      <c r="S1322" s="5563"/>
      <c r="T1322" s="5563"/>
      <c r="U1322" s="5563"/>
      <c r="V1322" s="5563"/>
      <c r="W1322" s="5563"/>
      <c r="X1322" s="5563"/>
      <c r="Y1322" s="5563"/>
      <c r="Z1322" s="5563"/>
      <c r="AA1322" s="5563"/>
      <c r="AB1322" s="5563"/>
      <c r="AC1322" s="2973">
        <v>2</v>
      </c>
      <c r="AD1322" s="3176" t="s">
        <v>2046</v>
      </c>
      <c r="AE1322" s="6507">
        <v>0.35</v>
      </c>
      <c r="AF1322" s="2986">
        <f>AA1321*AE1322</f>
        <v>396534.25</v>
      </c>
      <c r="AG1322" s="5830">
        <f t="shared" si="268"/>
        <v>396534.25</v>
      </c>
      <c r="AH1322" s="6536" t="s">
        <v>122</v>
      </c>
      <c r="AI1322" s="5612">
        <v>45628</v>
      </c>
      <c r="AJ1322" s="5588">
        <v>396534.25</v>
      </c>
      <c r="AK1322" s="5588">
        <v>45628</v>
      </c>
      <c r="AL1322" s="5588">
        <v>396534.25</v>
      </c>
      <c r="AM1322" s="5588">
        <v>45629</v>
      </c>
      <c r="AN1322" s="2986">
        <f t="shared" si="269"/>
        <v>396534.25</v>
      </c>
      <c r="AO1322" s="5588">
        <v>45650</v>
      </c>
      <c r="AP1322" s="2986">
        <f t="shared" si="270"/>
        <v>0</v>
      </c>
      <c r="AQ1322" s="5614"/>
      <c r="AR1322" s="2973"/>
      <c r="AS1322" s="6428"/>
      <c r="AT1322" s="5614"/>
      <c r="AU1322" s="2680"/>
      <c r="AV1322" s="2680"/>
      <c r="AW1322" s="2680"/>
      <c r="AX1322" s="2680"/>
      <c r="AY1322" s="2680"/>
      <c r="AZ1322" s="2680"/>
      <c r="BA1322" s="5588"/>
      <c r="BB1322" s="5588"/>
      <c r="BC1322" s="5588"/>
      <c r="BD1322" s="5588"/>
      <c r="BE1322" s="5588"/>
      <c r="BF1322" s="5588"/>
      <c r="BG1322" s="5588"/>
      <c r="BH1322" s="5588"/>
      <c r="BI1322" s="5613"/>
      <c r="BJ1322" s="5613"/>
      <c r="BK1322" s="5613"/>
      <c r="BL1322" s="5613"/>
      <c r="BM1322" s="5613"/>
      <c r="BN1322" s="5588">
        <v>396534.25</v>
      </c>
      <c r="BO1322" s="2973"/>
      <c r="BP1322" s="2973"/>
      <c r="BQ1322" s="2973"/>
      <c r="BR1322" s="2973"/>
      <c r="BS1322" s="2973"/>
      <c r="BT1322" s="2973"/>
      <c r="BU1322" s="2973"/>
      <c r="BV1322" s="2973"/>
      <c r="BW1322" s="5619"/>
      <c r="BX1322" s="2986"/>
      <c r="BY1322" s="2986"/>
      <c r="BZ1322" s="2986"/>
      <c r="CA1322" s="2986"/>
      <c r="CB1322" s="5652">
        <v>396534.25</v>
      </c>
      <c r="CC1322" s="2973"/>
      <c r="CD1322" s="2973"/>
      <c r="CE1322" s="5169"/>
      <c r="CF1322" s="5169"/>
      <c r="CG1322" s="5169"/>
      <c r="CH1322" s="5169"/>
    </row>
    <row r="1323" s="4965" customFormat="1" ht="50.25" customHeight="1" spans="1:86">
      <c r="A1323" s="5079"/>
      <c r="B1323" s="1035"/>
      <c r="C1323" s="5079"/>
      <c r="D1323" s="1035"/>
      <c r="E1323" s="5079"/>
      <c r="F1323" s="3176"/>
      <c r="G1323" s="3176"/>
      <c r="H1323" s="3176"/>
      <c r="I1323" s="3176"/>
      <c r="J1323" s="3176"/>
      <c r="K1323" s="5543"/>
      <c r="L1323" s="5548"/>
      <c r="M1323" s="5563"/>
      <c r="N1323" s="5563"/>
      <c r="O1323" s="5563"/>
      <c r="P1323" s="5563"/>
      <c r="Q1323" s="5563"/>
      <c r="R1323" s="5563"/>
      <c r="S1323" s="5563"/>
      <c r="T1323" s="5563"/>
      <c r="U1323" s="5563"/>
      <c r="V1323" s="5563"/>
      <c r="W1323" s="5563"/>
      <c r="X1323" s="5563"/>
      <c r="Y1323" s="5563"/>
      <c r="Z1323" s="5563"/>
      <c r="AA1323" s="5563"/>
      <c r="AB1323" s="5563"/>
      <c r="AC1323" s="2973">
        <v>3</v>
      </c>
      <c r="AD1323" s="3176" t="s">
        <v>2049</v>
      </c>
      <c r="AE1323" s="6507">
        <v>0.15</v>
      </c>
      <c r="AF1323" s="2986">
        <f>AA1321*AE1323</f>
        <v>169943.25</v>
      </c>
      <c r="AG1323" s="5613">
        <f t="shared" si="268"/>
        <v>169943.25</v>
      </c>
      <c r="AH1323" s="5543" t="s">
        <v>122</v>
      </c>
      <c r="AI1323" s="5588">
        <v>45764</v>
      </c>
      <c r="AJ1323" s="5588">
        <v>169943.25</v>
      </c>
      <c r="AK1323" s="5588">
        <v>45764</v>
      </c>
      <c r="AL1323" s="2973">
        <v>169943.25</v>
      </c>
      <c r="AM1323" s="5588">
        <v>45764</v>
      </c>
      <c r="AN1323" s="5613">
        <f t="shared" si="269"/>
        <v>169943.25</v>
      </c>
      <c r="AO1323" s="5588">
        <v>45835</v>
      </c>
      <c r="AP1323" s="2986">
        <f t="shared" si="270"/>
        <v>0</v>
      </c>
      <c r="AQ1323" s="5614"/>
      <c r="AR1323" s="2973"/>
      <c r="AS1323" s="6428"/>
      <c r="AT1323" s="5614"/>
      <c r="AU1323" s="2680"/>
      <c r="AV1323" s="2680"/>
      <c r="AW1323" s="2680"/>
      <c r="AX1323" s="2680"/>
      <c r="AY1323" s="2680"/>
      <c r="AZ1323" s="2680"/>
      <c r="BA1323" s="5588"/>
      <c r="BB1323" s="5588"/>
      <c r="BC1323" s="5588"/>
      <c r="BD1323" s="5588"/>
      <c r="BE1323" s="5588"/>
      <c r="BF1323" s="5588"/>
      <c r="BG1323" s="5588"/>
      <c r="BH1323" s="5588"/>
      <c r="BI1323" s="5613"/>
      <c r="BJ1323" s="5613"/>
      <c r="BK1323" s="5613"/>
      <c r="BL1323" s="5613"/>
      <c r="BM1323" s="5613"/>
      <c r="BN1323" s="5588">
        <v>169943.25</v>
      </c>
      <c r="BO1323" s="2973"/>
      <c r="BP1323" s="2973"/>
      <c r="BQ1323" s="2973"/>
      <c r="BR1323" s="2973"/>
      <c r="BS1323" s="2973"/>
      <c r="BT1323" s="2973"/>
      <c r="BU1323" s="2973"/>
      <c r="BV1323" s="2973"/>
      <c r="BW1323" s="5619"/>
      <c r="BX1323" s="2986"/>
      <c r="BY1323" s="2986"/>
      <c r="BZ1323" s="2986"/>
      <c r="CA1323" s="2986"/>
      <c r="CB1323" s="5652">
        <v>169943.25</v>
      </c>
      <c r="CC1323" s="2973"/>
      <c r="CD1323" s="2973"/>
      <c r="CE1323" s="5169"/>
      <c r="CF1323" s="5169"/>
      <c r="CG1323" s="5169"/>
      <c r="CH1323" s="5169"/>
    </row>
    <row r="1324" s="4965" customFormat="1" ht="50.25" customHeight="1" spans="1:86">
      <c r="A1324" s="5079"/>
      <c r="B1324" s="1035"/>
      <c r="C1324" s="5079"/>
      <c r="D1324" s="1035"/>
      <c r="E1324" s="5079"/>
      <c r="F1324" s="3176"/>
      <c r="G1324" s="3176"/>
      <c r="H1324" s="3176"/>
      <c r="I1324" s="3176"/>
      <c r="J1324" s="3176"/>
      <c r="K1324" s="5543"/>
      <c r="L1324" s="5548"/>
      <c r="M1324" s="5563"/>
      <c r="N1324" s="5563"/>
      <c r="O1324" s="5563"/>
      <c r="P1324" s="5563"/>
      <c r="Q1324" s="5563"/>
      <c r="R1324" s="5563"/>
      <c r="S1324" s="5563"/>
      <c r="T1324" s="5563"/>
      <c r="U1324" s="5563"/>
      <c r="V1324" s="5563"/>
      <c r="W1324" s="5563"/>
      <c r="X1324" s="5563"/>
      <c r="Y1324" s="5563"/>
      <c r="Z1324" s="5563"/>
      <c r="AA1324" s="5563"/>
      <c r="AB1324" s="5563"/>
      <c r="AC1324" s="2973">
        <v>4</v>
      </c>
      <c r="AD1324" s="3176" t="s">
        <v>2051</v>
      </c>
      <c r="AE1324" s="6507">
        <v>0.25</v>
      </c>
      <c r="AF1324" s="2986">
        <f>AA1321*AE1324</f>
        <v>283238.75</v>
      </c>
      <c r="AG1324" s="5613">
        <f t="shared" si="268"/>
        <v>283238.75</v>
      </c>
      <c r="AH1324" s="5543" t="s">
        <v>122</v>
      </c>
      <c r="AI1324" s="5588">
        <v>45833</v>
      </c>
      <c r="AJ1324" s="5588">
        <v>283238.75</v>
      </c>
      <c r="AK1324" s="5588">
        <v>45833</v>
      </c>
      <c r="AL1324" s="2973">
        <v>283238.75</v>
      </c>
      <c r="AM1324" s="2973">
        <v>45838</v>
      </c>
      <c r="AN1324" s="5613">
        <f t="shared" si="269"/>
        <v>283238.75</v>
      </c>
      <c r="AO1324" s="5588">
        <v>45867</v>
      </c>
      <c r="AP1324" s="2986">
        <f t="shared" si="270"/>
        <v>0</v>
      </c>
      <c r="AQ1324" s="5614"/>
      <c r="AR1324" s="2973"/>
      <c r="AS1324" s="6428"/>
      <c r="AT1324" s="5614"/>
      <c r="AU1324" s="2680"/>
      <c r="AV1324" s="2680"/>
      <c r="AW1324" s="2680"/>
      <c r="AX1324" s="2680"/>
      <c r="AY1324" s="2680"/>
      <c r="AZ1324" s="2680"/>
      <c r="BA1324" s="5588"/>
      <c r="BB1324" s="5588"/>
      <c r="BC1324" s="5588"/>
      <c r="BD1324" s="5588"/>
      <c r="BE1324" s="5588"/>
      <c r="BF1324" s="5588"/>
      <c r="BG1324" s="5588"/>
      <c r="BH1324" s="5588"/>
      <c r="BI1324" s="5613"/>
      <c r="BJ1324" s="5613"/>
      <c r="BK1324" s="5613"/>
      <c r="BL1324" s="5613"/>
      <c r="BM1324" s="5613"/>
      <c r="BN1324" s="5588">
        <v>283238.75</v>
      </c>
      <c r="BO1324" s="2973"/>
      <c r="BP1324" s="2973"/>
      <c r="BQ1324" s="2973"/>
      <c r="BR1324" s="2973"/>
      <c r="BS1324" s="2973"/>
      <c r="BT1324" s="2973"/>
      <c r="BU1324" s="2973"/>
      <c r="BV1324" s="2973"/>
      <c r="BW1324" s="5619"/>
      <c r="BX1324" s="2986"/>
      <c r="BY1324" s="2986"/>
      <c r="BZ1324" s="2986"/>
      <c r="CA1324" s="2986"/>
      <c r="CB1324" s="5652">
        <v>283238.75</v>
      </c>
      <c r="CC1324" s="2973"/>
      <c r="CD1324" s="2973"/>
      <c r="CE1324" s="5169"/>
      <c r="CF1324" s="5169"/>
      <c r="CG1324" s="5169"/>
      <c r="CH1324" s="5169"/>
    </row>
    <row r="1325" s="4965" customFormat="1" ht="50.25" customHeight="1" spans="1:86">
      <c r="A1325" s="5079"/>
      <c r="B1325" s="1035"/>
      <c r="C1325" s="5079"/>
      <c r="D1325" s="1035"/>
      <c r="E1325" s="5079"/>
      <c r="F1325" s="3176"/>
      <c r="G1325" s="3176"/>
      <c r="H1325" s="3176"/>
      <c r="I1325" s="3176"/>
      <c r="J1325" s="3176"/>
      <c r="K1325" s="5543"/>
      <c r="L1325" s="5549"/>
      <c r="M1325" s="5565"/>
      <c r="N1325" s="5565"/>
      <c r="O1325" s="5565"/>
      <c r="P1325" s="5565"/>
      <c r="Q1325" s="5565"/>
      <c r="R1325" s="5565"/>
      <c r="S1325" s="5565"/>
      <c r="T1325" s="5565"/>
      <c r="U1325" s="5565"/>
      <c r="V1325" s="5565"/>
      <c r="W1325" s="5565"/>
      <c r="X1325" s="5565"/>
      <c r="Y1325" s="5565"/>
      <c r="Z1325" s="5565"/>
      <c r="AA1325" s="5565"/>
      <c r="AB1325" s="5565"/>
      <c r="AC1325" s="2973">
        <v>5</v>
      </c>
      <c r="AD1325" s="3176" t="s">
        <v>2055</v>
      </c>
      <c r="AE1325" s="6507">
        <v>0.15</v>
      </c>
      <c r="AF1325" s="2986">
        <f>AA1321*AE1325</f>
        <v>169943.25</v>
      </c>
      <c r="AG1325" s="2986">
        <f t="shared" si="268"/>
        <v>0</v>
      </c>
      <c r="AH1325" s="5543"/>
      <c r="AI1325" s="2973"/>
      <c r="AJ1325" s="2973"/>
      <c r="AK1325" s="2973"/>
      <c r="AL1325" s="2973"/>
      <c r="AM1325" s="2973"/>
      <c r="AN1325" s="2986">
        <f t="shared" si="269"/>
        <v>0</v>
      </c>
      <c r="AO1325" s="5588"/>
      <c r="AP1325" s="2986">
        <f t="shared" si="270"/>
        <v>0</v>
      </c>
      <c r="AQ1325" s="5614"/>
      <c r="AR1325" s="2973"/>
      <c r="AS1325" s="6428"/>
      <c r="AT1325" s="5614"/>
      <c r="AU1325" s="2680"/>
      <c r="AV1325" s="2680"/>
      <c r="AW1325" s="2680"/>
      <c r="AX1325" s="2680"/>
      <c r="AY1325" s="2680"/>
      <c r="AZ1325" s="2680"/>
      <c r="BA1325" s="5588"/>
      <c r="BB1325" s="5588"/>
      <c r="BC1325" s="5588"/>
      <c r="BD1325" s="5588"/>
      <c r="BE1325" s="5588"/>
      <c r="BF1325" s="5588"/>
      <c r="BG1325" s="5588"/>
      <c r="BH1325" s="5588"/>
      <c r="BI1325" s="5613"/>
      <c r="BJ1325" s="5613"/>
      <c r="BK1325" s="5613"/>
      <c r="BL1325" s="5613"/>
      <c r="BM1325" s="5613"/>
      <c r="BN1325" s="5588"/>
      <c r="BO1325" s="2973"/>
      <c r="BP1325" s="2973"/>
      <c r="BQ1325" s="2973"/>
      <c r="BR1325" s="2973"/>
      <c r="BS1325" s="2973"/>
      <c r="BT1325" s="2973"/>
      <c r="BU1325" s="2973"/>
      <c r="BV1325" s="2973"/>
      <c r="BW1325" s="5619"/>
      <c r="BX1325" s="2986"/>
      <c r="BY1325" s="2986"/>
      <c r="BZ1325" s="2986"/>
      <c r="CA1325" s="2986"/>
      <c r="CB1325" s="5652"/>
      <c r="CC1325" s="2973"/>
      <c r="CD1325" s="2973"/>
      <c r="CE1325" s="5169"/>
      <c r="CF1325" s="5169"/>
      <c r="CG1325" s="5169"/>
      <c r="CH1325" s="5169"/>
    </row>
    <row r="1326" s="4965" customFormat="1" ht="50.25" customHeight="1" spans="1:86">
      <c r="A1326" s="5079"/>
      <c r="B1326" s="1035"/>
      <c r="C1326" s="5079"/>
      <c r="D1326" s="1035"/>
      <c r="E1326" s="5079"/>
      <c r="F1326" s="5370" t="s">
        <v>2240</v>
      </c>
      <c r="G1326" s="5370" t="s">
        <v>2235</v>
      </c>
      <c r="H1326" s="5370" t="s">
        <v>993</v>
      </c>
      <c r="I1326" s="5370" t="s">
        <v>2236</v>
      </c>
      <c r="J1326" s="5370" t="s">
        <v>2237</v>
      </c>
      <c r="K1326" s="5370" t="s">
        <v>2241</v>
      </c>
      <c r="L1326" s="5370" t="s">
        <v>2242</v>
      </c>
      <c r="M1326" s="2686">
        <f>SUM(N1326:AA1330)</f>
        <v>1036881</v>
      </c>
      <c r="N1326" s="3154"/>
      <c r="O1326" s="3154"/>
      <c r="P1326" s="3154"/>
      <c r="Q1326" s="3154"/>
      <c r="R1326" s="3154"/>
      <c r="S1326" s="3154"/>
      <c r="T1326" s="3154"/>
      <c r="U1326" s="3154"/>
      <c r="V1326" s="3154"/>
      <c r="W1326" s="3154"/>
      <c r="X1326" s="3154"/>
      <c r="Y1326" s="3154"/>
      <c r="Z1326" s="3154"/>
      <c r="AA1326" s="3154">
        <v>1036881</v>
      </c>
      <c r="AB1326" s="906" t="s">
        <v>126</v>
      </c>
      <c r="AC1326" s="2682">
        <v>1</v>
      </c>
      <c r="AD1326" s="3181" t="s">
        <v>2059</v>
      </c>
      <c r="AE1326" s="6387">
        <v>0.2</v>
      </c>
      <c r="AF1326" s="2716">
        <f>AA1326*AE1326</f>
        <v>207376.2</v>
      </c>
      <c r="AG1326" s="5628">
        <f t="shared" si="268"/>
        <v>207376.2</v>
      </c>
      <c r="AH1326" s="6537" t="s">
        <v>122</v>
      </c>
      <c r="AI1326" s="5471">
        <v>45628</v>
      </c>
      <c r="AJ1326" s="2957">
        <v>207376.2</v>
      </c>
      <c r="AK1326" s="2957">
        <v>45628</v>
      </c>
      <c r="AL1326" s="2682">
        <v>207376.2</v>
      </c>
      <c r="AM1326" s="2682">
        <v>45629</v>
      </c>
      <c r="AN1326" s="2957">
        <f t="shared" si="269"/>
        <v>207376.2</v>
      </c>
      <c r="AO1326" s="2957">
        <v>45650</v>
      </c>
      <c r="AP1326" s="2957">
        <f t="shared" si="270"/>
        <v>0</v>
      </c>
      <c r="AQ1326" s="5410"/>
      <c r="AR1326" s="2682"/>
      <c r="AS1326" s="6439"/>
      <c r="AT1326" s="5410"/>
      <c r="AU1326" s="2680"/>
      <c r="AV1326" s="2680"/>
      <c r="AW1326" s="2680"/>
      <c r="AX1326" s="2680"/>
      <c r="AY1326" s="2680"/>
      <c r="AZ1326" s="2680"/>
      <c r="BA1326" s="2957"/>
      <c r="BB1326" s="2957"/>
      <c r="BC1326" s="2957"/>
      <c r="BD1326" s="2957"/>
      <c r="BE1326" s="2957"/>
      <c r="BF1326" s="2957"/>
      <c r="BG1326" s="2957"/>
      <c r="BH1326" s="2957"/>
      <c r="BI1326" s="600"/>
      <c r="BJ1326" s="600"/>
      <c r="BK1326" s="600"/>
      <c r="BL1326" s="600"/>
      <c r="BM1326" s="600"/>
      <c r="BN1326" s="2957">
        <v>207376.2</v>
      </c>
      <c r="BO1326" s="2682"/>
      <c r="BP1326" s="2682"/>
      <c r="BQ1326" s="2682"/>
      <c r="BR1326" s="2682"/>
      <c r="BS1326" s="2682"/>
      <c r="BT1326" s="2682"/>
      <c r="BU1326" s="2682"/>
      <c r="BV1326" s="2682"/>
      <c r="BW1326" s="5394"/>
      <c r="BX1326" s="2716"/>
      <c r="BY1326" s="2716"/>
      <c r="BZ1326" s="2716"/>
      <c r="CA1326" s="2716"/>
      <c r="CB1326" s="5627">
        <v>207376.2</v>
      </c>
      <c r="CC1326" s="2682"/>
      <c r="CD1326" s="2682"/>
      <c r="CE1326" s="5169"/>
      <c r="CF1326" s="5169"/>
      <c r="CG1326" s="5169"/>
      <c r="CH1326" s="5169"/>
    </row>
    <row r="1327" s="4965" customFormat="1" ht="50.25" customHeight="1" spans="1:86">
      <c r="A1327" s="5079"/>
      <c r="B1327" s="1035"/>
      <c r="C1327" s="5079"/>
      <c r="D1327" s="1035"/>
      <c r="E1327" s="5079"/>
      <c r="F1327" s="5443"/>
      <c r="G1327" s="5443"/>
      <c r="H1327" s="5443"/>
      <c r="I1327" s="5443"/>
      <c r="J1327" s="5443"/>
      <c r="K1327" s="5421"/>
      <c r="L1327" s="5443"/>
      <c r="M1327" s="3154"/>
      <c r="N1327" s="3154"/>
      <c r="O1327" s="3154"/>
      <c r="P1327" s="3154"/>
      <c r="Q1327" s="3154"/>
      <c r="R1327" s="3154"/>
      <c r="S1327" s="3154"/>
      <c r="T1327" s="3154"/>
      <c r="U1327" s="3154"/>
      <c r="V1327" s="3154"/>
      <c r="W1327" s="3154"/>
      <c r="X1327" s="3154"/>
      <c r="Y1327" s="3154"/>
      <c r="Z1327" s="3154"/>
      <c r="AA1327" s="3154"/>
      <c r="AB1327" s="3154"/>
      <c r="AC1327" s="2682">
        <v>2</v>
      </c>
      <c r="AD1327" s="3181" t="s">
        <v>2060</v>
      </c>
      <c r="AE1327" s="6387">
        <v>0.2</v>
      </c>
      <c r="AF1327" s="2716">
        <f>AA1326*AE1327</f>
        <v>207376.2</v>
      </c>
      <c r="AG1327" s="5628">
        <f t="shared" si="268"/>
        <v>207376.2</v>
      </c>
      <c r="AH1327" s="6537" t="s">
        <v>122</v>
      </c>
      <c r="AI1327" s="5471">
        <v>45628</v>
      </c>
      <c r="AJ1327" s="2957">
        <v>207376.2</v>
      </c>
      <c r="AK1327" s="2957">
        <v>45628</v>
      </c>
      <c r="AL1327" s="2682">
        <v>207376.2</v>
      </c>
      <c r="AM1327" s="2682">
        <v>45629</v>
      </c>
      <c r="AN1327" s="2957">
        <f t="shared" si="269"/>
        <v>207376.2</v>
      </c>
      <c r="AO1327" s="2957">
        <v>45650</v>
      </c>
      <c r="AP1327" s="2957">
        <f t="shared" si="270"/>
        <v>0</v>
      </c>
      <c r="AQ1327" s="5410"/>
      <c r="AR1327" s="2682"/>
      <c r="AS1327" s="6439"/>
      <c r="AT1327" s="5410"/>
      <c r="AU1327" s="2680"/>
      <c r="AV1327" s="2680"/>
      <c r="AW1327" s="2680"/>
      <c r="AX1327" s="2680"/>
      <c r="AY1327" s="2680"/>
      <c r="AZ1327" s="2680"/>
      <c r="BA1327" s="2957"/>
      <c r="BB1327" s="2957"/>
      <c r="BC1327" s="2957"/>
      <c r="BD1327" s="2957"/>
      <c r="BE1327" s="2957"/>
      <c r="BF1327" s="2957"/>
      <c r="BG1327" s="2957"/>
      <c r="BH1327" s="2957"/>
      <c r="BI1327" s="600"/>
      <c r="BJ1327" s="600"/>
      <c r="BK1327" s="600"/>
      <c r="BL1327" s="600"/>
      <c r="BM1327" s="600"/>
      <c r="BN1327" s="2957">
        <v>207376.2</v>
      </c>
      <c r="BO1327" s="2682"/>
      <c r="BP1327" s="2682"/>
      <c r="BQ1327" s="2682"/>
      <c r="BR1327" s="2682"/>
      <c r="BS1327" s="2682"/>
      <c r="BT1327" s="2682"/>
      <c r="BU1327" s="2682"/>
      <c r="BV1327" s="2682"/>
      <c r="BW1327" s="5394"/>
      <c r="BX1327" s="2716"/>
      <c r="BY1327" s="2716"/>
      <c r="BZ1327" s="2716"/>
      <c r="CA1327" s="2716"/>
      <c r="CB1327" s="5627">
        <v>207376.2</v>
      </c>
      <c r="CC1327" s="2682"/>
      <c r="CD1327" s="2682"/>
      <c r="CE1327" s="5169"/>
      <c r="CF1327" s="5169"/>
      <c r="CG1327" s="5169"/>
      <c r="CH1327" s="5169"/>
    </row>
    <row r="1328" s="4965" customFormat="1" ht="50.25" customHeight="1" spans="1:86">
      <c r="A1328" s="5079"/>
      <c r="B1328" s="1035"/>
      <c r="C1328" s="5079"/>
      <c r="D1328" s="1035"/>
      <c r="E1328" s="5079"/>
      <c r="F1328" s="5443"/>
      <c r="G1328" s="5443"/>
      <c r="H1328" s="5443"/>
      <c r="I1328" s="5443"/>
      <c r="J1328" s="5443"/>
      <c r="K1328" s="5421"/>
      <c r="L1328" s="5443"/>
      <c r="M1328" s="3154"/>
      <c r="N1328" s="3154"/>
      <c r="O1328" s="3154"/>
      <c r="P1328" s="3154"/>
      <c r="Q1328" s="3154"/>
      <c r="R1328" s="3154"/>
      <c r="S1328" s="3154"/>
      <c r="T1328" s="3154"/>
      <c r="U1328" s="3154"/>
      <c r="V1328" s="3154"/>
      <c r="W1328" s="3154"/>
      <c r="X1328" s="3154"/>
      <c r="Y1328" s="3154"/>
      <c r="Z1328" s="3154"/>
      <c r="AA1328" s="3154"/>
      <c r="AB1328" s="3154"/>
      <c r="AC1328" s="2682">
        <v>3</v>
      </c>
      <c r="AD1328" s="3181" t="s">
        <v>2061</v>
      </c>
      <c r="AE1328" s="6387">
        <v>0.2</v>
      </c>
      <c r="AF1328" s="2716">
        <f>AA1326*AE1328</f>
        <v>207376.2</v>
      </c>
      <c r="AG1328" s="5628">
        <f t="shared" si="268"/>
        <v>207376.2</v>
      </c>
      <c r="AH1328" s="6537" t="s">
        <v>122</v>
      </c>
      <c r="AI1328" s="5471">
        <v>45628</v>
      </c>
      <c r="AJ1328" s="2957">
        <v>207376.2</v>
      </c>
      <c r="AK1328" s="2957">
        <v>45628</v>
      </c>
      <c r="AL1328" s="2682">
        <v>207376.2</v>
      </c>
      <c r="AM1328" s="2682">
        <v>45629</v>
      </c>
      <c r="AN1328" s="2957">
        <f t="shared" si="269"/>
        <v>207376.2</v>
      </c>
      <c r="AO1328" s="2957">
        <v>45650</v>
      </c>
      <c r="AP1328" s="2957">
        <f t="shared" si="270"/>
        <v>0</v>
      </c>
      <c r="AQ1328" s="5410"/>
      <c r="AR1328" s="2682"/>
      <c r="AS1328" s="6439"/>
      <c r="AT1328" s="5410"/>
      <c r="AU1328" s="2680"/>
      <c r="AV1328" s="2680"/>
      <c r="AW1328" s="2680"/>
      <c r="AX1328" s="2680"/>
      <c r="AY1328" s="2680"/>
      <c r="AZ1328" s="2680"/>
      <c r="BA1328" s="2957"/>
      <c r="BB1328" s="2957"/>
      <c r="BC1328" s="2957"/>
      <c r="BD1328" s="2957"/>
      <c r="BE1328" s="2957"/>
      <c r="BF1328" s="2957"/>
      <c r="BG1328" s="2957"/>
      <c r="BH1328" s="2957"/>
      <c r="BI1328" s="600"/>
      <c r="BJ1328" s="600"/>
      <c r="BK1328" s="600"/>
      <c r="BL1328" s="600"/>
      <c r="BM1328" s="600"/>
      <c r="BN1328" s="2957">
        <v>207376.2</v>
      </c>
      <c r="BO1328" s="2682"/>
      <c r="BP1328" s="2682"/>
      <c r="BQ1328" s="2682"/>
      <c r="BR1328" s="2682"/>
      <c r="BS1328" s="2682"/>
      <c r="BT1328" s="2682"/>
      <c r="BU1328" s="2682"/>
      <c r="BV1328" s="2682"/>
      <c r="BW1328" s="5394"/>
      <c r="BX1328" s="2716"/>
      <c r="BY1328" s="2716"/>
      <c r="BZ1328" s="2716"/>
      <c r="CA1328" s="2716"/>
      <c r="CB1328" s="5627">
        <v>207376.2</v>
      </c>
      <c r="CC1328" s="2682"/>
      <c r="CD1328" s="2682"/>
      <c r="CE1328" s="5169"/>
      <c r="CF1328" s="5169"/>
      <c r="CG1328" s="5169"/>
      <c r="CH1328" s="5169"/>
    </row>
    <row r="1329" s="4965" customFormat="1" ht="50.25" customHeight="1" spans="1:86">
      <c r="A1329" s="5079"/>
      <c r="B1329" s="1035"/>
      <c r="C1329" s="5079"/>
      <c r="D1329" s="1035"/>
      <c r="E1329" s="5079"/>
      <c r="F1329" s="5443"/>
      <c r="G1329" s="5443"/>
      <c r="H1329" s="5443"/>
      <c r="I1329" s="5443"/>
      <c r="J1329" s="5443"/>
      <c r="K1329" s="5421"/>
      <c r="L1329" s="5443"/>
      <c r="M1329" s="3154"/>
      <c r="N1329" s="3154"/>
      <c r="O1329" s="3154"/>
      <c r="P1329" s="3154"/>
      <c r="Q1329" s="3154"/>
      <c r="R1329" s="3154"/>
      <c r="S1329" s="3154"/>
      <c r="T1329" s="3154"/>
      <c r="U1329" s="3154"/>
      <c r="V1329" s="3154"/>
      <c r="W1329" s="3154"/>
      <c r="X1329" s="3154"/>
      <c r="Y1329" s="3154"/>
      <c r="Z1329" s="3154"/>
      <c r="AA1329" s="3154"/>
      <c r="AB1329" s="3154"/>
      <c r="AC1329" s="2682">
        <v>4</v>
      </c>
      <c r="AD1329" s="3181" t="s">
        <v>2062</v>
      </c>
      <c r="AE1329" s="6387">
        <v>0.2</v>
      </c>
      <c r="AF1329" s="2716">
        <f>AA1326*AE1329</f>
        <v>207376.2</v>
      </c>
      <c r="AG1329" s="5628">
        <f t="shared" si="268"/>
        <v>207376.2</v>
      </c>
      <c r="AH1329" s="6537" t="s">
        <v>122</v>
      </c>
      <c r="AI1329" s="5471">
        <v>45628</v>
      </c>
      <c r="AJ1329" s="2957">
        <v>207376.2</v>
      </c>
      <c r="AK1329" s="2957">
        <v>45628</v>
      </c>
      <c r="AL1329" s="2682">
        <v>207376.2</v>
      </c>
      <c r="AM1329" s="2682">
        <v>45629</v>
      </c>
      <c r="AN1329" s="2957">
        <f t="shared" si="269"/>
        <v>207376.2</v>
      </c>
      <c r="AO1329" s="2957">
        <v>45650</v>
      </c>
      <c r="AP1329" s="2957">
        <f t="shared" si="270"/>
        <v>0</v>
      </c>
      <c r="AQ1329" s="5410"/>
      <c r="AR1329" s="2682"/>
      <c r="AS1329" s="6439"/>
      <c r="AT1329" s="5410"/>
      <c r="AU1329" s="2680"/>
      <c r="AV1329" s="2680"/>
      <c r="AW1329" s="2680"/>
      <c r="AX1329" s="2680"/>
      <c r="AY1329" s="2680"/>
      <c r="AZ1329" s="2680"/>
      <c r="BA1329" s="2957"/>
      <c r="BB1329" s="2957"/>
      <c r="BC1329" s="2957"/>
      <c r="BD1329" s="2957"/>
      <c r="BE1329" s="2957"/>
      <c r="BF1329" s="2957"/>
      <c r="BG1329" s="2957"/>
      <c r="BH1329" s="2957"/>
      <c r="BI1329" s="600"/>
      <c r="BJ1329" s="600"/>
      <c r="BK1329" s="600"/>
      <c r="BL1329" s="600"/>
      <c r="BM1329" s="600"/>
      <c r="BN1329" s="2957">
        <v>207376.2</v>
      </c>
      <c r="BO1329" s="2682"/>
      <c r="BP1329" s="2682"/>
      <c r="BQ1329" s="2682"/>
      <c r="BR1329" s="2682"/>
      <c r="BS1329" s="2682"/>
      <c r="BT1329" s="2682"/>
      <c r="BU1329" s="2682"/>
      <c r="BV1329" s="2682"/>
      <c r="BW1329" s="5394"/>
      <c r="BX1329" s="2716"/>
      <c r="BY1329" s="2716"/>
      <c r="BZ1329" s="2716"/>
      <c r="CA1329" s="2716"/>
      <c r="CB1329" s="5627">
        <v>207376.2</v>
      </c>
      <c r="CC1329" s="2682"/>
      <c r="CD1329" s="2682"/>
      <c r="CE1329" s="5169"/>
      <c r="CF1329" s="5169"/>
      <c r="CG1329" s="5169"/>
      <c r="CH1329" s="5169"/>
    </row>
    <row r="1330" s="4965" customFormat="1" ht="50.25" customHeight="1" spans="1:86">
      <c r="A1330" s="5079"/>
      <c r="B1330" s="1035"/>
      <c r="C1330" s="5079"/>
      <c r="D1330" s="1035"/>
      <c r="E1330" s="5079"/>
      <c r="F1330" s="5444"/>
      <c r="G1330" s="5444"/>
      <c r="H1330" s="5444"/>
      <c r="I1330" s="5444"/>
      <c r="J1330" s="5444"/>
      <c r="K1330" s="5422"/>
      <c r="L1330" s="5444"/>
      <c r="M1330" s="3171"/>
      <c r="N1330" s="3171"/>
      <c r="O1330" s="3171"/>
      <c r="P1330" s="3171"/>
      <c r="Q1330" s="3171"/>
      <c r="R1330" s="3171"/>
      <c r="S1330" s="3171"/>
      <c r="T1330" s="3171"/>
      <c r="U1330" s="3171"/>
      <c r="V1330" s="3171"/>
      <c r="W1330" s="3171"/>
      <c r="X1330" s="3171"/>
      <c r="Y1330" s="3171"/>
      <c r="Z1330" s="3171"/>
      <c r="AA1330" s="3171"/>
      <c r="AB1330" s="3171"/>
      <c r="AC1330" s="2682">
        <v>5</v>
      </c>
      <c r="AD1330" s="3181" t="s">
        <v>2107</v>
      </c>
      <c r="AE1330" s="6387">
        <v>0.2</v>
      </c>
      <c r="AF1330" s="2716">
        <f>AA1326*AE1330</f>
        <v>207376.2</v>
      </c>
      <c r="AG1330" s="2716">
        <f t="shared" si="268"/>
        <v>207376.2</v>
      </c>
      <c r="AH1330" s="440" t="s">
        <v>122</v>
      </c>
      <c r="AI1330" s="2682">
        <v>45764</v>
      </c>
      <c r="AJ1330" s="2682">
        <v>207376.2</v>
      </c>
      <c r="AK1330" s="2682">
        <v>45764</v>
      </c>
      <c r="AL1330" s="2682">
        <v>207376.2</v>
      </c>
      <c r="AM1330" s="2682">
        <v>45764</v>
      </c>
      <c r="AN1330" s="2957">
        <f t="shared" si="269"/>
        <v>207376.2</v>
      </c>
      <c r="AO1330" s="2957">
        <v>45835</v>
      </c>
      <c r="AP1330" s="2957">
        <f t="shared" si="270"/>
        <v>0</v>
      </c>
      <c r="AQ1330" s="5410"/>
      <c r="AR1330" s="2682"/>
      <c r="AS1330" s="6439"/>
      <c r="AT1330" s="5410"/>
      <c r="AU1330" s="2680"/>
      <c r="AV1330" s="2680"/>
      <c r="AW1330" s="2680"/>
      <c r="AX1330" s="2680"/>
      <c r="AY1330" s="2680"/>
      <c r="AZ1330" s="2680"/>
      <c r="BA1330" s="2957"/>
      <c r="BB1330" s="2957"/>
      <c r="BC1330" s="2957"/>
      <c r="BD1330" s="2957"/>
      <c r="BE1330" s="2957"/>
      <c r="BF1330" s="2957"/>
      <c r="BG1330" s="2957"/>
      <c r="BH1330" s="2957"/>
      <c r="BI1330" s="600"/>
      <c r="BJ1330" s="600"/>
      <c r="BK1330" s="600"/>
      <c r="BL1330" s="600"/>
      <c r="BM1330" s="600"/>
      <c r="BN1330" s="2957">
        <v>207376.2</v>
      </c>
      <c r="BO1330" s="2682"/>
      <c r="BP1330" s="2682"/>
      <c r="BQ1330" s="2682"/>
      <c r="BR1330" s="2682"/>
      <c r="BS1330" s="2682"/>
      <c r="BT1330" s="2682"/>
      <c r="BU1330" s="2682"/>
      <c r="BV1330" s="2682"/>
      <c r="BW1330" s="5394"/>
      <c r="BX1330" s="2716"/>
      <c r="BY1330" s="2716"/>
      <c r="BZ1330" s="2716"/>
      <c r="CA1330" s="2716"/>
      <c r="CB1330" s="5627">
        <v>207376.2</v>
      </c>
      <c r="CC1330" s="2682"/>
      <c r="CD1330" s="2682"/>
      <c r="CE1330" s="5169"/>
      <c r="CF1330" s="5169"/>
      <c r="CG1330" s="5169"/>
      <c r="CH1330" s="5169"/>
    </row>
    <row r="1331" s="4980" customFormat="1" ht="50.25" customHeight="1" spans="1:86">
      <c r="A1331" s="5667"/>
      <c r="B1331" s="1035"/>
      <c r="C1331" s="5667"/>
      <c r="D1331" s="1035"/>
      <c r="E1331" s="5079"/>
      <c r="F1331" s="2326" t="s">
        <v>2243</v>
      </c>
      <c r="G1331" s="2326" t="s">
        <v>2235</v>
      </c>
      <c r="H1331" s="2326" t="s">
        <v>2225</v>
      </c>
      <c r="I1331" s="2326" t="s">
        <v>2236</v>
      </c>
      <c r="J1331" s="2326" t="s">
        <v>2237</v>
      </c>
      <c r="K1331" s="2326"/>
      <c r="L1331" s="2326" t="s">
        <v>2244</v>
      </c>
      <c r="M1331" s="4129">
        <f>SUM(N1331:AA1336)</f>
        <v>1147644.2</v>
      </c>
      <c r="N1331" s="6341"/>
      <c r="O1331" s="6341"/>
      <c r="P1331" s="6341"/>
      <c r="Q1331" s="6341"/>
      <c r="R1331" s="6341"/>
      <c r="S1331" s="6341"/>
      <c r="T1331" s="6341"/>
      <c r="U1331" s="6341"/>
      <c r="V1331" s="6341">
        <v>296514.2</v>
      </c>
      <c r="W1331" s="6341"/>
      <c r="X1331" s="6341"/>
      <c r="Y1331" s="6341"/>
      <c r="Z1331" s="6341"/>
      <c r="AA1331" s="6341">
        <f>1147644.2-V1331</f>
        <v>851130</v>
      </c>
      <c r="AB1331" s="6500" t="s">
        <v>126</v>
      </c>
      <c r="AC1331" s="3065">
        <v>1</v>
      </c>
      <c r="AD1331" s="6518" t="s">
        <v>2111</v>
      </c>
      <c r="AE1331" s="6388">
        <v>0.2</v>
      </c>
      <c r="AF1331" s="6444">
        <f>M1331*AE1331</f>
        <v>229528.84</v>
      </c>
      <c r="AG1331" s="6538">
        <f t="shared" si="268"/>
        <v>229528.84</v>
      </c>
      <c r="AH1331" s="6539" t="s">
        <v>122</v>
      </c>
      <c r="AI1331" s="6442">
        <v>45653</v>
      </c>
      <c r="AJ1331" s="3065">
        <v>229528.84</v>
      </c>
      <c r="AK1331" s="3065">
        <v>45653</v>
      </c>
      <c r="AL1331" s="3065">
        <v>229528.84</v>
      </c>
      <c r="AM1331" s="3065">
        <v>45764</v>
      </c>
      <c r="AN1331" s="3065">
        <f t="shared" si="269"/>
        <v>229528.84</v>
      </c>
      <c r="AO1331" s="3065">
        <v>45835</v>
      </c>
      <c r="AP1331" s="3065">
        <f t="shared" si="270"/>
        <v>0</v>
      </c>
      <c r="AQ1331" s="6556"/>
      <c r="AR1331" s="3065"/>
      <c r="AS1331" s="6562"/>
      <c r="AT1331" s="6556"/>
      <c r="AU1331" s="2680"/>
      <c r="AV1331" s="2680"/>
      <c r="AW1331" s="2680"/>
      <c r="AX1331" s="2680"/>
      <c r="AY1331" s="2680"/>
      <c r="AZ1331" s="2680"/>
      <c r="BA1331" s="3065"/>
      <c r="BB1331" s="3065"/>
      <c r="BC1331" s="3065"/>
      <c r="BD1331" s="3065"/>
      <c r="BE1331" s="3065"/>
      <c r="BF1331" s="3065"/>
      <c r="BG1331" s="3065"/>
      <c r="BH1331" s="3065"/>
      <c r="BI1331" s="6444">
        <v>229528.84</v>
      </c>
      <c r="BJ1331" s="6444"/>
      <c r="BK1331" s="6444"/>
      <c r="BL1331" s="6444"/>
      <c r="BM1331" s="6444"/>
      <c r="BN1331" s="3065"/>
      <c r="BO1331" s="3065"/>
      <c r="BP1331" s="3065"/>
      <c r="BQ1331" s="3065"/>
      <c r="BR1331" s="3065"/>
      <c r="BS1331" s="3065"/>
      <c r="BT1331" s="3065"/>
      <c r="BU1331" s="3065"/>
      <c r="BV1331" s="3065"/>
      <c r="BW1331" s="6444">
        <v>229528.84</v>
      </c>
      <c r="BX1331" s="6444"/>
      <c r="BY1331" s="6444"/>
      <c r="BZ1331" s="6444"/>
      <c r="CA1331" s="6444"/>
      <c r="CB1331" s="6442"/>
      <c r="CC1331" s="3065"/>
      <c r="CD1331" s="3065"/>
      <c r="CE1331" s="5154"/>
      <c r="CF1331" s="5154"/>
      <c r="CG1331" s="5154"/>
      <c r="CH1331" s="5154"/>
    </row>
    <row r="1332" s="4980" customFormat="1" ht="50.25" customHeight="1" spans="1:86">
      <c r="A1332" s="5667"/>
      <c r="B1332" s="1035"/>
      <c r="C1332" s="5667"/>
      <c r="D1332" s="1035"/>
      <c r="E1332" s="5079"/>
      <c r="F1332" s="5233"/>
      <c r="G1332" s="5233"/>
      <c r="H1332" s="5233"/>
      <c r="I1332" s="6307"/>
      <c r="J1332" s="5233"/>
      <c r="K1332" s="2328"/>
      <c r="L1332" s="5233"/>
      <c r="M1332" s="4131"/>
      <c r="N1332" s="6341"/>
      <c r="O1332" s="6341"/>
      <c r="P1332" s="6341"/>
      <c r="Q1332" s="6341"/>
      <c r="R1332" s="6341"/>
      <c r="S1332" s="6341"/>
      <c r="T1332" s="6341"/>
      <c r="U1332" s="6341"/>
      <c r="V1332" s="6341"/>
      <c r="W1332" s="6341"/>
      <c r="X1332" s="6341"/>
      <c r="Y1332" s="6341"/>
      <c r="Z1332" s="6341"/>
      <c r="AA1332" s="6341"/>
      <c r="AB1332" s="6341"/>
      <c r="AC1332" s="4129">
        <v>2</v>
      </c>
      <c r="AD1332" s="5232" t="s">
        <v>2113</v>
      </c>
      <c r="AE1332" s="2326">
        <v>0.2</v>
      </c>
      <c r="AF1332" s="6519">
        <f>M1331*AE1332</f>
        <v>229528.84</v>
      </c>
      <c r="AG1332" s="6538">
        <f t="shared" si="268"/>
        <v>61054.56</v>
      </c>
      <c r="AH1332" s="6539" t="s">
        <v>122</v>
      </c>
      <c r="AI1332" s="6442">
        <v>45653</v>
      </c>
      <c r="AJ1332" s="3065">
        <v>61054.56</v>
      </c>
      <c r="AK1332" s="3065">
        <v>45653</v>
      </c>
      <c r="AL1332" s="3065"/>
      <c r="AM1332" s="3065"/>
      <c r="AN1332" s="6527">
        <f t="shared" si="269"/>
        <v>61054.56</v>
      </c>
      <c r="AO1332" s="6527"/>
      <c r="AP1332" s="3065">
        <f t="shared" si="270"/>
        <v>0</v>
      </c>
      <c r="AQ1332" s="6556"/>
      <c r="AR1332" s="3065"/>
      <c r="AS1332" s="6562"/>
      <c r="AT1332" s="6556"/>
      <c r="AU1332" s="2680"/>
      <c r="AV1332" s="2680"/>
      <c r="AW1332" s="2680"/>
      <c r="AX1332" s="2680"/>
      <c r="AY1332" s="2680"/>
      <c r="AZ1332" s="2680"/>
      <c r="BA1332" s="3065"/>
      <c r="BB1332" s="3065"/>
      <c r="BC1332" s="3065"/>
      <c r="BD1332" s="3065"/>
      <c r="BE1332" s="3065"/>
      <c r="BF1332" s="3065"/>
      <c r="BG1332" s="3065"/>
      <c r="BH1332" s="3065"/>
      <c r="BI1332" s="6444">
        <v>61054.56</v>
      </c>
      <c r="BJ1332" s="6444"/>
      <c r="BK1332" s="6444"/>
      <c r="BL1332" s="6444"/>
      <c r="BM1332" s="6444"/>
      <c r="BN1332" s="3065"/>
      <c r="BO1332" s="3065"/>
      <c r="BP1332" s="3065"/>
      <c r="BQ1332" s="3065"/>
      <c r="BR1332" s="3065"/>
      <c r="BS1332" s="3065"/>
      <c r="BT1332" s="3065"/>
      <c r="BU1332" s="3065"/>
      <c r="BV1332" s="3065"/>
      <c r="BW1332" s="6444">
        <v>61054.56</v>
      </c>
      <c r="BX1332" s="6444"/>
      <c r="BY1332" s="6444"/>
      <c r="BZ1332" s="6444"/>
      <c r="CA1332" s="6444"/>
      <c r="CB1332" s="6442"/>
      <c r="CC1332" s="3065"/>
      <c r="CD1332" s="3065"/>
      <c r="CE1332" s="5154"/>
      <c r="CF1332" s="5154"/>
      <c r="CG1332" s="5154"/>
      <c r="CH1332" s="5154"/>
    </row>
    <row r="1333" s="4965" customFormat="1" ht="50.25" customHeight="1" spans="1:86">
      <c r="A1333" s="5079"/>
      <c r="B1333" s="1035"/>
      <c r="C1333" s="5079"/>
      <c r="D1333" s="1035"/>
      <c r="E1333" s="5079"/>
      <c r="F1333" s="6307"/>
      <c r="G1333" s="6307"/>
      <c r="H1333" s="6307"/>
      <c r="I1333" s="6307"/>
      <c r="J1333" s="6307"/>
      <c r="K1333" s="2328"/>
      <c r="L1333" s="6307"/>
      <c r="M1333" s="6341"/>
      <c r="N1333" s="6341"/>
      <c r="O1333" s="6341"/>
      <c r="P1333" s="6341"/>
      <c r="Q1333" s="6341"/>
      <c r="R1333" s="6341"/>
      <c r="S1333" s="6341"/>
      <c r="T1333" s="6341"/>
      <c r="U1333" s="6341"/>
      <c r="V1333" s="6341"/>
      <c r="W1333" s="6341"/>
      <c r="X1333" s="6341"/>
      <c r="Y1333" s="6341"/>
      <c r="Z1333" s="6341"/>
      <c r="AA1333" s="6341"/>
      <c r="AB1333" s="6341"/>
      <c r="AC1333" s="6485"/>
      <c r="AD1333" s="6461"/>
      <c r="AE1333" s="6520"/>
      <c r="AF1333" s="6521"/>
      <c r="AG1333" s="3098">
        <f t="shared" si="268"/>
        <v>0</v>
      </c>
      <c r="AH1333" s="6388"/>
      <c r="AI1333" s="3066"/>
      <c r="AJ1333" s="3066"/>
      <c r="AK1333" s="3066"/>
      <c r="AL1333" s="3066"/>
      <c r="AM1333" s="3066"/>
      <c r="AN1333" s="3065"/>
      <c r="AO1333" s="3065"/>
      <c r="AP1333" s="3065"/>
      <c r="AQ1333" s="6424"/>
      <c r="AR1333" s="3066"/>
      <c r="AS1333" s="6440"/>
      <c r="AT1333" s="6424"/>
      <c r="AU1333" s="2680"/>
      <c r="AV1333" s="2680"/>
      <c r="AW1333" s="2680"/>
      <c r="AX1333" s="2680"/>
      <c r="AY1333" s="2680"/>
      <c r="AZ1333" s="2680"/>
      <c r="BA1333" s="3065"/>
      <c r="BB1333" s="3065"/>
      <c r="BC1333" s="3065"/>
      <c r="BD1333" s="3065"/>
      <c r="BE1333" s="3065"/>
      <c r="BF1333" s="3065"/>
      <c r="BG1333" s="3065"/>
      <c r="BH1333" s="3065"/>
      <c r="BI1333" s="6444"/>
      <c r="BJ1333" s="6444"/>
      <c r="BK1333" s="6444"/>
      <c r="BL1333" s="6444"/>
      <c r="BM1333" s="6444"/>
      <c r="BN1333" s="3065"/>
      <c r="BO1333" s="3066"/>
      <c r="BP1333" s="3066"/>
      <c r="BQ1333" s="3066"/>
      <c r="BR1333" s="3066"/>
      <c r="BS1333" s="3066"/>
      <c r="BT1333" s="3066"/>
      <c r="BU1333" s="3066"/>
      <c r="BV1333" s="3066"/>
      <c r="BW1333" s="6452"/>
      <c r="BX1333" s="3098"/>
      <c r="BY1333" s="3098"/>
      <c r="BZ1333" s="3098"/>
      <c r="CA1333" s="3098"/>
      <c r="CB1333" s="6456"/>
      <c r="CC1333" s="3066"/>
      <c r="CD1333" s="3066"/>
      <c r="CE1333" s="5169"/>
      <c r="CF1333" s="5169"/>
      <c r="CG1333" s="5169"/>
      <c r="CH1333" s="5169"/>
    </row>
    <row r="1334" s="4965" customFormat="1" ht="50.25" customHeight="1" spans="1:86">
      <c r="A1334" s="5079"/>
      <c r="B1334" s="1035"/>
      <c r="C1334" s="5079"/>
      <c r="D1334" s="1035"/>
      <c r="E1334" s="5079"/>
      <c r="F1334" s="6307"/>
      <c r="G1334" s="6307"/>
      <c r="H1334" s="6307"/>
      <c r="I1334" s="6307"/>
      <c r="J1334" s="6307"/>
      <c r="K1334" s="2328"/>
      <c r="L1334" s="6307"/>
      <c r="M1334" s="6341"/>
      <c r="N1334" s="6341"/>
      <c r="O1334" s="6341"/>
      <c r="P1334" s="6341"/>
      <c r="Q1334" s="6341"/>
      <c r="R1334" s="6341"/>
      <c r="S1334" s="6341"/>
      <c r="T1334" s="6341"/>
      <c r="U1334" s="6341"/>
      <c r="V1334" s="6341"/>
      <c r="W1334" s="6341"/>
      <c r="X1334" s="6341"/>
      <c r="Y1334" s="6341"/>
      <c r="Z1334" s="6341"/>
      <c r="AA1334" s="6341"/>
      <c r="AB1334" s="6341"/>
      <c r="AC1334" s="3066">
        <v>3</v>
      </c>
      <c r="AD1334" s="6522" t="s">
        <v>2112</v>
      </c>
      <c r="AE1334" s="6389">
        <v>0.3</v>
      </c>
      <c r="AF1334" s="3098">
        <f>M1331*AE1334</f>
        <v>344293.26</v>
      </c>
      <c r="AG1334" s="3098">
        <f t="shared" ref="AG1334:AG1362" si="271">SUM(BA1334:BN1334)</f>
        <v>0</v>
      </c>
      <c r="AH1334" s="6388"/>
      <c r="AI1334" s="3066"/>
      <c r="AJ1334" s="3066"/>
      <c r="AK1334" s="3066"/>
      <c r="AL1334" s="3066"/>
      <c r="AM1334" s="3066"/>
      <c r="AN1334" s="3065">
        <f t="shared" ref="AN1334:AN1362" si="272">SUM(BO1334:CB1334)</f>
        <v>0</v>
      </c>
      <c r="AO1334" s="3065"/>
      <c r="AP1334" s="3065">
        <f t="shared" ref="AP1334:AP1362" si="273">AG1334-AN1334</f>
        <v>0</v>
      </c>
      <c r="AQ1334" s="6424"/>
      <c r="AR1334" s="3066"/>
      <c r="AS1334" s="6440"/>
      <c r="AT1334" s="6424"/>
      <c r="AU1334" s="2680"/>
      <c r="AV1334" s="2680"/>
      <c r="AW1334" s="2680"/>
      <c r="AX1334" s="2680"/>
      <c r="AY1334" s="2680"/>
      <c r="AZ1334" s="2680"/>
      <c r="BA1334" s="3065"/>
      <c r="BB1334" s="3065"/>
      <c r="BC1334" s="3065"/>
      <c r="BD1334" s="3065"/>
      <c r="BE1334" s="3065"/>
      <c r="BF1334" s="3065"/>
      <c r="BG1334" s="3065"/>
      <c r="BH1334" s="3065"/>
      <c r="BI1334" s="6444"/>
      <c r="BJ1334" s="6444"/>
      <c r="BK1334" s="6444"/>
      <c r="BL1334" s="6444"/>
      <c r="BM1334" s="6444"/>
      <c r="BN1334" s="3065"/>
      <c r="BO1334" s="3066"/>
      <c r="BP1334" s="3066"/>
      <c r="BQ1334" s="3066"/>
      <c r="BR1334" s="3066"/>
      <c r="BS1334" s="3066"/>
      <c r="BT1334" s="3066"/>
      <c r="BU1334" s="3066"/>
      <c r="BV1334" s="3066"/>
      <c r="BW1334" s="6452"/>
      <c r="BX1334" s="3098"/>
      <c r="BY1334" s="3098"/>
      <c r="BZ1334" s="3098"/>
      <c r="CA1334" s="3098"/>
      <c r="CB1334" s="6456"/>
      <c r="CC1334" s="3066"/>
      <c r="CD1334" s="3066"/>
      <c r="CE1334" s="5169"/>
      <c r="CF1334" s="5169"/>
      <c r="CG1334" s="5169"/>
      <c r="CH1334" s="5169"/>
    </row>
    <row r="1335" s="4965" customFormat="1" ht="50.25" customHeight="1" spans="1:86">
      <c r="A1335" s="5079"/>
      <c r="B1335" s="1035"/>
      <c r="C1335" s="5079"/>
      <c r="D1335" s="1035"/>
      <c r="E1335" s="5079"/>
      <c r="F1335" s="6307"/>
      <c r="G1335" s="6307"/>
      <c r="H1335" s="6307"/>
      <c r="I1335" s="6307"/>
      <c r="J1335" s="6307"/>
      <c r="K1335" s="2328"/>
      <c r="L1335" s="6307"/>
      <c r="M1335" s="6341"/>
      <c r="N1335" s="6341"/>
      <c r="O1335" s="6341"/>
      <c r="P1335" s="6341"/>
      <c r="Q1335" s="6341"/>
      <c r="R1335" s="6341"/>
      <c r="S1335" s="6341"/>
      <c r="T1335" s="6341"/>
      <c r="U1335" s="6341"/>
      <c r="V1335" s="6341"/>
      <c r="W1335" s="6341"/>
      <c r="X1335" s="6341"/>
      <c r="Y1335" s="6341"/>
      <c r="Z1335" s="6341"/>
      <c r="AA1335" s="6341"/>
      <c r="AB1335" s="6341"/>
      <c r="AC1335" s="3066">
        <v>4</v>
      </c>
      <c r="AD1335" s="6522" t="s">
        <v>2068</v>
      </c>
      <c r="AE1335" s="6389">
        <v>0.25</v>
      </c>
      <c r="AF1335" s="3098">
        <f>M1331*AE1335</f>
        <v>286911.05</v>
      </c>
      <c r="AG1335" s="3098">
        <f t="shared" si="271"/>
        <v>0</v>
      </c>
      <c r="AH1335" s="6388"/>
      <c r="AI1335" s="3066"/>
      <c r="AJ1335" s="3066"/>
      <c r="AK1335" s="3066"/>
      <c r="AL1335" s="3066"/>
      <c r="AM1335" s="3066"/>
      <c r="AN1335" s="3065">
        <f t="shared" si="272"/>
        <v>0</v>
      </c>
      <c r="AO1335" s="3065"/>
      <c r="AP1335" s="3065">
        <f t="shared" si="273"/>
        <v>0</v>
      </c>
      <c r="AQ1335" s="6424"/>
      <c r="AR1335" s="3066"/>
      <c r="AS1335" s="6440"/>
      <c r="AT1335" s="6424"/>
      <c r="AU1335" s="2680"/>
      <c r="AV1335" s="2680"/>
      <c r="AW1335" s="2680"/>
      <c r="AX1335" s="2680"/>
      <c r="AY1335" s="2680"/>
      <c r="AZ1335" s="2680"/>
      <c r="BA1335" s="3065"/>
      <c r="BB1335" s="3065"/>
      <c r="BC1335" s="3065"/>
      <c r="BD1335" s="3065"/>
      <c r="BE1335" s="3065"/>
      <c r="BF1335" s="3065"/>
      <c r="BG1335" s="3065"/>
      <c r="BH1335" s="3065"/>
      <c r="BI1335" s="6444"/>
      <c r="BJ1335" s="6444"/>
      <c r="BK1335" s="6444"/>
      <c r="BL1335" s="6444"/>
      <c r="BM1335" s="6444"/>
      <c r="BN1335" s="3065"/>
      <c r="BO1335" s="3066"/>
      <c r="BP1335" s="3066"/>
      <c r="BQ1335" s="3066"/>
      <c r="BR1335" s="3066"/>
      <c r="BS1335" s="3066"/>
      <c r="BT1335" s="3066"/>
      <c r="BU1335" s="3066"/>
      <c r="BV1335" s="3066"/>
      <c r="BW1335" s="6452"/>
      <c r="BX1335" s="3098"/>
      <c r="BY1335" s="3098"/>
      <c r="BZ1335" s="3098"/>
      <c r="CA1335" s="3098"/>
      <c r="CB1335" s="6456"/>
      <c r="CC1335" s="3066"/>
      <c r="CD1335" s="3066"/>
      <c r="CE1335" s="5169"/>
      <c r="CF1335" s="5169"/>
      <c r="CG1335" s="5169"/>
      <c r="CH1335" s="5169"/>
    </row>
    <row r="1336" s="4965" customFormat="1" ht="50.25" customHeight="1" spans="1:86">
      <c r="A1336" s="5079"/>
      <c r="B1336" s="1035"/>
      <c r="C1336" s="5079"/>
      <c r="D1336" s="1035"/>
      <c r="E1336" s="5079"/>
      <c r="F1336" s="6461"/>
      <c r="G1336" s="6461"/>
      <c r="H1336" s="6461"/>
      <c r="I1336" s="6461"/>
      <c r="J1336" s="6461"/>
      <c r="K1336" s="2330"/>
      <c r="L1336" s="6461"/>
      <c r="M1336" s="6485"/>
      <c r="N1336" s="6485"/>
      <c r="O1336" s="6485"/>
      <c r="P1336" s="6485"/>
      <c r="Q1336" s="6485"/>
      <c r="R1336" s="6485"/>
      <c r="S1336" s="6485"/>
      <c r="T1336" s="6485"/>
      <c r="U1336" s="6485"/>
      <c r="V1336" s="6485"/>
      <c r="W1336" s="6485"/>
      <c r="X1336" s="6485"/>
      <c r="Y1336" s="6485"/>
      <c r="Z1336" s="6485"/>
      <c r="AA1336" s="6485"/>
      <c r="AB1336" s="6485"/>
      <c r="AC1336" s="3066">
        <v>5</v>
      </c>
      <c r="AD1336" s="6522" t="s">
        <v>2089</v>
      </c>
      <c r="AE1336" s="6389">
        <v>0.05</v>
      </c>
      <c r="AF1336" s="3098">
        <f>M1331*AE1336</f>
        <v>57382.21</v>
      </c>
      <c r="AG1336" s="3098">
        <f t="shared" si="271"/>
        <v>0</v>
      </c>
      <c r="AH1336" s="6388"/>
      <c r="AI1336" s="3066"/>
      <c r="AJ1336" s="3066"/>
      <c r="AK1336" s="3066"/>
      <c r="AL1336" s="3066"/>
      <c r="AM1336" s="3066"/>
      <c r="AN1336" s="3065">
        <f t="shared" si="272"/>
        <v>0</v>
      </c>
      <c r="AO1336" s="3065"/>
      <c r="AP1336" s="3065">
        <f t="shared" si="273"/>
        <v>0</v>
      </c>
      <c r="AQ1336" s="6424"/>
      <c r="AR1336" s="3066"/>
      <c r="AS1336" s="6440"/>
      <c r="AT1336" s="6424"/>
      <c r="AU1336" s="2680"/>
      <c r="AV1336" s="2680"/>
      <c r="AW1336" s="2680"/>
      <c r="AX1336" s="2680"/>
      <c r="AY1336" s="2680"/>
      <c r="AZ1336" s="2680"/>
      <c r="BA1336" s="3065"/>
      <c r="BB1336" s="3065"/>
      <c r="BC1336" s="3065"/>
      <c r="BD1336" s="3065"/>
      <c r="BE1336" s="3065"/>
      <c r="BF1336" s="3065"/>
      <c r="BG1336" s="3065"/>
      <c r="BH1336" s="3065"/>
      <c r="BI1336" s="6444"/>
      <c r="BJ1336" s="6444"/>
      <c r="BK1336" s="6444"/>
      <c r="BL1336" s="6444"/>
      <c r="BM1336" s="6444"/>
      <c r="BN1336" s="3065"/>
      <c r="BO1336" s="3066"/>
      <c r="BP1336" s="3066"/>
      <c r="BQ1336" s="3066"/>
      <c r="BR1336" s="3066"/>
      <c r="BS1336" s="3066"/>
      <c r="BT1336" s="3066"/>
      <c r="BU1336" s="3066"/>
      <c r="BV1336" s="3066"/>
      <c r="BW1336" s="6452"/>
      <c r="BX1336" s="3098"/>
      <c r="BY1336" s="3098"/>
      <c r="BZ1336" s="3098"/>
      <c r="CA1336" s="3098"/>
      <c r="CB1336" s="6456"/>
      <c r="CC1336" s="3066"/>
      <c r="CD1336" s="3066"/>
      <c r="CE1336" s="5169"/>
      <c r="CF1336" s="5169"/>
      <c r="CG1336" s="5169"/>
      <c r="CH1336" s="5169"/>
    </row>
    <row r="1337" s="4965" customFormat="1" ht="50.25" customHeight="1" spans="1:86">
      <c r="A1337" s="5079"/>
      <c r="B1337" s="1035"/>
      <c r="C1337" s="5079"/>
      <c r="D1337" s="1035"/>
      <c r="E1337" s="5079"/>
      <c r="F1337" s="6474" t="s">
        <v>2245</v>
      </c>
      <c r="G1337" s="6474" t="s">
        <v>2235</v>
      </c>
      <c r="H1337" s="6474" t="s">
        <v>2229</v>
      </c>
      <c r="I1337" s="6474" t="s">
        <v>2236</v>
      </c>
      <c r="J1337" s="6474" t="s">
        <v>2237</v>
      </c>
      <c r="K1337" s="6474" t="s">
        <v>2246</v>
      </c>
      <c r="L1337" s="6474" t="s">
        <v>2247</v>
      </c>
      <c r="M1337" s="2829">
        <f>SUM(N1337:AA1340)</f>
        <v>459057.68</v>
      </c>
      <c r="N1337" s="6495"/>
      <c r="O1337" s="6495"/>
      <c r="P1337" s="6495"/>
      <c r="Q1337" s="6495"/>
      <c r="R1337" s="6495"/>
      <c r="S1337" s="6495"/>
      <c r="T1337" s="6495"/>
      <c r="U1337" s="6495">
        <v>459057.68</v>
      </c>
      <c r="V1337" s="6495"/>
      <c r="W1337" s="6495"/>
      <c r="X1337" s="6495"/>
      <c r="Y1337" s="6495"/>
      <c r="Z1337" s="6495"/>
      <c r="AA1337" s="6495"/>
      <c r="AB1337" s="6495"/>
      <c r="AC1337" s="2826">
        <v>1</v>
      </c>
      <c r="AD1337" s="3187" t="s">
        <v>2117</v>
      </c>
      <c r="AE1337" s="6517">
        <v>0.2</v>
      </c>
      <c r="AF1337" s="2847">
        <f>M1337*AE1337</f>
        <v>91811.536</v>
      </c>
      <c r="AG1337" s="6540">
        <f>SUM(BA1337:BL1337)</f>
        <v>91811.536</v>
      </c>
      <c r="AH1337" s="6541" t="s">
        <v>122</v>
      </c>
      <c r="AI1337" s="6542">
        <v>45628</v>
      </c>
      <c r="AJ1337" s="2667">
        <v>91811.536</v>
      </c>
      <c r="AK1337" s="2667">
        <v>45628</v>
      </c>
      <c r="AL1337" s="2826">
        <v>91811.536</v>
      </c>
      <c r="AM1337" s="2826">
        <v>45629</v>
      </c>
      <c r="AN1337" s="2667">
        <f t="shared" si="272"/>
        <v>91811.536</v>
      </c>
      <c r="AO1337" s="2667">
        <v>45650</v>
      </c>
      <c r="AP1337" s="2667">
        <f t="shared" si="273"/>
        <v>0</v>
      </c>
      <c r="AQ1337" s="6555"/>
      <c r="AR1337" s="2826"/>
      <c r="AS1337" s="6561"/>
      <c r="AT1337" s="6555"/>
      <c r="AU1337" s="2680"/>
      <c r="AV1337" s="2680"/>
      <c r="AW1337" s="2680"/>
      <c r="AX1337" s="2680"/>
      <c r="AY1337" s="2680"/>
      <c r="AZ1337" s="2680"/>
      <c r="BA1337" s="2667"/>
      <c r="BB1337" s="2667"/>
      <c r="BC1337" s="2667"/>
      <c r="BD1337" s="2667"/>
      <c r="BE1337" s="2667"/>
      <c r="BF1337" s="2667"/>
      <c r="BG1337" s="2667"/>
      <c r="BH1337" s="6542">
        <v>91811.536</v>
      </c>
      <c r="BI1337" s="2711"/>
      <c r="BJ1337" s="2711"/>
      <c r="BK1337" s="2711"/>
      <c r="BL1337" s="2711"/>
      <c r="BM1337" s="2711"/>
      <c r="BN1337" s="2711"/>
      <c r="BO1337" s="2826"/>
      <c r="BP1337" s="2826"/>
      <c r="BQ1337" s="2826"/>
      <c r="BR1337" s="2826"/>
      <c r="BS1337" s="2826"/>
      <c r="BT1337" s="2826"/>
      <c r="BU1337" s="2826"/>
      <c r="BV1337" s="2826">
        <v>91811.536</v>
      </c>
      <c r="BW1337" s="6571"/>
      <c r="BX1337" s="2847"/>
      <c r="BY1337" s="2847"/>
      <c r="BZ1337" s="2847"/>
      <c r="CA1337" s="2847"/>
      <c r="CB1337" s="6576"/>
      <c r="CC1337" s="2826"/>
      <c r="CD1337" s="2826"/>
      <c r="CE1337" s="5169"/>
      <c r="CF1337" s="5169"/>
      <c r="CG1337" s="5169"/>
      <c r="CH1337" s="5169"/>
    </row>
    <row r="1338" s="4965" customFormat="1" ht="50.25" customHeight="1" spans="1:86">
      <c r="A1338" s="5079"/>
      <c r="B1338" s="1035"/>
      <c r="C1338" s="5079"/>
      <c r="D1338" s="1035"/>
      <c r="E1338" s="5079"/>
      <c r="F1338" s="6476"/>
      <c r="G1338" s="6476"/>
      <c r="H1338" s="6476"/>
      <c r="I1338" s="6476"/>
      <c r="J1338" s="6476"/>
      <c r="K1338" s="6484"/>
      <c r="L1338" s="6476"/>
      <c r="M1338" s="6495"/>
      <c r="N1338" s="6495"/>
      <c r="O1338" s="6495"/>
      <c r="P1338" s="6495"/>
      <c r="Q1338" s="6495"/>
      <c r="R1338" s="6495"/>
      <c r="S1338" s="6495"/>
      <c r="T1338" s="6495"/>
      <c r="U1338" s="6495"/>
      <c r="V1338" s="6495"/>
      <c r="W1338" s="6495"/>
      <c r="X1338" s="6495"/>
      <c r="Y1338" s="6495"/>
      <c r="Z1338" s="6495"/>
      <c r="AA1338" s="6495"/>
      <c r="AB1338" s="6495"/>
      <c r="AC1338" s="2826">
        <v>2</v>
      </c>
      <c r="AD1338" s="3187" t="s">
        <v>2118</v>
      </c>
      <c r="AE1338" s="6517">
        <v>0.2</v>
      </c>
      <c r="AF1338" s="2847">
        <f>M1337*AE1338</f>
        <v>91811.536</v>
      </c>
      <c r="AG1338" s="2711">
        <f t="shared" si="271"/>
        <v>91811.536</v>
      </c>
      <c r="AH1338" s="6516" t="s">
        <v>122</v>
      </c>
      <c r="AI1338" s="2667">
        <v>45833</v>
      </c>
      <c r="AJ1338" s="2711">
        <v>91811.536</v>
      </c>
      <c r="AK1338" s="2667">
        <v>45833</v>
      </c>
      <c r="AL1338" s="2711">
        <v>91811.536</v>
      </c>
      <c r="AM1338" s="2826">
        <v>45838</v>
      </c>
      <c r="AN1338" s="2667">
        <f t="shared" si="272"/>
        <v>91811.536</v>
      </c>
      <c r="AO1338" s="2667">
        <v>45867</v>
      </c>
      <c r="AP1338" s="2667">
        <f t="shared" si="273"/>
        <v>0</v>
      </c>
      <c r="AQ1338" s="6555"/>
      <c r="AR1338" s="2826"/>
      <c r="AS1338" s="6561"/>
      <c r="AT1338" s="6555"/>
      <c r="AU1338" s="2680"/>
      <c r="AV1338" s="2680"/>
      <c r="AW1338" s="2680"/>
      <c r="AX1338" s="2680"/>
      <c r="AY1338" s="2680"/>
      <c r="AZ1338" s="2680"/>
      <c r="BA1338" s="2667"/>
      <c r="BB1338" s="2667"/>
      <c r="BC1338" s="2667"/>
      <c r="BD1338" s="2667"/>
      <c r="BE1338" s="2667"/>
      <c r="BF1338" s="2667"/>
      <c r="BG1338" s="2667"/>
      <c r="BH1338" s="2667">
        <v>91811.536</v>
      </c>
      <c r="BI1338" s="2711"/>
      <c r="BJ1338" s="2711"/>
      <c r="BK1338" s="2711"/>
      <c r="BL1338" s="2711"/>
      <c r="BM1338" s="2711"/>
      <c r="BN1338" s="2667"/>
      <c r="BO1338" s="2826"/>
      <c r="BP1338" s="2826"/>
      <c r="BQ1338" s="2826"/>
      <c r="BR1338" s="2826"/>
      <c r="BS1338" s="2826"/>
      <c r="BT1338" s="2826"/>
      <c r="BU1338" s="2826"/>
      <c r="BV1338" s="2826">
        <v>91811.536</v>
      </c>
      <c r="BW1338" s="6571"/>
      <c r="BX1338" s="2847"/>
      <c r="BY1338" s="2847"/>
      <c r="BZ1338" s="2847"/>
      <c r="CA1338" s="2847"/>
      <c r="CB1338" s="6576"/>
      <c r="CC1338" s="2826"/>
      <c r="CD1338" s="2826"/>
      <c r="CE1338" s="5169"/>
      <c r="CF1338" s="5169"/>
      <c r="CG1338" s="5169"/>
      <c r="CH1338" s="5169"/>
    </row>
    <row r="1339" s="4965" customFormat="1" ht="50.25" customHeight="1" spans="1:86">
      <c r="A1339" s="5079"/>
      <c r="B1339" s="1035"/>
      <c r="C1339" s="5079"/>
      <c r="D1339" s="1035"/>
      <c r="E1339" s="5079"/>
      <c r="F1339" s="6476"/>
      <c r="G1339" s="6476"/>
      <c r="H1339" s="6476"/>
      <c r="I1339" s="6476"/>
      <c r="J1339" s="6476"/>
      <c r="K1339" s="6484"/>
      <c r="L1339" s="6476"/>
      <c r="M1339" s="6495"/>
      <c r="N1339" s="6495"/>
      <c r="O1339" s="6495"/>
      <c r="P1339" s="6495"/>
      <c r="Q1339" s="6495"/>
      <c r="R1339" s="6495"/>
      <c r="S1339" s="6495"/>
      <c r="T1339" s="6495"/>
      <c r="U1339" s="6495"/>
      <c r="V1339" s="6495"/>
      <c r="W1339" s="6495"/>
      <c r="X1339" s="6495"/>
      <c r="Y1339" s="6495"/>
      <c r="Z1339" s="6495"/>
      <c r="AA1339" s="6495"/>
      <c r="AB1339" s="6495"/>
      <c r="AC1339" s="2826">
        <v>3</v>
      </c>
      <c r="AD1339" s="3187" t="s">
        <v>2248</v>
      </c>
      <c r="AE1339" s="6517">
        <v>0.4</v>
      </c>
      <c r="AF1339" s="2847">
        <f>M1337*AE1339</f>
        <v>183623.072</v>
      </c>
      <c r="AG1339" s="2711">
        <f t="shared" si="271"/>
        <v>183623.072</v>
      </c>
      <c r="AH1339" s="6516" t="s">
        <v>122</v>
      </c>
      <c r="AI1339" s="2667">
        <v>45833</v>
      </c>
      <c r="AJ1339" s="2711">
        <v>183623.072</v>
      </c>
      <c r="AK1339" s="2667">
        <v>45833</v>
      </c>
      <c r="AL1339" s="2711">
        <v>183623.072</v>
      </c>
      <c r="AM1339" s="2826">
        <v>45838</v>
      </c>
      <c r="AN1339" s="2667">
        <f t="shared" si="272"/>
        <v>183623.072</v>
      </c>
      <c r="AO1339" s="2667">
        <v>45867</v>
      </c>
      <c r="AP1339" s="2667">
        <f t="shared" si="273"/>
        <v>0</v>
      </c>
      <c r="AQ1339" s="6555"/>
      <c r="AR1339" s="2826"/>
      <c r="AS1339" s="6561"/>
      <c r="AT1339" s="6555"/>
      <c r="AU1339" s="2680"/>
      <c r="AV1339" s="2680"/>
      <c r="AW1339" s="2680"/>
      <c r="AX1339" s="2680"/>
      <c r="AY1339" s="2680"/>
      <c r="AZ1339" s="2680"/>
      <c r="BA1339" s="2667"/>
      <c r="BB1339" s="2667"/>
      <c r="BC1339" s="2667"/>
      <c r="BD1339" s="2667"/>
      <c r="BE1339" s="2667"/>
      <c r="BF1339" s="2667"/>
      <c r="BG1339" s="2667"/>
      <c r="BH1339" s="2667">
        <v>183623.072</v>
      </c>
      <c r="BI1339" s="2711"/>
      <c r="BJ1339" s="2711"/>
      <c r="BK1339" s="2711"/>
      <c r="BL1339" s="2711"/>
      <c r="BM1339" s="2711"/>
      <c r="BN1339" s="2667"/>
      <c r="BO1339" s="2826"/>
      <c r="BP1339" s="2826"/>
      <c r="BQ1339" s="2826"/>
      <c r="BR1339" s="2826"/>
      <c r="BS1339" s="2826"/>
      <c r="BT1339" s="2826"/>
      <c r="BU1339" s="2826"/>
      <c r="BV1339" s="2826">
        <v>183623.072</v>
      </c>
      <c r="BW1339" s="6571"/>
      <c r="BX1339" s="2847"/>
      <c r="BY1339" s="2847"/>
      <c r="BZ1339" s="2847"/>
      <c r="CA1339" s="2847"/>
      <c r="CB1339" s="6576"/>
      <c r="CC1339" s="2826"/>
      <c r="CD1339" s="2826"/>
      <c r="CE1339" s="5169"/>
      <c r="CF1339" s="5169"/>
      <c r="CG1339" s="5169"/>
      <c r="CH1339" s="5169"/>
    </row>
    <row r="1340" s="4965" customFormat="1" ht="50.25" customHeight="1" spans="1:86">
      <c r="A1340" s="5079"/>
      <c r="B1340" s="1035"/>
      <c r="C1340" s="5079"/>
      <c r="D1340" s="1035"/>
      <c r="E1340" s="5079"/>
      <c r="F1340" s="6477"/>
      <c r="G1340" s="6477"/>
      <c r="H1340" s="6477"/>
      <c r="I1340" s="6477"/>
      <c r="J1340" s="6477"/>
      <c r="K1340" s="2332"/>
      <c r="L1340" s="6477"/>
      <c r="M1340" s="2832"/>
      <c r="N1340" s="2832"/>
      <c r="O1340" s="2832"/>
      <c r="P1340" s="2832"/>
      <c r="Q1340" s="2832"/>
      <c r="R1340" s="2832"/>
      <c r="S1340" s="2832"/>
      <c r="T1340" s="2832"/>
      <c r="U1340" s="2832"/>
      <c r="V1340" s="2832"/>
      <c r="W1340" s="2832"/>
      <c r="X1340" s="2832"/>
      <c r="Y1340" s="2832"/>
      <c r="Z1340" s="2832"/>
      <c r="AA1340" s="2832"/>
      <c r="AB1340" s="2832"/>
      <c r="AC1340" s="2826">
        <v>4</v>
      </c>
      <c r="AD1340" s="3187" t="s">
        <v>2120</v>
      </c>
      <c r="AE1340" s="6517">
        <v>0.2</v>
      </c>
      <c r="AF1340" s="2847">
        <f>M1337*AE1340</f>
        <v>91811.536</v>
      </c>
      <c r="AG1340" s="2847">
        <f t="shared" si="271"/>
        <v>0</v>
      </c>
      <c r="AH1340" s="6516"/>
      <c r="AI1340" s="2826"/>
      <c r="AJ1340" s="2826"/>
      <c r="AK1340" s="2826"/>
      <c r="AL1340" s="2826"/>
      <c r="AM1340" s="2826"/>
      <c r="AN1340" s="2667">
        <f t="shared" si="272"/>
        <v>0</v>
      </c>
      <c r="AO1340" s="2667"/>
      <c r="AP1340" s="2667">
        <f t="shared" si="273"/>
        <v>0</v>
      </c>
      <c r="AQ1340" s="6555"/>
      <c r="AR1340" s="2826"/>
      <c r="AS1340" s="6561"/>
      <c r="AT1340" s="6555"/>
      <c r="AU1340" s="2680"/>
      <c r="AV1340" s="2680"/>
      <c r="AW1340" s="2680"/>
      <c r="AX1340" s="2680"/>
      <c r="AY1340" s="2680"/>
      <c r="AZ1340" s="2680"/>
      <c r="BA1340" s="2667"/>
      <c r="BB1340" s="2667"/>
      <c r="BC1340" s="2667"/>
      <c r="BD1340" s="2667"/>
      <c r="BE1340" s="2667"/>
      <c r="BF1340" s="2667"/>
      <c r="BG1340" s="2667"/>
      <c r="BH1340" s="2667"/>
      <c r="BI1340" s="2711"/>
      <c r="BJ1340" s="2711"/>
      <c r="BK1340" s="2711"/>
      <c r="BL1340" s="2711"/>
      <c r="BM1340" s="2711"/>
      <c r="BN1340" s="2667"/>
      <c r="BO1340" s="2826"/>
      <c r="BP1340" s="2826"/>
      <c r="BQ1340" s="2826"/>
      <c r="BR1340" s="2826"/>
      <c r="BS1340" s="2826"/>
      <c r="BT1340" s="2826"/>
      <c r="BU1340" s="2826"/>
      <c r="BV1340" s="2826"/>
      <c r="BW1340" s="6571"/>
      <c r="BX1340" s="2847"/>
      <c r="BY1340" s="2847"/>
      <c r="BZ1340" s="2847"/>
      <c r="CA1340" s="2847"/>
      <c r="CB1340" s="6576"/>
      <c r="CC1340" s="2826"/>
      <c r="CD1340" s="2826"/>
      <c r="CE1340" s="5169"/>
      <c r="CF1340" s="5169"/>
      <c r="CG1340" s="5169"/>
      <c r="CH1340" s="5169"/>
    </row>
    <row r="1341" s="4965" customFormat="1" ht="50.25" customHeight="1" spans="1:86">
      <c r="A1341" s="5079"/>
      <c r="B1341" s="1035"/>
      <c r="C1341" s="5079"/>
      <c r="D1341" s="1035"/>
      <c r="E1341" s="5079"/>
      <c r="F1341" s="6471" t="s">
        <v>2249</v>
      </c>
      <c r="G1341" s="6471" t="s">
        <v>2235</v>
      </c>
      <c r="H1341" s="6471" t="s">
        <v>2206</v>
      </c>
      <c r="I1341" s="6471" t="s">
        <v>2236</v>
      </c>
      <c r="J1341" s="6471" t="s">
        <v>2237</v>
      </c>
      <c r="K1341" s="6471" t="s">
        <v>2246</v>
      </c>
      <c r="L1341" s="6471" t="s">
        <v>1368</v>
      </c>
      <c r="M1341" s="6492">
        <f>SUM(N1341:AA1343)</f>
        <v>114764.42</v>
      </c>
      <c r="N1341" s="6493"/>
      <c r="O1341" s="6493"/>
      <c r="P1341" s="6493"/>
      <c r="Q1341" s="6493"/>
      <c r="R1341" s="6493"/>
      <c r="S1341" s="6493"/>
      <c r="T1341" s="6493"/>
      <c r="U1341" s="6493">
        <v>114764.42</v>
      </c>
      <c r="V1341" s="6493"/>
      <c r="W1341" s="6493"/>
      <c r="X1341" s="6493"/>
      <c r="Y1341" s="6493"/>
      <c r="Z1341" s="6493"/>
      <c r="AA1341" s="6493"/>
      <c r="AB1341" s="6493"/>
      <c r="AC1341" s="6499">
        <v>1</v>
      </c>
      <c r="AD1341" s="6523" t="s">
        <v>2124</v>
      </c>
      <c r="AE1341" s="6514">
        <v>0.2</v>
      </c>
      <c r="AF1341" s="6515">
        <f>M1341*AE1341</f>
        <v>22952.884</v>
      </c>
      <c r="AG1341" s="6543">
        <f t="shared" si="271"/>
        <v>22952.884</v>
      </c>
      <c r="AH1341" s="6544" t="s">
        <v>122</v>
      </c>
      <c r="AI1341" s="6545">
        <v>45628</v>
      </c>
      <c r="AJ1341" s="6531">
        <v>22952.884</v>
      </c>
      <c r="AK1341" s="6531">
        <v>45628</v>
      </c>
      <c r="AL1341" s="6499">
        <v>22952.884</v>
      </c>
      <c r="AM1341" s="6499">
        <v>45629</v>
      </c>
      <c r="AN1341" s="6531">
        <f t="shared" si="272"/>
        <v>22952.884</v>
      </c>
      <c r="AO1341" s="6531">
        <v>45650</v>
      </c>
      <c r="AP1341" s="6531">
        <f t="shared" si="273"/>
        <v>0</v>
      </c>
      <c r="AQ1341" s="6554"/>
      <c r="AR1341" s="6499"/>
      <c r="AS1341" s="6560"/>
      <c r="AT1341" s="6554"/>
      <c r="AU1341" s="2680"/>
      <c r="AV1341" s="2680"/>
      <c r="AW1341" s="2680"/>
      <c r="AX1341" s="2680"/>
      <c r="AY1341" s="2680"/>
      <c r="AZ1341" s="2680"/>
      <c r="BA1341" s="6531"/>
      <c r="BB1341" s="6531"/>
      <c r="BC1341" s="6531"/>
      <c r="BD1341" s="6531"/>
      <c r="BE1341" s="6531"/>
      <c r="BF1341" s="6531"/>
      <c r="BG1341" s="6531"/>
      <c r="BH1341" s="6545">
        <v>22952.884</v>
      </c>
      <c r="BI1341" s="6546"/>
      <c r="BJ1341" s="6546"/>
      <c r="BK1341" s="6546"/>
      <c r="BL1341" s="6546"/>
      <c r="BM1341" s="6546"/>
      <c r="BN1341" s="6531"/>
      <c r="BO1341" s="6499"/>
      <c r="BP1341" s="6499"/>
      <c r="BQ1341" s="6499"/>
      <c r="BR1341" s="6499"/>
      <c r="BS1341" s="6499"/>
      <c r="BT1341" s="6499"/>
      <c r="BU1341" s="6499"/>
      <c r="BV1341" s="6499">
        <v>22952.884</v>
      </c>
      <c r="BW1341" s="6570"/>
      <c r="BX1341" s="6515"/>
      <c r="BY1341" s="6515"/>
      <c r="BZ1341" s="6515"/>
      <c r="CA1341" s="6515"/>
      <c r="CB1341" s="6575"/>
      <c r="CC1341" s="6499"/>
      <c r="CD1341" s="6499"/>
      <c r="CE1341" s="5169"/>
      <c r="CF1341" s="5169"/>
      <c r="CG1341" s="5169"/>
      <c r="CH1341" s="5169"/>
    </row>
    <row r="1342" s="4965" customFormat="1" ht="50.25" customHeight="1" spans="1:86">
      <c r="A1342" s="5079"/>
      <c r="B1342" s="1035"/>
      <c r="C1342" s="5079"/>
      <c r="D1342" s="1035"/>
      <c r="E1342" s="5079"/>
      <c r="F1342" s="6472"/>
      <c r="G1342" s="6472"/>
      <c r="H1342" s="6472"/>
      <c r="I1342" s="6472"/>
      <c r="J1342" s="6472"/>
      <c r="K1342" s="6482"/>
      <c r="L1342" s="6472"/>
      <c r="M1342" s="6493"/>
      <c r="N1342" s="6493"/>
      <c r="O1342" s="6493"/>
      <c r="P1342" s="6493"/>
      <c r="Q1342" s="6493"/>
      <c r="R1342" s="6493"/>
      <c r="S1342" s="6493"/>
      <c r="T1342" s="6493"/>
      <c r="U1342" s="6493"/>
      <c r="V1342" s="6493"/>
      <c r="W1342" s="6493"/>
      <c r="X1342" s="6493"/>
      <c r="Y1342" s="6493"/>
      <c r="Z1342" s="6493"/>
      <c r="AA1342" s="6493"/>
      <c r="AB1342" s="6493"/>
      <c r="AC1342" s="6499">
        <v>2</v>
      </c>
      <c r="AD1342" s="6523" t="s">
        <v>2125</v>
      </c>
      <c r="AE1342" s="6514">
        <v>0.6</v>
      </c>
      <c r="AF1342" s="6515">
        <f>M1341*AE1342</f>
        <v>68858.652</v>
      </c>
      <c r="AG1342" s="6546">
        <f t="shared" si="271"/>
        <v>68858.652</v>
      </c>
      <c r="AH1342" s="6513" t="s">
        <v>122</v>
      </c>
      <c r="AI1342" s="6531">
        <v>45833</v>
      </c>
      <c r="AJ1342" s="6531">
        <v>68858.652</v>
      </c>
      <c r="AK1342" s="6531">
        <v>45833</v>
      </c>
      <c r="AL1342" s="6531">
        <v>68858.652</v>
      </c>
      <c r="AM1342" s="6499">
        <v>45838</v>
      </c>
      <c r="AN1342" s="6531">
        <f t="shared" si="272"/>
        <v>68858.652</v>
      </c>
      <c r="AO1342" s="6531">
        <v>45867</v>
      </c>
      <c r="AP1342" s="6531">
        <f t="shared" si="273"/>
        <v>0</v>
      </c>
      <c r="AQ1342" s="6554"/>
      <c r="AR1342" s="6499"/>
      <c r="AS1342" s="6560"/>
      <c r="AT1342" s="6554"/>
      <c r="AU1342" s="2680"/>
      <c r="AV1342" s="2680"/>
      <c r="AW1342" s="2680"/>
      <c r="AX1342" s="2680"/>
      <c r="AY1342" s="2680"/>
      <c r="AZ1342" s="2680"/>
      <c r="BA1342" s="6531"/>
      <c r="BB1342" s="6531"/>
      <c r="BC1342" s="6531"/>
      <c r="BD1342" s="6531"/>
      <c r="BE1342" s="6531"/>
      <c r="BF1342" s="6531"/>
      <c r="BG1342" s="6531"/>
      <c r="BH1342" s="6531">
        <v>68858.652</v>
      </c>
      <c r="BI1342" s="6546"/>
      <c r="BJ1342" s="6546"/>
      <c r="BK1342" s="6546"/>
      <c r="BL1342" s="6546"/>
      <c r="BM1342" s="6546"/>
      <c r="BN1342" s="6531"/>
      <c r="BO1342" s="6499"/>
      <c r="BP1342" s="6499"/>
      <c r="BQ1342" s="6499"/>
      <c r="BR1342" s="6499"/>
      <c r="BS1342" s="6499"/>
      <c r="BT1342" s="6499"/>
      <c r="BU1342" s="6499"/>
      <c r="BV1342" s="6499">
        <v>68858.652</v>
      </c>
      <c r="BW1342" s="6570"/>
      <c r="BX1342" s="6515"/>
      <c r="BY1342" s="6515"/>
      <c r="BZ1342" s="6515"/>
      <c r="CA1342" s="6515"/>
      <c r="CB1342" s="6575"/>
      <c r="CC1342" s="6499"/>
      <c r="CD1342" s="6499"/>
      <c r="CE1342" s="5169"/>
      <c r="CF1342" s="5169"/>
      <c r="CG1342" s="5169"/>
      <c r="CH1342" s="5169"/>
    </row>
    <row r="1343" s="4965" customFormat="1" ht="50.25" customHeight="1" spans="1:86">
      <c r="A1343" s="5079"/>
      <c r="B1343" s="1035"/>
      <c r="C1343" s="5079"/>
      <c r="D1343" s="1035"/>
      <c r="E1343" s="5079"/>
      <c r="F1343" s="6473"/>
      <c r="G1343" s="6473"/>
      <c r="H1343" s="6473"/>
      <c r="I1343" s="6473"/>
      <c r="J1343" s="6473"/>
      <c r="K1343" s="6483"/>
      <c r="L1343" s="6473"/>
      <c r="M1343" s="6494"/>
      <c r="N1343" s="6494"/>
      <c r="O1343" s="6494"/>
      <c r="P1343" s="6494"/>
      <c r="Q1343" s="6494"/>
      <c r="R1343" s="6494"/>
      <c r="S1343" s="6494"/>
      <c r="T1343" s="6494"/>
      <c r="U1343" s="6494"/>
      <c r="V1343" s="6494"/>
      <c r="W1343" s="6494"/>
      <c r="X1343" s="6494"/>
      <c r="Y1343" s="6494"/>
      <c r="Z1343" s="6494"/>
      <c r="AA1343" s="6494"/>
      <c r="AB1343" s="6494"/>
      <c r="AC1343" s="6499">
        <v>3</v>
      </c>
      <c r="AD1343" s="6523" t="s">
        <v>2126</v>
      </c>
      <c r="AE1343" s="6514">
        <v>0.2</v>
      </c>
      <c r="AF1343" s="6515">
        <f>M1341*AE1343</f>
        <v>22952.884</v>
      </c>
      <c r="AG1343" s="6515">
        <f t="shared" si="271"/>
        <v>0</v>
      </c>
      <c r="AH1343" s="6513"/>
      <c r="AI1343" s="6499"/>
      <c r="AJ1343" s="6499"/>
      <c r="AK1343" s="6499"/>
      <c r="AL1343" s="6499"/>
      <c r="AM1343" s="6499"/>
      <c r="AN1343" s="6531">
        <f t="shared" si="272"/>
        <v>0</v>
      </c>
      <c r="AO1343" s="6531"/>
      <c r="AP1343" s="6531">
        <f t="shared" si="273"/>
        <v>0</v>
      </c>
      <c r="AQ1343" s="6554"/>
      <c r="AR1343" s="6499"/>
      <c r="AS1343" s="6560"/>
      <c r="AT1343" s="6554"/>
      <c r="AU1343" s="2680"/>
      <c r="AV1343" s="2680"/>
      <c r="AW1343" s="2680"/>
      <c r="AX1343" s="2680"/>
      <c r="AY1343" s="2680"/>
      <c r="AZ1343" s="2680"/>
      <c r="BA1343" s="6531"/>
      <c r="BB1343" s="6531"/>
      <c r="BC1343" s="6531"/>
      <c r="BD1343" s="6531"/>
      <c r="BE1343" s="6531"/>
      <c r="BF1343" s="6531"/>
      <c r="BG1343" s="6531"/>
      <c r="BH1343" s="6531"/>
      <c r="BI1343" s="6546"/>
      <c r="BJ1343" s="6546"/>
      <c r="BK1343" s="6546"/>
      <c r="BL1343" s="6546"/>
      <c r="BM1343" s="6546"/>
      <c r="BN1343" s="6531"/>
      <c r="BO1343" s="6499"/>
      <c r="BP1343" s="6499"/>
      <c r="BQ1343" s="6499"/>
      <c r="BR1343" s="6499"/>
      <c r="BS1343" s="6499"/>
      <c r="BT1343" s="6499"/>
      <c r="BU1343" s="6499"/>
      <c r="BV1343" s="6499"/>
      <c r="BW1343" s="6570"/>
      <c r="BX1343" s="6515"/>
      <c r="BY1343" s="6515"/>
      <c r="BZ1343" s="6515"/>
      <c r="CA1343" s="6515"/>
      <c r="CB1343" s="6575"/>
      <c r="CC1343" s="6499"/>
      <c r="CD1343" s="6499"/>
      <c r="CE1343" s="5169"/>
      <c r="CF1343" s="5169"/>
      <c r="CG1343" s="5169"/>
      <c r="CH1343" s="5169"/>
    </row>
    <row r="1344" s="4965" customFormat="1" ht="50.25" customHeight="1" spans="1:86">
      <c r="A1344" s="5079"/>
      <c r="B1344" s="1035"/>
      <c r="C1344" s="5079"/>
      <c r="D1344" s="1035"/>
      <c r="E1344" s="5079"/>
      <c r="F1344" s="6478" t="s">
        <v>2250</v>
      </c>
      <c r="G1344" s="6478" t="s">
        <v>2235</v>
      </c>
      <c r="H1344" s="6478" t="s">
        <v>2251</v>
      </c>
      <c r="I1344" s="6478" t="s">
        <v>2236</v>
      </c>
      <c r="J1344" s="6478" t="s">
        <v>2237</v>
      </c>
      <c r="K1344" s="6478" t="s">
        <v>171</v>
      </c>
      <c r="L1344" s="6478" t="s">
        <v>2252</v>
      </c>
      <c r="M1344" s="6496">
        <f>SUM(N1344:AA1347)</f>
        <v>360000</v>
      </c>
      <c r="N1344" s="6497"/>
      <c r="O1344" s="6497"/>
      <c r="P1344" s="6497"/>
      <c r="Q1344" s="6497"/>
      <c r="R1344" s="6497"/>
      <c r="S1344" s="6497"/>
      <c r="T1344" s="6497"/>
      <c r="U1344" s="6497"/>
      <c r="V1344" s="6497"/>
      <c r="W1344" s="6497"/>
      <c r="X1344" s="6497"/>
      <c r="Y1344" s="6497"/>
      <c r="Z1344" s="6497"/>
      <c r="AA1344" s="6497">
        <v>360000</v>
      </c>
      <c r="AB1344" s="6501" t="s">
        <v>126</v>
      </c>
      <c r="AC1344" s="5488">
        <v>1</v>
      </c>
      <c r="AD1344" s="6524" t="s">
        <v>2253</v>
      </c>
      <c r="AE1344" s="6525">
        <v>0.3</v>
      </c>
      <c r="AF1344" s="6526">
        <f>M1344*AE1344</f>
        <v>108000</v>
      </c>
      <c r="AG1344" s="6547">
        <f t="shared" si="271"/>
        <v>108000</v>
      </c>
      <c r="AH1344" s="6548" t="s">
        <v>122</v>
      </c>
      <c r="AI1344" s="6549">
        <v>45628</v>
      </c>
      <c r="AJ1344" s="5483">
        <v>108000</v>
      </c>
      <c r="AK1344" s="5483">
        <v>45628</v>
      </c>
      <c r="AL1344" s="5488">
        <v>108000</v>
      </c>
      <c r="AM1344" s="5488">
        <v>45629</v>
      </c>
      <c r="AN1344" s="5483">
        <f t="shared" si="272"/>
        <v>108000</v>
      </c>
      <c r="AO1344" s="5483">
        <v>45650</v>
      </c>
      <c r="AP1344" s="5483">
        <f t="shared" si="273"/>
        <v>0</v>
      </c>
      <c r="AQ1344" s="6557"/>
      <c r="AR1344" s="5488"/>
      <c r="AS1344" s="6563"/>
      <c r="AT1344" s="6557"/>
      <c r="AU1344" s="2680"/>
      <c r="AV1344" s="2680"/>
      <c r="AW1344" s="2680"/>
      <c r="AX1344" s="2680"/>
      <c r="AY1344" s="2680"/>
      <c r="AZ1344" s="2680"/>
      <c r="BA1344" s="5483"/>
      <c r="BB1344" s="5483"/>
      <c r="BC1344" s="5483"/>
      <c r="BD1344" s="5483"/>
      <c r="BE1344" s="5483"/>
      <c r="BF1344" s="5483"/>
      <c r="BG1344" s="5483"/>
      <c r="BH1344" s="5483"/>
      <c r="BI1344" s="6567"/>
      <c r="BJ1344" s="6567"/>
      <c r="BK1344" s="6567"/>
      <c r="BL1344" s="6567"/>
      <c r="BM1344" s="6567"/>
      <c r="BN1344" s="5483">
        <v>108000</v>
      </c>
      <c r="BO1344" s="5488"/>
      <c r="BP1344" s="5488"/>
      <c r="BQ1344" s="5488"/>
      <c r="BR1344" s="5488"/>
      <c r="BS1344" s="5488"/>
      <c r="BT1344" s="5488"/>
      <c r="BU1344" s="5488"/>
      <c r="BV1344" s="5488"/>
      <c r="BW1344" s="6572"/>
      <c r="BX1344" s="6526"/>
      <c r="BY1344" s="6526"/>
      <c r="BZ1344" s="6526"/>
      <c r="CA1344" s="6526"/>
      <c r="CB1344" s="6577">
        <v>108000</v>
      </c>
      <c r="CC1344" s="5488"/>
      <c r="CD1344" s="5488"/>
      <c r="CE1344" s="5169"/>
      <c r="CF1344" s="5169"/>
      <c r="CG1344" s="5169"/>
      <c r="CH1344" s="5169"/>
    </row>
    <row r="1345" s="4965" customFormat="1" ht="50.25" customHeight="1" spans="1:86">
      <c r="A1345" s="5079"/>
      <c r="B1345" s="1035"/>
      <c r="C1345" s="5079"/>
      <c r="D1345" s="1035"/>
      <c r="E1345" s="5079"/>
      <c r="F1345" s="6578"/>
      <c r="G1345" s="6578"/>
      <c r="H1345" s="6578"/>
      <c r="I1345" s="6578"/>
      <c r="J1345" s="6578"/>
      <c r="K1345" s="6590"/>
      <c r="L1345" s="6578"/>
      <c r="M1345" s="6497"/>
      <c r="N1345" s="6497"/>
      <c r="O1345" s="6497"/>
      <c r="P1345" s="6497"/>
      <c r="Q1345" s="6497"/>
      <c r="R1345" s="6497"/>
      <c r="S1345" s="6497"/>
      <c r="T1345" s="6497"/>
      <c r="U1345" s="6497"/>
      <c r="V1345" s="6497"/>
      <c r="W1345" s="6497"/>
      <c r="X1345" s="6497"/>
      <c r="Y1345" s="6497"/>
      <c r="Z1345" s="6497"/>
      <c r="AA1345" s="6497"/>
      <c r="AB1345" s="6497"/>
      <c r="AC1345" s="5488">
        <v>2</v>
      </c>
      <c r="AD1345" s="6524" t="s">
        <v>2254</v>
      </c>
      <c r="AE1345" s="6525">
        <v>0.4</v>
      </c>
      <c r="AF1345" s="6526">
        <f>M1344*AE1345</f>
        <v>144000</v>
      </c>
      <c r="AG1345" s="6567">
        <f t="shared" si="271"/>
        <v>144000</v>
      </c>
      <c r="AH1345" s="6627" t="s">
        <v>122</v>
      </c>
      <c r="AI1345" s="5483">
        <v>45833</v>
      </c>
      <c r="AJ1345" s="5483">
        <v>144000</v>
      </c>
      <c r="AK1345" s="5483">
        <v>45833</v>
      </c>
      <c r="AL1345" s="5483">
        <v>144000</v>
      </c>
      <c r="AM1345" s="5488">
        <v>45838</v>
      </c>
      <c r="AN1345" s="5483">
        <f t="shared" si="272"/>
        <v>144000</v>
      </c>
      <c r="AO1345" s="5483">
        <v>45867</v>
      </c>
      <c r="AP1345" s="5483">
        <f t="shared" si="273"/>
        <v>0</v>
      </c>
      <c r="AQ1345" s="6557"/>
      <c r="AR1345" s="5488"/>
      <c r="AS1345" s="6563"/>
      <c r="AT1345" s="6557"/>
      <c r="AU1345" s="2680"/>
      <c r="AV1345" s="2680"/>
      <c r="AW1345" s="2680"/>
      <c r="AX1345" s="2680"/>
      <c r="AY1345" s="2680"/>
      <c r="AZ1345" s="2680"/>
      <c r="BA1345" s="5483"/>
      <c r="BB1345" s="5483"/>
      <c r="BC1345" s="5483"/>
      <c r="BD1345" s="5483"/>
      <c r="BE1345" s="5483"/>
      <c r="BF1345" s="5483"/>
      <c r="BG1345" s="5483"/>
      <c r="BH1345" s="5483"/>
      <c r="BI1345" s="6567"/>
      <c r="BJ1345" s="6567"/>
      <c r="BK1345" s="6567"/>
      <c r="BL1345" s="6567"/>
      <c r="BM1345" s="6567"/>
      <c r="BN1345" s="5483">
        <v>144000</v>
      </c>
      <c r="BO1345" s="5488"/>
      <c r="BP1345" s="5488"/>
      <c r="BQ1345" s="5488"/>
      <c r="BR1345" s="5488"/>
      <c r="BS1345" s="5488"/>
      <c r="BT1345" s="5488"/>
      <c r="BU1345" s="5488"/>
      <c r="BV1345" s="5488"/>
      <c r="BW1345" s="6572"/>
      <c r="BX1345" s="6526"/>
      <c r="BY1345" s="6526"/>
      <c r="BZ1345" s="6526"/>
      <c r="CA1345" s="6526"/>
      <c r="CB1345" s="6577">
        <v>144000</v>
      </c>
      <c r="CC1345" s="5488"/>
      <c r="CD1345" s="5488"/>
      <c r="CE1345" s="5169"/>
      <c r="CF1345" s="5169"/>
      <c r="CG1345" s="5169"/>
      <c r="CH1345" s="5169"/>
    </row>
    <row r="1346" s="4965" customFormat="1" ht="50.25" customHeight="1" spans="1:86">
      <c r="A1346" s="5079"/>
      <c r="B1346" s="1035"/>
      <c r="C1346" s="5079"/>
      <c r="D1346" s="1035"/>
      <c r="E1346" s="5079"/>
      <c r="F1346" s="6578"/>
      <c r="G1346" s="6578"/>
      <c r="H1346" s="6578"/>
      <c r="I1346" s="6578"/>
      <c r="J1346" s="6578"/>
      <c r="K1346" s="6590"/>
      <c r="L1346" s="6578"/>
      <c r="M1346" s="6497"/>
      <c r="N1346" s="6497"/>
      <c r="O1346" s="6497"/>
      <c r="P1346" s="6497"/>
      <c r="Q1346" s="6497"/>
      <c r="R1346" s="6497"/>
      <c r="S1346" s="6497"/>
      <c r="T1346" s="6497"/>
      <c r="U1346" s="6497"/>
      <c r="V1346" s="6497"/>
      <c r="W1346" s="6497"/>
      <c r="X1346" s="6497"/>
      <c r="Y1346" s="6497"/>
      <c r="Z1346" s="6497"/>
      <c r="AA1346" s="6497"/>
      <c r="AB1346" s="6497"/>
      <c r="AC1346" s="5488">
        <v>3</v>
      </c>
      <c r="AD1346" s="6524" t="s">
        <v>2255</v>
      </c>
      <c r="AE1346" s="6525">
        <v>0.15</v>
      </c>
      <c r="AF1346" s="6526">
        <f>M1344*AE1346</f>
        <v>54000</v>
      </c>
      <c r="AG1346" s="6567">
        <f t="shared" si="271"/>
        <v>54000</v>
      </c>
      <c r="AH1346" s="6627" t="s">
        <v>122</v>
      </c>
      <c r="AI1346" s="5483">
        <v>45833</v>
      </c>
      <c r="AJ1346" s="5483">
        <v>54000</v>
      </c>
      <c r="AK1346" s="5483">
        <v>45833</v>
      </c>
      <c r="AL1346" s="5483">
        <v>54000</v>
      </c>
      <c r="AM1346" s="5488">
        <v>45838</v>
      </c>
      <c r="AN1346" s="5483">
        <f t="shared" si="272"/>
        <v>54000</v>
      </c>
      <c r="AO1346" s="5483">
        <v>45867</v>
      </c>
      <c r="AP1346" s="5483">
        <f t="shared" si="273"/>
        <v>0</v>
      </c>
      <c r="AQ1346" s="6557"/>
      <c r="AR1346" s="5488"/>
      <c r="AS1346" s="6563"/>
      <c r="AT1346" s="6557"/>
      <c r="AU1346" s="2680"/>
      <c r="AV1346" s="2680"/>
      <c r="AW1346" s="2680"/>
      <c r="AX1346" s="2680"/>
      <c r="AY1346" s="2680"/>
      <c r="AZ1346" s="2680"/>
      <c r="BA1346" s="5483"/>
      <c r="BB1346" s="5483"/>
      <c r="BC1346" s="5483"/>
      <c r="BD1346" s="5483"/>
      <c r="BE1346" s="5483"/>
      <c r="BF1346" s="5483"/>
      <c r="BG1346" s="5483"/>
      <c r="BH1346" s="5483"/>
      <c r="BI1346" s="6567"/>
      <c r="BJ1346" s="6567"/>
      <c r="BK1346" s="6567"/>
      <c r="BL1346" s="6567"/>
      <c r="BM1346" s="6567"/>
      <c r="BN1346" s="5483">
        <v>54000</v>
      </c>
      <c r="BO1346" s="5488"/>
      <c r="BP1346" s="5488"/>
      <c r="BQ1346" s="5488"/>
      <c r="BR1346" s="5488"/>
      <c r="BS1346" s="5488"/>
      <c r="BT1346" s="5488"/>
      <c r="BU1346" s="5488"/>
      <c r="BV1346" s="5488"/>
      <c r="BW1346" s="6572"/>
      <c r="BX1346" s="6526"/>
      <c r="BY1346" s="6526"/>
      <c r="BZ1346" s="6526"/>
      <c r="CA1346" s="6526"/>
      <c r="CB1346" s="6577">
        <v>54000</v>
      </c>
      <c r="CC1346" s="5488"/>
      <c r="CD1346" s="5488"/>
      <c r="CE1346" s="5169"/>
      <c r="CF1346" s="5169"/>
      <c r="CG1346" s="5169"/>
      <c r="CH1346" s="5169"/>
    </row>
    <row r="1347" s="4965" customFormat="1" ht="50.25" customHeight="1" spans="1:86">
      <c r="A1347" s="5079"/>
      <c r="B1347" s="1035"/>
      <c r="C1347" s="5079"/>
      <c r="D1347" s="1035"/>
      <c r="E1347" s="5079"/>
      <c r="F1347" s="6579"/>
      <c r="G1347" s="6579"/>
      <c r="H1347" s="6579"/>
      <c r="I1347" s="6579"/>
      <c r="J1347" s="6579"/>
      <c r="K1347" s="6591"/>
      <c r="L1347" s="6579"/>
      <c r="M1347" s="6598"/>
      <c r="N1347" s="6598"/>
      <c r="O1347" s="6598"/>
      <c r="P1347" s="6598"/>
      <c r="Q1347" s="6598"/>
      <c r="R1347" s="6598"/>
      <c r="S1347" s="6598"/>
      <c r="T1347" s="6598"/>
      <c r="U1347" s="6598"/>
      <c r="V1347" s="6598"/>
      <c r="W1347" s="6598"/>
      <c r="X1347" s="6598"/>
      <c r="Y1347" s="6598"/>
      <c r="Z1347" s="6598"/>
      <c r="AA1347" s="6598"/>
      <c r="AB1347" s="6598"/>
      <c r="AC1347" s="5488">
        <v>4</v>
      </c>
      <c r="AD1347" s="6524" t="s">
        <v>2256</v>
      </c>
      <c r="AE1347" s="6525">
        <v>0.15</v>
      </c>
      <c r="AF1347" s="6526">
        <f>M1344*AE1347</f>
        <v>54000</v>
      </c>
      <c r="AG1347" s="6526">
        <f t="shared" si="271"/>
        <v>0</v>
      </c>
      <c r="AH1347" s="6627"/>
      <c r="AI1347" s="5488"/>
      <c r="AJ1347" s="5488"/>
      <c r="AK1347" s="5488"/>
      <c r="AL1347" s="5488"/>
      <c r="AM1347" s="5488"/>
      <c r="AN1347" s="5483">
        <f t="shared" si="272"/>
        <v>0</v>
      </c>
      <c r="AO1347" s="5483"/>
      <c r="AP1347" s="5483">
        <f t="shared" si="273"/>
        <v>0</v>
      </c>
      <c r="AQ1347" s="6557"/>
      <c r="AR1347" s="5488"/>
      <c r="AS1347" s="6563"/>
      <c r="AT1347" s="6557"/>
      <c r="AU1347" s="2680"/>
      <c r="AV1347" s="2680"/>
      <c r="AW1347" s="2680"/>
      <c r="AX1347" s="2680"/>
      <c r="AY1347" s="2680"/>
      <c r="AZ1347" s="2680"/>
      <c r="BA1347" s="5483"/>
      <c r="BB1347" s="5483"/>
      <c r="BC1347" s="5483"/>
      <c r="BD1347" s="5483"/>
      <c r="BE1347" s="5483"/>
      <c r="BF1347" s="5483"/>
      <c r="BG1347" s="5483"/>
      <c r="BH1347" s="5483"/>
      <c r="BI1347" s="6567"/>
      <c r="BJ1347" s="6567"/>
      <c r="BK1347" s="6567"/>
      <c r="BL1347" s="6567"/>
      <c r="BM1347" s="6567"/>
      <c r="BN1347" s="5483"/>
      <c r="BO1347" s="5488"/>
      <c r="BP1347" s="5488"/>
      <c r="BQ1347" s="5488"/>
      <c r="BR1347" s="5488"/>
      <c r="BS1347" s="5488"/>
      <c r="BT1347" s="5488"/>
      <c r="BU1347" s="5488"/>
      <c r="BV1347" s="5488"/>
      <c r="BW1347" s="6572"/>
      <c r="BX1347" s="6526"/>
      <c r="BY1347" s="6526"/>
      <c r="BZ1347" s="6526"/>
      <c r="CA1347" s="6526"/>
      <c r="CB1347" s="6577"/>
      <c r="CC1347" s="5488"/>
      <c r="CD1347" s="5488"/>
      <c r="CE1347" s="5169"/>
      <c r="CF1347" s="5169"/>
      <c r="CG1347" s="5169"/>
      <c r="CH1347" s="5169"/>
    </row>
    <row r="1348" s="4965" customFormat="1" ht="50.25" customHeight="1" spans="1:86">
      <c r="A1348" s="5079"/>
      <c r="B1348" s="1035" t="s">
        <v>1951</v>
      </c>
      <c r="C1348" s="5079">
        <v>45499</v>
      </c>
      <c r="D1348" s="1035" t="s">
        <v>2257</v>
      </c>
      <c r="E1348" s="5079"/>
      <c r="F1348" s="6580" t="s">
        <v>2258</v>
      </c>
      <c r="G1348" s="6580" t="s">
        <v>2259</v>
      </c>
      <c r="H1348" s="6580" t="s">
        <v>2182</v>
      </c>
      <c r="I1348" s="6580" t="s">
        <v>2260</v>
      </c>
      <c r="J1348" s="6580" t="s">
        <v>2237</v>
      </c>
      <c r="K1348" s="6580" t="s">
        <v>2261</v>
      </c>
      <c r="L1348" s="5219" t="s">
        <v>2262</v>
      </c>
      <c r="M1348" s="2840">
        <f>SUM(N1348:AA1354)</f>
        <v>2756380.5</v>
      </c>
      <c r="N1348" s="6599"/>
      <c r="O1348" s="6599"/>
      <c r="P1348" s="6599"/>
      <c r="Q1348" s="6599"/>
      <c r="R1348" s="6599"/>
      <c r="S1348" s="6599"/>
      <c r="T1348" s="6599"/>
      <c r="U1348" s="6599"/>
      <c r="V1348" s="6599"/>
      <c r="W1348" s="6599"/>
      <c r="X1348" s="6599"/>
      <c r="Y1348" s="6599"/>
      <c r="Z1348" s="6599"/>
      <c r="AA1348" s="6599">
        <v>2756380.5</v>
      </c>
      <c r="AB1348" s="6607" t="s">
        <v>126</v>
      </c>
      <c r="AC1348" s="2838">
        <v>1</v>
      </c>
      <c r="AD1348" s="3194" t="s">
        <v>2093</v>
      </c>
      <c r="AE1348" s="6609">
        <v>0.1</v>
      </c>
      <c r="AF1348" s="2850">
        <f>M1348*AE1348</f>
        <v>275638.05</v>
      </c>
      <c r="AG1348" s="6628">
        <f t="shared" si="271"/>
        <v>275638.05</v>
      </c>
      <c r="AH1348" s="6629" t="s">
        <v>122</v>
      </c>
      <c r="AI1348" s="6630">
        <v>45628</v>
      </c>
      <c r="AJ1348" s="2706">
        <v>275638.05</v>
      </c>
      <c r="AK1348" s="2649">
        <v>45628</v>
      </c>
      <c r="AL1348" s="2706">
        <v>275638.05</v>
      </c>
      <c r="AM1348" s="2838">
        <v>45629</v>
      </c>
      <c r="AN1348" s="2850">
        <f t="shared" si="272"/>
        <v>275638.05</v>
      </c>
      <c r="AO1348" s="2649">
        <v>45651</v>
      </c>
      <c r="AP1348" s="2850">
        <f t="shared" si="273"/>
        <v>0</v>
      </c>
      <c r="AQ1348" s="6650"/>
      <c r="AR1348" s="2838"/>
      <c r="AS1348" s="6657"/>
      <c r="AT1348" s="6650"/>
      <c r="AU1348" s="2680"/>
      <c r="AV1348" s="2680"/>
      <c r="AW1348" s="2680"/>
      <c r="AX1348" s="2680"/>
      <c r="AY1348" s="2680"/>
      <c r="AZ1348" s="2680"/>
      <c r="BA1348" s="2649"/>
      <c r="BB1348" s="2649"/>
      <c r="BC1348" s="2649"/>
      <c r="BD1348" s="2649"/>
      <c r="BE1348" s="2649"/>
      <c r="BF1348" s="2649"/>
      <c r="BG1348" s="2649"/>
      <c r="BH1348" s="2649"/>
      <c r="BI1348" s="2706"/>
      <c r="BJ1348" s="2706"/>
      <c r="BK1348" s="2706"/>
      <c r="BL1348" s="2706"/>
      <c r="BM1348" s="2706"/>
      <c r="BN1348" s="2649">
        <v>275638.05</v>
      </c>
      <c r="BO1348" s="2838"/>
      <c r="BP1348" s="2838"/>
      <c r="BQ1348" s="2838"/>
      <c r="BR1348" s="2838"/>
      <c r="BS1348" s="2838"/>
      <c r="BT1348" s="2838"/>
      <c r="BU1348" s="2838"/>
      <c r="BV1348" s="2838"/>
      <c r="BW1348" s="6631"/>
      <c r="BX1348" s="2850"/>
      <c r="BY1348" s="2850"/>
      <c r="BZ1348" s="2850"/>
      <c r="CA1348" s="2850"/>
      <c r="CB1348" s="6663">
        <v>275638.05</v>
      </c>
      <c r="CC1348" s="2838"/>
      <c r="CD1348" s="2838"/>
      <c r="CE1348" s="5169"/>
      <c r="CF1348" s="5169"/>
      <c r="CG1348" s="5169"/>
      <c r="CH1348" s="5169"/>
    </row>
    <row r="1349" s="4965" customFormat="1" ht="50.25" customHeight="1" spans="1:86">
      <c r="A1349" s="5079"/>
      <c r="B1349" s="1035"/>
      <c r="C1349" s="5079"/>
      <c r="D1349" s="1035"/>
      <c r="E1349" s="5079"/>
      <c r="F1349" s="3194"/>
      <c r="G1349" s="3194"/>
      <c r="H1349" s="3194"/>
      <c r="I1349" s="3194"/>
      <c r="J1349" s="3194"/>
      <c r="K1349" s="6580"/>
      <c r="L1349" s="6592"/>
      <c r="M1349" s="6599"/>
      <c r="N1349" s="6599"/>
      <c r="O1349" s="6599"/>
      <c r="P1349" s="6599"/>
      <c r="Q1349" s="6599"/>
      <c r="R1349" s="6599"/>
      <c r="S1349" s="6599"/>
      <c r="T1349" s="6599"/>
      <c r="U1349" s="6599"/>
      <c r="V1349" s="6599"/>
      <c r="W1349" s="6599"/>
      <c r="X1349" s="6599"/>
      <c r="Y1349" s="6599"/>
      <c r="Z1349" s="6599"/>
      <c r="AA1349" s="6599"/>
      <c r="AB1349" s="6599"/>
      <c r="AC1349" s="2838">
        <v>2</v>
      </c>
      <c r="AD1349" s="3194" t="s">
        <v>2046</v>
      </c>
      <c r="AE1349" s="6609">
        <v>0.35</v>
      </c>
      <c r="AF1349" s="2850">
        <f>M1348*AE1349</f>
        <v>964733.175</v>
      </c>
      <c r="AG1349" s="6628">
        <f t="shared" si="271"/>
        <v>964733.175</v>
      </c>
      <c r="AH1349" s="6629" t="s">
        <v>122</v>
      </c>
      <c r="AI1349" s="6630">
        <v>45628</v>
      </c>
      <c r="AJ1349" s="2706">
        <v>964733.175</v>
      </c>
      <c r="AK1349" s="2649">
        <v>45628</v>
      </c>
      <c r="AL1349" s="2706">
        <v>964733.175</v>
      </c>
      <c r="AM1349" s="2838">
        <v>45629</v>
      </c>
      <c r="AN1349" s="2850">
        <f t="shared" si="272"/>
        <v>964733.175</v>
      </c>
      <c r="AO1349" s="2649">
        <v>45651</v>
      </c>
      <c r="AP1349" s="2850">
        <f t="shared" si="273"/>
        <v>0</v>
      </c>
      <c r="AQ1349" s="6650"/>
      <c r="AR1349" s="2838"/>
      <c r="AS1349" s="6657"/>
      <c r="AT1349" s="6650"/>
      <c r="AU1349" s="2680"/>
      <c r="AV1349" s="2680"/>
      <c r="AW1349" s="2680"/>
      <c r="AX1349" s="2680"/>
      <c r="AY1349" s="2680"/>
      <c r="AZ1349" s="2680"/>
      <c r="BA1349" s="2649"/>
      <c r="BB1349" s="2649"/>
      <c r="BC1349" s="2649"/>
      <c r="BD1349" s="2649"/>
      <c r="BE1349" s="2649"/>
      <c r="BF1349" s="2649"/>
      <c r="BG1349" s="2649"/>
      <c r="BH1349" s="2649"/>
      <c r="BI1349" s="2706"/>
      <c r="BJ1349" s="2706"/>
      <c r="BK1349" s="2706"/>
      <c r="BL1349" s="2706"/>
      <c r="BM1349" s="2706"/>
      <c r="BN1349" s="2649">
        <v>964733.175</v>
      </c>
      <c r="BO1349" s="2838"/>
      <c r="BP1349" s="2838"/>
      <c r="BQ1349" s="2838"/>
      <c r="BR1349" s="2838"/>
      <c r="BS1349" s="2838"/>
      <c r="BT1349" s="2838"/>
      <c r="BU1349" s="2838"/>
      <c r="BV1349" s="2838"/>
      <c r="BW1349" s="6631"/>
      <c r="BX1349" s="2850"/>
      <c r="BY1349" s="2850"/>
      <c r="BZ1349" s="2850"/>
      <c r="CA1349" s="2850"/>
      <c r="CB1349" s="6663">
        <v>964733.175</v>
      </c>
      <c r="CC1349" s="2838"/>
      <c r="CD1349" s="2838"/>
      <c r="CE1349" s="5169"/>
      <c r="CF1349" s="5169"/>
      <c r="CG1349" s="5169"/>
      <c r="CH1349" s="5169"/>
    </row>
    <row r="1350" s="4965" customFormat="1" ht="50.25" customHeight="1" spans="1:86">
      <c r="A1350" s="5079"/>
      <c r="B1350" s="1035"/>
      <c r="C1350" s="5079"/>
      <c r="D1350" s="1035"/>
      <c r="E1350" s="5079"/>
      <c r="F1350" s="3194"/>
      <c r="G1350" s="3194"/>
      <c r="H1350" s="3194"/>
      <c r="I1350" s="3194"/>
      <c r="J1350" s="3194"/>
      <c r="K1350" s="6580"/>
      <c r="L1350" s="6592"/>
      <c r="M1350" s="6599"/>
      <c r="N1350" s="6599"/>
      <c r="O1350" s="6599"/>
      <c r="P1350" s="6599"/>
      <c r="Q1350" s="6599"/>
      <c r="R1350" s="6599"/>
      <c r="S1350" s="6599"/>
      <c r="T1350" s="6599"/>
      <c r="U1350" s="6599"/>
      <c r="V1350" s="6599"/>
      <c r="W1350" s="6599"/>
      <c r="X1350" s="6599"/>
      <c r="Y1350" s="6599"/>
      <c r="Z1350" s="6599"/>
      <c r="AA1350" s="6599"/>
      <c r="AB1350" s="6599"/>
      <c r="AC1350" s="2840">
        <v>3</v>
      </c>
      <c r="AD1350" s="6580" t="s">
        <v>2263</v>
      </c>
      <c r="AE1350" s="6610">
        <v>0.15</v>
      </c>
      <c r="AF1350" s="2852">
        <f>M1348*AE1350</f>
        <v>413457.075</v>
      </c>
      <c r="AG1350" s="6628">
        <f t="shared" si="271"/>
        <v>54000</v>
      </c>
      <c r="AH1350" s="6629" t="s">
        <v>122</v>
      </c>
      <c r="AI1350" s="6630">
        <v>45628</v>
      </c>
      <c r="AJ1350" s="2706">
        <v>54000</v>
      </c>
      <c r="AK1350" s="2649">
        <v>45628</v>
      </c>
      <c r="AL1350" s="2706">
        <v>54000</v>
      </c>
      <c r="AM1350" s="2838">
        <v>45629</v>
      </c>
      <c r="AN1350" s="2850">
        <f t="shared" si="272"/>
        <v>54000</v>
      </c>
      <c r="AO1350" s="2649">
        <v>45651</v>
      </c>
      <c r="AP1350" s="2850">
        <f t="shared" si="273"/>
        <v>0</v>
      </c>
      <c r="AQ1350" s="6650"/>
      <c r="AR1350" s="2838"/>
      <c r="AS1350" s="6657"/>
      <c r="AT1350" s="6650"/>
      <c r="AU1350" s="2680"/>
      <c r="AV1350" s="2680"/>
      <c r="AW1350" s="2680"/>
      <c r="AX1350" s="2680"/>
      <c r="AY1350" s="2680"/>
      <c r="AZ1350" s="2680"/>
      <c r="BA1350" s="2649"/>
      <c r="BB1350" s="2649"/>
      <c r="BC1350" s="2649"/>
      <c r="BD1350" s="2649"/>
      <c r="BE1350" s="2649"/>
      <c r="BF1350" s="2649"/>
      <c r="BG1350" s="2649"/>
      <c r="BH1350" s="2649"/>
      <c r="BI1350" s="2706"/>
      <c r="BJ1350" s="2706"/>
      <c r="BK1350" s="2706"/>
      <c r="BL1350" s="2706"/>
      <c r="BM1350" s="2706"/>
      <c r="BN1350" s="2649">
        <v>54000</v>
      </c>
      <c r="BO1350" s="2838"/>
      <c r="BP1350" s="2838"/>
      <c r="BQ1350" s="2838"/>
      <c r="BR1350" s="2838"/>
      <c r="BS1350" s="2838"/>
      <c r="BT1350" s="2838"/>
      <c r="BU1350" s="2838"/>
      <c r="BV1350" s="2838"/>
      <c r="BW1350" s="6631"/>
      <c r="BX1350" s="2850"/>
      <c r="BY1350" s="2850"/>
      <c r="BZ1350" s="2850"/>
      <c r="CA1350" s="2850"/>
      <c r="CB1350" s="6663">
        <v>54000</v>
      </c>
      <c r="CC1350" s="2838"/>
      <c r="CD1350" s="2838"/>
      <c r="CE1350" s="5169"/>
      <c r="CF1350" s="5169"/>
      <c r="CG1350" s="5169"/>
      <c r="CH1350" s="5169"/>
    </row>
    <row r="1351" s="4965" customFormat="1" ht="50.25" customHeight="1" spans="1:86">
      <c r="A1351" s="5079"/>
      <c r="B1351" s="1035"/>
      <c r="C1351" s="5079"/>
      <c r="D1351" s="1035"/>
      <c r="E1351" s="5079"/>
      <c r="F1351" s="3194"/>
      <c r="G1351" s="3194"/>
      <c r="H1351" s="3194"/>
      <c r="I1351" s="3194"/>
      <c r="J1351" s="3194"/>
      <c r="K1351" s="6580"/>
      <c r="L1351" s="6592"/>
      <c r="M1351" s="6599"/>
      <c r="N1351" s="6599"/>
      <c r="O1351" s="6599"/>
      <c r="P1351" s="6599"/>
      <c r="Q1351" s="6599"/>
      <c r="R1351" s="6599"/>
      <c r="S1351" s="6599"/>
      <c r="T1351" s="6599"/>
      <c r="U1351" s="6599"/>
      <c r="V1351" s="6599"/>
      <c r="W1351" s="6599"/>
      <c r="X1351" s="6599"/>
      <c r="Y1351" s="6599"/>
      <c r="Z1351" s="6599"/>
      <c r="AA1351" s="6599"/>
      <c r="AB1351" s="6599"/>
      <c r="AC1351" s="6600"/>
      <c r="AD1351" s="3194" t="s">
        <v>2049</v>
      </c>
      <c r="AE1351" s="6611"/>
      <c r="AF1351" s="3201"/>
      <c r="AG1351" s="6628">
        <f t="shared" si="271"/>
        <v>359457.075</v>
      </c>
      <c r="AH1351" s="6629" t="s">
        <v>122</v>
      </c>
      <c r="AI1351" s="6630">
        <v>45727</v>
      </c>
      <c r="AJ1351" s="2649">
        <v>359457.075</v>
      </c>
      <c r="AK1351" s="6630">
        <v>45727</v>
      </c>
      <c r="AL1351" s="6630">
        <v>359457.075</v>
      </c>
      <c r="AM1351" s="6630">
        <v>45744</v>
      </c>
      <c r="AN1351" s="2706">
        <f t="shared" si="272"/>
        <v>359457.075</v>
      </c>
      <c r="AO1351" s="2649">
        <v>45804</v>
      </c>
      <c r="AP1351" s="2850">
        <f t="shared" si="273"/>
        <v>0</v>
      </c>
      <c r="AQ1351" s="6650"/>
      <c r="AR1351" s="2838"/>
      <c r="AS1351" s="6657"/>
      <c r="AT1351" s="6650"/>
      <c r="AU1351" s="2680"/>
      <c r="AV1351" s="2680"/>
      <c r="AW1351" s="2680"/>
      <c r="AX1351" s="2680"/>
      <c r="AY1351" s="2680"/>
      <c r="AZ1351" s="2680"/>
      <c r="BA1351" s="2649"/>
      <c r="BB1351" s="2649"/>
      <c r="BC1351" s="2649"/>
      <c r="BD1351" s="2649"/>
      <c r="BE1351" s="2649"/>
      <c r="BF1351" s="2649"/>
      <c r="BG1351" s="2649"/>
      <c r="BH1351" s="2649"/>
      <c r="BI1351" s="2706"/>
      <c r="BJ1351" s="2706"/>
      <c r="BK1351" s="2706"/>
      <c r="BL1351" s="2706"/>
      <c r="BM1351" s="2706"/>
      <c r="BN1351" s="2649">
        <v>359457.075</v>
      </c>
      <c r="BO1351" s="2838"/>
      <c r="BP1351" s="2838"/>
      <c r="BQ1351" s="2838"/>
      <c r="BR1351" s="2838"/>
      <c r="BS1351" s="2838"/>
      <c r="BT1351" s="2838"/>
      <c r="BU1351" s="2838"/>
      <c r="BV1351" s="2838"/>
      <c r="BW1351" s="6631"/>
      <c r="BX1351" s="2850"/>
      <c r="BY1351" s="2850"/>
      <c r="BZ1351" s="2850"/>
      <c r="CA1351" s="2850"/>
      <c r="CB1351" s="2838">
        <v>359457.075</v>
      </c>
      <c r="CC1351" s="2838"/>
      <c r="CD1351" s="2838"/>
      <c r="CE1351" s="5169"/>
      <c r="CF1351" s="5169"/>
      <c r="CG1351" s="5169"/>
      <c r="CH1351" s="5169"/>
    </row>
    <row r="1352" s="4965" customFormat="1" ht="50.25" customHeight="1" spans="1:86">
      <c r="A1352" s="5079"/>
      <c r="B1352" s="1035"/>
      <c r="C1352" s="5079"/>
      <c r="D1352" s="1035"/>
      <c r="E1352" s="5079"/>
      <c r="F1352" s="3194"/>
      <c r="G1352" s="3194"/>
      <c r="H1352" s="3194"/>
      <c r="I1352" s="3194"/>
      <c r="J1352" s="3194"/>
      <c r="K1352" s="6580"/>
      <c r="L1352" s="6592"/>
      <c r="M1352" s="6599"/>
      <c r="N1352" s="6599"/>
      <c r="O1352" s="6599"/>
      <c r="P1352" s="6599"/>
      <c r="Q1352" s="6599"/>
      <c r="R1352" s="6599"/>
      <c r="S1352" s="6599"/>
      <c r="T1352" s="6599"/>
      <c r="U1352" s="6599"/>
      <c r="V1352" s="6599"/>
      <c r="W1352" s="6599"/>
      <c r="X1352" s="6599"/>
      <c r="Y1352" s="6599"/>
      <c r="Z1352" s="6599"/>
      <c r="AA1352" s="6599"/>
      <c r="AB1352" s="6599"/>
      <c r="AC1352" s="2840">
        <v>4</v>
      </c>
      <c r="AD1352" s="6580" t="s">
        <v>2037</v>
      </c>
      <c r="AE1352" s="6610">
        <v>0.25</v>
      </c>
      <c r="AF1352" s="2852">
        <f>M1348*AE1352</f>
        <v>689095.125</v>
      </c>
      <c r="AG1352" s="6628">
        <f t="shared" si="271"/>
        <v>90000</v>
      </c>
      <c r="AH1352" s="6629" t="s">
        <v>122</v>
      </c>
      <c r="AI1352" s="6630">
        <v>45628</v>
      </c>
      <c r="AJ1352" s="2706">
        <v>90000</v>
      </c>
      <c r="AK1352" s="2649">
        <v>45628</v>
      </c>
      <c r="AL1352" s="2706">
        <v>90000</v>
      </c>
      <c r="AM1352" s="2838">
        <v>45629</v>
      </c>
      <c r="AN1352" s="2850">
        <f t="shared" si="272"/>
        <v>90000</v>
      </c>
      <c r="AO1352" s="2649">
        <v>45651</v>
      </c>
      <c r="AP1352" s="2850">
        <f t="shared" si="273"/>
        <v>0</v>
      </c>
      <c r="AQ1352" s="6650"/>
      <c r="AR1352" s="2838"/>
      <c r="AS1352" s="6657"/>
      <c r="AT1352" s="6650"/>
      <c r="AU1352" s="2680"/>
      <c r="AV1352" s="2680"/>
      <c r="AW1352" s="2680"/>
      <c r="AX1352" s="2680"/>
      <c r="AY1352" s="2680"/>
      <c r="AZ1352" s="2680"/>
      <c r="BA1352" s="2649"/>
      <c r="BB1352" s="2649"/>
      <c r="BC1352" s="2649"/>
      <c r="BD1352" s="2649"/>
      <c r="BE1352" s="2649"/>
      <c r="BF1352" s="2649"/>
      <c r="BG1352" s="2649"/>
      <c r="BH1352" s="2649"/>
      <c r="BI1352" s="2706"/>
      <c r="BJ1352" s="2706"/>
      <c r="BK1352" s="2706"/>
      <c r="BL1352" s="2706"/>
      <c r="BM1352" s="2706"/>
      <c r="BN1352" s="2649">
        <v>90000</v>
      </c>
      <c r="BO1352" s="2838"/>
      <c r="BP1352" s="2838"/>
      <c r="BQ1352" s="2838"/>
      <c r="BR1352" s="2838"/>
      <c r="BS1352" s="2838"/>
      <c r="BT1352" s="2838"/>
      <c r="BU1352" s="2838"/>
      <c r="BV1352" s="2838"/>
      <c r="BW1352" s="6631"/>
      <c r="BX1352" s="2850"/>
      <c r="BY1352" s="2850"/>
      <c r="BZ1352" s="2850"/>
      <c r="CA1352" s="2850"/>
      <c r="CB1352" s="6663">
        <v>90000</v>
      </c>
      <c r="CC1352" s="2838"/>
      <c r="CD1352" s="2838"/>
      <c r="CE1352" s="5169"/>
      <c r="CF1352" s="5169"/>
      <c r="CG1352" s="5169"/>
      <c r="CH1352" s="5169"/>
    </row>
    <row r="1353" s="4965" customFormat="1" ht="50.25" customHeight="1" spans="1:86">
      <c r="A1353" s="5079"/>
      <c r="B1353" s="1035"/>
      <c r="C1353" s="5079"/>
      <c r="D1353" s="1035"/>
      <c r="E1353" s="5079"/>
      <c r="F1353" s="3194"/>
      <c r="G1353" s="3194"/>
      <c r="H1353" s="3194"/>
      <c r="I1353" s="3194"/>
      <c r="J1353" s="3194"/>
      <c r="K1353" s="6580"/>
      <c r="L1353" s="6592"/>
      <c r="M1353" s="6599"/>
      <c r="N1353" s="6599"/>
      <c r="O1353" s="6599"/>
      <c r="P1353" s="6599"/>
      <c r="Q1353" s="6599"/>
      <c r="R1353" s="6599"/>
      <c r="S1353" s="6599"/>
      <c r="T1353" s="6599"/>
      <c r="U1353" s="6599"/>
      <c r="V1353" s="6599"/>
      <c r="W1353" s="6599"/>
      <c r="X1353" s="6599"/>
      <c r="Y1353" s="6599"/>
      <c r="Z1353" s="6599"/>
      <c r="AA1353" s="6599"/>
      <c r="AB1353" s="6599"/>
      <c r="AC1353" s="6600"/>
      <c r="AD1353" s="3194" t="s">
        <v>2051</v>
      </c>
      <c r="AE1353" s="6611"/>
      <c r="AF1353" s="3201"/>
      <c r="AG1353" s="6631">
        <f t="shared" si="271"/>
        <v>599095.125</v>
      </c>
      <c r="AH1353" s="6632" t="s">
        <v>349</v>
      </c>
      <c r="AI1353" s="6633">
        <v>46052</v>
      </c>
      <c r="AJ1353" s="2838"/>
      <c r="AK1353" s="2838"/>
      <c r="AL1353" s="2838"/>
      <c r="AM1353" s="2838"/>
      <c r="AN1353" s="6631">
        <f t="shared" si="272"/>
        <v>599095.125</v>
      </c>
      <c r="AO1353" s="6631">
        <v>46078</v>
      </c>
      <c r="AP1353" s="2850">
        <f t="shared" si="273"/>
        <v>0</v>
      </c>
      <c r="AQ1353" s="6650"/>
      <c r="AR1353" s="2838"/>
      <c r="AS1353" s="6657"/>
      <c r="AT1353" s="6650"/>
      <c r="AU1353" s="2680"/>
      <c r="AV1353" s="2680"/>
      <c r="AW1353" s="2680"/>
      <c r="AX1353" s="2680"/>
      <c r="AY1353" s="2680"/>
      <c r="AZ1353" s="2680"/>
      <c r="BA1353" s="2649"/>
      <c r="BB1353" s="2649"/>
      <c r="BC1353" s="2649"/>
      <c r="BD1353" s="2649"/>
      <c r="BE1353" s="2649"/>
      <c r="BF1353" s="2649"/>
      <c r="BG1353" s="2649"/>
      <c r="BH1353" s="2649"/>
      <c r="BI1353" s="2706"/>
      <c r="BJ1353" s="2706"/>
      <c r="BK1353" s="2706"/>
      <c r="BL1353" s="2706"/>
      <c r="BM1353" s="2706"/>
      <c r="BN1353" s="2649">
        <v>599095.125</v>
      </c>
      <c r="BO1353" s="2838"/>
      <c r="BP1353" s="2838"/>
      <c r="BQ1353" s="2838"/>
      <c r="BR1353" s="2838"/>
      <c r="BS1353" s="2838"/>
      <c r="BT1353" s="2838"/>
      <c r="BU1353" s="2838"/>
      <c r="BV1353" s="2838"/>
      <c r="BW1353" s="6631"/>
      <c r="BX1353" s="2850"/>
      <c r="BY1353" s="2850"/>
      <c r="BZ1353" s="2850"/>
      <c r="CA1353" s="2850"/>
      <c r="CB1353" s="2838">
        <v>599095.125</v>
      </c>
      <c r="CC1353" s="2838"/>
      <c r="CD1353" s="2838"/>
      <c r="CE1353" s="5169"/>
      <c r="CF1353" s="5169"/>
      <c r="CG1353" s="5169"/>
      <c r="CH1353" s="5169"/>
    </row>
    <row r="1354" s="4965" customFormat="1" ht="50.25" customHeight="1" spans="1:86">
      <c r="A1354" s="5079"/>
      <c r="B1354" s="1035"/>
      <c r="C1354" s="5079"/>
      <c r="D1354" s="1035"/>
      <c r="E1354" s="5079"/>
      <c r="F1354" s="3194"/>
      <c r="G1354" s="3194"/>
      <c r="H1354" s="3194"/>
      <c r="I1354" s="3194"/>
      <c r="J1354" s="3194"/>
      <c r="K1354" s="6580"/>
      <c r="L1354" s="6593"/>
      <c r="M1354" s="6600"/>
      <c r="N1354" s="6600"/>
      <c r="O1354" s="6600"/>
      <c r="P1354" s="6600"/>
      <c r="Q1354" s="6600"/>
      <c r="R1354" s="6600"/>
      <c r="S1354" s="6600"/>
      <c r="T1354" s="6600"/>
      <c r="U1354" s="6600"/>
      <c r="V1354" s="6600"/>
      <c r="W1354" s="6600"/>
      <c r="X1354" s="6600"/>
      <c r="Y1354" s="6600"/>
      <c r="Z1354" s="6600"/>
      <c r="AA1354" s="6600"/>
      <c r="AB1354" s="6600"/>
      <c r="AC1354" s="2838">
        <v>5</v>
      </c>
      <c r="AD1354" s="3194" t="s">
        <v>2055</v>
      </c>
      <c r="AE1354" s="6609">
        <v>0.15</v>
      </c>
      <c r="AF1354" s="2850">
        <f>M1348*AE1354</f>
        <v>413457.075</v>
      </c>
      <c r="AG1354" s="2850">
        <f t="shared" si="271"/>
        <v>0</v>
      </c>
      <c r="AH1354" s="6580"/>
      <c r="AI1354" s="2838"/>
      <c r="AJ1354" s="2838"/>
      <c r="AK1354" s="2838"/>
      <c r="AL1354" s="2838"/>
      <c r="AM1354" s="2838"/>
      <c r="AN1354" s="2850">
        <f t="shared" si="272"/>
        <v>0</v>
      </c>
      <c r="AO1354" s="2649"/>
      <c r="AP1354" s="2850">
        <f t="shared" si="273"/>
        <v>0</v>
      </c>
      <c r="AQ1354" s="6650"/>
      <c r="AR1354" s="2838"/>
      <c r="AS1354" s="6657"/>
      <c r="AT1354" s="6650"/>
      <c r="AU1354" s="2680"/>
      <c r="AV1354" s="2680"/>
      <c r="AW1354" s="2680"/>
      <c r="AX1354" s="2680"/>
      <c r="AY1354" s="2680"/>
      <c r="AZ1354" s="2680"/>
      <c r="BA1354" s="2649"/>
      <c r="BB1354" s="2649"/>
      <c r="BC1354" s="2649"/>
      <c r="BD1354" s="2649"/>
      <c r="BE1354" s="2649"/>
      <c r="BF1354" s="2649"/>
      <c r="BG1354" s="2649"/>
      <c r="BH1354" s="2649"/>
      <c r="BI1354" s="2706"/>
      <c r="BJ1354" s="2706"/>
      <c r="BK1354" s="2706"/>
      <c r="BL1354" s="2706"/>
      <c r="BM1354" s="2706"/>
      <c r="BN1354" s="2649"/>
      <c r="BO1354" s="2838"/>
      <c r="BP1354" s="2838"/>
      <c r="BQ1354" s="2838"/>
      <c r="BR1354" s="2838"/>
      <c r="BS1354" s="2838"/>
      <c r="BT1354" s="2838"/>
      <c r="BU1354" s="2838"/>
      <c r="BV1354" s="2838"/>
      <c r="BW1354" s="6631"/>
      <c r="BX1354" s="2850"/>
      <c r="BY1354" s="2850"/>
      <c r="BZ1354" s="2850"/>
      <c r="CA1354" s="2850"/>
      <c r="CB1354" s="6663"/>
      <c r="CC1354" s="2838"/>
      <c r="CD1354" s="2838"/>
      <c r="CE1354" s="5169"/>
      <c r="CF1354" s="5169"/>
      <c r="CG1354" s="5169"/>
      <c r="CH1354" s="5169"/>
    </row>
    <row r="1355" s="4965" customFormat="1" ht="50.25" customHeight="1" spans="1:86">
      <c r="A1355" s="5079"/>
      <c r="B1355" s="1035"/>
      <c r="C1355" s="5079"/>
      <c r="D1355" s="1035"/>
      <c r="E1355" s="5079"/>
      <c r="F1355" s="5370" t="s">
        <v>2264</v>
      </c>
      <c r="G1355" s="5370" t="s">
        <v>2259</v>
      </c>
      <c r="H1355" s="5370" t="s">
        <v>993</v>
      </c>
      <c r="I1355" s="5370" t="s">
        <v>2260</v>
      </c>
      <c r="J1355" s="5370" t="s">
        <v>2237</v>
      </c>
      <c r="K1355" s="5370" t="s">
        <v>2265</v>
      </c>
      <c r="L1355" s="5370" t="s">
        <v>2266</v>
      </c>
      <c r="M1355" s="2686">
        <f>SUM(N1355:AA1363)</f>
        <v>2133613.3</v>
      </c>
      <c r="N1355" s="3154"/>
      <c r="O1355" s="3154"/>
      <c r="P1355" s="3154"/>
      <c r="Q1355" s="3154"/>
      <c r="R1355" s="3154"/>
      <c r="S1355" s="3154"/>
      <c r="T1355" s="3154"/>
      <c r="U1355" s="3154"/>
      <c r="V1355" s="3154"/>
      <c r="W1355" s="3154"/>
      <c r="X1355" s="3154"/>
      <c r="Y1355" s="3154"/>
      <c r="Z1355" s="3154"/>
      <c r="AA1355" s="3154">
        <v>2133613.3</v>
      </c>
      <c r="AB1355" s="906" t="s">
        <v>126</v>
      </c>
      <c r="AC1355" s="2686">
        <v>1</v>
      </c>
      <c r="AD1355" s="3181" t="s">
        <v>2059</v>
      </c>
      <c r="AE1355" s="6612">
        <v>0.2</v>
      </c>
      <c r="AF1355" s="2719">
        <f>M1355*AE1355</f>
        <v>426722.66</v>
      </c>
      <c r="AG1355" s="5628">
        <f t="shared" si="271"/>
        <v>320402.66</v>
      </c>
      <c r="AH1355" s="6537" t="s">
        <v>122</v>
      </c>
      <c r="AI1355" s="5471">
        <v>45628</v>
      </c>
      <c r="AJ1355" s="600">
        <v>320402.66</v>
      </c>
      <c r="AK1355" s="2957">
        <v>45628</v>
      </c>
      <c r="AL1355" s="2682">
        <v>320402.66</v>
      </c>
      <c r="AM1355" s="2682">
        <v>45629</v>
      </c>
      <c r="AN1355" s="2716">
        <f t="shared" si="272"/>
        <v>320402.66</v>
      </c>
      <c r="AO1355" s="2957">
        <v>45651</v>
      </c>
      <c r="AP1355" s="2716">
        <f t="shared" si="273"/>
        <v>0</v>
      </c>
      <c r="AQ1355" s="5410"/>
      <c r="AR1355" s="2682"/>
      <c r="AS1355" s="6439"/>
      <c r="AT1355" s="5410"/>
      <c r="AU1355" s="2680"/>
      <c r="AV1355" s="2680"/>
      <c r="AW1355" s="2680"/>
      <c r="AX1355" s="2680"/>
      <c r="AY1355" s="2680"/>
      <c r="AZ1355" s="2680"/>
      <c r="BA1355" s="2957"/>
      <c r="BB1355" s="2957"/>
      <c r="BC1355" s="2957"/>
      <c r="BD1355" s="2957"/>
      <c r="BE1355" s="2957"/>
      <c r="BF1355" s="2957"/>
      <c r="BG1355" s="2957"/>
      <c r="BH1355" s="2957"/>
      <c r="BI1355" s="600"/>
      <c r="BJ1355" s="600"/>
      <c r="BK1355" s="600"/>
      <c r="BL1355" s="600"/>
      <c r="BM1355" s="600"/>
      <c r="BN1355" s="2957">
        <v>320402.66</v>
      </c>
      <c r="BO1355" s="2682"/>
      <c r="BP1355" s="2682"/>
      <c r="BQ1355" s="2682"/>
      <c r="BR1355" s="2682"/>
      <c r="BS1355" s="2682"/>
      <c r="BT1355" s="2682"/>
      <c r="BU1355" s="2682"/>
      <c r="BV1355" s="2682"/>
      <c r="BW1355" s="5394"/>
      <c r="BX1355" s="2716"/>
      <c r="BY1355" s="2716"/>
      <c r="BZ1355" s="2716"/>
      <c r="CA1355" s="2716"/>
      <c r="CB1355" s="5627">
        <v>320402.66</v>
      </c>
      <c r="CC1355" s="2682"/>
      <c r="CD1355" s="2682"/>
      <c r="CE1355" s="5169"/>
      <c r="CF1355" s="5169"/>
      <c r="CG1355" s="5169"/>
      <c r="CH1355" s="5169"/>
    </row>
    <row r="1356" s="4965" customFormat="1" ht="50.25" customHeight="1" spans="1:86">
      <c r="A1356" s="5079"/>
      <c r="B1356" s="1035"/>
      <c r="C1356" s="5079"/>
      <c r="D1356" s="1035"/>
      <c r="E1356" s="5079"/>
      <c r="F1356" s="5443"/>
      <c r="G1356" s="5443"/>
      <c r="H1356" s="5443"/>
      <c r="I1356" s="5443"/>
      <c r="J1356" s="5443"/>
      <c r="K1356" s="5421"/>
      <c r="L1356" s="5443"/>
      <c r="M1356" s="3154"/>
      <c r="N1356" s="3154"/>
      <c r="O1356" s="3154"/>
      <c r="P1356" s="3154"/>
      <c r="Q1356" s="3154"/>
      <c r="R1356" s="3154"/>
      <c r="S1356" s="3154"/>
      <c r="T1356" s="3154"/>
      <c r="U1356" s="3154"/>
      <c r="V1356" s="3154"/>
      <c r="W1356" s="3154"/>
      <c r="X1356" s="3154"/>
      <c r="Y1356" s="3154"/>
      <c r="Z1356" s="3154"/>
      <c r="AA1356" s="3154"/>
      <c r="AB1356" s="3154"/>
      <c r="AC1356" s="3171"/>
      <c r="AD1356" s="440" t="s">
        <v>2267</v>
      </c>
      <c r="AE1356" s="6613"/>
      <c r="AF1356" s="3204"/>
      <c r="AG1356" s="5628">
        <f t="shared" ref="AG1356:AG1369" si="274">SUM(BA1356:BN1356)</f>
        <v>106320</v>
      </c>
      <c r="AH1356" s="6537" t="s">
        <v>122</v>
      </c>
      <c r="AI1356" s="5471">
        <v>45628</v>
      </c>
      <c r="AJ1356" s="600">
        <v>106320</v>
      </c>
      <c r="AK1356" s="2957">
        <v>45628</v>
      </c>
      <c r="AL1356" s="2682">
        <v>106320</v>
      </c>
      <c r="AM1356" s="2682">
        <v>45629</v>
      </c>
      <c r="AN1356" s="2716">
        <f t="shared" ref="AN1356:AN1365" si="275">SUM(BO1356:CB1356)</f>
        <v>106320</v>
      </c>
      <c r="AO1356" s="2957">
        <v>45651</v>
      </c>
      <c r="AP1356" s="2716">
        <f t="shared" ref="AP1356:AP1365" si="276">AG1356-AN1356</f>
        <v>0</v>
      </c>
      <c r="AQ1356" s="5410"/>
      <c r="AR1356" s="2682"/>
      <c r="AS1356" s="6439"/>
      <c r="AT1356" s="5410"/>
      <c r="AU1356" s="2680"/>
      <c r="AV1356" s="2680"/>
      <c r="AW1356" s="2680"/>
      <c r="AX1356" s="2680"/>
      <c r="AY1356" s="2680"/>
      <c r="AZ1356" s="2680"/>
      <c r="BA1356" s="2957"/>
      <c r="BB1356" s="2957"/>
      <c r="BC1356" s="2957"/>
      <c r="BD1356" s="2957"/>
      <c r="BE1356" s="2957"/>
      <c r="BF1356" s="2957"/>
      <c r="BG1356" s="2957"/>
      <c r="BH1356" s="2957"/>
      <c r="BI1356" s="600"/>
      <c r="BJ1356" s="600"/>
      <c r="BK1356" s="600"/>
      <c r="BL1356" s="600"/>
      <c r="BM1356" s="600"/>
      <c r="BN1356" s="2957">
        <v>106320</v>
      </c>
      <c r="BO1356" s="2682"/>
      <c r="BP1356" s="2682"/>
      <c r="BQ1356" s="2682"/>
      <c r="BR1356" s="2682"/>
      <c r="BS1356" s="2682"/>
      <c r="BT1356" s="2682"/>
      <c r="BU1356" s="2682"/>
      <c r="BV1356" s="2682"/>
      <c r="BW1356" s="5394"/>
      <c r="BX1356" s="2716"/>
      <c r="BY1356" s="2716"/>
      <c r="BZ1356" s="2716"/>
      <c r="CA1356" s="2716"/>
      <c r="CB1356" s="5627">
        <v>106320</v>
      </c>
      <c r="CC1356" s="2682"/>
      <c r="CD1356" s="2682"/>
      <c r="CE1356" s="5169"/>
      <c r="CF1356" s="5169"/>
      <c r="CG1356" s="5169"/>
      <c r="CH1356" s="5169"/>
    </row>
    <row r="1357" s="4965" customFormat="1" ht="50.25" customHeight="1" spans="1:86">
      <c r="A1357" s="5079"/>
      <c r="B1357" s="1035"/>
      <c r="C1357" s="5079"/>
      <c r="D1357" s="1035"/>
      <c r="E1357" s="5079"/>
      <c r="F1357" s="5443"/>
      <c r="G1357" s="5443"/>
      <c r="H1357" s="5443"/>
      <c r="I1357" s="5443"/>
      <c r="J1357" s="5443"/>
      <c r="K1357" s="5421"/>
      <c r="L1357" s="5443"/>
      <c r="M1357" s="3154"/>
      <c r="N1357" s="3154"/>
      <c r="O1357" s="3154"/>
      <c r="P1357" s="3154"/>
      <c r="Q1357" s="3154"/>
      <c r="R1357" s="3154"/>
      <c r="S1357" s="3154"/>
      <c r="T1357" s="3154"/>
      <c r="U1357" s="3154"/>
      <c r="V1357" s="3154"/>
      <c r="W1357" s="3154"/>
      <c r="X1357" s="3154"/>
      <c r="Y1357" s="3154"/>
      <c r="Z1357" s="3154"/>
      <c r="AA1357" s="3154"/>
      <c r="AB1357" s="3154"/>
      <c r="AC1357" s="2686">
        <v>2</v>
      </c>
      <c r="AD1357" s="3181" t="s">
        <v>2060</v>
      </c>
      <c r="AE1357" s="6612">
        <v>0.2</v>
      </c>
      <c r="AF1357" s="2719">
        <f>M1355*AE1357</f>
        <v>426722.66</v>
      </c>
      <c r="AG1357" s="5628">
        <f t="shared" si="274"/>
        <v>320402.66</v>
      </c>
      <c r="AH1357" s="6537" t="s">
        <v>122</v>
      </c>
      <c r="AI1357" s="5471">
        <v>45628</v>
      </c>
      <c r="AJ1357" s="600">
        <v>320402.66</v>
      </c>
      <c r="AK1357" s="2957">
        <v>45628</v>
      </c>
      <c r="AL1357" s="2682">
        <v>320402.66</v>
      </c>
      <c r="AM1357" s="2682">
        <v>45629</v>
      </c>
      <c r="AN1357" s="2716">
        <f t="shared" si="275"/>
        <v>320402.66</v>
      </c>
      <c r="AO1357" s="2957">
        <v>45651</v>
      </c>
      <c r="AP1357" s="2716">
        <f t="shared" si="276"/>
        <v>0</v>
      </c>
      <c r="AQ1357" s="5410"/>
      <c r="AR1357" s="2682"/>
      <c r="AS1357" s="6439"/>
      <c r="AT1357" s="5410"/>
      <c r="AU1357" s="2680"/>
      <c r="AV1357" s="2680"/>
      <c r="AW1357" s="2680"/>
      <c r="AX1357" s="2680"/>
      <c r="AY1357" s="2680"/>
      <c r="AZ1357" s="2680"/>
      <c r="BA1357" s="2957"/>
      <c r="BB1357" s="2957"/>
      <c r="BC1357" s="2957"/>
      <c r="BD1357" s="2957"/>
      <c r="BE1357" s="2957"/>
      <c r="BF1357" s="2957"/>
      <c r="BG1357" s="2957"/>
      <c r="BH1357" s="2957"/>
      <c r="BI1357" s="600"/>
      <c r="BJ1357" s="600"/>
      <c r="BK1357" s="600"/>
      <c r="BL1357" s="600"/>
      <c r="BM1357" s="600"/>
      <c r="BN1357" s="2957">
        <v>320402.66</v>
      </c>
      <c r="BO1357" s="2682"/>
      <c r="BP1357" s="2682"/>
      <c r="BQ1357" s="2682"/>
      <c r="BR1357" s="2682"/>
      <c r="BS1357" s="2682"/>
      <c r="BT1357" s="2682"/>
      <c r="BU1357" s="2682"/>
      <c r="BV1357" s="2682"/>
      <c r="BW1357" s="5394"/>
      <c r="BX1357" s="2716"/>
      <c r="BY1357" s="2716"/>
      <c r="BZ1357" s="2716"/>
      <c r="CA1357" s="2716"/>
      <c r="CB1357" s="5627">
        <v>320402.66</v>
      </c>
      <c r="CC1357" s="2682"/>
      <c r="CD1357" s="2682"/>
      <c r="CE1357" s="5169"/>
      <c r="CF1357" s="5169"/>
      <c r="CG1357" s="5169"/>
      <c r="CH1357" s="5169"/>
    </row>
    <row r="1358" s="4965" customFormat="1" ht="50.25" customHeight="1" spans="1:86">
      <c r="A1358" s="5079"/>
      <c r="B1358" s="1035"/>
      <c r="C1358" s="5079"/>
      <c r="D1358" s="1035"/>
      <c r="E1358" s="5079"/>
      <c r="F1358" s="5443"/>
      <c r="G1358" s="5443"/>
      <c r="H1358" s="5443"/>
      <c r="I1358" s="5443"/>
      <c r="J1358" s="5443"/>
      <c r="K1358" s="5421"/>
      <c r="L1358" s="5443"/>
      <c r="M1358" s="3154"/>
      <c r="N1358" s="3154"/>
      <c r="O1358" s="3154"/>
      <c r="P1358" s="3154"/>
      <c r="Q1358" s="3154"/>
      <c r="R1358" s="3154"/>
      <c r="S1358" s="3154"/>
      <c r="T1358" s="3154"/>
      <c r="U1358" s="3154"/>
      <c r="V1358" s="3154"/>
      <c r="W1358" s="3154"/>
      <c r="X1358" s="3154"/>
      <c r="Y1358" s="3154"/>
      <c r="Z1358" s="3154"/>
      <c r="AA1358" s="3154"/>
      <c r="AB1358" s="3154"/>
      <c r="AC1358" s="3171"/>
      <c r="AD1358" s="440" t="s">
        <v>2268</v>
      </c>
      <c r="AE1358" s="6613"/>
      <c r="AF1358" s="3204"/>
      <c r="AG1358" s="5628">
        <f t="shared" si="274"/>
        <v>106320</v>
      </c>
      <c r="AH1358" s="6537" t="s">
        <v>122</v>
      </c>
      <c r="AI1358" s="5471">
        <v>45628</v>
      </c>
      <c r="AJ1358" s="600">
        <v>106320</v>
      </c>
      <c r="AK1358" s="2957">
        <v>45628</v>
      </c>
      <c r="AL1358" s="2682">
        <v>106320</v>
      </c>
      <c r="AM1358" s="2682">
        <v>45629</v>
      </c>
      <c r="AN1358" s="2716">
        <f t="shared" si="275"/>
        <v>106320</v>
      </c>
      <c r="AO1358" s="2957">
        <v>45651</v>
      </c>
      <c r="AP1358" s="2716">
        <f t="shared" si="276"/>
        <v>0</v>
      </c>
      <c r="AQ1358" s="5410"/>
      <c r="AR1358" s="2682"/>
      <c r="AS1358" s="6439"/>
      <c r="AT1358" s="5410"/>
      <c r="AU1358" s="2680"/>
      <c r="AV1358" s="2680"/>
      <c r="AW1358" s="2680"/>
      <c r="AX1358" s="2680"/>
      <c r="AY1358" s="2680"/>
      <c r="AZ1358" s="2680"/>
      <c r="BA1358" s="2957"/>
      <c r="BB1358" s="2957"/>
      <c r="BC1358" s="2957"/>
      <c r="BD1358" s="2957"/>
      <c r="BE1358" s="2957"/>
      <c r="BF1358" s="2957"/>
      <c r="BG1358" s="2957"/>
      <c r="BH1358" s="2957"/>
      <c r="BI1358" s="600"/>
      <c r="BJ1358" s="600"/>
      <c r="BK1358" s="600"/>
      <c r="BL1358" s="600"/>
      <c r="BM1358" s="600"/>
      <c r="BN1358" s="2957">
        <v>106320</v>
      </c>
      <c r="BO1358" s="2682"/>
      <c r="BP1358" s="2682"/>
      <c r="BQ1358" s="2682"/>
      <c r="BR1358" s="2682"/>
      <c r="BS1358" s="2682"/>
      <c r="BT1358" s="2682"/>
      <c r="BU1358" s="2682"/>
      <c r="BV1358" s="2682"/>
      <c r="BW1358" s="5394"/>
      <c r="BX1358" s="2716"/>
      <c r="BY1358" s="2716"/>
      <c r="BZ1358" s="2716"/>
      <c r="CA1358" s="2716"/>
      <c r="CB1358" s="5627">
        <v>106320</v>
      </c>
      <c r="CC1358" s="2682"/>
      <c r="CD1358" s="2682"/>
      <c r="CE1358" s="5169"/>
      <c r="CF1358" s="5169"/>
      <c r="CG1358" s="5169"/>
      <c r="CH1358" s="5169"/>
    </row>
    <row r="1359" s="4965" customFormat="1" ht="50.25" customHeight="1" spans="1:86">
      <c r="A1359" s="5079"/>
      <c r="B1359" s="1035"/>
      <c r="C1359" s="5079"/>
      <c r="D1359" s="1035"/>
      <c r="E1359" s="5079"/>
      <c r="F1359" s="5443"/>
      <c r="G1359" s="5443"/>
      <c r="H1359" s="5443"/>
      <c r="I1359" s="5443"/>
      <c r="J1359" s="5443"/>
      <c r="K1359" s="5421"/>
      <c r="L1359" s="5443"/>
      <c r="M1359" s="3154"/>
      <c r="N1359" s="3154"/>
      <c r="O1359" s="3154"/>
      <c r="P1359" s="3154"/>
      <c r="Q1359" s="3154"/>
      <c r="R1359" s="3154"/>
      <c r="S1359" s="3154"/>
      <c r="T1359" s="3154"/>
      <c r="U1359" s="3154"/>
      <c r="V1359" s="3154"/>
      <c r="W1359" s="3154"/>
      <c r="X1359" s="3154"/>
      <c r="Y1359" s="3154"/>
      <c r="Z1359" s="3154"/>
      <c r="AA1359" s="3154"/>
      <c r="AB1359" s="3154"/>
      <c r="AC1359" s="2686">
        <v>3</v>
      </c>
      <c r="AD1359" s="3181" t="s">
        <v>2061</v>
      </c>
      <c r="AE1359" s="6612">
        <v>0.2</v>
      </c>
      <c r="AF1359" s="2719">
        <f>M1355*AE1359</f>
        <v>426722.66</v>
      </c>
      <c r="AG1359" s="5628">
        <f t="shared" si="274"/>
        <v>320402.66</v>
      </c>
      <c r="AH1359" s="6537" t="s">
        <v>122</v>
      </c>
      <c r="AI1359" s="5471">
        <v>45628</v>
      </c>
      <c r="AJ1359" s="600">
        <v>320402.66</v>
      </c>
      <c r="AK1359" s="2957">
        <v>45628</v>
      </c>
      <c r="AL1359" s="2682">
        <v>320402.66</v>
      </c>
      <c r="AM1359" s="2682">
        <v>45629</v>
      </c>
      <c r="AN1359" s="2716">
        <f t="shared" si="275"/>
        <v>320402.66</v>
      </c>
      <c r="AO1359" s="2957">
        <v>45651</v>
      </c>
      <c r="AP1359" s="2716">
        <f t="shared" si="276"/>
        <v>0</v>
      </c>
      <c r="AQ1359" s="5410"/>
      <c r="AR1359" s="2682"/>
      <c r="AS1359" s="6439"/>
      <c r="AT1359" s="5410"/>
      <c r="AU1359" s="2680"/>
      <c r="AV1359" s="2680"/>
      <c r="AW1359" s="2680"/>
      <c r="AX1359" s="2680"/>
      <c r="AY1359" s="2680"/>
      <c r="AZ1359" s="2680"/>
      <c r="BA1359" s="2957"/>
      <c r="BB1359" s="2957"/>
      <c r="BC1359" s="2957"/>
      <c r="BD1359" s="2957"/>
      <c r="BE1359" s="2957"/>
      <c r="BF1359" s="2957"/>
      <c r="BG1359" s="2957"/>
      <c r="BH1359" s="2957"/>
      <c r="BI1359" s="600"/>
      <c r="BJ1359" s="600"/>
      <c r="BK1359" s="600"/>
      <c r="BL1359" s="600"/>
      <c r="BM1359" s="600"/>
      <c r="BN1359" s="2957">
        <v>320402.66</v>
      </c>
      <c r="BO1359" s="2682"/>
      <c r="BP1359" s="2682"/>
      <c r="BQ1359" s="2682"/>
      <c r="BR1359" s="2682"/>
      <c r="BS1359" s="2682"/>
      <c r="BT1359" s="2682"/>
      <c r="BU1359" s="2682"/>
      <c r="BV1359" s="2682"/>
      <c r="BW1359" s="5394"/>
      <c r="BX1359" s="2716"/>
      <c r="BY1359" s="2716"/>
      <c r="BZ1359" s="2716"/>
      <c r="CA1359" s="2716"/>
      <c r="CB1359" s="5627">
        <v>320402.66</v>
      </c>
      <c r="CC1359" s="2682"/>
      <c r="CD1359" s="2682"/>
      <c r="CE1359" s="5169"/>
      <c r="CF1359" s="5169"/>
      <c r="CG1359" s="5169"/>
      <c r="CH1359" s="5169"/>
    </row>
    <row r="1360" s="4965" customFormat="1" ht="50.25" customHeight="1" spans="1:86">
      <c r="A1360" s="5079"/>
      <c r="B1360" s="1035"/>
      <c r="C1360" s="5079"/>
      <c r="D1360" s="1035"/>
      <c r="E1360" s="5079"/>
      <c r="F1360" s="5443"/>
      <c r="G1360" s="5443"/>
      <c r="H1360" s="5443"/>
      <c r="I1360" s="5443"/>
      <c r="J1360" s="5443"/>
      <c r="K1360" s="5421"/>
      <c r="L1360" s="5443"/>
      <c r="M1360" s="3154"/>
      <c r="N1360" s="3154"/>
      <c r="O1360" s="3154"/>
      <c r="P1360" s="3154"/>
      <c r="Q1360" s="3154"/>
      <c r="R1360" s="3154"/>
      <c r="S1360" s="3154"/>
      <c r="T1360" s="3154"/>
      <c r="U1360" s="3154"/>
      <c r="V1360" s="3154"/>
      <c r="W1360" s="3154"/>
      <c r="X1360" s="3154"/>
      <c r="Y1360" s="3154"/>
      <c r="Z1360" s="3154"/>
      <c r="AA1360" s="3154"/>
      <c r="AB1360" s="3154"/>
      <c r="AC1360" s="3171"/>
      <c r="AD1360" s="440" t="s">
        <v>2269</v>
      </c>
      <c r="AE1360" s="6613"/>
      <c r="AF1360" s="3204"/>
      <c r="AG1360" s="5628">
        <f t="shared" si="274"/>
        <v>106320</v>
      </c>
      <c r="AH1360" s="6537" t="s">
        <v>122</v>
      </c>
      <c r="AI1360" s="5471">
        <v>45628</v>
      </c>
      <c r="AJ1360" s="600">
        <v>106320</v>
      </c>
      <c r="AK1360" s="2957">
        <v>45628</v>
      </c>
      <c r="AL1360" s="2682">
        <v>106320</v>
      </c>
      <c r="AM1360" s="2682">
        <v>45629</v>
      </c>
      <c r="AN1360" s="2716">
        <f t="shared" si="275"/>
        <v>106320</v>
      </c>
      <c r="AO1360" s="2957">
        <v>45651</v>
      </c>
      <c r="AP1360" s="2716">
        <f t="shared" si="276"/>
        <v>0</v>
      </c>
      <c r="AQ1360" s="5410"/>
      <c r="AR1360" s="2682"/>
      <c r="AS1360" s="6439"/>
      <c r="AT1360" s="5410"/>
      <c r="AU1360" s="2680"/>
      <c r="AV1360" s="2680"/>
      <c r="AW1360" s="2680"/>
      <c r="AX1360" s="2680"/>
      <c r="AY1360" s="2680"/>
      <c r="AZ1360" s="2680"/>
      <c r="BA1360" s="2957"/>
      <c r="BB1360" s="2957"/>
      <c r="BC1360" s="2957"/>
      <c r="BD1360" s="2957"/>
      <c r="BE1360" s="2957"/>
      <c r="BF1360" s="2957"/>
      <c r="BG1360" s="2957"/>
      <c r="BH1360" s="2957"/>
      <c r="BI1360" s="600"/>
      <c r="BJ1360" s="600"/>
      <c r="BK1360" s="600"/>
      <c r="BL1360" s="600"/>
      <c r="BM1360" s="600"/>
      <c r="BN1360" s="2957">
        <v>106320</v>
      </c>
      <c r="BO1360" s="2682"/>
      <c r="BP1360" s="2682"/>
      <c r="BQ1360" s="2682"/>
      <c r="BR1360" s="2682"/>
      <c r="BS1360" s="2682"/>
      <c r="BT1360" s="2682"/>
      <c r="BU1360" s="2682"/>
      <c r="BV1360" s="2682"/>
      <c r="BW1360" s="5394"/>
      <c r="BX1360" s="2716"/>
      <c r="BY1360" s="2716"/>
      <c r="BZ1360" s="2716"/>
      <c r="CA1360" s="2716"/>
      <c r="CB1360" s="5627">
        <v>106320</v>
      </c>
      <c r="CC1360" s="2682"/>
      <c r="CD1360" s="2682"/>
      <c r="CE1360" s="5169"/>
      <c r="CF1360" s="5169"/>
      <c r="CG1360" s="5169"/>
      <c r="CH1360" s="5169"/>
    </row>
    <row r="1361" s="4965" customFormat="1" ht="50.25" customHeight="1" spans="1:86">
      <c r="A1361" s="5079"/>
      <c r="B1361" s="1035"/>
      <c r="C1361" s="5079"/>
      <c r="D1361" s="1035"/>
      <c r="E1361" s="5079"/>
      <c r="F1361" s="5443"/>
      <c r="G1361" s="5443"/>
      <c r="H1361" s="5443"/>
      <c r="I1361" s="5443"/>
      <c r="J1361" s="5443"/>
      <c r="K1361" s="5421"/>
      <c r="L1361" s="5443"/>
      <c r="M1361" s="3154"/>
      <c r="N1361" s="3154"/>
      <c r="O1361" s="3154"/>
      <c r="P1361" s="3154"/>
      <c r="Q1361" s="3154"/>
      <c r="R1361" s="3154"/>
      <c r="S1361" s="3154"/>
      <c r="T1361" s="3154"/>
      <c r="U1361" s="3154"/>
      <c r="V1361" s="3154"/>
      <c r="W1361" s="3154"/>
      <c r="X1361" s="3154"/>
      <c r="Y1361" s="3154"/>
      <c r="Z1361" s="3154"/>
      <c r="AA1361" s="3154"/>
      <c r="AB1361" s="3154"/>
      <c r="AC1361" s="2686">
        <v>4</v>
      </c>
      <c r="AD1361" s="3181" t="s">
        <v>2062</v>
      </c>
      <c r="AE1361" s="6612">
        <v>0.2</v>
      </c>
      <c r="AF1361" s="2719">
        <f>M1355*AE1361</f>
        <v>426722.66</v>
      </c>
      <c r="AG1361" s="5394">
        <f t="shared" si="274"/>
        <v>604305.54</v>
      </c>
      <c r="AH1361" s="6634" t="s">
        <v>349</v>
      </c>
      <c r="AI1361" s="5395">
        <v>46356</v>
      </c>
      <c r="AJ1361" s="2682"/>
      <c r="AK1361" s="2682"/>
      <c r="AL1361" s="2682"/>
      <c r="AM1361" s="2682"/>
      <c r="AN1361" s="5394">
        <f t="shared" si="275"/>
        <v>604305.54</v>
      </c>
      <c r="AO1361" s="5395">
        <v>46078</v>
      </c>
      <c r="AP1361" s="2716">
        <f t="shared" si="276"/>
        <v>0</v>
      </c>
      <c r="AQ1361" s="5410"/>
      <c r="AR1361" s="2682"/>
      <c r="AS1361" s="6439"/>
      <c r="AT1361" s="5410"/>
      <c r="AU1361" s="2680"/>
      <c r="AV1361" s="2680"/>
      <c r="AW1361" s="2680"/>
      <c r="AX1361" s="2680"/>
      <c r="AY1361" s="2680"/>
      <c r="AZ1361" s="2680"/>
      <c r="BA1361" s="2957"/>
      <c r="BB1361" s="2957"/>
      <c r="BC1361" s="2957"/>
      <c r="BD1361" s="2957"/>
      <c r="BE1361" s="2957"/>
      <c r="BF1361" s="2957"/>
      <c r="BG1361" s="2957"/>
      <c r="BH1361" s="2957"/>
      <c r="BI1361" s="600"/>
      <c r="BJ1361" s="600"/>
      <c r="BK1361" s="600"/>
      <c r="BL1361" s="600"/>
      <c r="BM1361" s="600"/>
      <c r="BN1361" s="2957">
        <v>604305.54</v>
      </c>
      <c r="BO1361" s="2682"/>
      <c r="BP1361" s="2682"/>
      <c r="BQ1361" s="2682"/>
      <c r="BR1361" s="2682"/>
      <c r="BS1361" s="2682"/>
      <c r="BT1361" s="2682"/>
      <c r="BU1361" s="2682"/>
      <c r="BV1361" s="2682"/>
      <c r="BW1361" s="5394"/>
      <c r="BX1361" s="2716"/>
      <c r="BY1361" s="2716"/>
      <c r="BZ1361" s="2716"/>
      <c r="CA1361" s="2716"/>
      <c r="CB1361" s="2682">
        <v>604305.54</v>
      </c>
      <c r="CC1361" s="2682"/>
      <c r="CD1361" s="2682"/>
      <c r="CE1361" s="5169"/>
      <c r="CF1361" s="5169"/>
      <c r="CG1361" s="5169"/>
      <c r="CH1361" s="5169"/>
    </row>
    <row r="1362" s="4965" customFormat="1" ht="50.25" customHeight="1" spans="1:86">
      <c r="A1362" s="5079"/>
      <c r="B1362" s="1035"/>
      <c r="C1362" s="5079"/>
      <c r="D1362" s="1035"/>
      <c r="E1362" s="5079"/>
      <c r="F1362" s="5443"/>
      <c r="G1362" s="5443"/>
      <c r="H1362" s="5443"/>
      <c r="I1362" s="5443"/>
      <c r="J1362" s="5443"/>
      <c r="K1362" s="5421"/>
      <c r="L1362" s="5443"/>
      <c r="M1362" s="3154"/>
      <c r="N1362" s="3154"/>
      <c r="O1362" s="3154"/>
      <c r="P1362" s="3154"/>
      <c r="Q1362" s="3154"/>
      <c r="R1362" s="3154"/>
      <c r="S1362" s="3154"/>
      <c r="T1362" s="3154"/>
      <c r="U1362" s="3154"/>
      <c r="V1362" s="3154"/>
      <c r="W1362" s="3154"/>
      <c r="X1362" s="3154"/>
      <c r="Y1362" s="3154"/>
      <c r="Z1362" s="3154"/>
      <c r="AA1362" s="3154"/>
      <c r="AB1362" s="3154"/>
      <c r="AC1362" s="3171"/>
      <c r="AD1362" s="440" t="s">
        <v>2270</v>
      </c>
      <c r="AE1362" s="6613"/>
      <c r="AF1362" s="3204"/>
      <c r="AG1362" s="5628">
        <f t="shared" si="274"/>
        <v>106320</v>
      </c>
      <c r="AH1362" s="6537" t="s">
        <v>122</v>
      </c>
      <c r="AI1362" s="5471">
        <v>45628</v>
      </c>
      <c r="AJ1362" s="600">
        <v>106320</v>
      </c>
      <c r="AK1362" s="2957">
        <v>45628</v>
      </c>
      <c r="AL1362" s="2682">
        <v>106320</v>
      </c>
      <c r="AM1362" s="2682">
        <v>45629</v>
      </c>
      <c r="AN1362" s="2716">
        <f t="shared" si="275"/>
        <v>106320</v>
      </c>
      <c r="AO1362" s="2957">
        <v>45651</v>
      </c>
      <c r="AP1362" s="2716">
        <f t="shared" si="276"/>
        <v>0</v>
      </c>
      <c r="AQ1362" s="5410"/>
      <c r="AR1362" s="2682"/>
      <c r="AS1362" s="6439"/>
      <c r="AT1362" s="5410"/>
      <c r="AU1362" s="2680"/>
      <c r="AV1362" s="2680"/>
      <c r="AW1362" s="2680"/>
      <c r="AX1362" s="2680"/>
      <c r="AY1362" s="2680"/>
      <c r="AZ1362" s="2680"/>
      <c r="BA1362" s="2957"/>
      <c r="BB1362" s="2957"/>
      <c r="BC1362" s="2957"/>
      <c r="BD1362" s="2957"/>
      <c r="BE1362" s="2957"/>
      <c r="BF1362" s="2957"/>
      <c r="BG1362" s="2957"/>
      <c r="BH1362" s="2957"/>
      <c r="BI1362" s="600"/>
      <c r="BJ1362" s="600"/>
      <c r="BK1362" s="600"/>
      <c r="BL1362" s="600"/>
      <c r="BM1362" s="600"/>
      <c r="BN1362" s="2957">
        <v>106320</v>
      </c>
      <c r="BO1362" s="2682"/>
      <c r="BP1362" s="2682"/>
      <c r="BQ1362" s="2682"/>
      <c r="BR1362" s="2682"/>
      <c r="BS1362" s="2682"/>
      <c r="BT1362" s="2682"/>
      <c r="BU1362" s="2682"/>
      <c r="BV1362" s="2682"/>
      <c r="BW1362" s="5394"/>
      <c r="BX1362" s="2716"/>
      <c r="BY1362" s="2716"/>
      <c r="BZ1362" s="2716"/>
      <c r="CA1362" s="2716"/>
      <c r="CB1362" s="5627">
        <v>106320</v>
      </c>
      <c r="CC1362" s="2682"/>
      <c r="CD1362" s="2682"/>
      <c r="CE1362" s="5169"/>
      <c r="CF1362" s="5169"/>
      <c r="CG1362" s="5169"/>
      <c r="CH1362" s="5169"/>
    </row>
    <row r="1363" s="4965" customFormat="1" ht="50.25" customHeight="1" spans="1:86">
      <c r="A1363" s="5079"/>
      <c r="B1363" s="1035"/>
      <c r="C1363" s="5079"/>
      <c r="D1363" s="1035"/>
      <c r="E1363" s="5079"/>
      <c r="F1363" s="5444"/>
      <c r="G1363" s="5444"/>
      <c r="H1363" s="5444"/>
      <c r="I1363" s="5444"/>
      <c r="J1363" s="5444"/>
      <c r="K1363" s="5422"/>
      <c r="L1363" s="5444"/>
      <c r="M1363" s="3171"/>
      <c r="N1363" s="3171"/>
      <c r="O1363" s="3171"/>
      <c r="P1363" s="3171"/>
      <c r="Q1363" s="3171"/>
      <c r="R1363" s="3171"/>
      <c r="S1363" s="3171"/>
      <c r="T1363" s="3171"/>
      <c r="U1363" s="3171"/>
      <c r="V1363" s="3171"/>
      <c r="W1363" s="3171"/>
      <c r="X1363" s="3171"/>
      <c r="Y1363" s="3171"/>
      <c r="Z1363" s="3171"/>
      <c r="AA1363" s="3171"/>
      <c r="AB1363" s="3171"/>
      <c r="AC1363" s="2682">
        <v>5</v>
      </c>
      <c r="AD1363" s="3181" t="s">
        <v>2107</v>
      </c>
      <c r="AE1363" s="6387">
        <v>0.2</v>
      </c>
      <c r="AF1363" s="2716">
        <f>M1355*AE1363</f>
        <v>426722.66</v>
      </c>
      <c r="AG1363" s="2716">
        <f t="shared" si="274"/>
        <v>0</v>
      </c>
      <c r="AH1363" s="440"/>
      <c r="AI1363" s="2682"/>
      <c r="AJ1363" s="2682"/>
      <c r="AK1363" s="2682"/>
      <c r="AL1363" s="2682"/>
      <c r="AM1363" s="2682"/>
      <c r="AN1363" s="2716">
        <f t="shared" si="275"/>
        <v>0</v>
      </c>
      <c r="AO1363" s="2957"/>
      <c r="AP1363" s="2716">
        <f t="shared" si="276"/>
        <v>0</v>
      </c>
      <c r="AQ1363" s="5410"/>
      <c r="AR1363" s="2682"/>
      <c r="AS1363" s="6439"/>
      <c r="AT1363" s="5410"/>
      <c r="AU1363" s="2680"/>
      <c r="AV1363" s="2680"/>
      <c r="AW1363" s="2680"/>
      <c r="AX1363" s="2680"/>
      <c r="AY1363" s="2680"/>
      <c r="AZ1363" s="2680"/>
      <c r="BA1363" s="2957"/>
      <c r="BB1363" s="2957"/>
      <c r="BC1363" s="2957"/>
      <c r="BD1363" s="2957"/>
      <c r="BE1363" s="2957"/>
      <c r="BF1363" s="2957"/>
      <c r="BG1363" s="2957"/>
      <c r="BH1363" s="2957"/>
      <c r="BI1363" s="600"/>
      <c r="BJ1363" s="600"/>
      <c r="BK1363" s="600"/>
      <c r="BL1363" s="600"/>
      <c r="BM1363" s="600"/>
      <c r="BN1363" s="2957"/>
      <c r="BO1363" s="2682"/>
      <c r="BP1363" s="2682"/>
      <c r="BQ1363" s="2682"/>
      <c r="BR1363" s="2682"/>
      <c r="BS1363" s="2682"/>
      <c r="BT1363" s="2682"/>
      <c r="BU1363" s="2682"/>
      <c r="BV1363" s="2682"/>
      <c r="BW1363" s="5394"/>
      <c r="BX1363" s="2716"/>
      <c r="BY1363" s="2716"/>
      <c r="BZ1363" s="2716"/>
      <c r="CA1363" s="2716"/>
      <c r="CB1363" s="5627"/>
      <c r="CC1363" s="2682"/>
      <c r="CD1363" s="2682"/>
      <c r="CE1363" s="5169"/>
      <c r="CF1363" s="5169"/>
      <c r="CG1363" s="5169"/>
      <c r="CH1363" s="5169"/>
    </row>
    <row r="1364" s="4965" customFormat="1" ht="50.25" customHeight="1" spans="1:86">
      <c r="A1364" s="5079"/>
      <c r="B1364" s="1035"/>
      <c r="C1364" s="5079"/>
      <c r="D1364" s="1035"/>
      <c r="E1364" s="5079"/>
      <c r="F1364" s="6462" t="s">
        <v>2271</v>
      </c>
      <c r="G1364" s="6462" t="s">
        <v>2259</v>
      </c>
      <c r="H1364" s="6462" t="s">
        <v>2225</v>
      </c>
      <c r="I1364" s="6462" t="s">
        <v>2260</v>
      </c>
      <c r="J1364" s="6462" t="s">
        <v>2237</v>
      </c>
      <c r="K1364" s="6462" t="s">
        <v>2272</v>
      </c>
      <c r="L1364" s="6462" t="s">
        <v>2227</v>
      </c>
      <c r="M1364" s="6486">
        <f>SUM(N1364:AA1369)</f>
        <v>1388990.93</v>
      </c>
      <c r="N1364" s="6502"/>
      <c r="O1364" s="6502"/>
      <c r="P1364" s="6502"/>
      <c r="Q1364" s="6502"/>
      <c r="R1364" s="6502"/>
      <c r="S1364" s="6502"/>
      <c r="T1364" s="6502"/>
      <c r="U1364" s="6502"/>
      <c r="V1364" s="6502">
        <v>577482.93</v>
      </c>
      <c r="W1364" s="6502"/>
      <c r="X1364" s="6502"/>
      <c r="Y1364" s="6502"/>
      <c r="Z1364" s="6502"/>
      <c r="AA1364" s="6502">
        <v>811508</v>
      </c>
      <c r="AB1364" s="6565" t="s">
        <v>126</v>
      </c>
      <c r="AC1364" s="6502">
        <v>1</v>
      </c>
      <c r="AD1364" s="6589" t="s">
        <v>2111</v>
      </c>
      <c r="AE1364" s="6504">
        <v>0.2</v>
      </c>
      <c r="AF1364" s="6505">
        <f>M1364*AE1364</f>
        <v>277798.186</v>
      </c>
      <c r="AG1364" s="6635">
        <f t="shared" si="274"/>
        <v>277798.186</v>
      </c>
      <c r="AH1364" s="6636" t="s">
        <v>122</v>
      </c>
      <c r="AI1364" s="6564">
        <v>45628</v>
      </c>
      <c r="AJ1364" s="6565">
        <v>277798.186</v>
      </c>
      <c r="AK1364" s="6529">
        <v>45628</v>
      </c>
      <c r="AL1364" s="6502">
        <v>277798.186</v>
      </c>
      <c r="AM1364" s="6502">
        <v>45629</v>
      </c>
      <c r="AN1364" s="6505">
        <f t="shared" si="275"/>
        <v>277798.186</v>
      </c>
      <c r="AO1364" s="6529">
        <v>45650</v>
      </c>
      <c r="AP1364" s="6505">
        <f t="shared" si="276"/>
        <v>0</v>
      </c>
      <c r="AQ1364" s="6552"/>
      <c r="AR1364" s="6502"/>
      <c r="AS1364" s="6558"/>
      <c r="AT1364" s="6552"/>
      <c r="AU1364" s="2680"/>
      <c r="AV1364" s="2680"/>
      <c r="AW1364" s="2680"/>
      <c r="AX1364" s="2680"/>
      <c r="AY1364" s="2680"/>
      <c r="AZ1364" s="2680"/>
      <c r="BA1364" s="6529"/>
      <c r="BB1364" s="6529"/>
      <c r="BC1364" s="6529"/>
      <c r="BD1364" s="6529"/>
      <c r="BE1364" s="6529"/>
      <c r="BF1364" s="6529"/>
      <c r="BG1364" s="6529"/>
      <c r="BH1364" s="6529"/>
      <c r="BI1364" s="6565">
        <v>277798.186</v>
      </c>
      <c r="BJ1364" s="6565"/>
      <c r="BK1364" s="6565"/>
      <c r="BL1364" s="6565"/>
      <c r="BM1364" s="6565"/>
      <c r="BN1364" s="6529"/>
      <c r="BO1364" s="6502"/>
      <c r="BP1364" s="6502"/>
      <c r="BQ1364" s="6502"/>
      <c r="BR1364" s="6502"/>
      <c r="BS1364" s="6502"/>
      <c r="BT1364" s="6502"/>
      <c r="BU1364" s="6502"/>
      <c r="BV1364" s="6502"/>
      <c r="BW1364" s="6565">
        <v>277798.186</v>
      </c>
      <c r="BX1364" s="6505"/>
      <c r="BY1364" s="6505"/>
      <c r="BZ1364" s="6505"/>
      <c r="CA1364" s="6505"/>
      <c r="CB1364" s="6573"/>
      <c r="CC1364" s="6502"/>
      <c r="CD1364" s="6502"/>
      <c r="CE1364" s="5169"/>
      <c r="CF1364" s="5169"/>
      <c r="CG1364" s="5169"/>
      <c r="CH1364" s="5169"/>
    </row>
    <row r="1365" s="4980" customFormat="1" ht="50.25" customHeight="1" spans="1:86">
      <c r="A1365" s="5667"/>
      <c r="B1365" s="1035"/>
      <c r="C1365" s="5667"/>
      <c r="D1365" s="1035"/>
      <c r="E1365" s="5079"/>
      <c r="F1365" s="6581"/>
      <c r="G1365" s="6581"/>
      <c r="H1365" s="6581"/>
      <c r="I1365" s="6581"/>
      <c r="J1365" s="6581"/>
      <c r="K1365" s="6479"/>
      <c r="L1365" s="6581"/>
      <c r="M1365" s="6601"/>
      <c r="N1365" s="6502"/>
      <c r="O1365" s="6502"/>
      <c r="P1365" s="6502"/>
      <c r="Q1365" s="6502"/>
      <c r="R1365" s="6502"/>
      <c r="S1365" s="6502"/>
      <c r="T1365" s="6502"/>
      <c r="U1365" s="6502"/>
      <c r="V1365" s="6502"/>
      <c r="W1365" s="6502"/>
      <c r="X1365" s="6502"/>
      <c r="Y1365" s="6502"/>
      <c r="Z1365" s="6502"/>
      <c r="AA1365" s="6502"/>
      <c r="AB1365" s="6502"/>
      <c r="AC1365" s="6614">
        <v>2</v>
      </c>
      <c r="AD1365" s="6615" t="s">
        <v>2113</v>
      </c>
      <c r="AE1365" s="6462">
        <v>0.3</v>
      </c>
      <c r="AF1365" s="6616">
        <f>M1364*AE1365</f>
        <v>416697.279</v>
      </c>
      <c r="AG1365" s="6635">
        <f t="shared" si="274"/>
        <v>299684.74</v>
      </c>
      <c r="AH1365" s="6636" t="s">
        <v>122</v>
      </c>
      <c r="AI1365" s="6564">
        <v>45650</v>
      </c>
      <c r="AJ1365" s="6529">
        <v>299684.74</v>
      </c>
      <c r="AK1365" s="6529">
        <v>45650</v>
      </c>
      <c r="AL1365" s="6529"/>
      <c r="AM1365" s="6529"/>
      <c r="AN1365" s="6568">
        <f t="shared" si="275"/>
        <v>299684.74</v>
      </c>
      <c r="AO1365" s="6638"/>
      <c r="AP1365" s="6565">
        <f t="shared" si="276"/>
        <v>0</v>
      </c>
      <c r="AQ1365" s="6651"/>
      <c r="AR1365" s="6529"/>
      <c r="AS1365" s="6658"/>
      <c r="AT1365" s="6651"/>
      <c r="AU1365" s="2680"/>
      <c r="AV1365" s="2680"/>
      <c r="AW1365" s="2680"/>
      <c r="AX1365" s="2680"/>
      <c r="AY1365" s="2680"/>
      <c r="AZ1365" s="2680"/>
      <c r="BA1365" s="6529"/>
      <c r="BB1365" s="6529"/>
      <c r="BC1365" s="6529"/>
      <c r="BD1365" s="6529"/>
      <c r="BE1365" s="6529"/>
      <c r="BF1365" s="6529"/>
      <c r="BG1365" s="6529"/>
      <c r="BH1365" s="6529"/>
      <c r="BI1365" s="6565">
        <v>299684.74</v>
      </c>
      <c r="BJ1365" s="6565"/>
      <c r="BK1365" s="6565"/>
      <c r="BL1365" s="6565"/>
      <c r="BM1365" s="6565"/>
      <c r="BN1365" s="6529"/>
      <c r="BO1365" s="6529"/>
      <c r="BP1365" s="6529"/>
      <c r="BQ1365" s="6529"/>
      <c r="BR1365" s="6529"/>
      <c r="BS1365" s="6529"/>
      <c r="BT1365" s="6529"/>
      <c r="BU1365" s="6529"/>
      <c r="BV1365" s="6529"/>
      <c r="BW1365" s="6565">
        <v>299684.74</v>
      </c>
      <c r="BX1365" s="6565"/>
      <c r="BY1365" s="6565"/>
      <c r="BZ1365" s="6565"/>
      <c r="CA1365" s="6565"/>
      <c r="CB1365" s="6564"/>
      <c r="CC1365" s="6529"/>
      <c r="CD1365" s="6529"/>
      <c r="CE1365" s="5154"/>
      <c r="CF1365" s="5154"/>
      <c r="CG1365" s="5154"/>
      <c r="CH1365" s="5154"/>
    </row>
    <row r="1366" s="4965" customFormat="1" ht="50.25" customHeight="1" spans="1:86">
      <c r="A1366" s="5079"/>
      <c r="B1366" s="1035"/>
      <c r="C1366" s="5079"/>
      <c r="D1366" s="1035"/>
      <c r="E1366" s="5079"/>
      <c r="F1366" s="6581"/>
      <c r="G1366" s="6463"/>
      <c r="H1366" s="6463"/>
      <c r="I1366" s="6463"/>
      <c r="J1366" s="6463"/>
      <c r="K1366" s="6479"/>
      <c r="L1366" s="6463"/>
      <c r="M1366" s="6487"/>
      <c r="N1366" s="6502"/>
      <c r="O1366" s="6502"/>
      <c r="P1366" s="6502"/>
      <c r="Q1366" s="6502"/>
      <c r="R1366" s="6502"/>
      <c r="S1366" s="6502"/>
      <c r="T1366" s="6502"/>
      <c r="U1366" s="6502"/>
      <c r="V1366" s="6502"/>
      <c r="W1366" s="6502"/>
      <c r="X1366" s="6502"/>
      <c r="Y1366" s="6502"/>
      <c r="Z1366" s="6502"/>
      <c r="AA1366" s="6502"/>
      <c r="AB1366" s="6502"/>
      <c r="AC1366" s="6488"/>
      <c r="AD1366" s="6464"/>
      <c r="AE1366" s="6617"/>
      <c r="AF1366" s="6618"/>
      <c r="AG1366" s="6635">
        <f t="shared" si="274"/>
        <v>0</v>
      </c>
      <c r="AH1366" s="6506"/>
      <c r="AI1366" s="6502"/>
      <c r="AJ1366" s="6502"/>
      <c r="AK1366" s="6502"/>
      <c r="AL1366" s="6502"/>
      <c r="AM1366" s="6502"/>
      <c r="AN1366" s="6505"/>
      <c r="AO1366" s="6529"/>
      <c r="AP1366" s="6505"/>
      <c r="AQ1366" s="6552"/>
      <c r="AR1366" s="6502"/>
      <c r="AS1366" s="6558"/>
      <c r="AT1366" s="6552"/>
      <c r="AU1366" s="2680"/>
      <c r="AV1366" s="2680"/>
      <c r="AW1366" s="2680"/>
      <c r="AX1366" s="2680"/>
      <c r="AY1366" s="2680"/>
      <c r="AZ1366" s="2680"/>
      <c r="BA1366" s="6529"/>
      <c r="BB1366" s="6529"/>
      <c r="BC1366" s="6529"/>
      <c r="BD1366" s="6529"/>
      <c r="BE1366" s="6529"/>
      <c r="BF1366" s="6529"/>
      <c r="BG1366" s="6529"/>
      <c r="BH1366" s="6529"/>
      <c r="BI1366" s="6565"/>
      <c r="BJ1366" s="6565"/>
      <c r="BK1366" s="6565"/>
      <c r="BL1366" s="6565"/>
      <c r="BM1366" s="6565"/>
      <c r="BN1366" s="6529"/>
      <c r="BO1366" s="6502"/>
      <c r="BP1366" s="6502"/>
      <c r="BQ1366" s="6502"/>
      <c r="BR1366" s="6502"/>
      <c r="BS1366" s="6502"/>
      <c r="BT1366" s="6502"/>
      <c r="BU1366" s="6502"/>
      <c r="BV1366" s="6502"/>
      <c r="BW1366" s="6568"/>
      <c r="BX1366" s="6505"/>
      <c r="BY1366" s="6505"/>
      <c r="BZ1366" s="6505"/>
      <c r="CA1366" s="6505"/>
      <c r="CB1366" s="6573"/>
      <c r="CC1366" s="6502"/>
      <c r="CD1366" s="6502"/>
      <c r="CE1366" s="5169"/>
      <c r="CF1366" s="5169"/>
      <c r="CG1366" s="5169"/>
      <c r="CH1366" s="5169"/>
    </row>
    <row r="1367" s="4965" customFormat="1" ht="50.25" customHeight="1" spans="1:86">
      <c r="A1367" s="5079"/>
      <c r="B1367" s="1035"/>
      <c r="C1367" s="5079"/>
      <c r="D1367" s="1035"/>
      <c r="E1367" s="5079"/>
      <c r="F1367" s="6581"/>
      <c r="G1367" s="6463"/>
      <c r="H1367" s="6463"/>
      <c r="I1367" s="6463"/>
      <c r="J1367" s="6463"/>
      <c r="K1367" s="6479"/>
      <c r="L1367" s="6463"/>
      <c r="M1367" s="6487"/>
      <c r="N1367" s="6502"/>
      <c r="O1367" s="6502"/>
      <c r="P1367" s="6502"/>
      <c r="Q1367" s="6502"/>
      <c r="R1367" s="6502"/>
      <c r="S1367" s="6502"/>
      <c r="T1367" s="6502"/>
      <c r="U1367" s="6502"/>
      <c r="V1367" s="6502"/>
      <c r="W1367" s="6502"/>
      <c r="X1367" s="6502"/>
      <c r="Y1367" s="6502"/>
      <c r="Z1367" s="6502"/>
      <c r="AA1367" s="6502"/>
      <c r="AB1367" s="6502"/>
      <c r="AC1367" s="6502">
        <v>3</v>
      </c>
      <c r="AD1367" s="6589" t="s">
        <v>2112</v>
      </c>
      <c r="AE1367" s="6504">
        <v>0.2</v>
      </c>
      <c r="AF1367" s="6505">
        <f>M1364*AE1367</f>
        <v>277798.186</v>
      </c>
      <c r="AG1367" s="6505">
        <f t="shared" si="274"/>
        <v>277798.186</v>
      </c>
      <c r="AH1367" s="6637" t="s">
        <v>349</v>
      </c>
      <c r="AI1367" s="6638"/>
      <c r="AJ1367" s="6502"/>
      <c r="AK1367" s="6502"/>
      <c r="AL1367" s="6502"/>
      <c r="AM1367" s="6502"/>
      <c r="AN1367" s="6505">
        <f>SUM(BO1367:CB1367)</f>
        <v>0</v>
      </c>
      <c r="AO1367" s="6529"/>
      <c r="AP1367" s="6505">
        <f>AG1367-AN1367</f>
        <v>277798.186</v>
      </c>
      <c r="AQ1367" s="6552"/>
      <c r="AR1367" s="6502"/>
      <c r="AS1367" s="6558"/>
      <c r="AT1367" s="6552"/>
      <c r="AU1367" s="2680"/>
      <c r="AV1367" s="2680"/>
      <c r="AW1367" s="2680"/>
      <c r="AX1367" s="2680"/>
      <c r="AY1367" s="2680"/>
      <c r="AZ1367" s="2680"/>
      <c r="BA1367" s="6529"/>
      <c r="BB1367" s="6529"/>
      <c r="BC1367" s="6529"/>
      <c r="BD1367" s="6529"/>
      <c r="BE1367" s="6529"/>
      <c r="BF1367" s="6529"/>
      <c r="BG1367" s="6529"/>
      <c r="BH1367" s="6529">
        <v>277798.186</v>
      </c>
      <c r="BI1367" s="6565"/>
      <c r="BJ1367" s="6565"/>
      <c r="BK1367" s="6565"/>
      <c r="BL1367" s="6565"/>
      <c r="BM1367" s="6565"/>
      <c r="BN1367" s="6529"/>
      <c r="BO1367" s="6502"/>
      <c r="BP1367" s="6502"/>
      <c r="BQ1367" s="6502"/>
      <c r="BR1367" s="6502"/>
      <c r="BS1367" s="6502"/>
      <c r="BT1367" s="6502"/>
      <c r="BU1367" s="6502"/>
      <c r="BV1367" s="6502"/>
      <c r="BW1367" s="6568"/>
      <c r="BX1367" s="6505"/>
      <c r="BY1367" s="6505"/>
      <c r="BZ1367" s="6505"/>
      <c r="CA1367" s="6505"/>
      <c r="CB1367" s="6573"/>
      <c r="CC1367" s="6502"/>
      <c r="CD1367" s="6502"/>
      <c r="CE1367" s="5169"/>
      <c r="CF1367" s="5169"/>
      <c r="CG1367" s="5169"/>
      <c r="CH1367" s="5169"/>
    </row>
    <row r="1368" s="4965" customFormat="1" ht="50.25" customHeight="1" spans="1:86">
      <c r="A1368" s="5079"/>
      <c r="B1368" s="1035"/>
      <c r="C1368" s="5079"/>
      <c r="D1368" s="1035"/>
      <c r="E1368" s="5079"/>
      <c r="F1368" s="6581"/>
      <c r="G1368" s="6463"/>
      <c r="H1368" s="6463"/>
      <c r="I1368" s="6463"/>
      <c r="J1368" s="6463"/>
      <c r="K1368" s="6479"/>
      <c r="L1368" s="6463"/>
      <c r="M1368" s="6487"/>
      <c r="N1368" s="6502"/>
      <c r="O1368" s="6502"/>
      <c r="P1368" s="6502"/>
      <c r="Q1368" s="6502"/>
      <c r="R1368" s="6502"/>
      <c r="S1368" s="6502"/>
      <c r="T1368" s="6502"/>
      <c r="U1368" s="6502"/>
      <c r="V1368" s="6502"/>
      <c r="W1368" s="6502"/>
      <c r="X1368" s="6502"/>
      <c r="Y1368" s="6502"/>
      <c r="Z1368" s="6502"/>
      <c r="AA1368" s="6502"/>
      <c r="AB1368" s="6502"/>
      <c r="AC1368" s="6502">
        <v>4</v>
      </c>
      <c r="AD1368" s="6589" t="s">
        <v>2068</v>
      </c>
      <c r="AE1368" s="6504">
        <v>0.25</v>
      </c>
      <c r="AF1368" s="6505">
        <f>M1364*AE1368</f>
        <v>347247.7325</v>
      </c>
      <c r="AG1368" s="6505">
        <f t="shared" si="274"/>
        <v>0</v>
      </c>
      <c r="AH1368" s="6506"/>
      <c r="AI1368" s="6502"/>
      <c r="AJ1368" s="6502"/>
      <c r="AK1368" s="6502"/>
      <c r="AL1368" s="6502"/>
      <c r="AM1368" s="6502"/>
      <c r="AN1368" s="6505">
        <f>SUM(BO1368:CB1368)</f>
        <v>0</v>
      </c>
      <c r="AO1368" s="6529"/>
      <c r="AP1368" s="6505">
        <f>AG1368-AN1368</f>
        <v>0</v>
      </c>
      <c r="AQ1368" s="6552"/>
      <c r="AR1368" s="6502"/>
      <c r="AS1368" s="6558"/>
      <c r="AT1368" s="6552"/>
      <c r="AU1368" s="2680"/>
      <c r="AV1368" s="2680"/>
      <c r="AW1368" s="2680"/>
      <c r="AX1368" s="2680"/>
      <c r="AY1368" s="2680"/>
      <c r="AZ1368" s="2680"/>
      <c r="BA1368" s="6529"/>
      <c r="BB1368" s="6529"/>
      <c r="BC1368" s="6529"/>
      <c r="BD1368" s="6529"/>
      <c r="BE1368" s="6529"/>
      <c r="BF1368" s="6529"/>
      <c r="BG1368" s="6529"/>
      <c r="BH1368" s="6529"/>
      <c r="BI1368" s="6565"/>
      <c r="BJ1368" s="6565"/>
      <c r="BK1368" s="6565"/>
      <c r="BL1368" s="6565"/>
      <c r="BM1368" s="6565"/>
      <c r="BN1368" s="6529"/>
      <c r="BO1368" s="6502"/>
      <c r="BP1368" s="6502"/>
      <c r="BQ1368" s="6502"/>
      <c r="BR1368" s="6502"/>
      <c r="BS1368" s="6502"/>
      <c r="BT1368" s="6502"/>
      <c r="BU1368" s="6502"/>
      <c r="BV1368" s="6502"/>
      <c r="BW1368" s="6568"/>
      <c r="BX1368" s="6505"/>
      <c r="BY1368" s="6505"/>
      <c r="BZ1368" s="6505"/>
      <c r="CA1368" s="6505"/>
      <c r="CB1368" s="6573"/>
      <c r="CC1368" s="6502"/>
      <c r="CD1368" s="6502"/>
      <c r="CE1368" s="5169"/>
      <c r="CF1368" s="5169"/>
      <c r="CG1368" s="5169"/>
      <c r="CH1368" s="5169"/>
    </row>
    <row r="1369" s="4965" customFormat="1" ht="50.25" customHeight="1" spans="1:86">
      <c r="A1369" s="5079"/>
      <c r="B1369" s="1035"/>
      <c r="C1369" s="5079"/>
      <c r="D1369" s="1035"/>
      <c r="E1369" s="5079"/>
      <c r="F1369" s="6582"/>
      <c r="G1369" s="6464"/>
      <c r="H1369" s="6464"/>
      <c r="I1369" s="6464"/>
      <c r="J1369" s="6464"/>
      <c r="K1369" s="6480"/>
      <c r="L1369" s="6464"/>
      <c r="M1369" s="6488"/>
      <c r="N1369" s="6502"/>
      <c r="O1369" s="6502"/>
      <c r="P1369" s="6502"/>
      <c r="Q1369" s="6502"/>
      <c r="R1369" s="6502"/>
      <c r="S1369" s="6502"/>
      <c r="T1369" s="6502"/>
      <c r="U1369" s="6502"/>
      <c r="V1369" s="6502"/>
      <c r="W1369" s="6502"/>
      <c r="X1369" s="6502"/>
      <c r="Y1369" s="6502"/>
      <c r="Z1369" s="6502"/>
      <c r="AA1369" s="6502"/>
      <c r="AB1369" s="6502"/>
      <c r="AC1369" s="6502">
        <v>5</v>
      </c>
      <c r="AD1369" s="6589" t="s">
        <v>2089</v>
      </c>
      <c r="AE1369" s="6504">
        <v>0.05</v>
      </c>
      <c r="AF1369" s="6505">
        <f>M1364*AE1369</f>
        <v>69449.5465</v>
      </c>
      <c r="AG1369" s="6505">
        <f t="shared" si="274"/>
        <v>0</v>
      </c>
      <c r="AH1369" s="6506"/>
      <c r="AI1369" s="6502"/>
      <c r="AJ1369" s="6502"/>
      <c r="AK1369" s="6502"/>
      <c r="AL1369" s="6502"/>
      <c r="AM1369" s="6502"/>
      <c r="AN1369" s="6505">
        <f>SUM(BO1369:CB1369)</f>
        <v>0</v>
      </c>
      <c r="AO1369" s="6529"/>
      <c r="AP1369" s="6505">
        <f>AG1369-AN1369</f>
        <v>0</v>
      </c>
      <c r="AQ1369" s="6552"/>
      <c r="AR1369" s="6502"/>
      <c r="AS1369" s="6558"/>
      <c r="AT1369" s="6552"/>
      <c r="AU1369" s="2680"/>
      <c r="AV1369" s="2680"/>
      <c r="AW1369" s="2680"/>
      <c r="AX1369" s="2680"/>
      <c r="AY1369" s="2680"/>
      <c r="AZ1369" s="2680"/>
      <c r="BA1369" s="6529"/>
      <c r="BB1369" s="6529"/>
      <c r="BC1369" s="6529"/>
      <c r="BD1369" s="6529"/>
      <c r="BE1369" s="6529"/>
      <c r="BF1369" s="6529"/>
      <c r="BG1369" s="6529"/>
      <c r="BH1369" s="6529"/>
      <c r="BI1369" s="6565"/>
      <c r="BJ1369" s="6565"/>
      <c r="BK1369" s="6565"/>
      <c r="BL1369" s="6565"/>
      <c r="BM1369" s="6565"/>
      <c r="BN1369" s="6529"/>
      <c r="BO1369" s="6502"/>
      <c r="BP1369" s="6502"/>
      <c r="BQ1369" s="6502"/>
      <c r="BR1369" s="6502"/>
      <c r="BS1369" s="6502"/>
      <c r="BT1369" s="6502"/>
      <c r="BU1369" s="6502"/>
      <c r="BV1369" s="6502"/>
      <c r="BW1369" s="6568"/>
      <c r="BX1369" s="6505"/>
      <c r="BY1369" s="6505"/>
      <c r="BZ1369" s="6505"/>
      <c r="CA1369" s="6505"/>
      <c r="CB1369" s="6573"/>
      <c r="CC1369" s="6502"/>
      <c r="CD1369" s="6502"/>
      <c r="CE1369" s="5169"/>
      <c r="CF1369" s="5169"/>
      <c r="CG1369" s="5169"/>
      <c r="CH1369" s="5169"/>
    </row>
    <row r="1370" s="4965" customFormat="1" ht="50.25" customHeight="1" spans="1:86">
      <c r="A1370" s="5079"/>
      <c r="B1370" s="1035"/>
      <c r="C1370" s="5079"/>
      <c r="D1370" s="1035"/>
      <c r="E1370" s="5079"/>
      <c r="F1370" s="2326" t="s">
        <v>2273</v>
      </c>
      <c r="G1370" s="2326" t="s">
        <v>2259</v>
      </c>
      <c r="H1370" s="2326" t="s">
        <v>2229</v>
      </c>
      <c r="I1370" s="2326" t="s">
        <v>2260</v>
      </c>
      <c r="J1370" s="2326" t="s">
        <v>2237</v>
      </c>
      <c r="K1370" s="2326" t="s">
        <v>2274</v>
      </c>
      <c r="L1370" s="2326" t="s">
        <v>2247</v>
      </c>
      <c r="M1370" s="6340">
        <f>SUM(N1370:AA1373)</f>
        <v>1095783.96</v>
      </c>
      <c r="N1370" s="6341"/>
      <c r="O1370" s="6341"/>
      <c r="P1370" s="6341"/>
      <c r="Q1370" s="6341"/>
      <c r="R1370" s="6341"/>
      <c r="S1370" s="6341"/>
      <c r="T1370" s="6341"/>
      <c r="U1370" s="6341">
        <v>1095783.96</v>
      </c>
      <c r="V1370" s="6341"/>
      <c r="W1370" s="6341"/>
      <c r="X1370" s="6341"/>
      <c r="Y1370" s="6341"/>
      <c r="Z1370" s="6341"/>
      <c r="AA1370" s="6341"/>
      <c r="AB1370" s="6341"/>
      <c r="AC1370" s="3066">
        <v>1</v>
      </c>
      <c r="AD1370" s="6522" t="s">
        <v>2117</v>
      </c>
      <c r="AE1370" s="6389">
        <v>0.2</v>
      </c>
      <c r="AF1370" s="3098">
        <f>M1370*AE1370</f>
        <v>219156.792</v>
      </c>
      <c r="AG1370" s="6538">
        <f t="shared" ref="AG1370:AG1385" si="277">SUM(BA1370:BN1370)</f>
        <v>219156.78</v>
      </c>
      <c r="AH1370" s="6539" t="s">
        <v>122</v>
      </c>
      <c r="AI1370" s="6442">
        <v>45628</v>
      </c>
      <c r="AJ1370" s="6444">
        <v>219156.78</v>
      </c>
      <c r="AK1370" s="3066">
        <v>45628</v>
      </c>
      <c r="AL1370" s="3066">
        <v>219156.78</v>
      </c>
      <c r="AM1370" s="3066">
        <v>45629</v>
      </c>
      <c r="AN1370" s="3098">
        <f t="shared" ref="AN1370:AN1385" si="278">SUM(BO1370:CB1370)</f>
        <v>219156.78</v>
      </c>
      <c r="AO1370" s="3065">
        <v>45650</v>
      </c>
      <c r="AP1370" s="3098">
        <f t="shared" ref="AP1370:AP1385" si="279">AG1370-AN1370</f>
        <v>0</v>
      </c>
      <c r="AQ1370" s="6424"/>
      <c r="AR1370" s="3066"/>
      <c r="AS1370" s="6440"/>
      <c r="AT1370" s="6424"/>
      <c r="AU1370" s="2680"/>
      <c r="AV1370" s="2680"/>
      <c r="AW1370" s="2680"/>
      <c r="AX1370" s="2680"/>
      <c r="AY1370" s="2680"/>
      <c r="AZ1370" s="2680"/>
      <c r="BA1370" s="3065"/>
      <c r="BB1370" s="3065"/>
      <c r="BC1370" s="3065"/>
      <c r="BD1370" s="3065"/>
      <c r="BE1370" s="3065"/>
      <c r="BF1370" s="3065"/>
      <c r="BG1370" s="3065"/>
      <c r="BH1370" s="6442">
        <v>219156.78</v>
      </c>
      <c r="BI1370" s="6444"/>
      <c r="BJ1370" s="6444"/>
      <c r="BK1370" s="6444"/>
      <c r="BL1370" s="6444"/>
      <c r="BM1370" s="6444"/>
      <c r="BN1370" s="3065"/>
      <c r="BO1370" s="3066"/>
      <c r="BP1370" s="3066"/>
      <c r="BQ1370" s="3066"/>
      <c r="BR1370" s="3066"/>
      <c r="BS1370" s="3066"/>
      <c r="BT1370" s="3066"/>
      <c r="BU1370" s="3066"/>
      <c r="BV1370" s="3065">
        <v>219156.78</v>
      </c>
      <c r="BW1370" s="6452"/>
      <c r="BX1370" s="3098"/>
      <c r="BY1370" s="3098"/>
      <c r="BZ1370" s="3098"/>
      <c r="CA1370" s="3098"/>
      <c r="CB1370" s="6456"/>
      <c r="CC1370" s="3066"/>
      <c r="CD1370" s="3066"/>
      <c r="CE1370" s="5169"/>
      <c r="CF1370" s="5169"/>
      <c r="CG1370" s="5169"/>
      <c r="CH1370" s="5169"/>
    </row>
    <row r="1371" s="4980" customFormat="1" ht="50.25" customHeight="1" spans="1:86">
      <c r="A1371" s="5667"/>
      <c r="B1371" s="1035"/>
      <c r="C1371" s="5667"/>
      <c r="D1371" s="1035"/>
      <c r="E1371" s="5079"/>
      <c r="F1371" s="5233"/>
      <c r="G1371" s="5233"/>
      <c r="H1371" s="5233"/>
      <c r="I1371" s="5233"/>
      <c r="J1371" s="5233"/>
      <c r="K1371" s="2328"/>
      <c r="L1371" s="5233"/>
      <c r="M1371" s="4131"/>
      <c r="N1371" s="6341"/>
      <c r="O1371" s="6341"/>
      <c r="P1371" s="6341"/>
      <c r="Q1371" s="6341"/>
      <c r="R1371" s="6341"/>
      <c r="S1371" s="6341"/>
      <c r="T1371" s="6341"/>
      <c r="U1371" s="6341"/>
      <c r="V1371" s="6341"/>
      <c r="W1371" s="6341"/>
      <c r="X1371" s="6341"/>
      <c r="Y1371" s="6341"/>
      <c r="Z1371" s="6341"/>
      <c r="AA1371" s="6341"/>
      <c r="AB1371" s="6341"/>
      <c r="AC1371" s="3065">
        <v>2</v>
      </c>
      <c r="AD1371" s="6518" t="s">
        <v>2118</v>
      </c>
      <c r="AE1371" s="6388">
        <v>0.2</v>
      </c>
      <c r="AF1371" s="6444">
        <f>M1370*AE1371</f>
        <v>219156.792</v>
      </c>
      <c r="AG1371" s="6538">
        <f t="shared" si="277"/>
        <v>219156.792</v>
      </c>
      <c r="AH1371" s="6539" t="s">
        <v>122</v>
      </c>
      <c r="AI1371" s="6442">
        <v>45650</v>
      </c>
      <c r="AJ1371" s="3065">
        <v>219156.792</v>
      </c>
      <c r="AK1371" s="3065">
        <v>45650</v>
      </c>
      <c r="AL1371" s="6442">
        <v>219156.792</v>
      </c>
      <c r="AM1371" s="6442">
        <v>45744</v>
      </c>
      <c r="AN1371" s="6444">
        <f t="shared" si="278"/>
        <v>219156.792</v>
      </c>
      <c r="AO1371" s="3065">
        <v>45835</v>
      </c>
      <c r="AP1371" s="6444">
        <f t="shared" si="279"/>
        <v>0</v>
      </c>
      <c r="AQ1371" s="6556"/>
      <c r="AR1371" s="3065"/>
      <c r="AS1371" s="6562"/>
      <c r="AT1371" s="6556"/>
      <c r="AU1371" s="2680"/>
      <c r="AV1371" s="2680"/>
      <c r="AW1371" s="2680"/>
      <c r="AX1371" s="2680"/>
      <c r="AY1371" s="2680"/>
      <c r="AZ1371" s="2680"/>
      <c r="BA1371" s="3065"/>
      <c r="BB1371" s="3065"/>
      <c r="BC1371" s="3065"/>
      <c r="BD1371" s="3065"/>
      <c r="BE1371" s="3065"/>
      <c r="BF1371" s="3065"/>
      <c r="BG1371" s="3065"/>
      <c r="BH1371" s="6442">
        <v>219156.792</v>
      </c>
      <c r="BI1371" s="6444"/>
      <c r="BJ1371" s="6444"/>
      <c r="BK1371" s="6444"/>
      <c r="BL1371" s="6444"/>
      <c r="BM1371" s="6444"/>
      <c r="BN1371" s="3065"/>
      <c r="BO1371" s="3065"/>
      <c r="BP1371" s="3065"/>
      <c r="BQ1371" s="3065"/>
      <c r="BR1371" s="3065"/>
      <c r="BS1371" s="3065"/>
      <c r="BT1371" s="3065"/>
      <c r="BU1371" s="3065"/>
      <c r="BV1371" s="3065">
        <v>219156.792</v>
      </c>
      <c r="BW1371" s="6444"/>
      <c r="BX1371" s="6444"/>
      <c r="BY1371" s="6444"/>
      <c r="BZ1371" s="6444"/>
      <c r="CA1371" s="6444"/>
      <c r="CB1371" s="6442"/>
      <c r="CC1371" s="3065"/>
      <c r="CD1371" s="3065"/>
      <c r="CE1371" s="5154"/>
      <c r="CF1371" s="5154"/>
      <c r="CG1371" s="5154"/>
      <c r="CH1371" s="5154"/>
    </row>
    <row r="1372" s="4980" customFormat="1" ht="50.25" customHeight="1" spans="1:86">
      <c r="A1372" s="5667"/>
      <c r="B1372" s="1035"/>
      <c r="C1372" s="5667"/>
      <c r="D1372" s="1035"/>
      <c r="E1372" s="5079"/>
      <c r="F1372" s="5233"/>
      <c r="G1372" s="5233"/>
      <c r="H1372" s="5233"/>
      <c r="I1372" s="5233"/>
      <c r="J1372" s="5233"/>
      <c r="K1372" s="2328"/>
      <c r="L1372" s="5233"/>
      <c r="M1372" s="4131"/>
      <c r="N1372" s="6341"/>
      <c r="O1372" s="6341"/>
      <c r="P1372" s="6341"/>
      <c r="Q1372" s="6341"/>
      <c r="R1372" s="6341"/>
      <c r="S1372" s="6341"/>
      <c r="T1372" s="6341"/>
      <c r="U1372" s="6341"/>
      <c r="V1372" s="6341"/>
      <c r="W1372" s="6341"/>
      <c r="X1372" s="6341"/>
      <c r="Y1372" s="6341"/>
      <c r="Z1372" s="6341"/>
      <c r="AA1372" s="6341"/>
      <c r="AB1372" s="6341"/>
      <c r="AC1372" s="3065">
        <v>3</v>
      </c>
      <c r="AD1372" s="6518" t="s">
        <v>2248</v>
      </c>
      <c r="AE1372" s="6388">
        <v>0.4</v>
      </c>
      <c r="AF1372" s="6444">
        <f>M1370*AE1372</f>
        <v>438313.584</v>
      </c>
      <c r="AG1372" s="6538">
        <f t="shared" si="277"/>
        <v>438313.584</v>
      </c>
      <c r="AH1372" s="6539" t="s">
        <v>122</v>
      </c>
      <c r="AI1372" s="6442">
        <v>45650</v>
      </c>
      <c r="AJ1372" s="3065">
        <v>438313.584</v>
      </c>
      <c r="AK1372" s="3065">
        <v>45650</v>
      </c>
      <c r="AL1372" s="6442">
        <v>438313.584</v>
      </c>
      <c r="AM1372" s="6442">
        <v>45744</v>
      </c>
      <c r="AN1372" s="6444">
        <f t="shared" si="278"/>
        <v>438313.584</v>
      </c>
      <c r="AO1372" s="3065">
        <v>45835</v>
      </c>
      <c r="AP1372" s="6444">
        <f t="shared" si="279"/>
        <v>0</v>
      </c>
      <c r="AQ1372" s="6556"/>
      <c r="AR1372" s="3065"/>
      <c r="AS1372" s="6562"/>
      <c r="AT1372" s="6556"/>
      <c r="AU1372" s="2680"/>
      <c r="AV1372" s="2680"/>
      <c r="AW1372" s="2680"/>
      <c r="AX1372" s="2680"/>
      <c r="AY1372" s="2680"/>
      <c r="AZ1372" s="2680"/>
      <c r="BA1372" s="3065"/>
      <c r="BB1372" s="3065"/>
      <c r="BC1372" s="3065"/>
      <c r="BD1372" s="3065"/>
      <c r="BE1372" s="3065"/>
      <c r="BF1372" s="3065"/>
      <c r="BG1372" s="3065"/>
      <c r="BH1372" s="6442">
        <v>438313.584</v>
      </c>
      <c r="BI1372" s="6444"/>
      <c r="BJ1372" s="6444"/>
      <c r="BK1372" s="6444"/>
      <c r="BL1372" s="6444"/>
      <c r="BM1372" s="6444"/>
      <c r="BN1372" s="3065"/>
      <c r="BO1372" s="3065"/>
      <c r="BP1372" s="3065"/>
      <c r="BQ1372" s="3065"/>
      <c r="BR1372" s="3065"/>
      <c r="BS1372" s="3065"/>
      <c r="BT1372" s="3065"/>
      <c r="BU1372" s="3065"/>
      <c r="BV1372" s="3065">
        <v>438313.584</v>
      </c>
      <c r="BW1372" s="6444"/>
      <c r="BX1372" s="6444"/>
      <c r="BY1372" s="6444"/>
      <c r="BZ1372" s="6444"/>
      <c r="CA1372" s="6444"/>
      <c r="CB1372" s="6442"/>
      <c r="CC1372" s="3065"/>
      <c r="CD1372" s="3065"/>
      <c r="CE1372" s="5154"/>
      <c r="CF1372" s="5154"/>
      <c r="CG1372" s="5154"/>
      <c r="CH1372" s="5154"/>
    </row>
    <row r="1373" s="4980" customFormat="1" ht="50.25" customHeight="1" spans="1:86">
      <c r="A1373" s="5667"/>
      <c r="B1373" s="1035"/>
      <c r="C1373" s="5667"/>
      <c r="D1373" s="1035"/>
      <c r="E1373" s="5079"/>
      <c r="F1373" s="6583"/>
      <c r="G1373" s="6583"/>
      <c r="H1373" s="6583"/>
      <c r="I1373" s="6583"/>
      <c r="J1373" s="6583"/>
      <c r="K1373" s="2330"/>
      <c r="L1373" s="6583"/>
      <c r="M1373" s="6602"/>
      <c r="N1373" s="6485"/>
      <c r="O1373" s="6485"/>
      <c r="P1373" s="6485"/>
      <c r="Q1373" s="6485"/>
      <c r="R1373" s="6485"/>
      <c r="S1373" s="6485"/>
      <c r="T1373" s="6485"/>
      <c r="U1373" s="6485"/>
      <c r="V1373" s="6485"/>
      <c r="W1373" s="6485"/>
      <c r="X1373" s="6485"/>
      <c r="Y1373" s="6485"/>
      <c r="Z1373" s="6485"/>
      <c r="AA1373" s="6485"/>
      <c r="AB1373" s="6485"/>
      <c r="AC1373" s="3065">
        <v>4</v>
      </c>
      <c r="AD1373" s="6518" t="s">
        <v>2120</v>
      </c>
      <c r="AE1373" s="6388">
        <v>0.2</v>
      </c>
      <c r="AF1373" s="6444">
        <f>M1370*AE1373</f>
        <v>219156.792</v>
      </c>
      <c r="AG1373" s="6444">
        <f t="shared" si="277"/>
        <v>0</v>
      </c>
      <c r="AH1373" s="6388"/>
      <c r="AI1373" s="3065"/>
      <c r="AJ1373" s="3065"/>
      <c r="AK1373" s="3065"/>
      <c r="AL1373" s="3065"/>
      <c r="AM1373" s="3065"/>
      <c r="AN1373" s="6444">
        <f t="shared" si="278"/>
        <v>0</v>
      </c>
      <c r="AO1373" s="3065"/>
      <c r="AP1373" s="6444">
        <f t="shared" si="279"/>
        <v>0</v>
      </c>
      <c r="AQ1373" s="6556"/>
      <c r="AR1373" s="3065"/>
      <c r="AS1373" s="6562"/>
      <c r="AT1373" s="6556"/>
      <c r="AU1373" s="2680"/>
      <c r="AV1373" s="2680"/>
      <c r="AW1373" s="2680"/>
      <c r="AX1373" s="2680"/>
      <c r="AY1373" s="2680"/>
      <c r="AZ1373" s="2680"/>
      <c r="BA1373" s="3065"/>
      <c r="BB1373" s="3065"/>
      <c r="BC1373" s="3065"/>
      <c r="BD1373" s="3065"/>
      <c r="BE1373" s="3065"/>
      <c r="BF1373" s="3065"/>
      <c r="BG1373" s="3065"/>
      <c r="BH1373" s="3065"/>
      <c r="BI1373" s="6444"/>
      <c r="BJ1373" s="6444"/>
      <c r="BK1373" s="6444"/>
      <c r="BL1373" s="6444"/>
      <c r="BM1373" s="6444"/>
      <c r="BN1373" s="3065"/>
      <c r="BO1373" s="3065"/>
      <c r="BP1373" s="3065"/>
      <c r="BQ1373" s="3065"/>
      <c r="BR1373" s="3065"/>
      <c r="BS1373" s="3065"/>
      <c r="BT1373" s="3065"/>
      <c r="BU1373" s="3065"/>
      <c r="BV1373" s="3065"/>
      <c r="BW1373" s="6444"/>
      <c r="BX1373" s="6444"/>
      <c r="BY1373" s="6444"/>
      <c r="BZ1373" s="6444"/>
      <c r="CA1373" s="6444"/>
      <c r="CB1373" s="6442"/>
      <c r="CC1373" s="3065"/>
      <c r="CD1373" s="3065"/>
      <c r="CE1373" s="5154"/>
      <c r="CF1373" s="5154"/>
      <c r="CG1373" s="5154"/>
      <c r="CH1373" s="5154"/>
    </row>
    <row r="1374" s="4980" customFormat="1" ht="50.25" customHeight="1" spans="1:86">
      <c r="A1374" s="5667"/>
      <c r="B1374" s="1035"/>
      <c r="C1374" s="5667"/>
      <c r="D1374" s="1035"/>
      <c r="E1374" s="5079"/>
      <c r="F1374" s="6584" t="s">
        <v>2275</v>
      </c>
      <c r="G1374" s="6584" t="s">
        <v>2259</v>
      </c>
      <c r="H1374" s="6584" t="s">
        <v>2206</v>
      </c>
      <c r="I1374" s="6584" t="s">
        <v>2260</v>
      </c>
      <c r="J1374" s="6584" t="s">
        <v>2237</v>
      </c>
      <c r="K1374" s="6584" t="s">
        <v>2274</v>
      </c>
      <c r="L1374" s="6584" t="s">
        <v>1368</v>
      </c>
      <c r="M1374" s="6603">
        <f>SUM(N1374:AA1376)</f>
        <v>273945.99</v>
      </c>
      <c r="N1374" s="6604"/>
      <c r="O1374" s="6604"/>
      <c r="P1374" s="6604"/>
      <c r="Q1374" s="6604"/>
      <c r="R1374" s="6604"/>
      <c r="S1374" s="6604"/>
      <c r="T1374" s="6604"/>
      <c r="U1374" s="6604">
        <v>273945.99</v>
      </c>
      <c r="V1374" s="6604"/>
      <c r="W1374" s="6604"/>
      <c r="X1374" s="6604"/>
      <c r="Y1374" s="6604"/>
      <c r="Z1374" s="6604"/>
      <c r="AA1374" s="6604"/>
      <c r="AB1374" s="6604"/>
      <c r="AC1374" s="6619">
        <v>1</v>
      </c>
      <c r="AD1374" s="6620" t="s">
        <v>2124</v>
      </c>
      <c r="AE1374" s="6621">
        <v>0.2</v>
      </c>
      <c r="AF1374" s="6622">
        <f>M1374*AE1374</f>
        <v>54789.198</v>
      </c>
      <c r="AG1374" s="6639">
        <f t="shared" si="277"/>
        <v>54789.198</v>
      </c>
      <c r="AH1374" s="6640" t="s">
        <v>122</v>
      </c>
      <c r="AI1374" s="6641">
        <v>45628</v>
      </c>
      <c r="AJ1374" s="6619">
        <v>54789.198</v>
      </c>
      <c r="AK1374" s="6619">
        <v>45628</v>
      </c>
      <c r="AL1374" s="6619">
        <v>54789.198</v>
      </c>
      <c r="AM1374" s="6619">
        <v>45629</v>
      </c>
      <c r="AN1374" s="6622">
        <f t="shared" si="278"/>
        <v>54789.198</v>
      </c>
      <c r="AO1374" s="6619">
        <v>45650</v>
      </c>
      <c r="AP1374" s="6622">
        <f t="shared" si="279"/>
        <v>0</v>
      </c>
      <c r="AQ1374" s="6652"/>
      <c r="AR1374" s="6619"/>
      <c r="AS1374" s="6659"/>
      <c r="AT1374" s="6652"/>
      <c r="AU1374" s="2680"/>
      <c r="AV1374" s="2680"/>
      <c r="AW1374" s="2680"/>
      <c r="AX1374" s="2680"/>
      <c r="AY1374" s="2680"/>
      <c r="AZ1374" s="2680"/>
      <c r="BA1374" s="6619"/>
      <c r="BB1374" s="6619"/>
      <c r="BC1374" s="6619"/>
      <c r="BD1374" s="6619"/>
      <c r="BE1374" s="6619"/>
      <c r="BF1374" s="6619"/>
      <c r="BG1374" s="6619"/>
      <c r="BH1374" s="6641">
        <v>54789.198</v>
      </c>
      <c r="BI1374" s="6622"/>
      <c r="BJ1374" s="6622"/>
      <c r="BK1374" s="6622"/>
      <c r="BL1374" s="6622"/>
      <c r="BM1374" s="6622"/>
      <c r="BN1374" s="6619"/>
      <c r="BO1374" s="6619"/>
      <c r="BP1374" s="6619"/>
      <c r="BQ1374" s="6619"/>
      <c r="BR1374" s="6619"/>
      <c r="BS1374" s="6619"/>
      <c r="BT1374" s="6619"/>
      <c r="BU1374" s="6619"/>
      <c r="BV1374" s="6619">
        <v>54789.198</v>
      </c>
      <c r="BW1374" s="6622"/>
      <c r="BX1374" s="6622"/>
      <c r="BY1374" s="6622"/>
      <c r="BZ1374" s="6622"/>
      <c r="CA1374" s="6622"/>
      <c r="CB1374" s="6641"/>
      <c r="CC1374" s="6619"/>
      <c r="CD1374" s="6619"/>
      <c r="CE1374" s="5154"/>
      <c r="CF1374" s="5154"/>
      <c r="CG1374" s="5154"/>
      <c r="CH1374" s="5154"/>
    </row>
    <row r="1375" s="4980" customFormat="1" ht="50.25" customHeight="1" spans="1:86">
      <c r="A1375" s="5667"/>
      <c r="B1375" s="1035"/>
      <c r="C1375" s="5667"/>
      <c r="D1375" s="1035"/>
      <c r="E1375" s="5079"/>
      <c r="F1375" s="6585"/>
      <c r="G1375" s="6585"/>
      <c r="H1375" s="6585"/>
      <c r="I1375" s="6585"/>
      <c r="J1375" s="6585"/>
      <c r="K1375" s="6594"/>
      <c r="L1375" s="6585"/>
      <c r="M1375" s="6605"/>
      <c r="N1375" s="6604"/>
      <c r="O1375" s="6604"/>
      <c r="P1375" s="6604"/>
      <c r="Q1375" s="6604"/>
      <c r="R1375" s="6604"/>
      <c r="S1375" s="6604"/>
      <c r="T1375" s="6604"/>
      <c r="U1375" s="6604"/>
      <c r="V1375" s="6604"/>
      <c r="W1375" s="6604"/>
      <c r="X1375" s="6604"/>
      <c r="Y1375" s="6604"/>
      <c r="Z1375" s="6604"/>
      <c r="AA1375" s="6604"/>
      <c r="AB1375" s="6604"/>
      <c r="AC1375" s="6619">
        <v>2</v>
      </c>
      <c r="AD1375" s="6620" t="s">
        <v>2125</v>
      </c>
      <c r="AE1375" s="6621">
        <v>0.6</v>
      </c>
      <c r="AF1375" s="6622">
        <f>M1374*AE1375</f>
        <v>164367.594</v>
      </c>
      <c r="AG1375" s="6639">
        <f t="shared" si="277"/>
        <v>164367.594</v>
      </c>
      <c r="AH1375" s="6640" t="s">
        <v>122</v>
      </c>
      <c r="AI1375" s="6641">
        <v>45650</v>
      </c>
      <c r="AJ1375" s="6619">
        <v>164367.594</v>
      </c>
      <c r="AK1375" s="6619">
        <v>45650</v>
      </c>
      <c r="AL1375" s="6641">
        <v>164367.594</v>
      </c>
      <c r="AM1375" s="6641">
        <v>45744</v>
      </c>
      <c r="AN1375" s="6622">
        <f t="shared" si="278"/>
        <v>164367.594</v>
      </c>
      <c r="AO1375" s="6619">
        <v>45804</v>
      </c>
      <c r="AP1375" s="6622">
        <f t="shared" si="279"/>
        <v>0</v>
      </c>
      <c r="AQ1375" s="6652"/>
      <c r="AR1375" s="6619"/>
      <c r="AS1375" s="6659"/>
      <c r="AT1375" s="6652"/>
      <c r="AU1375" s="2680"/>
      <c r="AV1375" s="2680"/>
      <c r="AW1375" s="2680"/>
      <c r="AX1375" s="2680"/>
      <c r="AY1375" s="2680"/>
      <c r="AZ1375" s="2680"/>
      <c r="BA1375" s="6619"/>
      <c r="BB1375" s="6619"/>
      <c r="BC1375" s="6619"/>
      <c r="BD1375" s="6619"/>
      <c r="BE1375" s="6619"/>
      <c r="BF1375" s="6619"/>
      <c r="BG1375" s="6619"/>
      <c r="BH1375" s="6641">
        <v>164367.594</v>
      </c>
      <c r="BI1375" s="6622"/>
      <c r="BJ1375" s="6622"/>
      <c r="BK1375" s="6622"/>
      <c r="BL1375" s="6622"/>
      <c r="BM1375" s="6622"/>
      <c r="BN1375" s="6619"/>
      <c r="BO1375" s="6619"/>
      <c r="BP1375" s="6619"/>
      <c r="BQ1375" s="6619"/>
      <c r="BR1375" s="6619"/>
      <c r="BS1375" s="6619"/>
      <c r="BT1375" s="6619"/>
      <c r="BU1375" s="6619"/>
      <c r="BV1375" s="6619">
        <v>164367.594</v>
      </c>
      <c r="BW1375" s="6622"/>
      <c r="BX1375" s="6622"/>
      <c r="BY1375" s="6622"/>
      <c r="BZ1375" s="6622"/>
      <c r="CA1375" s="6622"/>
      <c r="CB1375" s="6641"/>
      <c r="CC1375" s="6619"/>
      <c r="CD1375" s="6619"/>
      <c r="CE1375" s="5154"/>
      <c r="CF1375" s="5154"/>
      <c r="CG1375" s="5154"/>
      <c r="CH1375" s="5154"/>
    </row>
    <row r="1376" s="4965" customFormat="1" ht="50.25" customHeight="1" spans="1:86">
      <c r="A1376" s="5079"/>
      <c r="B1376" s="1035"/>
      <c r="C1376" s="5079"/>
      <c r="D1376" s="1035"/>
      <c r="E1376" s="5079"/>
      <c r="F1376" s="6586"/>
      <c r="G1376" s="6586"/>
      <c r="H1376" s="6586"/>
      <c r="I1376" s="6586"/>
      <c r="J1376" s="6586"/>
      <c r="K1376" s="6595"/>
      <c r="L1376" s="6586"/>
      <c r="M1376" s="6606"/>
      <c r="N1376" s="6606"/>
      <c r="O1376" s="6606"/>
      <c r="P1376" s="6606"/>
      <c r="Q1376" s="6606"/>
      <c r="R1376" s="6606"/>
      <c r="S1376" s="6606"/>
      <c r="T1376" s="6606"/>
      <c r="U1376" s="6606"/>
      <c r="V1376" s="6606"/>
      <c r="W1376" s="6606"/>
      <c r="X1376" s="6606"/>
      <c r="Y1376" s="6606"/>
      <c r="Z1376" s="6606"/>
      <c r="AA1376" s="6606"/>
      <c r="AB1376" s="6606"/>
      <c r="AC1376" s="6623">
        <v>3</v>
      </c>
      <c r="AD1376" s="6624" t="s">
        <v>2126</v>
      </c>
      <c r="AE1376" s="6625">
        <v>0.2</v>
      </c>
      <c r="AF1376" s="6626">
        <f>M1374*AE1376</f>
        <v>54789.198</v>
      </c>
      <c r="AG1376" s="6626">
        <f t="shared" si="277"/>
        <v>0</v>
      </c>
      <c r="AH1376" s="6621"/>
      <c r="AI1376" s="6623"/>
      <c r="AJ1376" s="6623"/>
      <c r="AK1376" s="6623"/>
      <c r="AL1376" s="6623"/>
      <c r="AM1376" s="6623"/>
      <c r="AN1376" s="6626">
        <f t="shared" si="278"/>
        <v>0</v>
      </c>
      <c r="AO1376" s="6619"/>
      <c r="AP1376" s="6626">
        <f t="shared" si="279"/>
        <v>0</v>
      </c>
      <c r="AQ1376" s="6653"/>
      <c r="AR1376" s="6623"/>
      <c r="AS1376" s="6660"/>
      <c r="AT1376" s="6653"/>
      <c r="AU1376" s="2680"/>
      <c r="AV1376" s="2680"/>
      <c r="AW1376" s="2680"/>
      <c r="AX1376" s="2680"/>
      <c r="AY1376" s="2680"/>
      <c r="AZ1376" s="2680"/>
      <c r="BA1376" s="6619"/>
      <c r="BB1376" s="6619"/>
      <c r="BC1376" s="6619"/>
      <c r="BD1376" s="6619"/>
      <c r="BE1376" s="6619"/>
      <c r="BF1376" s="6619"/>
      <c r="BG1376" s="6619"/>
      <c r="BH1376" s="6619"/>
      <c r="BI1376" s="6622"/>
      <c r="BJ1376" s="6622"/>
      <c r="BK1376" s="6622"/>
      <c r="BL1376" s="6622"/>
      <c r="BM1376" s="6622"/>
      <c r="BN1376" s="6619"/>
      <c r="BO1376" s="6623"/>
      <c r="BP1376" s="6623"/>
      <c r="BQ1376" s="6623"/>
      <c r="BR1376" s="6623"/>
      <c r="BS1376" s="6623"/>
      <c r="BT1376" s="6623"/>
      <c r="BU1376" s="6623"/>
      <c r="BV1376" s="6623"/>
      <c r="BW1376" s="6662"/>
      <c r="BX1376" s="6626"/>
      <c r="BY1376" s="6626"/>
      <c r="BZ1376" s="6626"/>
      <c r="CA1376" s="6626"/>
      <c r="CB1376" s="6664"/>
      <c r="CC1376" s="6623"/>
      <c r="CD1376" s="6623"/>
      <c r="CE1376" s="5169"/>
      <c r="CF1376" s="5169"/>
      <c r="CG1376" s="5169"/>
      <c r="CH1376" s="5169"/>
    </row>
    <row r="1377" s="4965" customFormat="1" ht="61" customHeight="1" spans="1:86">
      <c r="A1377" s="5079"/>
      <c r="B1377" s="1032" t="s">
        <v>1951</v>
      </c>
      <c r="C1377" s="3742">
        <v>45505</v>
      </c>
      <c r="D1377" s="5050" t="s">
        <v>2276</v>
      </c>
      <c r="E1377" s="5050"/>
      <c r="F1377" s="5543" t="s">
        <v>2277</v>
      </c>
      <c r="G1377" s="5543" t="s">
        <v>2278</v>
      </c>
      <c r="H1377" s="5543" t="s">
        <v>2279</v>
      </c>
      <c r="I1377" s="5547" t="s">
        <v>2280</v>
      </c>
      <c r="J1377" s="5547" t="s">
        <v>2281</v>
      </c>
      <c r="K1377" s="5547"/>
      <c r="L1377" s="5547"/>
      <c r="M1377" s="5561">
        <f>SUM(N1377:AA1381)</f>
        <v>998712.23</v>
      </c>
      <c r="N1377" s="5561"/>
      <c r="O1377" s="5561"/>
      <c r="P1377" s="5561">
        <v>368385.29</v>
      </c>
      <c r="Q1377" s="5561"/>
      <c r="R1377" s="5561"/>
      <c r="S1377" s="5561"/>
      <c r="T1377" s="5561"/>
      <c r="U1377" s="5561"/>
      <c r="V1377" s="5561">
        <v>477757.83</v>
      </c>
      <c r="W1377" s="5561"/>
      <c r="X1377" s="5561"/>
      <c r="Y1377" s="5561"/>
      <c r="Z1377" s="5561"/>
      <c r="AA1377" s="5561">
        <v>152569.11</v>
      </c>
      <c r="AB1377" s="5561"/>
      <c r="AC1377" s="2973">
        <v>1</v>
      </c>
      <c r="AD1377" s="5543" t="s">
        <v>2282</v>
      </c>
      <c r="AE1377" s="6507">
        <v>0.2</v>
      </c>
      <c r="AF1377" s="2986">
        <f>M1377*AE1377</f>
        <v>199742.446</v>
      </c>
      <c r="AG1377" s="5613">
        <f t="shared" si="277"/>
        <v>199742.45</v>
      </c>
      <c r="AH1377" s="5543" t="s">
        <v>122</v>
      </c>
      <c r="AI1377" s="5588">
        <v>45576</v>
      </c>
      <c r="AJ1377" s="5588">
        <v>199742.45</v>
      </c>
      <c r="AK1377" s="5588">
        <v>45576</v>
      </c>
      <c r="AL1377" s="2973">
        <v>199742.45</v>
      </c>
      <c r="AM1377" s="5588">
        <v>45579</v>
      </c>
      <c r="AN1377" s="2986">
        <f t="shared" si="278"/>
        <v>199742.45</v>
      </c>
      <c r="AO1377" s="5588">
        <v>45618</v>
      </c>
      <c r="AP1377" s="2986">
        <f t="shared" si="279"/>
        <v>0</v>
      </c>
      <c r="AQ1377" s="5614"/>
      <c r="AR1377" s="2973"/>
      <c r="AS1377" s="6428"/>
      <c r="AT1377" s="5614"/>
      <c r="AU1377" s="2680"/>
      <c r="AV1377" s="2680"/>
      <c r="AW1377" s="2680"/>
      <c r="AX1377" s="2680"/>
      <c r="AY1377" s="2680"/>
      <c r="AZ1377" s="2680"/>
      <c r="BA1377" s="5588"/>
      <c r="BB1377" s="5588"/>
      <c r="BC1377" s="5588">
        <v>73677.06</v>
      </c>
      <c r="BD1377" s="5588"/>
      <c r="BE1377" s="5588"/>
      <c r="BF1377" s="5588"/>
      <c r="BG1377" s="5588"/>
      <c r="BH1377" s="5588"/>
      <c r="BI1377" s="5613">
        <v>95551.57</v>
      </c>
      <c r="BJ1377" s="5613"/>
      <c r="BK1377" s="5613"/>
      <c r="BL1377" s="5613"/>
      <c r="BM1377" s="5613"/>
      <c r="BN1377" s="5588">
        <v>30513.82</v>
      </c>
      <c r="BO1377" s="2973"/>
      <c r="BP1377" s="2973"/>
      <c r="BQ1377" s="5588">
        <v>73677.06</v>
      </c>
      <c r="BR1377" s="5588"/>
      <c r="BS1377" s="5588"/>
      <c r="BT1377" s="5588"/>
      <c r="BU1377" s="5588"/>
      <c r="BV1377" s="5588"/>
      <c r="BW1377" s="5613">
        <v>95551.57</v>
      </c>
      <c r="BX1377" s="5613"/>
      <c r="BY1377" s="5613"/>
      <c r="BZ1377" s="5613"/>
      <c r="CA1377" s="5613"/>
      <c r="CB1377" s="5588">
        <v>30513.82</v>
      </c>
      <c r="CC1377" s="2973"/>
      <c r="CD1377" s="2973"/>
      <c r="CE1377" s="5169"/>
      <c r="CF1377" s="5169"/>
      <c r="CG1377" s="5169"/>
      <c r="CH1377" s="5169"/>
    </row>
    <row r="1378" s="4965" customFormat="1" ht="61" customHeight="1" spans="1:86">
      <c r="A1378" s="5079"/>
      <c r="B1378" s="3742"/>
      <c r="C1378" s="3742"/>
      <c r="D1378" s="6040"/>
      <c r="E1378" s="6040"/>
      <c r="F1378" s="3176"/>
      <c r="G1378" s="3176"/>
      <c r="H1378" s="3176"/>
      <c r="I1378" s="5548"/>
      <c r="J1378" s="5548"/>
      <c r="K1378" s="5548"/>
      <c r="L1378" s="5548"/>
      <c r="M1378" s="5563"/>
      <c r="N1378" s="5563"/>
      <c r="O1378" s="5563"/>
      <c r="P1378" s="5563"/>
      <c r="Q1378" s="5563"/>
      <c r="R1378" s="5563"/>
      <c r="S1378" s="5563"/>
      <c r="T1378" s="5563"/>
      <c r="U1378" s="5563"/>
      <c r="V1378" s="5563"/>
      <c r="W1378" s="5563"/>
      <c r="X1378" s="5563"/>
      <c r="Y1378" s="5563"/>
      <c r="Z1378" s="5563"/>
      <c r="AA1378" s="5563"/>
      <c r="AB1378" s="5563"/>
      <c r="AC1378" s="5561">
        <v>2</v>
      </c>
      <c r="AD1378" s="5547" t="s">
        <v>397</v>
      </c>
      <c r="AE1378" s="6349">
        <v>0.3</v>
      </c>
      <c r="AF1378" s="6350">
        <f>M1377*AE1378</f>
        <v>299613.669</v>
      </c>
      <c r="AG1378" s="5613">
        <f t="shared" si="277"/>
        <v>299613.67</v>
      </c>
      <c r="AH1378" s="5543" t="s">
        <v>122</v>
      </c>
      <c r="AI1378" s="5588">
        <v>45576</v>
      </c>
      <c r="AJ1378" s="5588">
        <v>299613.67</v>
      </c>
      <c r="AK1378" s="5588">
        <v>45576</v>
      </c>
      <c r="AL1378" s="2973">
        <v>299613.67</v>
      </c>
      <c r="AM1378" s="5588">
        <v>45579</v>
      </c>
      <c r="AN1378" s="2986">
        <f t="shared" si="278"/>
        <v>280088.85</v>
      </c>
      <c r="AO1378" s="5588">
        <v>45618</v>
      </c>
      <c r="AP1378" s="2986">
        <f t="shared" si="279"/>
        <v>19524.82</v>
      </c>
      <c r="AQ1378" s="6654" t="s">
        <v>2283</v>
      </c>
      <c r="AR1378" s="2973"/>
      <c r="AS1378" s="6428"/>
      <c r="AT1378" s="5614"/>
      <c r="AU1378" s="2680"/>
      <c r="AV1378" s="2680"/>
      <c r="AW1378" s="2680"/>
      <c r="AX1378" s="2680"/>
      <c r="AY1378" s="2680"/>
      <c r="AZ1378" s="2680"/>
      <c r="BA1378" s="5588"/>
      <c r="BB1378" s="5588"/>
      <c r="BC1378" s="5588">
        <v>110515.59</v>
      </c>
      <c r="BD1378" s="5588"/>
      <c r="BE1378" s="5588"/>
      <c r="BF1378" s="5588"/>
      <c r="BG1378" s="5588"/>
      <c r="BH1378" s="5588"/>
      <c r="BI1378" s="5613">
        <v>143327.35</v>
      </c>
      <c r="BJ1378" s="5613"/>
      <c r="BK1378" s="5613"/>
      <c r="BL1378" s="5613"/>
      <c r="BM1378" s="5613"/>
      <c r="BN1378" s="5588">
        <v>45770.73</v>
      </c>
      <c r="BO1378" s="2973"/>
      <c r="BP1378" s="2973"/>
      <c r="BQ1378" s="5588">
        <v>110515.59</v>
      </c>
      <c r="BR1378" s="5588"/>
      <c r="BS1378" s="5588"/>
      <c r="BT1378" s="5588"/>
      <c r="BU1378" s="5588"/>
      <c r="BV1378" s="5588"/>
      <c r="BW1378" s="5613">
        <v>143327.35</v>
      </c>
      <c r="BX1378" s="5613"/>
      <c r="BY1378" s="5613"/>
      <c r="BZ1378" s="5613"/>
      <c r="CA1378" s="5613"/>
      <c r="CB1378" s="5588">
        <f>45770.73-19524.82</f>
        <v>26245.91</v>
      </c>
      <c r="CC1378" s="2973"/>
      <c r="CD1378" s="2973"/>
      <c r="CE1378" s="5169"/>
      <c r="CF1378" s="5169"/>
      <c r="CG1378" s="5169"/>
      <c r="CH1378" s="5169"/>
    </row>
    <row r="1379" s="4980" customFormat="1" ht="61" customHeight="1" spans="1:86">
      <c r="A1379" s="5667"/>
      <c r="B1379" s="5059"/>
      <c r="C1379" s="5059"/>
      <c r="D1379" s="6040"/>
      <c r="E1379" s="6040"/>
      <c r="F1379" s="6292"/>
      <c r="G1379" s="6292"/>
      <c r="H1379" s="6292"/>
      <c r="I1379" s="6596"/>
      <c r="J1379" s="6596"/>
      <c r="K1379" s="6596"/>
      <c r="L1379" s="6596"/>
      <c r="M1379" s="6353"/>
      <c r="N1379" s="5563"/>
      <c r="O1379" s="5563"/>
      <c r="P1379" s="5563"/>
      <c r="Q1379" s="5563"/>
      <c r="R1379" s="5563"/>
      <c r="S1379" s="5563"/>
      <c r="T1379" s="5563"/>
      <c r="U1379" s="5563"/>
      <c r="V1379" s="5563"/>
      <c r="W1379" s="5563"/>
      <c r="X1379" s="5563"/>
      <c r="Y1379" s="5563"/>
      <c r="Z1379" s="5563"/>
      <c r="AA1379" s="5563"/>
      <c r="AB1379" s="5563"/>
      <c r="AC1379" s="5588">
        <v>3</v>
      </c>
      <c r="AD1379" s="5543" t="s">
        <v>2284</v>
      </c>
      <c r="AE1379" s="5543">
        <v>0.2</v>
      </c>
      <c r="AF1379" s="5613">
        <f>M1377*AE1379</f>
        <v>199742.446</v>
      </c>
      <c r="AG1379" s="5830">
        <f t="shared" si="277"/>
        <v>199742.45</v>
      </c>
      <c r="AH1379" s="6536" t="s">
        <v>122</v>
      </c>
      <c r="AI1379" s="5612">
        <v>45650</v>
      </c>
      <c r="AJ1379" s="5588">
        <v>199742.45</v>
      </c>
      <c r="AK1379" s="5588">
        <v>45650</v>
      </c>
      <c r="AL1379" s="5588"/>
      <c r="AM1379" s="5588"/>
      <c r="AN1379" s="5619">
        <f t="shared" si="278"/>
        <v>199742.45</v>
      </c>
      <c r="AO1379" s="5618">
        <v>46052</v>
      </c>
      <c r="AP1379" s="5613">
        <f t="shared" si="279"/>
        <v>0</v>
      </c>
      <c r="AQ1379" s="5648"/>
      <c r="AR1379" s="5588"/>
      <c r="AS1379" s="6429"/>
      <c r="AT1379" s="5648"/>
      <c r="AU1379" s="2680"/>
      <c r="AV1379" s="2680"/>
      <c r="AW1379" s="2680"/>
      <c r="AX1379" s="2680"/>
      <c r="AY1379" s="2680"/>
      <c r="AZ1379" s="2680"/>
      <c r="BA1379" s="5588"/>
      <c r="BB1379" s="5588"/>
      <c r="BC1379" s="5588">
        <v>104190.88</v>
      </c>
      <c r="BD1379" s="5588"/>
      <c r="BE1379" s="5588"/>
      <c r="BF1379" s="5588"/>
      <c r="BG1379" s="5588"/>
      <c r="BH1379" s="5588"/>
      <c r="BI1379" s="5613">
        <v>95551.57</v>
      </c>
      <c r="BJ1379" s="5613"/>
      <c r="BK1379" s="5613"/>
      <c r="BL1379" s="5613"/>
      <c r="BM1379" s="5613"/>
      <c r="BN1379" s="5588"/>
      <c r="BO1379" s="5588"/>
      <c r="BP1379" s="5588"/>
      <c r="BQ1379" s="5588">
        <v>104190.88</v>
      </c>
      <c r="BR1379" s="5588"/>
      <c r="BS1379" s="5588"/>
      <c r="BT1379" s="5588"/>
      <c r="BU1379" s="5588"/>
      <c r="BV1379" s="5588"/>
      <c r="BW1379" s="5613">
        <v>95551.57</v>
      </c>
      <c r="BX1379" s="5613"/>
      <c r="BY1379" s="5613"/>
      <c r="BZ1379" s="5613"/>
      <c r="CA1379" s="5613"/>
      <c r="CB1379" s="5612"/>
      <c r="CC1379" s="5588"/>
      <c r="CD1379" s="5588"/>
      <c r="CE1379" s="5154"/>
      <c r="CF1379" s="5154"/>
      <c r="CG1379" s="5154"/>
      <c r="CH1379" s="5154"/>
    </row>
    <row r="1380" s="4980" customFormat="1" ht="61" customHeight="1" spans="1:86">
      <c r="A1380" s="5667"/>
      <c r="B1380" s="5059"/>
      <c r="C1380" s="5059"/>
      <c r="D1380" s="6040"/>
      <c r="E1380" s="6040"/>
      <c r="F1380" s="6292"/>
      <c r="G1380" s="6292"/>
      <c r="H1380" s="6292"/>
      <c r="I1380" s="6596"/>
      <c r="J1380" s="6596"/>
      <c r="K1380" s="6596"/>
      <c r="L1380" s="6596"/>
      <c r="M1380" s="6353"/>
      <c r="N1380" s="5563"/>
      <c r="O1380" s="5563"/>
      <c r="P1380" s="5563"/>
      <c r="Q1380" s="5563"/>
      <c r="R1380" s="5563"/>
      <c r="S1380" s="5563"/>
      <c r="T1380" s="5563"/>
      <c r="U1380" s="5563"/>
      <c r="V1380" s="5563"/>
      <c r="W1380" s="5563"/>
      <c r="X1380" s="5563"/>
      <c r="Y1380" s="5563"/>
      <c r="Z1380" s="5563"/>
      <c r="AA1380" s="5563"/>
      <c r="AB1380" s="5563"/>
      <c r="AC1380" s="5588">
        <v>4</v>
      </c>
      <c r="AD1380" s="5543" t="s">
        <v>399</v>
      </c>
      <c r="AE1380" s="5543">
        <v>0.25</v>
      </c>
      <c r="AF1380" s="5613">
        <f>M1377*AE1380</f>
        <v>249678.0575</v>
      </c>
      <c r="AG1380" s="5830">
        <f t="shared" si="277"/>
        <v>249678.06</v>
      </c>
      <c r="AH1380" s="6536" t="s">
        <v>122</v>
      </c>
      <c r="AI1380" s="5612">
        <v>45650</v>
      </c>
      <c r="AJ1380" s="5588">
        <v>249678.06</v>
      </c>
      <c r="AK1380" s="5588">
        <v>45650</v>
      </c>
      <c r="AL1380" s="5588"/>
      <c r="AM1380" s="5588"/>
      <c r="AN1380" s="5619">
        <f t="shared" si="278"/>
        <v>249678.06</v>
      </c>
      <c r="AO1380" s="5618">
        <v>46052</v>
      </c>
      <c r="AP1380" s="5613">
        <f t="shared" si="279"/>
        <v>0</v>
      </c>
      <c r="AQ1380" s="5648"/>
      <c r="AR1380" s="5588"/>
      <c r="AS1380" s="6429"/>
      <c r="AT1380" s="5648"/>
      <c r="AU1380" s="2680"/>
      <c r="AV1380" s="2680"/>
      <c r="AW1380" s="2680"/>
      <c r="AX1380" s="2680"/>
      <c r="AY1380" s="2680"/>
      <c r="AZ1380" s="2680"/>
      <c r="BA1380" s="5588"/>
      <c r="BB1380" s="5588"/>
      <c r="BC1380" s="5588">
        <v>130238.6</v>
      </c>
      <c r="BD1380" s="5588"/>
      <c r="BE1380" s="5588"/>
      <c r="BF1380" s="5588"/>
      <c r="BG1380" s="5588"/>
      <c r="BH1380" s="5588"/>
      <c r="BI1380" s="5613">
        <v>119439.46</v>
      </c>
      <c r="BJ1380" s="5613"/>
      <c r="BK1380" s="5613"/>
      <c r="BL1380" s="5613"/>
      <c r="BM1380" s="5613"/>
      <c r="BN1380" s="5588"/>
      <c r="BO1380" s="5588"/>
      <c r="BP1380" s="5588"/>
      <c r="BQ1380" s="5588">
        <v>130238.6</v>
      </c>
      <c r="BR1380" s="5588"/>
      <c r="BS1380" s="5588"/>
      <c r="BT1380" s="5588"/>
      <c r="BU1380" s="5588"/>
      <c r="BV1380" s="5588"/>
      <c r="BW1380" s="5613">
        <v>119439.46</v>
      </c>
      <c r="BX1380" s="5613"/>
      <c r="BY1380" s="5613"/>
      <c r="BZ1380" s="5613"/>
      <c r="CA1380" s="5613"/>
      <c r="CB1380" s="5612"/>
      <c r="CC1380" s="5588"/>
      <c r="CD1380" s="5588"/>
      <c r="CE1380" s="5154"/>
      <c r="CF1380" s="5154"/>
      <c r="CG1380" s="5154"/>
      <c r="CH1380" s="5154"/>
    </row>
    <row r="1381" s="4980" customFormat="1" ht="61" customHeight="1" spans="1:86">
      <c r="A1381" s="5667"/>
      <c r="B1381" s="5059"/>
      <c r="C1381" s="5059"/>
      <c r="D1381" s="6040"/>
      <c r="E1381" s="6040"/>
      <c r="F1381" s="6292"/>
      <c r="G1381" s="6292"/>
      <c r="H1381" s="6292"/>
      <c r="I1381" s="6597"/>
      <c r="J1381" s="6597"/>
      <c r="K1381" s="6597"/>
      <c r="L1381" s="6597"/>
      <c r="M1381" s="6355"/>
      <c r="N1381" s="5565"/>
      <c r="O1381" s="5565"/>
      <c r="P1381" s="5565"/>
      <c r="Q1381" s="5565"/>
      <c r="R1381" s="5565"/>
      <c r="S1381" s="5565"/>
      <c r="T1381" s="5565"/>
      <c r="U1381" s="5565"/>
      <c r="V1381" s="5565"/>
      <c r="W1381" s="5565"/>
      <c r="X1381" s="5565"/>
      <c r="Y1381" s="5565"/>
      <c r="Z1381" s="5565"/>
      <c r="AA1381" s="5565"/>
      <c r="AB1381" s="5565"/>
      <c r="AC1381" s="5588">
        <v>5</v>
      </c>
      <c r="AD1381" s="5543" t="s">
        <v>401</v>
      </c>
      <c r="AE1381" s="5543">
        <v>0.05</v>
      </c>
      <c r="AF1381" s="5613">
        <f>M1377*AE1381</f>
        <v>49935.6115</v>
      </c>
      <c r="AG1381" s="5613">
        <f t="shared" si="277"/>
        <v>0</v>
      </c>
      <c r="AH1381" s="5543"/>
      <c r="AI1381" s="5588"/>
      <c r="AJ1381" s="5588"/>
      <c r="AK1381" s="5588"/>
      <c r="AL1381" s="5588"/>
      <c r="AM1381" s="5588"/>
      <c r="AN1381" s="5613">
        <f t="shared" si="278"/>
        <v>0</v>
      </c>
      <c r="AO1381" s="5588"/>
      <c r="AP1381" s="5613">
        <f t="shared" si="279"/>
        <v>0</v>
      </c>
      <c r="AQ1381" s="5648"/>
      <c r="AR1381" s="5588"/>
      <c r="AS1381" s="6429"/>
      <c r="AT1381" s="5648"/>
      <c r="AU1381" s="2680"/>
      <c r="AV1381" s="2680"/>
      <c r="AW1381" s="2680"/>
      <c r="AX1381" s="2680"/>
      <c r="AY1381" s="2680"/>
      <c r="AZ1381" s="2680"/>
      <c r="BA1381" s="5588"/>
      <c r="BB1381" s="5588"/>
      <c r="BC1381" s="5588"/>
      <c r="BD1381" s="5588"/>
      <c r="BE1381" s="5588"/>
      <c r="BF1381" s="5588"/>
      <c r="BG1381" s="5588"/>
      <c r="BH1381" s="5588"/>
      <c r="BI1381" s="5613"/>
      <c r="BJ1381" s="5613"/>
      <c r="BK1381" s="5613"/>
      <c r="BL1381" s="5613"/>
      <c r="BM1381" s="5613"/>
      <c r="BN1381" s="5588"/>
      <c r="BO1381" s="5588"/>
      <c r="BP1381" s="5588"/>
      <c r="BQ1381" s="5588"/>
      <c r="BR1381" s="5588"/>
      <c r="BS1381" s="5588"/>
      <c r="BT1381" s="5588"/>
      <c r="BU1381" s="5588"/>
      <c r="BV1381" s="5588"/>
      <c r="BW1381" s="5613"/>
      <c r="BX1381" s="5613"/>
      <c r="BY1381" s="5613"/>
      <c r="BZ1381" s="5613"/>
      <c r="CA1381" s="5613"/>
      <c r="CB1381" s="5612"/>
      <c r="CC1381" s="5588"/>
      <c r="CD1381" s="5588"/>
      <c r="CE1381" s="5154"/>
      <c r="CF1381" s="5154"/>
      <c r="CG1381" s="5154"/>
      <c r="CH1381" s="5154"/>
    </row>
    <row r="1382" s="4980" customFormat="1" ht="61" customHeight="1" spans="1:86">
      <c r="A1382" s="5667"/>
      <c r="B1382" s="5059"/>
      <c r="C1382" s="5059"/>
      <c r="D1382" s="6040"/>
      <c r="E1382" s="6040"/>
      <c r="F1382" s="5418" t="s">
        <v>2285</v>
      </c>
      <c r="G1382" s="5418" t="s">
        <v>2278</v>
      </c>
      <c r="H1382" s="2320" t="s">
        <v>2286</v>
      </c>
      <c r="I1382" s="2320" t="s">
        <v>2280</v>
      </c>
      <c r="J1382" s="2320" t="s">
        <v>2281</v>
      </c>
      <c r="K1382" s="2320" t="s">
        <v>2287</v>
      </c>
      <c r="L1382" s="2320" t="s">
        <v>1368</v>
      </c>
      <c r="M1382" s="5227">
        <f>SUM(N1382:AA1384)</f>
        <v>187326.41</v>
      </c>
      <c r="N1382" s="3063"/>
      <c r="O1382" s="3063"/>
      <c r="P1382" s="3063"/>
      <c r="Q1382" s="3063"/>
      <c r="R1382" s="3063"/>
      <c r="S1382" s="3063"/>
      <c r="T1382" s="3063"/>
      <c r="U1382" s="3063">
        <v>187326.41</v>
      </c>
      <c r="V1382" s="3063"/>
      <c r="W1382" s="3063"/>
      <c r="X1382" s="3063"/>
      <c r="Y1382" s="3063"/>
      <c r="Z1382" s="3063"/>
      <c r="AA1382" s="3063"/>
      <c r="AB1382" s="3063"/>
      <c r="AC1382" s="4099">
        <v>1</v>
      </c>
      <c r="AD1382" s="5418" t="s">
        <v>2288</v>
      </c>
      <c r="AE1382" s="5418">
        <v>0.2</v>
      </c>
      <c r="AF1382" s="5491">
        <f>M1382*AE1382</f>
        <v>37465.282</v>
      </c>
      <c r="AG1382" s="6642">
        <f t="shared" si="277"/>
        <v>37465.282</v>
      </c>
      <c r="AH1382" s="6405" t="s">
        <v>122</v>
      </c>
      <c r="AI1382" s="6404">
        <v>45650</v>
      </c>
      <c r="AJ1382" s="4099">
        <v>37465.282</v>
      </c>
      <c r="AK1382" s="4099">
        <v>45650</v>
      </c>
      <c r="AL1382" s="4099"/>
      <c r="AM1382" s="4099"/>
      <c r="AN1382" s="6451">
        <f t="shared" si="278"/>
        <v>37465.282</v>
      </c>
      <c r="AO1382" s="5851">
        <v>46052</v>
      </c>
      <c r="AP1382" s="5491">
        <f t="shared" si="279"/>
        <v>0</v>
      </c>
      <c r="AQ1382" s="5490"/>
      <c r="AR1382" s="4099"/>
      <c r="AS1382" s="6661"/>
      <c r="AT1382" s="5490"/>
      <c r="AU1382" s="2680"/>
      <c r="AV1382" s="2680"/>
      <c r="AW1382" s="2680"/>
      <c r="AX1382" s="2680"/>
      <c r="AY1382" s="2680"/>
      <c r="AZ1382" s="2680"/>
      <c r="BA1382" s="4099"/>
      <c r="BB1382" s="4099"/>
      <c r="BC1382" s="4099"/>
      <c r="BD1382" s="4099"/>
      <c r="BE1382" s="4099"/>
      <c r="BF1382" s="4099"/>
      <c r="BG1382" s="4099"/>
      <c r="BH1382" s="6404">
        <v>37465.282</v>
      </c>
      <c r="BI1382" s="5491"/>
      <c r="BJ1382" s="5491"/>
      <c r="BK1382" s="5491"/>
      <c r="BL1382" s="5491"/>
      <c r="BM1382" s="5491"/>
      <c r="BN1382" s="4099"/>
      <c r="BO1382" s="4099"/>
      <c r="BP1382" s="4099"/>
      <c r="BQ1382" s="4099"/>
      <c r="BR1382" s="4099"/>
      <c r="BS1382" s="4099"/>
      <c r="BT1382" s="4099"/>
      <c r="BU1382" s="4099"/>
      <c r="BV1382" s="4099">
        <v>37465.282</v>
      </c>
      <c r="BW1382" s="5491"/>
      <c r="BX1382" s="5491"/>
      <c r="BY1382" s="5491"/>
      <c r="BZ1382" s="5491"/>
      <c r="CA1382" s="5491"/>
      <c r="CB1382" s="6404"/>
      <c r="CC1382" s="4099"/>
      <c r="CD1382" s="4099"/>
      <c r="CE1382" s="5154"/>
      <c r="CF1382" s="5154"/>
      <c r="CG1382" s="5154"/>
      <c r="CH1382" s="5154"/>
    </row>
    <row r="1383" s="4980" customFormat="1" ht="61" customHeight="1" spans="1:86">
      <c r="A1383" s="5667"/>
      <c r="B1383" s="5059"/>
      <c r="C1383" s="5059"/>
      <c r="D1383" s="6040"/>
      <c r="E1383" s="6040"/>
      <c r="F1383" s="6587"/>
      <c r="G1383" s="6587"/>
      <c r="H1383" s="6588"/>
      <c r="I1383" s="6588"/>
      <c r="J1383" s="6588"/>
      <c r="K1383" s="6588"/>
      <c r="L1383" s="6588"/>
      <c r="M1383" s="5228"/>
      <c r="N1383" s="3334"/>
      <c r="O1383" s="3334"/>
      <c r="P1383" s="3334"/>
      <c r="Q1383" s="3334"/>
      <c r="R1383" s="3334"/>
      <c r="S1383" s="3334"/>
      <c r="T1383" s="3334"/>
      <c r="U1383" s="3334"/>
      <c r="V1383" s="3334"/>
      <c r="W1383" s="3334"/>
      <c r="X1383" s="3334"/>
      <c r="Y1383" s="3334"/>
      <c r="Z1383" s="3334"/>
      <c r="AA1383" s="3334"/>
      <c r="AB1383" s="3334"/>
      <c r="AC1383" s="4099">
        <v>2</v>
      </c>
      <c r="AD1383" s="5418" t="s">
        <v>2289</v>
      </c>
      <c r="AE1383" s="5418">
        <v>0.6</v>
      </c>
      <c r="AF1383" s="5491">
        <f>M1382*AE1383</f>
        <v>112395.846</v>
      </c>
      <c r="AG1383" s="6642">
        <f t="shared" si="277"/>
        <v>112395.84</v>
      </c>
      <c r="AH1383" s="6405" t="s">
        <v>122</v>
      </c>
      <c r="AI1383" s="6404">
        <v>45650</v>
      </c>
      <c r="AJ1383" s="4099">
        <v>112395.84</v>
      </c>
      <c r="AK1383" s="4099">
        <v>45650</v>
      </c>
      <c r="AL1383" s="4099"/>
      <c r="AM1383" s="4099"/>
      <c r="AN1383" s="6451">
        <f t="shared" si="278"/>
        <v>112395.84</v>
      </c>
      <c r="AO1383" s="5851">
        <v>46052</v>
      </c>
      <c r="AP1383" s="5491">
        <f t="shared" si="279"/>
        <v>0</v>
      </c>
      <c r="AQ1383" s="5490"/>
      <c r="AR1383" s="4099"/>
      <c r="AS1383" s="6661"/>
      <c r="AT1383" s="5490"/>
      <c r="AU1383" s="2680"/>
      <c r="AV1383" s="2680"/>
      <c r="AW1383" s="2680"/>
      <c r="AX1383" s="2680"/>
      <c r="AY1383" s="2680"/>
      <c r="AZ1383" s="2680"/>
      <c r="BA1383" s="4099"/>
      <c r="BB1383" s="4099"/>
      <c r="BC1383" s="4099"/>
      <c r="BD1383" s="4099"/>
      <c r="BE1383" s="4099"/>
      <c r="BF1383" s="4099"/>
      <c r="BG1383" s="4099"/>
      <c r="BH1383" s="6404">
        <v>112395.84</v>
      </c>
      <c r="BI1383" s="5491"/>
      <c r="BJ1383" s="5491"/>
      <c r="BK1383" s="5491"/>
      <c r="BL1383" s="5491"/>
      <c r="BM1383" s="5491"/>
      <c r="BN1383" s="4099"/>
      <c r="BO1383" s="4099"/>
      <c r="BP1383" s="4099"/>
      <c r="BQ1383" s="4099"/>
      <c r="BR1383" s="4099"/>
      <c r="BS1383" s="4099"/>
      <c r="BT1383" s="4099"/>
      <c r="BU1383" s="4099"/>
      <c r="BV1383" s="4099">
        <v>112395.84</v>
      </c>
      <c r="BW1383" s="5491"/>
      <c r="BX1383" s="5491"/>
      <c r="BY1383" s="5491"/>
      <c r="BZ1383" s="5491"/>
      <c r="CA1383" s="5491"/>
      <c r="CB1383" s="6404"/>
      <c r="CC1383" s="4099"/>
      <c r="CD1383" s="4099"/>
      <c r="CE1383" s="5154"/>
      <c r="CF1383" s="5154"/>
      <c r="CG1383" s="5154"/>
      <c r="CH1383" s="5154"/>
    </row>
    <row r="1384" s="4965" customFormat="1" ht="61" customHeight="1" spans="1:86">
      <c r="A1384" s="5079"/>
      <c r="B1384" s="3742"/>
      <c r="C1384" s="3742"/>
      <c r="D1384" s="5145"/>
      <c r="E1384" s="5145"/>
      <c r="F1384" s="5419"/>
      <c r="G1384" s="5419"/>
      <c r="H1384" s="6306"/>
      <c r="I1384" s="6306"/>
      <c r="J1384" s="6306"/>
      <c r="K1384" s="6306"/>
      <c r="L1384" s="6306"/>
      <c r="M1384" s="3335"/>
      <c r="N1384" s="3335"/>
      <c r="O1384" s="3335"/>
      <c r="P1384" s="3335"/>
      <c r="Q1384" s="3335"/>
      <c r="R1384" s="3335"/>
      <c r="S1384" s="3335"/>
      <c r="T1384" s="3335"/>
      <c r="U1384" s="3335"/>
      <c r="V1384" s="3335"/>
      <c r="W1384" s="3335"/>
      <c r="X1384" s="3335"/>
      <c r="Y1384" s="3335"/>
      <c r="Z1384" s="3335"/>
      <c r="AA1384" s="3335"/>
      <c r="AB1384" s="3335"/>
      <c r="AC1384" s="3061">
        <v>3</v>
      </c>
      <c r="AD1384" s="5418" t="s">
        <v>2290</v>
      </c>
      <c r="AE1384" s="6381">
        <v>0.2</v>
      </c>
      <c r="AF1384" s="3094">
        <f>M1382*AE1384</f>
        <v>37465.282</v>
      </c>
      <c r="AG1384" s="3094">
        <f t="shared" si="277"/>
        <v>0</v>
      </c>
      <c r="AH1384" s="5418"/>
      <c r="AI1384" s="3061"/>
      <c r="AJ1384" s="3061"/>
      <c r="AK1384" s="3061"/>
      <c r="AL1384" s="3061"/>
      <c r="AM1384" s="3061"/>
      <c r="AN1384" s="3094">
        <f t="shared" si="278"/>
        <v>0</v>
      </c>
      <c r="AO1384" s="4099"/>
      <c r="AP1384" s="3094">
        <f t="shared" si="279"/>
        <v>0</v>
      </c>
      <c r="AQ1384" s="5458"/>
      <c r="AR1384" s="3061"/>
      <c r="AS1384" s="6437"/>
      <c r="AT1384" s="5458"/>
      <c r="AU1384" s="2680"/>
      <c r="AV1384" s="2680"/>
      <c r="AW1384" s="2680"/>
      <c r="AX1384" s="2680"/>
      <c r="AY1384" s="2680"/>
      <c r="AZ1384" s="2680"/>
      <c r="BA1384" s="4099"/>
      <c r="BB1384" s="4099"/>
      <c r="BC1384" s="4099"/>
      <c r="BD1384" s="4099"/>
      <c r="BE1384" s="4099"/>
      <c r="BF1384" s="4099"/>
      <c r="BG1384" s="4099"/>
      <c r="BH1384" s="4099"/>
      <c r="BI1384" s="5491"/>
      <c r="BJ1384" s="5491"/>
      <c r="BK1384" s="5491"/>
      <c r="BL1384" s="5491"/>
      <c r="BM1384" s="5491"/>
      <c r="BN1384" s="4099"/>
      <c r="BO1384" s="3061"/>
      <c r="BP1384" s="3061"/>
      <c r="BQ1384" s="3061"/>
      <c r="BR1384" s="3061"/>
      <c r="BS1384" s="3061"/>
      <c r="BT1384" s="3061"/>
      <c r="BU1384" s="3061"/>
      <c r="BV1384" s="3061"/>
      <c r="BW1384" s="6451"/>
      <c r="BX1384" s="3094"/>
      <c r="BY1384" s="3094"/>
      <c r="BZ1384" s="3094"/>
      <c r="CA1384" s="3094"/>
      <c r="CB1384" s="6455"/>
      <c r="CC1384" s="3061"/>
      <c r="CD1384" s="3061"/>
      <c r="CE1384" s="5169"/>
      <c r="CF1384" s="5169"/>
      <c r="CG1384" s="5169"/>
      <c r="CH1384" s="5169"/>
    </row>
    <row r="1385" s="4965" customFormat="1" ht="37.5" customHeight="1" spans="1:86">
      <c r="A1385" s="5079"/>
      <c r="B1385" s="1035" t="s">
        <v>1951</v>
      </c>
      <c r="C1385" s="5079">
        <v>45562</v>
      </c>
      <c r="D1385" s="1035" t="s">
        <v>2291</v>
      </c>
      <c r="E1385" s="1035"/>
      <c r="F1385" s="6506" t="s">
        <v>2292</v>
      </c>
      <c r="G1385" s="6506" t="s">
        <v>2293</v>
      </c>
      <c r="H1385" s="6506" t="s">
        <v>2178</v>
      </c>
      <c r="I1385" s="6506" t="s">
        <v>2294</v>
      </c>
      <c r="J1385" s="6506" t="s">
        <v>2179</v>
      </c>
      <c r="K1385" s="6506" t="s">
        <v>2295</v>
      </c>
      <c r="L1385" s="6506" t="s">
        <v>2296</v>
      </c>
      <c r="M1385" s="6502">
        <f>SUM(N1385:AA1389)</f>
        <v>917391.68</v>
      </c>
      <c r="N1385" s="6487"/>
      <c r="O1385" s="6487"/>
      <c r="P1385" s="6487"/>
      <c r="Q1385" s="6487"/>
      <c r="R1385" s="6487"/>
      <c r="S1385" s="6487"/>
      <c r="T1385" s="6487"/>
      <c r="U1385" s="6487"/>
      <c r="V1385" s="6487"/>
      <c r="W1385" s="6487"/>
      <c r="X1385" s="6487"/>
      <c r="Y1385" s="6487"/>
      <c r="Z1385" s="6487"/>
      <c r="AA1385" s="6487">
        <v>917391.68</v>
      </c>
      <c r="AB1385" s="6608" t="s">
        <v>126</v>
      </c>
      <c r="AC1385" s="6502">
        <v>1</v>
      </c>
      <c r="AD1385" s="6506" t="s">
        <v>2297</v>
      </c>
      <c r="AE1385" s="6504">
        <v>0.2</v>
      </c>
      <c r="AF1385" s="6505">
        <f>M1385*AE1385</f>
        <v>183478.336</v>
      </c>
      <c r="AG1385" s="6505">
        <f t="shared" si="277"/>
        <v>183475.7</v>
      </c>
      <c r="AH1385" s="6506" t="s">
        <v>122</v>
      </c>
      <c r="AI1385" s="6502">
        <v>45758</v>
      </c>
      <c r="AJ1385" s="6505">
        <f t="shared" ref="AJ1385:AJ1388" si="280">SUM(BD1385:BQ1385)</f>
        <v>183475.7</v>
      </c>
      <c r="AK1385" s="6502">
        <v>45758</v>
      </c>
      <c r="AL1385" s="6502">
        <v>183475.7</v>
      </c>
      <c r="AM1385" s="6502">
        <v>45763</v>
      </c>
      <c r="AN1385" s="6565">
        <f t="shared" ref="AN1385:AN1411" si="281">SUM(BO1385:CB1385)</f>
        <v>183475.7</v>
      </c>
      <c r="AO1385" s="6529">
        <v>45804</v>
      </c>
      <c r="AP1385" s="6505">
        <f t="shared" ref="AP1385:AP1411" si="282">AG1385-AN1385</f>
        <v>0</v>
      </c>
      <c r="AQ1385" s="6552"/>
      <c r="AR1385" s="6502"/>
      <c r="AS1385" s="6558"/>
      <c r="AT1385" s="6552"/>
      <c r="AU1385" s="2680"/>
      <c r="AV1385" s="2680"/>
      <c r="AW1385" s="2680"/>
      <c r="AX1385" s="2680"/>
      <c r="AY1385" s="2680"/>
      <c r="AZ1385" s="2680"/>
      <c r="BA1385" s="6529"/>
      <c r="BB1385" s="6529"/>
      <c r="BC1385" s="6529"/>
      <c r="BD1385" s="6529"/>
      <c r="BE1385" s="6529"/>
      <c r="BF1385" s="6529"/>
      <c r="BG1385" s="6529"/>
      <c r="BH1385" s="6529"/>
      <c r="BI1385" s="6565"/>
      <c r="BJ1385" s="6565"/>
      <c r="BK1385" s="6565"/>
      <c r="BL1385" s="6565"/>
      <c r="BM1385" s="6565"/>
      <c r="BN1385" s="6529">
        <v>183475.7</v>
      </c>
      <c r="BO1385" s="6502"/>
      <c r="BP1385" s="6502"/>
      <c r="BQ1385" s="6502"/>
      <c r="BR1385" s="6502"/>
      <c r="BS1385" s="6502"/>
      <c r="BT1385" s="6502"/>
      <c r="BU1385" s="6502"/>
      <c r="BV1385" s="6502"/>
      <c r="BW1385" s="6568"/>
      <c r="BX1385" s="6505"/>
      <c r="BY1385" s="6505"/>
      <c r="BZ1385" s="6505"/>
      <c r="CA1385" s="6505"/>
      <c r="CB1385" s="6573">
        <v>183475.7</v>
      </c>
      <c r="CC1385" s="6502"/>
      <c r="CD1385" s="6502"/>
      <c r="CE1385" s="5169"/>
      <c r="CF1385" s="5169"/>
      <c r="CG1385" s="5169"/>
      <c r="CH1385" s="5169"/>
    </row>
    <row r="1386" s="4965" customFormat="1" ht="37.5" customHeight="1" spans="1:86">
      <c r="A1386" s="5079"/>
      <c r="B1386" s="5079"/>
      <c r="C1386" s="5079"/>
      <c r="D1386" s="1035"/>
      <c r="E1386" s="1035"/>
      <c r="F1386" s="6589"/>
      <c r="G1386" s="6589"/>
      <c r="H1386" s="6589"/>
      <c r="I1386" s="6589"/>
      <c r="J1386" s="6589"/>
      <c r="K1386" s="6506"/>
      <c r="L1386" s="6589"/>
      <c r="M1386" s="6502"/>
      <c r="N1386" s="6487"/>
      <c r="O1386" s="6487"/>
      <c r="P1386" s="6487"/>
      <c r="Q1386" s="6487"/>
      <c r="R1386" s="6487"/>
      <c r="S1386" s="6487"/>
      <c r="T1386" s="6487"/>
      <c r="U1386" s="6487"/>
      <c r="V1386" s="6487"/>
      <c r="W1386" s="6487"/>
      <c r="X1386" s="6487"/>
      <c r="Y1386" s="6487"/>
      <c r="Z1386" s="6487"/>
      <c r="AA1386" s="6487"/>
      <c r="AB1386" s="6487"/>
      <c r="AC1386" s="6502">
        <v>2</v>
      </c>
      <c r="AD1386" s="6506" t="s">
        <v>2298</v>
      </c>
      <c r="AE1386" s="6504">
        <v>0.3</v>
      </c>
      <c r="AF1386" s="6505">
        <f>M1385*AE1386</f>
        <v>275217.504</v>
      </c>
      <c r="AG1386" s="6505">
        <f t="shared" ref="AG1386:AG1417" si="283">SUM(BA1386:BN1386)</f>
        <v>275213.54</v>
      </c>
      <c r="AH1386" s="6506" t="s">
        <v>122</v>
      </c>
      <c r="AI1386" s="6502">
        <v>45758</v>
      </c>
      <c r="AJ1386" s="6505">
        <f t="shared" si="280"/>
        <v>275213.54</v>
      </c>
      <c r="AK1386" s="6502">
        <v>45758</v>
      </c>
      <c r="AL1386" s="6502">
        <v>275213.54</v>
      </c>
      <c r="AM1386" s="6502">
        <v>45763</v>
      </c>
      <c r="AN1386" s="6565">
        <f t="shared" si="281"/>
        <v>275213.54</v>
      </c>
      <c r="AO1386" s="6529">
        <v>45804</v>
      </c>
      <c r="AP1386" s="6505">
        <f t="shared" si="282"/>
        <v>0</v>
      </c>
      <c r="AQ1386" s="6552"/>
      <c r="AR1386" s="6502"/>
      <c r="AS1386" s="6558"/>
      <c r="AT1386" s="6552"/>
      <c r="AU1386" s="2680"/>
      <c r="AV1386" s="2680"/>
      <c r="AW1386" s="2680"/>
      <c r="AX1386" s="2680"/>
      <c r="AY1386" s="2680"/>
      <c r="AZ1386" s="2680"/>
      <c r="BA1386" s="6529"/>
      <c r="BB1386" s="6529"/>
      <c r="BC1386" s="6529"/>
      <c r="BD1386" s="6529"/>
      <c r="BE1386" s="6529"/>
      <c r="BF1386" s="6529"/>
      <c r="BG1386" s="6529"/>
      <c r="BH1386" s="6529"/>
      <c r="BI1386" s="6565"/>
      <c r="BJ1386" s="6565"/>
      <c r="BK1386" s="6565"/>
      <c r="BL1386" s="6565"/>
      <c r="BM1386" s="6565"/>
      <c r="BN1386" s="6529">
        <v>275213.54</v>
      </c>
      <c r="BO1386" s="6502"/>
      <c r="BP1386" s="6502"/>
      <c r="BQ1386" s="6502"/>
      <c r="BR1386" s="6502"/>
      <c r="BS1386" s="6502"/>
      <c r="BT1386" s="6502"/>
      <c r="BU1386" s="6502"/>
      <c r="BV1386" s="6502"/>
      <c r="BW1386" s="6568"/>
      <c r="BX1386" s="6505"/>
      <c r="BY1386" s="6505"/>
      <c r="BZ1386" s="6505"/>
      <c r="CA1386" s="6505"/>
      <c r="CB1386" s="6573">
        <v>275213.54</v>
      </c>
      <c r="CC1386" s="6502"/>
      <c r="CD1386" s="6502"/>
      <c r="CE1386" s="5169"/>
      <c r="CF1386" s="5169"/>
      <c r="CG1386" s="5169"/>
      <c r="CH1386" s="5169"/>
    </row>
    <row r="1387" s="4965" customFormat="1" ht="37.5" customHeight="1" spans="1:86">
      <c r="A1387" s="5079"/>
      <c r="B1387" s="5079"/>
      <c r="C1387" s="5079"/>
      <c r="D1387" s="1035"/>
      <c r="E1387" s="1035"/>
      <c r="F1387" s="6589"/>
      <c r="G1387" s="6589"/>
      <c r="H1387" s="6589"/>
      <c r="I1387" s="6589"/>
      <c r="J1387" s="6589"/>
      <c r="K1387" s="6506"/>
      <c r="L1387" s="6589"/>
      <c r="M1387" s="6502"/>
      <c r="N1387" s="6487"/>
      <c r="O1387" s="6487"/>
      <c r="P1387" s="6487"/>
      <c r="Q1387" s="6487"/>
      <c r="R1387" s="6487"/>
      <c r="S1387" s="6487"/>
      <c r="T1387" s="6487"/>
      <c r="U1387" s="6487"/>
      <c r="V1387" s="6487"/>
      <c r="W1387" s="6487"/>
      <c r="X1387" s="6487"/>
      <c r="Y1387" s="6487"/>
      <c r="Z1387" s="6487"/>
      <c r="AA1387" s="6487"/>
      <c r="AB1387" s="6487"/>
      <c r="AC1387" s="6502">
        <v>3</v>
      </c>
      <c r="AD1387" s="6506" t="s">
        <v>2299</v>
      </c>
      <c r="AE1387" s="6504">
        <v>0.2</v>
      </c>
      <c r="AF1387" s="6505">
        <f>M1385*AE1387</f>
        <v>183478.336</v>
      </c>
      <c r="AG1387" s="6505">
        <f t="shared" si="283"/>
        <v>183475.7</v>
      </c>
      <c r="AH1387" s="6506" t="s">
        <v>122</v>
      </c>
      <c r="AI1387" s="6502">
        <v>45758</v>
      </c>
      <c r="AJ1387" s="6505">
        <f t="shared" si="280"/>
        <v>183475.7</v>
      </c>
      <c r="AK1387" s="6502">
        <v>45758</v>
      </c>
      <c r="AL1387" s="6502">
        <v>183475.7</v>
      </c>
      <c r="AM1387" s="6502">
        <v>45763</v>
      </c>
      <c r="AN1387" s="6565">
        <f t="shared" si="281"/>
        <v>183475.7</v>
      </c>
      <c r="AO1387" s="6529">
        <v>45804</v>
      </c>
      <c r="AP1387" s="6505">
        <f t="shared" si="282"/>
        <v>0</v>
      </c>
      <c r="AQ1387" s="6552"/>
      <c r="AR1387" s="6502"/>
      <c r="AS1387" s="6558"/>
      <c r="AT1387" s="6552"/>
      <c r="AU1387" s="2680"/>
      <c r="AV1387" s="2680"/>
      <c r="AW1387" s="2680"/>
      <c r="AX1387" s="2680"/>
      <c r="AY1387" s="2680"/>
      <c r="AZ1387" s="2680"/>
      <c r="BA1387" s="6529"/>
      <c r="BB1387" s="6529"/>
      <c r="BC1387" s="6529"/>
      <c r="BD1387" s="6529"/>
      <c r="BE1387" s="6529"/>
      <c r="BF1387" s="6529"/>
      <c r="BG1387" s="6529"/>
      <c r="BH1387" s="6529"/>
      <c r="BI1387" s="6565"/>
      <c r="BJ1387" s="6565"/>
      <c r="BK1387" s="6565"/>
      <c r="BL1387" s="6565"/>
      <c r="BM1387" s="6565"/>
      <c r="BN1387" s="6529">
        <v>183475.7</v>
      </c>
      <c r="BO1387" s="6502"/>
      <c r="BP1387" s="6502"/>
      <c r="BQ1387" s="6502"/>
      <c r="BR1387" s="6502"/>
      <c r="BS1387" s="6502"/>
      <c r="BT1387" s="6502"/>
      <c r="BU1387" s="6502"/>
      <c r="BV1387" s="6502"/>
      <c r="BW1387" s="6568"/>
      <c r="BX1387" s="6505"/>
      <c r="BY1387" s="6505"/>
      <c r="BZ1387" s="6505"/>
      <c r="CA1387" s="6505"/>
      <c r="CB1387" s="6573">
        <v>183475.7</v>
      </c>
      <c r="CC1387" s="6502"/>
      <c r="CD1387" s="6502"/>
      <c r="CE1387" s="5169"/>
      <c r="CF1387" s="5169"/>
      <c r="CG1387" s="5169"/>
      <c r="CH1387" s="5169"/>
    </row>
    <row r="1388" s="4965" customFormat="1" ht="37.5" customHeight="1" spans="1:86">
      <c r="A1388" s="5079"/>
      <c r="B1388" s="5079"/>
      <c r="C1388" s="5079"/>
      <c r="D1388" s="1035"/>
      <c r="E1388" s="1035"/>
      <c r="F1388" s="6589"/>
      <c r="G1388" s="6589"/>
      <c r="H1388" s="6589"/>
      <c r="I1388" s="6589"/>
      <c r="J1388" s="6589"/>
      <c r="K1388" s="6506"/>
      <c r="L1388" s="6589"/>
      <c r="M1388" s="6502"/>
      <c r="N1388" s="6487"/>
      <c r="O1388" s="6487"/>
      <c r="P1388" s="6487"/>
      <c r="Q1388" s="6487"/>
      <c r="R1388" s="6487"/>
      <c r="S1388" s="6487"/>
      <c r="T1388" s="6487"/>
      <c r="U1388" s="6487"/>
      <c r="V1388" s="6487"/>
      <c r="W1388" s="6487"/>
      <c r="X1388" s="6487"/>
      <c r="Y1388" s="6487"/>
      <c r="Z1388" s="6487"/>
      <c r="AA1388" s="6487"/>
      <c r="AB1388" s="6487"/>
      <c r="AC1388" s="6502">
        <v>4</v>
      </c>
      <c r="AD1388" s="6506" t="s">
        <v>2300</v>
      </c>
      <c r="AE1388" s="6504">
        <v>0.25</v>
      </c>
      <c r="AF1388" s="6565">
        <f>M1385*AE1388</f>
        <v>229347.92</v>
      </c>
      <c r="AG1388" s="6505">
        <f t="shared" si="283"/>
        <v>229344.62</v>
      </c>
      <c r="AH1388" s="6506" t="s">
        <v>122</v>
      </c>
      <c r="AI1388" s="6502">
        <v>45958</v>
      </c>
      <c r="AJ1388" s="6505">
        <f t="shared" si="280"/>
        <v>229344.62</v>
      </c>
      <c r="AK1388" s="6502">
        <v>45958</v>
      </c>
      <c r="AL1388" s="6505">
        <f>SUM(BF1388:BS1388)</f>
        <v>229344.62</v>
      </c>
      <c r="AM1388" s="6502">
        <v>45958</v>
      </c>
      <c r="AN1388" s="6568">
        <f t="shared" si="281"/>
        <v>229344.62</v>
      </c>
      <c r="AO1388" s="6638">
        <v>46052</v>
      </c>
      <c r="AP1388" s="6505">
        <f t="shared" si="282"/>
        <v>0</v>
      </c>
      <c r="AQ1388" s="6552"/>
      <c r="AR1388" s="6502"/>
      <c r="AS1388" s="6558"/>
      <c r="AT1388" s="6552"/>
      <c r="AU1388" s="2680"/>
      <c r="AV1388" s="2680"/>
      <c r="AW1388" s="2680"/>
      <c r="AX1388" s="2680"/>
      <c r="AY1388" s="2680"/>
      <c r="AZ1388" s="2680"/>
      <c r="BA1388" s="6529"/>
      <c r="BB1388" s="6529"/>
      <c r="BC1388" s="6529"/>
      <c r="BD1388" s="6529"/>
      <c r="BE1388" s="6529"/>
      <c r="BF1388" s="6529"/>
      <c r="BG1388" s="6529"/>
      <c r="BH1388" s="6529"/>
      <c r="BI1388" s="6565"/>
      <c r="BJ1388" s="6565"/>
      <c r="BK1388" s="6565"/>
      <c r="BL1388" s="6565"/>
      <c r="BM1388" s="6565"/>
      <c r="BN1388" s="6529">
        <v>229344.62</v>
      </c>
      <c r="BO1388" s="6502"/>
      <c r="BP1388" s="6502"/>
      <c r="BQ1388" s="6502"/>
      <c r="BR1388" s="6502"/>
      <c r="BS1388" s="6502"/>
      <c r="BT1388" s="6502"/>
      <c r="BU1388" s="6502"/>
      <c r="BV1388" s="6502"/>
      <c r="BW1388" s="6568"/>
      <c r="BX1388" s="6505"/>
      <c r="BY1388" s="6505"/>
      <c r="BZ1388" s="6505"/>
      <c r="CA1388" s="6505"/>
      <c r="CB1388" s="6573">
        <v>229344.62</v>
      </c>
      <c r="CC1388" s="6502"/>
      <c r="CD1388" s="6502"/>
      <c r="CE1388" s="5169"/>
      <c r="CF1388" s="5169"/>
      <c r="CG1388" s="5169"/>
      <c r="CH1388" s="5169"/>
    </row>
    <row r="1389" s="4965" customFormat="1" ht="37.5" customHeight="1" spans="1:86">
      <c r="A1389" s="5079"/>
      <c r="B1389" s="5079"/>
      <c r="C1389" s="5079"/>
      <c r="D1389" s="1035"/>
      <c r="E1389" s="1035"/>
      <c r="F1389" s="6589"/>
      <c r="G1389" s="6589"/>
      <c r="H1389" s="6589"/>
      <c r="I1389" s="6589"/>
      <c r="J1389" s="6589"/>
      <c r="K1389" s="6506"/>
      <c r="L1389" s="6589"/>
      <c r="M1389" s="6502"/>
      <c r="N1389" s="6488"/>
      <c r="O1389" s="6488"/>
      <c r="P1389" s="6488"/>
      <c r="Q1389" s="6488"/>
      <c r="R1389" s="6488"/>
      <c r="S1389" s="6488"/>
      <c r="T1389" s="6488"/>
      <c r="U1389" s="6488"/>
      <c r="V1389" s="6488"/>
      <c r="W1389" s="6488"/>
      <c r="X1389" s="6488"/>
      <c r="Y1389" s="6488"/>
      <c r="Z1389" s="6488"/>
      <c r="AA1389" s="6488"/>
      <c r="AB1389" s="6488"/>
      <c r="AC1389" s="6502">
        <v>5</v>
      </c>
      <c r="AD1389" s="6506" t="s">
        <v>401</v>
      </c>
      <c r="AE1389" s="6504">
        <v>0.05</v>
      </c>
      <c r="AF1389" s="6505">
        <f>M1385*AE1389</f>
        <v>45869.584</v>
      </c>
      <c r="AG1389" s="6505">
        <f t="shared" si="283"/>
        <v>0</v>
      </c>
      <c r="AH1389" s="6506"/>
      <c r="AI1389" s="6502"/>
      <c r="AJ1389" s="6502"/>
      <c r="AK1389" s="6502"/>
      <c r="AL1389" s="6502"/>
      <c r="AM1389" s="6502"/>
      <c r="AN1389" s="6505">
        <f t="shared" si="281"/>
        <v>0</v>
      </c>
      <c r="AO1389" s="6529"/>
      <c r="AP1389" s="6505">
        <f t="shared" si="282"/>
        <v>0</v>
      </c>
      <c r="AQ1389" s="6552"/>
      <c r="AR1389" s="6502"/>
      <c r="AS1389" s="6558"/>
      <c r="AT1389" s="6552"/>
      <c r="AU1389" s="2680"/>
      <c r="AV1389" s="2680"/>
      <c r="AW1389" s="2680"/>
      <c r="AX1389" s="2680"/>
      <c r="AY1389" s="2680"/>
      <c r="AZ1389" s="2680"/>
      <c r="BA1389" s="6529"/>
      <c r="BB1389" s="6529"/>
      <c r="BC1389" s="6529"/>
      <c r="BD1389" s="6529"/>
      <c r="BE1389" s="6529"/>
      <c r="BF1389" s="6529"/>
      <c r="BG1389" s="6529"/>
      <c r="BH1389" s="6529"/>
      <c r="BI1389" s="6565"/>
      <c r="BJ1389" s="6565"/>
      <c r="BK1389" s="6565"/>
      <c r="BL1389" s="6565"/>
      <c r="BM1389" s="6565"/>
      <c r="BN1389" s="6529"/>
      <c r="BO1389" s="6502"/>
      <c r="BP1389" s="6502"/>
      <c r="BQ1389" s="6502"/>
      <c r="BR1389" s="6502"/>
      <c r="BS1389" s="6502"/>
      <c r="BT1389" s="6502"/>
      <c r="BU1389" s="6502"/>
      <c r="BV1389" s="6502"/>
      <c r="BW1389" s="6568"/>
      <c r="BX1389" s="6505"/>
      <c r="BY1389" s="6505"/>
      <c r="BZ1389" s="6505"/>
      <c r="CA1389" s="6505"/>
      <c r="CB1389" s="6573"/>
      <c r="CC1389" s="6502"/>
      <c r="CD1389" s="6502"/>
      <c r="CE1389" s="5169"/>
      <c r="CF1389" s="5169"/>
      <c r="CG1389" s="5169"/>
      <c r="CH1389" s="5169"/>
    </row>
    <row r="1390" s="4965" customFormat="1" ht="37.5" customHeight="1" spans="1:86">
      <c r="A1390" s="5079"/>
      <c r="B1390" s="5079"/>
      <c r="C1390" s="5079"/>
      <c r="D1390" s="1035"/>
      <c r="E1390" s="1035"/>
      <c r="F1390" s="5547" t="s">
        <v>2301</v>
      </c>
      <c r="G1390" s="5547" t="s">
        <v>2293</v>
      </c>
      <c r="H1390" s="5547" t="s">
        <v>2182</v>
      </c>
      <c r="I1390" s="5547" t="s">
        <v>2294</v>
      </c>
      <c r="J1390" s="5547" t="s">
        <v>2179</v>
      </c>
      <c r="K1390" s="5547" t="s">
        <v>2302</v>
      </c>
      <c r="L1390" s="5547" t="s">
        <v>2303</v>
      </c>
      <c r="M1390" s="5561">
        <f>SUM(N1390:AA1394)</f>
        <v>448089.6</v>
      </c>
      <c r="N1390" s="5563"/>
      <c r="O1390" s="5563"/>
      <c r="P1390" s="5563"/>
      <c r="Q1390" s="5563"/>
      <c r="R1390" s="5563"/>
      <c r="S1390" s="5563"/>
      <c r="T1390" s="5563"/>
      <c r="U1390" s="5563"/>
      <c r="V1390" s="5563"/>
      <c r="W1390" s="5563"/>
      <c r="X1390" s="5563"/>
      <c r="Y1390" s="5563"/>
      <c r="Z1390" s="5563"/>
      <c r="AA1390" s="5563">
        <v>448089.6</v>
      </c>
      <c r="AB1390" s="5583" t="s">
        <v>126</v>
      </c>
      <c r="AC1390" s="2973">
        <v>1</v>
      </c>
      <c r="AD1390" s="5543" t="s">
        <v>2304</v>
      </c>
      <c r="AE1390" s="6507">
        <v>0.1</v>
      </c>
      <c r="AF1390" s="2986">
        <f>M1390*AE1390</f>
        <v>44808.96</v>
      </c>
      <c r="AG1390" s="6643">
        <f t="shared" si="283"/>
        <v>44808.96</v>
      </c>
      <c r="AH1390" s="6536" t="s">
        <v>122</v>
      </c>
      <c r="AI1390" s="5652">
        <v>45628</v>
      </c>
      <c r="AJ1390" s="2973">
        <v>44808.96</v>
      </c>
      <c r="AK1390" s="2973">
        <v>45628</v>
      </c>
      <c r="AL1390" s="2973">
        <v>44808.96</v>
      </c>
      <c r="AM1390" s="2973">
        <v>45629</v>
      </c>
      <c r="AN1390" s="2986">
        <f t="shared" si="281"/>
        <v>44808.96</v>
      </c>
      <c r="AO1390" s="5588">
        <v>45649</v>
      </c>
      <c r="AP1390" s="2986">
        <f t="shared" si="282"/>
        <v>0</v>
      </c>
      <c r="AQ1390" s="5614"/>
      <c r="AR1390" s="2973"/>
      <c r="AS1390" s="6428"/>
      <c r="AT1390" s="5614"/>
      <c r="AU1390" s="2680"/>
      <c r="AV1390" s="2680"/>
      <c r="AW1390" s="2680"/>
      <c r="AX1390" s="2680"/>
      <c r="AY1390" s="2680"/>
      <c r="AZ1390" s="2680"/>
      <c r="BA1390" s="5588"/>
      <c r="BB1390" s="5588"/>
      <c r="BC1390" s="5588"/>
      <c r="BD1390" s="5588"/>
      <c r="BE1390" s="5588"/>
      <c r="BF1390" s="5588"/>
      <c r="BG1390" s="5588"/>
      <c r="BH1390" s="5588"/>
      <c r="BI1390" s="5613"/>
      <c r="BJ1390" s="5613"/>
      <c r="BK1390" s="5613"/>
      <c r="BL1390" s="5613"/>
      <c r="BM1390" s="5613"/>
      <c r="BN1390" s="5588">
        <v>44808.96</v>
      </c>
      <c r="BO1390" s="2973"/>
      <c r="BP1390" s="2973"/>
      <c r="BQ1390" s="2973"/>
      <c r="BR1390" s="2973"/>
      <c r="BS1390" s="2973"/>
      <c r="BT1390" s="2973"/>
      <c r="BU1390" s="2973"/>
      <c r="BV1390" s="2973"/>
      <c r="BW1390" s="5619"/>
      <c r="BX1390" s="2986"/>
      <c r="BY1390" s="2986"/>
      <c r="BZ1390" s="2986"/>
      <c r="CA1390" s="2986"/>
      <c r="CB1390" s="5652">
        <v>44808.96</v>
      </c>
      <c r="CC1390" s="2973"/>
      <c r="CD1390" s="2973"/>
      <c r="CE1390" s="5169"/>
      <c r="CF1390" s="5169"/>
      <c r="CG1390" s="5169"/>
      <c r="CH1390" s="5169"/>
    </row>
    <row r="1391" s="4965" customFormat="1" ht="37.5" customHeight="1" spans="1:86">
      <c r="A1391" s="5079"/>
      <c r="B1391" s="5079"/>
      <c r="C1391" s="5079"/>
      <c r="D1391" s="1035"/>
      <c r="E1391" s="1035"/>
      <c r="F1391" s="5548"/>
      <c r="G1391" s="5548"/>
      <c r="H1391" s="5548"/>
      <c r="I1391" s="5548"/>
      <c r="J1391" s="5548"/>
      <c r="K1391" s="5562"/>
      <c r="L1391" s="5548"/>
      <c r="M1391" s="5563"/>
      <c r="N1391" s="5563"/>
      <c r="O1391" s="5563"/>
      <c r="P1391" s="5563"/>
      <c r="Q1391" s="5563"/>
      <c r="R1391" s="5563"/>
      <c r="S1391" s="5563"/>
      <c r="T1391" s="5563"/>
      <c r="U1391" s="5563"/>
      <c r="V1391" s="5563"/>
      <c r="W1391" s="5563"/>
      <c r="X1391" s="5563"/>
      <c r="Y1391" s="5563"/>
      <c r="Z1391" s="5563"/>
      <c r="AA1391" s="5563"/>
      <c r="AB1391" s="5563"/>
      <c r="AC1391" s="2973">
        <v>2</v>
      </c>
      <c r="AD1391" s="5543" t="s">
        <v>2305</v>
      </c>
      <c r="AE1391" s="6507">
        <v>0.35</v>
      </c>
      <c r="AF1391" s="2986">
        <f>M1390*AE1391</f>
        <v>156831.36</v>
      </c>
      <c r="AG1391" s="6643">
        <f t="shared" si="283"/>
        <v>156831.36</v>
      </c>
      <c r="AH1391" s="6536" t="s">
        <v>122</v>
      </c>
      <c r="AI1391" s="5652">
        <v>45628</v>
      </c>
      <c r="AJ1391" s="2973">
        <v>156831.36</v>
      </c>
      <c r="AK1391" s="2973">
        <v>45628</v>
      </c>
      <c r="AL1391" s="2973">
        <v>156831.36</v>
      </c>
      <c r="AM1391" s="2973">
        <v>45629</v>
      </c>
      <c r="AN1391" s="2986">
        <f t="shared" si="281"/>
        <v>156831.36</v>
      </c>
      <c r="AO1391" s="5588">
        <v>45649</v>
      </c>
      <c r="AP1391" s="2986">
        <f t="shared" si="282"/>
        <v>0</v>
      </c>
      <c r="AQ1391" s="5614"/>
      <c r="AR1391" s="2973"/>
      <c r="AS1391" s="6428"/>
      <c r="AT1391" s="5614"/>
      <c r="AU1391" s="2680"/>
      <c r="AV1391" s="2680"/>
      <c r="AW1391" s="2680"/>
      <c r="AX1391" s="2680"/>
      <c r="AY1391" s="2680"/>
      <c r="AZ1391" s="2680"/>
      <c r="BA1391" s="5588"/>
      <c r="BB1391" s="5588"/>
      <c r="BC1391" s="5588"/>
      <c r="BD1391" s="5588"/>
      <c r="BE1391" s="5588"/>
      <c r="BF1391" s="5588"/>
      <c r="BG1391" s="5588"/>
      <c r="BH1391" s="5588"/>
      <c r="BI1391" s="5613"/>
      <c r="BJ1391" s="5613"/>
      <c r="BK1391" s="5613"/>
      <c r="BL1391" s="5613"/>
      <c r="BM1391" s="5613"/>
      <c r="BN1391" s="5588">
        <v>156831.36</v>
      </c>
      <c r="BO1391" s="2973"/>
      <c r="BP1391" s="2973"/>
      <c r="BQ1391" s="2973"/>
      <c r="BR1391" s="2973"/>
      <c r="BS1391" s="2973"/>
      <c r="BT1391" s="2973"/>
      <c r="BU1391" s="2973"/>
      <c r="BV1391" s="2973"/>
      <c r="BW1391" s="5619"/>
      <c r="BX1391" s="2986"/>
      <c r="BY1391" s="2986"/>
      <c r="BZ1391" s="2986"/>
      <c r="CA1391" s="2986"/>
      <c r="CB1391" s="5652">
        <v>156831.36</v>
      </c>
      <c r="CC1391" s="2973"/>
      <c r="CD1391" s="2973"/>
      <c r="CE1391" s="5169"/>
      <c r="CF1391" s="5169"/>
      <c r="CG1391" s="5169"/>
      <c r="CH1391" s="5169"/>
    </row>
    <row r="1392" s="4965" customFormat="1" ht="37.5" customHeight="1" spans="1:86">
      <c r="A1392" s="5079"/>
      <c r="B1392" s="5079"/>
      <c r="C1392" s="5079"/>
      <c r="D1392" s="1035"/>
      <c r="E1392" s="1035"/>
      <c r="F1392" s="5548"/>
      <c r="G1392" s="5548"/>
      <c r="H1392" s="5548"/>
      <c r="I1392" s="5548"/>
      <c r="J1392" s="5548"/>
      <c r="K1392" s="5562"/>
      <c r="L1392" s="5548"/>
      <c r="M1392" s="5563"/>
      <c r="N1392" s="5563"/>
      <c r="O1392" s="5563"/>
      <c r="P1392" s="5563"/>
      <c r="Q1392" s="5563"/>
      <c r="R1392" s="5563"/>
      <c r="S1392" s="5563"/>
      <c r="T1392" s="5563"/>
      <c r="U1392" s="5563"/>
      <c r="V1392" s="5563"/>
      <c r="W1392" s="5563"/>
      <c r="X1392" s="5563"/>
      <c r="Y1392" s="5563"/>
      <c r="Z1392" s="5563"/>
      <c r="AA1392" s="5563"/>
      <c r="AB1392" s="5563"/>
      <c r="AC1392" s="2973">
        <v>3</v>
      </c>
      <c r="AD1392" s="5543" t="s">
        <v>2306</v>
      </c>
      <c r="AE1392" s="6507">
        <v>0.15</v>
      </c>
      <c r="AF1392" s="5613">
        <f>M1390*AE1392</f>
        <v>67213.44</v>
      </c>
      <c r="AG1392" s="5613">
        <f t="shared" si="283"/>
        <v>67213.44</v>
      </c>
      <c r="AH1392" s="5543" t="s">
        <v>122</v>
      </c>
      <c r="AI1392" s="5588">
        <v>45958</v>
      </c>
      <c r="AJ1392" s="5613">
        <f>SUM(BD1392:BQ1392)</f>
        <v>67213.44</v>
      </c>
      <c r="AK1392" s="2973">
        <v>45958</v>
      </c>
      <c r="AL1392" s="5613">
        <f>SUM(BF1392:BS1392)</f>
        <v>67213.44</v>
      </c>
      <c r="AM1392" s="2973">
        <v>45958</v>
      </c>
      <c r="AN1392" s="5619">
        <f t="shared" si="281"/>
        <v>67213.44</v>
      </c>
      <c r="AO1392" s="5618">
        <v>46052</v>
      </c>
      <c r="AP1392" s="2986">
        <f t="shared" si="282"/>
        <v>0</v>
      </c>
      <c r="AQ1392" s="5614"/>
      <c r="AR1392" s="2973"/>
      <c r="AS1392" s="6428"/>
      <c r="AT1392" s="5614"/>
      <c r="AU1392" s="2680"/>
      <c r="AV1392" s="2680"/>
      <c r="AW1392" s="2680"/>
      <c r="AX1392" s="2680"/>
      <c r="AY1392" s="2680"/>
      <c r="AZ1392" s="2680"/>
      <c r="BA1392" s="5588"/>
      <c r="BB1392" s="5588"/>
      <c r="BC1392" s="5588"/>
      <c r="BD1392" s="5588"/>
      <c r="BE1392" s="5588"/>
      <c r="BF1392" s="5588"/>
      <c r="BG1392" s="5588"/>
      <c r="BH1392" s="5588"/>
      <c r="BI1392" s="5613"/>
      <c r="BJ1392" s="5613"/>
      <c r="BK1392" s="5613"/>
      <c r="BL1392" s="5613"/>
      <c r="BM1392" s="5613"/>
      <c r="BN1392" s="5588">
        <v>67213.44</v>
      </c>
      <c r="BO1392" s="2973"/>
      <c r="BP1392" s="2973"/>
      <c r="BQ1392" s="2973"/>
      <c r="BR1392" s="2973"/>
      <c r="BS1392" s="2973"/>
      <c r="BT1392" s="2973"/>
      <c r="BU1392" s="2973"/>
      <c r="BV1392" s="2973"/>
      <c r="BW1392" s="5619"/>
      <c r="BX1392" s="2986"/>
      <c r="BY1392" s="2986"/>
      <c r="BZ1392" s="2986"/>
      <c r="CA1392" s="2986"/>
      <c r="CB1392" s="5588">
        <v>67213.44</v>
      </c>
      <c r="CC1392" s="2973"/>
      <c r="CD1392" s="2973"/>
      <c r="CE1392" s="5169"/>
      <c r="CF1392" s="5169"/>
      <c r="CG1392" s="5169"/>
      <c r="CH1392" s="5169"/>
    </row>
    <row r="1393" s="4965" customFormat="1" ht="37.5" customHeight="1" spans="1:86">
      <c r="A1393" s="5079"/>
      <c r="B1393" s="5079"/>
      <c r="C1393" s="5079"/>
      <c r="D1393" s="1035"/>
      <c r="E1393" s="1035"/>
      <c r="F1393" s="5548"/>
      <c r="G1393" s="5548"/>
      <c r="H1393" s="5548"/>
      <c r="I1393" s="5548"/>
      <c r="J1393" s="5548"/>
      <c r="K1393" s="5562"/>
      <c r="L1393" s="5548"/>
      <c r="M1393" s="5563"/>
      <c r="N1393" s="5563"/>
      <c r="O1393" s="5563"/>
      <c r="P1393" s="5563"/>
      <c r="Q1393" s="5563"/>
      <c r="R1393" s="5563"/>
      <c r="S1393" s="5563"/>
      <c r="T1393" s="5563"/>
      <c r="U1393" s="5563"/>
      <c r="V1393" s="5563"/>
      <c r="W1393" s="5563"/>
      <c r="X1393" s="5563"/>
      <c r="Y1393" s="5563"/>
      <c r="Z1393" s="5563"/>
      <c r="AA1393" s="5563"/>
      <c r="AB1393" s="5563"/>
      <c r="AC1393" s="2973">
        <v>4</v>
      </c>
      <c r="AD1393" s="5543" t="s">
        <v>2307</v>
      </c>
      <c r="AE1393" s="6507">
        <v>0.25</v>
      </c>
      <c r="AF1393" s="2986">
        <f>M1390*AE1393</f>
        <v>112022.4</v>
      </c>
      <c r="AG1393" s="5619">
        <f t="shared" si="283"/>
        <v>112022.4</v>
      </c>
      <c r="AH1393" s="6644" t="s">
        <v>349</v>
      </c>
      <c r="AI1393" s="5618">
        <v>46111</v>
      </c>
      <c r="AJ1393" s="2973"/>
      <c r="AK1393" s="2973"/>
      <c r="AL1393" s="2973"/>
      <c r="AM1393" s="2973"/>
      <c r="AN1393" s="5619">
        <f t="shared" si="281"/>
        <v>112022.4</v>
      </c>
      <c r="AO1393" s="5618">
        <v>46142</v>
      </c>
      <c r="AP1393" s="2986">
        <f t="shared" si="282"/>
        <v>0</v>
      </c>
      <c r="AQ1393" s="5614"/>
      <c r="AR1393" s="2973"/>
      <c r="AS1393" s="6428"/>
      <c r="AT1393" s="5614"/>
      <c r="AU1393" s="2680"/>
      <c r="AV1393" s="2680"/>
      <c r="AW1393" s="2680"/>
      <c r="AX1393" s="2680"/>
      <c r="AY1393" s="2680"/>
      <c r="AZ1393" s="2680"/>
      <c r="BA1393" s="5588"/>
      <c r="BB1393" s="5588"/>
      <c r="BC1393" s="5588"/>
      <c r="BD1393" s="5588"/>
      <c r="BE1393" s="5588"/>
      <c r="BF1393" s="5588"/>
      <c r="BG1393" s="5588"/>
      <c r="BH1393" s="5588"/>
      <c r="BI1393" s="5613"/>
      <c r="BJ1393" s="5613"/>
      <c r="BK1393" s="5613"/>
      <c r="BL1393" s="5613"/>
      <c r="BM1393" s="5613"/>
      <c r="BN1393" s="5588">
        <v>112022.4</v>
      </c>
      <c r="BO1393" s="2973"/>
      <c r="BP1393" s="2973"/>
      <c r="BQ1393" s="2973"/>
      <c r="BR1393" s="2973"/>
      <c r="BS1393" s="2973"/>
      <c r="BT1393" s="2973"/>
      <c r="BU1393" s="2973"/>
      <c r="BV1393" s="2973"/>
      <c r="BW1393" s="5619"/>
      <c r="BX1393" s="2986"/>
      <c r="BY1393" s="2986"/>
      <c r="BZ1393" s="2986"/>
      <c r="CA1393" s="2986"/>
      <c r="CB1393" s="5588">
        <v>112022.4</v>
      </c>
      <c r="CC1393" s="2973"/>
      <c r="CD1393" s="2973"/>
      <c r="CE1393" s="5169"/>
      <c r="CF1393" s="5169"/>
      <c r="CG1393" s="5169"/>
      <c r="CH1393" s="5169"/>
    </row>
    <row r="1394" s="4965" customFormat="1" ht="37.5" customHeight="1" spans="1:86">
      <c r="A1394" s="5079"/>
      <c r="B1394" s="5079"/>
      <c r="C1394" s="5079"/>
      <c r="D1394" s="1035"/>
      <c r="E1394" s="1035"/>
      <c r="F1394" s="5549"/>
      <c r="G1394" s="5549"/>
      <c r="H1394" s="5549"/>
      <c r="I1394" s="5549"/>
      <c r="J1394" s="5549"/>
      <c r="K1394" s="5564"/>
      <c r="L1394" s="5549"/>
      <c r="M1394" s="5565"/>
      <c r="N1394" s="5565"/>
      <c r="O1394" s="5565"/>
      <c r="P1394" s="5565"/>
      <c r="Q1394" s="5565"/>
      <c r="R1394" s="5565"/>
      <c r="S1394" s="5565"/>
      <c r="T1394" s="5565"/>
      <c r="U1394" s="5565"/>
      <c r="V1394" s="5565"/>
      <c r="W1394" s="5565"/>
      <c r="X1394" s="5565"/>
      <c r="Y1394" s="5565"/>
      <c r="Z1394" s="5565"/>
      <c r="AA1394" s="5565"/>
      <c r="AB1394" s="5565"/>
      <c r="AC1394" s="2973">
        <v>5</v>
      </c>
      <c r="AD1394" s="5543" t="s">
        <v>361</v>
      </c>
      <c r="AE1394" s="6507">
        <v>0.15</v>
      </c>
      <c r="AF1394" s="2986">
        <f>M1390*AE1394</f>
        <v>67213.44</v>
      </c>
      <c r="AG1394" s="2986">
        <f t="shared" si="283"/>
        <v>0</v>
      </c>
      <c r="AH1394" s="5543"/>
      <c r="AI1394" s="2973"/>
      <c r="AJ1394" s="2973"/>
      <c r="AK1394" s="2973"/>
      <c r="AL1394" s="2973"/>
      <c r="AM1394" s="2973"/>
      <c r="AN1394" s="2986">
        <f t="shared" si="281"/>
        <v>0</v>
      </c>
      <c r="AO1394" s="5588"/>
      <c r="AP1394" s="2986">
        <f t="shared" si="282"/>
        <v>0</v>
      </c>
      <c r="AQ1394" s="5614"/>
      <c r="AR1394" s="2973"/>
      <c r="AS1394" s="6428"/>
      <c r="AT1394" s="5614"/>
      <c r="AU1394" s="2680"/>
      <c r="AV1394" s="2680"/>
      <c r="AW1394" s="2680"/>
      <c r="AX1394" s="2680"/>
      <c r="AY1394" s="2680"/>
      <c r="AZ1394" s="2680"/>
      <c r="BA1394" s="5588"/>
      <c r="BB1394" s="5588"/>
      <c r="BC1394" s="5588"/>
      <c r="BD1394" s="5588"/>
      <c r="BE1394" s="5588"/>
      <c r="BF1394" s="5588"/>
      <c r="BG1394" s="5588"/>
      <c r="BH1394" s="5588"/>
      <c r="BI1394" s="5613"/>
      <c r="BJ1394" s="5613"/>
      <c r="BK1394" s="5613"/>
      <c r="BL1394" s="5613"/>
      <c r="BM1394" s="5613"/>
      <c r="BN1394" s="5588"/>
      <c r="BO1394" s="2973"/>
      <c r="BP1394" s="2973"/>
      <c r="BQ1394" s="2973"/>
      <c r="BR1394" s="2973"/>
      <c r="BS1394" s="2973"/>
      <c r="BT1394" s="2973"/>
      <c r="BU1394" s="2973"/>
      <c r="BV1394" s="2973"/>
      <c r="BW1394" s="5619"/>
      <c r="BX1394" s="2986"/>
      <c r="BY1394" s="2986"/>
      <c r="BZ1394" s="2986"/>
      <c r="CA1394" s="2986"/>
      <c r="CB1394" s="5588"/>
      <c r="CC1394" s="2973"/>
      <c r="CD1394" s="2973"/>
      <c r="CE1394" s="5169"/>
      <c r="CF1394" s="5169"/>
      <c r="CG1394" s="5169"/>
      <c r="CH1394" s="5169"/>
    </row>
    <row r="1395" s="4965" customFormat="1" ht="37.5" customHeight="1" spans="1:86">
      <c r="A1395" s="5079"/>
      <c r="B1395" s="5079"/>
      <c r="C1395" s="5079"/>
      <c r="D1395" s="1035"/>
      <c r="E1395" s="1035"/>
      <c r="F1395" s="5370" t="s">
        <v>2308</v>
      </c>
      <c r="G1395" s="5370" t="s">
        <v>2293</v>
      </c>
      <c r="H1395" s="5370" t="s">
        <v>993</v>
      </c>
      <c r="I1395" s="5370" t="s">
        <v>2294</v>
      </c>
      <c r="J1395" s="5370" t="s">
        <v>2179</v>
      </c>
      <c r="K1395" s="5370" t="s">
        <v>2309</v>
      </c>
      <c r="L1395" s="5370" t="s">
        <v>2310</v>
      </c>
      <c r="M1395" s="2686">
        <f>SUM(N1395:AA1399)</f>
        <v>297041.2</v>
      </c>
      <c r="N1395" s="3154"/>
      <c r="O1395" s="3154"/>
      <c r="P1395" s="3154"/>
      <c r="Q1395" s="3154"/>
      <c r="R1395" s="3154"/>
      <c r="S1395" s="3154"/>
      <c r="T1395" s="3154"/>
      <c r="U1395" s="3154"/>
      <c r="V1395" s="3154"/>
      <c r="W1395" s="3154"/>
      <c r="X1395" s="3154"/>
      <c r="Y1395" s="3154"/>
      <c r="Z1395" s="3154"/>
      <c r="AA1395" s="3154">
        <v>297041.2</v>
      </c>
      <c r="AB1395" s="906" t="s">
        <v>126</v>
      </c>
      <c r="AC1395" s="2682">
        <v>1</v>
      </c>
      <c r="AD1395" s="440" t="s">
        <v>2304</v>
      </c>
      <c r="AE1395" s="6387">
        <v>0.2</v>
      </c>
      <c r="AF1395" s="2716">
        <f>M1395*AE1395</f>
        <v>59408.24</v>
      </c>
      <c r="AG1395" s="2716">
        <f t="shared" si="283"/>
        <v>59408.24</v>
      </c>
      <c r="AH1395" s="440" t="s">
        <v>122</v>
      </c>
      <c r="AI1395" s="2682">
        <v>45758</v>
      </c>
      <c r="AJ1395" s="2682">
        <v>59408.24</v>
      </c>
      <c r="AK1395" s="2682">
        <v>45758</v>
      </c>
      <c r="AL1395" s="2682">
        <v>59408.24</v>
      </c>
      <c r="AM1395" s="2682">
        <v>45763</v>
      </c>
      <c r="AN1395" s="600">
        <f t="shared" si="281"/>
        <v>59408.24</v>
      </c>
      <c r="AO1395" s="2957">
        <v>45804</v>
      </c>
      <c r="AP1395" s="2716">
        <f t="shared" si="282"/>
        <v>0</v>
      </c>
      <c r="AQ1395" s="5410"/>
      <c r="AR1395" s="2682"/>
      <c r="AS1395" s="6439"/>
      <c r="AT1395" s="5410"/>
      <c r="AU1395" s="2680"/>
      <c r="AV1395" s="2680"/>
      <c r="AW1395" s="2680"/>
      <c r="AX1395" s="2680"/>
      <c r="AY1395" s="2680"/>
      <c r="AZ1395" s="2680"/>
      <c r="BA1395" s="2957"/>
      <c r="BB1395" s="2957"/>
      <c r="BC1395" s="2957"/>
      <c r="BD1395" s="2957"/>
      <c r="BE1395" s="2957"/>
      <c r="BF1395" s="2957"/>
      <c r="BG1395" s="2957"/>
      <c r="BH1395" s="2957"/>
      <c r="BI1395" s="600"/>
      <c r="BJ1395" s="600"/>
      <c r="BK1395" s="600"/>
      <c r="BL1395" s="600"/>
      <c r="BM1395" s="600"/>
      <c r="BN1395" s="2957">
        <v>59408.24</v>
      </c>
      <c r="BO1395" s="2682"/>
      <c r="BP1395" s="2682"/>
      <c r="BQ1395" s="2682"/>
      <c r="BR1395" s="2682"/>
      <c r="BS1395" s="2682"/>
      <c r="BT1395" s="2682"/>
      <c r="BU1395" s="2682"/>
      <c r="BV1395" s="2682"/>
      <c r="BW1395" s="5394"/>
      <c r="BX1395" s="2716"/>
      <c r="BY1395" s="2716"/>
      <c r="BZ1395" s="2716"/>
      <c r="CA1395" s="2716"/>
      <c r="CB1395" s="2957">
        <v>59408.24</v>
      </c>
      <c r="CC1395" s="2682"/>
      <c r="CD1395" s="2682"/>
      <c r="CE1395" s="5169"/>
      <c r="CF1395" s="5169"/>
      <c r="CG1395" s="5169"/>
      <c r="CH1395" s="5169"/>
    </row>
    <row r="1396" s="4965" customFormat="1" ht="37.5" customHeight="1" spans="1:86">
      <c r="A1396" s="5079"/>
      <c r="B1396" s="5079"/>
      <c r="C1396" s="5079"/>
      <c r="D1396" s="1035"/>
      <c r="E1396" s="1035"/>
      <c r="F1396" s="5443"/>
      <c r="G1396" s="5443"/>
      <c r="H1396" s="5443"/>
      <c r="I1396" s="5443"/>
      <c r="J1396" s="5443"/>
      <c r="K1396" s="5421"/>
      <c r="L1396" s="5443"/>
      <c r="M1396" s="3154"/>
      <c r="N1396" s="3154"/>
      <c r="O1396" s="3154"/>
      <c r="P1396" s="3154"/>
      <c r="Q1396" s="3154"/>
      <c r="R1396" s="3154"/>
      <c r="S1396" s="3154"/>
      <c r="T1396" s="3154"/>
      <c r="U1396" s="3154"/>
      <c r="V1396" s="3154"/>
      <c r="W1396" s="3154"/>
      <c r="X1396" s="3154"/>
      <c r="Y1396" s="3154"/>
      <c r="Z1396" s="3154"/>
      <c r="AA1396" s="3154"/>
      <c r="AB1396" s="3154"/>
      <c r="AC1396" s="2682">
        <v>2</v>
      </c>
      <c r="AD1396" s="440" t="s">
        <v>2311</v>
      </c>
      <c r="AE1396" s="6387">
        <v>0.2</v>
      </c>
      <c r="AF1396" s="2716">
        <f>M1395*AE1396</f>
        <v>59408.24</v>
      </c>
      <c r="AG1396" s="2716">
        <f t="shared" si="283"/>
        <v>59408.24</v>
      </c>
      <c r="AH1396" s="440" t="s">
        <v>122</v>
      </c>
      <c r="AI1396" s="2682">
        <v>45758</v>
      </c>
      <c r="AJ1396" s="2682">
        <v>59408.24</v>
      </c>
      <c r="AK1396" s="2682">
        <v>45758</v>
      </c>
      <c r="AL1396" s="2682">
        <v>59408.24</v>
      </c>
      <c r="AM1396" s="2682">
        <v>45763</v>
      </c>
      <c r="AN1396" s="600">
        <f t="shared" si="281"/>
        <v>59408.24</v>
      </c>
      <c r="AO1396" s="2957">
        <v>45804</v>
      </c>
      <c r="AP1396" s="2716">
        <f t="shared" si="282"/>
        <v>0</v>
      </c>
      <c r="AQ1396" s="5410"/>
      <c r="AR1396" s="2682"/>
      <c r="AS1396" s="6439"/>
      <c r="AT1396" s="5410"/>
      <c r="AU1396" s="2680"/>
      <c r="AV1396" s="2680"/>
      <c r="AW1396" s="2680"/>
      <c r="AX1396" s="2680"/>
      <c r="AY1396" s="2680"/>
      <c r="AZ1396" s="2680"/>
      <c r="BA1396" s="2957"/>
      <c r="BB1396" s="2957"/>
      <c r="BC1396" s="2957"/>
      <c r="BD1396" s="2957"/>
      <c r="BE1396" s="2957"/>
      <c r="BF1396" s="2957"/>
      <c r="BG1396" s="2957"/>
      <c r="BH1396" s="2957"/>
      <c r="BI1396" s="600"/>
      <c r="BJ1396" s="600"/>
      <c r="BK1396" s="600"/>
      <c r="BL1396" s="600"/>
      <c r="BM1396" s="600"/>
      <c r="BN1396" s="2957">
        <v>59408.24</v>
      </c>
      <c r="BO1396" s="2682"/>
      <c r="BP1396" s="2682"/>
      <c r="BQ1396" s="2682"/>
      <c r="BR1396" s="2682"/>
      <c r="BS1396" s="2682"/>
      <c r="BT1396" s="2682"/>
      <c r="BU1396" s="2682"/>
      <c r="BV1396" s="2682"/>
      <c r="BW1396" s="5394"/>
      <c r="BX1396" s="2716"/>
      <c r="BY1396" s="2716"/>
      <c r="BZ1396" s="2716"/>
      <c r="CA1396" s="2716"/>
      <c r="CB1396" s="2957">
        <v>59408.24</v>
      </c>
      <c r="CC1396" s="2682"/>
      <c r="CD1396" s="2682"/>
      <c r="CE1396" s="5169"/>
      <c r="CF1396" s="5169"/>
      <c r="CG1396" s="5169"/>
      <c r="CH1396" s="5169"/>
    </row>
    <row r="1397" s="4965" customFormat="1" ht="37.5" customHeight="1" spans="1:86">
      <c r="A1397" s="5079"/>
      <c r="B1397" s="5079"/>
      <c r="C1397" s="5079"/>
      <c r="D1397" s="1035"/>
      <c r="E1397" s="1035"/>
      <c r="F1397" s="5443"/>
      <c r="G1397" s="5443"/>
      <c r="H1397" s="5443"/>
      <c r="I1397" s="5443"/>
      <c r="J1397" s="5443"/>
      <c r="K1397" s="5421"/>
      <c r="L1397" s="5443"/>
      <c r="M1397" s="3154"/>
      <c r="N1397" s="3154"/>
      <c r="O1397" s="3154"/>
      <c r="P1397" s="3154"/>
      <c r="Q1397" s="3154"/>
      <c r="R1397" s="3154"/>
      <c r="S1397" s="3154"/>
      <c r="T1397" s="3154"/>
      <c r="U1397" s="3154"/>
      <c r="V1397" s="3154"/>
      <c r="W1397" s="3154"/>
      <c r="X1397" s="3154"/>
      <c r="Y1397" s="3154"/>
      <c r="Z1397" s="3154"/>
      <c r="AA1397" s="3154"/>
      <c r="AB1397" s="3154"/>
      <c r="AC1397" s="2682">
        <v>3</v>
      </c>
      <c r="AD1397" s="440" t="s">
        <v>2312</v>
      </c>
      <c r="AE1397" s="6387">
        <v>0.2</v>
      </c>
      <c r="AF1397" s="2716">
        <f>M1395*AE1397</f>
        <v>59408.24</v>
      </c>
      <c r="AG1397" s="2716">
        <f t="shared" si="283"/>
        <v>59408.24</v>
      </c>
      <c r="AH1397" s="440" t="s">
        <v>122</v>
      </c>
      <c r="AI1397" s="2682">
        <v>45758</v>
      </c>
      <c r="AJ1397" s="2682">
        <v>59408.24</v>
      </c>
      <c r="AK1397" s="2682">
        <v>45758</v>
      </c>
      <c r="AL1397" s="2682">
        <v>59408.24</v>
      </c>
      <c r="AM1397" s="2682">
        <v>45763</v>
      </c>
      <c r="AN1397" s="600">
        <f t="shared" si="281"/>
        <v>59408.24</v>
      </c>
      <c r="AO1397" s="2957">
        <v>45804</v>
      </c>
      <c r="AP1397" s="2716">
        <f t="shared" si="282"/>
        <v>0</v>
      </c>
      <c r="AQ1397" s="5410"/>
      <c r="AR1397" s="2682"/>
      <c r="AS1397" s="6439"/>
      <c r="AT1397" s="5410"/>
      <c r="AU1397" s="2680"/>
      <c r="AV1397" s="2680"/>
      <c r="AW1397" s="2680"/>
      <c r="AX1397" s="2680"/>
      <c r="AY1397" s="2680"/>
      <c r="AZ1397" s="2680"/>
      <c r="BA1397" s="2957"/>
      <c r="BB1397" s="2957"/>
      <c r="BC1397" s="2957"/>
      <c r="BD1397" s="2957"/>
      <c r="BE1397" s="2957"/>
      <c r="BF1397" s="2957"/>
      <c r="BG1397" s="2957"/>
      <c r="BH1397" s="2957"/>
      <c r="BI1397" s="600"/>
      <c r="BJ1397" s="600"/>
      <c r="BK1397" s="600"/>
      <c r="BL1397" s="600"/>
      <c r="BM1397" s="600"/>
      <c r="BN1397" s="2957">
        <v>59408.24</v>
      </c>
      <c r="BO1397" s="2682"/>
      <c r="BP1397" s="2682"/>
      <c r="BQ1397" s="2682"/>
      <c r="BR1397" s="2682"/>
      <c r="BS1397" s="2682"/>
      <c r="BT1397" s="2682"/>
      <c r="BU1397" s="2682"/>
      <c r="BV1397" s="2682"/>
      <c r="BW1397" s="5394"/>
      <c r="BX1397" s="2716"/>
      <c r="BY1397" s="2716"/>
      <c r="BZ1397" s="2716"/>
      <c r="CA1397" s="2716"/>
      <c r="CB1397" s="2957">
        <v>59408.24</v>
      </c>
      <c r="CC1397" s="2682"/>
      <c r="CD1397" s="2682"/>
      <c r="CE1397" s="5169"/>
      <c r="CF1397" s="5169"/>
      <c r="CG1397" s="5169"/>
      <c r="CH1397" s="5169"/>
    </row>
    <row r="1398" s="4965" customFormat="1" ht="37.5" customHeight="1" spans="1:86">
      <c r="A1398" s="5079"/>
      <c r="B1398" s="5079"/>
      <c r="C1398" s="5079"/>
      <c r="D1398" s="1035"/>
      <c r="E1398" s="1035"/>
      <c r="F1398" s="5443"/>
      <c r="G1398" s="5443"/>
      <c r="H1398" s="5443"/>
      <c r="I1398" s="5443"/>
      <c r="J1398" s="5443"/>
      <c r="K1398" s="5421"/>
      <c r="L1398" s="5443"/>
      <c r="M1398" s="3154"/>
      <c r="N1398" s="3154"/>
      <c r="O1398" s="3154"/>
      <c r="P1398" s="3154"/>
      <c r="Q1398" s="3154"/>
      <c r="R1398" s="3154"/>
      <c r="S1398" s="3154"/>
      <c r="T1398" s="3154"/>
      <c r="U1398" s="3154"/>
      <c r="V1398" s="3154"/>
      <c r="W1398" s="3154"/>
      <c r="X1398" s="3154"/>
      <c r="Y1398" s="3154"/>
      <c r="Z1398" s="3154"/>
      <c r="AA1398" s="3154"/>
      <c r="AB1398" s="3154"/>
      <c r="AC1398" s="2682">
        <v>4</v>
      </c>
      <c r="AD1398" s="440" t="s">
        <v>2313</v>
      </c>
      <c r="AE1398" s="6387">
        <v>0.2</v>
      </c>
      <c r="AF1398" s="600">
        <f>M1395*AE1398</f>
        <v>59408.24</v>
      </c>
      <c r="AG1398" s="2716">
        <f t="shared" si="283"/>
        <v>59408.24</v>
      </c>
      <c r="AH1398" s="440" t="s">
        <v>122</v>
      </c>
      <c r="AI1398" s="2957">
        <v>45958</v>
      </c>
      <c r="AJ1398" s="2716">
        <f t="shared" ref="AJ1398:AJ1403" si="284">SUM(BD1398:BQ1398)</f>
        <v>59408.24</v>
      </c>
      <c r="AK1398" s="2682">
        <v>45958</v>
      </c>
      <c r="AL1398" s="2716">
        <f t="shared" ref="AL1398:AL1403" si="285">SUM(BF1398:BS1398)</f>
        <v>59408.24</v>
      </c>
      <c r="AM1398" s="2682">
        <v>45958</v>
      </c>
      <c r="AN1398" s="5394">
        <f t="shared" si="281"/>
        <v>59408.24</v>
      </c>
      <c r="AO1398" s="5395">
        <v>46052</v>
      </c>
      <c r="AP1398" s="2716">
        <f t="shared" si="282"/>
        <v>0</v>
      </c>
      <c r="AQ1398" s="5410"/>
      <c r="AR1398" s="2682"/>
      <c r="AS1398" s="6439"/>
      <c r="AT1398" s="5410"/>
      <c r="AU1398" s="2680"/>
      <c r="AV1398" s="2680"/>
      <c r="AW1398" s="2680"/>
      <c r="AX1398" s="2680"/>
      <c r="AY1398" s="2680"/>
      <c r="AZ1398" s="2680"/>
      <c r="BA1398" s="2957"/>
      <c r="BB1398" s="2957"/>
      <c r="BC1398" s="2957"/>
      <c r="BD1398" s="2957"/>
      <c r="BE1398" s="2957"/>
      <c r="BF1398" s="2957"/>
      <c r="BG1398" s="2957"/>
      <c r="BH1398" s="2957"/>
      <c r="BI1398" s="600"/>
      <c r="BJ1398" s="600"/>
      <c r="BK1398" s="600"/>
      <c r="BL1398" s="600"/>
      <c r="BM1398" s="600"/>
      <c r="BN1398" s="2957">
        <v>59408.24</v>
      </c>
      <c r="BO1398" s="2682"/>
      <c r="BP1398" s="2682"/>
      <c r="BQ1398" s="2682"/>
      <c r="BR1398" s="2682"/>
      <c r="BS1398" s="2682"/>
      <c r="BT1398" s="2682"/>
      <c r="BU1398" s="2682"/>
      <c r="BV1398" s="2682"/>
      <c r="BW1398" s="5394"/>
      <c r="BX1398" s="2716"/>
      <c r="BY1398" s="2716"/>
      <c r="BZ1398" s="2716"/>
      <c r="CA1398" s="2716"/>
      <c r="CB1398" s="2957">
        <v>59408.24</v>
      </c>
      <c r="CC1398" s="2682"/>
      <c r="CD1398" s="2682"/>
      <c r="CE1398" s="5169"/>
      <c r="CF1398" s="5169"/>
      <c r="CG1398" s="5169"/>
      <c r="CH1398" s="5169"/>
    </row>
    <row r="1399" s="4965" customFormat="1" ht="37.5" customHeight="1" spans="1:86">
      <c r="A1399" s="5079"/>
      <c r="B1399" s="5079"/>
      <c r="C1399" s="5079"/>
      <c r="D1399" s="1035"/>
      <c r="E1399" s="1035"/>
      <c r="F1399" s="5444"/>
      <c r="G1399" s="5444"/>
      <c r="H1399" s="5444"/>
      <c r="I1399" s="5444"/>
      <c r="J1399" s="5444"/>
      <c r="K1399" s="5422"/>
      <c r="L1399" s="5444"/>
      <c r="M1399" s="3171"/>
      <c r="N1399" s="3171"/>
      <c r="O1399" s="3171"/>
      <c r="P1399" s="3171"/>
      <c r="Q1399" s="3171"/>
      <c r="R1399" s="3171"/>
      <c r="S1399" s="3171"/>
      <c r="T1399" s="3171"/>
      <c r="U1399" s="3171"/>
      <c r="V1399" s="3171"/>
      <c r="W1399" s="3171"/>
      <c r="X1399" s="3171"/>
      <c r="Y1399" s="3171"/>
      <c r="Z1399" s="3171"/>
      <c r="AA1399" s="3171"/>
      <c r="AB1399" s="3171"/>
      <c r="AC1399" s="2682">
        <v>5</v>
      </c>
      <c r="AD1399" s="440" t="s">
        <v>2314</v>
      </c>
      <c r="AE1399" s="6387">
        <v>0.2</v>
      </c>
      <c r="AF1399" s="2716">
        <f>M1395*AE1399</f>
        <v>59408.24</v>
      </c>
      <c r="AG1399" s="2716">
        <f t="shared" si="283"/>
        <v>0</v>
      </c>
      <c r="AH1399" s="440"/>
      <c r="AI1399" s="2682"/>
      <c r="AJ1399" s="2682"/>
      <c r="AK1399" s="2682"/>
      <c r="AL1399" s="2682"/>
      <c r="AM1399" s="2682"/>
      <c r="AN1399" s="2716">
        <f t="shared" si="281"/>
        <v>0</v>
      </c>
      <c r="AO1399" s="2957"/>
      <c r="AP1399" s="2716">
        <f t="shared" si="282"/>
        <v>0</v>
      </c>
      <c r="AQ1399" s="5410"/>
      <c r="AR1399" s="2682"/>
      <c r="AS1399" s="6439"/>
      <c r="AT1399" s="5410"/>
      <c r="AU1399" s="2680"/>
      <c r="AV1399" s="2680"/>
      <c r="AW1399" s="2680"/>
      <c r="AX1399" s="2680"/>
      <c r="AY1399" s="2680"/>
      <c r="AZ1399" s="2680"/>
      <c r="BA1399" s="2957"/>
      <c r="BB1399" s="2957"/>
      <c r="BC1399" s="2957"/>
      <c r="BD1399" s="2957"/>
      <c r="BE1399" s="2957"/>
      <c r="BF1399" s="2957"/>
      <c r="BG1399" s="2957"/>
      <c r="BH1399" s="2957"/>
      <c r="BI1399" s="600"/>
      <c r="BJ1399" s="600"/>
      <c r="BK1399" s="600"/>
      <c r="BL1399" s="600"/>
      <c r="BM1399" s="600"/>
      <c r="BN1399" s="2957"/>
      <c r="BO1399" s="2682"/>
      <c r="BP1399" s="2682"/>
      <c r="BQ1399" s="2682"/>
      <c r="BR1399" s="2682"/>
      <c r="BS1399" s="2682"/>
      <c r="BT1399" s="2682"/>
      <c r="BU1399" s="2682"/>
      <c r="BV1399" s="2682"/>
      <c r="BW1399" s="5394"/>
      <c r="BX1399" s="2716"/>
      <c r="BY1399" s="2716"/>
      <c r="BZ1399" s="2716"/>
      <c r="CA1399" s="2716"/>
      <c r="CB1399" s="5627"/>
      <c r="CC1399" s="2682"/>
      <c r="CD1399" s="2682"/>
      <c r="CE1399" s="5169"/>
      <c r="CF1399" s="5169"/>
      <c r="CG1399" s="5169"/>
      <c r="CH1399" s="5169"/>
    </row>
    <row r="1400" s="4965" customFormat="1" ht="37.5" customHeight="1" spans="1:86">
      <c r="A1400" s="5079"/>
      <c r="B1400" s="5079"/>
      <c r="C1400" s="5079"/>
      <c r="D1400" s="1035"/>
      <c r="E1400" s="1035"/>
      <c r="F1400" s="6478" t="s">
        <v>2315</v>
      </c>
      <c r="G1400" s="6478" t="s">
        <v>2293</v>
      </c>
      <c r="H1400" s="6478" t="s">
        <v>2225</v>
      </c>
      <c r="I1400" s="6478" t="s">
        <v>2294</v>
      </c>
      <c r="J1400" s="6478" t="s">
        <v>2179</v>
      </c>
      <c r="K1400" s="6478">
        <v>38699.71</v>
      </c>
      <c r="L1400" s="6478" t="s">
        <v>2244</v>
      </c>
      <c r="M1400" s="6496">
        <f>SUM(N1400:AA1404)</f>
        <v>386997.1</v>
      </c>
      <c r="N1400" s="6497"/>
      <c r="O1400" s="6497"/>
      <c r="P1400" s="6497"/>
      <c r="Q1400" s="6497"/>
      <c r="R1400" s="6497"/>
      <c r="S1400" s="6497"/>
      <c r="T1400" s="6497"/>
      <c r="U1400" s="6497"/>
      <c r="V1400" s="6497">
        <v>386997.1</v>
      </c>
      <c r="W1400" s="6497"/>
      <c r="X1400" s="6497"/>
      <c r="Y1400" s="6497"/>
      <c r="Z1400" s="6497"/>
      <c r="AA1400" s="6497"/>
      <c r="AB1400" s="6497"/>
      <c r="AC1400" s="5488">
        <v>1</v>
      </c>
      <c r="AD1400" s="6627" t="s">
        <v>2316</v>
      </c>
      <c r="AE1400" s="6525">
        <v>0.2</v>
      </c>
      <c r="AF1400" s="6526">
        <f>M1400*AE1400</f>
        <v>77399.42</v>
      </c>
      <c r="AG1400" s="6526">
        <f t="shared" si="283"/>
        <v>77399.42</v>
      </c>
      <c r="AH1400" s="6627" t="s">
        <v>122</v>
      </c>
      <c r="AI1400" s="5488">
        <v>45758</v>
      </c>
      <c r="AJ1400" s="5488">
        <v>77399.42</v>
      </c>
      <c r="AK1400" s="5488">
        <v>45758</v>
      </c>
      <c r="AL1400" s="5488">
        <v>77399.42</v>
      </c>
      <c r="AM1400" s="5488">
        <v>45763</v>
      </c>
      <c r="AN1400" s="6567">
        <f t="shared" si="281"/>
        <v>77399.42</v>
      </c>
      <c r="AO1400" s="5483">
        <v>45804</v>
      </c>
      <c r="AP1400" s="6526">
        <f t="shared" si="282"/>
        <v>0</v>
      </c>
      <c r="AQ1400" s="6557"/>
      <c r="AR1400" s="5488"/>
      <c r="AS1400" s="6563"/>
      <c r="AT1400" s="6557"/>
      <c r="AU1400" s="2680"/>
      <c r="AV1400" s="2680"/>
      <c r="AW1400" s="2680"/>
      <c r="AX1400" s="2680"/>
      <c r="AY1400" s="2680"/>
      <c r="AZ1400" s="2680"/>
      <c r="BA1400" s="5483"/>
      <c r="BB1400" s="5483"/>
      <c r="BC1400" s="5483"/>
      <c r="BD1400" s="5483"/>
      <c r="BE1400" s="5483"/>
      <c r="BF1400" s="5483"/>
      <c r="BG1400" s="5483"/>
      <c r="BH1400" s="5483"/>
      <c r="BI1400" s="6567">
        <v>77399.42</v>
      </c>
      <c r="BJ1400" s="6567"/>
      <c r="BK1400" s="6567"/>
      <c r="BL1400" s="6567"/>
      <c r="BM1400" s="6567"/>
      <c r="BN1400" s="5483"/>
      <c r="BO1400" s="5488"/>
      <c r="BP1400" s="5488"/>
      <c r="BQ1400" s="5488"/>
      <c r="BR1400" s="5488"/>
      <c r="BS1400" s="5488"/>
      <c r="BT1400" s="5488"/>
      <c r="BU1400" s="5488"/>
      <c r="BV1400" s="5488"/>
      <c r="BW1400" s="6567">
        <v>77399.42</v>
      </c>
      <c r="BX1400" s="6526"/>
      <c r="BY1400" s="6526"/>
      <c r="BZ1400" s="6526"/>
      <c r="CA1400" s="6526"/>
      <c r="CB1400" s="6577"/>
      <c r="CC1400" s="5488"/>
      <c r="CD1400" s="5488"/>
      <c r="CE1400" s="5169"/>
      <c r="CF1400" s="5169"/>
      <c r="CG1400" s="5169"/>
      <c r="CH1400" s="5169"/>
    </row>
    <row r="1401" s="4965" customFormat="1" ht="37.5" customHeight="1" spans="1:86">
      <c r="A1401" s="5079"/>
      <c r="B1401" s="5079"/>
      <c r="C1401" s="5079"/>
      <c r="D1401" s="1035"/>
      <c r="E1401" s="1035"/>
      <c r="F1401" s="6578"/>
      <c r="G1401" s="6578"/>
      <c r="H1401" s="6578"/>
      <c r="I1401" s="6578"/>
      <c r="J1401" s="6578"/>
      <c r="K1401" s="6590"/>
      <c r="L1401" s="6578"/>
      <c r="M1401" s="6497"/>
      <c r="N1401" s="6497"/>
      <c r="O1401" s="6497"/>
      <c r="P1401" s="6497"/>
      <c r="Q1401" s="6497"/>
      <c r="R1401" s="6497"/>
      <c r="S1401" s="6497"/>
      <c r="T1401" s="6497"/>
      <c r="U1401" s="6497"/>
      <c r="V1401" s="6497"/>
      <c r="W1401" s="6497"/>
      <c r="X1401" s="6497"/>
      <c r="Y1401" s="6497"/>
      <c r="Z1401" s="6497"/>
      <c r="AA1401" s="6497"/>
      <c r="AB1401" s="6497"/>
      <c r="AC1401" s="5488">
        <v>2</v>
      </c>
      <c r="AD1401" s="6627" t="s">
        <v>2317</v>
      </c>
      <c r="AE1401" s="6525">
        <v>0.2</v>
      </c>
      <c r="AF1401" s="6567">
        <f>M1400*AE1401</f>
        <v>77399.42</v>
      </c>
      <c r="AG1401" s="6526">
        <f t="shared" si="283"/>
        <v>77399.42</v>
      </c>
      <c r="AH1401" s="6627" t="s">
        <v>122</v>
      </c>
      <c r="AI1401" s="5488">
        <v>45958</v>
      </c>
      <c r="AJ1401" s="6526">
        <f t="shared" si="284"/>
        <v>77399.42</v>
      </c>
      <c r="AK1401" s="5488">
        <v>45958</v>
      </c>
      <c r="AL1401" s="6526">
        <f t="shared" si="285"/>
        <v>77399.42</v>
      </c>
      <c r="AM1401" s="5488">
        <v>45958</v>
      </c>
      <c r="AN1401" s="6572">
        <f t="shared" si="281"/>
        <v>77399.42</v>
      </c>
      <c r="AO1401" s="6655">
        <v>46052</v>
      </c>
      <c r="AP1401" s="6526">
        <f t="shared" si="282"/>
        <v>0</v>
      </c>
      <c r="AQ1401" s="6557"/>
      <c r="AR1401" s="5488"/>
      <c r="AS1401" s="6563"/>
      <c r="AT1401" s="6557"/>
      <c r="AU1401" s="2680"/>
      <c r="AV1401" s="2680"/>
      <c r="AW1401" s="2680"/>
      <c r="AX1401" s="2680"/>
      <c r="AY1401" s="2680"/>
      <c r="AZ1401" s="2680"/>
      <c r="BA1401" s="5483"/>
      <c r="BB1401" s="5483"/>
      <c r="BC1401" s="5483"/>
      <c r="BD1401" s="5483"/>
      <c r="BE1401" s="5483"/>
      <c r="BF1401" s="5483"/>
      <c r="BG1401" s="5483"/>
      <c r="BH1401" s="5483">
        <v>77399.42</v>
      </c>
      <c r="BI1401" s="6567"/>
      <c r="BJ1401" s="6567"/>
      <c r="BK1401" s="6567"/>
      <c r="BL1401" s="6567"/>
      <c r="BM1401" s="6567"/>
      <c r="BN1401" s="5483"/>
      <c r="BO1401" s="5488"/>
      <c r="BP1401" s="5488"/>
      <c r="BQ1401" s="5488"/>
      <c r="BR1401" s="5488"/>
      <c r="BS1401" s="5488"/>
      <c r="BT1401" s="5488"/>
      <c r="BU1401" s="5488"/>
      <c r="BV1401" s="5483">
        <v>77399.42</v>
      </c>
      <c r="BW1401" s="6567"/>
      <c r="BX1401" s="6526"/>
      <c r="BY1401" s="6526"/>
      <c r="BZ1401" s="6526"/>
      <c r="CA1401" s="6526"/>
      <c r="CB1401" s="6577"/>
      <c r="CC1401" s="5488"/>
      <c r="CD1401" s="5488"/>
      <c r="CE1401" s="5169"/>
      <c r="CF1401" s="5169"/>
      <c r="CG1401" s="5169"/>
      <c r="CH1401" s="5169"/>
    </row>
    <row r="1402" s="4965" customFormat="1" ht="37.5" customHeight="1" spans="1:86">
      <c r="A1402" s="5079"/>
      <c r="B1402" s="5079"/>
      <c r="C1402" s="5079"/>
      <c r="D1402" s="1035"/>
      <c r="E1402" s="1035"/>
      <c r="F1402" s="6578"/>
      <c r="G1402" s="6578"/>
      <c r="H1402" s="6578"/>
      <c r="I1402" s="6578"/>
      <c r="J1402" s="6578"/>
      <c r="K1402" s="6590"/>
      <c r="L1402" s="6578"/>
      <c r="M1402" s="6497"/>
      <c r="N1402" s="6497"/>
      <c r="O1402" s="6497"/>
      <c r="P1402" s="6497"/>
      <c r="Q1402" s="6497"/>
      <c r="R1402" s="6497"/>
      <c r="S1402" s="6497"/>
      <c r="T1402" s="6497"/>
      <c r="U1402" s="6497"/>
      <c r="V1402" s="6497"/>
      <c r="W1402" s="6497"/>
      <c r="X1402" s="6497"/>
      <c r="Y1402" s="6497"/>
      <c r="Z1402" s="6497"/>
      <c r="AA1402" s="6497"/>
      <c r="AB1402" s="6497"/>
      <c r="AC1402" s="5488">
        <v>3</v>
      </c>
      <c r="AD1402" s="6627" t="s">
        <v>2318</v>
      </c>
      <c r="AE1402" s="6525">
        <v>0.3</v>
      </c>
      <c r="AF1402" s="6567">
        <f>M1400*AE1402</f>
        <v>116099.13</v>
      </c>
      <c r="AG1402" s="6526">
        <f t="shared" si="283"/>
        <v>116099.13</v>
      </c>
      <c r="AH1402" s="6627" t="s">
        <v>122</v>
      </c>
      <c r="AI1402" s="5488">
        <v>45958</v>
      </c>
      <c r="AJ1402" s="6526">
        <f t="shared" si="284"/>
        <v>116099.13</v>
      </c>
      <c r="AK1402" s="5488">
        <v>45958</v>
      </c>
      <c r="AL1402" s="6526">
        <f t="shared" si="285"/>
        <v>116099.13</v>
      </c>
      <c r="AM1402" s="5488">
        <v>45958</v>
      </c>
      <c r="AN1402" s="6572">
        <f t="shared" si="281"/>
        <v>116099.13</v>
      </c>
      <c r="AO1402" s="6655">
        <v>46052</v>
      </c>
      <c r="AP1402" s="6526">
        <f t="shared" si="282"/>
        <v>0</v>
      </c>
      <c r="AQ1402" s="6557"/>
      <c r="AR1402" s="5488"/>
      <c r="AS1402" s="6563"/>
      <c r="AT1402" s="6557"/>
      <c r="AU1402" s="2680"/>
      <c r="AV1402" s="2680"/>
      <c r="AW1402" s="2680"/>
      <c r="AX1402" s="2680"/>
      <c r="AY1402" s="2680"/>
      <c r="AZ1402" s="2680"/>
      <c r="BA1402" s="5483"/>
      <c r="BB1402" s="5483"/>
      <c r="BC1402" s="5483"/>
      <c r="BD1402" s="5483"/>
      <c r="BE1402" s="5483"/>
      <c r="BF1402" s="5483"/>
      <c r="BG1402" s="5483"/>
      <c r="BH1402" s="5483">
        <v>80528.88</v>
      </c>
      <c r="BI1402" s="6567">
        <v>35570.25</v>
      </c>
      <c r="BJ1402" s="6567"/>
      <c r="BK1402" s="6567"/>
      <c r="BL1402" s="6567"/>
      <c r="BM1402" s="6567"/>
      <c r="BN1402" s="5483"/>
      <c r="BO1402" s="5488"/>
      <c r="BP1402" s="5488"/>
      <c r="BQ1402" s="5488"/>
      <c r="BR1402" s="5488"/>
      <c r="BS1402" s="5488"/>
      <c r="BT1402" s="5488"/>
      <c r="BU1402" s="5488"/>
      <c r="BV1402" s="5483">
        <v>80528.88</v>
      </c>
      <c r="BW1402" s="6567">
        <v>35570.25</v>
      </c>
      <c r="BX1402" s="6526"/>
      <c r="BY1402" s="6526"/>
      <c r="BZ1402" s="6526"/>
      <c r="CA1402" s="6526"/>
      <c r="CB1402" s="6577"/>
      <c r="CC1402" s="5488"/>
      <c r="CD1402" s="5488"/>
      <c r="CE1402" s="5169"/>
      <c r="CF1402" s="5169"/>
      <c r="CG1402" s="5169"/>
      <c r="CH1402" s="5169"/>
    </row>
    <row r="1403" s="4965" customFormat="1" ht="37.5" customHeight="1" spans="1:86">
      <c r="A1403" s="5079"/>
      <c r="B1403" s="5079"/>
      <c r="C1403" s="5079"/>
      <c r="D1403" s="1035"/>
      <c r="E1403" s="1035"/>
      <c r="F1403" s="6578"/>
      <c r="G1403" s="6578"/>
      <c r="H1403" s="6578"/>
      <c r="I1403" s="6578"/>
      <c r="J1403" s="6578"/>
      <c r="K1403" s="6590"/>
      <c r="L1403" s="6578"/>
      <c r="M1403" s="6497"/>
      <c r="N1403" s="6497"/>
      <c r="O1403" s="6497"/>
      <c r="P1403" s="6497"/>
      <c r="Q1403" s="6497"/>
      <c r="R1403" s="6497"/>
      <c r="S1403" s="6497"/>
      <c r="T1403" s="6497"/>
      <c r="U1403" s="6497"/>
      <c r="V1403" s="6497"/>
      <c r="W1403" s="6497"/>
      <c r="X1403" s="6497"/>
      <c r="Y1403" s="6497"/>
      <c r="Z1403" s="6497"/>
      <c r="AA1403" s="6497"/>
      <c r="AB1403" s="6497"/>
      <c r="AC1403" s="5488">
        <v>4</v>
      </c>
      <c r="AD1403" s="6627" t="s">
        <v>2319</v>
      </c>
      <c r="AE1403" s="6525">
        <v>0.25</v>
      </c>
      <c r="AF1403" s="6567">
        <f>M1400*AE1403</f>
        <v>96749.275</v>
      </c>
      <c r="AG1403" s="6526">
        <f t="shared" si="283"/>
        <v>96733.6</v>
      </c>
      <c r="AH1403" s="6627" t="s">
        <v>122</v>
      </c>
      <c r="AI1403" s="5488">
        <v>45958</v>
      </c>
      <c r="AJ1403" s="6526">
        <f t="shared" si="284"/>
        <v>96733.6</v>
      </c>
      <c r="AK1403" s="5488">
        <v>45958</v>
      </c>
      <c r="AL1403" s="6526">
        <f t="shared" si="285"/>
        <v>96733.6</v>
      </c>
      <c r="AM1403" s="5488">
        <v>45958</v>
      </c>
      <c r="AN1403" s="6572">
        <f t="shared" si="281"/>
        <v>96733.6</v>
      </c>
      <c r="AO1403" s="6655">
        <v>46052</v>
      </c>
      <c r="AP1403" s="6526">
        <f t="shared" si="282"/>
        <v>0</v>
      </c>
      <c r="AQ1403" s="6557"/>
      <c r="AR1403" s="5488"/>
      <c r="AS1403" s="6563"/>
      <c r="AT1403" s="6557"/>
      <c r="AU1403" s="2680"/>
      <c r="AV1403" s="2680"/>
      <c r="AW1403" s="2680"/>
      <c r="AX1403" s="2680"/>
      <c r="AY1403" s="2680"/>
      <c r="AZ1403" s="2680"/>
      <c r="BA1403" s="5483"/>
      <c r="BB1403" s="5483"/>
      <c r="BC1403" s="5483"/>
      <c r="BD1403" s="5483"/>
      <c r="BE1403" s="5483"/>
      <c r="BF1403" s="5483"/>
      <c r="BG1403" s="5483"/>
      <c r="BH1403" s="5483"/>
      <c r="BI1403" s="6567">
        <v>96733.6</v>
      </c>
      <c r="BJ1403" s="6567"/>
      <c r="BK1403" s="6567"/>
      <c r="BL1403" s="6567"/>
      <c r="BM1403" s="6567"/>
      <c r="BN1403" s="5483"/>
      <c r="BO1403" s="5488"/>
      <c r="BP1403" s="5488"/>
      <c r="BQ1403" s="5488"/>
      <c r="BR1403" s="5488"/>
      <c r="BS1403" s="5488"/>
      <c r="BT1403" s="5488"/>
      <c r="BU1403" s="5488"/>
      <c r="BV1403" s="5483"/>
      <c r="BW1403" s="6567">
        <v>96733.6</v>
      </c>
      <c r="BX1403" s="6526"/>
      <c r="BY1403" s="6526"/>
      <c r="BZ1403" s="6526"/>
      <c r="CA1403" s="6526"/>
      <c r="CB1403" s="6577"/>
      <c r="CC1403" s="5488"/>
      <c r="CD1403" s="5488"/>
      <c r="CE1403" s="5169"/>
      <c r="CF1403" s="5169"/>
      <c r="CG1403" s="5169"/>
      <c r="CH1403" s="5169"/>
    </row>
    <row r="1404" s="4965" customFormat="1" ht="37.5" customHeight="1" spans="1:86">
      <c r="A1404" s="5079"/>
      <c r="B1404" s="5079"/>
      <c r="C1404" s="5079"/>
      <c r="D1404" s="1035"/>
      <c r="E1404" s="1035"/>
      <c r="F1404" s="6579"/>
      <c r="G1404" s="6579"/>
      <c r="H1404" s="6579"/>
      <c r="I1404" s="6579"/>
      <c r="J1404" s="6579"/>
      <c r="K1404" s="6591"/>
      <c r="L1404" s="6579"/>
      <c r="M1404" s="6598"/>
      <c r="N1404" s="6598"/>
      <c r="O1404" s="6598"/>
      <c r="P1404" s="6598"/>
      <c r="Q1404" s="6598"/>
      <c r="R1404" s="6598"/>
      <c r="S1404" s="6598"/>
      <c r="T1404" s="6598"/>
      <c r="U1404" s="6598"/>
      <c r="V1404" s="6598"/>
      <c r="W1404" s="6598"/>
      <c r="X1404" s="6598"/>
      <c r="Y1404" s="6598"/>
      <c r="Z1404" s="6598"/>
      <c r="AA1404" s="6598"/>
      <c r="AB1404" s="6598"/>
      <c r="AC1404" s="5488">
        <v>5</v>
      </c>
      <c r="AD1404" s="6627" t="s">
        <v>401</v>
      </c>
      <c r="AE1404" s="6525">
        <v>0.05</v>
      </c>
      <c r="AF1404" s="6526">
        <f>M1400*AE1404</f>
        <v>19349.855</v>
      </c>
      <c r="AG1404" s="6526">
        <f t="shared" si="283"/>
        <v>19349.03</v>
      </c>
      <c r="AH1404" s="6627"/>
      <c r="AI1404" s="5488"/>
      <c r="AJ1404" s="5488"/>
      <c r="AK1404" s="5488"/>
      <c r="AL1404" s="5488"/>
      <c r="AM1404" s="5488"/>
      <c r="AN1404" s="6526">
        <f t="shared" si="281"/>
        <v>19349.03</v>
      </c>
      <c r="AO1404" s="5483"/>
      <c r="AP1404" s="6526">
        <f t="shared" si="282"/>
        <v>0</v>
      </c>
      <c r="AQ1404" s="6557"/>
      <c r="AR1404" s="5488"/>
      <c r="AS1404" s="6563"/>
      <c r="AT1404" s="6557"/>
      <c r="AU1404" s="2680"/>
      <c r="AV1404" s="2680"/>
      <c r="AW1404" s="2680"/>
      <c r="AX1404" s="2680"/>
      <c r="AY1404" s="2680"/>
      <c r="AZ1404" s="2680"/>
      <c r="BA1404" s="5483"/>
      <c r="BB1404" s="5483"/>
      <c r="BC1404" s="5483"/>
      <c r="BD1404" s="5483"/>
      <c r="BE1404" s="5483"/>
      <c r="BF1404" s="5483"/>
      <c r="BG1404" s="5483"/>
      <c r="BH1404" s="5483"/>
      <c r="BI1404" s="6567">
        <v>19349.03</v>
      </c>
      <c r="BJ1404" s="6567"/>
      <c r="BK1404" s="6567"/>
      <c r="BL1404" s="6567"/>
      <c r="BM1404" s="6567"/>
      <c r="BN1404" s="5483"/>
      <c r="BO1404" s="5488"/>
      <c r="BP1404" s="5488"/>
      <c r="BQ1404" s="5488"/>
      <c r="BR1404" s="5488"/>
      <c r="BS1404" s="5488"/>
      <c r="BT1404" s="5488"/>
      <c r="BU1404" s="5488"/>
      <c r="BV1404" s="5483"/>
      <c r="BW1404" s="6567">
        <v>19349.03</v>
      </c>
      <c r="BX1404" s="6526"/>
      <c r="BY1404" s="6526"/>
      <c r="BZ1404" s="6526"/>
      <c r="CA1404" s="6526"/>
      <c r="CB1404" s="6577"/>
      <c r="CC1404" s="5488"/>
      <c r="CD1404" s="5488"/>
      <c r="CE1404" s="5169"/>
      <c r="CF1404" s="5169"/>
      <c r="CG1404" s="5169"/>
      <c r="CH1404" s="5169"/>
    </row>
    <row r="1405" s="4965" customFormat="1" ht="37.5" customHeight="1" spans="1:86">
      <c r="A1405" s="5079"/>
      <c r="B1405" s="5079"/>
      <c r="C1405" s="5079"/>
      <c r="D1405" s="1035"/>
      <c r="E1405" s="1035"/>
      <c r="F1405" s="6092" t="s">
        <v>2320</v>
      </c>
      <c r="G1405" s="6092" t="s">
        <v>2293</v>
      </c>
      <c r="H1405" s="6092" t="s">
        <v>2229</v>
      </c>
      <c r="I1405" s="6092" t="s">
        <v>2294</v>
      </c>
      <c r="J1405" s="6092" t="s">
        <v>2179</v>
      </c>
      <c r="K1405" s="6092">
        <v>38699.71</v>
      </c>
      <c r="L1405" s="6092" t="s">
        <v>2247</v>
      </c>
      <c r="M1405" s="6143">
        <f>SUM(N1405:AA1408)</f>
        <v>154798.84</v>
      </c>
      <c r="N1405" s="6145"/>
      <c r="O1405" s="6145"/>
      <c r="P1405" s="6145"/>
      <c r="Q1405" s="6145"/>
      <c r="R1405" s="6145"/>
      <c r="S1405" s="6145"/>
      <c r="T1405" s="6145"/>
      <c r="U1405" s="6145">
        <v>154798.84</v>
      </c>
      <c r="V1405" s="6145"/>
      <c r="W1405" s="6145"/>
      <c r="X1405" s="6145"/>
      <c r="Y1405" s="6145"/>
      <c r="Z1405" s="6145"/>
      <c r="AA1405" s="6145"/>
      <c r="AB1405" s="6145"/>
      <c r="AC1405" s="6181">
        <v>1</v>
      </c>
      <c r="AD1405" s="6182" t="s">
        <v>2321</v>
      </c>
      <c r="AE1405" s="6183">
        <v>0.2</v>
      </c>
      <c r="AF1405" s="6184">
        <f>M1405*AE1405</f>
        <v>30959.768</v>
      </c>
      <c r="AG1405" s="6645">
        <f t="shared" si="283"/>
        <v>30958.45</v>
      </c>
      <c r="AH1405" s="6646" t="s">
        <v>122</v>
      </c>
      <c r="AI1405" s="6647">
        <v>45649</v>
      </c>
      <c r="AJ1405" s="6181">
        <v>30958.45</v>
      </c>
      <c r="AK1405" s="6181">
        <v>45649</v>
      </c>
      <c r="AL1405" s="6181">
        <v>30958.45</v>
      </c>
      <c r="AM1405" s="6181">
        <v>45763</v>
      </c>
      <c r="AN1405" s="6274">
        <f t="shared" si="281"/>
        <v>30958.45</v>
      </c>
      <c r="AO1405" s="6227">
        <v>45804</v>
      </c>
      <c r="AP1405" s="6184">
        <f t="shared" si="282"/>
        <v>0</v>
      </c>
      <c r="AQ1405" s="6245"/>
      <c r="AR1405" s="6181"/>
      <c r="AS1405" s="6260"/>
      <c r="AT1405" s="6245"/>
      <c r="AU1405" s="2680"/>
      <c r="AV1405" s="2680"/>
      <c r="AW1405" s="2680"/>
      <c r="AX1405" s="2680"/>
      <c r="AY1405" s="2680"/>
      <c r="AZ1405" s="2680"/>
      <c r="BA1405" s="6227"/>
      <c r="BB1405" s="6227"/>
      <c r="BC1405" s="6227"/>
      <c r="BD1405" s="6227"/>
      <c r="BE1405" s="6227"/>
      <c r="BF1405" s="6227"/>
      <c r="BG1405" s="6227"/>
      <c r="BH1405" s="6647">
        <v>30958.45</v>
      </c>
      <c r="BI1405" s="6274"/>
      <c r="BJ1405" s="6274"/>
      <c r="BK1405" s="6274"/>
      <c r="BL1405" s="6274"/>
      <c r="BM1405" s="6274"/>
      <c r="BN1405" s="6274"/>
      <c r="BO1405" s="6181"/>
      <c r="BP1405" s="6181"/>
      <c r="BQ1405" s="6181"/>
      <c r="BR1405" s="6181"/>
      <c r="BS1405" s="6181"/>
      <c r="BT1405" s="6181"/>
      <c r="BU1405" s="6181"/>
      <c r="BV1405" s="6647">
        <v>30958.45</v>
      </c>
      <c r="BW1405" s="6278"/>
      <c r="BX1405" s="6184"/>
      <c r="BY1405" s="6184"/>
      <c r="BZ1405" s="6184"/>
      <c r="CA1405" s="6184"/>
      <c r="CB1405" s="6665"/>
      <c r="CC1405" s="6181"/>
      <c r="CD1405" s="6181"/>
      <c r="CE1405" s="5169"/>
      <c r="CF1405" s="5169"/>
      <c r="CG1405" s="5169"/>
      <c r="CH1405" s="5169"/>
    </row>
    <row r="1406" s="4965" customFormat="1" ht="37.5" customHeight="1" spans="1:86">
      <c r="A1406" s="5079"/>
      <c r="B1406" s="5079"/>
      <c r="C1406" s="5079"/>
      <c r="D1406" s="1035"/>
      <c r="E1406" s="1035"/>
      <c r="F1406" s="6093"/>
      <c r="G1406" s="6093"/>
      <c r="H1406" s="6093"/>
      <c r="I1406" s="6093"/>
      <c r="J1406" s="6093"/>
      <c r="K1406" s="6121"/>
      <c r="L1406" s="6093"/>
      <c r="M1406" s="6145"/>
      <c r="N1406" s="6145"/>
      <c r="O1406" s="6145"/>
      <c r="P1406" s="6145"/>
      <c r="Q1406" s="6145"/>
      <c r="R1406" s="6145"/>
      <c r="S1406" s="6145"/>
      <c r="T1406" s="6145"/>
      <c r="U1406" s="6145"/>
      <c r="V1406" s="6145"/>
      <c r="W1406" s="6145"/>
      <c r="X1406" s="6145"/>
      <c r="Y1406" s="6145"/>
      <c r="Z1406" s="6145"/>
      <c r="AA1406" s="6145"/>
      <c r="AB1406" s="6145"/>
      <c r="AC1406" s="6181">
        <v>2</v>
      </c>
      <c r="AD1406" s="6182" t="s">
        <v>2322</v>
      </c>
      <c r="AE1406" s="6183">
        <v>0.2</v>
      </c>
      <c r="AF1406" s="6184">
        <f>M1405*AE1406</f>
        <v>30959.768</v>
      </c>
      <c r="AG1406" s="6645">
        <f t="shared" si="283"/>
        <v>30958.45</v>
      </c>
      <c r="AH1406" s="6646" t="s">
        <v>122</v>
      </c>
      <c r="AI1406" s="6647">
        <v>45649</v>
      </c>
      <c r="AJ1406" s="6181">
        <v>30958.45</v>
      </c>
      <c r="AK1406" s="6181">
        <v>45649</v>
      </c>
      <c r="AL1406" s="6181">
        <v>30958.45</v>
      </c>
      <c r="AM1406" s="6181">
        <v>45763</v>
      </c>
      <c r="AN1406" s="6274">
        <f t="shared" si="281"/>
        <v>30958.45</v>
      </c>
      <c r="AO1406" s="6227">
        <v>45804</v>
      </c>
      <c r="AP1406" s="6184">
        <f t="shared" si="282"/>
        <v>0</v>
      </c>
      <c r="AQ1406" s="6245"/>
      <c r="AR1406" s="6181"/>
      <c r="AS1406" s="6260"/>
      <c r="AT1406" s="6245"/>
      <c r="AU1406" s="2680"/>
      <c r="AV1406" s="2680"/>
      <c r="AW1406" s="2680"/>
      <c r="AX1406" s="2680"/>
      <c r="AY1406" s="2680"/>
      <c r="AZ1406" s="2680"/>
      <c r="BA1406" s="6227"/>
      <c r="BB1406" s="6227"/>
      <c r="BC1406" s="6227"/>
      <c r="BD1406" s="6227"/>
      <c r="BE1406" s="6227"/>
      <c r="BF1406" s="6227"/>
      <c r="BG1406" s="6227"/>
      <c r="BH1406" s="6647">
        <v>30958.45</v>
      </c>
      <c r="BI1406" s="6274"/>
      <c r="BJ1406" s="6274"/>
      <c r="BK1406" s="6274"/>
      <c r="BL1406" s="6274"/>
      <c r="BM1406" s="6274"/>
      <c r="BN1406" s="6274"/>
      <c r="BO1406" s="6181"/>
      <c r="BP1406" s="6181"/>
      <c r="BQ1406" s="6181"/>
      <c r="BR1406" s="6181"/>
      <c r="BS1406" s="6181"/>
      <c r="BT1406" s="6181"/>
      <c r="BU1406" s="6181"/>
      <c r="BV1406" s="6647">
        <v>30958.45</v>
      </c>
      <c r="BW1406" s="6278"/>
      <c r="BX1406" s="6184"/>
      <c r="BY1406" s="6184"/>
      <c r="BZ1406" s="6184"/>
      <c r="CA1406" s="6184"/>
      <c r="CB1406" s="6665"/>
      <c r="CC1406" s="6181"/>
      <c r="CD1406" s="6181"/>
      <c r="CE1406" s="5169"/>
      <c r="CF1406" s="5169"/>
      <c r="CG1406" s="5169"/>
      <c r="CH1406" s="5169"/>
    </row>
    <row r="1407" s="4965" customFormat="1" ht="37.5" customHeight="1" spans="1:86">
      <c r="A1407" s="5079"/>
      <c r="B1407" s="5079"/>
      <c r="C1407" s="5079"/>
      <c r="D1407" s="1035"/>
      <c r="E1407" s="1035"/>
      <c r="F1407" s="6093"/>
      <c r="G1407" s="6093"/>
      <c r="H1407" s="6093"/>
      <c r="I1407" s="6093"/>
      <c r="J1407" s="6093"/>
      <c r="K1407" s="6121"/>
      <c r="L1407" s="6093"/>
      <c r="M1407" s="6145"/>
      <c r="N1407" s="6145"/>
      <c r="O1407" s="6145"/>
      <c r="P1407" s="6145"/>
      <c r="Q1407" s="6145"/>
      <c r="R1407" s="6145"/>
      <c r="S1407" s="6145"/>
      <c r="T1407" s="6145"/>
      <c r="U1407" s="6145"/>
      <c r="V1407" s="6145"/>
      <c r="W1407" s="6145"/>
      <c r="X1407" s="6145"/>
      <c r="Y1407" s="6145"/>
      <c r="Z1407" s="6145"/>
      <c r="AA1407" s="6145"/>
      <c r="AB1407" s="6145"/>
      <c r="AC1407" s="6181">
        <v>3</v>
      </c>
      <c r="AD1407" s="6182" t="s">
        <v>2323</v>
      </c>
      <c r="AE1407" s="6183">
        <v>0.4</v>
      </c>
      <c r="AF1407" s="6184">
        <f>M1405*AE1407</f>
        <v>61919.536</v>
      </c>
      <c r="AG1407" s="6648">
        <f t="shared" si="283"/>
        <v>61916.9</v>
      </c>
      <c r="AH1407" s="6646" t="s">
        <v>122</v>
      </c>
      <c r="AI1407" s="6647">
        <v>45649</v>
      </c>
      <c r="AJ1407" s="6649">
        <v>61916.9</v>
      </c>
      <c r="AK1407" s="6181">
        <v>45649</v>
      </c>
      <c r="AL1407" s="6649">
        <v>61916.89</v>
      </c>
      <c r="AM1407" s="6181">
        <v>45763</v>
      </c>
      <c r="AN1407" s="6274">
        <f t="shared" si="281"/>
        <v>61916.89</v>
      </c>
      <c r="AO1407" s="6227">
        <v>45804</v>
      </c>
      <c r="AP1407" s="6184">
        <f t="shared" si="282"/>
        <v>0.0100000000020373</v>
      </c>
      <c r="AQ1407" s="6656" t="s">
        <v>2324</v>
      </c>
      <c r="AR1407" s="6181"/>
      <c r="AS1407" s="6260"/>
      <c r="AT1407" s="6245"/>
      <c r="AU1407" s="2680"/>
      <c r="AV1407" s="2680"/>
      <c r="AW1407" s="2680"/>
      <c r="AX1407" s="2680"/>
      <c r="AY1407" s="2680"/>
      <c r="AZ1407" s="2680"/>
      <c r="BA1407" s="6227"/>
      <c r="BB1407" s="6227"/>
      <c r="BC1407" s="6227"/>
      <c r="BD1407" s="6227"/>
      <c r="BE1407" s="6227"/>
      <c r="BF1407" s="6227"/>
      <c r="BG1407" s="6227"/>
      <c r="BH1407" s="6647">
        <v>61916.9</v>
      </c>
      <c r="BI1407" s="6274"/>
      <c r="BJ1407" s="6274"/>
      <c r="BK1407" s="6274"/>
      <c r="BL1407" s="6274"/>
      <c r="BM1407" s="6274"/>
      <c r="BN1407" s="6274"/>
      <c r="BO1407" s="6181"/>
      <c r="BP1407" s="6181"/>
      <c r="BQ1407" s="6181"/>
      <c r="BR1407" s="6181"/>
      <c r="BS1407" s="6181"/>
      <c r="BT1407" s="6181"/>
      <c r="BU1407" s="6181"/>
      <c r="BV1407" s="6647">
        <v>61916.89</v>
      </c>
      <c r="BW1407" s="6278"/>
      <c r="BX1407" s="6184"/>
      <c r="BY1407" s="6184"/>
      <c r="BZ1407" s="6184"/>
      <c r="CA1407" s="6184"/>
      <c r="CB1407" s="6665"/>
      <c r="CC1407" s="6181"/>
      <c r="CD1407" s="6181"/>
      <c r="CE1407" s="5169"/>
      <c r="CF1407" s="5169"/>
      <c r="CG1407" s="5169"/>
      <c r="CH1407" s="5169"/>
    </row>
    <row r="1408" s="4965" customFormat="1" ht="37.5" customHeight="1" spans="1:86">
      <c r="A1408" s="5079"/>
      <c r="B1408" s="5079"/>
      <c r="C1408" s="5079"/>
      <c r="D1408" s="1035"/>
      <c r="E1408" s="1035"/>
      <c r="F1408" s="6094"/>
      <c r="G1408" s="6094"/>
      <c r="H1408" s="6094"/>
      <c r="I1408" s="6094"/>
      <c r="J1408" s="6094"/>
      <c r="K1408" s="6122"/>
      <c r="L1408" s="6094"/>
      <c r="M1408" s="6147"/>
      <c r="N1408" s="6147"/>
      <c r="O1408" s="6147"/>
      <c r="P1408" s="6147"/>
      <c r="Q1408" s="6147"/>
      <c r="R1408" s="6147"/>
      <c r="S1408" s="6147"/>
      <c r="T1408" s="6147"/>
      <c r="U1408" s="6147"/>
      <c r="V1408" s="6147"/>
      <c r="W1408" s="6147"/>
      <c r="X1408" s="6147"/>
      <c r="Y1408" s="6147"/>
      <c r="Z1408" s="6147"/>
      <c r="AA1408" s="6147"/>
      <c r="AB1408" s="6147"/>
      <c r="AC1408" s="6181">
        <v>4</v>
      </c>
      <c r="AD1408" s="6182" t="s">
        <v>2325</v>
      </c>
      <c r="AE1408" s="6183">
        <v>0.2</v>
      </c>
      <c r="AF1408" s="6184">
        <f>M1405*AE1408</f>
        <v>30959.768</v>
      </c>
      <c r="AG1408" s="6645">
        <f t="shared" si="283"/>
        <v>30958.44</v>
      </c>
      <c r="AH1408" s="6182"/>
      <c r="AI1408" s="6181"/>
      <c r="AJ1408" s="6181"/>
      <c r="AK1408" s="6181"/>
      <c r="AL1408" s="6181"/>
      <c r="AM1408" s="6181"/>
      <c r="AN1408" s="6184">
        <f t="shared" si="281"/>
        <v>0</v>
      </c>
      <c r="AO1408" s="6227"/>
      <c r="AP1408" s="6184">
        <f t="shared" si="282"/>
        <v>30958.44</v>
      </c>
      <c r="AQ1408" s="6245"/>
      <c r="AR1408" s="6181"/>
      <c r="AS1408" s="6260"/>
      <c r="AT1408" s="6245"/>
      <c r="AU1408" s="2680"/>
      <c r="AV1408" s="2680"/>
      <c r="AW1408" s="2680"/>
      <c r="AX1408" s="2680"/>
      <c r="AY1408" s="2680"/>
      <c r="AZ1408" s="2680"/>
      <c r="BA1408" s="6227"/>
      <c r="BB1408" s="6227"/>
      <c r="BC1408" s="6227"/>
      <c r="BD1408" s="6227"/>
      <c r="BE1408" s="6227"/>
      <c r="BF1408" s="6227"/>
      <c r="BG1408" s="6227"/>
      <c r="BH1408" s="6227">
        <v>30958.44</v>
      </c>
      <c r="BI1408" s="6274"/>
      <c r="BJ1408" s="6274"/>
      <c r="BK1408" s="6274"/>
      <c r="BL1408" s="6274"/>
      <c r="BM1408" s="6274"/>
      <c r="BN1408" s="6274"/>
      <c r="BO1408" s="6181"/>
      <c r="BP1408" s="6181"/>
      <c r="BQ1408" s="6181"/>
      <c r="BR1408" s="6181"/>
      <c r="BS1408" s="6181"/>
      <c r="BT1408" s="6181"/>
      <c r="BU1408" s="6181"/>
      <c r="BV1408" s="6227"/>
      <c r="BW1408" s="6278"/>
      <c r="BX1408" s="6184"/>
      <c r="BY1408" s="6184"/>
      <c r="BZ1408" s="6184"/>
      <c r="CA1408" s="6184"/>
      <c r="CB1408" s="6665"/>
      <c r="CC1408" s="6181"/>
      <c r="CD1408" s="6181"/>
      <c r="CE1408" s="5169"/>
      <c r="CF1408" s="5169"/>
      <c r="CG1408" s="5169"/>
      <c r="CH1408" s="5169"/>
    </row>
    <row r="1409" s="4965" customFormat="1" ht="37.5" customHeight="1" spans="1:86">
      <c r="A1409" s="5079"/>
      <c r="B1409" s="5079"/>
      <c r="C1409" s="5079"/>
      <c r="D1409" s="1035"/>
      <c r="E1409" s="1035"/>
      <c r="F1409" s="2320" t="s">
        <v>2326</v>
      </c>
      <c r="G1409" s="2320" t="s">
        <v>2293</v>
      </c>
      <c r="H1409" s="2320" t="s">
        <v>2206</v>
      </c>
      <c r="I1409" s="5418" t="s">
        <v>2294</v>
      </c>
      <c r="J1409" s="2320" t="s">
        <v>2179</v>
      </c>
      <c r="K1409" s="2320">
        <v>38699.71</v>
      </c>
      <c r="L1409" s="2320" t="s">
        <v>1368</v>
      </c>
      <c r="M1409" s="3063">
        <f>SUM(N1409:AA1411)</f>
        <v>38699.71</v>
      </c>
      <c r="N1409" s="3334"/>
      <c r="O1409" s="3334"/>
      <c r="P1409" s="3334"/>
      <c r="Q1409" s="3334"/>
      <c r="R1409" s="3334"/>
      <c r="S1409" s="3334"/>
      <c r="T1409" s="3334"/>
      <c r="U1409" s="3334">
        <v>38699.71</v>
      </c>
      <c r="V1409" s="3334"/>
      <c r="W1409" s="3334"/>
      <c r="X1409" s="3334"/>
      <c r="Y1409" s="3334"/>
      <c r="Z1409" s="3334"/>
      <c r="AA1409" s="3334"/>
      <c r="AB1409" s="3334"/>
      <c r="AC1409" s="3061">
        <v>1</v>
      </c>
      <c r="AD1409" s="5418" t="s">
        <v>2327</v>
      </c>
      <c r="AE1409" s="6381">
        <v>0.2</v>
      </c>
      <c r="AF1409" s="3094">
        <f>M1409*AE1409</f>
        <v>7739.942</v>
      </c>
      <c r="AG1409" s="6642">
        <f t="shared" si="283"/>
        <v>7739.61</v>
      </c>
      <c r="AH1409" s="6405" t="s">
        <v>122</v>
      </c>
      <c r="AI1409" s="6404">
        <v>45649</v>
      </c>
      <c r="AJ1409" s="3061">
        <v>7739.61</v>
      </c>
      <c r="AK1409" s="3061">
        <v>45649</v>
      </c>
      <c r="AL1409" s="3061">
        <v>7739.61</v>
      </c>
      <c r="AM1409" s="3061">
        <v>45763</v>
      </c>
      <c r="AN1409" s="5491">
        <f t="shared" si="281"/>
        <v>7739.61</v>
      </c>
      <c r="AO1409" s="4099">
        <v>45804</v>
      </c>
      <c r="AP1409" s="3094">
        <f t="shared" si="282"/>
        <v>0</v>
      </c>
      <c r="AQ1409" s="5458"/>
      <c r="AR1409" s="3061"/>
      <c r="AS1409" s="6437"/>
      <c r="AT1409" s="5458"/>
      <c r="AU1409" s="2680"/>
      <c r="AV1409" s="2680"/>
      <c r="AW1409" s="2680"/>
      <c r="AX1409" s="2680"/>
      <c r="AY1409" s="2680"/>
      <c r="AZ1409" s="2680"/>
      <c r="BA1409" s="4099"/>
      <c r="BB1409" s="4099"/>
      <c r="BC1409" s="4099"/>
      <c r="BD1409" s="4099"/>
      <c r="BE1409" s="4099"/>
      <c r="BF1409" s="4099"/>
      <c r="BG1409" s="4099"/>
      <c r="BH1409" s="6404">
        <v>7739.61</v>
      </c>
      <c r="BI1409" s="5491"/>
      <c r="BJ1409" s="5491"/>
      <c r="BK1409" s="5491"/>
      <c r="BL1409" s="5491"/>
      <c r="BM1409" s="5491"/>
      <c r="BN1409" s="5491"/>
      <c r="BO1409" s="3061"/>
      <c r="BP1409" s="3061"/>
      <c r="BQ1409" s="3061"/>
      <c r="BR1409" s="3061"/>
      <c r="BS1409" s="3061"/>
      <c r="BT1409" s="3061"/>
      <c r="BU1409" s="3061"/>
      <c r="BV1409" s="6404">
        <v>7739.61</v>
      </c>
      <c r="BW1409" s="6451"/>
      <c r="BX1409" s="3094"/>
      <c r="BY1409" s="3094"/>
      <c r="BZ1409" s="3094"/>
      <c r="CA1409" s="3094"/>
      <c r="CB1409" s="6455"/>
      <c r="CC1409" s="3061"/>
      <c r="CD1409" s="3061"/>
      <c r="CE1409" s="5169"/>
      <c r="CF1409" s="5169"/>
      <c r="CG1409" s="5169"/>
      <c r="CH1409" s="5169"/>
    </row>
    <row r="1410" s="4965" customFormat="1" ht="37.5" customHeight="1" spans="1:86">
      <c r="A1410" s="5079"/>
      <c r="B1410" s="5079"/>
      <c r="C1410" s="5079"/>
      <c r="D1410" s="1035"/>
      <c r="E1410" s="1035"/>
      <c r="F1410" s="6305"/>
      <c r="G1410" s="6305"/>
      <c r="H1410" s="6305"/>
      <c r="I1410" s="5419"/>
      <c r="J1410" s="6305"/>
      <c r="K1410" s="2322"/>
      <c r="L1410" s="6305"/>
      <c r="M1410" s="3334"/>
      <c r="N1410" s="3334"/>
      <c r="O1410" s="3334"/>
      <c r="P1410" s="3334"/>
      <c r="Q1410" s="3334"/>
      <c r="R1410" s="3334"/>
      <c r="S1410" s="3334"/>
      <c r="T1410" s="3334"/>
      <c r="U1410" s="3334"/>
      <c r="V1410" s="3334"/>
      <c r="W1410" s="3334"/>
      <c r="X1410" s="3334"/>
      <c r="Y1410" s="3334"/>
      <c r="Z1410" s="3334"/>
      <c r="AA1410" s="3334"/>
      <c r="AB1410" s="3334"/>
      <c r="AC1410" s="3061">
        <v>2</v>
      </c>
      <c r="AD1410" s="5418" t="s">
        <v>2328</v>
      </c>
      <c r="AE1410" s="6381">
        <v>0.6</v>
      </c>
      <c r="AF1410" s="3094">
        <f>M1409*AE1410</f>
        <v>23219.826</v>
      </c>
      <c r="AG1410" s="6642">
        <f t="shared" si="283"/>
        <v>23218.84</v>
      </c>
      <c r="AH1410" s="6405" t="s">
        <v>122</v>
      </c>
      <c r="AI1410" s="6404">
        <v>45649</v>
      </c>
      <c r="AJ1410" s="3061">
        <v>23218.84</v>
      </c>
      <c r="AK1410" s="3061">
        <v>45649</v>
      </c>
      <c r="AL1410" s="3061">
        <v>23218.84</v>
      </c>
      <c r="AM1410" s="3061">
        <v>45763</v>
      </c>
      <c r="AN1410" s="5491">
        <f t="shared" si="281"/>
        <v>23218.84</v>
      </c>
      <c r="AO1410" s="4099">
        <v>45804</v>
      </c>
      <c r="AP1410" s="3094">
        <f t="shared" si="282"/>
        <v>0</v>
      </c>
      <c r="AQ1410" s="5458"/>
      <c r="AR1410" s="3061"/>
      <c r="AS1410" s="6437"/>
      <c r="AT1410" s="5458"/>
      <c r="AU1410" s="2680"/>
      <c r="AV1410" s="2680"/>
      <c r="AW1410" s="2680"/>
      <c r="AX1410" s="2680"/>
      <c r="AY1410" s="2680"/>
      <c r="AZ1410" s="2680"/>
      <c r="BA1410" s="4099"/>
      <c r="BB1410" s="4099"/>
      <c r="BC1410" s="4099"/>
      <c r="BD1410" s="4099"/>
      <c r="BE1410" s="4099"/>
      <c r="BF1410" s="4099"/>
      <c r="BG1410" s="4099"/>
      <c r="BH1410" s="6404">
        <v>23218.84</v>
      </c>
      <c r="BI1410" s="5491"/>
      <c r="BJ1410" s="5491"/>
      <c r="BK1410" s="5491"/>
      <c r="BL1410" s="5491"/>
      <c r="BM1410" s="5491"/>
      <c r="BN1410" s="5491"/>
      <c r="BO1410" s="3061"/>
      <c r="BP1410" s="3061"/>
      <c r="BQ1410" s="3061"/>
      <c r="BR1410" s="3061"/>
      <c r="BS1410" s="3061"/>
      <c r="BT1410" s="3061"/>
      <c r="BU1410" s="3061"/>
      <c r="BV1410" s="6404">
        <v>23218.84</v>
      </c>
      <c r="BW1410" s="6451"/>
      <c r="BX1410" s="3094"/>
      <c r="BY1410" s="3094"/>
      <c r="BZ1410" s="3094"/>
      <c r="CA1410" s="3094"/>
      <c r="CB1410" s="6455"/>
      <c r="CC1410" s="3061"/>
      <c r="CD1410" s="3061"/>
      <c r="CE1410" s="5169"/>
      <c r="CF1410" s="5169"/>
      <c r="CG1410" s="5169"/>
      <c r="CH1410" s="5169"/>
    </row>
    <row r="1411" s="4965" customFormat="1" ht="37.5" customHeight="1" spans="1:86">
      <c r="A1411" s="5079"/>
      <c r="B1411" s="5079"/>
      <c r="C1411" s="5079"/>
      <c r="D1411" s="1035"/>
      <c r="E1411" s="1035"/>
      <c r="F1411" s="6306"/>
      <c r="G1411" s="6306"/>
      <c r="H1411" s="6306"/>
      <c r="I1411" s="5419"/>
      <c r="J1411" s="6306"/>
      <c r="K1411" s="2324"/>
      <c r="L1411" s="6306"/>
      <c r="M1411" s="3335"/>
      <c r="N1411" s="3335"/>
      <c r="O1411" s="3335"/>
      <c r="P1411" s="3335"/>
      <c r="Q1411" s="3335"/>
      <c r="R1411" s="3335"/>
      <c r="S1411" s="3335"/>
      <c r="T1411" s="3335"/>
      <c r="U1411" s="3335"/>
      <c r="V1411" s="3335"/>
      <c r="W1411" s="3335"/>
      <c r="X1411" s="3335"/>
      <c r="Y1411" s="3335"/>
      <c r="Z1411" s="3335"/>
      <c r="AA1411" s="3335"/>
      <c r="AB1411" s="3335"/>
      <c r="AC1411" s="3061">
        <v>3</v>
      </c>
      <c r="AD1411" s="5418" t="s">
        <v>2329</v>
      </c>
      <c r="AE1411" s="6381">
        <v>0.2</v>
      </c>
      <c r="AF1411" s="3094">
        <f>M1409*AE1411</f>
        <v>7739.942</v>
      </c>
      <c r="AG1411" s="6642">
        <f t="shared" si="283"/>
        <v>7739.61</v>
      </c>
      <c r="AH1411" s="5418"/>
      <c r="AI1411" s="3061"/>
      <c r="AJ1411" s="3061"/>
      <c r="AK1411" s="3061"/>
      <c r="AL1411" s="3061"/>
      <c r="AM1411" s="3061"/>
      <c r="AN1411" s="3094">
        <f t="shared" si="281"/>
        <v>0</v>
      </c>
      <c r="AO1411" s="4099"/>
      <c r="AP1411" s="3094">
        <f t="shared" si="282"/>
        <v>7739.61</v>
      </c>
      <c r="AQ1411" s="5458"/>
      <c r="AR1411" s="3061"/>
      <c r="AS1411" s="6437"/>
      <c r="AT1411" s="5458"/>
      <c r="AU1411" s="2680"/>
      <c r="AV1411" s="2680"/>
      <c r="AW1411" s="2680"/>
      <c r="AX1411" s="2680"/>
      <c r="AY1411" s="2680"/>
      <c r="AZ1411" s="2680"/>
      <c r="BA1411" s="4099"/>
      <c r="BB1411" s="4099"/>
      <c r="BC1411" s="4099"/>
      <c r="BD1411" s="4099"/>
      <c r="BE1411" s="4099"/>
      <c r="BF1411" s="4099"/>
      <c r="BG1411" s="4099"/>
      <c r="BH1411" s="4099">
        <v>7739.61</v>
      </c>
      <c r="BI1411" s="5491"/>
      <c r="BJ1411" s="5491"/>
      <c r="BK1411" s="5491"/>
      <c r="BL1411" s="5491"/>
      <c r="BM1411" s="5491"/>
      <c r="BN1411" s="5491"/>
      <c r="BO1411" s="3061"/>
      <c r="BP1411" s="3061"/>
      <c r="BQ1411" s="3061"/>
      <c r="BR1411" s="3061"/>
      <c r="BS1411" s="3061"/>
      <c r="BT1411" s="3061"/>
      <c r="BU1411" s="3061"/>
      <c r="BV1411" s="4099"/>
      <c r="BW1411" s="6451"/>
      <c r="BX1411" s="3094"/>
      <c r="BY1411" s="3094"/>
      <c r="BZ1411" s="3094"/>
      <c r="CA1411" s="3094"/>
      <c r="CB1411" s="6455"/>
      <c r="CC1411" s="3061"/>
      <c r="CD1411" s="3061"/>
      <c r="CE1411" s="5169"/>
      <c r="CF1411" s="5169"/>
      <c r="CG1411" s="5169"/>
      <c r="CH1411" s="5169"/>
    </row>
    <row r="1412" s="4965" customFormat="1" ht="30" customHeight="1" spans="1:86">
      <c r="A1412" s="5079"/>
      <c r="B1412" s="5050" t="s">
        <v>1951</v>
      </c>
      <c r="C1412" s="5820">
        <v>45776</v>
      </c>
      <c r="D1412" s="5050" t="s">
        <v>2330</v>
      </c>
      <c r="E1412" s="5050"/>
      <c r="F1412" s="1125" t="s">
        <v>2331</v>
      </c>
      <c r="G1412" s="1125" t="s">
        <v>2332</v>
      </c>
      <c r="H1412" s="1125" t="s">
        <v>2178</v>
      </c>
      <c r="I1412" s="1125" t="s">
        <v>2333</v>
      </c>
      <c r="J1412" s="1125" t="s">
        <v>2024</v>
      </c>
      <c r="K1412" s="1125" t="s">
        <v>2334</v>
      </c>
      <c r="L1412" s="1125"/>
      <c r="M1412" s="3058">
        <f>SUM(N1412:AA1416)</f>
        <v>1952770.09</v>
      </c>
      <c r="N1412" s="5321"/>
      <c r="O1412" s="5321"/>
      <c r="P1412" s="5321"/>
      <c r="Q1412" s="5321"/>
      <c r="R1412" s="5321"/>
      <c r="S1412" s="5321"/>
      <c r="T1412" s="5321"/>
      <c r="U1412" s="5321"/>
      <c r="V1412" s="5321"/>
      <c r="W1412" s="5321"/>
      <c r="X1412" s="5321"/>
      <c r="Y1412" s="5321"/>
      <c r="Z1412" s="5321"/>
      <c r="AA1412" s="5321">
        <v>1952770.09</v>
      </c>
      <c r="AB1412" s="590" t="s">
        <v>126</v>
      </c>
      <c r="AC1412" s="3058">
        <v>1</v>
      </c>
      <c r="AD1412" s="1125" t="s">
        <v>2335</v>
      </c>
      <c r="AE1412" s="6056">
        <v>0.2</v>
      </c>
      <c r="AF1412" s="3091">
        <f>M1412*AE1412</f>
        <v>390554.018</v>
      </c>
      <c r="AG1412" s="584">
        <f t="shared" si="283"/>
        <v>390554.018</v>
      </c>
      <c r="AH1412" s="1125" t="s">
        <v>122</v>
      </c>
      <c r="AI1412" s="3057">
        <v>45895</v>
      </c>
      <c r="AJ1412" s="584">
        <f>SUM(BD1412:BQ1412)</f>
        <v>390554.018</v>
      </c>
      <c r="AK1412" s="3057">
        <v>45895</v>
      </c>
      <c r="AL1412" s="584">
        <f>SUM(BF1412:BS1412)</f>
        <v>390554.018</v>
      </c>
      <c r="AM1412" s="3057">
        <v>45895</v>
      </c>
      <c r="AN1412" s="584">
        <f t="shared" ref="AN1412:AN1450" si="286">SUM(BO1412:CB1412)</f>
        <v>390554.018</v>
      </c>
      <c r="AO1412" s="3057">
        <v>45929</v>
      </c>
      <c r="AP1412" s="3091">
        <f t="shared" ref="AP1412:AP1450" si="287">AG1412-AN1412</f>
        <v>0</v>
      </c>
      <c r="AQ1412" s="5138"/>
      <c r="AR1412" s="3058"/>
      <c r="AS1412" s="5983"/>
      <c r="AT1412" s="5138"/>
      <c r="AU1412" s="2680"/>
      <c r="AV1412" s="2680"/>
      <c r="AW1412" s="2680"/>
      <c r="AX1412" s="2680"/>
      <c r="AY1412" s="2680"/>
      <c r="AZ1412" s="2680"/>
      <c r="BA1412" s="3057"/>
      <c r="BB1412" s="3057"/>
      <c r="BC1412" s="3057"/>
      <c r="BD1412" s="3057"/>
      <c r="BE1412" s="3057"/>
      <c r="BF1412" s="3057"/>
      <c r="BG1412" s="3057"/>
      <c r="BH1412" s="3057"/>
      <c r="BI1412" s="584"/>
      <c r="BJ1412" s="584"/>
      <c r="BK1412" s="584"/>
      <c r="BL1412" s="584"/>
      <c r="BM1412" s="584"/>
      <c r="BN1412" s="584">
        <v>390554.018</v>
      </c>
      <c r="BO1412" s="3058"/>
      <c r="BP1412" s="3058"/>
      <c r="BQ1412" s="3058"/>
      <c r="BR1412" s="3058"/>
      <c r="BS1412" s="3058"/>
      <c r="BT1412" s="3058"/>
      <c r="BU1412" s="3058"/>
      <c r="BV1412" s="3057"/>
      <c r="BW1412" s="6279"/>
      <c r="BX1412" s="3091"/>
      <c r="BY1412" s="3091"/>
      <c r="BZ1412" s="3091"/>
      <c r="CA1412" s="3091"/>
      <c r="CB1412" s="5864">
        <v>390554.018</v>
      </c>
      <c r="CC1412" s="3058"/>
      <c r="CD1412" s="3058"/>
      <c r="CE1412" s="5169"/>
      <c r="CF1412" s="5169"/>
      <c r="CG1412" s="5169"/>
      <c r="CH1412" s="5169"/>
    </row>
    <row r="1413" s="4965" customFormat="1" ht="30" customHeight="1" spans="1:86">
      <c r="A1413" s="5079"/>
      <c r="B1413" s="5821"/>
      <c r="C1413" s="5821"/>
      <c r="D1413" s="6040"/>
      <c r="E1413" s="6040"/>
      <c r="F1413" s="5056"/>
      <c r="G1413" s="5054"/>
      <c r="H1413" s="5054"/>
      <c r="I1413" s="5054"/>
      <c r="J1413" s="5054"/>
      <c r="K1413" s="5054"/>
      <c r="L1413" s="5054"/>
      <c r="M1413" s="3058"/>
      <c r="N1413" s="5321"/>
      <c r="O1413" s="5321"/>
      <c r="P1413" s="5321"/>
      <c r="Q1413" s="5321"/>
      <c r="R1413" s="5321"/>
      <c r="S1413" s="5321"/>
      <c r="T1413" s="5321"/>
      <c r="U1413" s="5321"/>
      <c r="V1413" s="5321"/>
      <c r="W1413" s="5321"/>
      <c r="X1413" s="5321"/>
      <c r="Y1413" s="5321"/>
      <c r="Z1413" s="5321"/>
      <c r="AA1413" s="5321"/>
      <c r="AB1413" s="5321"/>
      <c r="AC1413" s="3058">
        <v>2</v>
      </c>
      <c r="AD1413" s="1125" t="s">
        <v>2336</v>
      </c>
      <c r="AE1413" s="6056">
        <v>0.3</v>
      </c>
      <c r="AF1413" s="3091">
        <f>AE1413*M1412</f>
        <v>585831.027</v>
      </c>
      <c r="AG1413" s="584">
        <f t="shared" si="283"/>
        <v>585831.027</v>
      </c>
      <c r="AH1413" s="1125" t="s">
        <v>122</v>
      </c>
      <c r="AI1413" s="3057">
        <v>45895</v>
      </c>
      <c r="AJ1413" s="584">
        <f>SUM(BD1413:BQ1413)</f>
        <v>585831.027</v>
      </c>
      <c r="AK1413" s="3057">
        <v>45895</v>
      </c>
      <c r="AL1413" s="584">
        <f>SUM(BF1413:BS1413)</f>
        <v>585831.027</v>
      </c>
      <c r="AM1413" s="3057">
        <v>45895</v>
      </c>
      <c r="AN1413" s="584">
        <f t="shared" si="286"/>
        <v>585831.027</v>
      </c>
      <c r="AO1413" s="3057">
        <v>45929</v>
      </c>
      <c r="AP1413" s="3091">
        <f t="shared" si="287"/>
        <v>0</v>
      </c>
      <c r="AQ1413" s="5138"/>
      <c r="AR1413" s="3058"/>
      <c r="AS1413" s="5983"/>
      <c r="AT1413" s="5138"/>
      <c r="AU1413" s="2680"/>
      <c r="AV1413" s="2680"/>
      <c r="AW1413" s="2680"/>
      <c r="AX1413" s="2680"/>
      <c r="AY1413" s="2680"/>
      <c r="AZ1413" s="2680"/>
      <c r="BA1413" s="3057"/>
      <c r="BB1413" s="3057"/>
      <c r="BC1413" s="3057"/>
      <c r="BD1413" s="3057"/>
      <c r="BE1413" s="3057"/>
      <c r="BF1413" s="3057"/>
      <c r="BG1413" s="3057"/>
      <c r="BH1413" s="3057"/>
      <c r="BI1413" s="584"/>
      <c r="BJ1413" s="584"/>
      <c r="BK1413" s="584"/>
      <c r="BL1413" s="584"/>
      <c r="BM1413" s="584"/>
      <c r="BN1413" s="584">
        <v>585831.027</v>
      </c>
      <c r="BO1413" s="3058"/>
      <c r="BP1413" s="3058"/>
      <c r="BQ1413" s="3058"/>
      <c r="BR1413" s="3058"/>
      <c r="BS1413" s="3058"/>
      <c r="BT1413" s="3058"/>
      <c r="BU1413" s="3058"/>
      <c r="BV1413" s="3057"/>
      <c r="BW1413" s="6279"/>
      <c r="BX1413" s="3091"/>
      <c r="BY1413" s="3091"/>
      <c r="BZ1413" s="3091"/>
      <c r="CA1413" s="3091"/>
      <c r="CB1413" s="5864">
        <v>585831.027</v>
      </c>
      <c r="CC1413" s="3058"/>
      <c r="CD1413" s="3058"/>
      <c r="CE1413" s="5169"/>
      <c r="CF1413" s="5169"/>
      <c r="CG1413" s="5169"/>
      <c r="CH1413" s="5169"/>
    </row>
    <row r="1414" s="4965" customFormat="1" ht="30" customHeight="1" spans="1:86">
      <c r="A1414" s="5079"/>
      <c r="B1414" s="5821"/>
      <c r="C1414" s="5821"/>
      <c r="D1414" s="6040"/>
      <c r="E1414" s="6040"/>
      <c r="F1414" s="5056"/>
      <c r="G1414" s="5054"/>
      <c r="H1414" s="5054"/>
      <c r="I1414" s="5054"/>
      <c r="J1414" s="5054"/>
      <c r="K1414" s="5054"/>
      <c r="L1414" s="5054"/>
      <c r="M1414" s="3058"/>
      <c r="N1414" s="5321"/>
      <c r="O1414" s="5321"/>
      <c r="P1414" s="5321"/>
      <c r="Q1414" s="5321"/>
      <c r="R1414" s="5321"/>
      <c r="S1414" s="5321"/>
      <c r="T1414" s="5321"/>
      <c r="U1414" s="5321"/>
      <c r="V1414" s="5321"/>
      <c r="W1414" s="5321"/>
      <c r="X1414" s="5321"/>
      <c r="Y1414" s="5321"/>
      <c r="Z1414" s="5321"/>
      <c r="AA1414" s="5321"/>
      <c r="AB1414" s="5321"/>
      <c r="AC1414" s="3058">
        <v>3</v>
      </c>
      <c r="AD1414" s="1125" t="s">
        <v>2337</v>
      </c>
      <c r="AE1414" s="6056">
        <v>0.2</v>
      </c>
      <c r="AF1414" s="3091">
        <f>AE1414*M1412</f>
        <v>390554.018</v>
      </c>
      <c r="AG1414" s="584">
        <f t="shared" si="283"/>
        <v>390554.018</v>
      </c>
      <c r="AH1414" s="1125" t="s">
        <v>122</v>
      </c>
      <c r="AI1414" s="3057">
        <v>45895</v>
      </c>
      <c r="AJ1414" s="584">
        <f>SUM(BD1414:BQ1414)</f>
        <v>390554.018</v>
      </c>
      <c r="AK1414" s="3057">
        <v>45895</v>
      </c>
      <c r="AL1414" s="584">
        <f>SUM(BF1414:BS1414)</f>
        <v>390554.018</v>
      </c>
      <c r="AM1414" s="3057">
        <v>45895</v>
      </c>
      <c r="AN1414" s="584">
        <f t="shared" si="286"/>
        <v>390554.018</v>
      </c>
      <c r="AO1414" s="3057">
        <v>45929</v>
      </c>
      <c r="AP1414" s="3091">
        <f t="shared" si="287"/>
        <v>0</v>
      </c>
      <c r="AQ1414" s="5138"/>
      <c r="AR1414" s="3058"/>
      <c r="AS1414" s="5983"/>
      <c r="AT1414" s="5138"/>
      <c r="AU1414" s="2680"/>
      <c r="AV1414" s="2680"/>
      <c r="AW1414" s="2680"/>
      <c r="AX1414" s="2680"/>
      <c r="AY1414" s="2680"/>
      <c r="AZ1414" s="2680"/>
      <c r="BA1414" s="3057"/>
      <c r="BB1414" s="3057"/>
      <c r="BC1414" s="3057"/>
      <c r="BD1414" s="3057"/>
      <c r="BE1414" s="3057"/>
      <c r="BF1414" s="3057"/>
      <c r="BG1414" s="3057"/>
      <c r="BH1414" s="3057"/>
      <c r="BI1414" s="584"/>
      <c r="BJ1414" s="584"/>
      <c r="BK1414" s="584"/>
      <c r="BL1414" s="584"/>
      <c r="BM1414" s="584"/>
      <c r="BN1414" s="584">
        <v>390554.018</v>
      </c>
      <c r="BO1414" s="3058"/>
      <c r="BP1414" s="3058"/>
      <c r="BQ1414" s="3058"/>
      <c r="BR1414" s="3058"/>
      <c r="BS1414" s="3058"/>
      <c r="BT1414" s="3058"/>
      <c r="BU1414" s="3058"/>
      <c r="BV1414" s="3057"/>
      <c r="BW1414" s="6279"/>
      <c r="BX1414" s="3091"/>
      <c r="BY1414" s="3091"/>
      <c r="BZ1414" s="3091"/>
      <c r="CA1414" s="3091"/>
      <c r="CB1414" s="5864">
        <v>390554.018</v>
      </c>
      <c r="CC1414" s="3058"/>
      <c r="CD1414" s="3058"/>
      <c r="CE1414" s="5169"/>
      <c r="CF1414" s="5169"/>
      <c r="CG1414" s="5169"/>
      <c r="CH1414" s="5169"/>
    </row>
    <row r="1415" s="4965" customFormat="1" ht="61" spans="1:86">
      <c r="A1415" s="5079"/>
      <c r="B1415" s="5821"/>
      <c r="C1415" s="5821"/>
      <c r="D1415" s="6040"/>
      <c r="E1415" s="6040"/>
      <c r="F1415" s="5056"/>
      <c r="G1415" s="5054"/>
      <c r="H1415" s="5054"/>
      <c r="I1415" s="5054"/>
      <c r="J1415" s="5054"/>
      <c r="K1415" s="5054"/>
      <c r="L1415" s="5054"/>
      <c r="M1415" s="3058"/>
      <c r="N1415" s="5321"/>
      <c r="O1415" s="5321"/>
      <c r="P1415" s="5321"/>
      <c r="Q1415" s="5321"/>
      <c r="R1415" s="5321"/>
      <c r="S1415" s="5321"/>
      <c r="T1415" s="5321"/>
      <c r="U1415" s="5321"/>
      <c r="V1415" s="5321"/>
      <c r="W1415" s="5321"/>
      <c r="X1415" s="5321"/>
      <c r="Y1415" s="5321"/>
      <c r="Z1415" s="5321"/>
      <c r="AA1415" s="5321"/>
      <c r="AB1415" s="5321"/>
      <c r="AC1415" s="3058">
        <v>4</v>
      </c>
      <c r="AD1415" s="1125" t="s">
        <v>2338</v>
      </c>
      <c r="AE1415" s="6056">
        <v>0.25</v>
      </c>
      <c r="AF1415" s="3091">
        <f>AE1415*M1412</f>
        <v>488192.5225</v>
      </c>
      <c r="AG1415" s="6279">
        <f t="shared" si="283"/>
        <v>488192.5225</v>
      </c>
      <c r="AH1415" s="1127" t="s">
        <v>349</v>
      </c>
      <c r="AI1415" s="4059">
        <v>46078</v>
      </c>
      <c r="AJ1415" s="3058"/>
      <c r="AK1415" s="3058"/>
      <c r="AL1415" s="3058"/>
      <c r="AM1415" s="3058"/>
      <c r="AN1415" s="6279">
        <f t="shared" si="286"/>
        <v>488192.5225</v>
      </c>
      <c r="AO1415" s="4059">
        <v>46111</v>
      </c>
      <c r="AP1415" s="3091">
        <f t="shared" si="287"/>
        <v>0</v>
      </c>
      <c r="AQ1415" s="5138"/>
      <c r="AR1415" s="3058"/>
      <c r="AS1415" s="5983"/>
      <c r="AT1415" s="5138"/>
      <c r="AU1415" s="2680"/>
      <c r="AV1415" s="2680"/>
      <c r="AW1415" s="2680"/>
      <c r="AX1415" s="2680"/>
      <c r="AY1415" s="2680"/>
      <c r="AZ1415" s="2680"/>
      <c r="BA1415" s="3057"/>
      <c r="BB1415" s="3057"/>
      <c r="BC1415" s="3057"/>
      <c r="BD1415" s="3057"/>
      <c r="BE1415" s="3057"/>
      <c r="BF1415" s="3057"/>
      <c r="BG1415" s="3057"/>
      <c r="BH1415" s="3057"/>
      <c r="BI1415" s="584"/>
      <c r="BJ1415" s="584"/>
      <c r="BK1415" s="584"/>
      <c r="BL1415" s="584"/>
      <c r="BM1415" s="584"/>
      <c r="BN1415" s="584">
        <v>488192.5225</v>
      </c>
      <c r="BO1415" s="3058"/>
      <c r="BP1415" s="3058"/>
      <c r="BQ1415" s="3058"/>
      <c r="BR1415" s="3058"/>
      <c r="BS1415" s="3058"/>
      <c r="BT1415" s="3058"/>
      <c r="BU1415" s="3058"/>
      <c r="BV1415" s="3057"/>
      <c r="BW1415" s="6279"/>
      <c r="BX1415" s="3091"/>
      <c r="BY1415" s="3091"/>
      <c r="BZ1415" s="3091"/>
      <c r="CA1415" s="3091"/>
      <c r="CB1415" s="5864">
        <v>488192.5225</v>
      </c>
      <c r="CC1415" s="3058"/>
      <c r="CD1415" s="3058"/>
      <c r="CE1415" s="5169"/>
      <c r="CF1415" s="5169"/>
      <c r="CG1415" s="5169"/>
      <c r="CH1415" s="5169"/>
    </row>
    <row r="1416" s="4965" customFormat="1" ht="30" customHeight="1" spans="1:86">
      <c r="A1416" s="5079"/>
      <c r="B1416" s="5821"/>
      <c r="C1416" s="5821"/>
      <c r="D1416" s="6040"/>
      <c r="E1416" s="6040"/>
      <c r="F1416" s="5056"/>
      <c r="G1416" s="5054"/>
      <c r="H1416" s="5054"/>
      <c r="I1416" s="5054"/>
      <c r="J1416" s="5054"/>
      <c r="K1416" s="5054"/>
      <c r="L1416" s="5054"/>
      <c r="M1416" s="3058"/>
      <c r="N1416" s="5322"/>
      <c r="O1416" s="5322"/>
      <c r="P1416" s="5322"/>
      <c r="Q1416" s="5322"/>
      <c r="R1416" s="5322"/>
      <c r="S1416" s="5322"/>
      <c r="T1416" s="5322"/>
      <c r="U1416" s="5322"/>
      <c r="V1416" s="5322"/>
      <c r="W1416" s="5322"/>
      <c r="X1416" s="5322"/>
      <c r="Y1416" s="5322"/>
      <c r="Z1416" s="5322"/>
      <c r="AA1416" s="5322"/>
      <c r="AB1416" s="5322"/>
      <c r="AC1416" s="3058">
        <v>5</v>
      </c>
      <c r="AD1416" s="1125" t="s">
        <v>401</v>
      </c>
      <c r="AE1416" s="6056">
        <v>0.05</v>
      </c>
      <c r="AF1416" s="3091">
        <f>AE1416*M1412</f>
        <v>97638.5045</v>
      </c>
      <c r="AG1416" s="3091">
        <f t="shared" si="283"/>
        <v>0</v>
      </c>
      <c r="AH1416" s="1125"/>
      <c r="AI1416" s="3058"/>
      <c r="AJ1416" s="3058"/>
      <c r="AK1416" s="3058"/>
      <c r="AL1416" s="3058"/>
      <c r="AM1416" s="3058"/>
      <c r="AN1416" s="3091">
        <f t="shared" si="286"/>
        <v>0</v>
      </c>
      <c r="AO1416" s="3057"/>
      <c r="AP1416" s="3091">
        <f t="shared" si="287"/>
        <v>0</v>
      </c>
      <c r="AQ1416" s="5138"/>
      <c r="AR1416" s="3058"/>
      <c r="AS1416" s="5983"/>
      <c r="AT1416" s="5138"/>
      <c r="AU1416" s="2680"/>
      <c r="AV1416" s="2680"/>
      <c r="AW1416" s="2680"/>
      <c r="AX1416" s="2680"/>
      <c r="AY1416" s="2680"/>
      <c r="AZ1416" s="2680"/>
      <c r="BA1416" s="3057"/>
      <c r="BB1416" s="3057"/>
      <c r="BC1416" s="3057"/>
      <c r="BD1416" s="3057"/>
      <c r="BE1416" s="3057"/>
      <c r="BF1416" s="3057"/>
      <c r="BG1416" s="3057"/>
      <c r="BH1416" s="3057"/>
      <c r="BI1416" s="584"/>
      <c r="BJ1416" s="584"/>
      <c r="BK1416" s="584"/>
      <c r="BL1416" s="584"/>
      <c r="BM1416" s="584"/>
      <c r="BN1416" s="584"/>
      <c r="BO1416" s="3058"/>
      <c r="BP1416" s="3058"/>
      <c r="BQ1416" s="3058"/>
      <c r="BR1416" s="3058"/>
      <c r="BS1416" s="3058"/>
      <c r="BT1416" s="3058"/>
      <c r="BU1416" s="3058"/>
      <c r="BV1416" s="3057"/>
      <c r="BW1416" s="6279"/>
      <c r="BX1416" s="3091"/>
      <c r="BY1416" s="3091"/>
      <c r="BZ1416" s="3091"/>
      <c r="CA1416" s="3091"/>
      <c r="CB1416" s="5864"/>
      <c r="CC1416" s="3058"/>
      <c r="CD1416" s="3058"/>
      <c r="CE1416" s="5169"/>
      <c r="CF1416" s="5169"/>
      <c r="CG1416" s="5169"/>
      <c r="CH1416" s="5169"/>
    </row>
    <row r="1417" s="4965" customFormat="1" ht="30" customHeight="1" spans="1:86">
      <c r="A1417" s="5079"/>
      <c r="B1417" s="5821"/>
      <c r="C1417" s="5821"/>
      <c r="D1417" s="6040"/>
      <c r="E1417" s="6040"/>
      <c r="F1417" s="5544" t="s">
        <v>2339</v>
      </c>
      <c r="G1417" s="5544" t="s">
        <v>2332</v>
      </c>
      <c r="H1417" s="5544" t="s">
        <v>2182</v>
      </c>
      <c r="I1417" s="5544" t="s">
        <v>2333</v>
      </c>
      <c r="J1417" s="5544" t="s">
        <v>2024</v>
      </c>
      <c r="K1417" s="5544"/>
      <c r="L1417" s="5544"/>
      <c r="M1417" s="3083">
        <f>SUM(N1417:AA1424)</f>
        <v>677200</v>
      </c>
      <c r="N1417" s="4902"/>
      <c r="O1417" s="4902"/>
      <c r="P1417" s="4902"/>
      <c r="Q1417" s="4902"/>
      <c r="R1417" s="4902"/>
      <c r="S1417" s="4902"/>
      <c r="T1417" s="4902"/>
      <c r="U1417" s="4902"/>
      <c r="V1417" s="4902"/>
      <c r="W1417" s="4902"/>
      <c r="X1417" s="4902"/>
      <c r="Y1417" s="4902"/>
      <c r="Z1417" s="4902"/>
      <c r="AA1417" s="4902">
        <v>677200</v>
      </c>
      <c r="AB1417" s="5662" t="s">
        <v>126</v>
      </c>
      <c r="AC1417" s="3083">
        <v>1</v>
      </c>
      <c r="AD1417" s="5544" t="s">
        <v>2340</v>
      </c>
      <c r="AE1417" s="6670">
        <v>0.1</v>
      </c>
      <c r="AF1417" s="3104">
        <f>M1417*AE1417</f>
        <v>67720</v>
      </c>
      <c r="AG1417" s="5638">
        <f t="shared" si="283"/>
        <v>67720</v>
      </c>
      <c r="AH1417" s="5544" t="s">
        <v>122</v>
      </c>
      <c r="AI1417" s="5630">
        <v>45895</v>
      </c>
      <c r="AJ1417" s="3083">
        <v>67720</v>
      </c>
      <c r="AK1417" s="5630">
        <v>45895</v>
      </c>
      <c r="AL1417" s="3083">
        <v>67720</v>
      </c>
      <c r="AM1417" s="5630">
        <v>45895</v>
      </c>
      <c r="AN1417" s="5638">
        <f t="shared" si="286"/>
        <v>67720</v>
      </c>
      <c r="AO1417" s="5630">
        <v>45929</v>
      </c>
      <c r="AP1417" s="3104">
        <f t="shared" si="287"/>
        <v>0</v>
      </c>
      <c r="AQ1417" s="5629"/>
      <c r="AR1417" s="3083"/>
      <c r="AS1417" s="6686"/>
      <c r="AT1417" s="5629"/>
      <c r="AU1417" s="2680"/>
      <c r="AV1417" s="2680"/>
      <c r="AW1417" s="2680"/>
      <c r="AX1417" s="2680"/>
      <c r="AY1417" s="2680"/>
      <c r="AZ1417" s="2680"/>
      <c r="BA1417" s="5630"/>
      <c r="BB1417" s="5630"/>
      <c r="BC1417" s="5630"/>
      <c r="BD1417" s="5630"/>
      <c r="BE1417" s="5630"/>
      <c r="BF1417" s="5630"/>
      <c r="BG1417" s="5630"/>
      <c r="BH1417" s="5630"/>
      <c r="BI1417" s="5638"/>
      <c r="BJ1417" s="5638"/>
      <c r="BK1417" s="5638"/>
      <c r="BL1417" s="5638"/>
      <c r="BM1417" s="5638"/>
      <c r="BN1417" s="5638">
        <v>67720</v>
      </c>
      <c r="BO1417" s="3083"/>
      <c r="BP1417" s="3083"/>
      <c r="BQ1417" s="3083"/>
      <c r="BR1417" s="3083"/>
      <c r="BS1417" s="3083"/>
      <c r="BT1417" s="3083"/>
      <c r="BU1417" s="3083"/>
      <c r="BV1417" s="5630"/>
      <c r="BW1417" s="5689"/>
      <c r="BX1417" s="3104"/>
      <c r="BY1417" s="3104"/>
      <c r="BZ1417" s="3104"/>
      <c r="CA1417" s="3104"/>
      <c r="CB1417" s="6689">
        <v>67720</v>
      </c>
      <c r="CC1417" s="3083"/>
      <c r="CD1417" s="3083"/>
      <c r="CE1417" s="5169"/>
      <c r="CF1417" s="5169"/>
      <c r="CG1417" s="5169"/>
      <c r="CH1417" s="5169"/>
    </row>
    <row r="1418" s="4965" customFormat="1" ht="30" customHeight="1" spans="1:86">
      <c r="A1418" s="5079"/>
      <c r="B1418" s="5821"/>
      <c r="C1418" s="5821"/>
      <c r="D1418" s="6040"/>
      <c r="E1418" s="6040"/>
      <c r="F1418" s="6667"/>
      <c r="G1418" s="5678"/>
      <c r="H1418" s="5678"/>
      <c r="I1418" s="5678"/>
      <c r="J1418" s="5678"/>
      <c r="K1418" s="5678"/>
      <c r="L1418" s="5678"/>
      <c r="M1418" s="3083"/>
      <c r="N1418" s="4902"/>
      <c r="O1418" s="4902"/>
      <c r="P1418" s="4902"/>
      <c r="Q1418" s="4902"/>
      <c r="R1418" s="4902"/>
      <c r="S1418" s="4902"/>
      <c r="T1418" s="4902"/>
      <c r="U1418" s="4902"/>
      <c r="V1418" s="4902"/>
      <c r="W1418" s="4902"/>
      <c r="X1418" s="4902"/>
      <c r="Y1418" s="4902"/>
      <c r="Z1418" s="4902"/>
      <c r="AA1418" s="4902"/>
      <c r="AB1418" s="4902"/>
      <c r="AC1418" s="3083">
        <v>2</v>
      </c>
      <c r="AD1418" s="5544" t="s">
        <v>1914</v>
      </c>
      <c r="AE1418" s="5544" t="s">
        <v>2035</v>
      </c>
      <c r="AF1418" s="3104">
        <f>167200*0.4</f>
        <v>66880</v>
      </c>
      <c r="AG1418" s="5638">
        <f t="shared" ref="AG1418:AG1450" si="288">SUM(BA1418:BN1418)</f>
        <v>66880</v>
      </c>
      <c r="AH1418" s="5544" t="s">
        <v>122</v>
      </c>
      <c r="AI1418" s="5630">
        <v>45895</v>
      </c>
      <c r="AJ1418" s="3083">
        <v>66880</v>
      </c>
      <c r="AK1418" s="5630">
        <v>45895</v>
      </c>
      <c r="AL1418" s="3083">
        <v>66880</v>
      </c>
      <c r="AM1418" s="5630">
        <v>45895</v>
      </c>
      <c r="AN1418" s="5638">
        <f t="shared" si="286"/>
        <v>66880</v>
      </c>
      <c r="AO1418" s="5630">
        <v>45929</v>
      </c>
      <c r="AP1418" s="3104">
        <f t="shared" si="287"/>
        <v>0</v>
      </c>
      <c r="AQ1418" s="5629"/>
      <c r="AR1418" s="3083"/>
      <c r="AS1418" s="6686"/>
      <c r="AT1418" s="5629"/>
      <c r="AU1418" s="2680"/>
      <c r="AV1418" s="2680"/>
      <c r="AW1418" s="2680"/>
      <c r="AX1418" s="2680"/>
      <c r="AY1418" s="2680"/>
      <c r="AZ1418" s="2680"/>
      <c r="BA1418" s="5630"/>
      <c r="BB1418" s="5630"/>
      <c r="BC1418" s="5630"/>
      <c r="BD1418" s="5630"/>
      <c r="BE1418" s="5630"/>
      <c r="BF1418" s="5630"/>
      <c r="BG1418" s="5630"/>
      <c r="BH1418" s="5630"/>
      <c r="BI1418" s="5638"/>
      <c r="BJ1418" s="5638"/>
      <c r="BK1418" s="5638"/>
      <c r="BL1418" s="5638"/>
      <c r="BM1418" s="5638"/>
      <c r="BN1418" s="5638">
        <v>66880</v>
      </c>
      <c r="BO1418" s="3083"/>
      <c r="BP1418" s="3083"/>
      <c r="BQ1418" s="3083"/>
      <c r="BR1418" s="3083"/>
      <c r="BS1418" s="3083"/>
      <c r="BT1418" s="3083"/>
      <c r="BU1418" s="3083"/>
      <c r="BV1418" s="5630"/>
      <c r="BW1418" s="5689"/>
      <c r="BX1418" s="3104"/>
      <c r="BY1418" s="3104"/>
      <c r="BZ1418" s="3104"/>
      <c r="CA1418" s="3104"/>
      <c r="CB1418" s="6689">
        <v>66880</v>
      </c>
      <c r="CC1418" s="3083"/>
      <c r="CD1418" s="3083"/>
      <c r="CE1418" s="5169"/>
      <c r="CF1418" s="5169"/>
      <c r="CG1418" s="5169"/>
      <c r="CH1418" s="5169"/>
    </row>
    <row r="1419" s="4965" customFormat="1" ht="30" customHeight="1" spans="1:86">
      <c r="A1419" s="5079"/>
      <c r="B1419" s="5821"/>
      <c r="C1419" s="5821"/>
      <c r="D1419" s="6040"/>
      <c r="E1419" s="6040"/>
      <c r="F1419" s="6667"/>
      <c r="G1419" s="5678"/>
      <c r="H1419" s="5678"/>
      <c r="I1419" s="5678"/>
      <c r="J1419" s="5678"/>
      <c r="K1419" s="5678"/>
      <c r="L1419" s="5678"/>
      <c r="M1419" s="3083"/>
      <c r="N1419" s="4902"/>
      <c r="O1419" s="4902"/>
      <c r="P1419" s="4902"/>
      <c r="Q1419" s="4902"/>
      <c r="R1419" s="4902"/>
      <c r="S1419" s="4902"/>
      <c r="T1419" s="4902"/>
      <c r="U1419" s="4902"/>
      <c r="V1419" s="4902"/>
      <c r="W1419" s="4902"/>
      <c r="X1419" s="4902"/>
      <c r="Y1419" s="4902"/>
      <c r="Z1419" s="4902"/>
      <c r="AA1419" s="4902"/>
      <c r="AB1419" s="4902"/>
      <c r="AC1419" s="3083">
        <v>3</v>
      </c>
      <c r="AD1419" s="5544" t="s">
        <v>1915</v>
      </c>
      <c r="AE1419" s="5544" t="s">
        <v>2035</v>
      </c>
      <c r="AF1419" s="3104">
        <f>167200*0.4</f>
        <v>66880</v>
      </c>
      <c r="AG1419" s="5638">
        <f t="shared" si="288"/>
        <v>66880</v>
      </c>
      <c r="AH1419" s="5544" t="s">
        <v>122</v>
      </c>
      <c r="AI1419" s="5630">
        <v>45895</v>
      </c>
      <c r="AJ1419" s="3083">
        <v>66880</v>
      </c>
      <c r="AK1419" s="5630">
        <v>45895</v>
      </c>
      <c r="AL1419" s="3083">
        <v>66880</v>
      </c>
      <c r="AM1419" s="5630">
        <v>45895</v>
      </c>
      <c r="AN1419" s="5638">
        <f t="shared" si="286"/>
        <v>66880</v>
      </c>
      <c r="AO1419" s="5630">
        <v>45929</v>
      </c>
      <c r="AP1419" s="3104">
        <f t="shared" si="287"/>
        <v>0</v>
      </c>
      <c r="AQ1419" s="5629"/>
      <c r="AR1419" s="3083"/>
      <c r="AS1419" s="6686"/>
      <c r="AT1419" s="5629"/>
      <c r="AU1419" s="2680"/>
      <c r="AV1419" s="2680"/>
      <c r="AW1419" s="2680"/>
      <c r="AX1419" s="2680"/>
      <c r="AY1419" s="2680"/>
      <c r="AZ1419" s="2680"/>
      <c r="BA1419" s="5630"/>
      <c r="BB1419" s="5630"/>
      <c r="BC1419" s="5630"/>
      <c r="BD1419" s="5630"/>
      <c r="BE1419" s="5630"/>
      <c r="BF1419" s="5630"/>
      <c r="BG1419" s="5630"/>
      <c r="BH1419" s="5630"/>
      <c r="BI1419" s="5638"/>
      <c r="BJ1419" s="5638"/>
      <c r="BK1419" s="5638"/>
      <c r="BL1419" s="5638"/>
      <c r="BM1419" s="5638"/>
      <c r="BN1419" s="5638">
        <v>66880</v>
      </c>
      <c r="BO1419" s="3083"/>
      <c r="BP1419" s="3083"/>
      <c r="BQ1419" s="3083"/>
      <c r="BR1419" s="3083"/>
      <c r="BS1419" s="3083"/>
      <c r="BT1419" s="3083"/>
      <c r="BU1419" s="3083"/>
      <c r="BV1419" s="5630"/>
      <c r="BW1419" s="5689"/>
      <c r="BX1419" s="3104"/>
      <c r="BY1419" s="3104"/>
      <c r="BZ1419" s="3104"/>
      <c r="CA1419" s="3104"/>
      <c r="CB1419" s="6689">
        <v>66880</v>
      </c>
      <c r="CC1419" s="3083"/>
      <c r="CD1419" s="3083"/>
      <c r="CE1419" s="5169"/>
      <c r="CF1419" s="5169"/>
      <c r="CG1419" s="5169"/>
      <c r="CH1419" s="5169"/>
    </row>
    <row r="1420" s="4965" customFormat="1" ht="30" customHeight="1" spans="1:86">
      <c r="A1420" s="5079"/>
      <c r="B1420" s="5821"/>
      <c r="C1420" s="5821"/>
      <c r="D1420" s="6040"/>
      <c r="E1420" s="6040"/>
      <c r="F1420" s="6667"/>
      <c r="G1420" s="5678"/>
      <c r="H1420" s="5678"/>
      <c r="I1420" s="5678"/>
      <c r="J1420" s="5678"/>
      <c r="K1420" s="5678"/>
      <c r="L1420" s="5678"/>
      <c r="M1420" s="3083"/>
      <c r="N1420" s="4902"/>
      <c r="O1420" s="4902"/>
      <c r="P1420" s="4902"/>
      <c r="Q1420" s="4902"/>
      <c r="R1420" s="4902"/>
      <c r="S1420" s="4902"/>
      <c r="T1420" s="4902"/>
      <c r="U1420" s="4902"/>
      <c r="V1420" s="4902"/>
      <c r="W1420" s="4902"/>
      <c r="X1420" s="4902"/>
      <c r="Y1420" s="4902"/>
      <c r="Z1420" s="4902"/>
      <c r="AA1420" s="4902"/>
      <c r="AB1420" s="4902"/>
      <c r="AC1420" s="3083">
        <v>4</v>
      </c>
      <c r="AD1420" s="5544" t="s">
        <v>355</v>
      </c>
      <c r="AE1420" s="5544" t="s">
        <v>2044</v>
      </c>
      <c r="AF1420" s="3104">
        <f>510000*0.15</f>
        <v>76500</v>
      </c>
      <c r="AG1420" s="5638">
        <f t="shared" si="288"/>
        <v>76500</v>
      </c>
      <c r="AH1420" s="5544" t="s">
        <v>122</v>
      </c>
      <c r="AI1420" s="5630">
        <v>45895</v>
      </c>
      <c r="AJ1420" s="3083">
        <v>76500</v>
      </c>
      <c r="AK1420" s="5630">
        <v>45895</v>
      </c>
      <c r="AL1420" s="3083">
        <v>76500</v>
      </c>
      <c r="AM1420" s="5630">
        <v>45895</v>
      </c>
      <c r="AN1420" s="5638">
        <f t="shared" si="286"/>
        <v>76500</v>
      </c>
      <c r="AO1420" s="5630">
        <v>45929</v>
      </c>
      <c r="AP1420" s="3104">
        <f t="shared" si="287"/>
        <v>0</v>
      </c>
      <c r="AQ1420" s="5629"/>
      <c r="AR1420" s="3083"/>
      <c r="AS1420" s="6686"/>
      <c r="AT1420" s="5629"/>
      <c r="AU1420" s="2680"/>
      <c r="AV1420" s="2680"/>
      <c r="AW1420" s="2680"/>
      <c r="AX1420" s="2680"/>
      <c r="AY1420" s="2680"/>
      <c r="AZ1420" s="2680"/>
      <c r="BA1420" s="5630"/>
      <c r="BB1420" s="5630"/>
      <c r="BC1420" s="5630"/>
      <c r="BD1420" s="5630"/>
      <c r="BE1420" s="5630"/>
      <c r="BF1420" s="5630"/>
      <c r="BG1420" s="5630"/>
      <c r="BH1420" s="5630"/>
      <c r="BI1420" s="5638"/>
      <c r="BJ1420" s="5638"/>
      <c r="BK1420" s="5638"/>
      <c r="BL1420" s="5638"/>
      <c r="BM1420" s="5638"/>
      <c r="BN1420" s="5638">
        <v>76500</v>
      </c>
      <c r="BO1420" s="3083"/>
      <c r="BP1420" s="3083"/>
      <c r="BQ1420" s="3083"/>
      <c r="BR1420" s="3083"/>
      <c r="BS1420" s="3083"/>
      <c r="BT1420" s="3083"/>
      <c r="BU1420" s="3083"/>
      <c r="BV1420" s="5630"/>
      <c r="BW1420" s="5689"/>
      <c r="BX1420" s="3104"/>
      <c r="BY1420" s="3104"/>
      <c r="BZ1420" s="3104"/>
      <c r="CA1420" s="3104"/>
      <c r="CB1420" s="6689">
        <v>76500</v>
      </c>
      <c r="CC1420" s="3083"/>
      <c r="CD1420" s="3083"/>
      <c r="CE1420" s="5169"/>
      <c r="CF1420" s="5169"/>
      <c r="CG1420" s="5169"/>
      <c r="CH1420" s="5169"/>
    </row>
    <row r="1421" s="4965" customFormat="1" ht="30" customHeight="1" spans="1:86">
      <c r="A1421" s="5079"/>
      <c r="B1421" s="5821"/>
      <c r="C1421" s="5821"/>
      <c r="D1421" s="6040"/>
      <c r="E1421" s="6040"/>
      <c r="F1421" s="6667"/>
      <c r="G1421" s="5678"/>
      <c r="H1421" s="5678"/>
      <c r="I1421" s="5678"/>
      <c r="J1421" s="5678"/>
      <c r="K1421" s="5678"/>
      <c r="L1421" s="5678"/>
      <c r="M1421" s="3083"/>
      <c r="N1421" s="4902"/>
      <c r="O1421" s="4902"/>
      <c r="P1421" s="4902"/>
      <c r="Q1421" s="4902"/>
      <c r="R1421" s="4902"/>
      <c r="S1421" s="4902"/>
      <c r="T1421" s="4902"/>
      <c r="U1421" s="4902"/>
      <c r="V1421" s="4902"/>
      <c r="W1421" s="4902"/>
      <c r="X1421" s="4902"/>
      <c r="Y1421" s="4902"/>
      <c r="Z1421" s="4902"/>
      <c r="AA1421" s="4902"/>
      <c r="AB1421" s="4902"/>
      <c r="AC1421" s="3083">
        <v>5</v>
      </c>
      <c r="AD1421" s="5544" t="s">
        <v>357</v>
      </c>
      <c r="AE1421" s="5544" t="s">
        <v>2047</v>
      </c>
      <c r="AF1421" s="3104">
        <f>510000*0.2</f>
        <v>102000</v>
      </c>
      <c r="AG1421" s="5638">
        <f t="shared" si="288"/>
        <v>102000</v>
      </c>
      <c r="AH1421" s="5544" t="s">
        <v>122</v>
      </c>
      <c r="AI1421" s="5630">
        <v>45895</v>
      </c>
      <c r="AJ1421" s="3083">
        <v>102000</v>
      </c>
      <c r="AK1421" s="5630">
        <v>45895</v>
      </c>
      <c r="AL1421" s="3083">
        <v>102000</v>
      </c>
      <c r="AM1421" s="5630">
        <v>45895</v>
      </c>
      <c r="AN1421" s="5638">
        <f t="shared" si="286"/>
        <v>102000</v>
      </c>
      <c r="AO1421" s="5630">
        <v>45929</v>
      </c>
      <c r="AP1421" s="3104">
        <f t="shared" si="287"/>
        <v>0</v>
      </c>
      <c r="AQ1421" s="5629"/>
      <c r="AR1421" s="3083"/>
      <c r="AS1421" s="6686"/>
      <c r="AT1421" s="5629"/>
      <c r="AU1421" s="2680"/>
      <c r="AV1421" s="2680"/>
      <c r="AW1421" s="2680"/>
      <c r="AX1421" s="2680"/>
      <c r="AY1421" s="2680"/>
      <c r="AZ1421" s="2680"/>
      <c r="BA1421" s="5630"/>
      <c r="BB1421" s="5630"/>
      <c r="BC1421" s="5630"/>
      <c r="BD1421" s="5630"/>
      <c r="BE1421" s="5630"/>
      <c r="BF1421" s="5630"/>
      <c r="BG1421" s="5630"/>
      <c r="BH1421" s="5630"/>
      <c r="BI1421" s="5638"/>
      <c r="BJ1421" s="5638"/>
      <c r="BK1421" s="5638"/>
      <c r="BL1421" s="5638"/>
      <c r="BM1421" s="5638"/>
      <c r="BN1421" s="5638">
        <v>102000</v>
      </c>
      <c r="BO1421" s="3083"/>
      <c r="BP1421" s="3083"/>
      <c r="BQ1421" s="3083"/>
      <c r="BR1421" s="3083"/>
      <c r="BS1421" s="3083"/>
      <c r="BT1421" s="3083"/>
      <c r="BU1421" s="3083"/>
      <c r="BV1421" s="5630"/>
      <c r="BW1421" s="5689"/>
      <c r="BX1421" s="3104"/>
      <c r="BY1421" s="3104"/>
      <c r="BZ1421" s="3104"/>
      <c r="CA1421" s="3104"/>
      <c r="CB1421" s="6689">
        <v>102000</v>
      </c>
      <c r="CC1421" s="3083"/>
      <c r="CD1421" s="3083"/>
      <c r="CE1421" s="5169"/>
      <c r="CF1421" s="5169"/>
      <c r="CG1421" s="5169"/>
      <c r="CH1421" s="5169"/>
    </row>
    <row r="1422" s="4965" customFormat="1" ht="30" customHeight="1" spans="1:86">
      <c r="A1422" s="5079"/>
      <c r="B1422" s="5821"/>
      <c r="C1422" s="5821"/>
      <c r="D1422" s="6040"/>
      <c r="E1422" s="6040"/>
      <c r="F1422" s="6667"/>
      <c r="G1422" s="5678"/>
      <c r="H1422" s="5678"/>
      <c r="I1422" s="5678"/>
      <c r="J1422" s="5678"/>
      <c r="K1422" s="5678"/>
      <c r="L1422" s="5678"/>
      <c r="M1422" s="3083"/>
      <c r="N1422" s="4902"/>
      <c r="O1422" s="4902"/>
      <c r="P1422" s="4902"/>
      <c r="Q1422" s="4902"/>
      <c r="R1422" s="4902"/>
      <c r="S1422" s="4902"/>
      <c r="T1422" s="4902"/>
      <c r="U1422" s="4902"/>
      <c r="V1422" s="4902"/>
      <c r="W1422" s="4902"/>
      <c r="X1422" s="4902"/>
      <c r="Y1422" s="4902"/>
      <c r="Z1422" s="4902"/>
      <c r="AA1422" s="4902"/>
      <c r="AB1422" s="4902"/>
      <c r="AC1422" s="3083">
        <v>6</v>
      </c>
      <c r="AD1422" s="5544" t="s">
        <v>2341</v>
      </c>
      <c r="AE1422" s="5544" t="s">
        <v>2044</v>
      </c>
      <c r="AF1422" s="3104">
        <f>510000*0.15</f>
        <v>76500</v>
      </c>
      <c r="AG1422" s="5689">
        <f t="shared" si="288"/>
        <v>76500</v>
      </c>
      <c r="AH1422" s="6679" t="s">
        <v>349</v>
      </c>
      <c r="AI1422" s="5688">
        <v>46078</v>
      </c>
      <c r="AJ1422" s="3083"/>
      <c r="AK1422" s="3083"/>
      <c r="AL1422" s="3083"/>
      <c r="AM1422" s="3083"/>
      <c r="AN1422" s="5689">
        <f t="shared" si="286"/>
        <v>76500</v>
      </c>
      <c r="AO1422" s="5688">
        <v>46111</v>
      </c>
      <c r="AP1422" s="3104">
        <f t="shared" si="287"/>
        <v>0</v>
      </c>
      <c r="AQ1422" s="5629"/>
      <c r="AR1422" s="3083"/>
      <c r="AS1422" s="6686"/>
      <c r="AT1422" s="5629"/>
      <c r="AU1422" s="2680"/>
      <c r="AV1422" s="2680"/>
      <c r="AW1422" s="2680"/>
      <c r="AX1422" s="2680"/>
      <c r="AY1422" s="2680"/>
      <c r="AZ1422" s="2680"/>
      <c r="BA1422" s="5630"/>
      <c r="BB1422" s="5630"/>
      <c r="BC1422" s="5630"/>
      <c r="BD1422" s="5630"/>
      <c r="BE1422" s="5630"/>
      <c r="BF1422" s="5630"/>
      <c r="BG1422" s="5630"/>
      <c r="BH1422" s="5630"/>
      <c r="BI1422" s="5638"/>
      <c r="BJ1422" s="5638"/>
      <c r="BK1422" s="5638"/>
      <c r="BL1422" s="5638"/>
      <c r="BM1422" s="5638"/>
      <c r="BN1422" s="5638">
        <v>76500</v>
      </c>
      <c r="BO1422" s="3083"/>
      <c r="BP1422" s="3083"/>
      <c r="BQ1422" s="3083"/>
      <c r="BR1422" s="3083"/>
      <c r="BS1422" s="3083"/>
      <c r="BT1422" s="3083"/>
      <c r="BU1422" s="3083"/>
      <c r="BV1422" s="5630"/>
      <c r="BW1422" s="5689"/>
      <c r="BX1422" s="3104"/>
      <c r="BY1422" s="3104"/>
      <c r="BZ1422" s="3104"/>
      <c r="CA1422" s="3104"/>
      <c r="CB1422" s="6689">
        <v>76500</v>
      </c>
      <c r="CC1422" s="3083"/>
      <c r="CD1422" s="3083"/>
      <c r="CE1422" s="5169"/>
      <c r="CF1422" s="5169"/>
      <c r="CG1422" s="5169"/>
      <c r="CH1422" s="5169"/>
    </row>
    <row r="1423" s="4965" customFormat="1" ht="30" customHeight="1" spans="1:86">
      <c r="A1423" s="5079"/>
      <c r="B1423" s="5821"/>
      <c r="C1423" s="5821"/>
      <c r="D1423" s="6040"/>
      <c r="E1423" s="6040"/>
      <c r="F1423" s="6667"/>
      <c r="G1423" s="5678"/>
      <c r="H1423" s="5678"/>
      <c r="I1423" s="5678"/>
      <c r="J1423" s="5678"/>
      <c r="K1423" s="5678"/>
      <c r="L1423" s="5678"/>
      <c r="M1423" s="3083"/>
      <c r="N1423" s="4902"/>
      <c r="O1423" s="4902"/>
      <c r="P1423" s="4902"/>
      <c r="Q1423" s="4902"/>
      <c r="R1423" s="4902"/>
      <c r="S1423" s="4902"/>
      <c r="T1423" s="4902"/>
      <c r="U1423" s="4902"/>
      <c r="V1423" s="4902"/>
      <c r="W1423" s="4902"/>
      <c r="X1423" s="4902"/>
      <c r="Y1423" s="4902"/>
      <c r="Z1423" s="4902"/>
      <c r="AA1423" s="4902"/>
      <c r="AB1423" s="4902"/>
      <c r="AC1423" s="3083">
        <v>7</v>
      </c>
      <c r="AD1423" s="5544" t="s">
        <v>359</v>
      </c>
      <c r="AE1423" s="5544" t="s">
        <v>2139</v>
      </c>
      <c r="AF1423" s="3104">
        <f>510000*0.25</f>
        <v>127500</v>
      </c>
      <c r="AG1423" s="5689">
        <f t="shared" si="288"/>
        <v>127500</v>
      </c>
      <c r="AH1423" s="6679" t="s">
        <v>349</v>
      </c>
      <c r="AI1423" s="5688">
        <v>46078</v>
      </c>
      <c r="AJ1423" s="3083"/>
      <c r="AK1423" s="3083"/>
      <c r="AL1423" s="3083"/>
      <c r="AM1423" s="3083"/>
      <c r="AN1423" s="5689">
        <f t="shared" si="286"/>
        <v>127500</v>
      </c>
      <c r="AO1423" s="5688">
        <v>46111</v>
      </c>
      <c r="AP1423" s="3104">
        <f t="shared" si="287"/>
        <v>0</v>
      </c>
      <c r="AQ1423" s="5629"/>
      <c r="AR1423" s="3083"/>
      <c r="AS1423" s="6686"/>
      <c r="AT1423" s="5629"/>
      <c r="AU1423" s="2680"/>
      <c r="AV1423" s="2680"/>
      <c r="AW1423" s="2680"/>
      <c r="AX1423" s="2680"/>
      <c r="AY1423" s="2680"/>
      <c r="AZ1423" s="2680"/>
      <c r="BA1423" s="5630"/>
      <c r="BB1423" s="5630"/>
      <c r="BC1423" s="5630"/>
      <c r="BD1423" s="5630"/>
      <c r="BE1423" s="5630"/>
      <c r="BF1423" s="5630"/>
      <c r="BG1423" s="5630"/>
      <c r="BH1423" s="5630"/>
      <c r="BI1423" s="5638"/>
      <c r="BJ1423" s="5638"/>
      <c r="BK1423" s="5638"/>
      <c r="BL1423" s="5638"/>
      <c r="BM1423" s="5638"/>
      <c r="BN1423" s="5638">
        <v>127500</v>
      </c>
      <c r="BO1423" s="3083"/>
      <c r="BP1423" s="3083"/>
      <c r="BQ1423" s="3083"/>
      <c r="BR1423" s="3083"/>
      <c r="BS1423" s="3083"/>
      <c r="BT1423" s="3083"/>
      <c r="BU1423" s="3083"/>
      <c r="BV1423" s="5630"/>
      <c r="BW1423" s="5689"/>
      <c r="BX1423" s="3104"/>
      <c r="BY1423" s="3104"/>
      <c r="BZ1423" s="3104"/>
      <c r="CA1423" s="3104"/>
      <c r="CB1423" s="6689">
        <v>127500</v>
      </c>
      <c r="CC1423" s="3083"/>
      <c r="CD1423" s="3083"/>
      <c r="CE1423" s="5169"/>
      <c r="CF1423" s="5169"/>
      <c r="CG1423" s="5169"/>
      <c r="CH1423" s="5169"/>
    </row>
    <row r="1424" s="4965" customFormat="1" ht="46" spans="1:86">
      <c r="A1424" s="5079"/>
      <c r="B1424" s="5821"/>
      <c r="C1424" s="5821"/>
      <c r="D1424" s="6040"/>
      <c r="E1424" s="6040"/>
      <c r="F1424" s="6667"/>
      <c r="G1424" s="5678"/>
      <c r="H1424" s="5678"/>
      <c r="I1424" s="5678"/>
      <c r="J1424" s="5678"/>
      <c r="K1424" s="5678"/>
      <c r="L1424" s="5678"/>
      <c r="M1424" s="3083"/>
      <c r="N1424" s="5573"/>
      <c r="O1424" s="5573"/>
      <c r="P1424" s="5573"/>
      <c r="Q1424" s="5573"/>
      <c r="R1424" s="5573"/>
      <c r="S1424" s="5573"/>
      <c r="T1424" s="5573"/>
      <c r="U1424" s="5573"/>
      <c r="V1424" s="5573"/>
      <c r="W1424" s="5573"/>
      <c r="X1424" s="5573"/>
      <c r="Y1424" s="5573"/>
      <c r="Z1424" s="5573"/>
      <c r="AA1424" s="5573"/>
      <c r="AB1424" s="5573"/>
      <c r="AC1424" s="3083">
        <v>8</v>
      </c>
      <c r="AD1424" s="5544" t="s">
        <v>361</v>
      </c>
      <c r="AE1424" s="5544" t="s">
        <v>2056</v>
      </c>
      <c r="AF1424" s="3104">
        <f>167200*0.1+510000*0.15</f>
        <v>93220</v>
      </c>
      <c r="AG1424" s="3104">
        <f t="shared" si="288"/>
        <v>0</v>
      </c>
      <c r="AH1424" s="5544"/>
      <c r="AI1424" s="3083"/>
      <c r="AJ1424" s="3083"/>
      <c r="AK1424" s="3083"/>
      <c r="AL1424" s="3083"/>
      <c r="AM1424" s="3083"/>
      <c r="AN1424" s="3104">
        <f t="shared" si="286"/>
        <v>0</v>
      </c>
      <c r="AO1424" s="5630"/>
      <c r="AP1424" s="3104">
        <f t="shared" si="287"/>
        <v>0</v>
      </c>
      <c r="AQ1424" s="5629"/>
      <c r="AR1424" s="3083"/>
      <c r="AS1424" s="6686"/>
      <c r="AT1424" s="5629"/>
      <c r="AU1424" s="2680"/>
      <c r="AV1424" s="2680"/>
      <c r="AW1424" s="2680"/>
      <c r="AX1424" s="2680"/>
      <c r="AY1424" s="2680"/>
      <c r="AZ1424" s="2680"/>
      <c r="BA1424" s="5630"/>
      <c r="BB1424" s="5630"/>
      <c r="BC1424" s="5630"/>
      <c r="BD1424" s="5630"/>
      <c r="BE1424" s="5630"/>
      <c r="BF1424" s="5630"/>
      <c r="BG1424" s="5630"/>
      <c r="BH1424" s="5630"/>
      <c r="BI1424" s="5638"/>
      <c r="BJ1424" s="5638"/>
      <c r="BK1424" s="5638"/>
      <c r="BL1424" s="5638"/>
      <c r="BM1424" s="5638"/>
      <c r="BN1424" s="5638"/>
      <c r="BO1424" s="3083"/>
      <c r="BP1424" s="3083"/>
      <c r="BQ1424" s="3083"/>
      <c r="BR1424" s="3083"/>
      <c r="BS1424" s="3083"/>
      <c r="BT1424" s="3083"/>
      <c r="BU1424" s="3083"/>
      <c r="BV1424" s="5630"/>
      <c r="BW1424" s="5689"/>
      <c r="BX1424" s="3104"/>
      <c r="BY1424" s="3104"/>
      <c r="BZ1424" s="3104"/>
      <c r="CA1424" s="3104"/>
      <c r="CB1424" s="6689"/>
      <c r="CC1424" s="3083"/>
      <c r="CD1424" s="3083"/>
      <c r="CE1424" s="5169"/>
      <c r="CF1424" s="5169"/>
      <c r="CG1424" s="5169"/>
      <c r="CH1424" s="5169"/>
    </row>
    <row r="1425" s="4965" customFormat="1" ht="22.5" customHeight="1" spans="1:86">
      <c r="A1425" s="5079"/>
      <c r="B1425" s="5821"/>
      <c r="C1425" s="5821"/>
      <c r="D1425" s="6040"/>
      <c r="E1425" s="6040"/>
      <c r="F1425" s="5698" t="s">
        <v>2342</v>
      </c>
      <c r="G1425" s="5698" t="s">
        <v>2332</v>
      </c>
      <c r="H1425" s="5698" t="s">
        <v>993</v>
      </c>
      <c r="I1425" s="5698" t="s">
        <v>2333</v>
      </c>
      <c r="J1425" s="5698" t="s">
        <v>2024</v>
      </c>
      <c r="K1425" s="5698"/>
      <c r="L1425" s="5698"/>
      <c r="M1425" s="3077">
        <f>SUM(N1425:AA1429)</f>
        <v>1201529.7</v>
      </c>
      <c r="N1425" s="6489"/>
      <c r="O1425" s="6489"/>
      <c r="P1425" s="6489"/>
      <c r="Q1425" s="6489"/>
      <c r="R1425" s="6489"/>
      <c r="S1425" s="6489"/>
      <c r="T1425" s="6489"/>
      <c r="U1425" s="6489"/>
      <c r="V1425" s="6489"/>
      <c r="W1425" s="6489"/>
      <c r="X1425" s="6489"/>
      <c r="Y1425" s="6489"/>
      <c r="Z1425" s="6489"/>
      <c r="AA1425" s="6489">
        <v>1201529.7</v>
      </c>
      <c r="AB1425" s="6669" t="s">
        <v>126</v>
      </c>
      <c r="AC1425" s="3077">
        <v>1</v>
      </c>
      <c r="AD1425" s="5698" t="s">
        <v>1798</v>
      </c>
      <c r="AE1425" s="6508">
        <v>0.2</v>
      </c>
      <c r="AF1425" s="3100">
        <f>M1425*AE1425</f>
        <v>240305.94</v>
      </c>
      <c r="AG1425" s="6566">
        <f t="shared" si="288"/>
        <v>240305.94</v>
      </c>
      <c r="AH1425" s="5698" t="s">
        <v>122</v>
      </c>
      <c r="AI1425" s="5472">
        <v>45895</v>
      </c>
      <c r="AJ1425" s="3077">
        <v>240305.94</v>
      </c>
      <c r="AK1425" s="5472">
        <v>45895</v>
      </c>
      <c r="AL1425" s="3077">
        <v>240305.94</v>
      </c>
      <c r="AM1425" s="5472">
        <v>45895</v>
      </c>
      <c r="AN1425" s="6566">
        <f t="shared" si="286"/>
        <v>240305.94</v>
      </c>
      <c r="AO1425" s="5472">
        <v>45929</v>
      </c>
      <c r="AP1425" s="3100">
        <f t="shared" si="287"/>
        <v>0</v>
      </c>
      <c r="AQ1425" s="6553"/>
      <c r="AR1425" s="3077"/>
      <c r="AS1425" s="6559"/>
      <c r="AT1425" s="6553"/>
      <c r="AU1425" s="2680"/>
      <c r="AV1425" s="2680"/>
      <c r="AW1425" s="2680"/>
      <c r="AX1425" s="2680"/>
      <c r="AY1425" s="2680"/>
      <c r="AZ1425" s="2680"/>
      <c r="BA1425" s="5472"/>
      <c r="BB1425" s="5472"/>
      <c r="BC1425" s="5472"/>
      <c r="BD1425" s="5472"/>
      <c r="BE1425" s="5472"/>
      <c r="BF1425" s="5472"/>
      <c r="BG1425" s="5472"/>
      <c r="BH1425" s="5472"/>
      <c r="BI1425" s="6566"/>
      <c r="BJ1425" s="6566"/>
      <c r="BK1425" s="6566"/>
      <c r="BL1425" s="6566"/>
      <c r="BM1425" s="6566"/>
      <c r="BN1425" s="6566">
        <v>240305.94</v>
      </c>
      <c r="BO1425" s="3077"/>
      <c r="BP1425" s="3077"/>
      <c r="BQ1425" s="3077"/>
      <c r="BR1425" s="3077"/>
      <c r="BS1425" s="3077"/>
      <c r="BT1425" s="3077"/>
      <c r="BU1425" s="3077"/>
      <c r="BV1425" s="5472"/>
      <c r="BW1425" s="6569"/>
      <c r="BX1425" s="3100"/>
      <c r="BY1425" s="3100"/>
      <c r="BZ1425" s="3100"/>
      <c r="CA1425" s="3100"/>
      <c r="CB1425" s="6574">
        <v>240305.94</v>
      </c>
      <c r="CC1425" s="3077"/>
      <c r="CD1425" s="3077"/>
      <c r="CE1425" s="5169"/>
      <c r="CF1425" s="5169"/>
      <c r="CG1425" s="5169"/>
      <c r="CH1425" s="5169"/>
    </row>
    <row r="1426" s="4965" customFormat="1" ht="22.5" customHeight="1" spans="1:86">
      <c r="A1426" s="5079"/>
      <c r="B1426" s="5821"/>
      <c r="C1426" s="5821"/>
      <c r="D1426" s="6040"/>
      <c r="E1426" s="6040"/>
      <c r="F1426" s="6668"/>
      <c r="G1426" s="6668"/>
      <c r="H1426" s="6668"/>
      <c r="I1426" s="6668"/>
      <c r="J1426" s="6668"/>
      <c r="K1426" s="6668"/>
      <c r="L1426" s="6668"/>
      <c r="M1426" s="3077"/>
      <c r="N1426" s="6489"/>
      <c r="O1426" s="6489"/>
      <c r="P1426" s="6489"/>
      <c r="Q1426" s="6489"/>
      <c r="R1426" s="6489"/>
      <c r="S1426" s="6489"/>
      <c r="T1426" s="6489"/>
      <c r="U1426" s="6489"/>
      <c r="V1426" s="6489"/>
      <c r="W1426" s="6489"/>
      <c r="X1426" s="6489"/>
      <c r="Y1426" s="6489"/>
      <c r="Z1426" s="6489"/>
      <c r="AA1426" s="6489"/>
      <c r="AB1426" s="6489"/>
      <c r="AC1426" s="3077">
        <v>2</v>
      </c>
      <c r="AD1426" s="5698" t="s">
        <v>1799</v>
      </c>
      <c r="AE1426" s="6508">
        <v>0.2</v>
      </c>
      <c r="AF1426" s="3100">
        <f>M1425*AE1426</f>
        <v>240305.94</v>
      </c>
      <c r="AG1426" s="6566">
        <f t="shared" si="288"/>
        <v>240305.94</v>
      </c>
      <c r="AH1426" s="5698" t="s">
        <v>122</v>
      </c>
      <c r="AI1426" s="5472">
        <v>45895</v>
      </c>
      <c r="AJ1426" s="3077">
        <v>240305.94</v>
      </c>
      <c r="AK1426" s="5472">
        <v>45895</v>
      </c>
      <c r="AL1426" s="3077">
        <v>240305.94</v>
      </c>
      <c r="AM1426" s="5472">
        <v>45895</v>
      </c>
      <c r="AN1426" s="6566">
        <f t="shared" si="286"/>
        <v>240305.94</v>
      </c>
      <c r="AO1426" s="5472">
        <v>45929</v>
      </c>
      <c r="AP1426" s="3100">
        <f t="shared" si="287"/>
        <v>0</v>
      </c>
      <c r="AQ1426" s="6553"/>
      <c r="AR1426" s="3077"/>
      <c r="AS1426" s="6559"/>
      <c r="AT1426" s="6553"/>
      <c r="AU1426" s="2680"/>
      <c r="AV1426" s="2680"/>
      <c r="AW1426" s="2680"/>
      <c r="AX1426" s="2680"/>
      <c r="AY1426" s="2680"/>
      <c r="AZ1426" s="2680"/>
      <c r="BA1426" s="5472"/>
      <c r="BB1426" s="5472"/>
      <c r="BC1426" s="5472"/>
      <c r="BD1426" s="5472"/>
      <c r="BE1426" s="5472"/>
      <c r="BF1426" s="5472"/>
      <c r="BG1426" s="5472"/>
      <c r="BH1426" s="5472"/>
      <c r="BI1426" s="6566"/>
      <c r="BJ1426" s="6566"/>
      <c r="BK1426" s="6566"/>
      <c r="BL1426" s="6566"/>
      <c r="BM1426" s="6566"/>
      <c r="BN1426" s="6566">
        <v>240305.94</v>
      </c>
      <c r="BO1426" s="3077"/>
      <c r="BP1426" s="3077"/>
      <c r="BQ1426" s="3077"/>
      <c r="BR1426" s="3077"/>
      <c r="BS1426" s="3077"/>
      <c r="BT1426" s="3077"/>
      <c r="BU1426" s="3077"/>
      <c r="BV1426" s="5472"/>
      <c r="BW1426" s="6569"/>
      <c r="BX1426" s="3100"/>
      <c r="BY1426" s="3100"/>
      <c r="BZ1426" s="3100"/>
      <c r="CA1426" s="3100"/>
      <c r="CB1426" s="6574">
        <v>240305.94</v>
      </c>
      <c r="CC1426" s="3077"/>
      <c r="CD1426" s="3077"/>
      <c r="CE1426" s="5169"/>
      <c r="CF1426" s="5169"/>
      <c r="CG1426" s="5169"/>
      <c r="CH1426" s="5169"/>
    </row>
    <row r="1427" s="4965" customFormat="1" ht="22.5" customHeight="1" spans="1:86">
      <c r="A1427" s="5079"/>
      <c r="B1427" s="5821"/>
      <c r="C1427" s="5821"/>
      <c r="D1427" s="6040"/>
      <c r="E1427" s="6040"/>
      <c r="F1427" s="6668"/>
      <c r="G1427" s="6668"/>
      <c r="H1427" s="6668"/>
      <c r="I1427" s="6668"/>
      <c r="J1427" s="6668"/>
      <c r="K1427" s="6668"/>
      <c r="L1427" s="6668"/>
      <c r="M1427" s="3077"/>
      <c r="N1427" s="6489"/>
      <c r="O1427" s="6489"/>
      <c r="P1427" s="6489"/>
      <c r="Q1427" s="6489"/>
      <c r="R1427" s="6489"/>
      <c r="S1427" s="6489"/>
      <c r="T1427" s="6489"/>
      <c r="U1427" s="6489"/>
      <c r="V1427" s="6489"/>
      <c r="W1427" s="6489"/>
      <c r="X1427" s="6489"/>
      <c r="Y1427" s="6489"/>
      <c r="Z1427" s="6489"/>
      <c r="AA1427" s="6489"/>
      <c r="AB1427" s="6489"/>
      <c r="AC1427" s="3077">
        <v>3</v>
      </c>
      <c r="AD1427" s="5698" t="s">
        <v>2343</v>
      </c>
      <c r="AE1427" s="6508">
        <v>0.2</v>
      </c>
      <c r="AF1427" s="3100">
        <f>M1425*AE1427</f>
        <v>240305.94</v>
      </c>
      <c r="AG1427" s="6566">
        <f t="shared" si="288"/>
        <v>240305.94</v>
      </c>
      <c r="AH1427" s="5698" t="s">
        <v>122</v>
      </c>
      <c r="AI1427" s="5472">
        <v>45895</v>
      </c>
      <c r="AJ1427" s="3077">
        <v>240305.94</v>
      </c>
      <c r="AK1427" s="5472">
        <v>45895</v>
      </c>
      <c r="AL1427" s="3077">
        <v>240305.94</v>
      </c>
      <c r="AM1427" s="5472">
        <v>45895</v>
      </c>
      <c r="AN1427" s="6566">
        <f t="shared" si="286"/>
        <v>240305.94</v>
      </c>
      <c r="AO1427" s="5472">
        <v>45929</v>
      </c>
      <c r="AP1427" s="3100">
        <f t="shared" si="287"/>
        <v>0</v>
      </c>
      <c r="AQ1427" s="6553"/>
      <c r="AR1427" s="3077"/>
      <c r="AS1427" s="6559"/>
      <c r="AT1427" s="6553"/>
      <c r="AU1427" s="2680"/>
      <c r="AV1427" s="2680"/>
      <c r="AW1427" s="2680"/>
      <c r="AX1427" s="2680"/>
      <c r="AY1427" s="2680"/>
      <c r="AZ1427" s="2680"/>
      <c r="BA1427" s="5472"/>
      <c r="BB1427" s="5472"/>
      <c r="BC1427" s="5472"/>
      <c r="BD1427" s="5472"/>
      <c r="BE1427" s="5472"/>
      <c r="BF1427" s="5472"/>
      <c r="BG1427" s="5472"/>
      <c r="BH1427" s="5472"/>
      <c r="BI1427" s="6566"/>
      <c r="BJ1427" s="6566"/>
      <c r="BK1427" s="6566"/>
      <c r="BL1427" s="6566"/>
      <c r="BM1427" s="6566"/>
      <c r="BN1427" s="6566">
        <v>240305.94</v>
      </c>
      <c r="BO1427" s="3077"/>
      <c r="BP1427" s="3077"/>
      <c r="BQ1427" s="3077"/>
      <c r="BR1427" s="3077"/>
      <c r="BS1427" s="3077"/>
      <c r="BT1427" s="3077"/>
      <c r="BU1427" s="3077"/>
      <c r="BV1427" s="5472"/>
      <c r="BW1427" s="6569"/>
      <c r="BX1427" s="3100"/>
      <c r="BY1427" s="3100"/>
      <c r="BZ1427" s="3100"/>
      <c r="CA1427" s="3100"/>
      <c r="CB1427" s="6574">
        <v>240305.94</v>
      </c>
      <c r="CC1427" s="3077"/>
      <c r="CD1427" s="3077"/>
      <c r="CE1427" s="5169"/>
      <c r="CF1427" s="5169"/>
      <c r="CG1427" s="5169"/>
      <c r="CH1427" s="5169"/>
    </row>
    <row r="1428" s="4965" customFormat="1" ht="22.5" customHeight="1" spans="1:86">
      <c r="A1428" s="5079"/>
      <c r="B1428" s="5821"/>
      <c r="C1428" s="5821"/>
      <c r="D1428" s="6040"/>
      <c r="E1428" s="6040"/>
      <c r="F1428" s="6668"/>
      <c r="G1428" s="6668"/>
      <c r="H1428" s="6668"/>
      <c r="I1428" s="6668"/>
      <c r="J1428" s="6668"/>
      <c r="K1428" s="6668"/>
      <c r="L1428" s="6668"/>
      <c r="M1428" s="3077"/>
      <c r="N1428" s="6489"/>
      <c r="O1428" s="6489"/>
      <c r="P1428" s="6489"/>
      <c r="Q1428" s="6489"/>
      <c r="R1428" s="6489"/>
      <c r="S1428" s="6489"/>
      <c r="T1428" s="6489"/>
      <c r="U1428" s="6489"/>
      <c r="V1428" s="6489"/>
      <c r="W1428" s="6489"/>
      <c r="X1428" s="6489"/>
      <c r="Y1428" s="6489"/>
      <c r="Z1428" s="6489"/>
      <c r="AA1428" s="6489"/>
      <c r="AB1428" s="6489"/>
      <c r="AC1428" s="3077">
        <v>4</v>
      </c>
      <c r="AD1428" s="5698" t="s">
        <v>1803</v>
      </c>
      <c r="AE1428" s="6508">
        <v>0.2</v>
      </c>
      <c r="AF1428" s="3100">
        <f>M1425*AE1428</f>
        <v>240305.94</v>
      </c>
      <c r="AG1428" s="6566">
        <f t="shared" si="288"/>
        <v>240305.94</v>
      </c>
      <c r="AH1428" s="5698" t="s">
        <v>122</v>
      </c>
      <c r="AI1428" s="5472">
        <v>45895</v>
      </c>
      <c r="AJ1428" s="3077">
        <v>240305.94</v>
      </c>
      <c r="AK1428" s="5472">
        <v>45895</v>
      </c>
      <c r="AL1428" s="3077">
        <v>240305.94</v>
      </c>
      <c r="AM1428" s="5472">
        <v>45895</v>
      </c>
      <c r="AN1428" s="6566">
        <f t="shared" si="286"/>
        <v>240305.94</v>
      </c>
      <c r="AO1428" s="5472">
        <v>45929</v>
      </c>
      <c r="AP1428" s="3100">
        <f t="shared" si="287"/>
        <v>0</v>
      </c>
      <c r="AQ1428" s="6553"/>
      <c r="AR1428" s="3077"/>
      <c r="AS1428" s="6559"/>
      <c r="AT1428" s="6553"/>
      <c r="AU1428" s="2680"/>
      <c r="AV1428" s="2680"/>
      <c r="AW1428" s="2680"/>
      <c r="AX1428" s="2680"/>
      <c r="AY1428" s="2680"/>
      <c r="AZ1428" s="2680"/>
      <c r="BA1428" s="5472"/>
      <c r="BB1428" s="5472"/>
      <c r="BC1428" s="5472"/>
      <c r="BD1428" s="5472"/>
      <c r="BE1428" s="5472"/>
      <c r="BF1428" s="5472"/>
      <c r="BG1428" s="5472"/>
      <c r="BH1428" s="5472"/>
      <c r="BI1428" s="6566"/>
      <c r="BJ1428" s="6566"/>
      <c r="BK1428" s="6566"/>
      <c r="BL1428" s="6566"/>
      <c r="BM1428" s="6566"/>
      <c r="BN1428" s="6566">
        <v>240305.94</v>
      </c>
      <c r="BO1428" s="3077"/>
      <c r="BP1428" s="3077"/>
      <c r="BQ1428" s="3077"/>
      <c r="BR1428" s="3077"/>
      <c r="BS1428" s="3077"/>
      <c r="BT1428" s="3077"/>
      <c r="BU1428" s="3077"/>
      <c r="BV1428" s="5472"/>
      <c r="BW1428" s="6569"/>
      <c r="BX1428" s="3100"/>
      <c r="BY1428" s="3100"/>
      <c r="BZ1428" s="3100"/>
      <c r="CA1428" s="3100"/>
      <c r="CB1428" s="6574">
        <v>240305.94</v>
      </c>
      <c r="CC1428" s="3077"/>
      <c r="CD1428" s="3077"/>
      <c r="CE1428" s="5169"/>
      <c r="CF1428" s="5169"/>
      <c r="CG1428" s="5169"/>
      <c r="CH1428" s="5169"/>
    </row>
    <row r="1429" s="4965" customFormat="1" ht="22.5" customHeight="1" spans="1:86">
      <c r="A1429" s="5079"/>
      <c r="B1429" s="5821"/>
      <c r="C1429" s="5821"/>
      <c r="D1429" s="6040"/>
      <c r="E1429" s="6040"/>
      <c r="F1429" s="6668"/>
      <c r="G1429" s="6668"/>
      <c r="H1429" s="6668"/>
      <c r="I1429" s="6668"/>
      <c r="J1429" s="6668"/>
      <c r="K1429" s="6668"/>
      <c r="L1429" s="6668"/>
      <c r="M1429" s="3077"/>
      <c r="N1429" s="6490"/>
      <c r="O1429" s="6490"/>
      <c r="P1429" s="6490"/>
      <c r="Q1429" s="6490"/>
      <c r="R1429" s="6490"/>
      <c r="S1429" s="6490"/>
      <c r="T1429" s="6490"/>
      <c r="U1429" s="6490"/>
      <c r="V1429" s="6490"/>
      <c r="W1429" s="6490"/>
      <c r="X1429" s="6490"/>
      <c r="Y1429" s="6490"/>
      <c r="Z1429" s="6490"/>
      <c r="AA1429" s="6490"/>
      <c r="AB1429" s="6490"/>
      <c r="AC1429" s="3077">
        <v>5</v>
      </c>
      <c r="AD1429" s="5698" t="s">
        <v>2344</v>
      </c>
      <c r="AE1429" s="6508">
        <v>0.2</v>
      </c>
      <c r="AF1429" s="3100">
        <f>M1425*AE1429</f>
        <v>240305.94</v>
      </c>
      <c r="AG1429" s="3100">
        <f t="shared" si="288"/>
        <v>0</v>
      </c>
      <c r="AH1429" s="5698"/>
      <c r="AI1429" s="3077"/>
      <c r="AJ1429" s="3077"/>
      <c r="AK1429" s="3077"/>
      <c r="AL1429" s="3077"/>
      <c r="AM1429" s="3077"/>
      <c r="AN1429" s="3100">
        <f t="shared" si="286"/>
        <v>0</v>
      </c>
      <c r="AO1429" s="5472"/>
      <c r="AP1429" s="3100">
        <f t="shared" si="287"/>
        <v>0</v>
      </c>
      <c r="AQ1429" s="6553"/>
      <c r="AR1429" s="3077"/>
      <c r="AS1429" s="6559"/>
      <c r="AT1429" s="6553"/>
      <c r="AU1429" s="2680"/>
      <c r="AV1429" s="2680"/>
      <c r="AW1429" s="2680"/>
      <c r="AX1429" s="2680"/>
      <c r="AY1429" s="2680"/>
      <c r="AZ1429" s="2680"/>
      <c r="BA1429" s="5472"/>
      <c r="BB1429" s="5472"/>
      <c r="BC1429" s="5472"/>
      <c r="BD1429" s="5472"/>
      <c r="BE1429" s="5472"/>
      <c r="BF1429" s="5472"/>
      <c r="BG1429" s="5472"/>
      <c r="BH1429" s="5472"/>
      <c r="BI1429" s="6566"/>
      <c r="BJ1429" s="6566"/>
      <c r="BK1429" s="6566"/>
      <c r="BL1429" s="6566"/>
      <c r="BM1429" s="6566"/>
      <c r="BN1429" s="6566"/>
      <c r="BO1429" s="3077"/>
      <c r="BP1429" s="3077"/>
      <c r="BQ1429" s="3077"/>
      <c r="BR1429" s="3077"/>
      <c r="BS1429" s="3077"/>
      <c r="BT1429" s="3077"/>
      <c r="BU1429" s="3077"/>
      <c r="BV1429" s="5472"/>
      <c r="BW1429" s="6569"/>
      <c r="BX1429" s="3100"/>
      <c r="BY1429" s="3100"/>
      <c r="BZ1429" s="3100"/>
      <c r="CA1429" s="3100"/>
      <c r="CB1429" s="6574"/>
      <c r="CC1429" s="3077"/>
      <c r="CD1429" s="3077"/>
      <c r="CE1429" s="5169"/>
      <c r="CF1429" s="5169"/>
      <c r="CG1429" s="5169"/>
      <c r="CH1429" s="5169"/>
    </row>
    <row r="1430" s="4965" customFormat="1" ht="30" customHeight="1" spans="1:86">
      <c r="A1430" s="5079"/>
      <c r="B1430" s="5821"/>
      <c r="C1430" s="5821"/>
      <c r="D1430" s="6040"/>
      <c r="E1430" s="6040"/>
      <c r="F1430" s="5543" t="s">
        <v>2345</v>
      </c>
      <c r="G1430" s="5543" t="s">
        <v>2332</v>
      </c>
      <c r="H1430" s="5543" t="s">
        <v>2225</v>
      </c>
      <c r="I1430" s="5543" t="s">
        <v>2333</v>
      </c>
      <c r="J1430" s="5543" t="s">
        <v>2024</v>
      </c>
      <c r="K1430" s="5543"/>
      <c r="L1430" s="5543"/>
      <c r="M1430" s="2973">
        <f>SUM(N1430:AA1434)</f>
        <v>306794.98</v>
      </c>
      <c r="N1430" s="5563"/>
      <c r="O1430" s="5563"/>
      <c r="P1430" s="5563"/>
      <c r="Q1430" s="5563"/>
      <c r="R1430" s="5563"/>
      <c r="S1430" s="5563"/>
      <c r="T1430" s="5563"/>
      <c r="U1430" s="5563"/>
      <c r="V1430" s="5563">
        <v>154000</v>
      </c>
      <c r="W1430" s="5563"/>
      <c r="X1430" s="5563"/>
      <c r="Y1430" s="5563"/>
      <c r="Z1430" s="5563"/>
      <c r="AA1430" s="5563">
        <v>152794.98</v>
      </c>
      <c r="AB1430" s="5583"/>
      <c r="AC1430" s="2973">
        <v>1</v>
      </c>
      <c r="AD1430" s="5543" t="s">
        <v>395</v>
      </c>
      <c r="AE1430" s="6507">
        <v>0.2</v>
      </c>
      <c r="AF1430" s="2986">
        <f>M1430*AE1430</f>
        <v>61358.996</v>
      </c>
      <c r="AG1430" s="5613">
        <f t="shared" si="288"/>
        <v>61358.996</v>
      </c>
      <c r="AH1430" s="5543" t="s">
        <v>122</v>
      </c>
      <c r="AI1430" s="5588">
        <v>45895</v>
      </c>
      <c r="AJ1430" s="2973">
        <v>61358.996</v>
      </c>
      <c r="AK1430" s="5588">
        <v>45895</v>
      </c>
      <c r="AL1430" s="2973">
        <v>61358.996</v>
      </c>
      <c r="AM1430" s="5588">
        <v>45895</v>
      </c>
      <c r="AN1430" s="5613">
        <f t="shared" si="286"/>
        <v>61358.996</v>
      </c>
      <c r="AO1430" s="5588">
        <v>45929</v>
      </c>
      <c r="AP1430" s="2986">
        <f t="shared" si="287"/>
        <v>0</v>
      </c>
      <c r="AQ1430" s="5614"/>
      <c r="AR1430" s="2973"/>
      <c r="AS1430" s="6428"/>
      <c r="AT1430" s="5614"/>
      <c r="AU1430" s="2680"/>
      <c r="AV1430" s="2680"/>
      <c r="AW1430" s="2680"/>
      <c r="AX1430" s="2680"/>
      <c r="AY1430" s="2680"/>
      <c r="AZ1430" s="2680"/>
      <c r="BA1430" s="5588"/>
      <c r="BB1430" s="5588"/>
      <c r="BC1430" s="5588"/>
      <c r="BD1430" s="5588"/>
      <c r="BE1430" s="5588"/>
      <c r="BF1430" s="5588"/>
      <c r="BG1430" s="5588"/>
      <c r="BH1430" s="5588"/>
      <c r="BI1430" s="5613">
        <v>61358.996</v>
      </c>
      <c r="BJ1430" s="5613"/>
      <c r="BK1430" s="5613"/>
      <c r="BL1430" s="5613"/>
      <c r="BM1430" s="5613"/>
      <c r="BN1430" s="5613"/>
      <c r="BO1430" s="2973"/>
      <c r="BP1430" s="2973"/>
      <c r="BQ1430" s="2973"/>
      <c r="BR1430" s="2973"/>
      <c r="BS1430" s="2973"/>
      <c r="BT1430" s="2973"/>
      <c r="BU1430" s="2973"/>
      <c r="BV1430" s="5588"/>
      <c r="BW1430" s="5619">
        <v>61358.996</v>
      </c>
      <c r="BX1430" s="2986"/>
      <c r="BY1430" s="2986"/>
      <c r="BZ1430" s="2986"/>
      <c r="CA1430" s="2986"/>
      <c r="CB1430" s="5652"/>
      <c r="CC1430" s="2973"/>
      <c r="CD1430" s="2973"/>
      <c r="CE1430" s="5169"/>
      <c r="CF1430" s="5169"/>
      <c r="CG1430" s="5169"/>
      <c r="CH1430" s="5169"/>
    </row>
    <row r="1431" s="4965" customFormat="1" ht="30" customHeight="1" spans="1:86">
      <c r="A1431" s="5079"/>
      <c r="B1431" s="5821"/>
      <c r="C1431" s="5821"/>
      <c r="D1431" s="6040"/>
      <c r="E1431" s="6040"/>
      <c r="F1431" s="6292"/>
      <c r="G1431" s="3176"/>
      <c r="H1431" s="3176"/>
      <c r="I1431" s="3176"/>
      <c r="J1431" s="3176"/>
      <c r="K1431" s="3176"/>
      <c r="L1431" s="3176"/>
      <c r="M1431" s="2973"/>
      <c r="N1431" s="5563"/>
      <c r="O1431" s="5563"/>
      <c r="P1431" s="5563"/>
      <c r="Q1431" s="5563"/>
      <c r="R1431" s="5563"/>
      <c r="S1431" s="5563"/>
      <c r="T1431" s="5563"/>
      <c r="U1431" s="5563"/>
      <c r="V1431" s="5563"/>
      <c r="W1431" s="5563"/>
      <c r="X1431" s="5563"/>
      <c r="Y1431" s="5563"/>
      <c r="Z1431" s="5563"/>
      <c r="AA1431" s="5563"/>
      <c r="AB1431" s="5563"/>
      <c r="AC1431" s="2973">
        <v>2</v>
      </c>
      <c r="AD1431" s="5543" t="s">
        <v>397</v>
      </c>
      <c r="AE1431" s="6507">
        <v>0.3</v>
      </c>
      <c r="AF1431" s="2986">
        <f>M1430*AE1431</f>
        <v>92038.494</v>
      </c>
      <c r="AG1431" s="5613">
        <f t="shared" si="288"/>
        <v>92038.494</v>
      </c>
      <c r="AH1431" s="5543" t="s">
        <v>122</v>
      </c>
      <c r="AI1431" s="5588">
        <v>45895</v>
      </c>
      <c r="AJ1431" s="2973">
        <v>92038.494</v>
      </c>
      <c r="AK1431" s="5588">
        <v>45895</v>
      </c>
      <c r="AL1431" s="2973">
        <v>92038.494</v>
      </c>
      <c r="AM1431" s="5588">
        <v>45895</v>
      </c>
      <c r="AN1431" s="5613">
        <f t="shared" si="286"/>
        <v>92038.494</v>
      </c>
      <c r="AO1431" s="5588">
        <v>45929</v>
      </c>
      <c r="AP1431" s="2986">
        <f t="shared" si="287"/>
        <v>0</v>
      </c>
      <c r="AQ1431" s="5614"/>
      <c r="AR1431" s="2973"/>
      <c r="AS1431" s="6428"/>
      <c r="AT1431" s="5614"/>
      <c r="AU1431" s="2680"/>
      <c r="AV1431" s="2680"/>
      <c r="AW1431" s="2680"/>
      <c r="AX1431" s="2680"/>
      <c r="AY1431" s="2680"/>
      <c r="AZ1431" s="2680"/>
      <c r="BA1431" s="5588"/>
      <c r="BB1431" s="5588"/>
      <c r="BC1431" s="5588"/>
      <c r="BD1431" s="5588"/>
      <c r="BE1431" s="5588"/>
      <c r="BF1431" s="5588"/>
      <c r="BG1431" s="5588"/>
      <c r="BH1431" s="5588"/>
      <c r="BI1431" s="5613">
        <v>92038.494</v>
      </c>
      <c r="BJ1431" s="5613"/>
      <c r="BK1431" s="5613"/>
      <c r="BL1431" s="5613"/>
      <c r="BM1431" s="5613"/>
      <c r="BN1431" s="5613"/>
      <c r="BO1431" s="2973"/>
      <c r="BP1431" s="2973"/>
      <c r="BQ1431" s="2973"/>
      <c r="BR1431" s="2973"/>
      <c r="BS1431" s="2973"/>
      <c r="BT1431" s="2973"/>
      <c r="BU1431" s="2973"/>
      <c r="BV1431" s="5588"/>
      <c r="BW1431" s="5619">
        <v>92038.494</v>
      </c>
      <c r="BX1431" s="2986"/>
      <c r="BY1431" s="2986"/>
      <c r="BZ1431" s="2986"/>
      <c r="CA1431" s="2986"/>
      <c r="CB1431" s="5652"/>
      <c r="CC1431" s="2973"/>
      <c r="CD1431" s="2973"/>
      <c r="CE1431" s="5169"/>
      <c r="CF1431" s="5169"/>
      <c r="CG1431" s="5169"/>
      <c r="CH1431" s="5169"/>
    </row>
    <row r="1432" s="4965" customFormat="1" ht="30" customHeight="1" spans="1:86">
      <c r="A1432" s="5079"/>
      <c r="B1432" s="5821"/>
      <c r="C1432" s="5821"/>
      <c r="D1432" s="6040"/>
      <c r="E1432" s="6040"/>
      <c r="F1432" s="6292"/>
      <c r="G1432" s="3176"/>
      <c r="H1432" s="3176"/>
      <c r="I1432" s="3176"/>
      <c r="J1432" s="3176"/>
      <c r="K1432" s="3176"/>
      <c r="L1432" s="3176"/>
      <c r="M1432" s="2973"/>
      <c r="N1432" s="5563"/>
      <c r="O1432" s="5563"/>
      <c r="P1432" s="5563"/>
      <c r="Q1432" s="5563"/>
      <c r="R1432" s="5563"/>
      <c r="S1432" s="5563"/>
      <c r="T1432" s="5563"/>
      <c r="U1432" s="5563"/>
      <c r="V1432" s="5563"/>
      <c r="W1432" s="5563"/>
      <c r="X1432" s="5563"/>
      <c r="Y1432" s="5563"/>
      <c r="Z1432" s="5563"/>
      <c r="AA1432" s="5563"/>
      <c r="AB1432" s="5563"/>
      <c r="AC1432" s="2973">
        <v>3</v>
      </c>
      <c r="AD1432" s="5543" t="s">
        <v>2284</v>
      </c>
      <c r="AE1432" s="6507">
        <v>0.2</v>
      </c>
      <c r="AF1432" s="2986">
        <f>M1430*AE1432</f>
        <v>61358.996</v>
      </c>
      <c r="AG1432" s="5619">
        <f t="shared" si="288"/>
        <v>61358.996</v>
      </c>
      <c r="AH1432" s="6644" t="s">
        <v>349</v>
      </c>
      <c r="AI1432" s="5618">
        <v>46078</v>
      </c>
      <c r="AJ1432" s="2973"/>
      <c r="AK1432" s="2973"/>
      <c r="AL1432" s="2973"/>
      <c r="AM1432" s="2973"/>
      <c r="AN1432" s="5619">
        <f t="shared" si="286"/>
        <v>61358.996</v>
      </c>
      <c r="AO1432" s="5618">
        <v>46111</v>
      </c>
      <c r="AP1432" s="2986">
        <f t="shared" si="287"/>
        <v>0</v>
      </c>
      <c r="AQ1432" s="5614"/>
      <c r="AR1432" s="2973"/>
      <c r="AS1432" s="6428"/>
      <c r="AT1432" s="5614"/>
      <c r="AU1432" s="2680"/>
      <c r="AV1432" s="2680"/>
      <c r="AW1432" s="2680"/>
      <c r="AX1432" s="2680"/>
      <c r="AY1432" s="2680"/>
      <c r="AZ1432" s="2680"/>
      <c r="BA1432" s="5588"/>
      <c r="BB1432" s="5588"/>
      <c r="BC1432" s="5588"/>
      <c r="BD1432" s="5588"/>
      <c r="BE1432" s="5588"/>
      <c r="BF1432" s="5588"/>
      <c r="BG1432" s="5588"/>
      <c r="BH1432" s="5588">
        <v>61358.996</v>
      </c>
      <c r="BI1432" s="5613"/>
      <c r="BJ1432" s="5613"/>
      <c r="BK1432" s="5613"/>
      <c r="BL1432" s="5613"/>
      <c r="BM1432" s="5613"/>
      <c r="BN1432" s="5613"/>
      <c r="BO1432" s="2973"/>
      <c r="BP1432" s="2973"/>
      <c r="BQ1432" s="5588"/>
      <c r="BR1432" s="5588"/>
      <c r="BS1432" s="5588"/>
      <c r="BT1432" s="5588"/>
      <c r="BU1432" s="5588"/>
      <c r="BV1432" s="5588">
        <v>61358.996</v>
      </c>
      <c r="BW1432" s="5619"/>
      <c r="BX1432" s="2986"/>
      <c r="BY1432" s="2986"/>
      <c r="BZ1432" s="2986"/>
      <c r="CA1432" s="2986"/>
      <c r="CB1432" s="5652"/>
      <c r="CC1432" s="2973"/>
      <c r="CD1432" s="2973"/>
      <c r="CE1432" s="5169"/>
      <c r="CF1432" s="5169"/>
      <c r="CG1432" s="5169"/>
      <c r="CH1432" s="5169"/>
    </row>
    <row r="1433" s="4965" customFormat="1" ht="61" spans="1:86">
      <c r="A1433" s="5079"/>
      <c r="B1433" s="5821"/>
      <c r="C1433" s="5821"/>
      <c r="D1433" s="6040"/>
      <c r="E1433" s="6040"/>
      <c r="F1433" s="6292"/>
      <c r="G1433" s="3176"/>
      <c r="H1433" s="3176"/>
      <c r="I1433" s="3176"/>
      <c r="J1433" s="3176"/>
      <c r="K1433" s="3176"/>
      <c r="L1433" s="3176"/>
      <c r="M1433" s="2973"/>
      <c r="N1433" s="5563"/>
      <c r="O1433" s="5563"/>
      <c r="P1433" s="5563"/>
      <c r="Q1433" s="5563"/>
      <c r="R1433" s="5563"/>
      <c r="S1433" s="5563"/>
      <c r="T1433" s="5563"/>
      <c r="U1433" s="5563"/>
      <c r="V1433" s="5563"/>
      <c r="W1433" s="5563"/>
      <c r="X1433" s="5563"/>
      <c r="Y1433" s="5563"/>
      <c r="Z1433" s="5563"/>
      <c r="AA1433" s="5563"/>
      <c r="AB1433" s="5563"/>
      <c r="AC1433" s="2973">
        <v>4</v>
      </c>
      <c r="AD1433" s="5543" t="s">
        <v>399</v>
      </c>
      <c r="AE1433" s="6507">
        <v>0.25</v>
      </c>
      <c r="AF1433" s="2986">
        <f>M1430*AE1433</f>
        <v>76698.745</v>
      </c>
      <c r="AG1433" s="5619">
        <f t="shared" si="288"/>
        <v>76698.745</v>
      </c>
      <c r="AH1433" s="6644" t="s">
        <v>349</v>
      </c>
      <c r="AI1433" s="5618">
        <v>46078</v>
      </c>
      <c r="AJ1433" s="2973"/>
      <c r="AK1433" s="2973"/>
      <c r="AL1433" s="2973"/>
      <c r="AM1433" s="2973"/>
      <c r="AN1433" s="5619">
        <f t="shared" si="286"/>
        <v>76698.745</v>
      </c>
      <c r="AO1433" s="5618">
        <v>46111</v>
      </c>
      <c r="AP1433" s="2986">
        <f t="shared" si="287"/>
        <v>0</v>
      </c>
      <c r="AQ1433" s="5614"/>
      <c r="AR1433" s="2973"/>
      <c r="AS1433" s="6428"/>
      <c r="AT1433" s="5614"/>
      <c r="AU1433" s="2680"/>
      <c r="AV1433" s="2680"/>
      <c r="AW1433" s="2680"/>
      <c r="AX1433" s="2680"/>
      <c r="AY1433" s="2680"/>
      <c r="AZ1433" s="2680"/>
      <c r="BA1433" s="5588"/>
      <c r="BB1433" s="5588"/>
      <c r="BC1433" s="5588">
        <v>17228.15</v>
      </c>
      <c r="BD1433" s="5588"/>
      <c r="BE1433" s="5588"/>
      <c r="BF1433" s="5588"/>
      <c r="BG1433" s="5588"/>
      <c r="BH1433" s="5588">
        <f>76698.745-BC1433</f>
        <v>59470.595</v>
      </c>
      <c r="BI1433" s="5613"/>
      <c r="BJ1433" s="5613"/>
      <c r="BK1433" s="5613"/>
      <c r="BL1433" s="5613"/>
      <c r="BM1433" s="5613"/>
      <c r="BN1433" s="5613"/>
      <c r="BO1433" s="2973"/>
      <c r="BP1433" s="2973"/>
      <c r="BQ1433" s="5588">
        <v>17228.15</v>
      </c>
      <c r="BR1433" s="5588"/>
      <c r="BS1433" s="5588"/>
      <c r="BT1433" s="5588"/>
      <c r="BU1433" s="5588"/>
      <c r="BV1433" s="5588">
        <f>76698.745-BQ1433</f>
        <v>59470.595</v>
      </c>
      <c r="BW1433" s="5619"/>
      <c r="BX1433" s="2986"/>
      <c r="BY1433" s="2986"/>
      <c r="BZ1433" s="2986"/>
      <c r="CA1433" s="2986"/>
      <c r="CB1433" s="5652"/>
      <c r="CC1433" s="2973"/>
      <c r="CD1433" s="2973"/>
      <c r="CE1433" s="5169"/>
      <c r="CF1433" s="5169"/>
      <c r="CG1433" s="5169"/>
      <c r="CH1433" s="5169"/>
    </row>
    <row r="1434" s="4965" customFormat="1" ht="30" customHeight="1" spans="1:86">
      <c r="A1434" s="5079"/>
      <c r="B1434" s="5821"/>
      <c r="C1434" s="5821"/>
      <c r="D1434" s="6040"/>
      <c r="E1434" s="6040"/>
      <c r="F1434" s="6292"/>
      <c r="G1434" s="3176"/>
      <c r="H1434" s="3176"/>
      <c r="I1434" s="3176"/>
      <c r="J1434" s="3176"/>
      <c r="K1434" s="3176"/>
      <c r="L1434" s="3176"/>
      <c r="M1434" s="2973"/>
      <c r="N1434" s="5565"/>
      <c r="O1434" s="5565"/>
      <c r="P1434" s="5565"/>
      <c r="Q1434" s="5565"/>
      <c r="R1434" s="5565"/>
      <c r="S1434" s="5565"/>
      <c r="T1434" s="5565"/>
      <c r="U1434" s="5565"/>
      <c r="V1434" s="5565"/>
      <c r="W1434" s="5565"/>
      <c r="X1434" s="5565"/>
      <c r="Y1434" s="5565"/>
      <c r="Z1434" s="5565"/>
      <c r="AA1434" s="5565"/>
      <c r="AB1434" s="5565"/>
      <c r="AC1434" s="2973">
        <v>5</v>
      </c>
      <c r="AD1434" s="5543" t="s">
        <v>401</v>
      </c>
      <c r="AE1434" s="6507">
        <v>0.05</v>
      </c>
      <c r="AF1434" s="2986">
        <f>M1430*AE1434</f>
        <v>15339.749</v>
      </c>
      <c r="AG1434" s="5619">
        <f t="shared" si="288"/>
        <v>0</v>
      </c>
      <c r="AH1434" s="5543"/>
      <c r="AI1434" s="2973"/>
      <c r="AJ1434" s="2973"/>
      <c r="AK1434" s="2973"/>
      <c r="AL1434" s="2973"/>
      <c r="AM1434" s="2973"/>
      <c r="AN1434" s="2986">
        <f t="shared" si="286"/>
        <v>0</v>
      </c>
      <c r="AO1434" s="5588"/>
      <c r="AP1434" s="2986">
        <f t="shared" si="287"/>
        <v>0</v>
      </c>
      <c r="AQ1434" s="5614"/>
      <c r="AR1434" s="2973"/>
      <c r="AS1434" s="6428"/>
      <c r="AT1434" s="5614"/>
      <c r="AU1434" s="2680"/>
      <c r="AV1434" s="2680"/>
      <c r="AW1434" s="2680"/>
      <c r="AX1434" s="2680"/>
      <c r="AY1434" s="2680"/>
      <c r="AZ1434" s="2680"/>
      <c r="BA1434" s="5588"/>
      <c r="BB1434" s="5588"/>
      <c r="BC1434" s="5588"/>
      <c r="BD1434" s="5588"/>
      <c r="BE1434" s="5588"/>
      <c r="BF1434" s="5588"/>
      <c r="BG1434" s="5588"/>
      <c r="BH1434" s="5588"/>
      <c r="BI1434" s="5613"/>
      <c r="BJ1434" s="5613"/>
      <c r="BK1434" s="5613"/>
      <c r="BL1434" s="5613"/>
      <c r="BM1434" s="5613"/>
      <c r="BN1434" s="5613"/>
      <c r="BO1434" s="2973"/>
      <c r="BP1434" s="2973"/>
      <c r="BQ1434" s="2973"/>
      <c r="BR1434" s="2973"/>
      <c r="BS1434" s="2973"/>
      <c r="BT1434" s="2973"/>
      <c r="BU1434" s="2973"/>
      <c r="BV1434" s="5588"/>
      <c r="BW1434" s="5619"/>
      <c r="BX1434" s="2986"/>
      <c r="BY1434" s="2986"/>
      <c r="BZ1434" s="2986"/>
      <c r="CA1434" s="2986"/>
      <c r="CB1434" s="5652"/>
      <c r="CC1434" s="2973"/>
      <c r="CD1434" s="2973"/>
      <c r="CE1434" s="5169"/>
      <c r="CF1434" s="5169"/>
      <c r="CG1434" s="5169"/>
      <c r="CH1434" s="5169"/>
    </row>
    <row r="1435" s="4965" customFormat="1" ht="46" spans="1:86">
      <c r="A1435" s="5079"/>
      <c r="B1435" s="5821"/>
      <c r="C1435" s="5821"/>
      <c r="D1435" s="6040"/>
      <c r="E1435" s="6040"/>
      <c r="F1435" s="6388" t="s">
        <v>2346</v>
      </c>
      <c r="G1435" s="6388" t="s">
        <v>2332</v>
      </c>
      <c r="H1435" s="6388" t="s">
        <v>2229</v>
      </c>
      <c r="I1435" s="6388" t="s">
        <v>2333</v>
      </c>
      <c r="J1435" s="6388" t="s">
        <v>2024</v>
      </c>
      <c r="K1435" s="6388">
        <v>98397.49</v>
      </c>
      <c r="L1435" s="6388"/>
      <c r="M1435" s="3066">
        <f>SUM(N1435:AA1438)</f>
        <v>393589.96</v>
      </c>
      <c r="N1435" s="6341"/>
      <c r="O1435" s="6341"/>
      <c r="P1435" s="6341"/>
      <c r="Q1435" s="6341"/>
      <c r="R1435" s="6341"/>
      <c r="S1435" s="6341"/>
      <c r="T1435" s="6341"/>
      <c r="U1435" s="6341">
        <v>393589.96</v>
      </c>
      <c r="V1435" s="6341"/>
      <c r="W1435" s="6341"/>
      <c r="X1435" s="6341"/>
      <c r="Y1435" s="6341"/>
      <c r="Z1435" s="6341"/>
      <c r="AA1435" s="6341"/>
      <c r="AB1435" s="6341"/>
      <c r="AC1435" s="3066">
        <v>1</v>
      </c>
      <c r="AD1435" s="6388" t="s">
        <v>386</v>
      </c>
      <c r="AE1435" s="6389">
        <v>0.2</v>
      </c>
      <c r="AF1435" s="3098">
        <f>M1435*AE1435</f>
        <v>78717.992</v>
      </c>
      <c r="AG1435" s="6444">
        <f t="shared" si="288"/>
        <v>78717.992</v>
      </c>
      <c r="AH1435" s="6388" t="s">
        <v>122</v>
      </c>
      <c r="AI1435" s="3065">
        <v>45895</v>
      </c>
      <c r="AJ1435" s="3066">
        <v>78717.992</v>
      </c>
      <c r="AK1435" s="3065">
        <v>45895</v>
      </c>
      <c r="AL1435" s="3066">
        <v>78717.992</v>
      </c>
      <c r="AM1435" s="3065">
        <v>45895</v>
      </c>
      <c r="AN1435" s="6444">
        <f t="shared" si="286"/>
        <v>78717.992</v>
      </c>
      <c r="AO1435" s="3065">
        <v>45929</v>
      </c>
      <c r="AP1435" s="3098">
        <f t="shared" si="287"/>
        <v>0</v>
      </c>
      <c r="AQ1435" s="6424"/>
      <c r="AR1435" s="3066"/>
      <c r="AS1435" s="6440"/>
      <c r="AT1435" s="6424"/>
      <c r="AU1435" s="2680"/>
      <c r="AV1435" s="2680"/>
      <c r="AW1435" s="2680"/>
      <c r="AX1435" s="2680"/>
      <c r="AY1435" s="2680"/>
      <c r="AZ1435" s="2680"/>
      <c r="BA1435" s="3065"/>
      <c r="BB1435" s="3065"/>
      <c r="BC1435" s="3065"/>
      <c r="BD1435" s="3065"/>
      <c r="BE1435" s="3065"/>
      <c r="BF1435" s="3065"/>
      <c r="BG1435" s="3065"/>
      <c r="BH1435" s="3065">
        <v>78717.992</v>
      </c>
      <c r="BI1435" s="6444"/>
      <c r="BJ1435" s="6444"/>
      <c r="BK1435" s="6444"/>
      <c r="BL1435" s="6444"/>
      <c r="BM1435" s="6444"/>
      <c r="BN1435" s="6444"/>
      <c r="BO1435" s="3066"/>
      <c r="BP1435" s="3066"/>
      <c r="BQ1435" s="3066"/>
      <c r="BR1435" s="3066"/>
      <c r="BS1435" s="3066"/>
      <c r="BT1435" s="3066"/>
      <c r="BU1435" s="3066"/>
      <c r="BV1435" s="3065">
        <v>78717.992</v>
      </c>
      <c r="BW1435" s="6452"/>
      <c r="BX1435" s="3098"/>
      <c r="BY1435" s="3098"/>
      <c r="BZ1435" s="3098"/>
      <c r="CA1435" s="3098"/>
      <c r="CB1435" s="6456"/>
      <c r="CC1435" s="3066"/>
      <c r="CD1435" s="3066"/>
      <c r="CE1435" s="5169"/>
      <c r="CF1435" s="5169"/>
      <c r="CG1435" s="5169"/>
      <c r="CH1435" s="5169"/>
    </row>
    <row r="1436" s="4965" customFormat="1" ht="61" spans="1:86">
      <c r="A1436" s="5079"/>
      <c r="B1436" s="5821"/>
      <c r="C1436" s="5821"/>
      <c r="D1436" s="6040"/>
      <c r="E1436" s="6040"/>
      <c r="F1436" s="6522"/>
      <c r="G1436" s="6522"/>
      <c r="H1436" s="6522"/>
      <c r="I1436" s="6522"/>
      <c r="J1436" s="6522"/>
      <c r="K1436" s="6522"/>
      <c r="L1436" s="6522"/>
      <c r="M1436" s="3066"/>
      <c r="N1436" s="6341"/>
      <c r="O1436" s="6341"/>
      <c r="P1436" s="6341"/>
      <c r="Q1436" s="6341"/>
      <c r="R1436" s="6341"/>
      <c r="S1436" s="6341"/>
      <c r="T1436" s="6341"/>
      <c r="U1436" s="6341"/>
      <c r="V1436" s="6341"/>
      <c r="W1436" s="6341"/>
      <c r="X1436" s="6341"/>
      <c r="Y1436" s="6341"/>
      <c r="Z1436" s="6341"/>
      <c r="AA1436" s="6341"/>
      <c r="AB1436" s="6341"/>
      <c r="AC1436" s="3066">
        <v>2</v>
      </c>
      <c r="AD1436" s="6388" t="s">
        <v>388</v>
      </c>
      <c r="AE1436" s="6389">
        <v>0.2</v>
      </c>
      <c r="AF1436" s="3098">
        <f>M1435*AE1436</f>
        <v>78717.992</v>
      </c>
      <c r="AG1436" s="6444">
        <f t="shared" si="288"/>
        <v>78717.992</v>
      </c>
      <c r="AH1436" s="6388" t="s">
        <v>122</v>
      </c>
      <c r="AI1436" s="3065">
        <v>45895</v>
      </c>
      <c r="AJ1436" s="3066">
        <v>78717.992</v>
      </c>
      <c r="AK1436" s="3065">
        <v>45895</v>
      </c>
      <c r="AL1436" s="3066">
        <v>78717.992</v>
      </c>
      <c r="AM1436" s="3065">
        <v>45895</v>
      </c>
      <c r="AN1436" s="6444">
        <f t="shared" si="286"/>
        <v>78717.992</v>
      </c>
      <c r="AO1436" s="3065">
        <v>45929</v>
      </c>
      <c r="AP1436" s="3098">
        <f t="shared" si="287"/>
        <v>0</v>
      </c>
      <c r="AQ1436" s="6424"/>
      <c r="AR1436" s="3066"/>
      <c r="AS1436" s="6440"/>
      <c r="AT1436" s="6424"/>
      <c r="AU1436" s="2680"/>
      <c r="AV1436" s="2680"/>
      <c r="AW1436" s="2680"/>
      <c r="AX1436" s="2680"/>
      <c r="AY1436" s="2680"/>
      <c r="AZ1436" s="2680"/>
      <c r="BA1436" s="3065"/>
      <c r="BB1436" s="3065"/>
      <c r="BC1436" s="3065"/>
      <c r="BD1436" s="3065"/>
      <c r="BE1436" s="3065"/>
      <c r="BF1436" s="3065"/>
      <c r="BG1436" s="3065"/>
      <c r="BH1436" s="3065">
        <v>78717.992</v>
      </c>
      <c r="BI1436" s="6444"/>
      <c r="BJ1436" s="6444"/>
      <c r="BK1436" s="6444"/>
      <c r="BL1436" s="6444"/>
      <c r="BM1436" s="6444"/>
      <c r="BN1436" s="6444"/>
      <c r="BO1436" s="3066"/>
      <c r="BP1436" s="3066"/>
      <c r="BQ1436" s="3066"/>
      <c r="BR1436" s="3066"/>
      <c r="BS1436" s="3066"/>
      <c r="BT1436" s="3066"/>
      <c r="BU1436" s="3066"/>
      <c r="BV1436" s="3065">
        <v>78717.992</v>
      </c>
      <c r="BW1436" s="6452"/>
      <c r="BX1436" s="3098"/>
      <c r="BY1436" s="3098"/>
      <c r="BZ1436" s="3098"/>
      <c r="CA1436" s="3098"/>
      <c r="CB1436" s="6456"/>
      <c r="CC1436" s="3066"/>
      <c r="CD1436" s="3066"/>
      <c r="CE1436" s="5169"/>
      <c r="CF1436" s="5169"/>
      <c r="CG1436" s="5169"/>
      <c r="CH1436" s="5169"/>
    </row>
    <row r="1437" s="4965" customFormat="1" ht="61" spans="1:86">
      <c r="A1437" s="5079"/>
      <c r="B1437" s="5821"/>
      <c r="C1437" s="5821"/>
      <c r="D1437" s="6040"/>
      <c r="E1437" s="6040"/>
      <c r="F1437" s="6522"/>
      <c r="G1437" s="6522"/>
      <c r="H1437" s="6522"/>
      <c r="I1437" s="6522"/>
      <c r="J1437" s="6522"/>
      <c r="K1437" s="6522"/>
      <c r="L1437" s="6522"/>
      <c r="M1437" s="3066"/>
      <c r="N1437" s="6341"/>
      <c r="O1437" s="6341"/>
      <c r="P1437" s="6341"/>
      <c r="Q1437" s="6341"/>
      <c r="R1437" s="6341"/>
      <c r="S1437" s="6341"/>
      <c r="T1437" s="6341"/>
      <c r="U1437" s="6341"/>
      <c r="V1437" s="6341"/>
      <c r="W1437" s="6341"/>
      <c r="X1437" s="6341"/>
      <c r="Y1437" s="6341"/>
      <c r="Z1437" s="6341"/>
      <c r="AA1437" s="6341"/>
      <c r="AB1437" s="6341"/>
      <c r="AC1437" s="3066">
        <v>3</v>
      </c>
      <c r="AD1437" s="6388" t="s">
        <v>2347</v>
      </c>
      <c r="AE1437" s="6389">
        <v>0.4</v>
      </c>
      <c r="AF1437" s="3098">
        <f>M1435*AE1437</f>
        <v>157435.984</v>
      </c>
      <c r="AG1437" s="6444">
        <f t="shared" si="288"/>
        <v>157435.984</v>
      </c>
      <c r="AH1437" s="6388" t="s">
        <v>122</v>
      </c>
      <c r="AI1437" s="3065">
        <v>45895</v>
      </c>
      <c r="AJ1437" s="3066">
        <v>157435.984</v>
      </c>
      <c r="AK1437" s="3065">
        <v>45895</v>
      </c>
      <c r="AL1437" s="3066">
        <v>157435.984</v>
      </c>
      <c r="AM1437" s="3065">
        <v>45895</v>
      </c>
      <c r="AN1437" s="6444">
        <f t="shared" si="286"/>
        <v>157435.984</v>
      </c>
      <c r="AO1437" s="3065">
        <v>45929</v>
      </c>
      <c r="AP1437" s="3098">
        <f t="shared" si="287"/>
        <v>0</v>
      </c>
      <c r="AQ1437" s="6424"/>
      <c r="AR1437" s="3066"/>
      <c r="AS1437" s="6440"/>
      <c r="AT1437" s="6424"/>
      <c r="AU1437" s="2680"/>
      <c r="AV1437" s="2680"/>
      <c r="AW1437" s="2680"/>
      <c r="AX1437" s="2680"/>
      <c r="AY1437" s="2680"/>
      <c r="AZ1437" s="2680"/>
      <c r="BA1437" s="3065"/>
      <c r="BB1437" s="3065"/>
      <c r="BC1437" s="3065"/>
      <c r="BD1437" s="3065"/>
      <c r="BE1437" s="3065"/>
      <c r="BF1437" s="3065"/>
      <c r="BG1437" s="3065"/>
      <c r="BH1437" s="3065">
        <v>157435.984</v>
      </c>
      <c r="BI1437" s="6444"/>
      <c r="BJ1437" s="6444"/>
      <c r="BK1437" s="6444"/>
      <c r="BL1437" s="6444"/>
      <c r="BM1437" s="6444"/>
      <c r="BN1437" s="6444"/>
      <c r="BO1437" s="3066"/>
      <c r="BP1437" s="3066"/>
      <c r="BQ1437" s="3066"/>
      <c r="BR1437" s="3066"/>
      <c r="BS1437" s="3066"/>
      <c r="BT1437" s="3066"/>
      <c r="BU1437" s="3066"/>
      <c r="BV1437" s="3065">
        <v>157435.984</v>
      </c>
      <c r="BW1437" s="6452"/>
      <c r="BX1437" s="3098"/>
      <c r="BY1437" s="3098"/>
      <c r="BZ1437" s="3098"/>
      <c r="CA1437" s="3098"/>
      <c r="CB1437" s="6456"/>
      <c r="CC1437" s="3066"/>
      <c r="CD1437" s="3066"/>
      <c r="CE1437" s="5169"/>
      <c r="CF1437" s="5169"/>
      <c r="CG1437" s="5169"/>
      <c r="CH1437" s="5169"/>
    </row>
    <row r="1438" s="4965" customFormat="1" ht="46" spans="1:86">
      <c r="A1438" s="5079"/>
      <c r="B1438" s="5821"/>
      <c r="C1438" s="5821"/>
      <c r="D1438" s="6040"/>
      <c r="E1438" s="6040"/>
      <c r="F1438" s="6522"/>
      <c r="G1438" s="6522"/>
      <c r="H1438" s="6522"/>
      <c r="I1438" s="6522"/>
      <c r="J1438" s="6522"/>
      <c r="K1438" s="6522"/>
      <c r="L1438" s="6522"/>
      <c r="M1438" s="3066"/>
      <c r="N1438" s="6485"/>
      <c r="O1438" s="6485"/>
      <c r="P1438" s="6485"/>
      <c r="Q1438" s="6485"/>
      <c r="R1438" s="6485"/>
      <c r="S1438" s="6485"/>
      <c r="T1438" s="6485"/>
      <c r="U1438" s="6485"/>
      <c r="V1438" s="6485"/>
      <c r="W1438" s="6485"/>
      <c r="X1438" s="6485"/>
      <c r="Y1438" s="6485"/>
      <c r="Z1438" s="6485"/>
      <c r="AA1438" s="6485"/>
      <c r="AB1438" s="6485"/>
      <c r="AC1438" s="3066">
        <v>4</v>
      </c>
      <c r="AD1438" s="6388" t="s">
        <v>392</v>
      </c>
      <c r="AE1438" s="6389">
        <v>0.2</v>
      </c>
      <c r="AF1438" s="3098">
        <f>M1435*AE1438</f>
        <v>78717.992</v>
      </c>
      <c r="AG1438" s="3098">
        <f t="shared" si="288"/>
        <v>0</v>
      </c>
      <c r="AH1438" s="6388"/>
      <c r="AI1438" s="3066"/>
      <c r="AJ1438" s="3066"/>
      <c r="AK1438" s="3066"/>
      <c r="AL1438" s="3066"/>
      <c r="AM1438" s="3066"/>
      <c r="AN1438" s="3098">
        <f t="shared" si="286"/>
        <v>0</v>
      </c>
      <c r="AO1438" s="3065"/>
      <c r="AP1438" s="3098">
        <f t="shared" si="287"/>
        <v>0</v>
      </c>
      <c r="AQ1438" s="6424"/>
      <c r="AR1438" s="3066"/>
      <c r="AS1438" s="6440"/>
      <c r="AT1438" s="6424"/>
      <c r="AU1438" s="2680"/>
      <c r="AV1438" s="2680"/>
      <c r="AW1438" s="2680"/>
      <c r="AX1438" s="2680"/>
      <c r="AY1438" s="2680"/>
      <c r="AZ1438" s="2680"/>
      <c r="BA1438" s="3065"/>
      <c r="BB1438" s="3065"/>
      <c r="BC1438" s="3065"/>
      <c r="BD1438" s="3065"/>
      <c r="BE1438" s="3065"/>
      <c r="BF1438" s="3065"/>
      <c r="BG1438" s="3065"/>
      <c r="BH1438" s="3065"/>
      <c r="BI1438" s="6444"/>
      <c r="BJ1438" s="6444"/>
      <c r="BK1438" s="6444"/>
      <c r="BL1438" s="6444"/>
      <c r="BM1438" s="6444"/>
      <c r="BN1438" s="6444"/>
      <c r="BO1438" s="3066"/>
      <c r="BP1438" s="3066"/>
      <c r="BQ1438" s="3066"/>
      <c r="BR1438" s="3066"/>
      <c r="BS1438" s="3066"/>
      <c r="BT1438" s="3066"/>
      <c r="BU1438" s="3066"/>
      <c r="BV1438" s="3065"/>
      <c r="BW1438" s="6452"/>
      <c r="BX1438" s="3098"/>
      <c r="BY1438" s="3098"/>
      <c r="BZ1438" s="3098"/>
      <c r="CA1438" s="3098"/>
      <c r="CB1438" s="6456"/>
      <c r="CC1438" s="3066"/>
      <c r="CD1438" s="3066"/>
      <c r="CE1438" s="5169"/>
      <c r="CF1438" s="5169"/>
      <c r="CG1438" s="5169"/>
      <c r="CH1438" s="5169"/>
    </row>
    <row r="1439" s="4965" customFormat="1" ht="30" customHeight="1" spans="1:86">
      <c r="A1439" s="5079"/>
      <c r="B1439" s="5821"/>
      <c r="C1439" s="5821"/>
      <c r="D1439" s="6040"/>
      <c r="E1439" s="6040"/>
      <c r="F1439" s="5544" t="s">
        <v>2348</v>
      </c>
      <c r="G1439" s="5544" t="s">
        <v>2332</v>
      </c>
      <c r="H1439" s="5544" t="s">
        <v>2206</v>
      </c>
      <c r="I1439" s="5544" t="s">
        <v>2333</v>
      </c>
      <c r="J1439" s="5544" t="s">
        <v>2024</v>
      </c>
      <c r="K1439" s="5544">
        <v>98397.49</v>
      </c>
      <c r="L1439" s="5544"/>
      <c r="M1439" s="3083">
        <f>SUM(N1439:AA1441)</f>
        <v>98397.49</v>
      </c>
      <c r="N1439" s="4902"/>
      <c r="O1439" s="4902"/>
      <c r="P1439" s="4902"/>
      <c r="Q1439" s="4902"/>
      <c r="R1439" s="4902"/>
      <c r="S1439" s="4902"/>
      <c r="T1439" s="4902"/>
      <c r="U1439" s="4902">
        <v>98397.49</v>
      </c>
      <c r="V1439" s="4902"/>
      <c r="W1439" s="4902"/>
      <c r="X1439" s="4902"/>
      <c r="Y1439" s="4902"/>
      <c r="Z1439" s="4902"/>
      <c r="AA1439" s="4902"/>
      <c r="AB1439" s="4902"/>
      <c r="AC1439" s="3083">
        <v>1</v>
      </c>
      <c r="AD1439" s="5544" t="s">
        <v>2288</v>
      </c>
      <c r="AE1439" s="6670">
        <v>0.2</v>
      </c>
      <c r="AF1439" s="3104">
        <f>M1439*AE1439</f>
        <v>19679.498</v>
      </c>
      <c r="AG1439" s="5638">
        <f t="shared" si="288"/>
        <v>19679.498</v>
      </c>
      <c r="AH1439" s="5544" t="s">
        <v>122</v>
      </c>
      <c r="AI1439" s="5630">
        <v>45895</v>
      </c>
      <c r="AJ1439" s="3083">
        <v>19679.498</v>
      </c>
      <c r="AK1439" s="5630">
        <v>45895</v>
      </c>
      <c r="AL1439" s="3083">
        <v>19679.498</v>
      </c>
      <c r="AM1439" s="5630">
        <v>45895</v>
      </c>
      <c r="AN1439" s="5638">
        <f t="shared" si="286"/>
        <v>19679.498</v>
      </c>
      <c r="AO1439" s="5630">
        <v>45929</v>
      </c>
      <c r="AP1439" s="3104">
        <f t="shared" si="287"/>
        <v>0</v>
      </c>
      <c r="AQ1439" s="5629"/>
      <c r="AR1439" s="3083"/>
      <c r="AS1439" s="6686"/>
      <c r="AT1439" s="5629"/>
      <c r="AU1439" s="2680"/>
      <c r="AV1439" s="2680"/>
      <c r="AW1439" s="2680"/>
      <c r="AX1439" s="2680"/>
      <c r="AY1439" s="2680"/>
      <c r="AZ1439" s="2680"/>
      <c r="BA1439" s="5630"/>
      <c r="BB1439" s="5630"/>
      <c r="BC1439" s="5630"/>
      <c r="BD1439" s="5630"/>
      <c r="BE1439" s="5630"/>
      <c r="BF1439" s="5630"/>
      <c r="BG1439" s="5630"/>
      <c r="BH1439" s="5630">
        <v>19679.498</v>
      </c>
      <c r="BI1439" s="5638"/>
      <c r="BJ1439" s="5638"/>
      <c r="BK1439" s="5638"/>
      <c r="BL1439" s="5638"/>
      <c r="BM1439" s="5638"/>
      <c r="BN1439" s="5638"/>
      <c r="BO1439" s="3083"/>
      <c r="BP1439" s="3083"/>
      <c r="BQ1439" s="3083"/>
      <c r="BR1439" s="3083"/>
      <c r="BS1439" s="3083"/>
      <c r="BT1439" s="3083"/>
      <c r="BU1439" s="3083"/>
      <c r="BV1439" s="5630">
        <v>19679.498</v>
      </c>
      <c r="BW1439" s="5689"/>
      <c r="BX1439" s="3104"/>
      <c r="BY1439" s="3104"/>
      <c r="BZ1439" s="3104"/>
      <c r="CA1439" s="3104"/>
      <c r="CB1439" s="6689"/>
      <c r="CC1439" s="3083"/>
      <c r="CD1439" s="3083"/>
      <c r="CE1439" s="5169"/>
      <c r="CF1439" s="5169"/>
      <c r="CG1439" s="5169"/>
      <c r="CH1439" s="5169"/>
    </row>
    <row r="1440" s="4965" customFormat="1" ht="30" customHeight="1" spans="1:86">
      <c r="A1440" s="5079"/>
      <c r="B1440" s="5821"/>
      <c r="C1440" s="5821"/>
      <c r="D1440" s="6040"/>
      <c r="E1440" s="6040"/>
      <c r="F1440" s="5678"/>
      <c r="G1440" s="5678"/>
      <c r="H1440" s="5678"/>
      <c r="I1440" s="5678"/>
      <c r="J1440" s="5678"/>
      <c r="K1440" s="5678"/>
      <c r="L1440" s="5678"/>
      <c r="M1440" s="3083"/>
      <c r="N1440" s="4902"/>
      <c r="O1440" s="4902"/>
      <c r="P1440" s="4902"/>
      <c r="Q1440" s="4902"/>
      <c r="R1440" s="4902"/>
      <c r="S1440" s="4902"/>
      <c r="T1440" s="4902"/>
      <c r="U1440" s="4902"/>
      <c r="V1440" s="4902"/>
      <c r="W1440" s="4902"/>
      <c r="X1440" s="4902"/>
      <c r="Y1440" s="4902"/>
      <c r="Z1440" s="4902"/>
      <c r="AA1440" s="4902"/>
      <c r="AB1440" s="4902"/>
      <c r="AC1440" s="3083">
        <v>2</v>
      </c>
      <c r="AD1440" s="5544" t="s">
        <v>2289</v>
      </c>
      <c r="AE1440" s="6670">
        <v>0.6</v>
      </c>
      <c r="AF1440" s="3104">
        <f>M1439*AE1440</f>
        <v>59038.494</v>
      </c>
      <c r="AG1440" s="5638">
        <f t="shared" si="288"/>
        <v>59038.494</v>
      </c>
      <c r="AH1440" s="5544" t="s">
        <v>122</v>
      </c>
      <c r="AI1440" s="5630">
        <v>45895</v>
      </c>
      <c r="AJ1440" s="3083">
        <v>59038.494</v>
      </c>
      <c r="AK1440" s="5630">
        <v>45895</v>
      </c>
      <c r="AL1440" s="3083">
        <v>59038.494</v>
      </c>
      <c r="AM1440" s="5630">
        <v>45895</v>
      </c>
      <c r="AN1440" s="5638">
        <f t="shared" si="286"/>
        <v>59038.494</v>
      </c>
      <c r="AO1440" s="5630">
        <v>45929</v>
      </c>
      <c r="AP1440" s="3104">
        <f t="shared" si="287"/>
        <v>0</v>
      </c>
      <c r="AQ1440" s="5629"/>
      <c r="AR1440" s="3083"/>
      <c r="AS1440" s="6686"/>
      <c r="AT1440" s="5629"/>
      <c r="AU1440" s="2680"/>
      <c r="AV1440" s="2680"/>
      <c r="AW1440" s="2680"/>
      <c r="AX1440" s="2680"/>
      <c r="AY1440" s="2680"/>
      <c r="AZ1440" s="2680"/>
      <c r="BA1440" s="5630"/>
      <c r="BB1440" s="5630"/>
      <c r="BC1440" s="5630"/>
      <c r="BD1440" s="5630"/>
      <c r="BE1440" s="5630"/>
      <c r="BF1440" s="5630"/>
      <c r="BG1440" s="5630"/>
      <c r="BH1440" s="5630">
        <v>59038.494</v>
      </c>
      <c r="BI1440" s="5638"/>
      <c r="BJ1440" s="5638"/>
      <c r="BK1440" s="5638"/>
      <c r="BL1440" s="5638"/>
      <c r="BM1440" s="5638"/>
      <c r="BN1440" s="5638"/>
      <c r="BO1440" s="3083"/>
      <c r="BP1440" s="3083"/>
      <c r="BQ1440" s="3083"/>
      <c r="BR1440" s="3083"/>
      <c r="BS1440" s="3083"/>
      <c r="BT1440" s="3083"/>
      <c r="BU1440" s="3083"/>
      <c r="BV1440" s="5630">
        <v>59038.494</v>
      </c>
      <c r="BW1440" s="5689"/>
      <c r="BX1440" s="3104"/>
      <c r="BY1440" s="3104"/>
      <c r="BZ1440" s="3104"/>
      <c r="CA1440" s="3104"/>
      <c r="CB1440" s="6689"/>
      <c r="CC1440" s="3083"/>
      <c r="CD1440" s="3083"/>
      <c r="CE1440" s="5169"/>
      <c r="CF1440" s="5169"/>
      <c r="CG1440" s="5169"/>
      <c r="CH1440" s="5169"/>
    </row>
    <row r="1441" s="4965" customFormat="1" ht="30" customHeight="1" spans="1:86">
      <c r="A1441" s="5079"/>
      <c r="B1441" s="5821"/>
      <c r="C1441" s="5821"/>
      <c r="D1441" s="6040"/>
      <c r="E1441" s="6040"/>
      <c r="F1441" s="5678"/>
      <c r="G1441" s="5678"/>
      <c r="H1441" s="5678"/>
      <c r="I1441" s="5678"/>
      <c r="J1441" s="5678"/>
      <c r="K1441" s="5678"/>
      <c r="L1441" s="5678"/>
      <c r="M1441" s="3083"/>
      <c r="N1441" s="5573"/>
      <c r="O1441" s="5573"/>
      <c r="P1441" s="5573"/>
      <c r="Q1441" s="5573"/>
      <c r="R1441" s="5573"/>
      <c r="S1441" s="5573"/>
      <c r="T1441" s="5573"/>
      <c r="U1441" s="5573"/>
      <c r="V1441" s="5573"/>
      <c r="W1441" s="5573"/>
      <c r="X1441" s="5573"/>
      <c r="Y1441" s="5573"/>
      <c r="Z1441" s="5573"/>
      <c r="AA1441" s="5573"/>
      <c r="AB1441" s="5573"/>
      <c r="AC1441" s="3083">
        <v>3</v>
      </c>
      <c r="AD1441" s="5544" t="s">
        <v>2290</v>
      </c>
      <c r="AE1441" s="6670">
        <v>0.2</v>
      </c>
      <c r="AF1441" s="3104">
        <f>M1439*AE1441</f>
        <v>19679.498</v>
      </c>
      <c r="AG1441" s="3104">
        <f t="shared" si="288"/>
        <v>0</v>
      </c>
      <c r="AH1441" s="5544"/>
      <c r="AI1441" s="3083"/>
      <c r="AJ1441" s="3083"/>
      <c r="AK1441" s="3083"/>
      <c r="AL1441" s="3083"/>
      <c r="AM1441" s="3083"/>
      <c r="AN1441" s="3104">
        <f t="shared" si="286"/>
        <v>0</v>
      </c>
      <c r="AO1441" s="5630"/>
      <c r="AP1441" s="3104">
        <f t="shared" si="287"/>
        <v>0</v>
      </c>
      <c r="AQ1441" s="5629"/>
      <c r="AR1441" s="3083"/>
      <c r="AS1441" s="6686"/>
      <c r="AT1441" s="5629"/>
      <c r="AU1441" s="2680"/>
      <c r="AV1441" s="2680"/>
      <c r="AW1441" s="2680"/>
      <c r="AX1441" s="2680"/>
      <c r="AY1441" s="2680"/>
      <c r="AZ1441" s="2680"/>
      <c r="BA1441" s="5630"/>
      <c r="BB1441" s="5630"/>
      <c r="BC1441" s="5630"/>
      <c r="BD1441" s="5630"/>
      <c r="BE1441" s="5630"/>
      <c r="BF1441" s="5630"/>
      <c r="BG1441" s="5630"/>
      <c r="BH1441" s="5630"/>
      <c r="BI1441" s="5638"/>
      <c r="BJ1441" s="5638"/>
      <c r="BK1441" s="5638"/>
      <c r="BL1441" s="5638"/>
      <c r="BM1441" s="5638"/>
      <c r="BN1441" s="5638"/>
      <c r="BO1441" s="3083"/>
      <c r="BP1441" s="3083"/>
      <c r="BQ1441" s="3083"/>
      <c r="BR1441" s="3083"/>
      <c r="BS1441" s="3083"/>
      <c r="BT1441" s="3083"/>
      <c r="BU1441" s="3083"/>
      <c r="BV1441" s="5630"/>
      <c r="BW1441" s="5689"/>
      <c r="BX1441" s="3104"/>
      <c r="BY1441" s="3104"/>
      <c r="BZ1441" s="3104"/>
      <c r="CA1441" s="3104"/>
      <c r="CB1441" s="6689"/>
      <c r="CC1441" s="3083"/>
      <c r="CD1441" s="3083"/>
      <c r="CE1441" s="5169"/>
      <c r="CF1441" s="5169"/>
      <c r="CG1441" s="5169"/>
      <c r="CH1441" s="5169"/>
    </row>
    <row r="1442" s="4965" customFormat="1" ht="46" spans="1:86">
      <c r="A1442" s="5079"/>
      <c r="B1442" s="5821"/>
      <c r="C1442" s="5821"/>
      <c r="D1442" s="6040"/>
      <c r="E1442" s="6040"/>
      <c r="F1442" s="5440" t="s">
        <v>2349</v>
      </c>
      <c r="G1442" s="5440" t="s">
        <v>2332</v>
      </c>
      <c r="H1442" s="5440" t="s">
        <v>2350</v>
      </c>
      <c r="I1442" s="5440" t="s">
        <v>2333</v>
      </c>
      <c r="J1442" s="5440" t="s">
        <v>2024</v>
      </c>
      <c r="K1442" s="5440">
        <v>98397.49</v>
      </c>
      <c r="L1442" s="5440"/>
      <c r="M1442" s="4048">
        <f>SUM(N1442:AA1445)</f>
        <v>127916.74</v>
      </c>
      <c r="N1442" s="5453"/>
      <c r="O1442" s="5453"/>
      <c r="P1442" s="5453"/>
      <c r="Q1442" s="5453"/>
      <c r="R1442" s="5453"/>
      <c r="S1442" s="5453"/>
      <c r="T1442" s="5453"/>
      <c r="U1442" s="5453"/>
      <c r="V1442" s="5453"/>
      <c r="W1442" s="5453"/>
      <c r="X1442" s="5453"/>
      <c r="Y1442" s="5453"/>
      <c r="Z1442" s="5453"/>
      <c r="AA1442" s="5453">
        <v>127916.74</v>
      </c>
      <c r="AB1442" s="5660" t="s">
        <v>126</v>
      </c>
      <c r="AC1442" s="4048">
        <v>1</v>
      </c>
      <c r="AD1442" s="5440" t="s">
        <v>2351</v>
      </c>
      <c r="AE1442" s="6671">
        <v>0.2</v>
      </c>
      <c r="AF1442" s="6672">
        <f>M1442*AE1442</f>
        <v>25583.348</v>
      </c>
      <c r="AG1442" s="6672">
        <f t="shared" si="288"/>
        <v>25583.348</v>
      </c>
      <c r="AH1442" s="5440" t="s">
        <v>122</v>
      </c>
      <c r="AI1442" s="4048">
        <v>45895</v>
      </c>
      <c r="AJ1442" s="4048">
        <v>25583.348</v>
      </c>
      <c r="AK1442" s="4048">
        <v>45895</v>
      </c>
      <c r="AL1442" s="4048">
        <v>25583.348</v>
      </c>
      <c r="AM1442" s="4048">
        <v>45895</v>
      </c>
      <c r="AN1442" s="6672">
        <f t="shared" si="286"/>
        <v>25583.348</v>
      </c>
      <c r="AO1442" s="5200">
        <v>45929</v>
      </c>
      <c r="AP1442" s="6672">
        <f t="shared" si="287"/>
        <v>0</v>
      </c>
      <c r="AQ1442" s="5487"/>
      <c r="AR1442" s="4048"/>
      <c r="AS1442" s="6687"/>
      <c r="AT1442" s="5487"/>
      <c r="AU1442" s="2680"/>
      <c r="AV1442" s="2680"/>
      <c r="AW1442" s="2680"/>
      <c r="AX1442" s="2680"/>
      <c r="AY1442" s="2680"/>
      <c r="AZ1442" s="2680"/>
      <c r="BA1442" s="5200"/>
      <c r="BB1442" s="5200"/>
      <c r="BC1442" s="5200"/>
      <c r="BD1442" s="5200"/>
      <c r="BE1442" s="5200"/>
      <c r="BF1442" s="5200"/>
      <c r="BG1442" s="5200"/>
      <c r="BH1442" s="5200"/>
      <c r="BI1442" s="5482"/>
      <c r="BJ1442" s="5482"/>
      <c r="BK1442" s="5482"/>
      <c r="BL1442" s="5482"/>
      <c r="BM1442" s="5482"/>
      <c r="BN1442" s="5482">
        <v>25583.348</v>
      </c>
      <c r="BO1442" s="4048"/>
      <c r="BP1442" s="4048"/>
      <c r="BQ1442" s="4048"/>
      <c r="BR1442" s="4048"/>
      <c r="BS1442" s="4048"/>
      <c r="BT1442" s="4048"/>
      <c r="BU1442" s="4048"/>
      <c r="BV1442" s="5200"/>
      <c r="BW1442" s="6680"/>
      <c r="BX1442" s="6672"/>
      <c r="BY1442" s="6672"/>
      <c r="BZ1442" s="6672"/>
      <c r="CA1442" s="6672"/>
      <c r="CB1442" s="5451">
        <v>25583.348</v>
      </c>
      <c r="CC1442" s="4048"/>
      <c r="CD1442" s="4048"/>
      <c r="CE1442" s="5169"/>
      <c r="CF1442" s="5169"/>
      <c r="CG1442" s="5169"/>
      <c r="CH1442" s="5169"/>
    </row>
    <row r="1443" s="4965" customFormat="1" ht="76" spans="1:86">
      <c r="A1443" s="5079"/>
      <c r="B1443" s="5821"/>
      <c r="C1443" s="5821"/>
      <c r="D1443" s="6040"/>
      <c r="E1443" s="6040"/>
      <c r="F1443" s="5999"/>
      <c r="G1443" s="5661"/>
      <c r="H1443" s="5661"/>
      <c r="I1443" s="5661"/>
      <c r="J1443" s="5661"/>
      <c r="K1443" s="5661"/>
      <c r="L1443" s="5661"/>
      <c r="M1443" s="4048"/>
      <c r="N1443" s="5453"/>
      <c r="O1443" s="5453"/>
      <c r="P1443" s="5453"/>
      <c r="Q1443" s="5453"/>
      <c r="R1443" s="5453"/>
      <c r="S1443" s="5453"/>
      <c r="T1443" s="5453"/>
      <c r="U1443" s="5453"/>
      <c r="V1443" s="5453"/>
      <c r="W1443" s="5453"/>
      <c r="X1443" s="5453"/>
      <c r="Y1443" s="5453"/>
      <c r="Z1443" s="5453"/>
      <c r="AA1443" s="5453"/>
      <c r="AB1443" s="5453"/>
      <c r="AC1443" s="4048">
        <v>2</v>
      </c>
      <c r="AD1443" s="5440" t="s">
        <v>2352</v>
      </c>
      <c r="AE1443" s="6671">
        <v>0.4</v>
      </c>
      <c r="AF1443" s="6672">
        <f>M1442*AE1443</f>
        <v>51166.696</v>
      </c>
      <c r="AG1443" s="6672">
        <f t="shared" si="288"/>
        <v>51166.69</v>
      </c>
      <c r="AH1443" s="5440" t="s">
        <v>122</v>
      </c>
      <c r="AI1443" s="4048">
        <v>45895</v>
      </c>
      <c r="AJ1443" s="4048">
        <v>51166.69</v>
      </c>
      <c r="AK1443" s="4048">
        <v>45895</v>
      </c>
      <c r="AL1443" s="4048">
        <v>51166.69</v>
      </c>
      <c r="AM1443" s="4048">
        <v>45895</v>
      </c>
      <c r="AN1443" s="6672">
        <f t="shared" si="286"/>
        <v>51166.69</v>
      </c>
      <c r="AO1443" s="5200">
        <v>45929</v>
      </c>
      <c r="AP1443" s="6672">
        <f t="shared" si="287"/>
        <v>0</v>
      </c>
      <c r="AQ1443" s="5487"/>
      <c r="AR1443" s="4048"/>
      <c r="AS1443" s="6687"/>
      <c r="AT1443" s="5487"/>
      <c r="AU1443" s="2680"/>
      <c r="AV1443" s="2680"/>
      <c r="AW1443" s="2680"/>
      <c r="AX1443" s="2680"/>
      <c r="AY1443" s="2680"/>
      <c r="AZ1443" s="2680"/>
      <c r="BA1443" s="5200"/>
      <c r="BB1443" s="5200"/>
      <c r="BC1443" s="5200"/>
      <c r="BD1443" s="5200"/>
      <c r="BE1443" s="5200"/>
      <c r="BF1443" s="5200"/>
      <c r="BG1443" s="5200"/>
      <c r="BH1443" s="5200"/>
      <c r="BI1443" s="5482"/>
      <c r="BJ1443" s="5482"/>
      <c r="BK1443" s="5482"/>
      <c r="BL1443" s="5482"/>
      <c r="BM1443" s="5482"/>
      <c r="BN1443" s="5482">
        <v>51166.69</v>
      </c>
      <c r="BO1443" s="4048"/>
      <c r="BP1443" s="4048"/>
      <c r="BQ1443" s="4048"/>
      <c r="BR1443" s="4048"/>
      <c r="BS1443" s="4048"/>
      <c r="BT1443" s="4048"/>
      <c r="BU1443" s="4048"/>
      <c r="BV1443" s="5200"/>
      <c r="BW1443" s="6680"/>
      <c r="BX1443" s="6672"/>
      <c r="BY1443" s="6672"/>
      <c r="BZ1443" s="6672"/>
      <c r="CA1443" s="6672"/>
      <c r="CB1443" s="5451">
        <v>51166.69</v>
      </c>
      <c r="CC1443" s="4048"/>
      <c r="CD1443" s="4048"/>
      <c r="CE1443" s="5169"/>
      <c r="CF1443" s="5169"/>
      <c r="CG1443" s="5169"/>
      <c r="CH1443" s="5169"/>
    </row>
    <row r="1444" s="4965" customFormat="1" ht="46" spans="1:86">
      <c r="A1444" s="5079"/>
      <c r="B1444" s="5821"/>
      <c r="C1444" s="5821"/>
      <c r="D1444" s="6040"/>
      <c r="E1444" s="6040"/>
      <c r="F1444" s="5999"/>
      <c r="G1444" s="5661"/>
      <c r="H1444" s="5661"/>
      <c r="I1444" s="5661"/>
      <c r="J1444" s="5661"/>
      <c r="K1444" s="5661"/>
      <c r="L1444" s="5661"/>
      <c r="M1444" s="4048"/>
      <c r="N1444" s="5453"/>
      <c r="O1444" s="5453"/>
      <c r="P1444" s="5453"/>
      <c r="Q1444" s="5453"/>
      <c r="R1444" s="5453"/>
      <c r="S1444" s="5453"/>
      <c r="T1444" s="5453"/>
      <c r="U1444" s="5453"/>
      <c r="V1444" s="5453"/>
      <c r="W1444" s="5453"/>
      <c r="X1444" s="5453"/>
      <c r="Y1444" s="5453"/>
      <c r="Z1444" s="5453"/>
      <c r="AA1444" s="5453"/>
      <c r="AB1444" s="5453"/>
      <c r="AC1444" s="4048">
        <v>3</v>
      </c>
      <c r="AD1444" s="5440" t="s">
        <v>2353</v>
      </c>
      <c r="AE1444" s="6671">
        <v>0.2</v>
      </c>
      <c r="AF1444" s="6672">
        <f>M1442*AE1444</f>
        <v>25583.348</v>
      </c>
      <c r="AG1444" s="6680">
        <f t="shared" si="288"/>
        <v>25583.348</v>
      </c>
      <c r="AH1444" s="6681" t="s">
        <v>349</v>
      </c>
      <c r="AI1444" s="5523">
        <v>46078</v>
      </c>
      <c r="AJ1444" s="4048"/>
      <c r="AK1444" s="4048"/>
      <c r="AL1444" s="4048"/>
      <c r="AM1444" s="4048"/>
      <c r="AN1444" s="6680">
        <f t="shared" si="286"/>
        <v>25583.348</v>
      </c>
      <c r="AO1444" s="5523">
        <v>46111</v>
      </c>
      <c r="AP1444" s="6672">
        <f t="shared" si="287"/>
        <v>0</v>
      </c>
      <c r="AQ1444" s="5487"/>
      <c r="AR1444" s="4048"/>
      <c r="AS1444" s="6687"/>
      <c r="AT1444" s="5487"/>
      <c r="AU1444" s="2680"/>
      <c r="AV1444" s="2680"/>
      <c r="AW1444" s="2680"/>
      <c r="AX1444" s="2680"/>
      <c r="AY1444" s="2680"/>
      <c r="AZ1444" s="2680"/>
      <c r="BA1444" s="5200"/>
      <c r="BB1444" s="5200"/>
      <c r="BC1444" s="5200"/>
      <c r="BD1444" s="5200"/>
      <c r="BE1444" s="5200"/>
      <c r="BF1444" s="5200"/>
      <c r="BG1444" s="5200"/>
      <c r="BH1444" s="5200"/>
      <c r="BI1444" s="5482"/>
      <c r="BJ1444" s="5482"/>
      <c r="BK1444" s="5482"/>
      <c r="BL1444" s="5482"/>
      <c r="BM1444" s="5482"/>
      <c r="BN1444" s="5482">
        <v>25583.348</v>
      </c>
      <c r="BO1444" s="4048"/>
      <c r="BP1444" s="4048"/>
      <c r="BQ1444" s="4048"/>
      <c r="BR1444" s="4048"/>
      <c r="BS1444" s="4048"/>
      <c r="BT1444" s="4048"/>
      <c r="BU1444" s="4048"/>
      <c r="BV1444" s="5200"/>
      <c r="BW1444" s="6680"/>
      <c r="BX1444" s="6672"/>
      <c r="BY1444" s="6672"/>
      <c r="BZ1444" s="6672"/>
      <c r="CA1444" s="6672"/>
      <c r="CB1444" s="5451">
        <v>25583.348</v>
      </c>
      <c r="CC1444" s="4048"/>
      <c r="CD1444" s="4048"/>
      <c r="CE1444" s="5169"/>
      <c r="CF1444" s="5169"/>
      <c r="CG1444" s="5169"/>
      <c r="CH1444" s="5169"/>
    </row>
    <row r="1445" s="4965" customFormat="1" ht="46" spans="1:86">
      <c r="A1445" s="5079"/>
      <c r="B1445" s="5822"/>
      <c r="C1445" s="5822"/>
      <c r="D1445" s="5145"/>
      <c r="E1445" s="5145"/>
      <c r="F1445" s="5999"/>
      <c r="G1445" s="5661"/>
      <c r="H1445" s="5661"/>
      <c r="I1445" s="5661"/>
      <c r="J1445" s="5661"/>
      <c r="K1445" s="5661"/>
      <c r="L1445" s="5661"/>
      <c r="M1445" s="4048"/>
      <c r="N1445" s="5454"/>
      <c r="O1445" s="5454"/>
      <c r="P1445" s="5454"/>
      <c r="Q1445" s="5454"/>
      <c r="R1445" s="5454"/>
      <c r="S1445" s="5454"/>
      <c r="T1445" s="5454"/>
      <c r="U1445" s="5454"/>
      <c r="V1445" s="5454"/>
      <c r="W1445" s="5454"/>
      <c r="X1445" s="5454"/>
      <c r="Y1445" s="5454"/>
      <c r="Z1445" s="5454"/>
      <c r="AA1445" s="5454"/>
      <c r="AB1445" s="5454"/>
      <c r="AC1445" s="4048">
        <v>4</v>
      </c>
      <c r="AD1445" s="5440" t="s">
        <v>2354</v>
      </c>
      <c r="AE1445" s="6671">
        <v>0.2</v>
      </c>
      <c r="AF1445" s="6672">
        <f>M1442*AE1445</f>
        <v>25583.348</v>
      </c>
      <c r="AG1445" s="6672">
        <f t="shared" si="288"/>
        <v>0</v>
      </c>
      <c r="AH1445" s="5440"/>
      <c r="AI1445" s="4048"/>
      <c r="AJ1445" s="4048"/>
      <c r="AK1445" s="4048"/>
      <c r="AL1445" s="4048"/>
      <c r="AM1445" s="4048"/>
      <c r="AN1445" s="6672">
        <f t="shared" si="286"/>
        <v>0</v>
      </c>
      <c r="AO1445" s="5200"/>
      <c r="AP1445" s="6672">
        <f t="shared" si="287"/>
        <v>0</v>
      </c>
      <c r="AQ1445" s="5487"/>
      <c r="AR1445" s="4048"/>
      <c r="AS1445" s="6687"/>
      <c r="AT1445" s="5487"/>
      <c r="AU1445" s="2680"/>
      <c r="AV1445" s="2680"/>
      <c r="AW1445" s="2680"/>
      <c r="AX1445" s="2680"/>
      <c r="AY1445" s="2680"/>
      <c r="AZ1445" s="2680"/>
      <c r="BA1445" s="5200"/>
      <c r="BB1445" s="5200"/>
      <c r="BC1445" s="5200"/>
      <c r="BD1445" s="5200"/>
      <c r="BE1445" s="5200"/>
      <c r="BF1445" s="5200"/>
      <c r="BG1445" s="5200"/>
      <c r="BH1445" s="5200"/>
      <c r="BI1445" s="5482"/>
      <c r="BJ1445" s="5482"/>
      <c r="BK1445" s="5482"/>
      <c r="BL1445" s="5482"/>
      <c r="BM1445" s="5482"/>
      <c r="BN1445" s="5482"/>
      <c r="BO1445" s="4048"/>
      <c r="BP1445" s="4048"/>
      <c r="BQ1445" s="4048"/>
      <c r="BR1445" s="4048"/>
      <c r="BS1445" s="4048"/>
      <c r="BT1445" s="4048"/>
      <c r="BU1445" s="4048"/>
      <c r="BV1445" s="5200"/>
      <c r="BW1445" s="6680"/>
      <c r="BX1445" s="6672"/>
      <c r="BY1445" s="6672"/>
      <c r="BZ1445" s="6672"/>
      <c r="CA1445" s="6672"/>
      <c r="CB1445" s="5451"/>
      <c r="CC1445" s="4048"/>
      <c r="CD1445" s="4048"/>
      <c r="CE1445" s="5169"/>
      <c r="CF1445" s="5169"/>
      <c r="CG1445" s="5169"/>
      <c r="CH1445" s="5169"/>
    </row>
    <row r="1446" s="4965" customFormat="1" ht="30" customHeight="1" spans="1:86">
      <c r="A1446" s="5079"/>
      <c r="B1446" s="6040" t="s">
        <v>1951</v>
      </c>
      <c r="C1446" s="5821">
        <v>45838</v>
      </c>
      <c r="D1446" s="6040" t="s">
        <v>2355</v>
      </c>
      <c r="E1446" s="6040"/>
      <c r="F1446" s="6590" t="s">
        <v>2356</v>
      </c>
      <c r="G1446" s="6590" t="s">
        <v>2357</v>
      </c>
      <c r="H1446" s="6590" t="s">
        <v>193</v>
      </c>
      <c r="I1446" s="6590" t="s">
        <v>2358</v>
      </c>
      <c r="J1446" s="6590" t="s">
        <v>2359</v>
      </c>
      <c r="K1446" s="6578">
        <v>67071.08</v>
      </c>
      <c r="L1446" s="6590" t="s">
        <v>2360</v>
      </c>
      <c r="M1446" s="6497">
        <f>SUM(N1446:AA1450)</f>
        <v>273650.01</v>
      </c>
      <c r="N1446" s="6497"/>
      <c r="O1446" s="6497"/>
      <c r="P1446" s="6497"/>
      <c r="Q1446" s="6497"/>
      <c r="R1446" s="6497"/>
      <c r="S1446" s="6497"/>
      <c r="T1446" s="6497"/>
      <c r="U1446" s="6497">
        <v>30000</v>
      </c>
      <c r="V1446" s="6497">
        <f>238284.32+5365.69</f>
        <v>243650.01</v>
      </c>
      <c r="W1446" s="6497"/>
      <c r="X1446" s="6497"/>
      <c r="Y1446" s="6497"/>
      <c r="Z1446" s="6497"/>
      <c r="AA1446" s="6497"/>
      <c r="AB1446" s="6497"/>
      <c r="AC1446" s="5488">
        <v>1</v>
      </c>
      <c r="AD1446" s="6627" t="s">
        <v>123</v>
      </c>
      <c r="AE1446" s="6525">
        <v>0.2</v>
      </c>
      <c r="AF1446" s="6526">
        <f>M1446*AE1446</f>
        <v>54730.002</v>
      </c>
      <c r="AG1446" s="6526">
        <f t="shared" si="288"/>
        <v>53656.86</v>
      </c>
      <c r="AH1446" s="6627" t="s">
        <v>122</v>
      </c>
      <c r="AI1446" s="6567">
        <v>45859</v>
      </c>
      <c r="AJ1446" s="5488">
        <v>53656.86</v>
      </c>
      <c r="AK1446" s="5488">
        <v>45859</v>
      </c>
      <c r="AL1446" s="5488">
        <v>53656.86</v>
      </c>
      <c r="AM1446" s="5488">
        <v>45859</v>
      </c>
      <c r="AN1446" s="5483">
        <f t="shared" si="286"/>
        <v>53656.86</v>
      </c>
      <c r="AO1446" s="5483">
        <v>45894</v>
      </c>
      <c r="AP1446" s="5488">
        <f t="shared" si="287"/>
        <v>0</v>
      </c>
      <c r="AQ1446" s="6557"/>
      <c r="AR1446" s="5488"/>
      <c r="AS1446" s="6563"/>
      <c r="AT1446" s="6557"/>
      <c r="AU1446" s="2680"/>
      <c r="AV1446" s="2680"/>
      <c r="AW1446" s="2680"/>
      <c r="AX1446" s="2680"/>
      <c r="AY1446" s="2680"/>
      <c r="AZ1446" s="2680"/>
      <c r="BA1446" s="5483"/>
      <c r="BB1446" s="5483"/>
      <c r="BC1446" s="5483"/>
      <c r="BD1446" s="5483"/>
      <c r="BE1446" s="5483"/>
      <c r="BF1446" s="5483"/>
      <c r="BG1446" s="5483"/>
      <c r="BH1446" s="5483"/>
      <c r="BI1446" s="6567">
        <v>53656.86</v>
      </c>
      <c r="BJ1446" s="6567"/>
      <c r="BK1446" s="6567"/>
      <c r="BL1446" s="6567"/>
      <c r="BM1446" s="6567"/>
      <c r="BN1446" s="6567"/>
      <c r="BO1446" s="5488"/>
      <c r="BP1446" s="5488"/>
      <c r="BQ1446" s="5488"/>
      <c r="BR1446" s="5488"/>
      <c r="BS1446" s="5488"/>
      <c r="BT1446" s="5488"/>
      <c r="BU1446" s="5488"/>
      <c r="BV1446" s="5483"/>
      <c r="BW1446" s="6567">
        <v>53656.86</v>
      </c>
      <c r="BX1446" s="6526"/>
      <c r="BY1446" s="6526"/>
      <c r="BZ1446" s="6526"/>
      <c r="CA1446" s="6526"/>
      <c r="CB1446" s="6577"/>
      <c r="CC1446" s="5488"/>
      <c r="CD1446" s="5488"/>
      <c r="CE1446" s="5169"/>
      <c r="CF1446" s="5169"/>
      <c r="CG1446" s="5169"/>
      <c r="CH1446" s="5169"/>
    </row>
    <row r="1447" s="4965" customFormat="1" ht="30" customHeight="1" spans="1:86">
      <c r="A1447" s="5079"/>
      <c r="B1447" s="5821"/>
      <c r="C1447" s="5821"/>
      <c r="D1447" s="6040"/>
      <c r="E1447" s="6040"/>
      <c r="F1447" s="6578"/>
      <c r="G1447" s="6578"/>
      <c r="H1447" s="6578"/>
      <c r="I1447" s="6578"/>
      <c r="J1447" s="6578"/>
      <c r="K1447" s="6578"/>
      <c r="L1447" s="6578"/>
      <c r="M1447" s="6497"/>
      <c r="N1447" s="6497"/>
      <c r="O1447" s="6497"/>
      <c r="P1447" s="6497"/>
      <c r="Q1447" s="6497"/>
      <c r="R1447" s="6497"/>
      <c r="S1447" s="6497"/>
      <c r="T1447" s="6497"/>
      <c r="U1447" s="6497"/>
      <c r="V1447" s="6497"/>
      <c r="W1447" s="6497"/>
      <c r="X1447" s="6497"/>
      <c r="Y1447" s="6497"/>
      <c r="Z1447" s="6497"/>
      <c r="AA1447" s="6497"/>
      <c r="AB1447" s="6497"/>
      <c r="AC1447" s="5488">
        <v>2</v>
      </c>
      <c r="AD1447" s="6627" t="s">
        <v>397</v>
      </c>
      <c r="AE1447" s="6525">
        <v>0.3</v>
      </c>
      <c r="AF1447" s="6526">
        <f>M1446*AE1447</f>
        <v>82095.003</v>
      </c>
      <c r="AG1447" s="6526">
        <f t="shared" si="288"/>
        <v>80485.3</v>
      </c>
      <c r="AH1447" s="6627" t="s">
        <v>122</v>
      </c>
      <c r="AI1447" s="6567">
        <v>45859</v>
      </c>
      <c r="AJ1447" s="5488">
        <v>80485.3</v>
      </c>
      <c r="AK1447" s="5488">
        <v>45859</v>
      </c>
      <c r="AL1447" s="5488">
        <v>80485.3</v>
      </c>
      <c r="AM1447" s="5488">
        <v>45859</v>
      </c>
      <c r="AN1447" s="5483">
        <f t="shared" si="286"/>
        <v>80485.3</v>
      </c>
      <c r="AO1447" s="5483">
        <v>45894</v>
      </c>
      <c r="AP1447" s="5488">
        <f t="shared" si="287"/>
        <v>0</v>
      </c>
      <c r="AQ1447" s="6557"/>
      <c r="AR1447" s="5488"/>
      <c r="AS1447" s="6563"/>
      <c r="AT1447" s="6557"/>
      <c r="AU1447" s="2680"/>
      <c r="AV1447" s="2680"/>
      <c r="AW1447" s="2680"/>
      <c r="AX1447" s="2680"/>
      <c r="AY1447" s="2680"/>
      <c r="AZ1447" s="2680"/>
      <c r="BA1447" s="5483"/>
      <c r="BB1447" s="5483"/>
      <c r="BC1447" s="5483"/>
      <c r="BD1447" s="5483"/>
      <c r="BE1447" s="5483"/>
      <c r="BF1447" s="5483"/>
      <c r="BG1447" s="5483"/>
      <c r="BH1447" s="5483"/>
      <c r="BI1447" s="6567">
        <v>80485.3</v>
      </c>
      <c r="BJ1447" s="6567"/>
      <c r="BK1447" s="6567"/>
      <c r="BL1447" s="6567"/>
      <c r="BM1447" s="6567"/>
      <c r="BN1447" s="6567"/>
      <c r="BO1447" s="5488"/>
      <c r="BP1447" s="5488"/>
      <c r="BQ1447" s="5488"/>
      <c r="BR1447" s="5488"/>
      <c r="BS1447" s="5488"/>
      <c r="BT1447" s="5488"/>
      <c r="BU1447" s="5488"/>
      <c r="BV1447" s="5483"/>
      <c r="BW1447" s="6567">
        <v>80485.3</v>
      </c>
      <c r="BX1447" s="6526"/>
      <c r="BY1447" s="6526"/>
      <c r="BZ1447" s="6526"/>
      <c r="CA1447" s="6526"/>
      <c r="CB1447" s="6577"/>
      <c r="CC1447" s="5488"/>
      <c r="CD1447" s="5488"/>
      <c r="CE1447" s="5169"/>
      <c r="CF1447" s="5169"/>
      <c r="CG1447" s="5169"/>
      <c r="CH1447" s="5169"/>
    </row>
    <row r="1448" s="4965" customFormat="1" ht="30" customHeight="1" spans="1:86">
      <c r="A1448" s="5079"/>
      <c r="B1448" s="5821"/>
      <c r="C1448" s="5821"/>
      <c r="D1448" s="6666"/>
      <c r="E1448" s="6040"/>
      <c r="F1448" s="6578"/>
      <c r="G1448" s="6578"/>
      <c r="H1448" s="6578"/>
      <c r="I1448" s="6578"/>
      <c r="J1448" s="6578"/>
      <c r="K1448" s="6578"/>
      <c r="L1448" s="6578"/>
      <c r="M1448" s="6497"/>
      <c r="N1448" s="6497"/>
      <c r="O1448" s="6497"/>
      <c r="P1448" s="6497"/>
      <c r="Q1448" s="6497"/>
      <c r="R1448" s="6497"/>
      <c r="S1448" s="6497"/>
      <c r="T1448" s="6497"/>
      <c r="U1448" s="6497"/>
      <c r="V1448" s="6497"/>
      <c r="W1448" s="6497"/>
      <c r="X1448" s="6497"/>
      <c r="Y1448" s="6497"/>
      <c r="Z1448" s="6497"/>
      <c r="AA1448" s="6497"/>
      <c r="AB1448" s="6497"/>
      <c r="AC1448" s="5488">
        <v>3</v>
      </c>
      <c r="AD1448" s="6627" t="s">
        <v>2284</v>
      </c>
      <c r="AE1448" s="6525">
        <v>0.2</v>
      </c>
      <c r="AF1448" s="6526">
        <f>M1446*AE1448</f>
        <v>54730.002</v>
      </c>
      <c r="AG1448" s="6572">
        <f t="shared" si="288"/>
        <v>53656.86</v>
      </c>
      <c r="AH1448" s="6682" t="s">
        <v>349</v>
      </c>
      <c r="AI1448" s="6655">
        <v>46052</v>
      </c>
      <c r="AJ1448" s="5488"/>
      <c r="AK1448" s="5488"/>
      <c r="AL1448" s="5488"/>
      <c r="AM1448" s="5488"/>
      <c r="AN1448" s="6655">
        <f t="shared" si="286"/>
        <v>53656.86</v>
      </c>
      <c r="AO1448" s="6655">
        <v>46052</v>
      </c>
      <c r="AP1448" s="5488">
        <f t="shared" si="287"/>
        <v>0</v>
      </c>
      <c r="AQ1448" s="6557"/>
      <c r="AR1448" s="5488"/>
      <c r="AS1448" s="6563"/>
      <c r="AT1448" s="6557"/>
      <c r="AU1448" s="2680"/>
      <c r="AV1448" s="2680"/>
      <c r="AW1448" s="2680"/>
      <c r="AX1448" s="2680"/>
      <c r="AY1448" s="2680"/>
      <c r="AZ1448" s="2680"/>
      <c r="BA1448" s="5483"/>
      <c r="BB1448" s="5483"/>
      <c r="BC1448" s="5483"/>
      <c r="BD1448" s="5483"/>
      <c r="BE1448" s="5483"/>
      <c r="BF1448" s="5483"/>
      <c r="BG1448" s="5483"/>
      <c r="BH1448" s="5483">
        <v>30000</v>
      </c>
      <c r="BI1448" s="6567">
        <v>23656.86</v>
      </c>
      <c r="BJ1448" s="6567"/>
      <c r="BK1448" s="6567"/>
      <c r="BL1448" s="6567"/>
      <c r="BM1448" s="6567"/>
      <c r="BN1448" s="6567"/>
      <c r="BO1448" s="5488"/>
      <c r="BP1448" s="5488"/>
      <c r="BQ1448" s="5488"/>
      <c r="BR1448" s="5488"/>
      <c r="BS1448" s="5488"/>
      <c r="BT1448" s="5488"/>
      <c r="BU1448" s="5488"/>
      <c r="BV1448" s="5483">
        <v>30000</v>
      </c>
      <c r="BW1448" s="6567">
        <v>23656.86</v>
      </c>
      <c r="BX1448" s="6526"/>
      <c r="BY1448" s="6526"/>
      <c r="BZ1448" s="6526"/>
      <c r="CA1448" s="6526"/>
      <c r="CB1448" s="6577"/>
      <c r="CC1448" s="5488"/>
      <c r="CD1448" s="5488"/>
      <c r="CE1448" s="5169"/>
      <c r="CF1448" s="5169"/>
      <c r="CG1448" s="5169"/>
      <c r="CH1448" s="5169"/>
    </row>
    <row r="1449" s="4965" customFormat="1" ht="61" spans="1:86">
      <c r="A1449" s="5079"/>
      <c r="B1449" s="5821"/>
      <c r="C1449" s="5821"/>
      <c r="D1449" s="6666"/>
      <c r="E1449" s="6040"/>
      <c r="F1449" s="6578"/>
      <c r="G1449" s="6578"/>
      <c r="H1449" s="6578"/>
      <c r="I1449" s="6578"/>
      <c r="J1449" s="6578"/>
      <c r="K1449" s="6578"/>
      <c r="L1449" s="6578"/>
      <c r="M1449" s="6497"/>
      <c r="N1449" s="6497"/>
      <c r="O1449" s="6497"/>
      <c r="P1449" s="6497"/>
      <c r="Q1449" s="6497"/>
      <c r="R1449" s="6497"/>
      <c r="S1449" s="6497"/>
      <c r="T1449" s="6497"/>
      <c r="U1449" s="6497"/>
      <c r="V1449" s="6497"/>
      <c r="W1449" s="6497"/>
      <c r="X1449" s="6497"/>
      <c r="Y1449" s="6497"/>
      <c r="Z1449" s="6497"/>
      <c r="AA1449" s="6497"/>
      <c r="AB1449" s="6497"/>
      <c r="AC1449" s="5488">
        <v>4</v>
      </c>
      <c r="AD1449" s="6627" t="s">
        <v>399</v>
      </c>
      <c r="AE1449" s="6525">
        <v>0.25</v>
      </c>
      <c r="AF1449" s="6526">
        <f>M1446*AE1449</f>
        <v>68412.5025</v>
      </c>
      <c r="AG1449" s="6572">
        <f t="shared" si="288"/>
        <v>68412.5025</v>
      </c>
      <c r="AH1449" s="6682" t="s">
        <v>349</v>
      </c>
      <c r="AI1449" s="6655">
        <v>46111</v>
      </c>
      <c r="AJ1449" s="5488"/>
      <c r="AK1449" s="5488"/>
      <c r="AL1449" s="5488"/>
      <c r="AM1449" s="5488"/>
      <c r="AN1449" s="6655">
        <f t="shared" si="286"/>
        <v>68412.5025</v>
      </c>
      <c r="AO1449" s="6655">
        <v>46142</v>
      </c>
      <c r="AP1449" s="5488">
        <f t="shared" si="287"/>
        <v>0</v>
      </c>
      <c r="AQ1449" s="6557"/>
      <c r="AR1449" s="5488"/>
      <c r="AS1449" s="6563"/>
      <c r="AT1449" s="6557"/>
      <c r="AU1449" s="2680"/>
      <c r="AV1449" s="2680"/>
      <c r="AW1449" s="2680"/>
      <c r="AX1449" s="2680"/>
      <c r="AY1449" s="2680"/>
      <c r="AZ1449" s="2680"/>
      <c r="BA1449" s="5483"/>
      <c r="BB1449" s="5483"/>
      <c r="BC1449" s="5483"/>
      <c r="BD1449" s="5483"/>
      <c r="BE1449" s="5483"/>
      <c r="BF1449" s="5483"/>
      <c r="BG1449" s="5483"/>
      <c r="BH1449" s="5483"/>
      <c r="BI1449" s="6567">
        <v>68412.5025</v>
      </c>
      <c r="BJ1449" s="6567"/>
      <c r="BK1449" s="6567"/>
      <c r="BL1449" s="6567"/>
      <c r="BM1449" s="6567"/>
      <c r="BN1449" s="6567"/>
      <c r="BO1449" s="5488"/>
      <c r="BP1449" s="5488"/>
      <c r="BQ1449" s="5488"/>
      <c r="BR1449" s="5488"/>
      <c r="BS1449" s="5488"/>
      <c r="BT1449" s="5488"/>
      <c r="BU1449" s="5488"/>
      <c r="BV1449" s="5483"/>
      <c r="BW1449" s="6567">
        <v>68412.5025</v>
      </c>
      <c r="BX1449" s="6526"/>
      <c r="BY1449" s="6526"/>
      <c r="BZ1449" s="6526"/>
      <c r="CA1449" s="6526"/>
      <c r="CB1449" s="6577"/>
      <c r="CC1449" s="5488"/>
      <c r="CD1449" s="5488"/>
      <c r="CE1449" s="5169"/>
      <c r="CF1449" s="5169"/>
      <c r="CG1449" s="5169"/>
      <c r="CH1449" s="5169"/>
    </row>
    <row r="1450" s="4965" customFormat="1" ht="30" customHeight="1" spans="1:86">
      <c r="A1450" s="5079"/>
      <c r="B1450" s="5822"/>
      <c r="C1450" s="5822"/>
      <c r="D1450" s="5145"/>
      <c r="E1450" s="5145"/>
      <c r="F1450" s="6579"/>
      <c r="G1450" s="6579"/>
      <c r="H1450" s="6579"/>
      <c r="I1450" s="6578"/>
      <c r="J1450" s="6579"/>
      <c r="K1450" s="6579"/>
      <c r="L1450" s="6578"/>
      <c r="M1450" s="6598"/>
      <c r="N1450" s="6598"/>
      <c r="O1450" s="6598"/>
      <c r="P1450" s="6598"/>
      <c r="Q1450" s="6598"/>
      <c r="R1450" s="6598"/>
      <c r="S1450" s="6598"/>
      <c r="T1450" s="6598"/>
      <c r="U1450" s="6598"/>
      <c r="V1450" s="6598"/>
      <c r="W1450" s="6598"/>
      <c r="X1450" s="6598"/>
      <c r="Y1450" s="6598"/>
      <c r="Z1450" s="6598"/>
      <c r="AA1450" s="6598"/>
      <c r="AB1450" s="6598"/>
      <c r="AC1450" s="5488">
        <v>5</v>
      </c>
      <c r="AD1450" s="6627" t="s">
        <v>401</v>
      </c>
      <c r="AE1450" s="6525">
        <v>0.05</v>
      </c>
      <c r="AF1450" s="6526">
        <f>M1446*AE1450</f>
        <v>13682.5005</v>
      </c>
      <c r="AG1450" s="6526">
        <f t="shared" si="288"/>
        <v>0</v>
      </c>
      <c r="AH1450" s="6627"/>
      <c r="AI1450" s="5488"/>
      <c r="AJ1450" s="5488"/>
      <c r="AK1450" s="5488"/>
      <c r="AL1450" s="5488"/>
      <c r="AM1450" s="5488"/>
      <c r="AN1450" s="5488">
        <f t="shared" si="286"/>
        <v>0</v>
      </c>
      <c r="AO1450" s="5483"/>
      <c r="AP1450" s="5488">
        <f t="shared" si="287"/>
        <v>0</v>
      </c>
      <c r="AQ1450" s="6557"/>
      <c r="AR1450" s="5488"/>
      <c r="AS1450" s="6563"/>
      <c r="AT1450" s="6557"/>
      <c r="AU1450" s="2680"/>
      <c r="AV1450" s="2680"/>
      <c r="AW1450" s="2680"/>
      <c r="AX1450" s="2680"/>
      <c r="AY1450" s="2680"/>
      <c r="AZ1450" s="2680"/>
      <c r="BA1450" s="5483"/>
      <c r="BB1450" s="5483"/>
      <c r="BC1450" s="5483"/>
      <c r="BD1450" s="5483"/>
      <c r="BE1450" s="5483"/>
      <c r="BF1450" s="5483"/>
      <c r="BG1450" s="5483"/>
      <c r="BH1450" s="5483"/>
      <c r="BI1450" s="6567"/>
      <c r="BJ1450" s="6567"/>
      <c r="BK1450" s="6567"/>
      <c r="BL1450" s="6567"/>
      <c r="BM1450" s="6567"/>
      <c r="BN1450" s="6567"/>
      <c r="BO1450" s="5488"/>
      <c r="BP1450" s="5488"/>
      <c r="BQ1450" s="5488"/>
      <c r="BR1450" s="5488"/>
      <c r="BS1450" s="5488"/>
      <c r="BT1450" s="5488"/>
      <c r="BU1450" s="5488"/>
      <c r="BV1450" s="5483"/>
      <c r="BW1450" s="6572"/>
      <c r="BX1450" s="6526"/>
      <c r="BY1450" s="6526"/>
      <c r="BZ1450" s="6526"/>
      <c r="CA1450" s="6526"/>
      <c r="CB1450" s="6577"/>
      <c r="CC1450" s="5488"/>
      <c r="CD1450" s="5488"/>
      <c r="CE1450" s="5169"/>
      <c r="CF1450" s="5169"/>
      <c r="CG1450" s="5169"/>
      <c r="CH1450" s="5169"/>
    </row>
    <row r="1451" s="4972" customFormat="1" ht="61" customHeight="1" spans="1:86">
      <c r="A1451" s="5053">
        <v>19</v>
      </c>
      <c r="B1451" s="5053" t="s">
        <v>1951</v>
      </c>
      <c r="C1451" s="5053">
        <v>43903</v>
      </c>
      <c r="D1451" s="5055" t="s">
        <v>2361</v>
      </c>
      <c r="E1451" s="1035" t="s">
        <v>2362</v>
      </c>
      <c r="F1451" s="5053" t="s">
        <v>2363</v>
      </c>
      <c r="G1451" s="5053" t="s">
        <v>2364</v>
      </c>
      <c r="H1451" s="5053" t="s">
        <v>193</v>
      </c>
      <c r="I1451" s="5069"/>
      <c r="J1451" s="5053" t="s">
        <v>2365</v>
      </c>
      <c r="K1451" s="5055" t="s">
        <v>2366</v>
      </c>
      <c r="L1451" s="5069" t="s">
        <v>2367</v>
      </c>
      <c r="M1451" s="3662">
        <f>SUM(N1451:AA1456)</f>
        <v>4077227.24</v>
      </c>
      <c r="N1451" s="2680">
        <v>0</v>
      </c>
      <c r="O1451" s="2680">
        <v>0</v>
      </c>
      <c r="P1451" s="2680">
        <v>0</v>
      </c>
      <c r="Q1451" s="2680">
        <v>0</v>
      </c>
      <c r="R1451" s="2680">
        <v>0</v>
      </c>
      <c r="S1451" s="2680">
        <v>0</v>
      </c>
      <c r="T1451" s="5823">
        <v>0</v>
      </c>
      <c r="U1451" s="2680">
        <v>0</v>
      </c>
      <c r="V1451" s="2680">
        <v>4077227.24</v>
      </c>
      <c r="W1451" s="2680">
        <v>0</v>
      </c>
      <c r="X1451" s="2680">
        <v>0</v>
      </c>
      <c r="Y1451" s="2680"/>
      <c r="Z1451" s="2680"/>
      <c r="AA1451" s="2680">
        <v>0</v>
      </c>
      <c r="AB1451" s="2680">
        <v>0</v>
      </c>
      <c r="AC1451" s="3662">
        <v>1</v>
      </c>
      <c r="AD1451" s="5149" t="s">
        <v>2368</v>
      </c>
      <c r="AE1451" s="6057" t="s">
        <v>2369</v>
      </c>
      <c r="AF1451" s="5815">
        <v>1248922.085</v>
      </c>
      <c r="AG1451" s="3684">
        <f t="shared" ref="AG1451:AG1465" si="289">SUM(BA1451:BN1451)</f>
        <v>1248922.085</v>
      </c>
      <c r="AH1451" s="5055" t="s">
        <v>206</v>
      </c>
      <c r="AI1451" s="3662">
        <v>43999</v>
      </c>
      <c r="AJ1451" s="3662" t="s">
        <v>171</v>
      </c>
      <c r="AK1451" s="3662" t="s">
        <v>171</v>
      </c>
      <c r="AL1451" s="3662">
        <v>1248922.085</v>
      </c>
      <c r="AM1451" s="3662">
        <v>43999</v>
      </c>
      <c r="AN1451" s="3684">
        <f t="shared" ref="AN1451:AN1466" si="290">SUM(BO1451:CB1451)</f>
        <v>1248922.085</v>
      </c>
      <c r="AO1451" s="3684">
        <v>44175</v>
      </c>
      <c r="AP1451" s="3684">
        <f t="shared" ref="AP1451:AP1456" si="291">AG1451-AN1451</f>
        <v>0</v>
      </c>
      <c r="AQ1451" s="5127" t="s">
        <v>2370</v>
      </c>
      <c r="AR1451" s="3662"/>
      <c r="AS1451" s="6688" t="s">
        <v>2371</v>
      </c>
      <c r="AT1451" s="5127"/>
      <c r="AU1451" s="3662">
        <f>SUM(AG1451:AG1456)</f>
        <v>4077227.24</v>
      </c>
      <c r="AV1451" s="3662">
        <f>SUM(AL1451:AL1456)</f>
        <v>4077227.24</v>
      </c>
      <c r="AW1451" s="3662">
        <f>SUM(AN1451:AN1456)</f>
        <v>4077227.24</v>
      </c>
      <c r="AX1451" s="3662">
        <f>V1451-AU1451</f>
        <v>0</v>
      </c>
      <c r="AY1451" s="3662">
        <f>AU1451-AV1451</f>
        <v>0</v>
      </c>
      <c r="AZ1451" s="3662">
        <f>AV1451-AW1451</f>
        <v>0</v>
      </c>
      <c r="BA1451" s="3684"/>
      <c r="BB1451" s="3684"/>
      <c r="BC1451" s="3684"/>
      <c r="BD1451" s="3684"/>
      <c r="BE1451" s="3684"/>
      <c r="BF1451" s="3684"/>
      <c r="BG1451" s="3684"/>
      <c r="BH1451" s="3684"/>
      <c r="BI1451" s="3814">
        <v>1248922.085</v>
      </c>
      <c r="BJ1451" s="3814"/>
      <c r="BK1451" s="3814"/>
      <c r="BL1451" s="3814"/>
      <c r="BM1451" s="3814"/>
      <c r="BN1451" s="3684"/>
      <c r="BO1451" s="3662"/>
      <c r="BP1451" s="3662"/>
      <c r="BQ1451" s="3662"/>
      <c r="BR1451" s="3662"/>
      <c r="BS1451" s="3662"/>
      <c r="BT1451" s="3662"/>
      <c r="BU1451" s="3662"/>
      <c r="BV1451" s="3662"/>
      <c r="BW1451" s="3823">
        <v>1248922.085</v>
      </c>
      <c r="BX1451" s="5815"/>
      <c r="BY1451" s="5815"/>
      <c r="BZ1451" s="5815"/>
      <c r="CA1451" s="5815"/>
      <c r="CB1451" s="5522"/>
      <c r="CC1451" s="3662"/>
      <c r="CD1451" s="3662"/>
      <c r="CE1451" s="5170"/>
      <c r="CF1451" s="5170"/>
      <c r="CG1451" s="5170"/>
      <c r="CH1451" s="5170"/>
    </row>
    <row r="1452" s="4972" customFormat="1" ht="61" customHeight="1" spans="1:86">
      <c r="A1452" s="5053"/>
      <c r="B1452" s="5053"/>
      <c r="C1452" s="5053"/>
      <c r="D1452" s="5053"/>
      <c r="E1452" s="5079"/>
      <c r="F1452" s="5053"/>
      <c r="G1452" s="5053"/>
      <c r="H1452" s="5053"/>
      <c r="I1452" s="5065"/>
      <c r="J1452" s="5053"/>
      <c r="K1452" s="5053"/>
      <c r="L1452" s="5065"/>
      <c r="M1452" s="3662"/>
      <c r="N1452" s="2680"/>
      <c r="O1452" s="2680"/>
      <c r="P1452" s="2680"/>
      <c r="Q1452" s="2680"/>
      <c r="R1452" s="2680"/>
      <c r="S1452" s="2680"/>
      <c r="T1452" s="2680"/>
      <c r="U1452" s="2680"/>
      <c r="V1452" s="2680"/>
      <c r="W1452" s="2680"/>
      <c r="X1452" s="2680"/>
      <c r="Y1452" s="2680"/>
      <c r="Z1452" s="2680"/>
      <c r="AA1452" s="2680"/>
      <c r="AB1452" s="2680"/>
      <c r="AC1452" s="3662">
        <v>2</v>
      </c>
      <c r="AD1452" s="5149" t="s">
        <v>2372</v>
      </c>
      <c r="AE1452" s="6057" t="s">
        <v>2369</v>
      </c>
      <c r="AF1452" s="5815">
        <v>1248922.085</v>
      </c>
      <c r="AG1452" s="3684">
        <f t="shared" si="289"/>
        <v>1248922.085</v>
      </c>
      <c r="AH1452" s="5060" t="s">
        <v>122</v>
      </c>
      <c r="AI1452" s="3684">
        <v>44410</v>
      </c>
      <c r="AJ1452" s="3684">
        <v>1248922.085</v>
      </c>
      <c r="AK1452" s="3684">
        <v>44410</v>
      </c>
      <c r="AL1452" s="3684">
        <v>1248922.085</v>
      </c>
      <c r="AM1452" s="3684">
        <v>44411</v>
      </c>
      <c r="AN1452" s="3684">
        <f t="shared" si="290"/>
        <v>1248922.085</v>
      </c>
      <c r="AO1452" s="3684">
        <v>44497</v>
      </c>
      <c r="AP1452" s="3684">
        <f t="shared" si="291"/>
        <v>0</v>
      </c>
      <c r="AQ1452" s="5127"/>
      <c r="AR1452" s="3662"/>
      <c r="AS1452" s="5341"/>
      <c r="AT1452" s="5127"/>
      <c r="AU1452" s="3662"/>
      <c r="AV1452" s="3662"/>
      <c r="AW1452" s="3662"/>
      <c r="AX1452" s="3662"/>
      <c r="AY1452" s="3662"/>
      <c r="AZ1452" s="3662"/>
      <c r="BA1452" s="3684"/>
      <c r="BB1452" s="3684"/>
      <c r="BC1452" s="3684"/>
      <c r="BD1452" s="3684"/>
      <c r="BE1452" s="3684"/>
      <c r="BF1452" s="3684"/>
      <c r="BG1452" s="3684"/>
      <c r="BH1452" s="3684"/>
      <c r="BI1452" s="3814">
        <v>1248922.085</v>
      </c>
      <c r="BJ1452" s="3814"/>
      <c r="BK1452" s="3814"/>
      <c r="BL1452" s="3814"/>
      <c r="BM1452" s="3814"/>
      <c r="BN1452" s="3684"/>
      <c r="BO1452" s="3684"/>
      <c r="BP1452" s="3684"/>
      <c r="BQ1452" s="3684"/>
      <c r="BR1452" s="3684"/>
      <c r="BS1452" s="3684"/>
      <c r="BT1452" s="3684"/>
      <c r="BU1452" s="3684"/>
      <c r="BV1452" s="3684"/>
      <c r="BW1452" s="3814">
        <v>1248922.085</v>
      </c>
      <c r="BX1452" s="3814"/>
      <c r="BY1452" s="3814"/>
      <c r="BZ1452" s="3814"/>
      <c r="CA1452" s="3814"/>
      <c r="CB1452" s="5162"/>
      <c r="CC1452" s="3662"/>
      <c r="CD1452" s="3662"/>
      <c r="CE1452" s="5170"/>
      <c r="CF1452" s="5170"/>
      <c r="CG1452" s="5170"/>
      <c r="CH1452" s="5170"/>
    </row>
    <row r="1453" s="4972" customFormat="1" ht="61" customHeight="1" spans="1:86">
      <c r="A1453" s="5053"/>
      <c r="B1453" s="5053"/>
      <c r="C1453" s="5053"/>
      <c r="D1453" s="5053"/>
      <c r="E1453" s="5079"/>
      <c r="F1453" s="5053"/>
      <c r="G1453" s="5053"/>
      <c r="H1453" s="5053"/>
      <c r="I1453" s="5065"/>
      <c r="J1453" s="5053"/>
      <c r="K1453" s="5053"/>
      <c r="L1453" s="5065"/>
      <c r="M1453" s="3662"/>
      <c r="N1453" s="2680"/>
      <c r="O1453" s="2680"/>
      <c r="P1453" s="2680"/>
      <c r="Q1453" s="2680"/>
      <c r="R1453" s="2680"/>
      <c r="S1453" s="2680"/>
      <c r="T1453" s="2680"/>
      <c r="U1453" s="2680"/>
      <c r="V1453" s="2680"/>
      <c r="W1453" s="2680"/>
      <c r="X1453" s="2680"/>
      <c r="Y1453" s="2680"/>
      <c r="Z1453" s="2680"/>
      <c r="AA1453" s="2680"/>
      <c r="AB1453" s="2680"/>
      <c r="AC1453" s="3662">
        <v>3</v>
      </c>
      <c r="AD1453" s="5149" t="s">
        <v>2373</v>
      </c>
      <c r="AE1453" s="6057" t="s">
        <v>2374</v>
      </c>
      <c r="AF1453" s="5815">
        <v>352636.824</v>
      </c>
      <c r="AG1453" s="3684">
        <v>352636.82</v>
      </c>
      <c r="AH1453" s="5060" t="s">
        <v>122</v>
      </c>
      <c r="AI1453" s="3684">
        <v>45286</v>
      </c>
      <c r="AJ1453" s="3662">
        <v>352636.82</v>
      </c>
      <c r="AK1453" s="3684">
        <v>45286</v>
      </c>
      <c r="AL1453" s="3662">
        <v>352636.82</v>
      </c>
      <c r="AM1453" s="3662">
        <v>45660</v>
      </c>
      <c r="AN1453" s="5162">
        <f t="shared" si="290"/>
        <v>352636.82</v>
      </c>
      <c r="AO1453" s="3684">
        <v>45719</v>
      </c>
      <c r="AP1453" s="3684">
        <f t="shared" ref="AP1453:AP1467" si="292">AG1453-AN1453</f>
        <v>0</v>
      </c>
      <c r="AQ1453" s="5127"/>
      <c r="AR1453" s="3662"/>
      <c r="AS1453" s="5341"/>
      <c r="AT1453" s="5127"/>
      <c r="AU1453" s="3662"/>
      <c r="AV1453" s="3662"/>
      <c r="AW1453" s="3662"/>
      <c r="AX1453" s="3662"/>
      <c r="AY1453" s="3662"/>
      <c r="AZ1453" s="3662"/>
      <c r="BA1453" s="3662"/>
      <c r="BB1453" s="3662"/>
      <c r="BC1453" s="3662"/>
      <c r="BD1453" s="3662"/>
      <c r="BE1453" s="3662"/>
      <c r="BF1453" s="3662"/>
      <c r="BG1453" s="3662"/>
      <c r="BH1453" s="3662"/>
      <c r="BI1453" s="3684">
        <v>352636.82</v>
      </c>
      <c r="BJ1453" s="3662"/>
      <c r="BK1453" s="3662"/>
      <c r="BL1453" s="3662"/>
      <c r="BM1453" s="3662"/>
      <c r="BN1453" s="3662"/>
      <c r="BO1453" s="3662"/>
      <c r="BP1453" s="3662"/>
      <c r="BQ1453" s="3662"/>
      <c r="BR1453" s="3662"/>
      <c r="BS1453" s="3662"/>
      <c r="BT1453" s="3662"/>
      <c r="BU1453" s="3662"/>
      <c r="BV1453" s="3662"/>
      <c r="BW1453" s="3662">
        <v>352636.82</v>
      </c>
      <c r="BX1453" s="3662"/>
      <c r="BY1453" s="3662"/>
      <c r="BZ1453" s="3662"/>
      <c r="CA1453" s="3662"/>
      <c r="CB1453" s="5522"/>
      <c r="CC1453" s="3662"/>
      <c r="CD1453" s="3662"/>
      <c r="CE1453" s="5170"/>
      <c r="CF1453" s="5170"/>
      <c r="CG1453" s="5170"/>
      <c r="CH1453" s="5170"/>
    </row>
    <row r="1454" s="4972" customFormat="1" ht="61" customHeight="1" spans="1:86">
      <c r="A1454" s="5053"/>
      <c r="B1454" s="5053"/>
      <c r="C1454" s="5053"/>
      <c r="D1454" s="5053"/>
      <c r="E1454" s="5079"/>
      <c r="F1454" s="5053"/>
      <c r="G1454" s="5053"/>
      <c r="H1454" s="5053"/>
      <c r="I1454" s="5065"/>
      <c r="J1454" s="5053"/>
      <c r="K1454" s="5053"/>
      <c r="L1454" s="5065"/>
      <c r="M1454" s="3662"/>
      <c r="N1454" s="2680"/>
      <c r="O1454" s="2680"/>
      <c r="P1454" s="2680"/>
      <c r="Q1454" s="2680"/>
      <c r="R1454" s="2680"/>
      <c r="S1454" s="2680"/>
      <c r="T1454" s="2680"/>
      <c r="U1454" s="2680"/>
      <c r="V1454" s="2680"/>
      <c r="W1454" s="2680"/>
      <c r="X1454" s="2680"/>
      <c r="Y1454" s="2680"/>
      <c r="Z1454" s="2680"/>
      <c r="AA1454" s="2680"/>
      <c r="AB1454" s="2680"/>
      <c r="AC1454" s="3662">
        <v>4</v>
      </c>
      <c r="AD1454" s="5149" t="s">
        <v>2375</v>
      </c>
      <c r="AE1454" s="6057" t="s">
        <v>2376</v>
      </c>
      <c r="AF1454" s="5815">
        <v>88159.206</v>
      </c>
      <c r="AG1454" s="3684">
        <v>88159.21</v>
      </c>
      <c r="AH1454" s="5060" t="s">
        <v>122</v>
      </c>
      <c r="AI1454" s="3684">
        <v>45286</v>
      </c>
      <c r="AJ1454" s="3662">
        <v>88159.21</v>
      </c>
      <c r="AK1454" s="3684">
        <v>45286</v>
      </c>
      <c r="AL1454" s="3662">
        <v>88159.21</v>
      </c>
      <c r="AM1454" s="3662">
        <v>45660</v>
      </c>
      <c r="AN1454" s="5162">
        <f t="shared" si="290"/>
        <v>88159.21</v>
      </c>
      <c r="AO1454" s="3684">
        <v>45719</v>
      </c>
      <c r="AP1454" s="3684">
        <f t="shared" si="292"/>
        <v>0</v>
      </c>
      <c r="AQ1454" s="5127"/>
      <c r="AR1454" s="3662"/>
      <c r="AS1454" s="5341"/>
      <c r="AT1454" s="5127"/>
      <c r="AU1454" s="3662"/>
      <c r="AV1454" s="3662"/>
      <c r="AW1454" s="3662"/>
      <c r="AX1454" s="3662"/>
      <c r="AY1454" s="3662"/>
      <c r="AZ1454" s="3662"/>
      <c r="BA1454" s="3662"/>
      <c r="BB1454" s="3662"/>
      <c r="BC1454" s="3662"/>
      <c r="BD1454" s="3662"/>
      <c r="BE1454" s="3662"/>
      <c r="BF1454" s="3662"/>
      <c r="BG1454" s="3662"/>
      <c r="BH1454" s="3662"/>
      <c r="BI1454" s="3684">
        <v>88159.21</v>
      </c>
      <c r="BJ1454" s="3662"/>
      <c r="BK1454" s="3662"/>
      <c r="BL1454" s="3662"/>
      <c r="BM1454" s="3662"/>
      <c r="BN1454" s="3662"/>
      <c r="BO1454" s="3662"/>
      <c r="BP1454" s="3662"/>
      <c r="BQ1454" s="3662"/>
      <c r="BR1454" s="3662"/>
      <c r="BS1454" s="3662"/>
      <c r="BT1454" s="3662"/>
      <c r="BU1454" s="3662"/>
      <c r="BV1454" s="3662"/>
      <c r="BW1454" s="3662">
        <v>88159.21</v>
      </c>
      <c r="BX1454" s="3662"/>
      <c r="BY1454" s="3662"/>
      <c r="BZ1454" s="3662"/>
      <c r="CA1454" s="3662"/>
      <c r="CB1454" s="5522"/>
      <c r="CC1454" s="3662"/>
      <c r="CD1454" s="3662"/>
      <c r="CE1454" s="5170"/>
      <c r="CF1454" s="5170"/>
      <c r="CG1454" s="5170"/>
      <c r="CH1454" s="5170"/>
    </row>
    <row r="1455" s="4972" customFormat="1" ht="61" customHeight="1" spans="1:86">
      <c r="A1455" s="5053"/>
      <c r="B1455" s="5053"/>
      <c r="C1455" s="5053"/>
      <c r="D1455" s="5053"/>
      <c r="E1455" s="3742"/>
      <c r="F1455" s="5053"/>
      <c r="G1455" s="5053"/>
      <c r="H1455" s="5053"/>
      <c r="I1455" s="5065"/>
      <c r="J1455" s="5053"/>
      <c r="K1455" s="5053"/>
      <c r="L1455" s="5065"/>
      <c r="M1455" s="3662"/>
      <c r="N1455" s="2680"/>
      <c r="O1455" s="2680"/>
      <c r="P1455" s="2680"/>
      <c r="Q1455" s="2680"/>
      <c r="R1455" s="2680"/>
      <c r="S1455" s="2680"/>
      <c r="T1455" s="2680"/>
      <c r="U1455" s="2680"/>
      <c r="V1455" s="2680"/>
      <c r="W1455" s="2680"/>
      <c r="X1455" s="2680"/>
      <c r="Y1455" s="2680"/>
      <c r="Z1455" s="2680"/>
      <c r="AA1455" s="2680"/>
      <c r="AB1455" s="2680"/>
      <c r="AC1455" s="3662">
        <v>1</v>
      </c>
      <c r="AD1455" s="5149" t="s">
        <v>2377</v>
      </c>
      <c r="AE1455" s="6057">
        <v>0.5</v>
      </c>
      <c r="AF1455" s="5815">
        <v>569293.52</v>
      </c>
      <c r="AG1455" s="3684">
        <f t="shared" si="289"/>
        <v>569293.52</v>
      </c>
      <c r="AH1455" s="5055" t="s">
        <v>206</v>
      </c>
      <c r="AI1455" s="3662">
        <v>43999</v>
      </c>
      <c r="AJ1455" s="3662" t="s">
        <v>171</v>
      </c>
      <c r="AK1455" s="3662" t="s">
        <v>171</v>
      </c>
      <c r="AL1455" s="3662">
        <v>569293.52</v>
      </c>
      <c r="AM1455" s="3662">
        <v>43999</v>
      </c>
      <c r="AN1455" s="3684">
        <f t="shared" si="290"/>
        <v>569293.52</v>
      </c>
      <c r="AO1455" s="3684">
        <v>44175</v>
      </c>
      <c r="AP1455" s="3684">
        <f t="shared" si="292"/>
        <v>0</v>
      </c>
      <c r="AQ1455" s="5127" t="s">
        <v>2370</v>
      </c>
      <c r="AR1455" s="3662"/>
      <c r="AS1455" s="6688" t="s">
        <v>2371</v>
      </c>
      <c r="AT1455" s="5127"/>
      <c r="AU1455" s="3662"/>
      <c r="AV1455" s="3662"/>
      <c r="AW1455" s="3662"/>
      <c r="AX1455" s="3662"/>
      <c r="AY1455" s="3662"/>
      <c r="AZ1455" s="3662"/>
      <c r="BA1455" s="3684"/>
      <c r="BB1455" s="3684"/>
      <c r="BC1455" s="3684"/>
      <c r="BD1455" s="3684"/>
      <c r="BE1455" s="3684"/>
      <c r="BF1455" s="3684"/>
      <c r="BG1455" s="3684"/>
      <c r="BH1455" s="3684"/>
      <c r="BI1455" s="3814">
        <v>569293.52</v>
      </c>
      <c r="BJ1455" s="3814"/>
      <c r="BK1455" s="3814"/>
      <c r="BL1455" s="3814"/>
      <c r="BM1455" s="3814"/>
      <c r="BN1455" s="3684"/>
      <c r="BO1455" s="3662"/>
      <c r="BP1455" s="3662"/>
      <c r="BQ1455" s="3662"/>
      <c r="BR1455" s="3662"/>
      <c r="BS1455" s="3662"/>
      <c r="BT1455" s="3662"/>
      <c r="BU1455" s="3662"/>
      <c r="BV1455" s="3662"/>
      <c r="BW1455" s="3823">
        <v>569293.52</v>
      </c>
      <c r="BX1455" s="5815"/>
      <c r="BY1455" s="5815"/>
      <c r="BZ1455" s="5815"/>
      <c r="CA1455" s="5815"/>
      <c r="CB1455" s="5522"/>
      <c r="CC1455" s="3662"/>
      <c r="CD1455" s="3662"/>
      <c r="CE1455" s="5170"/>
      <c r="CF1455" s="5170"/>
      <c r="CG1455" s="5170"/>
      <c r="CH1455" s="5170"/>
    </row>
    <row r="1456" s="4972" customFormat="1" ht="61" customHeight="1" spans="1:86">
      <c r="A1456" s="5053"/>
      <c r="B1456" s="5053"/>
      <c r="C1456" s="5053"/>
      <c r="D1456" s="5053"/>
      <c r="E1456" s="5079"/>
      <c r="F1456" s="5053"/>
      <c r="G1456" s="5053"/>
      <c r="H1456" s="5053"/>
      <c r="I1456" s="5062"/>
      <c r="J1456" s="5053"/>
      <c r="K1456" s="5053"/>
      <c r="L1456" s="5062"/>
      <c r="M1456" s="3662"/>
      <c r="N1456" s="2680"/>
      <c r="O1456" s="2680"/>
      <c r="P1456" s="2680"/>
      <c r="Q1456" s="2680"/>
      <c r="R1456" s="2680"/>
      <c r="S1456" s="2680"/>
      <c r="T1456" s="2680"/>
      <c r="U1456" s="2680"/>
      <c r="V1456" s="2680"/>
      <c r="W1456" s="2680"/>
      <c r="X1456" s="2680"/>
      <c r="Y1456" s="2680"/>
      <c r="Z1456" s="2680"/>
      <c r="AA1456" s="2680"/>
      <c r="AB1456" s="2680"/>
      <c r="AC1456" s="3662">
        <v>2</v>
      </c>
      <c r="AD1456" s="5149" t="s">
        <v>2378</v>
      </c>
      <c r="AE1456" s="6057">
        <v>0.5</v>
      </c>
      <c r="AF1456" s="5815">
        <v>569293.52</v>
      </c>
      <c r="AG1456" s="3684">
        <f t="shared" si="289"/>
        <v>569293.52</v>
      </c>
      <c r="AH1456" s="5060" t="s">
        <v>122</v>
      </c>
      <c r="AI1456" s="3684">
        <v>44410</v>
      </c>
      <c r="AJ1456" s="3684">
        <v>569293.52</v>
      </c>
      <c r="AK1456" s="3684">
        <v>44410</v>
      </c>
      <c r="AL1456" s="3684">
        <v>569293.52</v>
      </c>
      <c r="AM1456" s="3684">
        <v>44411</v>
      </c>
      <c r="AN1456" s="3684">
        <f t="shared" si="290"/>
        <v>569293.52</v>
      </c>
      <c r="AO1456" s="3684">
        <v>44497</v>
      </c>
      <c r="AP1456" s="3684">
        <f t="shared" si="292"/>
        <v>0</v>
      </c>
      <c r="AQ1456" s="5127"/>
      <c r="AR1456" s="3662"/>
      <c r="AS1456" s="5341"/>
      <c r="AT1456" s="5127"/>
      <c r="AU1456" s="3662"/>
      <c r="AV1456" s="3662"/>
      <c r="AW1456" s="3662"/>
      <c r="AX1456" s="3662"/>
      <c r="AY1456" s="3662"/>
      <c r="AZ1456" s="3662"/>
      <c r="BA1456" s="3684"/>
      <c r="BB1456" s="3684"/>
      <c r="BC1456" s="3684"/>
      <c r="BD1456" s="3684"/>
      <c r="BE1456" s="3684"/>
      <c r="BF1456" s="3684"/>
      <c r="BG1456" s="3684"/>
      <c r="BH1456" s="3684"/>
      <c r="BI1456" s="3684">
        <v>569293.52</v>
      </c>
      <c r="BJ1456" s="3684"/>
      <c r="BK1456" s="3684"/>
      <c r="BL1456" s="3684"/>
      <c r="BM1456" s="3684"/>
      <c r="BN1456" s="3684"/>
      <c r="BO1456" s="3684"/>
      <c r="BP1456" s="3684"/>
      <c r="BQ1456" s="3684"/>
      <c r="BR1456" s="3684"/>
      <c r="BS1456" s="3684"/>
      <c r="BT1456" s="3684"/>
      <c r="BU1456" s="3684"/>
      <c r="BV1456" s="3684"/>
      <c r="BW1456" s="3684">
        <v>569293.52</v>
      </c>
      <c r="BX1456" s="3684"/>
      <c r="BY1456" s="3684"/>
      <c r="BZ1456" s="3684"/>
      <c r="CA1456" s="3684"/>
      <c r="CB1456" s="5162"/>
      <c r="CC1456" s="3662"/>
      <c r="CD1456" s="3662"/>
      <c r="CE1456" s="5170"/>
      <c r="CF1456" s="5170"/>
      <c r="CG1456" s="5170"/>
      <c r="CH1456" s="5170"/>
    </row>
    <row r="1457" s="4972" customFormat="1" ht="61" customHeight="1" spans="1:86">
      <c r="A1457" s="3662">
        <v>20</v>
      </c>
      <c r="B1457" s="5814" t="s">
        <v>2379</v>
      </c>
      <c r="C1457" s="5815">
        <v>43892</v>
      </c>
      <c r="D1457" s="5055" t="s">
        <v>2380</v>
      </c>
      <c r="E1457" s="5053" t="s">
        <v>2381</v>
      </c>
      <c r="F1457" s="5053" t="s">
        <v>2382</v>
      </c>
      <c r="G1457" s="5149" t="s">
        <v>2383</v>
      </c>
      <c r="H1457" s="3662" t="s">
        <v>658</v>
      </c>
      <c r="I1457" s="3744"/>
      <c r="J1457" s="5053" t="s">
        <v>2384</v>
      </c>
      <c r="K1457" s="5149" t="s">
        <v>171</v>
      </c>
      <c r="L1457" s="5053" t="s">
        <v>2385</v>
      </c>
      <c r="M1457" s="3662">
        <f>SUM(N1457:AA1459)</f>
        <v>750000</v>
      </c>
      <c r="N1457" s="2680">
        <v>0</v>
      </c>
      <c r="O1457" s="2680">
        <v>0</v>
      </c>
      <c r="P1457" s="2680">
        <v>0</v>
      </c>
      <c r="Q1457" s="2680">
        <v>0</v>
      </c>
      <c r="R1457" s="2680">
        <v>0</v>
      </c>
      <c r="S1457" s="2680">
        <v>750000</v>
      </c>
      <c r="T1457" s="5823">
        <v>0</v>
      </c>
      <c r="U1457" s="2680">
        <v>0</v>
      </c>
      <c r="V1457" s="2680">
        <v>0</v>
      </c>
      <c r="W1457" s="2680">
        <v>0</v>
      </c>
      <c r="X1457" s="2680">
        <v>0</v>
      </c>
      <c r="Y1457" s="2680"/>
      <c r="Z1457" s="2680"/>
      <c r="AA1457" s="2680">
        <v>0</v>
      </c>
      <c r="AB1457" s="2680">
        <v>0</v>
      </c>
      <c r="AC1457" s="3662">
        <v>1</v>
      </c>
      <c r="AD1457" s="5845" t="s">
        <v>2386</v>
      </c>
      <c r="AE1457" s="5846">
        <v>0.3</v>
      </c>
      <c r="AF1457" s="5815">
        <v>225000</v>
      </c>
      <c r="AG1457" s="3684">
        <f t="shared" si="289"/>
        <v>225000</v>
      </c>
      <c r="AH1457" s="5053" t="s">
        <v>206</v>
      </c>
      <c r="AI1457" s="3662">
        <v>43983</v>
      </c>
      <c r="AJ1457" s="3662" t="s">
        <v>171</v>
      </c>
      <c r="AK1457" s="3662" t="s">
        <v>171</v>
      </c>
      <c r="AL1457" s="3662">
        <v>225000</v>
      </c>
      <c r="AM1457" s="3662">
        <v>43983</v>
      </c>
      <c r="AN1457" s="3684">
        <f t="shared" si="290"/>
        <v>225000</v>
      </c>
      <c r="AO1457" s="3684">
        <v>44119</v>
      </c>
      <c r="AP1457" s="3684">
        <f t="shared" si="292"/>
        <v>0</v>
      </c>
      <c r="AQ1457" s="5055" t="s">
        <v>1463</v>
      </c>
      <c r="AR1457" s="3662"/>
      <c r="AS1457" s="5388"/>
      <c r="AT1457" s="5127"/>
      <c r="AU1457" s="2680">
        <f>SUM(AG1457:AG1459)</f>
        <v>750000</v>
      </c>
      <c r="AV1457" s="2680">
        <f>SUM(AL1457:AL1459)</f>
        <v>750000</v>
      </c>
      <c r="AW1457" s="2680">
        <f>SUM(AN1457:AN1459)</f>
        <v>750000</v>
      </c>
      <c r="AX1457" s="2680">
        <f>M1457-AU1457</f>
        <v>0</v>
      </c>
      <c r="AY1457" s="2680">
        <f>AU1457-AV1457</f>
        <v>0</v>
      </c>
      <c r="AZ1457" s="2680">
        <f>AV1457-AW1457</f>
        <v>0</v>
      </c>
      <c r="BA1457" s="5148"/>
      <c r="BB1457" s="5148"/>
      <c r="BC1457" s="3684"/>
      <c r="BD1457" s="5148"/>
      <c r="BE1457" s="5148"/>
      <c r="BF1457" s="5859">
        <v>225000</v>
      </c>
      <c r="BG1457" s="5859"/>
      <c r="BH1457" s="5148"/>
      <c r="BI1457" s="5148"/>
      <c r="BJ1457" s="5148"/>
      <c r="BK1457" s="5148"/>
      <c r="BL1457" s="5148"/>
      <c r="BM1457" s="5148"/>
      <c r="BN1457" s="5148"/>
      <c r="BO1457" s="5127"/>
      <c r="BP1457" s="5127"/>
      <c r="BQ1457" s="5127"/>
      <c r="BR1457" s="5127"/>
      <c r="BS1457" s="5127"/>
      <c r="BT1457" s="6012">
        <v>225000</v>
      </c>
      <c r="BU1457" s="6012"/>
      <c r="BV1457" s="5127"/>
      <c r="BW1457" s="5127"/>
      <c r="BX1457" s="5127"/>
      <c r="BY1457" s="5127"/>
      <c r="BZ1457" s="5127"/>
      <c r="CA1457" s="5127"/>
      <c r="CB1457" s="5127"/>
      <c r="CC1457" s="3662"/>
      <c r="CD1457" s="3662"/>
      <c r="CE1457" s="5170"/>
      <c r="CF1457" s="5170"/>
      <c r="CG1457" s="5170"/>
      <c r="CH1457" s="5170"/>
    </row>
    <row r="1458" s="4972" customFormat="1" ht="61" customHeight="1" spans="1:86">
      <c r="A1458" s="3662"/>
      <c r="B1458" s="5814"/>
      <c r="C1458" s="5815"/>
      <c r="D1458" s="5053"/>
      <c r="E1458" s="5053"/>
      <c r="F1458" s="5053"/>
      <c r="G1458" s="5149"/>
      <c r="H1458" s="3662"/>
      <c r="I1458" s="3666"/>
      <c r="J1458" s="5053"/>
      <c r="K1458" s="5149"/>
      <c r="L1458" s="5053"/>
      <c r="M1458" s="3662"/>
      <c r="N1458" s="2680"/>
      <c r="O1458" s="2680"/>
      <c r="P1458" s="2680"/>
      <c r="Q1458" s="2680"/>
      <c r="R1458" s="2680"/>
      <c r="S1458" s="2680"/>
      <c r="T1458" s="2680"/>
      <c r="U1458" s="2680"/>
      <c r="V1458" s="2680"/>
      <c r="W1458" s="2680"/>
      <c r="X1458" s="2680"/>
      <c r="Y1458" s="2680"/>
      <c r="Z1458" s="2680"/>
      <c r="AA1458" s="2680"/>
      <c r="AB1458" s="2680"/>
      <c r="AC1458" s="3662">
        <v>2</v>
      </c>
      <c r="AD1458" s="5845" t="s">
        <v>2387</v>
      </c>
      <c r="AE1458" s="5149">
        <v>0.6</v>
      </c>
      <c r="AF1458" s="5815">
        <v>450000</v>
      </c>
      <c r="AG1458" s="3684">
        <f t="shared" si="289"/>
        <v>450000</v>
      </c>
      <c r="AH1458" s="5053" t="s">
        <v>206</v>
      </c>
      <c r="AI1458" s="3662">
        <v>44062</v>
      </c>
      <c r="AJ1458" s="3662">
        <v>450000</v>
      </c>
      <c r="AK1458" s="3662">
        <v>44044</v>
      </c>
      <c r="AL1458" s="3662">
        <v>450000</v>
      </c>
      <c r="AM1458" s="3662">
        <v>44062</v>
      </c>
      <c r="AN1458" s="3684">
        <f t="shared" si="290"/>
        <v>450000</v>
      </c>
      <c r="AO1458" s="3684">
        <v>44190</v>
      </c>
      <c r="AP1458" s="3684">
        <f t="shared" si="292"/>
        <v>0</v>
      </c>
      <c r="AQ1458" s="5053"/>
      <c r="AR1458" s="3662"/>
      <c r="AS1458" s="5388" t="s">
        <v>2388</v>
      </c>
      <c r="AT1458" s="5127"/>
      <c r="AU1458" s="2680"/>
      <c r="AV1458" s="2680"/>
      <c r="AW1458" s="2680"/>
      <c r="AX1458" s="2680"/>
      <c r="AY1458" s="2680"/>
      <c r="AZ1458" s="2680"/>
      <c r="BA1458" s="5148"/>
      <c r="BB1458" s="5148"/>
      <c r="BC1458" s="3684"/>
      <c r="BD1458" s="5148"/>
      <c r="BE1458" s="5148"/>
      <c r="BF1458" s="5859">
        <v>450000</v>
      </c>
      <c r="BG1458" s="5859"/>
      <c r="BH1458" s="5148"/>
      <c r="BI1458" s="5148"/>
      <c r="BJ1458" s="5148"/>
      <c r="BK1458" s="5148"/>
      <c r="BL1458" s="5148"/>
      <c r="BM1458" s="5148"/>
      <c r="BN1458" s="5148"/>
      <c r="BO1458" s="5127"/>
      <c r="BP1458" s="5127"/>
      <c r="BQ1458" s="5127"/>
      <c r="BR1458" s="5127"/>
      <c r="BS1458" s="5127"/>
      <c r="BT1458" s="6012">
        <v>450000</v>
      </c>
      <c r="BU1458" s="6012"/>
      <c r="BV1458" s="5127"/>
      <c r="BW1458" s="5127"/>
      <c r="BX1458" s="5127"/>
      <c r="BY1458" s="5127"/>
      <c r="BZ1458" s="5127"/>
      <c r="CA1458" s="5127"/>
      <c r="CB1458" s="5127"/>
      <c r="CC1458" s="3662"/>
      <c r="CD1458" s="3662"/>
      <c r="CE1458" s="5170"/>
      <c r="CF1458" s="5170"/>
      <c r="CG1458" s="5170"/>
      <c r="CH1458" s="5170"/>
    </row>
    <row r="1459" s="4972" customFormat="1" ht="61" customHeight="1" spans="1:86">
      <c r="A1459" s="3662"/>
      <c r="B1459" s="5814"/>
      <c r="C1459" s="5815"/>
      <c r="D1459" s="5053"/>
      <c r="E1459" s="5053"/>
      <c r="F1459" s="5053"/>
      <c r="G1459" s="5149"/>
      <c r="H1459" s="3662"/>
      <c r="I1459" s="3667"/>
      <c r="J1459" s="5053"/>
      <c r="K1459" s="5149"/>
      <c r="L1459" s="5053"/>
      <c r="M1459" s="3662"/>
      <c r="N1459" s="2680"/>
      <c r="O1459" s="2680"/>
      <c r="P1459" s="2680"/>
      <c r="Q1459" s="2680"/>
      <c r="R1459" s="2680"/>
      <c r="S1459" s="2680"/>
      <c r="T1459" s="2680"/>
      <c r="U1459" s="2680"/>
      <c r="V1459" s="2680"/>
      <c r="W1459" s="2680"/>
      <c r="X1459" s="2680"/>
      <c r="Y1459" s="2680"/>
      <c r="Z1459" s="2680"/>
      <c r="AA1459" s="2680"/>
      <c r="AB1459" s="2680"/>
      <c r="AC1459" s="3662">
        <v>3</v>
      </c>
      <c r="AD1459" s="5845" t="s">
        <v>2389</v>
      </c>
      <c r="AE1459" s="5846">
        <v>0.1</v>
      </c>
      <c r="AF1459" s="5815">
        <v>75000</v>
      </c>
      <c r="AG1459" s="3684">
        <f t="shared" si="289"/>
        <v>75000</v>
      </c>
      <c r="AH1459" s="3662" t="s">
        <v>122</v>
      </c>
      <c r="AI1459" s="3662">
        <v>44379</v>
      </c>
      <c r="AJ1459" s="3662">
        <v>75000</v>
      </c>
      <c r="AK1459" s="3662">
        <v>44379</v>
      </c>
      <c r="AL1459" s="3662">
        <v>75000</v>
      </c>
      <c r="AM1459" s="3662">
        <v>44383</v>
      </c>
      <c r="AN1459" s="3684">
        <f t="shared" si="290"/>
        <v>75000</v>
      </c>
      <c r="AO1459" s="3684">
        <v>44558</v>
      </c>
      <c r="AP1459" s="3684">
        <f t="shared" si="292"/>
        <v>0</v>
      </c>
      <c r="AQ1459" s="5053"/>
      <c r="AR1459" s="3662"/>
      <c r="AS1459" s="5341"/>
      <c r="AT1459" s="5127"/>
      <c r="AU1459" s="2680"/>
      <c r="AV1459" s="2680"/>
      <c r="AW1459" s="2680"/>
      <c r="AX1459" s="2680"/>
      <c r="AY1459" s="2680"/>
      <c r="AZ1459" s="2680"/>
      <c r="BA1459" s="5148"/>
      <c r="BB1459" s="5148"/>
      <c r="BC1459" s="3684"/>
      <c r="BD1459" s="5148"/>
      <c r="BE1459" s="5148"/>
      <c r="BF1459" s="5859">
        <v>75000</v>
      </c>
      <c r="BG1459" s="5859"/>
      <c r="BH1459" s="5148"/>
      <c r="BI1459" s="5148"/>
      <c r="BJ1459" s="5148"/>
      <c r="BK1459" s="5148"/>
      <c r="BL1459" s="5148"/>
      <c r="BM1459" s="5148"/>
      <c r="BN1459" s="5148"/>
      <c r="BO1459" s="5164"/>
      <c r="BP1459" s="5164"/>
      <c r="BQ1459" s="5164"/>
      <c r="BR1459" s="5164"/>
      <c r="BS1459" s="5164"/>
      <c r="BT1459" s="5859">
        <v>75000</v>
      </c>
      <c r="BU1459" s="6012"/>
      <c r="BV1459" s="5164"/>
      <c r="BW1459" s="5164"/>
      <c r="BX1459" s="5164"/>
      <c r="BY1459" s="5164"/>
      <c r="BZ1459" s="5164"/>
      <c r="CA1459" s="5164"/>
      <c r="CB1459" s="5164"/>
      <c r="CC1459" s="3662"/>
      <c r="CD1459" s="3662"/>
      <c r="CE1459" s="5170"/>
      <c r="CF1459" s="5170"/>
      <c r="CG1459" s="5170"/>
      <c r="CH1459" s="5170"/>
    </row>
    <row r="1460" s="4972" customFormat="1" ht="61" spans="1:86">
      <c r="A1460" s="3662">
        <v>21</v>
      </c>
      <c r="B1460" s="5814" t="s">
        <v>2379</v>
      </c>
      <c r="C1460" s="5815">
        <v>43892</v>
      </c>
      <c r="D1460" s="5055" t="s">
        <v>2390</v>
      </c>
      <c r="E1460" s="5053" t="s">
        <v>2391</v>
      </c>
      <c r="F1460" s="5388" t="s">
        <v>2392</v>
      </c>
      <c r="G1460" s="5149" t="s">
        <v>2393</v>
      </c>
      <c r="H1460" s="3662" t="s">
        <v>658</v>
      </c>
      <c r="I1460" s="3744"/>
      <c r="J1460" s="5053" t="s">
        <v>2384</v>
      </c>
      <c r="K1460" s="5149" t="s">
        <v>171</v>
      </c>
      <c r="L1460" s="5053" t="s">
        <v>2385</v>
      </c>
      <c r="M1460" s="3662">
        <f>SUM(N1460:AA1463)</f>
        <v>420000</v>
      </c>
      <c r="N1460" s="2680">
        <v>0</v>
      </c>
      <c r="O1460" s="2680">
        <v>0</v>
      </c>
      <c r="P1460" s="2680">
        <v>0</v>
      </c>
      <c r="Q1460" s="2680">
        <v>0</v>
      </c>
      <c r="R1460" s="2680">
        <v>0</v>
      </c>
      <c r="S1460" s="2680">
        <v>420000</v>
      </c>
      <c r="T1460" s="5823">
        <v>0</v>
      </c>
      <c r="U1460" s="2680">
        <v>0</v>
      </c>
      <c r="V1460" s="2680">
        <v>0</v>
      </c>
      <c r="W1460" s="2680">
        <v>0</v>
      </c>
      <c r="X1460" s="2680">
        <v>0</v>
      </c>
      <c r="Y1460" s="2680"/>
      <c r="Z1460" s="2680"/>
      <c r="AA1460" s="2680">
        <v>0</v>
      </c>
      <c r="AB1460" s="2680" t="s">
        <v>113</v>
      </c>
      <c r="AC1460" s="3662">
        <v>1</v>
      </c>
      <c r="AD1460" s="5845" t="s">
        <v>2386</v>
      </c>
      <c r="AE1460" s="5846">
        <v>0.3</v>
      </c>
      <c r="AF1460" s="5815">
        <v>126000</v>
      </c>
      <c r="AG1460" s="3684">
        <f t="shared" si="289"/>
        <v>126000</v>
      </c>
      <c r="AH1460" s="5053" t="s">
        <v>206</v>
      </c>
      <c r="AI1460" s="3662">
        <v>44288</v>
      </c>
      <c r="AJ1460" s="3662">
        <v>126000</v>
      </c>
      <c r="AK1460" s="3662">
        <v>44287</v>
      </c>
      <c r="AL1460" s="3662">
        <v>126000</v>
      </c>
      <c r="AM1460" s="3662">
        <v>44288</v>
      </c>
      <c r="AN1460" s="3684">
        <f t="shared" si="290"/>
        <v>126000</v>
      </c>
      <c r="AO1460" s="3684">
        <v>44347</v>
      </c>
      <c r="AP1460" s="3684">
        <f t="shared" si="292"/>
        <v>0</v>
      </c>
      <c r="AQ1460" s="5134" t="s">
        <v>2394</v>
      </c>
      <c r="AR1460" s="3662"/>
      <c r="AS1460" s="5055"/>
      <c r="AT1460" s="5127"/>
      <c r="AU1460" s="2680">
        <f>SUM(AG1460:AG1463)</f>
        <v>396648.44</v>
      </c>
      <c r="AV1460" s="2680">
        <f>SUM(AL1460:AL1463)</f>
        <v>396648.44</v>
      </c>
      <c r="AW1460" s="2680">
        <f>SUM(AN1460:AN1463)</f>
        <v>396648.44</v>
      </c>
      <c r="AX1460" s="2680">
        <f>M1460-AU1460</f>
        <v>23351.56</v>
      </c>
      <c r="AY1460" s="2680">
        <f>AU1460-AV1460</f>
        <v>0</v>
      </c>
      <c r="AZ1460" s="2680">
        <f>AV1460-AW1460</f>
        <v>0</v>
      </c>
      <c r="BA1460" s="5148"/>
      <c r="BB1460" s="5148"/>
      <c r="BC1460" s="3684"/>
      <c r="BD1460" s="5148"/>
      <c r="BE1460" s="5148"/>
      <c r="BF1460" s="5859">
        <v>126000</v>
      </c>
      <c r="BG1460" s="5859"/>
      <c r="BH1460" s="5148"/>
      <c r="BI1460" s="5148"/>
      <c r="BJ1460" s="5148"/>
      <c r="BK1460" s="5148"/>
      <c r="BL1460" s="5148"/>
      <c r="BM1460" s="5148"/>
      <c r="BN1460" s="5148"/>
      <c r="BO1460" s="5148"/>
      <c r="BP1460" s="5148"/>
      <c r="BQ1460" s="5148"/>
      <c r="BR1460" s="5148"/>
      <c r="BS1460" s="5148"/>
      <c r="BT1460" s="5859">
        <v>126000</v>
      </c>
      <c r="BU1460" s="5859"/>
      <c r="BV1460" s="5148"/>
      <c r="BW1460" s="5148"/>
      <c r="BX1460" s="5148"/>
      <c r="BY1460" s="5148"/>
      <c r="BZ1460" s="5148"/>
      <c r="CA1460" s="5148"/>
      <c r="CB1460" s="5148"/>
      <c r="CC1460" s="3662"/>
      <c r="CD1460" s="3662"/>
      <c r="CE1460" s="5170"/>
      <c r="CF1460" s="5170"/>
      <c r="CG1460" s="5170"/>
      <c r="CH1460" s="5170"/>
    </row>
    <row r="1461" s="4972" customFormat="1" ht="61" customHeight="1" spans="1:86">
      <c r="A1461" s="3662"/>
      <c r="B1461" s="5814"/>
      <c r="C1461" s="5815"/>
      <c r="D1461" s="5053"/>
      <c r="E1461" s="5053"/>
      <c r="F1461" s="5341"/>
      <c r="G1461" s="5149"/>
      <c r="H1461" s="3662"/>
      <c r="I1461" s="3666"/>
      <c r="J1461" s="5053"/>
      <c r="K1461" s="5149"/>
      <c r="L1461" s="5053"/>
      <c r="M1461" s="3662"/>
      <c r="N1461" s="2680"/>
      <c r="O1461" s="2680"/>
      <c r="P1461" s="2680"/>
      <c r="Q1461" s="2680"/>
      <c r="R1461" s="2680"/>
      <c r="S1461" s="2680"/>
      <c r="T1461" s="2680"/>
      <c r="U1461" s="2680"/>
      <c r="V1461" s="2680"/>
      <c r="W1461" s="2680"/>
      <c r="X1461" s="2680"/>
      <c r="Y1461" s="2680"/>
      <c r="Z1461" s="2680"/>
      <c r="AA1461" s="2680"/>
      <c r="AB1461" s="2680"/>
      <c r="AC1461" s="3662">
        <v>2</v>
      </c>
      <c r="AD1461" s="5845" t="s">
        <v>2387</v>
      </c>
      <c r="AE1461" s="5149">
        <v>0.6</v>
      </c>
      <c r="AF1461" s="5815">
        <v>252000</v>
      </c>
      <c r="AG1461" s="3684">
        <f t="shared" si="289"/>
        <v>252000</v>
      </c>
      <c r="AH1461" s="5053" t="s">
        <v>122</v>
      </c>
      <c r="AI1461" s="3662">
        <v>44383</v>
      </c>
      <c r="AJ1461" s="3662">
        <v>252000</v>
      </c>
      <c r="AK1461" s="3662">
        <v>44287</v>
      </c>
      <c r="AL1461" s="3662">
        <v>252000</v>
      </c>
      <c r="AM1461" s="3662">
        <v>44383</v>
      </c>
      <c r="AN1461" s="3684">
        <f t="shared" si="290"/>
        <v>252000</v>
      </c>
      <c r="AO1461" s="3684">
        <v>44448</v>
      </c>
      <c r="AP1461" s="3684">
        <f t="shared" si="292"/>
        <v>0</v>
      </c>
      <c r="AQ1461" s="6683" t="s">
        <v>2395</v>
      </c>
      <c r="AR1461" s="3662"/>
      <c r="AS1461" s="5055"/>
      <c r="AT1461" s="5127"/>
      <c r="AU1461" s="2680"/>
      <c r="AV1461" s="2680"/>
      <c r="AW1461" s="2680"/>
      <c r="AX1461" s="2680"/>
      <c r="AY1461" s="2680"/>
      <c r="AZ1461" s="2680"/>
      <c r="BA1461" s="5148"/>
      <c r="BB1461" s="5148"/>
      <c r="BC1461" s="3684"/>
      <c r="BD1461" s="5148"/>
      <c r="BE1461" s="5148"/>
      <c r="BF1461" s="5859">
        <v>252000</v>
      </c>
      <c r="BG1461" s="5859"/>
      <c r="BH1461" s="5148"/>
      <c r="BI1461" s="5148"/>
      <c r="BJ1461" s="5148"/>
      <c r="BK1461" s="5148"/>
      <c r="BL1461" s="5148"/>
      <c r="BM1461" s="5148"/>
      <c r="BN1461" s="5148"/>
      <c r="BO1461" s="5164"/>
      <c r="BP1461" s="5164"/>
      <c r="BQ1461" s="5164"/>
      <c r="BR1461" s="5164"/>
      <c r="BS1461" s="5164"/>
      <c r="BT1461" s="5148">
        <v>252000</v>
      </c>
      <c r="BU1461" s="5164"/>
      <c r="BV1461" s="5164"/>
      <c r="BW1461" s="5164"/>
      <c r="BX1461" s="5164"/>
      <c r="BY1461" s="5164"/>
      <c r="BZ1461" s="5164"/>
      <c r="CA1461" s="5164"/>
      <c r="CB1461" s="5164"/>
      <c r="CC1461" s="3662"/>
      <c r="CD1461" s="3662"/>
      <c r="CE1461" s="5170"/>
      <c r="CF1461" s="5170"/>
      <c r="CG1461" s="5170"/>
      <c r="CH1461" s="5170"/>
    </row>
    <row r="1462" s="4972" customFormat="1" ht="61" customHeight="1" spans="1:86">
      <c r="A1462" s="3662"/>
      <c r="B1462" s="5814"/>
      <c r="C1462" s="5815"/>
      <c r="D1462" s="5053"/>
      <c r="E1462" s="5053"/>
      <c r="F1462" s="5341"/>
      <c r="G1462" s="5149"/>
      <c r="H1462" s="3662"/>
      <c r="I1462" s="3667"/>
      <c r="J1462" s="5053"/>
      <c r="K1462" s="5149"/>
      <c r="L1462" s="5053"/>
      <c r="M1462" s="3662"/>
      <c r="N1462" s="2680"/>
      <c r="O1462" s="2680"/>
      <c r="P1462" s="2680"/>
      <c r="Q1462" s="2680"/>
      <c r="R1462" s="2680"/>
      <c r="S1462" s="2680"/>
      <c r="T1462" s="2680"/>
      <c r="U1462" s="2680"/>
      <c r="V1462" s="2680"/>
      <c r="W1462" s="2680"/>
      <c r="X1462" s="2680"/>
      <c r="Y1462" s="2680"/>
      <c r="Z1462" s="2680"/>
      <c r="AA1462" s="2680"/>
      <c r="AB1462" s="2680"/>
      <c r="AC1462" s="3662">
        <v>3</v>
      </c>
      <c r="AD1462" s="6673" t="s">
        <v>2389</v>
      </c>
      <c r="AE1462" s="6674">
        <v>0.1</v>
      </c>
      <c r="AF1462" s="6675">
        <v>42000</v>
      </c>
      <c r="AG1462" s="3684">
        <f t="shared" si="289"/>
        <v>42000</v>
      </c>
      <c r="AH1462" s="5060" t="s">
        <v>122</v>
      </c>
      <c r="AI1462" s="3684">
        <v>44555</v>
      </c>
      <c r="AJ1462" s="3684">
        <v>42000</v>
      </c>
      <c r="AK1462" s="3684">
        <v>44545</v>
      </c>
      <c r="AL1462" s="3684">
        <v>18648.44</v>
      </c>
      <c r="AM1462" s="3684">
        <v>45280</v>
      </c>
      <c r="AN1462" s="3684">
        <f t="shared" si="290"/>
        <v>18648.44</v>
      </c>
      <c r="AO1462" s="5060">
        <v>45288</v>
      </c>
      <c r="AP1462" s="3684">
        <f t="shared" si="292"/>
        <v>23351.56</v>
      </c>
      <c r="AQ1462" s="6684"/>
      <c r="AR1462" s="3662"/>
      <c r="AS1462" s="5341"/>
      <c r="AT1462" s="5127"/>
      <c r="AU1462" s="2680"/>
      <c r="AV1462" s="2680"/>
      <c r="AW1462" s="2680"/>
      <c r="AX1462" s="2680"/>
      <c r="AY1462" s="2680"/>
      <c r="AZ1462" s="2680"/>
      <c r="BA1462" s="5148"/>
      <c r="BB1462" s="5148"/>
      <c r="BC1462" s="3684"/>
      <c r="BD1462" s="5148"/>
      <c r="BE1462" s="5148"/>
      <c r="BF1462" s="5148">
        <v>42000</v>
      </c>
      <c r="BG1462" s="5148"/>
      <c r="BH1462" s="5148"/>
      <c r="BI1462" s="5148"/>
      <c r="BJ1462" s="5148"/>
      <c r="BK1462" s="5148"/>
      <c r="BL1462" s="5148"/>
      <c r="BM1462" s="5148"/>
      <c r="BN1462" s="5148"/>
      <c r="BO1462" s="5127"/>
      <c r="BP1462" s="5127"/>
      <c r="BQ1462" s="5127"/>
      <c r="BR1462" s="6025"/>
      <c r="BS1462" s="6025"/>
      <c r="BT1462" s="5148">
        <v>18648.44</v>
      </c>
      <c r="BU1462" s="5164"/>
      <c r="BV1462" s="5164"/>
      <c r="BW1462" s="5164"/>
      <c r="BX1462" s="5164"/>
      <c r="BY1462" s="5127"/>
      <c r="BZ1462" s="5127"/>
      <c r="CA1462" s="5127"/>
      <c r="CB1462" s="5127"/>
      <c r="CC1462" s="3662"/>
      <c r="CD1462" s="3662"/>
      <c r="CE1462" s="5170"/>
      <c r="CF1462" s="5170"/>
      <c r="CG1462" s="5170"/>
      <c r="CH1462" s="5170"/>
    </row>
    <row r="1463" s="4972" customFormat="1" ht="61" customHeight="1" spans="1:86">
      <c r="A1463" s="3662"/>
      <c r="B1463" s="5814"/>
      <c r="C1463" s="5815"/>
      <c r="D1463" s="5053"/>
      <c r="E1463" s="5053"/>
      <c r="F1463" s="5341"/>
      <c r="G1463" s="5149"/>
      <c r="H1463" s="3662"/>
      <c r="I1463" s="3667"/>
      <c r="J1463" s="5053"/>
      <c r="K1463" s="5149"/>
      <c r="L1463" s="5053"/>
      <c r="M1463" s="3662"/>
      <c r="N1463" s="2680"/>
      <c r="O1463" s="2680"/>
      <c r="P1463" s="2680"/>
      <c r="Q1463" s="2680"/>
      <c r="R1463" s="2680"/>
      <c r="S1463" s="2680"/>
      <c r="T1463" s="2680"/>
      <c r="U1463" s="2680"/>
      <c r="V1463" s="2680"/>
      <c r="W1463" s="2680"/>
      <c r="X1463" s="2680"/>
      <c r="Y1463" s="2680"/>
      <c r="Z1463" s="2680"/>
      <c r="AA1463" s="2680"/>
      <c r="AB1463" s="2680"/>
      <c r="AC1463" s="3662">
        <v>4</v>
      </c>
      <c r="AD1463" s="6676"/>
      <c r="AE1463" s="6677"/>
      <c r="AF1463" s="6678"/>
      <c r="AG1463" s="3684">
        <v>-23351.56</v>
      </c>
      <c r="AH1463" s="5060" t="s">
        <v>122</v>
      </c>
      <c r="AI1463" s="3684">
        <v>45903</v>
      </c>
      <c r="AJ1463" s="3684">
        <v>-23351.56</v>
      </c>
      <c r="AK1463" s="3684">
        <v>45903</v>
      </c>
      <c r="AL1463" s="3684"/>
      <c r="AM1463" s="3684"/>
      <c r="AN1463" s="3684">
        <f t="shared" si="290"/>
        <v>0</v>
      </c>
      <c r="AO1463" s="5060"/>
      <c r="AP1463" s="3684">
        <f t="shared" si="292"/>
        <v>-23351.56</v>
      </c>
      <c r="AQ1463" s="6685"/>
      <c r="AR1463" s="3662"/>
      <c r="AS1463" s="5341"/>
      <c r="AT1463" s="5127"/>
      <c r="AU1463" s="2680"/>
      <c r="AV1463" s="2680"/>
      <c r="AW1463" s="2680"/>
      <c r="AX1463" s="2680"/>
      <c r="AY1463" s="2680"/>
      <c r="AZ1463" s="2680"/>
      <c r="BA1463" s="5148"/>
      <c r="BB1463" s="5148"/>
      <c r="BC1463" s="3684"/>
      <c r="BD1463" s="5148"/>
      <c r="BE1463" s="5148"/>
      <c r="BF1463" s="5148">
        <v>-23351.56</v>
      </c>
      <c r="BG1463" s="5148"/>
      <c r="BH1463" s="5148"/>
      <c r="BI1463" s="5148"/>
      <c r="BJ1463" s="5148"/>
      <c r="BK1463" s="5148"/>
      <c r="BL1463" s="5148"/>
      <c r="BM1463" s="5148"/>
      <c r="BN1463" s="5148"/>
      <c r="BO1463" s="5127"/>
      <c r="BP1463" s="5127"/>
      <c r="BQ1463" s="5127"/>
      <c r="BR1463" s="6025"/>
      <c r="BS1463" s="6025"/>
      <c r="BT1463" s="5148"/>
      <c r="BU1463" s="5164"/>
      <c r="BV1463" s="5164"/>
      <c r="BW1463" s="5164"/>
      <c r="BX1463" s="5164"/>
      <c r="BY1463" s="5127"/>
      <c r="BZ1463" s="5127"/>
      <c r="CA1463" s="5127"/>
      <c r="CB1463" s="5127"/>
      <c r="CC1463" s="3662"/>
      <c r="CD1463" s="3662"/>
      <c r="CE1463" s="5170"/>
      <c r="CF1463" s="5170"/>
      <c r="CG1463" s="5170"/>
      <c r="CH1463" s="5170"/>
    </row>
    <row r="1464" s="4972" customFormat="1" ht="61" customHeight="1" spans="1:86">
      <c r="A1464" s="3662"/>
      <c r="B1464" s="5814" t="s">
        <v>2379</v>
      </c>
      <c r="C1464" s="5815">
        <v>43784</v>
      </c>
      <c r="D1464" s="5055" t="s">
        <v>2396</v>
      </c>
      <c r="E1464" s="5055" t="s">
        <v>171</v>
      </c>
      <c r="F1464" s="5053" t="s">
        <v>2397</v>
      </c>
      <c r="G1464" s="5055" t="s">
        <v>2398</v>
      </c>
      <c r="H1464" s="3662" t="s">
        <v>658</v>
      </c>
      <c r="I1464" s="3744"/>
      <c r="J1464" s="5053" t="s">
        <v>2384</v>
      </c>
      <c r="K1464" s="5149" t="s">
        <v>171</v>
      </c>
      <c r="L1464" s="5053" t="s">
        <v>2399</v>
      </c>
      <c r="M1464" s="3662">
        <f>SUM(N1464:AB1466)</f>
        <v>420000</v>
      </c>
      <c r="N1464" s="2680">
        <v>0</v>
      </c>
      <c r="O1464" s="2680">
        <v>0</v>
      </c>
      <c r="P1464" s="2680">
        <v>0</v>
      </c>
      <c r="Q1464" s="2680">
        <v>0</v>
      </c>
      <c r="R1464" s="2680">
        <v>0</v>
      </c>
      <c r="S1464" s="2680">
        <v>420000</v>
      </c>
      <c r="T1464" s="5823">
        <v>0</v>
      </c>
      <c r="U1464" s="2680">
        <v>0</v>
      </c>
      <c r="V1464" s="2680">
        <v>0</v>
      </c>
      <c r="W1464" s="2680">
        <v>0</v>
      </c>
      <c r="X1464" s="2680">
        <v>0</v>
      </c>
      <c r="Y1464" s="2680"/>
      <c r="Z1464" s="2680"/>
      <c r="AA1464" s="2680">
        <v>0</v>
      </c>
      <c r="AB1464" s="2680" t="s">
        <v>113</v>
      </c>
      <c r="AC1464" s="3662">
        <v>1</v>
      </c>
      <c r="AD1464" s="5845" t="s">
        <v>2400</v>
      </c>
      <c r="AE1464" s="5846">
        <v>0.2</v>
      </c>
      <c r="AF1464" s="5815">
        <f>S1464*AE1464</f>
        <v>84000</v>
      </c>
      <c r="AG1464" s="3684">
        <f>SUM(BA1464:BN1464)</f>
        <v>84000</v>
      </c>
      <c r="AH1464" s="5053" t="s">
        <v>206</v>
      </c>
      <c r="AI1464" s="3662">
        <v>43832</v>
      </c>
      <c r="AJ1464" s="3662" t="s">
        <v>171</v>
      </c>
      <c r="AK1464" s="3662" t="s">
        <v>171</v>
      </c>
      <c r="AL1464" s="3662">
        <v>84000</v>
      </c>
      <c r="AM1464" s="3662">
        <v>43832</v>
      </c>
      <c r="AN1464" s="3684">
        <f t="shared" si="290"/>
        <v>84000</v>
      </c>
      <c r="AO1464" s="3662">
        <v>43852</v>
      </c>
      <c r="AP1464" s="3684">
        <f t="shared" si="292"/>
        <v>0</v>
      </c>
      <c r="AQ1464" s="5055" t="s">
        <v>1463</v>
      </c>
      <c r="AR1464" s="3662"/>
      <c r="AS1464" s="5055" t="s">
        <v>2401</v>
      </c>
      <c r="AT1464" s="5127"/>
      <c r="AU1464" s="2680">
        <f>SUM(AG1464:AG1466)</f>
        <v>420000</v>
      </c>
      <c r="AV1464" s="2680">
        <f>SUM(AL1464:AL1466)</f>
        <v>420000</v>
      </c>
      <c r="AW1464" s="2680">
        <f>SUM(AN1464:AN1466)</f>
        <v>420000</v>
      </c>
      <c r="AX1464" s="2680">
        <f>M1464-AU1464</f>
        <v>0</v>
      </c>
      <c r="AY1464" s="2680">
        <f>AU1464-AV1464</f>
        <v>0</v>
      </c>
      <c r="AZ1464" s="2680">
        <f>AV1464-AW1464</f>
        <v>0</v>
      </c>
      <c r="BA1464" s="5148"/>
      <c r="BB1464" s="5148"/>
      <c r="BC1464" s="3684"/>
      <c r="BD1464" s="5148"/>
      <c r="BE1464" s="5148"/>
      <c r="BF1464" s="5148">
        <v>84000</v>
      </c>
      <c r="BG1464" s="5148"/>
      <c r="BH1464" s="5148"/>
      <c r="BI1464" s="5148"/>
      <c r="BJ1464" s="5148"/>
      <c r="BK1464" s="5148"/>
      <c r="BL1464" s="5148"/>
      <c r="BM1464" s="5148"/>
      <c r="BN1464" s="5148"/>
      <c r="BO1464" s="5127"/>
      <c r="BP1464" s="5127"/>
      <c r="BQ1464" s="5127"/>
      <c r="BR1464" s="5127"/>
      <c r="BS1464" s="5127"/>
      <c r="BT1464" s="5127">
        <v>84000</v>
      </c>
      <c r="BU1464" s="5127"/>
      <c r="BV1464" s="5127"/>
      <c r="BW1464" s="5127"/>
      <c r="BX1464" s="5127"/>
      <c r="BY1464" s="5127"/>
      <c r="BZ1464" s="5127"/>
      <c r="CA1464" s="5127"/>
      <c r="CB1464" s="5127"/>
      <c r="CC1464" s="3662"/>
      <c r="CD1464" s="3662"/>
      <c r="CE1464" s="5170"/>
      <c r="CF1464" s="5170"/>
      <c r="CG1464" s="5170"/>
      <c r="CH1464" s="5170"/>
    </row>
    <row r="1465" s="4972" customFormat="1" ht="61" customHeight="1" spans="1:86">
      <c r="A1465" s="3662"/>
      <c r="B1465" s="5814"/>
      <c r="C1465" s="5815"/>
      <c r="D1465" s="5053"/>
      <c r="E1465" s="5053"/>
      <c r="F1465" s="5053"/>
      <c r="G1465" s="5149"/>
      <c r="H1465" s="3662"/>
      <c r="I1465" s="3666"/>
      <c r="J1465" s="5053"/>
      <c r="K1465" s="5149"/>
      <c r="L1465" s="5053"/>
      <c r="M1465" s="3662"/>
      <c r="N1465" s="2680"/>
      <c r="O1465" s="2680"/>
      <c r="P1465" s="2680"/>
      <c r="Q1465" s="2680"/>
      <c r="R1465" s="2680"/>
      <c r="S1465" s="2680"/>
      <c r="T1465" s="2680"/>
      <c r="U1465" s="2680"/>
      <c r="V1465" s="2680"/>
      <c r="W1465" s="2680"/>
      <c r="X1465" s="2680"/>
      <c r="Y1465" s="2680"/>
      <c r="Z1465" s="2680"/>
      <c r="AA1465" s="2680"/>
      <c r="AB1465" s="2680"/>
      <c r="AC1465" s="3662">
        <v>2</v>
      </c>
      <c r="AD1465" s="5845" t="s">
        <v>2402</v>
      </c>
      <c r="AE1465" s="5846">
        <v>0.75</v>
      </c>
      <c r="AF1465" s="5815">
        <f>S1464*AE1465</f>
        <v>315000</v>
      </c>
      <c r="AG1465" s="3684">
        <f>SUM(BA1465:BN1465)</f>
        <v>315000</v>
      </c>
      <c r="AH1465" s="5053" t="s">
        <v>206</v>
      </c>
      <c r="AI1465" s="3662">
        <v>43832</v>
      </c>
      <c r="AJ1465" s="3662" t="s">
        <v>171</v>
      </c>
      <c r="AK1465" s="3662" t="s">
        <v>171</v>
      </c>
      <c r="AL1465" s="3662">
        <v>315000</v>
      </c>
      <c r="AM1465" s="3662">
        <v>43832</v>
      </c>
      <c r="AN1465" s="3684">
        <f t="shared" si="290"/>
        <v>315000</v>
      </c>
      <c r="AO1465" s="3662">
        <v>43852</v>
      </c>
      <c r="AP1465" s="3684">
        <f t="shared" si="292"/>
        <v>0</v>
      </c>
      <c r="AQ1465" s="5053"/>
      <c r="AR1465" s="3662"/>
      <c r="AS1465" s="5053"/>
      <c r="AT1465" s="5127"/>
      <c r="AU1465" s="2680"/>
      <c r="AV1465" s="2680"/>
      <c r="AW1465" s="2680"/>
      <c r="AX1465" s="2680"/>
      <c r="AY1465" s="2680"/>
      <c r="AZ1465" s="2680"/>
      <c r="BA1465" s="5148"/>
      <c r="BB1465" s="5148"/>
      <c r="BC1465" s="3684"/>
      <c r="BD1465" s="5148"/>
      <c r="BE1465" s="5148"/>
      <c r="BF1465" s="5148">
        <v>315000</v>
      </c>
      <c r="BG1465" s="5148"/>
      <c r="BH1465" s="5148"/>
      <c r="BI1465" s="5148"/>
      <c r="BJ1465" s="5148"/>
      <c r="BK1465" s="5148"/>
      <c r="BL1465" s="5148"/>
      <c r="BM1465" s="5148"/>
      <c r="BN1465" s="5148"/>
      <c r="BO1465" s="5127"/>
      <c r="BP1465" s="5127"/>
      <c r="BQ1465" s="5127"/>
      <c r="BR1465" s="5127"/>
      <c r="BS1465" s="5127"/>
      <c r="BT1465" s="5127">
        <v>315000</v>
      </c>
      <c r="BU1465" s="5127"/>
      <c r="BV1465" s="5127"/>
      <c r="BW1465" s="5127"/>
      <c r="BX1465" s="5127"/>
      <c r="BY1465" s="5127"/>
      <c r="BZ1465" s="5127"/>
      <c r="CA1465" s="5127"/>
      <c r="CB1465" s="5127"/>
      <c r="CC1465" s="3662"/>
      <c r="CD1465" s="3662"/>
      <c r="CE1465" s="5170"/>
      <c r="CF1465" s="5170"/>
      <c r="CG1465" s="5170"/>
      <c r="CH1465" s="5170"/>
    </row>
    <row r="1466" s="4972" customFormat="1" ht="61" customHeight="1" spans="1:86">
      <c r="A1466" s="3662"/>
      <c r="B1466" s="5814"/>
      <c r="C1466" s="5815"/>
      <c r="D1466" s="5053"/>
      <c r="E1466" s="5053"/>
      <c r="F1466" s="5053"/>
      <c r="G1466" s="5149"/>
      <c r="H1466" s="3662"/>
      <c r="I1466" s="3667"/>
      <c r="J1466" s="5053"/>
      <c r="K1466" s="5149"/>
      <c r="L1466" s="5053"/>
      <c r="M1466" s="3662"/>
      <c r="N1466" s="2680"/>
      <c r="O1466" s="2680"/>
      <c r="P1466" s="2680"/>
      <c r="Q1466" s="2680"/>
      <c r="R1466" s="2680"/>
      <c r="S1466" s="2680"/>
      <c r="T1466" s="2680"/>
      <c r="U1466" s="2680"/>
      <c r="V1466" s="2680"/>
      <c r="W1466" s="2680"/>
      <c r="X1466" s="2680"/>
      <c r="Y1466" s="2680"/>
      <c r="Z1466" s="2680"/>
      <c r="AA1466" s="2680"/>
      <c r="AB1466" s="2680"/>
      <c r="AC1466" s="3662">
        <v>3</v>
      </c>
      <c r="AD1466" s="5388" t="s">
        <v>2403</v>
      </c>
      <c r="AE1466" s="5846">
        <v>0.05</v>
      </c>
      <c r="AF1466" s="5815">
        <f>S1464*AE1466</f>
        <v>21000</v>
      </c>
      <c r="AG1466" s="3684">
        <f>SUM(BA1466:BN1466)</f>
        <v>21000</v>
      </c>
      <c r="AH1466" s="5053" t="s">
        <v>206</v>
      </c>
      <c r="AI1466" s="3662">
        <v>43832</v>
      </c>
      <c r="AJ1466" s="3662" t="s">
        <v>171</v>
      </c>
      <c r="AK1466" s="3662" t="s">
        <v>171</v>
      </c>
      <c r="AL1466" s="3662">
        <v>21000</v>
      </c>
      <c r="AM1466" s="3662">
        <v>43832</v>
      </c>
      <c r="AN1466" s="3684">
        <f t="shared" si="290"/>
        <v>21000</v>
      </c>
      <c r="AO1466" s="3662">
        <v>43852</v>
      </c>
      <c r="AP1466" s="3684">
        <f t="shared" si="292"/>
        <v>0</v>
      </c>
      <c r="AQ1466" s="5053"/>
      <c r="AR1466" s="3662"/>
      <c r="AS1466" s="5053"/>
      <c r="AT1466" s="5127"/>
      <c r="AU1466" s="2680"/>
      <c r="AV1466" s="2680"/>
      <c r="AW1466" s="2680"/>
      <c r="AX1466" s="2680"/>
      <c r="AY1466" s="2680"/>
      <c r="AZ1466" s="2680"/>
      <c r="BA1466" s="5148"/>
      <c r="BB1466" s="5148"/>
      <c r="BC1466" s="3684"/>
      <c r="BD1466" s="5148"/>
      <c r="BE1466" s="5148"/>
      <c r="BF1466" s="5148">
        <v>21000</v>
      </c>
      <c r="BG1466" s="5148"/>
      <c r="BH1466" s="5148"/>
      <c r="BI1466" s="5148"/>
      <c r="BJ1466" s="5148"/>
      <c r="BK1466" s="5148"/>
      <c r="BL1466" s="5148"/>
      <c r="BM1466" s="5148"/>
      <c r="BN1466" s="5148"/>
      <c r="BO1466" s="5127"/>
      <c r="BP1466" s="5127"/>
      <c r="BQ1466" s="5127"/>
      <c r="BR1466" s="5127"/>
      <c r="BS1466" s="5127"/>
      <c r="BT1466" s="5127">
        <v>21000</v>
      </c>
      <c r="BU1466" s="5127"/>
      <c r="BV1466" s="5127"/>
      <c r="BW1466" s="5127"/>
      <c r="BX1466" s="5127"/>
      <c r="BY1466" s="5127"/>
      <c r="BZ1466" s="5127"/>
      <c r="CA1466" s="5127"/>
      <c r="CB1466" s="5127"/>
      <c r="CC1466" s="3662"/>
      <c r="CD1466" s="3662"/>
      <c r="CE1466" s="5170"/>
      <c r="CF1466" s="5170"/>
      <c r="CG1466" s="5170"/>
      <c r="CH1466" s="5170"/>
    </row>
    <row r="1467" s="4965" customFormat="1" ht="61" customHeight="1" spans="1:86">
      <c r="A1467" s="857">
        <v>20</v>
      </c>
      <c r="B1467" s="857" t="s">
        <v>1951</v>
      </c>
      <c r="C1467" s="5818">
        <v>44274</v>
      </c>
      <c r="D1467" s="1032" t="s">
        <v>2404</v>
      </c>
      <c r="E1467" s="1032" t="s">
        <v>113</v>
      </c>
      <c r="F1467" s="1032" t="s">
        <v>2405</v>
      </c>
      <c r="G1467" s="1032" t="s">
        <v>2406</v>
      </c>
      <c r="H1467" s="1032" t="s">
        <v>240</v>
      </c>
      <c r="I1467" s="5073"/>
      <c r="J1467" s="1032" t="s">
        <v>2407</v>
      </c>
      <c r="K1467" s="1032" t="s">
        <v>2408</v>
      </c>
      <c r="L1467" s="1032" t="s">
        <v>171</v>
      </c>
      <c r="M1467" s="2680">
        <f>SUM(N1467:AB1469)</f>
        <v>1620000</v>
      </c>
      <c r="N1467" s="2680">
        <v>0</v>
      </c>
      <c r="O1467" s="2680">
        <v>0</v>
      </c>
      <c r="P1467" s="2680">
        <v>0</v>
      </c>
      <c r="Q1467" s="2680">
        <v>1620000</v>
      </c>
      <c r="R1467" s="2680">
        <v>0</v>
      </c>
      <c r="S1467" s="2680">
        <v>0</v>
      </c>
      <c r="T1467" s="5823">
        <v>0</v>
      </c>
      <c r="U1467" s="2680">
        <v>0</v>
      </c>
      <c r="V1467" s="2680">
        <v>0</v>
      </c>
      <c r="W1467" s="2680">
        <v>0</v>
      </c>
      <c r="X1467" s="2680">
        <v>0</v>
      </c>
      <c r="Y1467" s="2680"/>
      <c r="Z1467" s="2680"/>
      <c r="AA1467" s="2680">
        <v>0</v>
      </c>
      <c r="AB1467" s="2680">
        <v>0</v>
      </c>
      <c r="AC1467" s="2680">
        <v>1</v>
      </c>
      <c r="AD1467" s="1032" t="s">
        <v>2409</v>
      </c>
      <c r="AE1467" s="5870">
        <v>1</v>
      </c>
      <c r="AF1467" s="2713">
        <v>340000</v>
      </c>
      <c r="AG1467" s="3812">
        <f>SUBTOTAL(9,BA1467:BN1469)</f>
        <v>1620000</v>
      </c>
      <c r="AH1467" s="1035" t="s">
        <v>122</v>
      </c>
      <c r="AI1467" s="2680">
        <v>44791</v>
      </c>
      <c r="AJ1467" s="2680">
        <v>1620000</v>
      </c>
      <c r="AK1467" s="2680">
        <v>44791</v>
      </c>
      <c r="AL1467" s="3925">
        <v>980000</v>
      </c>
      <c r="AM1467" s="3925">
        <v>45083</v>
      </c>
      <c r="AN1467" s="3925">
        <f>SUBTOTAL(9,BO1467:CB1469)</f>
        <v>980000</v>
      </c>
      <c r="AO1467" s="3912">
        <v>45132</v>
      </c>
      <c r="AP1467" s="3912">
        <f t="shared" si="292"/>
        <v>640000</v>
      </c>
      <c r="AQ1467" s="5079"/>
      <c r="AR1467" s="2680"/>
      <c r="AS1467" s="2680"/>
      <c r="AT1467" s="2680"/>
      <c r="AU1467" s="2680">
        <f>SUM(AG1467:AG1469)</f>
        <v>1620000</v>
      </c>
      <c r="AV1467" s="2680">
        <f>SUM(AL1467:AL1469)</f>
        <v>1620000</v>
      </c>
      <c r="AW1467" s="2680">
        <f>SUM(AN1467:AN1469)</f>
        <v>980000</v>
      </c>
      <c r="AX1467" s="2680">
        <f>M1467-AU1467</f>
        <v>0</v>
      </c>
      <c r="AY1467" s="2680">
        <f>AU1467-AV1467</f>
        <v>0</v>
      </c>
      <c r="AZ1467" s="2680">
        <f>AV1467-AW1467</f>
        <v>640000</v>
      </c>
      <c r="BA1467" s="2678"/>
      <c r="BB1467" s="2678"/>
      <c r="BC1467" s="2678"/>
      <c r="BD1467" s="2678">
        <v>1620000</v>
      </c>
      <c r="BE1467" s="2678"/>
      <c r="BF1467" s="2678"/>
      <c r="BG1467" s="2678"/>
      <c r="BH1467" s="2678"/>
      <c r="BI1467" s="2678"/>
      <c r="BJ1467" s="2678"/>
      <c r="BK1467" s="2678"/>
      <c r="BL1467" s="3912"/>
      <c r="BM1467" s="3912"/>
      <c r="BN1467" s="2678"/>
      <c r="BO1467" s="2678"/>
      <c r="BP1467" s="2678"/>
      <c r="BQ1467" s="2678"/>
      <c r="BR1467" s="3912">
        <v>980000</v>
      </c>
      <c r="BS1467" s="2678"/>
      <c r="BT1467" s="2678"/>
      <c r="BU1467" s="2678"/>
      <c r="BV1467" s="2678"/>
      <c r="BW1467" s="2678"/>
      <c r="BX1467" s="2678"/>
      <c r="BY1467" s="2678"/>
      <c r="BZ1467" s="3912"/>
      <c r="CA1467" s="3912"/>
      <c r="CB1467" s="2678"/>
      <c r="CC1467" s="2680"/>
      <c r="CD1467" s="2680"/>
      <c r="CE1467" s="5169"/>
      <c r="CF1467" s="5169"/>
      <c r="CG1467" s="5169"/>
      <c r="CH1467" s="5169"/>
    </row>
    <row r="1468" s="4965" customFormat="1" ht="61" customHeight="1" spans="1:86">
      <c r="A1468" s="5813"/>
      <c r="B1468" s="5813"/>
      <c r="C1468" s="5818"/>
      <c r="D1468" s="5818"/>
      <c r="E1468" s="5818"/>
      <c r="F1468" s="5818"/>
      <c r="G1468" s="5818"/>
      <c r="H1468" s="5818"/>
      <c r="I1468" s="5205"/>
      <c r="J1468" s="5818"/>
      <c r="K1468" s="5818"/>
      <c r="L1468" s="5818"/>
      <c r="M1468" s="2680"/>
      <c r="N1468" s="2680"/>
      <c r="O1468" s="2680"/>
      <c r="P1468" s="2680"/>
      <c r="Q1468" s="2680"/>
      <c r="R1468" s="2680"/>
      <c r="S1468" s="2680"/>
      <c r="T1468" s="2680"/>
      <c r="U1468" s="2680"/>
      <c r="V1468" s="2680"/>
      <c r="W1468" s="2680"/>
      <c r="X1468" s="2680"/>
      <c r="Y1468" s="2680"/>
      <c r="Z1468" s="2680"/>
      <c r="AA1468" s="2680"/>
      <c r="AB1468" s="2680"/>
      <c r="AC1468" s="2680">
        <v>2</v>
      </c>
      <c r="AD1468" s="1032" t="s">
        <v>2410</v>
      </c>
      <c r="AE1468" s="5870">
        <v>1</v>
      </c>
      <c r="AF1468" s="2713">
        <v>200000</v>
      </c>
      <c r="AG1468" s="3812"/>
      <c r="AH1468" s="5079"/>
      <c r="AI1468" s="2680"/>
      <c r="AJ1468" s="2680"/>
      <c r="AK1468" s="2680"/>
      <c r="AL1468" s="3927"/>
      <c r="AM1468" s="3927"/>
      <c r="AN1468" s="3927"/>
      <c r="AO1468" s="3914"/>
      <c r="AP1468" s="3914"/>
      <c r="AQ1468" s="5079"/>
      <c r="AR1468" s="2680"/>
      <c r="AS1468" s="2680"/>
      <c r="AT1468" s="2680"/>
      <c r="AU1468" s="2680"/>
      <c r="AV1468" s="2680"/>
      <c r="AW1468" s="2680"/>
      <c r="AX1468" s="2680"/>
      <c r="AY1468" s="2680"/>
      <c r="AZ1468" s="2680"/>
      <c r="BA1468" s="2678"/>
      <c r="BB1468" s="2678"/>
      <c r="BC1468" s="2678"/>
      <c r="BD1468" s="2678"/>
      <c r="BE1468" s="2678"/>
      <c r="BF1468" s="2678"/>
      <c r="BG1468" s="2678"/>
      <c r="BH1468" s="2678"/>
      <c r="BI1468" s="2678"/>
      <c r="BJ1468" s="2678"/>
      <c r="BK1468" s="2678"/>
      <c r="BL1468" s="3913"/>
      <c r="BM1468" s="3913"/>
      <c r="BN1468" s="2678"/>
      <c r="BO1468" s="2678"/>
      <c r="BP1468" s="2678"/>
      <c r="BQ1468" s="2678"/>
      <c r="BR1468" s="3914"/>
      <c r="BS1468" s="2678"/>
      <c r="BT1468" s="2678"/>
      <c r="BU1468" s="2678"/>
      <c r="BV1468" s="2678"/>
      <c r="BW1468" s="2678"/>
      <c r="BX1468" s="2678"/>
      <c r="BY1468" s="2678"/>
      <c r="BZ1468" s="3913"/>
      <c r="CA1468" s="3913"/>
      <c r="CB1468" s="2678"/>
      <c r="CC1468" s="2680"/>
      <c r="CD1468" s="2680"/>
      <c r="CE1468" s="5169"/>
      <c r="CF1468" s="5169"/>
      <c r="CG1468" s="5169"/>
      <c r="CH1468" s="5169"/>
    </row>
    <row r="1469" s="4965" customFormat="1" ht="61" customHeight="1" spans="1:86">
      <c r="A1469" s="5813"/>
      <c r="B1469" s="5813"/>
      <c r="C1469" s="5818"/>
      <c r="D1469" s="5818"/>
      <c r="E1469" s="5818"/>
      <c r="F1469" s="5818"/>
      <c r="G1469" s="5818"/>
      <c r="H1469" s="5818"/>
      <c r="I1469" s="5206"/>
      <c r="J1469" s="5818"/>
      <c r="K1469" s="5818"/>
      <c r="L1469" s="5818"/>
      <c r="M1469" s="2680"/>
      <c r="N1469" s="2680"/>
      <c r="O1469" s="2680"/>
      <c r="P1469" s="2680"/>
      <c r="Q1469" s="2680"/>
      <c r="R1469" s="2680"/>
      <c r="S1469" s="2680"/>
      <c r="T1469" s="2680"/>
      <c r="U1469" s="2680"/>
      <c r="V1469" s="2680"/>
      <c r="W1469" s="2680"/>
      <c r="X1469" s="2680"/>
      <c r="Y1469" s="2680"/>
      <c r="Z1469" s="2680"/>
      <c r="AA1469" s="2680"/>
      <c r="AB1469" s="2680"/>
      <c r="AC1469" s="2680">
        <v>3</v>
      </c>
      <c r="AD1469" s="1032" t="s">
        <v>2411</v>
      </c>
      <c r="AE1469" s="5870">
        <v>1</v>
      </c>
      <c r="AF1469" s="2713">
        <v>1080000</v>
      </c>
      <c r="AG1469" s="3812"/>
      <c r="AH1469" s="5079"/>
      <c r="AI1469" s="2680"/>
      <c r="AJ1469" s="2680"/>
      <c r="AK1469" s="2680"/>
      <c r="AL1469" s="2680">
        <f>AJ1467-AL1467</f>
        <v>640000</v>
      </c>
      <c r="AM1469" s="2680"/>
      <c r="AN1469" s="2680"/>
      <c r="AO1469" s="2678"/>
      <c r="AP1469" s="2678"/>
      <c r="AQ1469" s="5079"/>
      <c r="AR1469" s="2680"/>
      <c r="AS1469" s="2680"/>
      <c r="AT1469" s="2680"/>
      <c r="AU1469" s="2680"/>
      <c r="AV1469" s="2680"/>
      <c r="AW1469" s="2680"/>
      <c r="AX1469" s="2680"/>
      <c r="AY1469" s="2680"/>
      <c r="AZ1469" s="2680"/>
      <c r="BA1469" s="2678"/>
      <c r="BB1469" s="2678"/>
      <c r="BC1469" s="2678"/>
      <c r="BD1469" s="2678"/>
      <c r="BE1469" s="2678"/>
      <c r="BF1469" s="2678"/>
      <c r="BG1469" s="2678"/>
      <c r="BH1469" s="2678"/>
      <c r="BI1469" s="2678"/>
      <c r="BJ1469" s="2678"/>
      <c r="BK1469" s="2678"/>
      <c r="BL1469" s="3914"/>
      <c r="BM1469" s="3914"/>
      <c r="BN1469" s="2678"/>
      <c r="BO1469" s="2678"/>
      <c r="BP1469" s="2678"/>
      <c r="BQ1469" s="2678"/>
      <c r="BR1469" s="2678"/>
      <c r="BS1469" s="2678"/>
      <c r="BT1469" s="2678"/>
      <c r="BU1469" s="2678"/>
      <c r="BV1469" s="2678"/>
      <c r="BW1469" s="2678"/>
      <c r="BX1469" s="2678"/>
      <c r="BY1469" s="2678"/>
      <c r="BZ1469" s="3914"/>
      <c r="CA1469" s="3914"/>
      <c r="CB1469" s="2678"/>
      <c r="CC1469" s="2680"/>
      <c r="CD1469" s="2680"/>
      <c r="CE1469" s="5169"/>
      <c r="CF1469" s="5169"/>
      <c r="CG1469" s="5169"/>
      <c r="CH1469" s="5169"/>
    </row>
    <row r="1470" s="4972" customFormat="1" ht="31" spans="1:86">
      <c r="A1470" s="3814">
        <v>20</v>
      </c>
      <c r="B1470" s="3814" t="s">
        <v>1951</v>
      </c>
      <c r="C1470" s="5055">
        <v>44834</v>
      </c>
      <c r="D1470" s="5055" t="s">
        <v>2412</v>
      </c>
      <c r="E1470" s="1032" t="s">
        <v>2413</v>
      </c>
      <c r="F1470" s="5055" t="s">
        <v>2414</v>
      </c>
      <c r="G1470" s="5055" t="s">
        <v>2415</v>
      </c>
      <c r="H1470" s="5055" t="s">
        <v>116</v>
      </c>
      <c r="I1470" s="3909" t="s">
        <v>2416</v>
      </c>
      <c r="J1470" s="5055" t="s">
        <v>2417</v>
      </c>
      <c r="K1470" s="5055" t="s">
        <v>171</v>
      </c>
      <c r="L1470" s="5055" t="s">
        <v>171</v>
      </c>
      <c r="M1470" s="3662">
        <f>SUM(N1470:AB1475)</f>
        <v>1714653</v>
      </c>
      <c r="N1470" s="2680">
        <v>0</v>
      </c>
      <c r="O1470" s="2680">
        <v>0</v>
      </c>
      <c r="P1470" s="2680">
        <v>0</v>
      </c>
      <c r="Q1470" s="2680">
        <v>0</v>
      </c>
      <c r="R1470" s="2680">
        <v>0</v>
      </c>
      <c r="S1470" s="2680">
        <v>0</v>
      </c>
      <c r="T1470" s="5823">
        <v>0</v>
      </c>
      <c r="U1470" s="2680">
        <v>0</v>
      </c>
      <c r="V1470" s="2680">
        <v>0</v>
      </c>
      <c r="W1470" s="2680">
        <v>0</v>
      </c>
      <c r="X1470" s="2680">
        <v>0</v>
      </c>
      <c r="Y1470" s="2680">
        <v>0</v>
      </c>
      <c r="Z1470" s="2680"/>
      <c r="AA1470" s="2680">
        <v>1714653</v>
      </c>
      <c r="AB1470" s="2680">
        <v>0</v>
      </c>
      <c r="AC1470" s="3814" t="s">
        <v>2418</v>
      </c>
      <c r="AD1470" s="5055" t="s">
        <v>2419</v>
      </c>
      <c r="AE1470" s="5846">
        <v>0.3</v>
      </c>
      <c r="AF1470" s="5815">
        <f>M1470*AE1470</f>
        <v>514395.9</v>
      </c>
      <c r="AG1470" s="3684">
        <f t="shared" ref="AG1470:AG1478" si="293">SUM(BA1470:BN1470)</f>
        <v>514395.9</v>
      </c>
      <c r="AH1470" s="5055" t="s">
        <v>122</v>
      </c>
      <c r="AI1470" s="3684">
        <v>44879</v>
      </c>
      <c r="AJ1470" s="3684">
        <v>514395.9</v>
      </c>
      <c r="AK1470" s="3684">
        <v>44879</v>
      </c>
      <c r="AL1470" s="3662">
        <v>1058628.25</v>
      </c>
      <c r="AM1470" s="3662">
        <v>44966</v>
      </c>
      <c r="AN1470" s="3684">
        <f>SUBTOTAL(9,BO1470:CB1472)</f>
        <v>1058628.25</v>
      </c>
      <c r="AO1470" s="3684">
        <v>45002</v>
      </c>
      <c r="AP1470" s="3662"/>
      <c r="AQ1470" s="3909" t="s">
        <v>2420</v>
      </c>
      <c r="AR1470" s="3662"/>
      <c r="AS1470" s="3662"/>
      <c r="AT1470" s="3662"/>
      <c r="AU1470" s="5749"/>
      <c r="AV1470" s="5749">
        <f>SUM(AL1470:AL1475)</f>
        <v>1245445</v>
      </c>
      <c r="AW1470" s="5749">
        <f>SUM(AN1470:AN1475)</f>
        <v>1245445</v>
      </c>
      <c r="AX1470" s="5749">
        <f>M1470-AU1470</f>
        <v>1714653</v>
      </c>
      <c r="AY1470" s="5749"/>
      <c r="AZ1470" s="5749">
        <f>AV1470-AW1470</f>
        <v>0</v>
      </c>
      <c r="BA1470" s="3684"/>
      <c r="BB1470" s="3684"/>
      <c r="BC1470" s="3684"/>
      <c r="BD1470" s="3684"/>
      <c r="BE1470" s="3684"/>
      <c r="BF1470" s="3684"/>
      <c r="BG1470" s="3684"/>
      <c r="BH1470" s="3684"/>
      <c r="BI1470" s="3684"/>
      <c r="BJ1470" s="3684"/>
      <c r="BK1470" s="3684"/>
      <c r="BL1470" s="3684"/>
      <c r="BM1470" s="3684"/>
      <c r="BN1470" s="3684">
        <v>514395.9</v>
      </c>
      <c r="BO1470" s="3684"/>
      <c r="BP1470" s="3684"/>
      <c r="BQ1470" s="3684"/>
      <c r="BR1470" s="3684"/>
      <c r="BS1470" s="3684"/>
      <c r="BT1470" s="3684"/>
      <c r="BU1470" s="3684"/>
      <c r="BV1470" s="3684"/>
      <c r="BW1470" s="3684"/>
      <c r="BX1470" s="3684"/>
      <c r="BY1470" s="3684"/>
      <c r="BZ1470" s="3684"/>
      <c r="CA1470" s="3684"/>
      <c r="CB1470" s="3684">
        <v>1058628.25</v>
      </c>
      <c r="CC1470" s="3662"/>
      <c r="CD1470" s="3662"/>
      <c r="CE1470" s="5170"/>
      <c r="CF1470" s="5170"/>
      <c r="CG1470" s="5170"/>
      <c r="CH1470" s="5170"/>
    </row>
    <row r="1471" s="4972" customFormat="1" ht="45" customHeight="1" spans="1:86">
      <c r="A1471" s="5814"/>
      <c r="B1471" s="5814"/>
      <c r="C1471" s="5149"/>
      <c r="D1471" s="5149"/>
      <c r="E1471" s="5818"/>
      <c r="F1471" s="5149"/>
      <c r="G1471" s="5149"/>
      <c r="H1471" s="5149"/>
      <c r="I1471" s="3910"/>
      <c r="J1471" s="5149"/>
      <c r="K1471" s="5149"/>
      <c r="L1471" s="5149"/>
      <c r="M1471" s="3662"/>
      <c r="N1471" s="2680"/>
      <c r="O1471" s="2680"/>
      <c r="P1471" s="2680"/>
      <c r="Q1471" s="2680"/>
      <c r="R1471" s="2680"/>
      <c r="S1471" s="2680"/>
      <c r="T1471" s="2680"/>
      <c r="U1471" s="2680"/>
      <c r="V1471" s="2680"/>
      <c r="W1471" s="2680"/>
      <c r="X1471" s="2680"/>
      <c r="Y1471" s="2680"/>
      <c r="Z1471" s="2680"/>
      <c r="AA1471" s="2680"/>
      <c r="AB1471" s="2680"/>
      <c r="AC1471" s="3814" t="s">
        <v>2421</v>
      </c>
      <c r="AD1471" s="5055" t="s">
        <v>2422</v>
      </c>
      <c r="AE1471" s="5846">
        <v>0.3</v>
      </c>
      <c r="AF1471" s="5815">
        <f>M1470*AE1471</f>
        <v>514395.9</v>
      </c>
      <c r="AG1471" s="3684">
        <f t="shared" si="293"/>
        <v>514395.9</v>
      </c>
      <c r="AH1471" s="5055" t="s">
        <v>122</v>
      </c>
      <c r="AI1471" s="3684">
        <v>44879</v>
      </c>
      <c r="AJ1471" s="3684">
        <v>514395.9</v>
      </c>
      <c r="AK1471" s="3684">
        <v>44879</v>
      </c>
      <c r="AL1471" s="3662"/>
      <c r="AM1471" s="3662"/>
      <c r="AN1471" s="3684"/>
      <c r="AO1471" s="3684"/>
      <c r="AP1471" s="3662"/>
      <c r="AQ1471" s="3911"/>
      <c r="AR1471" s="3662"/>
      <c r="AS1471" s="3662"/>
      <c r="AT1471" s="3662"/>
      <c r="AU1471" s="5749"/>
      <c r="AV1471" s="5749"/>
      <c r="AW1471" s="5749"/>
      <c r="AX1471" s="5749"/>
      <c r="AY1471" s="5749"/>
      <c r="AZ1471" s="5749"/>
      <c r="BA1471" s="3684"/>
      <c r="BB1471" s="3684"/>
      <c r="BC1471" s="3684"/>
      <c r="BD1471" s="3684"/>
      <c r="BE1471" s="3684"/>
      <c r="BF1471" s="3684"/>
      <c r="BG1471" s="3684"/>
      <c r="BH1471" s="3684"/>
      <c r="BI1471" s="3684"/>
      <c r="BJ1471" s="3684"/>
      <c r="BK1471" s="3684"/>
      <c r="BL1471" s="3684"/>
      <c r="BM1471" s="3684"/>
      <c r="BN1471" s="3684">
        <v>514395.9</v>
      </c>
      <c r="BO1471" s="3684"/>
      <c r="BP1471" s="3684"/>
      <c r="BQ1471" s="3684"/>
      <c r="BR1471" s="3684"/>
      <c r="BS1471" s="3684"/>
      <c r="BT1471" s="3684"/>
      <c r="BU1471" s="3684"/>
      <c r="BV1471" s="3684"/>
      <c r="BW1471" s="3684"/>
      <c r="BX1471" s="3684"/>
      <c r="BY1471" s="3684"/>
      <c r="BZ1471" s="3684"/>
      <c r="CA1471" s="3684"/>
      <c r="CB1471" s="3684"/>
      <c r="CC1471" s="3662"/>
      <c r="CD1471" s="3662"/>
      <c r="CE1471" s="5170"/>
      <c r="CF1471" s="5170"/>
      <c r="CG1471" s="5170"/>
      <c r="CH1471" s="5170"/>
    </row>
    <row r="1472" s="4972" customFormat="1" ht="45" customHeight="1" spans="1:86">
      <c r="A1472" s="5814"/>
      <c r="B1472" s="5814"/>
      <c r="C1472" s="5149"/>
      <c r="D1472" s="5149"/>
      <c r="E1472" s="5818"/>
      <c r="F1472" s="5149"/>
      <c r="G1472" s="5149"/>
      <c r="H1472" s="5149"/>
      <c r="I1472" s="3910"/>
      <c r="J1472" s="5149"/>
      <c r="K1472" s="5149"/>
      <c r="L1472" s="5149"/>
      <c r="M1472" s="3662"/>
      <c r="N1472" s="2680"/>
      <c r="O1472" s="2680"/>
      <c r="P1472" s="2680"/>
      <c r="Q1472" s="2680"/>
      <c r="R1472" s="2680"/>
      <c r="S1472" s="2680"/>
      <c r="T1472" s="2680"/>
      <c r="U1472" s="2680"/>
      <c r="V1472" s="2680"/>
      <c r="W1472" s="2680"/>
      <c r="X1472" s="2680"/>
      <c r="Y1472" s="2680"/>
      <c r="Z1472" s="2680"/>
      <c r="AA1472" s="2680"/>
      <c r="AB1472" s="2680"/>
      <c r="AC1472" s="5055" t="s">
        <v>2423</v>
      </c>
      <c r="AD1472" s="5055" t="s">
        <v>2424</v>
      </c>
      <c r="AE1472" s="5846">
        <v>0.25</v>
      </c>
      <c r="AF1472" s="5815">
        <f>M1470*AE1472</f>
        <v>428663.25</v>
      </c>
      <c r="AG1472" s="3684">
        <f t="shared" si="293"/>
        <v>29836.45</v>
      </c>
      <c r="AH1472" s="5055" t="s">
        <v>122</v>
      </c>
      <c r="AI1472" s="3684">
        <v>44965</v>
      </c>
      <c r="AJ1472" s="3684">
        <v>29836.45</v>
      </c>
      <c r="AK1472" s="3684">
        <v>44965</v>
      </c>
      <c r="AL1472" s="3662"/>
      <c r="AM1472" s="3662"/>
      <c r="AN1472" s="3684"/>
      <c r="AO1472" s="3684"/>
      <c r="AP1472" s="3662"/>
      <c r="AQ1472" s="5053"/>
      <c r="AR1472" s="3662"/>
      <c r="AS1472" s="3662"/>
      <c r="AT1472" s="3662"/>
      <c r="AU1472" s="5749"/>
      <c r="AV1472" s="5749"/>
      <c r="AW1472" s="5749"/>
      <c r="AX1472" s="5749"/>
      <c r="AY1472" s="5749"/>
      <c r="AZ1472" s="5749"/>
      <c r="BA1472" s="3684"/>
      <c r="BB1472" s="3684"/>
      <c r="BC1472" s="3684"/>
      <c r="BD1472" s="3684"/>
      <c r="BE1472" s="3684"/>
      <c r="BF1472" s="3684"/>
      <c r="BG1472" s="3684"/>
      <c r="BH1472" s="3684"/>
      <c r="BI1472" s="3684"/>
      <c r="BJ1472" s="3684"/>
      <c r="BK1472" s="3684"/>
      <c r="BL1472" s="3684"/>
      <c r="BM1472" s="3684"/>
      <c r="BN1472" s="3684">
        <v>29836.45</v>
      </c>
      <c r="BO1472" s="3684"/>
      <c r="BP1472" s="3684"/>
      <c r="BQ1472" s="3684"/>
      <c r="BR1472" s="3684"/>
      <c r="BS1472" s="3684"/>
      <c r="BT1472" s="3684"/>
      <c r="BU1472" s="3684"/>
      <c r="BV1472" s="3684"/>
      <c r="BW1472" s="3684"/>
      <c r="BX1472" s="3684"/>
      <c r="BY1472" s="3684"/>
      <c r="BZ1472" s="3684"/>
      <c r="CA1472" s="3684"/>
      <c r="CB1472" s="3684"/>
      <c r="CC1472" s="3662"/>
      <c r="CD1472" s="3662"/>
      <c r="CE1472" s="5170"/>
      <c r="CF1472" s="5170"/>
      <c r="CG1472" s="5170"/>
      <c r="CH1472" s="5170"/>
    </row>
    <row r="1473" s="4972" customFormat="1" ht="45" customHeight="1" spans="1:86">
      <c r="A1473" s="5814"/>
      <c r="B1473" s="5814"/>
      <c r="C1473" s="5149"/>
      <c r="D1473" s="5149"/>
      <c r="E1473" s="5818"/>
      <c r="F1473" s="5149"/>
      <c r="G1473" s="5149"/>
      <c r="H1473" s="5149"/>
      <c r="I1473" s="3910"/>
      <c r="J1473" s="5149"/>
      <c r="K1473" s="5149"/>
      <c r="L1473" s="5149"/>
      <c r="M1473" s="3662"/>
      <c r="N1473" s="2680"/>
      <c r="O1473" s="2680"/>
      <c r="P1473" s="2680"/>
      <c r="Q1473" s="2680"/>
      <c r="R1473" s="2680"/>
      <c r="S1473" s="2680"/>
      <c r="T1473" s="2680"/>
      <c r="U1473" s="2680"/>
      <c r="V1473" s="2680"/>
      <c r="W1473" s="2680"/>
      <c r="X1473" s="2680"/>
      <c r="Y1473" s="2680"/>
      <c r="Z1473" s="2680"/>
      <c r="AA1473" s="2680"/>
      <c r="AB1473" s="2680"/>
      <c r="AC1473" s="5053"/>
      <c r="AD1473" s="5055" t="s">
        <v>2425</v>
      </c>
      <c r="AE1473" s="5846"/>
      <c r="AF1473" s="5815"/>
      <c r="AG1473" s="3708">
        <f t="shared" si="293"/>
        <v>0</v>
      </c>
      <c r="AH1473" s="5120"/>
      <c r="AI1473" s="3708"/>
      <c r="AJ1473" s="3662">
        <v>398826.8</v>
      </c>
      <c r="AK1473" s="3662"/>
      <c r="AL1473" s="3662"/>
      <c r="AM1473" s="3662"/>
      <c r="AN1473" s="3684">
        <f>SUM(BO1473:CB1473)</f>
        <v>0</v>
      </c>
      <c r="AO1473" s="3708"/>
      <c r="AP1473" s="5053"/>
      <c r="AQ1473" s="5127"/>
      <c r="AR1473" s="3662"/>
      <c r="AS1473" s="3662"/>
      <c r="AT1473" s="3662"/>
      <c r="AU1473" s="5749"/>
      <c r="AV1473" s="5749"/>
      <c r="AW1473" s="5749"/>
      <c r="AX1473" s="5749"/>
      <c r="AY1473" s="5749"/>
      <c r="AZ1473" s="5749"/>
      <c r="BA1473" s="3684"/>
      <c r="BB1473" s="3684"/>
      <c r="BC1473" s="3684"/>
      <c r="BD1473" s="3684"/>
      <c r="BE1473" s="3684"/>
      <c r="BF1473" s="3684"/>
      <c r="BG1473" s="3684"/>
      <c r="BH1473" s="3684"/>
      <c r="BI1473" s="3684"/>
      <c r="BJ1473" s="3684"/>
      <c r="BK1473" s="3684"/>
      <c r="BL1473" s="3684"/>
      <c r="BM1473" s="3684"/>
      <c r="BN1473" s="3684"/>
      <c r="BO1473" s="3684"/>
      <c r="BP1473" s="3684"/>
      <c r="BQ1473" s="3684"/>
      <c r="BR1473" s="3684"/>
      <c r="BS1473" s="3684"/>
      <c r="BT1473" s="3684"/>
      <c r="BU1473" s="3684"/>
      <c r="BV1473" s="3684"/>
      <c r="BW1473" s="3684"/>
      <c r="BX1473" s="3684"/>
      <c r="BY1473" s="3684"/>
      <c r="BZ1473" s="3684"/>
      <c r="CA1473" s="3684"/>
      <c r="CB1473" s="3684"/>
      <c r="CC1473" s="3662"/>
      <c r="CD1473" s="3662"/>
      <c r="CE1473" s="5170"/>
      <c r="CF1473" s="5170"/>
      <c r="CG1473" s="5170"/>
      <c r="CH1473" s="5170"/>
    </row>
    <row r="1474" s="4972" customFormat="1" ht="45" customHeight="1" spans="1:86">
      <c r="A1474" s="5814"/>
      <c r="B1474" s="5814"/>
      <c r="C1474" s="5149"/>
      <c r="D1474" s="5149"/>
      <c r="E1474" s="5818"/>
      <c r="F1474" s="5149"/>
      <c r="G1474" s="5149"/>
      <c r="H1474" s="5149"/>
      <c r="I1474" s="3910"/>
      <c r="J1474" s="5149"/>
      <c r="K1474" s="5149"/>
      <c r="L1474" s="5149"/>
      <c r="M1474" s="3662"/>
      <c r="N1474" s="2680"/>
      <c r="O1474" s="2680"/>
      <c r="P1474" s="2680"/>
      <c r="Q1474" s="2680"/>
      <c r="R1474" s="2680"/>
      <c r="S1474" s="2680"/>
      <c r="T1474" s="2680"/>
      <c r="U1474" s="2680"/>
      <c r="V1474" s="2680"/>
      <c r="W1474" s="2680"/>
      <c r="X1474" s="2680"/>
      <c r="Y1474" s="2680"/>
      <c r="Z1474" s="2680"/>
      <c r="AA1474" s="2680"/>
      <c r="AB1474" s="2680"/>
      <c r="AC1474" s="3814" t="s">
        <v>658</v>
      </c>
      <c r="AD1474" s="5055" t="s">
        <v>2426</v>
      </c>
      <c r="AE1474" s="5846">
        <v>0.12</v>
      </c>
      <c r="AF1474" s="5815">
        <f>M1470*AE1474</f>
        <v>205758.36</v>
      </c>
      <c r="AG1474" s="3684">
        <f t="shared" si="293"/>
        <v>149453.4</v>
      </c>
      <c r="AH1474" s="5055" t="s">
        <v>122</v>
      </c>
      <c r="AI1474" s="3684">
        <v>45005</v>
      </c>
      <c r="AJ1474" s="3662">
        <v>149453.4</v>
      </c>
      <c r="AK1474" s="3684">
        <v>45005</v>
      </c>
      <c r="AL1474" s="3662">
        <v>149453.4</v>
      </c>
      <c r="AM1474" s="3662">
        <v>45005</v>
      </c>
      <c r="AN1474" s="3684">
        <f>SUM(BO1474:CB1474)</f>
        <v>149453.4</v>
      </c>
      <c r="AO1474" s="3684">
        <v>45064</v>
      </c>
      <c r="AP1474" s="3662"/>
      <c r="AQ1474" s="5055" t="s">
        <v>2427</v>
      </c>
      <c r="AR1474" s="3662"/>
      <c r="AS1474" s="3662"/>
      <c r="AT1474" s="3662"/>
      <c r="AU1474" s="5749"/>
      <c r="AV1474" s="5749"/>
      <c r="AW1474" s="5749"/>
      <c r="AX1474" s="5749"/>
      <c r="AY1474" s="5749"/>
      <c r="AZ1474" s="5749"/>
      <c r="BA1474" s="3684"/>
      <c r="BB1474" s="3684"/>
      <c r="BC1474" s="3684"/>
      <c r="BD1474" s="3684"/>
      <c r="BE1474" s="3684"/>
      <c r="BF1474" s="3684"/>
      <c r="BG1474" s="3684"/>
      <c r="BH1474" s="3684"/>
      <c r="BI1474" s="3684"/>
      <c r="BJ1474" s="3684"/>
      <c r="BK1474" s="3684"/>
      <c r="BL1474" s="3684"/>
      <c r="BM1474" s="3684"/>
      <c r="BN1474" s="3684">
        <v>149453.4</v>
      </c>
      <c r="BO1474" s="3684"/>
      <c r="BP1474" s="3684"/>
      <c r="BQ1474" s="3684"/>
      <c r="BR1474" s="3684"/>
      <c r="BS1474" s="3684"/>
      <c r="BT1474" s="3684"/>
      <c r="BU1474" s="3684"/>
      <c r="BV1474" s="3684"/>
      <c r="BW1474" s="3684"/>
      <c r="BX1474" s="3684"/>
      <c r="BY1474" s="3684"/>
      <c r="BZ1474" s="3684"/>
      <c r="CA1474" s="3684"/>
      <c r="CB1474" s="3684">
        <v>149453.4</v>
      </c>
      <c r="CC1474" s="3662"/>
      <c r="CD1474" s="3662"/>
      <c r="CE1474" s="5170"/>
      <c r="CF1474" s="5170"/>
      <c r="CG1474" s="5170"/>
      <c r="CH1474" s="5170"/>
    </row>
    <row r="1475" s="4972" customFormat="1" ht="45" customHeight="1" spans="1:86">
      <c r="A1475" s="5814"/>
      <c r="B1475" s="5814"/>
      <c r="C1475" s="5149"/>
      <c r="D1475" s="5149"/>
      <c r="E1475" s="5818"/>
      <c r="F1475" s="5149"/>
      <c r="G1475" s="5149"/>
      <c r="H1475" s="5149"/>
      <c r="I1475" s="3911"/>
      <c r="J1475" s="5149"/>
      <c r="K1475" s="5149"/>
      <c r="L1475" s="5149"/>
      <c r="M1475" s="3662"/>
      <c r="N1475" s="2680"/>
      <c r="O1475" s="2680"/>
      <c r="P1475" s="2680"/>
      <c r="Q1475" s="2680"/>
      <c r="R1475" s="2680"/>
      <c r="S1475" s="2680"/>
      <c r="T1475" s="2680"/>
      <c r="U1475" s="2680"/>
      <c r="V1475" s="2680"/>
      <c r="W1475" s="2680"/>
      <c r="X1475" s="2680"/>
      <c r="Y1475" s="2680"/>
      <c r="Z1475" s="2680"/>
      <c r="AA1475" s="2680"/>
      <c r="AB1475" s="2680"/>
      <c r="AC1475" s="5055" t="s">
        <v>2428</v>
      </c>
      <c r="AD1475" s="5055" t="s">
        <v>2429</v>
      </c>
      <c r="AE1475" s="6016">
        <v>0.03</v>
      </c>
      <c r="AF1475" s="5815">
        <f>M1470*AE1475</f>
        <v>51439.59</v>
      </c>
      <c r="AG1475" s="3684">
        <f t="shared" si="293"/>
        <v>37363.35</v>
      </c>
      <c r="AH1475" s="5055" t="s">
        <v>122</v>
      </c>
      <c r="AI1475" s="3684">
        <v>45783</v>
      </c>
      <c r="AJ1475" s="3684">
        <v>37363.35</v>
      </c>
      <c r="AK1475" s="3684">
        <v>45783</v>
      </c>
      <c r="AL1475" s="3684">
        <v>37363.35</v>
      </c>
      <c r="AM1475" s="3684">
        <v>45784</v>
      </c>
      <c r="AN1475" s="5162">
        <f>SUM(BO1475:CB1475)</f>
        <v>37363.35</v>
      </c>
      <c r="AO1475" s="5162">
        <v>45821</v>
      </c>
      <c r="AP1475" s="3662"/>
      <c r="AQ1475" s="5053"/>
      <c r="AR1475" s="3662"/>
      <c r="AS1475" s="3662"/>
      <c r="AT1475" s="3662"/>
      <c r="AU1475" s="5749"/>
      <c r="AV1475" s="5749"/>
      <c r="AW1475" s="5749"/>
      <c r="AX1475" s="5749"/>
      <c r="AY1475" s="5749"/>
      <c r="AZ1475" s="5749"/>
      <c r="BA1475" s="3684"/>
      <c r="BB1475" s="3684"/>
      <c r="BC1475" s="3684"/>
      <c r="BD1475" s="3684"/>
      <c r="BE1475" s="3684"/>
      <c r="BF1475" s="3684"/>
      <c r="BG1475" s="3684"/>
      <c r="BH1475" s="3684"/>
      <c r="BI1475" s="3684"/>
      <c r="BJ1475" s="3684"/>
      <c r="BK1475" s="3684"/>
      <c r="BL1475" s="3684"/>
      <c r="BM1475" s="3684"/>
      <c r="BN1475" s="3684">
        <v>37363.35</v>
      </c>
      <c r="BO1475" s="3684"/>
      <c r="BP1475" s="3684"/>
      <c r="BQ1475" s="3684"/>
      <c r="BR1475" s="3684"/>
      <c r="BS1475" s="3684"/>
      <c r="BT1475" s="3684"/>
      <c r="BU1475" s="3684"/>
      <c r="BV1475" s="3684"/>
      <c r="BW1475" s="3684"/>
      <c r="BX1475" s="3684"/>
      <c r="BY1475" s="3684"/>
      <c r="BZ1475" s="3684"/>
      <c r="CA1475" s="3684"/>
      <c r="CB1475" s="3684">
        <v>37363.35</v>
      </c>
      <c r="CC1475" s="3662"/>
      <c r="CD1475" s="3662"/>
      <c r="CE1475" s="5170"/>
      <c r="CF1475" s="5170"/>
      <c r="CG1475" s="5170"/>
      <c r="CH1475" s="5170"/>
    </row>
    <row r="1476" s="4975" customFormat="1" ht="61" customHeight="1" spans="1:86">
      <c r="A1476" s="2680">
        <v>22</v>
      </c>
      <c r="B1476" s="5866" t="s">
        <v>690</v>
      </c>
      <c r="C1476" s="2844">
        <v>43396</v>
      </c>
      <c r="D1476" s="5316" t="s">
        <v>2430</v>
      </c>
      <c r="E1476" s="5317" t="s">
        <v>171</v>
      </c>
      <c r="F1476" s="5317" t="s">
        <v>2431</v>
      </c>
      <c r="G1476" s="5867" t="s">
        <v>2432</v>
      </c>
      <c r="H1476" s="2824" t="s">
        <v>31</v>
      </c>
      <c r="I1476" s="2824"/>
      <c r="J1476" s="5317" t="s">
        <v>2433</v>
      </c>
      <c r="K1476" s="5867">
        <v>334612</v>
      </c>
      <c r="L1476" s="5317" t="s">
        <v>1486</v>
      </c>
      <c r="M1476" s="2824">
        <f>SUM(N1476:AB1478)</f>
        <v>2342284</v>
      </c>
      <c r="N1476" s="2680">
        <v>0</v>
      </c>
      <c r="O1476" s="2680">
        <v>0</v>
      </c>
      <c r="P1476" s="2680">
        <v>0</v>
      </c>
      <c r="Q1476" s="2680">
        <v>0</v>
      </c>
      <c r="R1476" s="2680">
        <v>0</v>
      </c>
      <c r="S1476" s="2680">
        <v>0</v>
      </c>
      <c r="T1476" s="5823">
        <v>0</v>
      </c>
      <c r="U1476" s="2680">
        <v>2342284</v>
      </c>
      <c r="V1476" s="2680">
        <v>0</v>
      </c>
      <c r="W1476" s="2680">
        <v>0</v>
      </c>
      <c r="X1476" s="2680"/>
      <c r="Y1476" s="2680"/>
      <c r="Z1476" s="2680"/>
      <c r="AA1476" s="2680">
        <v>0</v>
      </c>
      <c r="AB1476" s="2680">
        <v>0</v>
      </c>
      <c r="AC1476" s="2824">
        <v>1</v>
      </c>
      <c r="AD1476" s="5843" t="s">
        <v>2434</v>
      </c>
      <c r="AE1476" s="5871">
        <v>0.2</v>
      </c>
      <c r="AF1476" s="2844">
        <v>468456.8</v>
      </c>
      <c r="AG1476" s="5347">
        <f t="shared" si="293"/>
        <v>468456.8</v>
      </c>
      <c r="AH1476" s="5317" t="s">
        <v>206</v>
      </c>
      <c r="AI1476" s="2824">
        <v>43525</v>
      </c>
      <c r="AJ1476" s="2824" t="s">
        <v>171</v>
      </c>
      <c r="AK1476" s="2824" t="s">
        <v>171</v>
      </c>
      <c r="AL1476" s="2844">
        <v>468456.8</v>
      </c>
      <c r="AM1476" s="2824">
        <v>43525</v>
      </c>
      <c r="AN1476" s="5347">
        <f>SUM(BA1476:BN1476)</f>
        <v>468456.8</v>
      </c>
      <c r="AO1476" s="2824">
        <v>43678</v>
      </c>
      <c r="AP1476" s="5347">
        <f t="shared" ref="AP1476:AP1497" si="294">AG1476-AN1476</f>
        <v>0</v>
      </c>
      <c r="AQ1476" s="5348" t="s">
        <v>2435</v>
      </c>
      <c r="AR1476" s="2824"/>
      <c r="AS1476" s="5438"/>
      <c r="AT1476" s="5356"/>
      <c r="AU1476" s="2680">
        <f>SUM(AG1476:AG1478)</f>
        <v>2342284</v>
      </c>
      <c r="AV1476" s="2680">
        <f>SUM(AL1476:AL1478)</f>
        <v>2342284</v>
      </c>
      <c r="AW1476" s="2680">
        <f>SUM(AN1476:AN1478)</f>
        <v>2342284</v>
      </c>
      <c r="AX1476" s="2680">
        <f>M1476-AU1476</f>
        <v>0</v>
      </c>
      <c r="AY1476" s="2680">
        <f>AU1476-AV1476</f>
        <v>0</v>
      </c>
      <c r="AZ1476" s="2680">
        <f>AV1476-AW1476</f>
        <v>0</v>
      </c>
      <c r="BA1476" s="5363"/>
      <c r="BB1476" s="5363"/>
      <c r="BC1476" s="5347"/>
      <c r="BD1476" s="5363"/>
      <c r="BE1476" s="5363"/>
      <c r="BF1476" s="5363"/>
      <c r="BG1476" s="5363"/>
      <c r="BH1476" s="5363">
        <v>468456.8</v>
      </c>
      <c r="BI1476" s="5363"/>
      <c r="BJ1476" s="5363"/>
      <c r="BK1476" s="5363"/>
      <c r="BL1476" s="5363"/>
      <c r="BM1476" s="5363"/>
      <c r="BN1476" s="5363"/>
      <c r="BO1476" s="5356"/>
      <c r="BP1476" s="5356"/>
      <c r="BQ1476" s="5356"/>
      <c r="BR1476" s="5356"/>
      <c r="BS1476" s="5356"/>
      <c r="BT1476" s="5356"/>
      <c r="BU1476" s="5356"/>
      <c r="BV1476" s="6718">
        <v>468456.8</v>
      </c>
      <c r="BW1476" s="5356"/>
      <c r="BX1476" s="5356"/>
      <c r="BY1476" s="5356"/>
      <c r="BZ1476" s="5356"/>
      <c r="CA1476" s="5356"/>
      <c r="CB1476" s="5356"/>
      <c r="CC1476" s="2824"/>
      <c r="CD1476" s="2824"/>
      <c r="CE1476" s="5366"/>
      <c r="CF1476" s="5366"/>
      <c r="CG1476" s="5366"/>
      <c r="CH1476" s="5366"/>
    </row>
    <row r="1477" s="4975" customFormat="1" ht="61" customHeight="1" spans="1:86">
      <c r="A1477" s="2680"/>
      <c r="B1477" s="5866"/>
      <c r="C1477" s="2844"/>
      <c r="D1477" s="5317"/>
      <c r="E1477" s="5317"/>
      <c r="F1477" s="5317"/>
      <c r="G1477" s="5867"/>
      <c r="H1477" s="2824"/>
      <c r="I1477" s="2824"/>
      <c r="J1477" s="5317"/>
      <c r="K1477" s="5867"/>
      <c r="L1477" s="5317"/>
      <c r="M1477" s="2824"/>
      <c r="N1477" s="2680"/>
      <c r="O1477" s="2680"/>
      <c r="P1477" s="2680"/>
      <c r="Q1477" s="2680"/>
      <c r="R1477" s="2680"/>
      <c r="S1477" s="2680"/>
      <c r="T1477" s="2680"/>
      <c r="U1477" s="2680"/>
      <c r="V1477" s="2680"/>
      <c r="W1477" s="2680"/>
      <c r="X1477" s="2680"/>
      <c r="Y1477" s="2680"/>
      <c r="Z1477" s="2680"/>
      <c r="AA1477" s="2680"/>
      <c r="AB1477" s="2680"/>
      <c r="AC1477" s="2824">
        <v>2</v>
      </c>
      <c r="AD1477" s="5843" t="s">
        <v>2436</v>
      </c>
      <c r="AE1477" s="5867">
        <v>0.3</v>
      </c>
      <c r="AF1477" s="2844">
        <v>702685.2</v>
      </c>
      <c r="AG1477" s="5347">
        <f t="shared" si="293"/>
        <v>702685.2</v>
      </c>
      <c r="AH1477" s="5317" t="s">
        <v>206</v>
      </c>
      <c r="AI1477" s="2824">
        <v>43739</v>
      </c>
      <c r="AJ1477" s="2824" t="s">
        <v>171</v>
      </c>
      <c r="AK1477" s="2824" t="s">
        <v>171</v>
      </c>
      <c r="AL1477" s="2844">
        <v>702685.2</v>
      </c>
      <c r="AM1477" s="2824">
        <v>43739</v>
      </c>
      <c r="AN1477" s="5347">
        <f>SUM(BA1477:BN1477)</f>
        <v>702685.2</v>
      </c>
      <c r="AO1477" s="2824">
        <v>43800</v>
      </c>
      <c r="AP1477" s="5347">
        <f t="shared" si="294"/>
        <v>0</v>
      </c>
      <c r="AQ1477" s="2824"/>
      <c r="AR1477" s="2824"/>
      <c r="AS1477" s="5438"/>
      <c r="AT1477" s="5356"/>
      <c r="AU1477" s="2680"/>
      <c r="AV1477" s="2680"/>
      <c r="AW1477" s="2680"/>
      <c r="AX1477" s="2680"/>
      <c r="AY1477" s="2680"/>
      <c r="AZ1477" s="2680"/>
      <c r="BA1477" s="5363"/>
      <c r="BB1477" s="5363"/>
      <c r="BC1477" s="5347"/>
      <c r="BD1477" s="5363"/>
      <c r="BE1477" s="5363"/>
      <c r="BF1477" s="5363"/>
      <c r="BG1477" s="5363"/>
      <c r="BH1477" s="5363">
        <v>702685.2</v>
      </c>
      <c r="BI1477" s="5363"/>
      <c r="BJ1477" s="5363"/>
      <c r="BK1477" s="5363"/>
      <c r="BL1477" s="5363"/>
      <c r="BM1477" s="5363"/>
      <c r="BN1477" s="5363"/>
      <c r="BO1477" s="5356"/>
      <c r="BP1477" s="5356"/>
      <c r="BQ1477" s="5356"/>
      <c r="BR1477" s="5356"/>
      <c r="BS1477" s="5356"/>
      <c r="BT1477" s="5356"/>
      <c r="BU1477" s="5356"/>
      <c r="BV1477" s="6718">
        <v>702685.2</v>
      </c>
      <c r="BW1477" s="5356"/>
      <c r="BX1477" s="5356"/>
      <c r="BY1477" s="5356"/>
      <c r="BZ1477" s="5356"/>
      <c r="CA1477" s="5356"/>
      <c r="CB1477" s="5356"/>
      <c r="CC1477" s="2824"/>
      <c r="CD1477" s="2824"/>
      <c r="CE1477" s="5366"/>
      <c r="CF1477" s="5366"/>
      <c r="CG1477" s="5366"/>
      <c r="CH1477" s="5366"/>
    </row>
    <row r="1478" s="4975" customFormat="1" ht="61" customHeight="1" spans="1:86">
      <c r="A1478" s="2680"/>
      <c r="B1478" s="5866"/>
      <c r="C1478" s="2844"/>
      <c r="D1478" s="5317"/>
      <c r="E1478" s="5317"/>
      <c r="F1478" s="5317"/>
      <c r="G1478" s="5867"/>
      <c r="H1478" s="2824"/>
      <c r="I1478" s="2824"/>
      <c r="J1478" s="5317"/>
      <c r="K1478" s="5867"/>
      <c r="L1478" s="5317"/>
      <c r="M1478" s="2824"/>
      <c r="N1478" s="2680"/>
      <c r="O1478" s="2680"/>
      <c r="P1478" s="2680"/>
      <c r="Q1478" s="2680"/>
      <c r="R1478" s="2680"/>
      <c r="S1478" s="2680"/>
      <c r="T1478" s="2680"/>
      <c r="U1478" s="2680"/>
      <c r="V1478" s="2680"/>
      <c r="W1478" s="2680"/>
      <c r="X1478" s="2680"/>
      <c r="Y1478" s="2680"/>
      <c r="Z1478" s="2680"/>
      <c r="AA1478" s="2680"/>
      <c r="AB1478" s="2680"/>
      <c r="AC1478" s="2824">
        <v>3</v>
      </c>
      <c r="AD1478" s="5843" t="s">
        <v>2437</v>
      </c>
      <c r="AE1478" s="5871">
        <v>0.5</v>
      </c>
      <c r="AF1478" s="2844">
        <v>1171142</v>
      </c>
      <c r="AG1478" s="5347">
        <f t="shared" si="293"/>
        <v>1171142</v>
      </c>
      <c r="AH1478" s="5348" t="s">
        <v>206</v>
      </c>
      <c r="AI1478" s="2824">
        <v>43990</v>
      </c>
      <c r="AJ1478" s="2824" t="s">
        <v>171</v>
      </c>
      <c r="AK1478" s="2824" t="s">
        <v>171</v>
      </c>
      <c r="AL1478" s="2824">
        <v>1171142</v>
      </c>
      <c r="AM1478" s="2824">
        <v>43990</v>
      </c>
      <c r="AN1478" s="5347">
        <f>SUM(BA1478:BN1478)</f>
        <v>1171142</v>
      </c>
      <c r="AO1478" s="5347">
        <v>44018</v>
      </c>
      <c r="AP1478" s="5347">
        <f t="shared" si="294"/>
        <v>0</v>
      </c>
      <c r="AQ1478" s="2824"/>
      <c r="AR1478" s="2824"/>
      <c r="AS1478" s="5895" t="s">
        <v>2438</v>
      </c>
      <c r="AT1478" s="5356"/>
      <c r="AU1478" s="2680"/>
      <c r="AV1478" s="2680"/>
      <c r="AW1478" s="2680"/>
      <c r="AX1478" s="2680"/>
      <c r="AY1478" s="2680"/>
      <c r="AZ1478" s="2680"/>
      <c r="BA1478" s="5363"/>
      <c r="BB1478" s="5363"/>
      <c r="BC1478" s="5347"/>
      <c r="BD1478" s="5363"/>
      <c r="BE1478" s="5363"/>
      <c r="BF1478" s="5363"/>
      <c r="BG1478" s="5363"/>
      <c r="BH1478" s="5363">
        <v>1171142</v>
      </c>
      <c r="BI1478" s="5363"/>
      <c r="BJ1478" s="5363"/>
      <c r="BK1478" s="5363"/>
      <c r="BL1478" s="5363"/>
      <c r="BM1478" s="5363"/>
      <c r="BN1478" s="5363"/>
      <c r="BO1478" s="5356"/>
      <c r="BP1478" s="5356"/>
      <c r="BQ1478" s="5356"/>
      <c r="BR1478" s="5356"/>
      <c r="BS1478" s="5356"/>
      <c r="BT1478" s="5356"/>
      <c r="BU1478" s="5356"/>
      <c r="BV1478" s="5347">
        <v>1171142</v>
      </c>
      <c r="BW1478" s="5356"/>
      <c r="BX1478" s="5356"/>
      <c r="BY1478" s="5356"/>
      <c r="BZ1478" s="5356"/>
      <c r="CA1478" s="5356"/>
      <c r="CB1478" s="5356"/>
      <c r="CC1478" s="2824"/>
      <c r="CD1478" s="2824"/>
      <c r="CE1478" s="5366"/>
      <c r="CF1478" s="5366"/>
      <c r="CG1478" s="5366"/>
      <c r="CH1478" s="5366"/>
    </row>
    <row r="1479" s="4965" customFormat="1" ht="61" customHeight="1" spans="1:86">
      <c r="A1479" s="2680">
        <v>23</v>
      </c>
      <c r="B1479" s="5813" t="s">
        <v>690</v>
      </c>
      <c r="C1479" s="2713">
        <v>43255</v>
      </c>
      <c r="D1479" s="1032" t="s">
        <v>2439</v>
      </c>
      <c r="E1479" s="3742" t="s">
        <v>171</v>
      </c>
      <c r="F1479" s="3742" t="s">
        <v>2440</v>
      </c>
      <c r="G1479" s="5818" t="s">
        <v>2441</v>
      </c>
      <c r="H1479" s="3524" t="s">
        <v>31</v>
      </c>
      <c r="I1479" s="4087"/>
      <c r="J1479" s="3742" t="s">
        <v>2442</v>
      </c>
      <c r="K1479" s="5818">
        <v>95526</v>
      </c>
      <c r="L1479" s="3742" t="s">
        <v>1486</v>
      </c>
      <c r="M1479" s="3742">
        <f>SUM(N1479:AB1482)</f>
        <v>668682</v>
      </c>
      <c r="N1479" s="2680">
        <v>0</v>
      </c>
      <c r="O1479" s="2680">
        <v>0</v>
      </c>
      <c r="P1479" s="2680">
        <v>0</v>
      </c>
      <c r="Q1479" s="2680">
        <v>0</v>
      </c>
      <c r="R1479" s="2680">
        <v>0</v>
      </c>
      <c r="S1479" s="2680">
        <v>0</v>
      </c>
      <c r="T1479" s="5823">
        <v>0</v>
      </c>
      <c r="U1479" s="2680">
        <v>668682</v>
      </c>
      <c r="V1479" s="2680">
        <v>0</v>
      </c>
      <c r="W1479" s="2680">
        <v>0</v>
      </c>
      <c r="X1479" s="2680"/>
      <c r="Y1479" s="2680"/>
      <c r="Z1479" s="2680"/>
      <c r="AA1479" s="2680">
        <v>0</v>
      </c>
      <c r="AB1479" s="2680">
        <v>0</v>
      </c>
      <c r="AC1479" s="3524">
        <v>1</v>
      </c>
      <c r="AD1479" s="5842" t="s">
        <v>2443</v>
      </c>
      <c r="AE1479" s="5870">
        <v>0.2</v>
      </c>
      <c r="AF1479" s="2713">
        <v>133736.4</v>
      </c>
      <c r="AG1479" s="2713">
        <v>133700</v>
      </c>
      <c r="AH1479" s="3812" t="s">
        <v>122</v>
      </c>
      <c r="AI1479" s="3524">
        <v>43160</v>
      </c>
      <c r="AJ1479" s="3524" t="s">
        <v>171</v>
      </c>
      <c r="AK1479" s="3524" t="s">
        <v>171</v>
      </c>
      <c r="AL1479" s="2713">
        <v>133700</v>
      </c>
      <c r="AM1479" s="3524">
        <v>43160</v>
      </c>
      <c r="AN1479" s="3812">
        <f t="shared" ref="AN1479:AN1486" si="295">SUM(BO1479:CB1479)</f>
        <v>133700</v>
      </c>
      <c r="AO1479" s="3524">
        <v>43252</v>
      </c>
      <c r="AP1479" s="3812">
        <f t="shared" si="294"/>
        <v>0</v>
      </c>
      <c r="AQ1479" s="6708" t="s">
        <v>2444</v>
      </c>
      <c r="AR1479" s="3524"/>
      <c r="AS1479" s="5129"/>
      <c r="AT1479" s="5122"/>
      <c r="AU1479" s="2680">
        <f>SUM(AG1479:AG1482)</f>
        <v>659641.2</v>
      </c>
      <c r="AV1479" s="2680">
        <f>SUM(AL1479:AL1482)</f>
        <v>659655</v>
      </c>
      <c r="AW1479" s="2680">
        <f>SUM(AN1479:AN1482)</f>
        <v>659655</v>
      </c>
      <c r="AX1479" s="2680">
        <f>M1479-AU1479</f>
        <v>9040.80000000005</v>
      </c>
      <c r="AY1479" s="2680">
        <f>AU1479-AV1479</f>
        <v>-13.8000000000466</v>
      </c>
      <c r="AZ1479" s="2680">
        <f>AV1479-AW1479</f>
        <v>0</v>
      </c>
      <c r="BA1479" s="5146"/>
      <c r="BB1479" s="5146"/>
      <c r="BC1479" s="3812"/>
      <c r="BD1479" s="5146"/>
      <c r="BE1479" s="5146"/>
      <c r="BF1479" s="5146"/>
      <c r="BG1479" s="5146"/>
      <c r="BH1479" s="2713">
        <v>133700</v>
      </c>
      <c r="BI1479" s="5146"/>
      <c r="BJ1479" s="5146"/>
      <c r="BK1479" s="5146"/>
      <c r="BL1479" s="5146"/>
      <c r="BM1479" s="5146"/>
      <c r="BN1479" s="5146"/>
      <c r="BO1479" s="5122"/>
      <c r="BP1479" s="5122"/>
      <c r="BQ1479" s="5122"/>
      <c r="BR1479" s="5122"/>
      <c r="BS1479" s="5122"/>
      <c r="BT1479" s="5122"/>
      <c r="BU1479" s="5122"/>
      <c r="BV1479" s="2713">
        <v>133700</v>
      </c>
      <c r="BW1479" s="5122"/>
      <c r="BX1479" s="5122"/>
      <c r="BY1479" s="5122"/>
      <c r="BZ1479" s="5122"/>
      <c r="CA1479" s="5122"/>
      <c r="CB1479" s="5122"/>
      <c r="CC1479" s="3524"/>
      <c r="CD1479" s="3524"/>
      <c r="CE1479" s="5169"/>
      <c r="CF1479" s="5169"/>
      <c r="CG1479" s="5169"/>
      <c r="CH1479" s="5169"/>
    </row>
    <row r="1480" s="4965" customFormat="1" ht="61" customHeight="1" spans="1:86">
      <c r="A1480" s="2680"/>
      <c r="B1480" s="5813"/>
      <c r="C1480" s="2713"/>
      <c r="D1480" s="3742"/>
      <c r="E1480" s="3742"/>
      <c r="F1480" s="3742"/>
      <c r="G1480" s="5818"/>
      <c r="H1480" s="3524"/>
      <c r="I1480" s="4088"/>
      <c r="J1480" s="3742"/>
      <c r="K1480" s="5818"/>
      <c r="L1480" s="3742"/>
      <c r="M1480" s="3742"/>
      <c r="N1480" s="2680"/>
      <c r="O1480" s="2680"/>
      <c r="P1480" s="2680"/>
      <c r="Q1480" s="2680"/>
      <c r="R1480" s="2680"/>
      <c r="S1480" s="2680"/>
      <c r="T1480" s="2680"/>
      <c r="U1480" s="2680"/>
      <c r="V1480" s="2680"/>
      <c r="W1480" s="2680"/>
      <c r="X1480" s="2680"/>
      <c r="Y1480" s="2680"/>
      <c r="Z1480" s="2680"/>
      <c r="AA1480" s="2680"/>
      <c r="AB1480" s="2680"/>
      <c r="AC1480" s="3524">
        <v>2</v>
      </c>
      <c r="AD1480" s="5842" t="s">
        <v>1740</v>
      </c>
      <c r="AE1480" s="5818">
        <v>0.3</v>
      </c>
      <c r="AF1480" s="2713">
        <v>200604.6</v>
      </c>
      <c r="AG1480" s="2713">
        <v>191573</v>
      </c>
      <c r="AH1480" s="3812" t="s">
        <v>122</v>
      </c>
      <c r="AI1480" s="3524">
        <v>43282</v>
      </c>
      <c r="AJ1480" s="3524" t="s">
        <v>171</v>
      </c>
      <c r="AK1480" s="3524" t="s">
        <v>171</v>
      </c>
      <c r="AL1480" s="2713">
        <v>191573</v>
      </c>
      <c r="AM1480" s="3524">
        <v>43282</v>
      </c>
      <c r="AN1480" s="3812">
        <f t="shared" si="295"/>
        <v>191573</v>
      </c>
      <c r="AO1480" s="3524">
        <v>43344</v>
      </c>
      <c r="AP1480" s="3812">
        <f t="shared" si="294"/>
        <v>0</v>
      </c>
      <c r="AQ1480" s="6709"/>
      <c r="AR1480" s="3524"/>
      <c r="AS1480" s="5129"/>
      <c r="AT1480" s="5122"/>
      <c r="AU1480" s="2680"/>
      <c r="AV1480" s="2680"/>
      <c r="AW1480" s="2680"/>
      <c r="AX1480" s="2680"/>
      <c r="AY1480" s="2680"/>
      <c r="AZ1480" s="2680"/>
      <c r="BA1480" s="5146"/>
      <c r="BB1480" s="5146"/>
      <c r="BC1480" s="3812"/>
      <c r="BD1480" s="5146"/>
      <c r="BE1480" s="5146"/>
      <c r="BF1480" s="5146"/>
      <c r="BG1480" s="5146"/>
      <c r="BH1480" s="2713">
        <v>191573</v>
      </c>
      <c r="BI1480" s="5146"/>
      <c r="BJ1480" s="5146"/>
      <c r="BK1480" s="5146"/>
      <c r="BL1480" s="5146"/>
      <c r="BM1480" s="5146"/>
      <c r="BN1480" s="5146"/>
      <c r="BO1480" s="5122"/>
      <c r="BP1480" s="5122"/>
      <c r="BQ1480" s="5122"/>
      <c r="BR1480" s="5122"/>
      <c r="BS1480" s="5122"/>
      <c r="BT1480" s="5122"/>
      <c r="BU1480" s="5122"/>
      <c r="BV1480" s="2713">
        <v>191573</v>
      </c>
      <c r="BW1480" s="5122"/>
      <c r="BX1480" s="5122"/>
      <c r="BY1480" s="5122"/>
      <c r="BZ1480" s="5122"/>
      <c r="CA1480" s="5122"/>
      <c r="CB1480" s="5122"/>
      <c r="CC1480" s="3524"/>
      <c r="CD1480" s="3524"/>
      <c r="CE1480" s="5169"/>
      <c r="CF1480" s="5169"/>
      <c r="CG1480" s="5169"/>
      <c r="CH1480" s="5169"/>
    </row>
    <row r="1481" s="4965" customFormat="1" ht="61" customHeight="1" spans="1:86">
      <c r="A1481" s="2680"/>
      <c r="B1481" s="5813"/>
      <c r="C1481" s="2713"/>
      <c r="D1481" s="3742"/>
      <c r="E1481" s="3742"/>
      <c r="F1481" s="3742"/>
      <c r="G1481" s="5818"/>
      <c r="H1481" s="3524"/>
      <c r="I1481" s="4088"/>
      <c r="J1481" s="3742"/>
      <c r="K1481" s="5818"/>
      <c r="L1481" s="3742"/>
      <c r="M1481" s="3742"/>
      <c r="N1481" s="2680"/>
      <c r="O1481" s="2680"/>
      <c r="P1481" s="2680"/>
      <c r="Q1481" s="2680"/>
      <c r="R1481" s="2680"/>
      <c r="S1481" s="2680"/>
      <c r="T1481" s="2680"/>
      <c r="U1481" s="2680"/>
      <c r="V1481" s="2680"/>
      <c r="W1481" s="2680"/>
      <c r="X1481" s="2680"/>
      <c r="Y1481" s="2680"/>
      <c r="Z1481" s="2680"/>
      <c r="AA1481" s="2680"/>
      <c r="AB1481" s="2680"/>
      <c r="AC1481" s="3524">
        <v>3</v>
      </c>
      <c r="AD1481" s="5842" t="s">
        <v>1741</v>
      </c>
      <c r="AE1481" s="5818">
        <v>0.4</v>
      </c>
      <c r="AF1481" s="2713">
        <v>267472.8</v>
      </c>
      <c r="AG1481" s="2713">
        <v>267500</v>
      </c>
      <c r="AH1481" s="3812" t="s">
        <v>122</v>
      </c>
      <c r="AI1481" s="3524">
        <v>43739</v>
      </c>
      <c r="AJ1481" s="3524" t="s">
        <v>171</v>
      </c>
      <c r="AK1481" s="3524" t="s">
        <v>171</v>
      </c>
      <c r="AL1481" s="2713">
        <v>267500</v>
      </c>
      <c r="AM1481" s="3524">
        <v>43739</v>
      </c>
      <c r="AN1481" s="3812">
        <f t="shared" si="295"/>
        <v>267500</v>
      </c>
      <c r="AO1481" s="3524">
        <v>43800</v>
      </c>
      <c r="AP1481" s="3812">
        <f t="shared" si="294"/>
        <v>0</v>
      </c>
      <c r="AQ1481" s="6709"/>
      <c r="AR1481" s="3524"/>
      <c r="AS1481" s="5129"/>
      <c r="AT1481" s="5122"/>
      <c r="AU1481" s="2680"/>
      <c r="AV1481" s="2680"/>
      <c r="AW1481" s="2680"/>
      <c r="AX1481" s="2680"/>
      <c r="AY1481" s="2680"/>
      <c r="AZ1481" s="2680"/>
      <c r="BA1481" s="5146"/>
      <c r="BB1481" s="5146"/>
      <c r="BC1481" s="3812"/>
      <c r="BD1481" s="5146"/>
      <c r="BE1481" s="5146"/>
      <c r="BF1481" s="5146"/>
      <c r="BG1481" s="5146"/>
      <c r="BH1481" s="2713">
        <v>267500</v>
      </c>
      <c r="BI1481" s="5146"/>
      <c r="BJ1481" s="5146"/>
      <c r="BK1481" s="5146"/>
      <c r="BL1481" s="5146"/>
      <c r="BM1481" s="5146"/>
      <c r="BN1481" s="5146"/>
      <c r="BO1481" s="5122"/>
      <c r="BP1481" s="5122"/>
      <c r="BQ1481" s="5122"/>
      <c r="BR1481" s="5122"/>
      <c r="BS1481" s="5122"/>
      <c r="BT1481" s="5122"/>
      <c r="BU1481" s="5122"/>
      <c r="BV1481" s="2713">
        <v>267500</v>
      </c>
      <c r="BW1481" s="5122"/>
      <c r="BX1481" s="5122"/>
      <c r="BY1481" s="5122"/>
      <c r="BZ1481" s="5122"/>
      <c r="CA1481" s="5122"/>
      <c r="CB1481" s="5122"/>
      <c r="CC1481" s="3524"/>
      <c r="CD1481" s="3524"/>
      <c r="CE1481" s="5169"/>
      <c r="CF1481" s="5169"/>
      <c r="CG1481" s="5169"/>
      <c r="CH1481" s="5169"/>
    </row>
    <row r="1482" s="4965" customFormat="1" ht="61" customHeight="1" spans="1:86">
      <c r="A1482" s="2680"/>
      <c r="B1482" s="5813"/>
      <c r="C1482" s="2713"/>
      <c r="D1482" s="3742"/>
      <c r="E1482" s="3742"/>
      <c r="F1482" s="3742"/>
      <c r="G1482" s="5818"/>
      <c r="H1482" s="3524"/>
      <c r="I1482" s="4903"/>
      <c r="J1482" s="3742"/>
      <c r="K1482" s="5818"/>
      <c r="L1482" s="3742"/>
      <c r="M1482" s="3742"/>
      <c r="N1482" s="2680"/>
      <c r="O1482" s="2680"/>
      <c r="P1482" s="2680"/>
      <c r="Q1482" s="2680"/>
      <c r="R1482" s="2680"/>
      <c r="S1482" s="2680"/>
      <c r="T1482" s="2680"/>
      <c r="U1482" s="2680"/>
      <c r="V1482" s="2680"/>
      <c r="W1482" s="2680"/>
      <c r="X1482" s="2680"/>
      <c r="Y1482" s="2680"/>
      <c r="Z1482" s="2680"/>
      <c r="AA1482" s="2680"/>
      <c r="AB1482" s="2680"/>
      <c r="AC1482" s="3524">
        <v>4</v>
      </c>
      <c r="AD1482" s="5842" t="s">
        <v>1743</v>
      </c>
      <c r="AE1482" s="5870">
        <v>0.1</v>
      </c>
      <c r="AF1482" s="2713">
        <v>66868.2</v>
      </c>
      <c r="AG1482" s="3812">
        <f>SUM(BA1482:BN1482)</f>
        <v>66868.2</v>
      </c>
      <c r="AH1482" s="3812" t="s">
        <v>122</v>
      </c>
      <c r="AI1482" s="3812">
        <v>44186</v>
      </c>
      <c r="AJ1482" s="3812">
        <v>66868.2</v>
      </c>
      <c r="AK1482" s="3812">
        <v>44186</v>
      </c>
      <c r="AL1482" s="4813">
        <v>66882</v>
      </c>
      <c r="AM1482" s="4815"/>
      <c r="AN1482" s="4815">
        <f t="shared" si="295"/>
        <v>66882</v>
      </c>
      <c r="AO1482" s="5345"/>
      <c r="AP1482" s="3812">
        <f t="shared" si="294"/>
        <v>-13.8000000000029</v>
      </c>
      <c r="AQ1482" s="6710"/>
      <c r="AR1482" s="3524"/>
      <c r="AS1482" s="5241"/>
      <c r="AT1482" s="5122"/>
      <c r="AU1482" s="2680"/>
      <c r="AV1482" s="2680"/>
      <c r="AW1482" s="2680"/>
      <c r="AX1482" s="2680"/>
      <c r="AY1482" s="2680"/>
      <c r="AZ1482" s="2680"/>
      <c r="BA1482" s="5146"/>
      <c r="BB1482" s="5146"/>
      <c r="BC1482" s="3812"/>
      <c r="BD1482" s="5146"/>
      <c r="BE1482" s="5146"/>
      <c r="BF1482" s="5146"/>
      <c r="BG1482" s="5146"/>
      <c r="BH1482" s="5146">
        <v>66868.2</v>
      </c>
      <c r="BI1482" s="5146"/>
      <c r="BJ1482" s="5146"/>
      <c r="BK1482" s="5146"/>
      <c r="BL1482" s="5146"/>
      <c r="BM1482" s="5146"/>
      <c r="BN1482" s="5146"/>
      <c r="BO1482" s="5160"/>
      <c r="BP1482" s="5160"/>
      <c r="BQ1482" s="5160"/>
      <c r="BR1482" s="5160"/>
      <c r="BS1482" s="5160"/>
      <c r="BT1482" s="5160"/>
      <c r="BU1482" s="5160"/>
      <c r="BV1482" s="5160">
        <v>66882</v>
      </c>
      <c r="BW1482" s="5122"/>
      <c r="BX1482" s="5122"/>
      <c r="BY1482" s="5122"/>
      <c r="BZ1482" s="5122"/>
      <c r="CA1482" s="5122"/>
      <c r="CB1482" s="5122"/>
      <c r="CC1482" s="3524"/>
      <c r="CD1482" s="3524"/>
      <c r="CE1482" s="5169">
        <f>SUBTOTAL(9,BO1482:CB1482)</f>
        <v>66882</v>
      </c>
      <c r="CF1482" s="5169">
        <f>AN1482-CE1482</f>
        <v>0</v>
      </c>
      <c r="CG1482" s="5169"/>
      <c r="CH1482" s="5169"/>
    </row>
    <row r="1483" s="4975" customFormat="1" ht="61" customHeight="1" spans="1:86">
      <c r="A1483" s="2680">
        <v>24</v>
      </c>
      <c r="B1483" s="5866" t="s">
        <v>690</v>
      </c>
      <c r="C1483" s="2844">
        <v>43925</v>
      </c>
      <c r="D1483" s="5316" t="s">
        <v>2445</v>
      </c>
      <c r="E1483" s="5317" t="s">
        <v>2446</v>
      </c>
      <c r="F1483" s="5317" t="s">
        <v>2447</v>
      </c>
      <c r="G1483" s="5867" t="s">
        <v>2448</v>
      </c>
      <c r="H1483" s="2824" t="s">
        <v>193</v>
      </c>
      <c r="I1483" s="2824"/>
      <c r="J1483" s="5317" t="s">
        <v>2449</v>
      </c>
      <c r="K1483" s="5316" t="s">
        <v>2450</v>
      </c>
      <c r="L1483" s="5317" t="s">
        <v>2451</v>
      </c>
      <c r="M1483" s="5317">
        <f>SUM(N1483:AA1486)</f>
        <v>995225.46</v>
      </c>
      <c r="N1483" s="2680">
        <v>0</v>
      </c>
      <c r="O1483" s="2680">
        <v>0</v>
      </c>
      <c r="P1483" s="2680">
        <v>0</v>
      </c>
      <c r="Q1483" s="2680">
        <v>0</v>
      </c>
      <c r="R1483" s="2680">
        <v>0</v>
      </c>
      <c r="S1483" s="2680">
        <v>0</v>
      </c>
      <c r="T1483" s="5823">
        <v>0</v>
      </c>
      <c r="U1483" s="2680">
        <v>0</v>
      </c>
      <c r="V1483" s="2680">
        <v>995225.46</v>
      </c>
      <c r="W1483" s="2680">
        <v>0</v>
      </c>
      <c r="X1483" s="2680"/>
      <c r="Y1483" s="2680"/>
      <c r="Z1483" s="2680"/>
      <c r="AA1483" s="2680">
        <v>0</v>
      </c>
      <c r="AB1483" s="2680">
        <v>0</v>
      </c>
      <c r="AC1483" s="2824">
        <v>1</v>
      </c>
      <c r="AD1483" s="5843" t="s">
        <v>2452</v>
      </c>
      <c r="AE1483" s="5871">
        <v>0.2</v>
      </c>
      <c r="AF1483" s="2844">
        <v>199045.092</v>
      </c>
      <c r="AG1483" s="5347">
        <f>SUM(BA1483:BN1483)</f>
        <v>199045.092</v>
      </c>
      <c r="AH1483" s="2824" t="s">
        <v>206</v>
      </c>
      <c r="AI1483" s="2824">
        <v>43969</v>
      </c>
      <c r="AJ1483" s="2824" t="s">
        <v>171</v>
      </c>
      <c r="AK1483" s="2824" t="s">
        <v>171</v>
      </c>
      <c r="AL1483" s="2844">
        <v>199045.092</v>
      </c>
      <c r="AM1483" s="2824">
        <v>43969</v>
      </c>
      <c r="AN1483" s="5347">
        <f t="shared" si="295"/>
        <v>199045.092</v>
      </c>
      <c r="AO1483" s="2824">
        <v>43978</v>
      </c>
      <c r="AP1483" s="5347">
        <f t="shared" si="294"/>
        <v>0</v>
      </c>
      <c r="AQ1483" s="5356"/>
      <c r="AR1483" s="2824"/>
      <c r="AS1483" s="5438"/>
      <c r="AT1483" s="5356"/>
      <c r="AU1483" s="2680">
        <f>SUM(AG1483:AG1486)</f>
        <v>995225.46</v>
      </c>
      <c r="AV1483" s="2680">
        <f>SUM(AL1483:AL1486)</f>
        <v>995225.464</v>
      </c>
      <c r="AW1483" s="2680">
        <f>SUM(AN1483:AN1486)</f>
        <v>995225.459</v>
      </c>
      <c r="AX1483" s="2680">
        <f>M1483-AU1483</f>
        <v>0</v>
      </c>
      <c r="AY1483" s="2680">
        <f>AU1483-AV1483</f>
        <v>-0.00400000007357448</v>
      </c>
      <c r="AZ1483" s="2680">
        <f>AV1483-AW1483</f>
        <v>0.00500000023748726</v>
      </c>
      <c r="BA1483" s="5363"/>
      <c r="BB1483" s="5363"/>
      <c r="BC1483" s="5347"/>
      <c r="BD1483" s="5363"/>
      <c r="BE1483" s="5363"/>
      <c r="BF1483" s="5363"/>
      <c r="BG1483" s="5363"/>
      <c r="BH1483" s="5363"/>
      <c r="BI1483" s="5363">
        <v>199045.092</v>
      </c>
      <c r="BJ1483" s="5363"/>
      <c r="BK1483" s="5363"/>
      <c r="BL1483" s="5363"/>
      <c r="BM1483" s="5363"/>
      <c r="BN1483" s="5363"/>
      <c r="BO1483" s="5356"/>
      <c r="BP1483" s="5356"/>
      <c r="BQ1483" s="5356"/>
      <c r="BR1483" s="5356"/>
      <c r="BS1483" s="5356"/>
      <c r="BT1483" s="5356"/>
      <c r="BU1483" s="5356"/>
      <c r="BV1483" s="6718"/>
      <c r="BW1483" s="5356">
        <v>199045.092</v>
      </c>
      <c r="BX1483" s="5356"/>
      <c r="BY1483" s="5356"/>
      <c r="BZ1483" s="5356"/>
      <c r="CA1483" s="5356"/>
      <c r="CB1483" s="5356"/>
      <c r="CC1483" s="2824"/>
      <c r="CD1483" s="2824"/>
      <c r="CE1483" s="5366"/>
      <c r="CF1483" s="5366"/>
      <c r="CG1483" s="5366"/>
      <c r="CH1483" s="5366"/>
    </row>
    <row r="1484" s="4975" customFormat="1" ht="61" customHeight="1" spans="1:86">
      <c r="A1484" s="2680"/>
      <c r="B1484" s="5866"/>
      <c r="C1484" s="2844"/>
      <c r="D1484" s="5316"/>
      <c r="E1484" s="5317"/>
      <c r="F1484" s="5317"/>
      <c r="G1484" s="5867"/>
      <c r="H1484" s="2824"/>
      <c r="I1484" s="2824"/>
      <c r="J1484" s="5317"/>
      <c r="K1484" s="5867"/>
      <c r="L1484" s="5317"/>
      <c r="M1484" s="5317"/>
      <c r="N1484" s="2680"/>
      <c r="O1484" s="2680"/>
      <c r="P1484" s="2680"/>
      <c r="Q1484" s="2680"/>
      <c r="R1484" s="2680"/>
      <c r="S1484" s="2680"/>
      <c r="T1484" s="2680"/>
      <c r="U1484" s="2680"/>
      <c r="V1484" s="2680"/>
      <c r="W1484" s="2680"/>
      <c r="X1484" s="2680"/>
      <c r="Y1484" s="2680"/>
      <c r="Z1484" s="2680"/>
      <c r="AA1484" s="2680"/>
      <c r="AB1484" s="2680"/>
      <c r="AC1484" s="2824">
        <v>2</v>
      </c>
      <c r="AD1484" s="5843" t="s">
        <v>2453</v>
      </c>
      <c r="AE1484" s="5867">
        <v>0.35</v>
      </c>
      <c r="AF1484" s="2844">
        <v>348328.911</v>
      </c>
      <c r="AG1484" s="5347">
        <f>SUM(BA1484:BN1484)</f>
        <v>348328.911</v>
      </c>
      <c r="AH1484" s="5347" t="s">
        <v>206</v>
      </c>
      <c r="AI1484" s="5347">
        <v>44053</v>
      </c>
      <c r="AJ1484" s="5347" t="s">
        <v>171</v>
      </c>
      <c r="AK1484" s="5347" t="s">
        <v>171</v>
      </c>
      <c r="AL1484" s="5348">
        <v>348328.911</v>
      </c>
      <c r="AM1484" s="5347">
        <v>44053</v>
      </c>
      <c r="AN1484" s="5347">
        <f t="shared" si="295"/>
        <v>348328.911</v>
      </c>
      <c r="AO1484" s="5347">
        <v>44068</v>
      </c>
      <c r="AP1484" s="5347">
        <f t="shared" si="294"/>
        <v>0</v>
      </c>
      <c r="AQ1484" s="5356"/>
      <c r="AR1484" s="2824"/>
      <c r="AS1484" s="5438" t="s">
        <v>2001</v>
      </c>
      <c r="AT1484" s="5356"/>
      <c r="AU1484" s="2680"/>
      <c r="AV1484" s="2680"/>
      <c r="AW1484" s="2680"/>
      <c r="AX1484" s="2680"/>
      <c r="AY1484" s="2680"/>
      <c r="AZ1484" s="2680"/>
      <c r="BA1484" s="5363"/>
      <c r="BB1484" s="5363"/>
      <c r="BC1484" s="5347"/>
      <c r="BD1484" s="5363"/>
      <c r="BE1484" s="5363"/>
      <c r="BF1484" s="5363"/>
      <c r="BG1484" s="5363"/>
      <c r="BH1484" s="5363"/>
      <c r="BI1484" s="5363">
        <v>348328.911</v>
      </c>
      <c r="BJ1484" s="5363"/>
      <c r="BK1484" s="5363"/>
      <c r="BL1484" s="5363"/>
      <c r="BM1484" s="5363"/>
      <c r="BN1484" s="5363"/>
      <c r="BO1484" s="5356"/>
      <c r="BP1484" s="5356"/>
      <c r="BQ1484" s="5356"/>
      <c r="BR1484" s="5356"/>
      <c r="BS1484" s="5356"/>
      <c r="BT1484" s="5356"/>
      <c r="BU1484" s="5356"/>
      <c r="BV1484" s="6718"/>
      <c r="BW1484" s="5363">
        <v>348328.911</v>
      </c>
      <c r="BX1484" s="5356"/>
      <c r="BY1484" s="5356"/>
      <c r="BZ1484" s="5356"/>
      <c r="CA1484" s="5356"/>
      <c r="CB1484" s="5356"/>
      <c r="CC1484" s="2824"/>
      <c r="CD1484" s="2824"/>
      <c r="CE1484" s="5366"/>
      <c r="CF1484" s="5366"/>
      <c r="CG1484" s="5366"/>
      <c r="CH1484" s="5366"/>
    </row>
    <row r="1485" s="4975" customFormat="1" ht="61" customHeight="1" spans="1:86">
      <c r="A1485" s="3524"/>
      <c r="B1485" s="5866"/>
      <c r="C1485" s="2844"/>
      <c r="D1485" s="5316"/>
      <c r="E1485" s="5317"/>
      <c r="F1485" s="5317"/>
      <c r="G1485" s="5867"/>
      <c r="H1485" s="2824"/>
      <c r="I1485" s="2824"/>
      <c r="J1485" s="5317"/>
      <c r="K1485" s="5867"/>
      <c r="L1485" s="5317"/>
      <c r="M1485" s="5317"/>
      <c r="N1485" s="2680"/>
      <c r="O1485" s="2680"/>
      <c r="P1485" s="2680"/>
      <c r="Q1485" s="2680"/>
      <c r="R1485" s="2680"/>
      <c r="S1485" s="2680"/>
      <c r="T1485" s="2680"/>
      <c r="U1485" s="2680"/>
      <c r="V1485" s="2680"/>
      <c r="W1485" s="2680"/>
      <c r="X1485" s="2680"/>
      <c r="Y1485" s="2680"/>
      <c r="Z1485" s="2680"/>
      <c r="AA1485" s="2680"/>
      <c r="AB1485" s="2680"/>
      <c r="AC1485" s="2824">
        <v>3</v>
      </c>
      <c r="AD1485" s="5843" t="s">
        <v>1978</v>
      </c>
      <c r="AE1485" s="5867">
        <v>0.35</v>
      </c>
      <c r="AF1485" s="2844">
        <v>348328.911</v>
      </c>
      <c r="AG1485" s="5347">
        <f t="shared" ref="AG1485:AG1490" si="296">SUM(BA1485:BN1485)</f>
        <v>348328.911</v>
      </c>
      <c r="AH1485" s="5347" t="s">
        <v>122</v>
      </c>
      <c r="AI1485" s="5347">
        <v>44545</v>
      </c>
      <c r="AJ1485" s="5348">
        <v>348328.911</v>
      </c>
      <c r="AK1485" s="5347">
        <v>44545</v>
      </c>
      <c r="AL1485" s="5348">
        <v>348328.911</v>
      </c>
      <c r="AM1485" s="5347">
        <v>44538</v>
      </c>
      <c r="AN1485" s="5347">
        <f t="shared" si="295"/>
        <v>348328.91</v>
      </c>
      <c r="AO1485" s="5347">
        <v>44587</v>
      </c>
      <c r="AP1485" s="5347">
        <f t="shared" si="294"/>
        <v>0.00100000004749745</v>
      </c>
      <c r="AQ1485" s="5356"/>
      <c r="AR1485" s="2824"/>
      <c r="AS1485" s="5438"/>
      <c r="AT1485" s="5356"/>
      <c r="AU1485" s="3524"/>
      <c r="AV1485" s="3524"/>
      <c r="AW1485" s="3524"/>
      <c r="AX1485" s="3524"/>
      <c r="AY1485" s="3524"/>
      <c r="AZ1485" s="3524"/>
      <c r="BA1485" s="5363"/>
      <c r="BB1485" s="5363"/>
      <c r="BC1485" s="5347"/>
      <c r="BD1485" s="5363"/>
      <c r="BE1485" s="5363"/>
      <c r="BF1485" s="5363"/>
      <c r="BG1485" s="5363"/>
      <c r="BH1485" s="5363"/>
      <c r="BI1485" s="5363">
        <v>348328.911</v>
      </c>
      <c r="BJ1485" s="5363"/>
      <c r="BK1485" s="5363"/>
      <c r="BL1485" s="5363"/>
      <c r="BM1485" s="5363"/>
      <c r="BN1485" s="5363"/>
      <c r="BO1485" s="5508"/>
      <c r="BP1485" s="5508"/>
      <c r="BQ1485" s="5508"/>
      <c r="BR1485" s="5508"/>
      <c r="BS1485" s="5508"/>
      <c r="BT1485" s="5508"/>
      <c r="BU1485" s="5508"/>
      <c r="BV1485" s="6719"/>
      <c r="BW1485" s="5508">
        <v>348328.91</v>
      </c>
      <c r="BX1485" s="5356"/>
      <c r="BY1485" s="5356"/>
      <c r="BZ1485" s="5356"/>
      <c r="CA1485" s="5356"/>
      <c r="CB1485" s="5356"/>
      <c r="CC1485" s="2824"/>
      <c r="CD1485" s="2824"/>
      <c r="CE1485" s="5366"/>
      <c r="CF1485" s="5366"/>
      <c r="CG1485" s="5366"/>
      <c r="CH1485" s="5366"/>
    </row>
    <row r="1486" s="4975" customFormat="1" ht="61" customHeight="1" spans="1:86">
      <c r="A1486" s="2680"/>
      <c r="B1486" s="5866"/>
      <c r="C1486" s="2844"/>
      <c r="D1486" s="5316"/>
      <c r="E1486" s="5317"/>
      <c r="F1486" s="5317"/>
      <c r="G1486" s="5867"/>
      <c r="H1486" s="2824"/>
      <c r="I1486" s="2824"/>
      <c r="J1486" s="5317"/>
      <c r="K1486" s="5867"/>
      <c r="L1486" s="5317"/>
      <c r="M1486" s="5317"/>
      <c r="N1486" s="2680"/>
      <c r="O1486" s="2680"/>
      <c r="P1486" s="2680"/>
      <c r="Q1486" s="2680"/>
      <c r="R1486" s="2680"/>
      <c r="S1486" s="2680"/>
      <c r="T1486" s="2680"/>
      <c r="U1486" s="2680"/>
      <c r="V1486" s="2680"/>
      <c r="W1486" s="2680"/>
      <c r="X1486" s="2680"/>
      <c r="Y1486" s="2680"/>
      <c r="Z1486" s="2680"/>
      <c r="AA1486" s="2680"/>
      <c r="AB1486" s="2680"/>
      <c r="AC1486" s="2824">
        <v>4</v>
      </c>
      <c r="AD1486" s="5843" t="s">
        <v>2454</v>
      </c>
      <c r="AE1486" s="5871">
        <v>0.1</v>
      </c>
      <c r="AF1486" s="2844">
        <v>99522.546</v>
      </c>
      <c r="AG1486" s="5347">
        <f t="shared" si="296"/>
        <v>99522.546</v>
      </c>
      <c r="AH1486" s="5347" t="s">
        <v>122</v>
      </c>
      <c r="AI1486" s="5347">
        <v>44545</v>
      </c>
      <c r="AJ1486" s="5347">
        <f>SUM(BD1486:BQ1486)</f>
        <v>99522.546</v>
      </c>
      <c r="AK1486" s="5347">
        <v>44545</v>
      </c>
      <c r="AL1486" s="5347">
        <v>99522.55</v>
      </c>
      <c r="AM1486" s="5347">
        <v>44849</v>
      </c>
      <c r="AN1486" s="5347">
        <f t="shared" si="295"/>
        <v>99522.546</v>
      </c>
      <c r="AO1486" s="5347">
        <v>44862</v>
      </c>
      <c r="AP1486" s="5347">
        <f t="shared" si="294"/>
        <v>0</v>
      </c>
      <c r="AQ1486" s="5356"/>
      <c r="AR1486" s="2824"/>
      <c r="AS1486" s="5438"/>
      <c r="AT1486" s="5356"/>
      <c r="AU1486" s="2680"/>
      <c r="AV1486" s="2680"/>
      <c r="AW1486" s="2680"/>
      <c r="AX1486" s="2680"/>
      <c r="AY1486" s="2680"/>
      <c r="AZ1486" s="2680"/>
      <c r="BA1486" s="5363"/>
      <c r="BB1486" s="5363"/>
      <c r="BC1486" s="5347"/>
      <c r="BD1486" s="5363"/>
      <c r="BE1486" s="5363"/>
      <c r="BF1486" s="5363"/>
      <c r="BG1486" s="5363"/>
      <c r="BH1486" s="5363"/>
      <c r="BI1486" s="5363">
        <v>99522.546</v>
      </c>
      <c r="BJ1486" s="5363"/>
      <c r="BK1486" s="5363"/>
      <c r="BL1486" s="5363"/>
      <c r="BM1486" s="5363"/>
      <c r="BN1486" s="5363"/>
      <c r="BO1486" s="5508"/>
      <c r="BP1486" s="5508"/>
      <c r="BQ1486" s="5508"/>
      <c r="BR1486" s="5508"/>
      <c r="BS1486" s="5508"/>
      <c r="BT1486" s="5508"/>
      <c r="BU1486" s="5508"/>
      <c r="BV1486" s="5508"/>
      <c r="BW1486" s="5508">
        <v>99522.546</v>
      </c>
      <c r="BX1486" s="5356"/>
      <c r="BY1486" s="5356"/>
      <c r="BZ1486" s="5356"/>
      <c r="CA1486" s="5356"/>
      <c r="CB1486" s="5356"/>
      <c r="CC1486" s="2824"/>
      <c r="CD1486" s="2824"/>
      <c r="CE1486" s="5366"/>
      <c r="CF1486" s="5366"/>
      <c r="CG1486" s="5366"/>
      <c r="CH1486" s="5366"/>
    </row>
    <row r="1487" s="4965" customFormat="1" ht="61" customHeight="1" spans="1:86">
      <c r="A1487" s="2680">
        <v>25</v>
      </c>
      <c r="B1487" s="5813" t="s">
        <v>690</v>
      </c>
      <c r="C1487" s="2713">
        <v>44169</v>
      </c>
      <c r="D1487" s="1032" t="s">
        <v>2455</v>
      </c>
      <c r="E1487" s="3742" t="s">
        <v>2456</v>
      </c>
      <c r="F1487" s="3742" t="s">
        <v>2457</v>
      </c>
      <c r="G1487" s="5818" t="s">
        <v>2458</v>
      </c>
      <c r="H1487" s="3524" t="s">
        <v>813</v>
      </c>
      <c r="I1487" s="5073" t="s">
        <v>2459</v>
      </c>
      <c r="J1487" s="3742" t="s">
        <v>2460</v>
      </c>
      <c r="K1487" s="5818">
        <v>2225.83</v>
      </c>
      <c r="L1487" s="3742" t="s">
        <v>2461</v>
      </c>
      <c r="M1487" s="3742">
        <f>SUM(N1487:AA1491)</f>
        <v>608000</v>
      </c>
      <c r="N1487" s="2680">
        <v>0</v>
      </c>
      <c r="O1487" s="2680">
        <v>0</v>
      </c>
      <c r="P1487" s="2680">
        <v>0</v>
      </c>
      <c r="Q1487" s="2680">
        <v>0</v>
      </c>
      <c r="R1487" s="2680">
        <v>0</v>
      </c>
      <c r="S1487" s="2680">
        <v>0</v>
      </c>
      <c r="T1487" s="5823">
        <v>608000</v>
      </c>
      <c r="U1487" s="2680">
        <v>0</v>
      </c>
      <c r="V1487" s="2680">
        <v>0</v>
      </c>
      <c r="W1487" s="2680">
        <v>0</v>
      </c>
      <c r="X1487" s="2680">
        <v>0</v>
      </c>
      <c r="Y1487" s="2680"/>
      <c r="Z1487" s="2680"/>
      <c r="AA1487" s="2680">
        <v>0</v>
      </c>
      <c r="AB1487" s="2680">
        <v>0</v>
      </c>
      <c r="AC1487" s="3524">
        <v>1</v>
      </c>
      <c r="AD1487" s="5842" t="s">
        <v>2462</v>
      </c>
      <c r="AE1487" s="5870">
        <v>0.2</v>
      </c>
      <c r="AF1487" s="2713">
        <f>M1487*AE1487</f>
        <v>121600</v>
      </c>
      <c r="AG1487" s="3812">
        <f t="shared" si="296"/>
        <v>121600</v>
      </c>
      <c r="AH1487" s="3524" t="s">
        <v>122</v>
      </c>
      <c r="AI1487" s="3524">
        <v>44252</v>
      </c>
      <c r="AJ1487" s="3524">
        <v>121600</v>
      </c>
      <c r="AK1487" s="3524">
        <v>44252</v>
      </c>
      <c r="AL1487" s="2713">
        <v>121600</v>
      </c>
      <c r="AM1487" s="3524">
        <v>44257</v>
      </c>
      <c r="AN1487" s="3812">
        <f t="shared" ref="AN1487:AN1490" si="297">SUM(BO1487:CB1487)</f>
        <v>121600</v>
      </c>
      <c r="AO1487" s="3812">
        <v>44375</v>
      </c>
      <c r="AP1487" s="3812">
        <f t="shared" si="294"/>
        <v>0</v>
      </c>
      <c r="AQ1487" s="5122"/>
      <c r="AR1487" s="3524"/>
      <c r="AS1487" s="5129"/>
      <c r="AT1487" s="5122"/>
      <c r="AU1487" s="2680">
        <f>SUM(AG1487:AG1491)</f>
        <v>601920</v>
      </c>
      <c r="AV1487" s="2680">
        <f>SUM(AL1487:AL1491)</f>
        <v>601920</v>
      </c>
      <c r="AW1487" s="2680">
        <f>SUM(AN1487:AN1491)</f>
        <v>601920</v>
      </c>
      <c r="AX1487" s="2680">
        <f>M1487-AU1487</f>
        <v>6080</v>
      </c>
      <c r="AY1487" s="2680">
        <f>AU1487-AV1487</f>
        <v>0</v>
      </c>
      <c r="AZ1487" s="2680">
        <f>AV1487-AW1487</f>
        <v>0</v>
      </c>
      <c r="BA1487" s="5146"/>
      <c r="BB1487" s="5146"/>
      <c r="BC1487" s="3812"/>
      <c r="BD1487" s="5146"/>
      <c r="BE1487" s="5146"/>
      <c r="BF1487" s="5146"/>
      <c r="BG1487" s="3812">
        <v>121600</v>
      </c>
      <c r="BH1487" s="5146"/>
      <c r="BI1487" s="5146"/>
      <c r="BJ1487" s="5146"/>
      <c r="BK1487" s="5146"/>
      <c r="BL1487" s="5146"/>
      <c r="BM1487" s="5146"/>
      <c r="BN1487" s="5146"/>
      <c r="BO1487" s="5146"/>
      <c r="BP1487" s="5146"/>
      <c r="BQ1487" s="5146"/>
      <c r="BR1487" s="5146"/>
      <c r="BS1487" s="5146"/>
      <c r="BT1487" s="5146"/>
      <c r="BU1487" s="5146">
        <v>121600</v>
      </c>
      <c r="BV1487" s="5152"/>
      <c r="BW1487" s="5146"/>
      <c r="BX1487" s="5146"/>
      <c r="BY1487" s="5146"/>
      <c r="BZ1487" s="5146"/>
      <c r="CA1487" s="5146"/>
      <c r="CB1487" s="5146"/>
      <c r="CC1487" s="3524"/>
      <c r="CD1487" s="3524"/>
      <c r="CE1487" s="5169"/>
      <c r="CF1487" s="5169"/>
      <c r="CG1487" s="5169"/>
      <c r="CH1487" s="5169"/>
    </row>
    <row r="1488" s="4965" customFormat="1" ht="61" customHeight="1" spans="1:86">
      <c r="A1488" s="2680"/>
      <c r="B1488" s="5813"/>
      <c r="C1488" s="2713"/>
      <c r="D1488" s="3742"/>
      <c r="E1488" s="3742"/>
      <c r="F1488" s="3742"/>
      <c r="G1488" s="5818"/>
      <c r="H1488" s="3524"/>
      <c r="I1488" s="3669"/>
      <c r="J1488" s="3742"/>
      <c r="K1488" s="5818"/>
      <c r="L1488" s="3742"/>
      <c r="M1488" s="3742"/>
      <c r="N1488" s="2680"/>
      <c r="O1488" s="2680"/>
      <c r="P1488" s="2680"/>
      <c r="Q1488" s="2680"/>
      <c r="R1488" s="2680"/>
      <c r="S1488" s="2680"/>
      <c r="T1488" s="2680"/>
      <c r="U1488" s="2680"/>
      <c r="V1488" s="2680"/>
      <c r="W1488" s="2680"/>
      <c r="X1488" s="2680"/>
      <c r="Y1488" s="2680"/>
      <c r="Z1488" s="2680"/>
      <c r="AA1488" s="2680"/>
      <c r="AB1488" s="2680"/>
      <c r="AC1488" s="3524">
        <v>2</v>
      </c>
      <c r="AD1488" s="5842" t="s">
        <v>2463</v>
      </c>
      <c r="AE1488" s="5870">
        <v>0.4</v>
      </c>
      <c r="AF1488" s="2713">
        <f>M1487*AE1488</f>
        <v>243200</v>
      </c>
      <c r="AG1488" s="3812">
        <f t="shared" si="296"/>
        <v>243200</v>
      </c>
      <c r="AH1488" s="3524" t="s">
        <v>122</v>
      </c>
      <c r="AI1488" s="3524">
        <v>44252</v>
      </c>
      <c r="AJ1488" s="3812">
        <v>243200</v>
      </c>
      <c r="AK1488" s="3524">
        <v>44252</v>
      </c>
      <c r="AL1488" s="857">
        <v>243200</v>
      </c>
      <c r="AM1488" s="3812">
        <v>44390</v>
      </c>
      <c r="AN1488" s="3812">
        <f t="shared" si="297"/>
        <v>243200</v>
      </c>
      <c r="AO1488" s="3812">
        <v>44530</v>
      </c>
      <c r="AP1488" s="3812">
        <f t="shared" si="294"/>
        <v>0</v>
      </c>
      <c r="AQ1488" s="5122"/>
      <c r="AR1488" s="3524"/>
      <c r="AS1488" s="5129"/>
      <c r="AT1488" s="5122"/>
      <c r="AU1488" s="2680"/>
      <c r="AV1488" s="2680"/>
      <c r="AW1488" s="2680"/>
      <c r="AX1488" s="2680"/>
      <c r="AY1488" s="2680"/>
      <c r="AZ1488" s="2680"/>
      <c r="BA1488" s="5146"/>
      <c r="BB1488" s="5146"/>
      <c r="BC1488" s="3812"/>
      <c r="BD1488" s="5146"/>
      <c r="BE1488" s="5146"/>
      <c r="BF1488" s="5146"/>
      <c r="BG1488" s="3812">
        <v>243200</v>
      </c>
      <c r="BH1488" s="5146"/>
      <c r="BI1488" s="5146"/>
      <c r="BJ1488" s="5146"/>
      <c r="BK1488" s="5146"/>
      <c r="BL1488" s="5146"/>
      <c r="BM1488" s="5146"/>
      <c r="BN1488" s="5146"/>
      <c r="BO1488" s="5122"/>
      <c r="BP1488" s="5122"/>
      <c r="BQ1488" s="5122"/>
      <c r="BR1488" s="5122"/>
      <c r="BS1488" s="5122"/>
      <c r="BT1488" s="5122"/>
      <c r="BU1488" s="5122">
        <v>243200</v>
      </c>
      <c r="BV1488" s="5862"/>
      <c r="BW1488" s="5146"/>
      <c r="BX1488" s="5122"/>
      <c r="BY1488" s="5122"/>
      <c r="BZ1488" s="5122"/>
      <c r="CA1488" s="5122"/>
      <c r="CB1488" s="5122"/>
      <c r="CC1488" s="3524"/>
      <c r="CD1488" s="3524"/>
      <c r="CE1488" s="5169"/>
      <c r="CF1488" s="5169"/>
      <c r="CG1488" s="5169"/>
      <c r="CH1488" s="5169"/>
    </row>
    <row r="1489" s="4965" customFormat="1" ht="61" customHeight="1" spans="1:86">
      <c r="A1489" s="3524"/>
      <c r="B1489" s="5813"/>
      <c r="C1489" s="2713"/>
      <c r="D1489" s="3742"/>
      <c r="E1489" s="3742"/>
      <c r="F1489" s="3742"/>
      <c r="G1489" s="5818"/>
      <c r="H1489" s="3524"/>
      <c r="I1489" s="3669"/>
      <c r="J1489" s="3742"/>
      <c r="K1489" s="5818"/>
      <c r="L1489" s="3742"/>
      <c r="M1489" s="3742"/>
      <c r="N1489" s="2680"/>
      <c r="O1489" s="2680"/>
      <c r="P1489" s="2680"/>
      <c r="Q1489" s="2680"/>
      <c r="R1489" s="2680"/>
      <c r="S1489" s="2680"/>
      <c r="T1489" s="2680"/>
      <c r="U1489" s="2680"/>
      <c r="V1489" s="2680"/>
      <c r="W1489" s="2680"/>
      <c r="X1489" s="2680"/>
      <c r="Y1489" s="2680"/>
      <c r="Z1489" s="2680"/>
      <c r="AA1489" s="2680"/>
      <c r="AB1489" s="2680"/>
      <c r="AC1489" s="3524">
        <v>3</v>
      </c>
      <c r="AD1489" s="5842" t="s">
        <v>2464</v>
      </c>
      <c r="AE1489" s="5870">
        <v>0.2</v>
      </c>
      <c r="AF1489" s="2713">
        <f>M1487*AE1489</f>
        <v>121600</v>
      </c>
      <c r="AG1489" s="3812">
        <f t="shared" si="296"/>
        <v>121600</v>
      </c>
      <c r="AH1489" s="857" t="s">
        <v>206</v>
      </c>
      <c r="AI1489" s="3812">
        <v>44772</v>
      </c>
      <c r="AJ1489" s="3812">
        <v>121600</v>
      </c>
      <c r="AK1489" s="3812">
        <v>44813</v>
      </c>
      <c r="AL1489" s="3812">
        <v>121600</v>
      </c>
      <c r="AM1489" s="3812">
        <v>44813</v>
      </c>
      <c r="AN1489" s="3812">
        <f t="shared" si="297"/>
        <v>121600</v>
      </c>
      <c r="AO1489" s="3812">
        <v>44895</v>
      </c>
      <c r="AP1489" s="3812">
        <f t="shared" si="294"/>
        <v>0</v>
      </c>
      <c r="AQ1489" s="5122"/>
      <c r="AR1489" s="3524"/>
      <c r="AS1489" s="5129"/>
      <c r="AT1489" s="5122"/>
      <c r="AU1489" s="3524"/>
      <c r="AV1489" s="3524"/>
      <c r="AW1489" s="3524"/>
      <c r="AX1489" s="3524"/>
      <c r="AY1489" s="3524"/>
      <c r="AZ1489" s="3524"/>
      <c r="BA1489" s="5146"/>
      <c r="BB1489" s="5146"/>
      <c r="BC1489" s="3812"/>
      <c r="BD1489" s="5146"/>
      <c r="BE1489" s="5146"/>
      <c r="BF1489" s="3812">
        <v>28880</v>
      </c>
      <c r="BG1489" s="3812">
        <v>78280</v>
      </c>
      <c r="BH1489" s="3812">
        <v>14440</v>
      </c>
      <c r="BI1489" s="5146"/>
      <c r="BJ1489" s="5146"/>
      <c r="BK1489" s="5146"/>
      <c r="BL1489" s="5146"/>
      <c r="BM1489" s="5146"/>
      <c r="BN1489" s="5146"/>
      <c r="BO1489" s="5160"/>
      <c r="BP1489" s="5160"/>
      <c r="BQ1489" s="5160"/>
      <c r="BR1489" s="5160"/>
      <c r="BS1489" s="5160"/>
      <c r="BT1489" s="3812">
        <v>28880</v>
      </c>
      <c r="BU1489" s="3812">
        <v>78280</v>
      </c>
      <c r="BV1489" s="3812">
        <v>14440</v>
      </c>
      <c r="BW1489" s="5160"/>
      <c r="BX1489" s="5122"/>
      <c r="BY1489" s="5122"/>
      <c r="BZ1489" s="5122"/>
      <c r="CA1489" s="5122"/>
      <c r="CB1489" s="5122"/>
      <c r="CC1489" s="3524"/>
      <c r="CD1489" s="3524"/>
      <c r="CE1489" s="5169"/>
      <c r="CF1489" s="5169"/>
      <c r="CG1489" s="5169"/>
      <c r="CH1489" s="5169"/>
    </row>
    <row r="1490" s="4965" customFormat="1" ht="61" customHeight="1" spans="1:86">
      <c r="A1490" s="2680"/>
      <c r="B1490" s="5813"/>
      <c r="C1490" s="2713"/>
      <c r="D1490" s="3742"/>
      <c r="E1490" s="3742"/>
      <c r="F1490" s="3742"/>
      <c r="G1490" s="5818"/>
      <c r="H1490" s="3524"/>
      <c r="I1490" s="3741"/>
      <c r="J1490" s="3742"/>
      <c r="K1490" s="5818"/>
      <c r="L1490" s="3742"/>
      <c r="M1490" s="3742"/>
      <c r="N1490" s="2680"/>
      <c r="O1490" s="2680"/>
      <c r="P1490" s="2680"/>
      <c r="Q1490" s="2680"/>
      <c r="R1490" s="2680"/>
      <c r="S1490" s="2680"/>
      <c r="T1490" s="2680"/>
      <c r="U1490" s="2680"/>
      <c r="V1490" s="2680"/>
      <c r="W1490" s="2680"/>
      <c r="X1490" s="2680"/>
      <c r="Y1490" s="2680"/>
      <c r="Z1490" s="2680"/>
      <c r="AA1490" s="2680"/>
      <c r="AB1490" s="2680"/>
      <c r="AC1490" s="4087">
        <v>4</v>
      </c>
      <c r="AD1490" s="5873" t="s">
        <v>2465</v>
      </c>
      <c r="AE1490" s="6001">
        <v>0.2</v>
      </c>
      <c r="AF1490" s="5874">
        <f>M1487*AE1490</f>
        <v>121600</v>
      </c>
      <c r="AG1490" s="3812">
        <f t="shared" si="296"/>
        <v>121600</v>
      </c>
      <c r="AH1490" s="3812" t="s">
        <v>122</v>
      </c>
      <c r="AI1490" s="3812">
        <v>45288</v>
      </c>
      <c r="AJ1490" s="3812">
        <v>121600</v>
      </c>
      <c r="AK1490" s="3812">
        <v>45288</v>
      </c>
      <c r="AL1490" s="4815">
        <v>115520</v>
      </c>
      <c r="AM1490" s="5123"/>
      <c r="AN1490" s="4815">
        <f t="shared" si="297"/>
        <v>115520</v>
      </c>
      <c r="AO1490" s="4815">
        <v>46172</v>
      </c>
      <c r="AP1490" s="3812">
        <f t="shared" si="294"/>
        <v>6080</v>
      </c>
      <c r="AQ1490" s="5122"/>
      <c r="AR1490" s="3524"/>
      <c r="AS1490" s="5129"/>
      <c r="AT1490" s="5122"/>
      <c r="AU1490" s="2680"/>
      <c r="AV1490" s="2680"/>
      <c r="AW1490" s="2680"/>
      <c r="AX1490" s="2680"/>
      <c r="AY1490" s="2680"/>
      <c r="AZ1490" s="2680"/>
      <c r="BA1490" s="5122"/>
      <c r="BB1490" s="5122"/>
      <c r="BC1490" s="3524"/>
      <c r="BD1490" s="5146"/>
      <c r="BE1490" s="5146"/>
      <c r="BF1490" s="3812">
        <v>28880</v>
      </c>
      <c r="BG1490" s="3812">
        <v>78280</v>
      </c>
      <c r="BH1490" s="3812">
        <v>14440</v>
      </c>
      <c r="BI1490" s="5146"/>
      <c r="BJ1490" s="5160"/>
      <c r="BK1490" s="5160"/>
      <c r="BL1490" s="5160"/>
      <c r="BM1490" s="5160"/>
      <c r="BN1490" s="5160"/>
      <c r="BO1490" s="5160"/>
      <c r="BP1490" s="5160"/>
      <c r="BQ1490" s="5160"/>
      <c r="BR1490" s="5160"/>
      <c r="BS1490" s="5160"/>
      <c r="BT1490" s="3812">
        <f>28880*0.95</f>
        <v>27436</v>
      </c>
      <c r="BU1490" s="3812">
        <f>78280*0.95</f>
        <v>74366</v>
      </c>
      <c r="BV1490" s="3812">
        <f>14440*0.95</f>
        <v>13718</v>
      </c>
      <c r="BW1490" s="5160"/>
      <c r="BX1490" s="5122"/>
      <c r="BY1490" s="5122"/>
      <c r="BZ1490" s="5122"/>
      <c r="CA1490" s="5122"/>
      <c r="CB1490" s="5122"/>
      <c r="CC1490" s="3524"/>
      <c r="CD1490" s="3524"/>
      <c r="CE1490" s="5169"/>
      <c r="CF1490" s="5169"/>
      <c r="CG1490" s="5169"/>
      <c r="CH1490" s="5169"/>
    </row>
    <row r="1491" s="4965" customFormat="1" ht="61" customHeight="1" spans="1:86">
      <c r="A1491" s="2680"/>
      <c r="B1491" s="5813"/>
      <c r="C1491" s="2713"/>
      <c r="D1491" s="3742"/>
      <c r="E1491" s="3742"/>
      <c r="F1491" s="3742"/>
      <c r="G1491" s="5818"/>
      <c r="H1491" s="3524"/>
      <c r="I1491" s="3741"/>
      <c r="J1491" s="3742"/>
      <c r="K1491" s="5818"/>
      <c r="L1491" s="3742"/>
      <c r="M1491" s="3742"/>
      <c r="N1491" s="2680"/>
      <c r="O1491" s="2680"/>
      <c r="P1491" s="2680"/>
      <c r="Q1491" s="2680"/>
      <c r="R1491" s="2680"/>
      <c r="S1491" s="2680"/>
      <c r="T1491" s="2680"/>
      <c r="U1491" s="2680"/>
      <c r="V1491" s="2680"/>
      <c r="W1491" s="2680"/>
      <c r="X1491" s="2680"/>
      <c r="Y1491" s="2680"/>
      <c r="Z1491" s="2680"/>
      <c r="AA1491" s="2680"/>
      <c r="AB1491" s="2680"/>
      <c r="AC1491" s="4903"/>
      <c r="AD1491" s="5876"/>
      <c r="AE1491" s="6004"/>
      <c r="AF1491" s="5877"/>
      <c r="AG1491" s="4815">
        <f t="shared" ref="AG1491:AG1505" si="298">SUM(BA1491:BN1491)</f>
        <v>-6080</v>
      </c>
      <c r="AH1491" s="5345" t="s">
        <v>349</v>
      </c>
      <c r="AI1491" s="4815">
        <v>46019</v>
      </c>
      <c r="AJ1491" s="4815">
        <v>-6080</v>
      </c>
      <c r="AK1491" s="4815">
        <v>46019</v>
      </c>
      <c r="AL1491" s="5123"/>
      <c r="AM1491" s="5123"/>
      <c r="AN1491" s="5258">
        <f t="shared" ref="AN1491:AN1505" si="299">SUM(BO1491:CB1491)</f>
        <v>0</v>
      </c>
      <c r="AO1491" s="5258"/>
      <c r="AP1491" s="3812">
        <f t="shared" si="294"/>
        <v>-6080</v>
      </c>
      <c r="AQ1491" s="5122"/>
      <c r="AR1491" s="3524"/>
      <c r="AS1491" s="5129"/>
      <c r="AT1491" s="5122"/>
      <c r="AU1491" s="2680"/>
      <c r="AV1491" s="2680"/>
      <c r="AW1491" s="2680"/>
      <c r="AX1491" s="2680"/>
      <c r="AY1491" s="2680"/>
      <c r="AZ1491" s="2680"/>
      <c r="BA1491" s="5122"/>
      <c r="BB1491" s="5122"/>
      <c r="BC1491" s="3524"/>
      <c r="BD1491" s="5146"/>
      <c r="BE1491" s="5146"/>
      <c r="BF1491" s="3812">
        <v>-1444</v>
      </c>
      <c r="BG1491" s="3812">
        <v>-3914</v>
      </c>
      <c r="BH1491" s="3812">
        <v>-722</v>
      </c>
      <c r="BI1491" s="5146"/>
      <c r="BJ1491" s="5160"/>
      <c r="BK1491" s="5160"/>
      <c r="BL1491" s="5160"/>
      <c r="BM1491" s="5160"/>
      <c r="BN1491" s="5160"/>
      <c r="BO1491" s="5160"/>
      <c r="BP1491" s="5160"/>
      <c r="BQ1491" s="5160"/>
      <c r="BR1491" s="5160"/>
      <c r="BS1491" s="5160"/>
      <c r="BT1491" s="3812"/>
      <c r="BU1491" s="3812"/>
      <c r="BV1491" s="3812"/>
      <c r="BW1491" s="5160"/>
      <c r="BX1491" s="5122"/>
      <c r="BY1491" s="5122"/>
      <c r="BZ1491" s="5122"/>
      <c r="CA1491" s="5122"/>
      <c r="CB1491" s="5122"/>
      <c r="CC1491" s="3524"/>
      <c r="CD1491" s="3524"/>
      <c r="CE1491" s="5169"/>
      <c r="CF1491" s="5169"/>
      <c r="CG1491" s="5169"/>
      <c r="CH1491" s="5169"/>
    </row>
    <row r="1492" s="4971" customFormat="1" ht="24.75" customHeight="1" spans="1:86">
      <c r="A1492" s="5048">
        <v>1</v>
      </c>
      <c r="B1492" s="5048" t="s">
        <v>2466</v>
      </c>
      <c r="C1492" s="5048">
        <v>43784</v>
      </c>
      <c r="D1492" s="6690" t="s">
        <v>2467</v>
      </c>
      <c r="E1492" s="6690" t="s">
        <v>2468</v>
      </c>
      <c r="F1492" s="6690" t="s">
        <v>2469</v>
      </c>
      <c r="G1492" s="6690" t="s">
        <v>2470</v>
      </c>
      <c r="H1492" s="6690" t="s">
        <v>2471</v>
      </c>
      <c r="I1492" s="5049" t="s">
        <v>2472</v>
      </c>
      <c r="J1492" s="6690" t="s">
        <v>2473</v>
      </c>
      <c r="K1492" s="5048">
        <v>24490</v>
      </c>
      <c r="L1492" s="6690" t="s">
        <v>2474</v>
      </c>
      <c r="M1492" s="5048">
        <f>SUM(N1492:AA1497)</f>
        <v>2281650</v>
      </c>
      <c r="N1492" s="2680">
        <v>200000</v>
      </c>
      <c r="O1492" s="2680">
        <v>0</v>
      </c>
      <c r="P1492" s="2680">
        <v>1102050</v>
      </c>
      <c r="Q1492" s="2680">
        <v>0</v>
      </c>
      <c r="R1492" s="2680">
        <v>0</v>
      </c>
      <c r="S1492" s="2680">
        <v>979600</v>
      </c>
      <c r="T1492" s="5823">
        <v>0</v>
      </c>
      <c r="U1492" s="2680">
        <v>0</v>
      </c>
      <c r="V1492" s="2680">
        <v>0</v>
      </c>
      <c r="W1492" s="2680">
        <v>0</v>
      </c>
      <c r="X1492" s="2680"/>
      <c r="Y1492" s="2680"/>
      <c r="Z1492" s="2680"/>
      <c r="AA1492" s="2680">
        <v>0</v>
      </c>
      <c r="AB1492" s="6697" t="s">
        <v>113</v>
      </c>
      <c r="AC1492" s="2680">
        <v>1</v>
      </c>
      <c r="AD1492" s="5887" t="s">
        <v>121</v>
      </c>
      <c r="AE1492" s="5079">
        <v>0.1</v>
      </c>
      <c r="AF1492" s="2680">
        <f>M1492*AE1492</f>
        <v>228165</v>
      </c>
      <c r="AG1492" s="2680">
        <f t="shared" si="298"/>
        <v>228165</v>
      </c>
      <c r="AH1492" s="2680" t="s">
        <v>206</v>
      </c>
      <c r="AI1492" s="2680">
        <v>43816</v>
      </c>
      <c r="AJ1492" s="2680" t="s">
        <v>171</v>
      </c>
      <c r="AK1492" s="2680" t="s">
        <v>171</v>
      </c>
      <c r="AL1492" s="2680">
        <f>AG1492</f>
        <v>228165</v>
      </c>
      <c r="AM1492" s="2680">
        <v>43816</v>
      </c>
      <c r="AN1492" s="2680">
        <f t="shared" si="299"/>
        <v>228165</v>
      </c>
      <c r="AO1492" s="859">
        <v>43818</v>
      </c>
      <c r="AP1492" s="859">
        <f t="shared" si="294"/>
        <v>0</v>
      </c>
      <c r="AQ1492" s="5331"/>
      <c r="AR1492" s="2680" t="s">
        <v>123</v>
      </c>
      <c r="AS1492" s="5079" t="s">
        <v>171</v>
      </c>
      <c r="AT1492" s="2680">
        <f>C1492</f>
        <v>43784</v>
      </c>
      <c r="AU1492" s="2680">
        <f>SUM(AG1492:AG1497)</f>
        <v>1993494.25</v>
      </c>
      <c r="AV1492" s="859">
        <f>SUM(AL1492:AL1497)</f>
        <v>1993494.25</v>
      </c>
      <c r="AW1492" s="859">
        <f>SUM(AN1492:AN1497)</f>
        <v>1993494.25</v>
      </c>
      <c r="AX1492" s="859">
        <f>M1492-AU1492</f>
        <v>288155.75</v>
      </c>
      <c r="AY1492" s="857">
        <f>AU1492-AV1492</f>
        <v>0</v>
      </c>
      <c r="AZ1492" s="857">
        <f>AV1492-AW1492</f>
        <v>0</v>
      </c>
      <c r="BA1492" s="2678">
        <v>114082.5</v>
      </c>
      <c r="BB1492" s="2678"/>
      <c r="BC1492" s="2678">
        <v>114082.5</v>
      </c>
      <c r="BD1492" s="2678"/>
      <c r="BE1492" s="2678"/>
      <c r="BF1492" s="2678"/>
      <c r="BG1492" s="5796"/>
      <c r="BH1492" s="2678"/>
      <c r="BI1492" s="5796"/>
      <c r="BJ1492" s="5796"/>
      <c r="BK1492" s="5796"/>
      <c r="BL1492" s="5796"/>
      <c r="BM1492" s="5796"/>
      <c r="BN1492" s="5796"/>
      <c r="BO1492" s="5331">
        <v>114082.5</v>
      </c>
      <c r="BP1492" s="5331"/>
      <c r="BQ1492" s="5331">
        <v>114082.5</v>
      </c>
      <c r="BR1492" s="5331"/>
      <c r="BS1492" s="5331"/>
      <c r="BT1492" s="5331"/>
      <c r="BU1492" s="5331"/>
      <c r="BV1492" s="5331"/>
      <c r="BW1492" s="5331"/>
      <c r="BX1492" s="5331"/>
      <c r="BY1492" s="5331"/>
      <c r="BZ1492" s="5331"/>
      <c r="CA1492" s="5331"/>
      <c r="CB1492" s="5331"/>
      <c r="CC1492" s="2680" t="s">
        <v>1112</v>
      </c>
      <c r="CD1492" s="2680" t="s">
        <v>154</v>
      </c>
      <c r="CE1492" s="5039"/>
      <c r="CF1492" s="5039"/>
      <c r="CG1492" s="5039"/>
      <c r="CH1492" s="5039"/>
    </row>
    <row r="1493" s="4971" customFormat="1" ht="31.65" customHeight="1" spans="1:86">
      <c r="A1493" s="5048"/>
      <c r="B1493" s="5048"/>
      <c r="C1493" s="5048"/>
      <c r="D1493" s="6690"/>
      <c r="E1493" s="6690"/>
      <c r="F1493" s="6690"/>
      <c r="G1493" s="6690" t="str">
        <f>G1492</f>
        <v>CRCCRE-SJ-CZ-2019-016</v>
      </c>
      <c r="H1493" s="6690"/>
      <c r="I1493" s="6692"/>
      <c r="J1493" s="6690"/>
      <c r="K1493" s="5048"/>
      <c r="L1493" s="5048"/>
      <c r="M1493" s="5048"/>
      <c r="N1493" s="2680"/>
      <c r="O1493" s="2680"/>
      <c r="P1493" s="2680"/>
      <c r="Q1493" s="2680"/>
      <c r="R1493" s="2680"/>
      <c r="S1493" s="2680"/>
      <c r="T1493" s="2680"/>
      <c r="U1493" s="2680"/>
      <c r="V1493" s="2680"/>
      <c r="W1493" s="2680"/>
      <c r="X1493" s="2680"/>
      <c r="Y1493" s="2680"/>
      <c r="Z1493" s="2680"/>
      <c r="AA1493" s="2680"/>
      <c r="AB1493" s="6697"/>
      <c r="AC1493" s="2680">
        <v>2</v>
      </c>
      <c r="AD1493" s="5887" t="s">
        <v>2475</v>
      </c>
      <c r="AE1493" s="5079">
        <v>0.1</v>
      </c>
      <c r="AF1493" s="2680">
        <f>M1492*0.1</f>
        <v>228165</v>
      </c>
      <c r="AG1493" s="2678">
        <f t="shared" si="298"/>
        <v>1368990</v>
      </c>
      <c r="AH1493" s="859" t="s">
        <v>122</v>
      </c>
      <c r="AI1493" s="2678">
        <v>44526</v>
      </c>
      <c r="AJ1493" s="2678">
        <v>1368990</v>
      </c>
      <c r="AK1493" s="2678">
        <v>44526</v>
      </c>
      <c r="AL1493" s="2678">
        <v>228165</v>
      </c>
      <c r="AM1493" s="2678">
        <v>45982</v>
      </c>
      <c r="AN1493" s="3932">
        <f t="shared" si="299"/>
        <v>228165</v>
      </c>
      <c r="AO1493" s="3932">
        <v>46001</v>
      </c>
      <c r="AP1493" s="859">
        <f t="shared" si="294"/>
        <v>1140825</v>
      </c>
      <c r="AQ1493" s="5331"/>
      <c r="AR1493" s="2680"/>
      <c r="AS1493" s="5079"/>
      <c r="AT1493" s="2680"/>
      <c r="AU1493" s="2680"/>
      <c r="AV1493" s="859"/>
      <c r="AW1493" s="859"/>
      <c r="AX1493" s="859"/>
      <c r="AY1493" s="857"/>
      <c r="AZ1493" s="857"/>
      <c r="BA1493" s="2678"/>
      <c r="BB1493" s="2678"/>
      <c r="BC1493" s="2678">
        <v>924068.25</v>
      </c>
      <c r="BD1493" s="2678"/>
      <c r="BE1493" s="2678"/>
      <c r="BF1493" s="2678">
        <v>330839.25</v>
      </c>
      <c r="BG1493" s="5796"/>
      <c r="BH1493" s="2678">
        <v>57041.25</v>
      </c>
      <c r="BI1493" s="5796"/>
      <c r="BJ1493" s="5796"/>
      <c r="BK1493" s="5796"/>
      <c r="BL1493" s="5796"/>
      <c r="BM1493" s="5796"/>
      <c r="BN1493" s="2678">
        <v>57041.25</v>
      </c>
      <c r="BO1493" s="3932"/>
      <c r="BP1493" s="3932"/>
      <c r="BQ1493" s="3932">
        <v>228165</v>
      </c>
      <c r="BR1493" s="3932"/>
      <c r="BS1493" s="3932"/>
      <c r="BT1493" s="3932"/>
      <c r="BU1493" s="5860"/>
      <c r="BV1493" s="5860"/>
      <c r="BW1493" s="5860"/>
      <c r="BX1493" s="5860"/>
      <c r="BY1493" s="5860"/>
      <c r="BZ1493" s="5860"/>
      <c r="CA1493" s="5860"/>
      <c r="CB1493" s="5860"/>
      <c r="CC1493" s="2680"/>
      <c r="CD1493" s="2680"/>
      <c r="CE1493" s="5039"/>
      <c r="CF1493" s="5039"/>
      <c r="CG1493" s="5039"/>
      <c r="CH1493" s="5039"/>
    </row>
    <row r="1494" s="4971" customFormat="1" ht="31" spans="1:86">
      <c r="A1494" s="5048"/>
      <c r="B1494" s="5048"/>
      <c r="C1494" s="5048"/>
      <c r="D1494" s="6690"/>
      <c r="E1494" s="6690"/>
      <c r="F1494" s="6690"/>
      <c r="G1494" s="6690" t="str">
        <f>G1493</f>
        <v>CRCCRE-SJ-CZ-2019-016</v>
      </c>
      <c r="H1494" s="6690"/>
      <c r="I1494" s="6692"/>
      <c r="J1494" s="6690"/>
      <c r="K1494" s="5048"/>
      <c r="L1494" s="5048"/>
      <c r="M1494" s="5048"/>
      <c r="N1494" s="2680"/>
      <c r="O1494" s="2680"/>
      <c r="P1494" s="2680"/>
      <c r="Q1494" s="2680"/>
      <c r="R1494" s="2680"/>
      <c r="S1494" s="2680"/>
      <c r="T1494" s="2680"/>
      <c r="U1494" s="2680"/>
      <c r="V1494" s="2680"/>
      <c r="W1494" s="2680"/>
      <c r="X1494" s="2680"/>
      <c r="Y1494" s="2680"/>
      <c r="Z1494" s="2680"/>
      <c r="AA1494" s="2680"/>
      <c r="AB1494" s="6697"/>
      <c r="AC1494" s="2680">
        <v>3</v>
      </c>
      <c r="AD1494" s="5853" t="s">
        <v>2476</v>
      </c>
      <c r="AE1494" s="5079">
        <v>0.3</v>
      </c>
      <c r="AF1494" s="2680">
        <f>M1492*0.3</f>
        <v>684495</v>
      </c>
      <c r="AG1494" s="2678"/>
      <c r="AH1494" s="859"/>
      <c r="AI1494" s="2678"/>
      <c r="AJ1494" s="2678"/>
      <c r="AK1494" s="2678"/>
      <c r="AL1494" s="2678">
        <v>684495</v>
      </c>
      <c r="AM1494" s="2680">
        <v>44788</v>
      </c>
      <c r="AN1494" s="2678">
        <f t="shared" si="299"/>
        <v>684495</v>
      </c>
      <c r="AO1494" s="859">
        <v>44796</v>
      </c>
      <c r="AP1494" s="859">
        <f t="shared" si="294"/>
        <v>-684495</v>
      </c>
      <c r="AQ1494" s="5331"/>
      <c r="AR1494" s="2680"/>
      <c r="AS1494" s="5079"/>
      <c r="AT1494" s="2680"/>
      <c r="AU1494" s="2680"/>
      <c r="AV1494" s="859"/>
      <c r="AW1494" s="859"/>
      <c r="AX1494" s="859"/>
      <c r="AY1494" s="857"/>
      <c r="AZ1494" s="857"/>
      <c r="BA1494" s="5796"/>
      <c r="BB1494" s="5796"/>
      <c r="BC1494" s="2678"/>
      <c r="BD1494" s="5796"/>
      <c r="BE1494" s="5796"/>
      <c r="BF1494" s="2678"/>
      <c r="BG1494" s="5796"/>
      <c r="BH1494" s="2678"/>
      <c r="BI1494" s="5796"/>
      <c r="BJ1494" s="5796"/>
      <c r="BK1494" s="5796"/>
      <c r="BL1494" s="5796"/>
      <c r="BM1494" s="5796"/>
      <c r="BN1494" s="2678"/>
      <c r="BO1494" s="3932"/>
      <c r="BP1494" s="3932"/>
      <c r="BQ1494" s="2678">
        <v>513371.25</v>
      </c>
      <c r="BR1494" s="2678"/>
      <c r="BS1494" s="2678"/>
      <c r="BT1494" s="2678">
        <v>102674.25</v>
      </c>
      <c r="BU1494" s="5796"/>
      <c r="BV1494" s="5796">
        <v>34224.75</v>
      </c>
      <c r="BW1494" s="5796"/>
      <c r="BX1494" s="5796"/>
      <c r="BY1494" s="5796"/>
      <c r="BZ1494" s="5796"/>
      <c r="CA1494" s="5796"/>
      <c r="CB1494" s="5796">
        <v>34224.75</v>
      </c>
      <c r="CC1494" s="2680"/>
      <c r="CD1494" s="2680"/>
      <c r="CE1494" s="5039"/>
      <c r="CF1494" s="5039"/>
      <c r="CG1494" s="5039"/>
      <c r="CH1494" s="5039"/>
    </row>
    <row r="1495" s="4971" customFormat="1" ht="35.85" customHeight="1" spans="1:86">
      <c r="A1495" s="5048"/>
      <c r="B1495" s="5048"/>
      <c r="C1495" s="5048"/>
      <c r="D1495" s="6690"/>
      <c r="E1495" s="6690"/>
      <c r="F1495" s="6690"/>
      <c r="G1495" s="6690" t="str">
        <f>G1494</f>
        <v>CRCCRE-SJ-CZ-2019-016</v>
      </c>
      <c r="H1495" s="6690"/>
      <c r="I1495" s="6692"/>
      <c r="J1495" s="6690"/>
      <c r="K1495" s="5048"/>
      <c r="L1495" s="5048"/>
      <c r="M1495" s="5048"/>
      <c r="N1495" s="2680"/>
      <c r="O1495" s="2680"/>
      <c r="P1495" s="2680"/>
      <c r="Q1495" s="2680"/>
      <c r="R1495" s="2680"/>
      <c r="S1495" s="2680"/>
      <c r="T1495" s="2680"/>
      <c r="U1495" s="2680"/>
      <c r="V1495" s="2680"/>
      <c r="W1495" s="2680"/>
      <c r="X1495" s="2680"/>
      <c r="Y1495" s="2680"/>
      <c r="Z1495" s="2680"/>
      <c r="AA1495" s="2680"/>
      <c r="AB1495" s="6697"/>
      <c r="AC1495" s="2680">
        <v>4</v>
      </c>
      <c r="AD1495" s="5887" t="s">
        <v>2477</v>
      </c>
      <c r="AE1495" s="5079">
        <v>0.2</v>
      </c>
      <c r="AF1495" s="2680">
        <f>M1492*0.2</f>
        <v>456330</v>
      </c>
      <c r="AG1495" s="2678"/>
      <c r="AH1495" s="859"/>
      <c r="AI1495" s="2678"/>
      <c r="AJ1495" s="2678"/>
      <c r="AK1495" s="2678"/>
      <c r="AL1495" s="2678">
        <v>456330</v>
      </c>
      <c r="AM1495" s="2678">
        <v>44909</v>
      </c>
      <c r="AN1495" s="2678">
        <f t="shared" si="299"/>
        <v>456330</v>
      </c>
      <c r="AO1495" s="2678">
        <v>44923</v>
      </c>
      <c r="AP1495" s="859">
        <f t="shared" si="294"/>
        <v>-456330</v>
      </c>
      <c r="AQ1495" s="5331"/>
      <c r="AR1495" s="2680"/>
      <c r="AS1495" s="5079"/>
      <c r="AT1495" s="2680"/>
      <c r="AU1495" s="2680"/>
      <c r="AV1495" s="859"/>
      <c r="AW1495" s="859"/>
      <c r="AX1495" s="859"/>
      <c r="AY1495" s="857"/>
      <c r="AZ1495" s="857"/>
      <c r="BA1495" s="5796"/>
      <c r="BB1495" s="5796"/>
      <c r="BC1495" s="2678"/>
      <c r="BD1495" s="5796"/>
      <c r="BE1495" s="5796"/>
      <c r="BF1495" s="2678"/>
      <c r="BG1495" s="5796"/>
      <c r="BH1495" s="2678"/>
      <c r="BI1495" s="5796"/>
      <c r="BJ1495" s="5796"/>
      <c r="BK1495" s="5796"/>
      <c r="BL1495" s="5796"/>
      <c r="BM1495" s="5796"/>
      <c r="BN1495" s="2678"/>
      <c r="BO1495" s="2678"/>
      <c r="BP1495" s="2678"/>
      <c r="BQ1495" s="2678">
        <v>182532</v>
      </c>
      <c r="BR1495" s="2678"/>
      <c r="BS1495" s="2678"/>
      <c r="BT1495" s="2678">
        <v>228165</v>
      </c>
      <c r="BU1495" s="5796"/>
      <c r="BV1495" s="5796">
        <v>22816.5</v>
      </c>
      <c r="BW1495" s="5796"/>
      <c r="BX1495" s="5796"/>
      <c r="BY1495" s="5796"/>
      <c r="BZ1495" s="5796"/>
      <c r="CA1495" s="5796"/>
      <c r="CB1495" s="5796">
        <v>22816.5</v>
      </c>
      <c r="CC1495" s="2680"/>
      <c r="CD1495" s="2680"/>
      <c r="CE1495" s="5039"/>
      <c r="CF1495" s="5039"/>
      <c r="CG1495" s="5039"/>
      <c r="CH1495" s="5039"/>
    </row>
    <row r="1496" s="4971" customFormat="1" ht="26.65" customHeight="1" spans="1:86">
      <c r="A1496" s="5048"/>
      <c r="B1496" s="5048"/>
      <c r="C1496" s="5048"/>
      <c r="D1496" s="6690"/>
      <c r="E1496" s="6690"/>
      <c r="F1496" s="6690"/>
      <c r="G1496" s="6690" t="str">
        <f>G1495</f>
        <v>CRCCRE-SJ-CZ-2019-016</v>
      </c>
      <c r="H1496" s="6690"/>
      <c r="I1496" s="6692"/>
      <c r="J1496" s="6690"/>
      <c r="K1496" s="5048"/>
      <c r="L1496" s="5048"/>
      <c r="M1496" s="5048"/>
      <c r="N1496" s="2680"/>
      <c r="O1496" s="2680"/>
      <c r="P1496" s="2680"/>
      <c r="Q1496" s="2680"/>
      <c r="R1496" s="2680"/>
      <c r="S1496" s="2680"/>
      <c r="T1496" s="2680"/>
      <c r="U1496" s="2680"/>
      <c r="V1496" s="2680"/>
      <c r="W1496" s="2680"/>
      <c r="X1496" s="2680"/>
      <c r="Y1496" s="2680"/>
      <c r="Z1496" s="2680"/>
      <c r="AA1496" s="2680"/>
      <c r="AB1496" s="6697"/>
      <c r="AC1496" s="2680">
        <v>5</v>
      </c>
      <c r="AD1496" s="5887" t="s">
        <v>2478</v>
      </c>
      <c r="AE1496" s="5079">
        <v>0.25</v>
      </c>
      <c r="AF1496" s="2680">
        <f>M1492*0.25</f>
        <v>570412.5</v>
      </c>
      <c r="AG1496" s="2678">
        <f t="shared" si="298"/>
        <v>396339.25</v>
      </c>
      <c r="AH1496" s="859" t="s">
        <v>122</v>
      </c>
      <c r="AI1496" s="2678">
        <v>45981</v>
      </c>
      <c r="AJ1496" s="3932"/>
      <c r="AK1496" s="3932"/>
      <c r="AL1496" s="2678">
        <v>396339.25</v>
      </c>
      <c r="AM1496" s="2678">
        <v>45982</v>
      </c>
      <c r="AN1496" s="3932">
        <f t="shared" si="299"/>
        <v>396339.25</v>
      </c>
      <c r="AO1496" s="3932">
        <v>46001</v>
      </c>
      <c r="AP1496" s="859">
        <f t="shared" si="294"/>
        <v>0</v>
      </c>
      <c r="AQ1496" s="5331"/>
      <c r="AR1496" s="2680"/>
      <c r="AS1496" s="5079"/>
      <c r="AT1496" s="2680"/>
      <c r="AU1496" s="2680"/>
      <c r="AV1496" s="859"/>
      <c r="AW1496" s="859"/>
      <c r="AX1496" s="859"/>
      <c r="AY1496" s="857"/>
      <c r="AZ1496" s="857"/>
      <c r="BA1496" s="5860"/>
      <c r="BB1496" s="5860"/>
      <c r="BC1496" s="3932">
        <v>60608.91</v>
      </c>
      <c r="BD1496" s="5860"/>
      <c r="BE1496" s="5860"/>
      <c r="BF1496" s="5860">
        <f>267296.81+7764.25</f>
        <v>275061.06</v>
      </c>
      <c r="BG1496" s="5860"/>
      <c r="BH1496" s="3932">
        <v>58851.42</v>
      </c>
      <c r="BI1496" s="5860"/>
      <c r="BJ1496" s="5860"/>
      <c r="BK1496" s="5860"/>
      <c r="BL1496" s="5860"/>
      <c r="BM1496" s="5860"/>
      <c r="BN1496" s="5860">
        <v>1817.86</v>
      </c>
      <c r="BO1496" s="2680"/>
      <c r="BP1496" s="2680"/>
      <c r="BQ1496" s="3932">
        <f>60608.91+179309.8+7116.54</f>
        <v>247035.25</v>
      </c>
      <c r="BR1496" s="3932"/>
      <c r="BS1496" s="3932"/>
      <c r="BT1496" s="3932">
        <f>267296.81+7764.25-179309.8</f>
        <v>95751.26</v>
      </c>
      <c r="BU1496" s="5331"/>
      <c r="BV1496" s="6720">
        <f>58851.42-7116.54</f>
        <v>51734.88</v>
      </c>
      <c r="BW1496" s="5860"/>
      <c r="BX1496" s="5860"/>
      <c r="BY1496" s="5860"/>
      <c r="BZ1496" s="5860"/>
      <c r="CA1496" s="5860"/>
      <c r="CB1496" s="5860">
        <v>1817.86</v>
      </c>
      <c r="CC1496" s="2680"/>
      <c r="CD1496" s="2680"/>
      <c r="CE1496" s="5039"/>
      <c r="CF1496" s="5039"/>
      <c r="CG1496" s="5039"/>
      <c r="CH1496" s="5039"/>
    </row>
    <row r="1497" s="4971" customFormat="1" ht="25.85" customHeight="1" spans="1:86">
      <c r="A1497" s="5048"/>
      <c r="B1497" s="5048"/>
      <c r="C1497" s="5048"/>
      <c r="D1497" s="6690"/>
      <c r="E1497" s="6690"/>
      <c r="F1497" s="6690"/>
      <c r="G1497" s="6690" t="str">
        <f>G1496</f>
        <v>CRCCRE-SJ-CZ-2019-016</v>
      </c>
      <c r="H1497" s="6690"/>
      <c r="I1497" s="6693"/>
      <c r="J1497" s="6690"/>
      <c r="K1497" s="5048"/>
      <c r="L1497" s="5048"/>
      <c r="M1497" s="5048"/>
      <c r="N1497" s="2680"/>
      <c r="O1497" s="2680"/>
      <c r="P1497" s="2680"/>
      <c r="Q1497" s="2680"/>
      <c r="R1497" s="2680"/>
      <c r="S1497" s="2680"/>
      <c r="T1497" s="2680"/>
      <c r="U1497" s="2680"/>
      <c r="V1497" s="2680"/>
      <c r="W1497" s="2680"/>
      <c r="X1497" s="2680"/>
      <c r="Y1497" s="2680"/>
      <c r="Z1497" s="2680"/>
      <c r="AA1497" s="2680"/>
      <c r="AB1497" s="6697"/>
      <c r="AC1497" s="2680">
        <v>6</v>
      </c>
      <c r="AD1497" s="5887" t="s">
        <v>2479</v>
      </c>
      <c r="AE1497" s="5079">
        <v>0.05</v>
      </c>
      <c r="AF1497" s="2680">
        <f>M1492*0.05</f>
        <v>114082.5</v>
      </c>
      <c r="AG1497" s="3912">
        <f t="shared" si="298"/>
        <v>0</v>
      </c>
      <c r="AH1497" s="2678"/>
      <c r="AI1497" s="2678"/>
      <c r="AJ1497" s="2678"/>
      <c r="AK1497" s="2678"/>
      <c r="AL1497" s="2678"/>
      <c r="AM1497" s="2678"/>
      <c r="AN1497" s="2678">
        <f t="shared" si="299"/>
        <v>0</v>
      </c>
      <c r="AO1497" s="2680"/>
      <c r="AP1497" s="859">
        <f t="shared" si="294"/>
        <v>0</v>
      </c>
      <c r="AQ1497" s="5331"/>
      <c r="AR1497" s="2680"/>
      <c r="AS1497" s="5079"/>
      <c r="AT1497" s="2680"/>
      <c r="AU1497" s="2680"/>
      <c r="AV1497" s="859"/>
      <c r="AW1497" s="859"/>
      <c r="AX1497" s="859"/>
      <c r="AY1497" s="857"/>
      <c r="AZ1497" s="857"/>
      <c r="BA1497" s="5331"/>
      <c r="BB1497" s="5331"/>
      <c r="BC1497" s="2680"/>
      <c r="BD1497" s="5331"/>
      <c r="BE1497" s="5331"/>
      <c r="BF1497" s="2680"/>
      <c r="BG1497" s="5331"/>
      <c r="BH1497" s="2680"/>
      <c r="BI1497" s="5331"/>
      <c r="BJ1497" s="5331"/>
      <c r="BK1497" s="5331"/>
      <c r="BL1497" s="5331"/>
      <c r="BM1497" s="5331"/>
      <c r="BN1497" s="5331"/>
      <c r="BO1497" s="5331"/>
      <c r="BP1497" s="5331"/>
      <c r="BQ1497" s="5331"/>
      <c r="BR1497" s="5331"/>
      <c r="BS1497" s="5331"/>
      <c r="BT1497" s="5331"/>
      <c r="BU1497" s="5331"/>
      <c r="BV1497" s="5331"/>
      <c r="BW1497" s="5331"/>
      <c r="BX1497" s="5331"/>
      <c r="BY1497" s="5331"/>
      <c r="BZ1497" s="5331"/>
      <c r="CA1497" s="5331"/>
      <c r="CB1497" s="5331"/>
      <c r="CC1497" s="2680"/>
      <c r="CD1497" s="2680"/>
      <c r="CE1497" s="5039"/>
      <c r="CF1497" s="5039"/>
      <c r="CG1497" s="5039"/>
      <c r="CH1497" s="5039"/>
    </row>
    <row r="1498" s="4971" customFormat="1" ht="25.85" customHeight="1" spans="1:86">
      <c r="A1498" s="5048"/>
      <c r="B1498" s="6691" t="s">
        <v>2466</v>
      </c>
      <c r="C1498" s="5349">
        <v>44923</v>
      </c>
      <c r="D1498" s="5712" t="s">
        <v>2467</v>
      </c>
      <c r="E1498" s="5713"/>
      <c r="F1498" s="5712" t="s">
        <v>2480</v>
      </c>
      <c r="G1498" s="5712" t="s">
        <v>2481</v>
      </c>
      <c r="H1498" s="5712" t="s">
        <v>116</v>
      </c>
      <c r="I1498" s="5049" t="s">
        <v>2482</v>
      </c>
      <c r="J1498" s="5712" t="s">
        <v>2473</v>
      </c>
      <c r="K1498" s="6691" t="s">
        <v>171</v>
      </c>
      <c r="L1498" s="6691" t="s">
        <v>171</v>
      </c>
      <c r="M1498" s="5349">
        <v>1612328.5</v>
      </c>
      <c r="N1498" s="2680"/>
      <c r="O1498" s="2680"/>
      <c r="P1498" s="2680">
        <v>1092866.84</v>
      </c>
      <c r="Q1498" s="2680"/>
      <c r="R1498" s="2680"/>
      <c r="S1498" s="2680">
        <v>441263.73</v>
      </c>
      <c r="T1498" s="2680"/>
      <c r="U1498" s="2680">
        <v>78197.93</v>
      </c>
      <c r="V1498" s="2680"/>
      <c r="W1498" s="2680"/>
      <c r="X1498" s="2680"/>
      <c r="Y1498" s="2680"/>
      <c r="Z1498" s="2680"/>
      <c r="AA1498" s="2680"/>
      <c r="AB1498" s="2680"/>
      <c r="AC1498" s="2678">
        <v>1</v>
      </c>
      <c r="AD1498" s="5890" t="s">
        <v>2483</v>
      </c>
      <c r="AE1498" s="5667">
        <v>0.5</v>
      </c>
      <c r="AF1498" s="6698">
        <f>1612328.5*AE1498</f>
        <v>806164.25</v>
      </c>
      <c r="AG1498" s="2680">
        <v>1612328.5</v>
      </c>
      <c r="AH1498" s="6707" t="s">
        <v>122</v>
      </c>
      <c r="AI1498" s="2678">
        <v>44921</v>
      </c>
      <c r="AJ1498" s="2678"/>
      <c r="AK1498" s="2678"/>
      <c r="AL1498" s="2678">
        <f>SUBTOTAL(9,BQ1498:CB1498)</f>
        <v>806164.245</v>
      </c>
      <c r="AM1498" s="2678">
        <v>45028</v>
      </c>
      <c r="AN1498" s="2678">
        <f>SUBTOTAL(9,BO1498:CB1498)</f>
        <v>806164.245</v>
      </c>
      <c r="AO1498" s="2678">
        <v>45076</v>
      </c>
      <c r="AP1498" s="859"/>
      <c r="AQ1498" s="5331"/>
      <c r="AR1498" s="2680"/>
      <c r="AS1498" s="5079"/>
      <c r="AT1498" s="2680"/>
      <c r="AU1498" s="2680"/>
      <c r="AV1498" s="859"/>
      <c r="AW1498" s="859"/>
      <c r="AX1498" s="859"/>
      <c r="AY1498" s="857"/>
      <c r="AZ1498" s="857"/>
      <c r="BA1498" s="5796"/>
      <c r="BB1498" s="5796"/>
      <c r="BC1498" s="2678">
        <v>1092866.84</v>
      </c>
      <c r="BD1498" s="5796"/>
      <c r="BE1498" s="5796"/>
      <c r="BF1498" s="2678">
        <v>441263.73</v>
      </c>
      <c r="BG1498" s="5796"/>
      <c r="BH1498" s="2678">
        <v>78197.93</v>
      </c>
      <c r="BI1498" s="5796"/>
      <c r="BJ1498" s="5796"/>
      <c r="BK1498" s="5796"/>
      <c r="BL1498" s="5796"/>
      <c r="BM1498" s="5796"/>
      <c r="BN1498" s="5796"/>
      <c r="BO1498" s="5331"/>
      <c r="BP1498" s="5331"/>
      <c r="BQ1498" s="2678">
        <f>1092866.84*0.5</f>
        <v>546433.42</v>
      </c>
      <c r="BR1498" s="2678"/>
      <c r="BS1498" s="5796"/>
      <c r="BT1498" s="2678">
        <v>220631.86</v>
      </c>
      <c r="BU1498" s="2678"/>
      <c r="BV1498" s="859">
        <f>78197.93*0.5</f>
        <v>39098.965</v>
      </c>
      <c r="BW1498" s="2678"/>
      <c r="BX1498" s="5331"/>
      <c r="BY1498" s="5331"/>
      <c r="BZ1498" s="5331"/>
      <c r="CA1498" s="5331"/>
      <c r="CB1498" s="5331"/>
      <c r="CC1498" s="2680"/>
      <c r="CD1498" s="2680"/>
      <c r="CE1498" s="5039"/>
      <c r="CF1498" s="5039"/>
      <c r="CG1498" s="5039"/>
      <c r="CH1498" s="5039"/>
    </row>
    <row r="1499" s="4971" customFormat="1" ht="25.85" customHeight="1" spans="1:86">
      <c r="A1499" s="5048"/>
      <c r="B1499" s="5349"/>
      <c r="C1499" s="5349"/>
      <c r="D1499" s="5713"/>
      <c r="E1499" s="5713"/>
      <c r="F1499" s="5713"/>
      <c r="G1499" s="5713"/>
      <c r="H1499" s="5712"/>
      <c r="I1499" s="6694"/>
      <c r="J1499" s="5713"/>
      <c r="K1499" s="5349"/>
      <c r="L1499" s="5349"/>
      <c r="M1499" s="5349"/>
      <c r="N1499" s="2680"/>
      <c r="O1499" s="2680"/>
      <c r="P1499" s="2680"/>
      <c r="Q1499" s="2680"/>
      <c r="R1499" s="2680"/>
      <c r="S1499" s="2680"/>
      <c r="T1499" s="2680"/>
      <c r="U1499" s="2680"/>
      <c r="V1499" s="2680"/>
      <c r="W1499" s="2680"/>
      <c r="X1499" s="2680"/>
      <c r="Y1499" s="2680"/>
      <c r="Z1499" s="2680"/>
      <c r="AA1499" s="2680"/>
      <c r="AB1499" s="2680"/>
      <c r="AC1499" s="2678">
        <v>2</v>
      </c>
      <c r="AD1499" s="5890" t="s">
        <v>2484</v>
      </c>
      <c r="AE1499" s="5667">
        <v>0.3</v>
      </c>
      <c r="AF1499" s="6698">
        <f>1612328.5*AE1499</f>
        <v>483698.55</v>
      </c>
      <c r="AG1499" s="3914">
        <f>SUBTOTAL(9,BA1499:BN1499)</f>
        <v>-806164.25</v>
      </c>
      <c r="AH1499" s="859" t="s">
        <v>122</v>
      </c>
      <c r="AI1499" s="2678">
        <v>45981</v>
      </c>
      <c r="AJ1499" s="2678"/>
      <c r="AK1499" s="2678"/>
      <c r="AL1499" s="2678"/>
      <c r="AM1499" s="2678"/>
      <c r="AN1499" s="3932">
        <f>SUBTOTAL(9,BO1499:CB1499)</f>
        <v>0</v>
      </c>
      <c r="AO1499" s="3932"/>
      <c r="AP1499" s="859"/>
      <c r="AQ1499" s="5331"/>
      <c r="AR1499" s="2680"/>
      <c r="AS1499" s="5079"/>
      <c r="AT1499" s="2680"/>
      <c r="AU1499" s="2680"/>
      <c r="AV1499" s="859"/>
      <c r="AW1499" s="859"/>
      <c r="AX1499" s="859"/>
      <c r="AY1499" s="857"/>
      <c r="AZ1499" s="857"/>
      <c r="BA1499" s="5796"/>
      <c r="BB1499" s="5796"/>
      <c r="BC1499" s="3932">
        <v>-360007.08</v>
      </c>
      <c r="BD1499" s="5860"/>
      <c r="BE1499" s="5860"/>
      <c r="BF1499" s="3932">
        <f>-392177.42-7764.25</f>
        <v>-399941.67</v>
      </c>
      <c r="BG1499" s="5860"/>
      <c r="BH1499" s="3932">
        <v>-46215.5</v>
      </c>
      <c r="BI1499" s="5796"/>
      <c r="BJ1499" s="5796"/>
      <c r="BK1499" s="5796"/>
      <c r="BL1499" s="5796"/>
      <c r="BM1499" s="5796"/>
      <c r="BN1499" s="5796"/>
      <c r="BO1499" s="5331"/>
      <c r="BP1499" s="5331"/>
      <c r="BQ1499" s="3932"/>
      <c r="BR1499" s="5860"/>
      <c r="BS1499" s="5860"/>
      <c r="BT1499" s="3932"/>
      <c r="BU1499" s="5860"/>
      <c r="BV1499" s="3932"/>
      <c r="BW1499" s="5331"/>
      <c r="BX1499" s="5331"/>
      <c r="BY1499" s="5331"/>
      <c r="BZ1499" s="5331"/>
      <c r="CA1499" s="5331"/>
      <c r="CB1499" s="5331"/>
      <c r="CC1499" s="2680"/>
      <c r="CD1499" s="2680"/>
      <c r="CE1499" s="5039"/>
      <c r="CF1499" s="5039"/>
      <c r="CG1499" s="5039"/>
      <c r="CH1499" s="5039"/>
    </row>
    <row r="1500" s="4971" customFormat="1" ht="25.85" customHeight="1" spans="1:86">
      <c r="A1500" s="5048"/>
      <c r="B1500" s="5349"/>
      <c r="C1500" s="5349"/>
      <c r="D1500" s="5713"/>
      <c r="E1500" s="5713"/>
      <c r="F1500" s="5713"/>
      <c r="G1500" s="5713"/>
      <c r="H1500" s="5712"/>
      <c r="I1500" s="6695"/>
      <c r="J1500" s="5713"/>
      <c r="K1500" s="5349"/>
      <c r="L1500" s="5349"/>
      <c r="M1500" s="5349"/>
      <c r="N1500" s="2680"/>
      <c r="O1500" s="2680"/>
      <c r="P1500" s="2680"/>
      <c r="Q1500" s="2680"/>
      <c r="R1500" s="2680"/>
      <c r="S1500" s="2680"/>
      <c r="T1500" s="2680"/>
      <c r="U1500" s="2680"/>
      <c r="V1500" s="2680"/>
      <c r="W1500" s="2680"/>
      <c r="X1500" s="2680"/>
      <c r="Y1500" s="2680"/>
      <c r="Z1500" s="2680"/>
      <c r="AA1500" s="2680"/>
      <c r="AB1500" s="2680"/>
      <c r="AC1500" s="2678">
        <v>3</v>
      </c>
      <c r="AD1500" s="5890" t="s">
        <v>2485</v>
      </c>
      <c r="AE1500" s="5667">
        <v>0.2</v>
      </c>
      <c r="AF1500" s="2678">
        <f>1612328.5*AE1500</f>
        <v>322465.7</v>
      </c>
      <c r="AG1500" s="3914"/>
      <c r="AH1500" s="6707"/>
      <c r="AI1500" s="2678"/>
      <c r="AJ1500" s="2678"/>
      <c r="AK1500" s="2678"/>
      <c r="AL1500" s="2678"/>
      <c r="AM1500" s="2678"/>
      <c r="AN1500" s="3932">
        <f>SUBTOTAL(9,BO1500:CB1500)</f>
        <v>0</v>
      </c>
      <c r="AO1500" s="3932"/>
      <c r="AP1500" s="859"/>
      <c r="AQ1500" s="5331"/>
      <c r="AR1500" s="2680"/>
      <c r="AS1500" s="5079"/>
      <c r="AT1500" s="2680"/>
      <c r="AU1500" s="2680"/>
      <c r="AV1500" s="859"/>
      <c r="AW1500" s="859"/>
      <c r="AX1500" s="859"/>
      <c r="AY1500" s="857"/>
      <c r="AZ1500" s="857"/>
      <c r="BA1500" s="5796"/>
      <c r="BB1500" s="5796"/>
      <c r="BC1500" s="2678"/>
      <c r="BD1500" s="5796"/>
      <c r="BE1500" s="5796"/>
      <c r="BF1500" s="2678"/>
      <c r="BG1500" s="5796"/>
      <c r="BH1500" s="2678"/>
      <c r="BI1500" s="5796"/>
      <c r="BJ1500" s="5796"/>
      <c r="BK1500" s="5796"/>
      <c r="BL1500" s="5796"/>
      <c r="BM1500" s="5796"/>
      <c r="BN1500" s="5796"/>
      <c r="BO1500" s="5331"/>
      <c r="BP1500" s="5331"/>
      <c r="BQ1500" s="3932"/>
      <c r="BR1500" s="5860"/>
      <c r="BS1500" s="5860"/>
      <c r="BT1500" s="3932"/>
      <c r="BU1500" s="5860"/>
      <c r="BV1500" s="3932"/>
      <c r="BW1500" s="5331"/>
      <c r="BX1500" s="5331"/>
      <c r="BY1500" s="5331"/>
      <c r="BZ1500" s="5331"/>
      <c r="CA1500" s="5331"/>
      <c r="CB1500" s="5331"/>
      <c r="CC1500" s="2680"/>
      <c r="CD1500" s="2680"/>
      <c r="CE1500" s="5039"/>
      <c r="CF1500" s="5039"/>
      <c r="CG1500" s="5039"/>
      <c r="CH1500" s="5039"/>
    </row>
    <row r="1501" s="4971" customFormat="1" ht="31" spans="1:86">
      <c r="A1501" s="5048">
        <v>2</v>
      </c>
      <c r="B1501" s="5048" t="s">
        <v>2466</v>
      </c>
      <c r="C1501" s="5048">
        <v>43642</v>
      </c>
      <c r="D1501" s="5712" t="s">
        <v>2486</v>
      </c>
      <c r="E1501" s="5048" t="s">
        <v>113</v>
      </c>
      <c r="F1501" s="6690" t="s">
        <v>2487</v>
      </c>
      <c r="G1501" s="6690" t="s">
        <v>2488</v>
      </c>
      <c r="H1501" s="6690" t="s">
        <v>2489</v>
      </c>
      <c r="I1501" s="6690"/>
      <c r="J1501" s="6690" t="s">
        <v>2490</v>
      </c>
      <c r="K1501" s="5048" t="s">
        <v>171</v>
      </c>
      <c r="L1501" s="6690" t="s">
        <v>2491</v>
      </c>
      <c r="M1501" s="5048">
        <f>SUM(N1501:AA1504)</f>
        <v>1490000</v>
      </c>
      <c r="N1501" s="2680">
        <v>0</v>
      </c>
      <c r="O1501" s="5048">
        <v>1490000</v>
      </c>
      <c r="P1501" s="2680"/>
      <c r="Q1501" s="2680">
        <v>0</v>
      </c>
      <c r="R1501" s="2680">
        <v>0</v>
      </c>
      <c r="S1501" s="2680">
        <v>0</v>
      </c>
      <c r="T1501" s="2680"/>
      <c r="U1501" s="2680">
        <v>0</v>
      </c>
      <c r="V1501" s="2680">
        <v>0</v>
      </c>
      <c r="W1501" s="2680">
        <v>0</v>
      </c>
      <c r="X1501" s="2680"/>
      <c r="Y1501" s="2680"/>
      <c r="Z1501" s="2680"/>
      <c r="AA1501" s="2680">
        <v>0</v>
      </c>
      <c r="AB1501" s="5079" t="s">
        <v>2492</v>
      </c>
      <c r="AC1501" s="2680">
        <v>1</v>
      </c>
      <c r="AD1501" s="6699" t="s">
        <v>2493</v>
      </c>
      <c r="AE1501" s="791">
        <v>0.5</v>
      </c>
      <c r="AF1501" s="2680">
        <f>1490000*AE1501</f>
        <v>745000</v>
      </c>
      <c r="AG1501" s="2680">
        <f t="shared" ref="AG1501:AG1508" si="300">SUM(BA1501:BN1501)</f>
        <v>745000</v>
      </c>
      <c r="AH1501" s="2680" t="s">
        <v>206</v>
      </c>
      <c r="AI1501" s="2680">
        <v>43650</v>
      </c>
      <c r="AJ1501" s="2680" t="s">
        <v>171</v>
      </c>
      <c r="AK1501" s="2680" t="s">
        <v>171</v>
      </c>
      <c r="AL1501" s="2680">
        <v>745000</v>
      </c>
      <c r="AM1501" s="2680">
        <v>43650</v>
      </c>
      <c r="AN1501" s="2680">
        <f t="shared" ref="AN1501:AN1508" si="301">SUM(BO1501:CB1501)</f>
        <v>745000</v>
      </c>
      <c r="AO1501" s="2680">
        <v>43669</v>
      </c>
      <c r="AP1501" s="859">
        <f t="shared" ref="AP1501:AP1513" si="302">AG1501-AN1501</f>
        <v>0</v>
      </c>
      <c r="AQ1501" s="5331"/>
      <c r="AR1501" s="859" t="s">
        <v>128</v>
      </c>
      <c r="AS1501" s="5079" t="s">
        <v>171</v>
      </c>
      <c r="AT1501" s="2680" t="s">
        <v>171</v>
      </c>
      <c r="AU1501" s="2680">
        <f>SUM(AG1501:AG1504)</f>
        <v>1490000</v>
      </c>
      <c r="AV1501" s="2680">
        <f>SUM(AL1501:AL1504)</f>
        <v>1490000</v>
      </c>
      <c r="AW1501" s="2680">
        <f>SUM(AN1501:AN1504)</f>
        <v>1490000</v>
      </c>
      <c r="AX1501" s="2680">
        <f>M1501-AU1501</f>
        <v>0</v>
      </c>
      <c r="AY1501" s="2680">
        <f>AU1501-AV1501</f>
        <v>0</v>
      </c>
      <c r="AZ1501" s="2680">
        <f>AV1501-AW1501</f>
        <v>0</v>
      </c>
      <c r="BA1501" s="5796"/>
      <c r="BB1501" s="5796">
        <v>745000</v>
      </c>
      <c r="BC1501" s="2678"/>
      <c r="BD1501" s="5796"/>
      <c r="BE1501" s="5796"/>
      <c r="BF1501" s="5796"/>
      <c r="BG1501" s="5796"/>
      <c r="BH1501" s="2678"/>
      <c r="BI1501" s="5796"/>
      <c r="BJ1501" s="5796"/>
      <c r="BK1501" s="5796"/>
      <c r="BL1501" s="5796"/>
      <c r="BM1501" s="5796"/>
      <c r="BN1501" s="5796"/>
      <c r="BO1501" s="5331"/>
      <c r="BP1501" s="5331">
        <v>745000</v>
      </c>
      <c r="BQ1501" s="5331"/>
      <c r="BR1501" s="5331"/>
      <c r="BS1501" s="5331"/>
      <c r="BT1501" s="5331"/>
      <c r="BU1501" s="5331"/>
      <c r="BV1501" s="5331"/>
      <c r="BW1501" s="5331"/>
      <c r="BX1501" s="5331"/>
      <c r="BY1501" s="5331"/>
      <c r="BZ1501" s="5331"/>
      <c r="CA1501" s="5331"/>
      <c r="CB1501" s="5331"/>
      <c r="CC1501" s="2680"/>
      <c r="CD1501" s="2680"/>
      <c r="CE1501" s="5039"/>
      <c r="CF1501" s="5039"/>
      <c r="CG1501" s="5039"/>
      <c r="CH1501" s="5039"/>
    </row>
    <row r="1502" s="4971" customFormat="1" ht="31" spans="1:86">
      <c r="A1502" s="5048"/>
      <c r="B1502" s="5048"/>
      <c r="C1502" s="5048"/>
      <c r="D1502" s="6690"/>
      <c r="E1502" s="5048"/>
      <c r="F1502" s="6690"/>
      <c r="G1502" s="6690"/>
      <c r="H1502" s="6690"/>
      <c r="I1502" s="6690"/>
      <c r="J1502" s="6690"/>
      <c r="K1502" s="5048"/>
      <c r="L1502" s="5048"/>
      <c r="M1502" s="5048"/>
      <c r="N1502" s="2680"/>
      <c r="O1502" s="5048"/>
      <c r="P1502" s="2680"/>
      <c r="Q1502" s="2680"/>
      <c r="R1502" s="2680"/>
      <c r="S1502" s="2680"/>
      <c r="T1502" s="2680"/>
      <c r="U1502" s="2680"/>
      <c r="V1502" s="2680"/>
      <c r="W1502" s="2680"/>
      <c r="X1502" s="2680"/>
      <c r="Y1502" s="2680"/>
      <c r="Z1502" s="2680"/>
      <c r="AA1502" s="2680"/>
      <c r="AB1502" s="5079"/>
      <c r="AC1502" s="2680">
        <v>2</v>
      </c>
      <c r="AD1502" s="6699" t="s">
        <v>2494</v>
      </c>
      <c r="AE1502" s="791">
        <v>0.4</v>
      </c>
      <c r="AF1502" s="2680">
        <f>1490000*AE1502</f>
        <v>596000</v>
      </c>
      <c r="AG1502" s="2680">
        <f t="shared" si="300"/>
        <v>596000</v>
      </c>
      <c r="AH1502" s="2680" t="s">
        <v>206</v>
      </c>
      <c r="AI1502" s="2680">
        <v>43657</v>
      </c>
      <c r="AJ1502" s="2680" t="s">
        <v>171</v>
      </c>
      <c r="AK1502" s="2680" t="s">
        <v>171</v>
      </c>
      <c r="AL1502" s="2680">
        <v>596000</v>
      </c>
      <c r="AM1502" s="2680">
        <v>43657</v>
      </c>
      <c r="AN1502" s="2680">
        <f t="shared" si="301"/>
        <v>596000</v>
      </c>
      <c r="AO1502" s="2680">
        <v>43823</v>
      </c>
      <c r="AP1502" s="859">
        <f t="shared" si="302"/>
        <v>0</v>
      </c>
      <c r="AQ1502" s="5331" t="s">
        <v>2495</v>
      </c>
      <c r="AR1502" s="2680"/>
      <c r="AS1502" s="5079" t="s">
        <v>171</v>
      </c>
      <c r="AT1502" s="2680" t="s">
        <v>171</v>
      </c>
      <c r="AU1502" s="2680"/>
      <c r="AV1502" s="2680"/>
      <c r="AW1502" s="2680"/>
      <c r="AX1502" s="2680"/>
      <c r="AY1502" s="2680"/>
      <c r="AZ1502" s="2680"/>
      <c r="BA1502" s="5796"/>
      <c r="BB1502" s="5796">
        <v>596000</v>
      </c>
      <c r="BC1502" s="2678"/>
      <c r="BD1502" s="5796"/>
      <c r="BE1502" s="5796"/>
      <c r="BF1502" s="5796"/>
      <c r="BG1502" s="5796"/>
      <c r="BH1502" s="2678"/>
      <c r="BI1502" s="5796"/>
      <c r="BJ1502" s="5796"/>
      <c r="BK1502" s="5796"/>
      <c r="BL1502" s="5796"/>
      <c r="BM1502" s="5796"/>
      <c r="BN1502" s="5796"/>
      <c r="BO1502" s="5331"/>
      <c r="BP1502" s="5331">
        <v>596000</v>
      </c>
      <c r="BQ1502" s="5331"/>
      <c r="BR1502" s="5331"/>
      <c r="BS1502" s="5331"/>
      <c r="BT1502" s="5331"/>
      <c r="BU1502" s="5331"/>
      <c r="BV1502" s="5331"/>
      <c r="BW1502" s="5331"/>
      <c r="BX1502" s="5331"/>
      <c r="BY1502" s="5331"/>
      <c r="BZ1502" s="5331"/>
      <c r="CA1502" s="5331"/>
      <c r="CB1502" s="5331"/>
      <c r="CC1502" s="2680"/>
      <c r="CD1502" s="2680"/>
      <c r="CE1502" s="5039"/>
      <c r="CF1502" s="5039"/>
      <c r="CG1502" s="5039"/>
      <c r="CH1502" s="5039"/>
    </row>
    <row r="1503" s="4971" customFormat="1" ht="46" spans="1:86">
      <c r="A1503" s="5048"/>
      <c r="B1503" s="5048"/>
      <c r="C1503" s="5048"/>
      <c r="D1503" s="6690"/>
      <c r="E1503" s="5048"/>
      <c r="F1503" s="6690"/>
      <c r="G1503" s="6690"/>
      <c r="H1503" s="6690"/>
      <c r="I1503" s="6690"/>
      <c r="J1503" s="6690"/>
      <c r="K1503" s="5048"/>
      <c r="L1503" s="5048"/>
      <c r="M1503" s="5048"/>
      <c r="N1503" s="2680"/>
      <c r="O1503" s="5048"/>
      <c r="P1503" s="2680"/>
      <c r="Q1503" s="2680"/>
      <c r="R1503" s="2680"/>
      <c r="S1503" s="2680"/>
      <c r="T1503" s="2680"/>
      <c r="U1503" s="2680"/>
      <c r="V1503" s="2680"/>
      <c r="W1503" s="2680"/>
      <c r="X1503" s="2680"/>
      <c r="Y1503" s="2680"/>
      <c r="Z1503" s="2680"/>
      <c r="AA1503" s="2680"/>
      <c r="AB1503" s="5079"/>
      <c r="AC1503" s="3524">
        <v>3</v>
      </c>
      <c r="AD1503" s="6700" t="s">
        <v>2496</v>
      </c>
      <c r="AE1503" s="1095">
        <v>0.07</v>
      </c>
      <c r="AF1503" s="2680">
        <f>1490000*AE1503</f>
        <v>104300</v>
      </c>
      <c r="AG1503" s="2678">
        <f t="shared" si="300"/>
        <v>104300</v>
      </c>
      <c r="AH1503" s="2680" t="s">
        <v>206</v>
      </c>
      <c r="AI1503" s="3812">
        <v>44048</v>
      </c>
      <c r="AJ1503" s="2680"/>
      <c r="AK1503" s="2680"/>
      <c r="AL1503" s="2678">
        <f>SUM(BF1503:BS1503)</f>
        <v>104300</v>
      </c>
      <c r="AM1503" s="3812">
        <v>44048</v>
      </c>
      <c r="AN1503" s="2678">
        <f t="shared" si="301"/>
        <v>104300</v>
      </c>
      <c r="AO1503" s="3812">
        <v>44153</v>
      </c>
      <c r="AP1503" s="2678">
        <f t="shared" si="302"/>
        <v>0</v>
      </c>
      <c r="AQ1503" s="5887" t="s">
        <v>2497</v>
      </c>
      <c r="AR1503" s="2680"/>
      <c r="AS1503" s="5079" t="s">
        <v>2498</v>
      </c>
      <c r="AT1503" s="2680">
        <v>43824</v>
      </c>
      <c r="AU1503" s="2680"/>
      <c r="AV1503" s="2680"/>
      <c r="AW1503" s="2680"/>
      <c r="AX1503" s="2680"/>
      <c r="AY1503" s="2680"/>
      <c r="AZ1503" s="2680"/>
      <c r="BA1503" s="5796"/>
      <c r="BB1503" s="6713"/>
      <c r="BC1503" s="2678"/>
      <c r="BD1503" s="5796"/>
      <c r="BE1503" s="5796"/>
      <c r="BF1503" s="5796"/>
      <c r="BG1503" s="5796"/>
      <c r="BH1503" s="2678"/>
      <c r="BI1503" s="5796"/>
      <c r="BJ1503" s="5796"/>
      <c r="BK1503" s="5796"/>
      <c r="BL1503" s="5796"/>
      <c r="BM1503" s="5796"/>
      <c r="BN1503" s="2678">
        <v>104300</v>
      </c>
      <c r="BO1503" s="5331"/>
      <c r="BP1503" s="5122"/>
      <c r="BQ1503" s="5331"/>
      <c r="BR1503" s="5331"/>
      <c r="BS1503" s="5331"/>
      <c r="BT1503" s="5331"/>
      <c r="BU1503" s="5331"/>
      <c r="BV1503" s="5331"/>
      <c r="BW1503" s="5331"/>
      <c r="BX1503" s="5331"/>
      <c r="BY1503" s="5331"/>
      <c r="BZ1503" s="5331"/>
      <c r="CA1503" s="5331"/>
      <c r="CB1503" s="2678">
        <v>104300</v>
      </c>
      <c r="CC1503" s="2680"/>
      <c r="CD1503" s="2680"/>
      <c r="CE1503" s="5039"/>
      <c r="CF1503" s="5039"/>
      <c r="CG1503" s="5039"/>
      <c r="CH1503" s="5039"/>
    </row>
    <row r="1504" s="4971" customFormat="1" ht="23" customHeight="1" spans="1:86">
      <c r="A1504" s="5048"/>
      <c r="B1504" s="5048"/>
      <c r="C1504" s="5048"/>
      <c r="D1504" s="6690"/>
      <c r="E1504" s="5048"/>
      <c r="F1504" s="6690"/>
      <c r="G1504" s="6690"/>
      <c r="H1504" s="6690"/>
      <c r="I1504" s="6690"/>
      <c r="J1504" s="6690"/>
      <c r="K1504" s="5048"/>
      <c r="L1504" s="5048"/>
      <c r="M1504" s="5048"/>
      <c r="N1504" s="2680"/>
      <c r="O1504" s="5048"/>
      <c r="P1504" s="2680"/>
      <c r="Q1504" s="2680"/>
      <c r="R1504" s="2680"/>
      <c r="S1504" s="2680"/>
      <c r="T1504" s="2680"/>
      <c r="U1504" s="2680"/>
      <c r="V1504" s="2680"/>
      <c r="W1504" s="2680"/>
      <c r="X1504" s="2680"/>
      <c r="Y1504" s="2680"/>
      <c r="Z1504" s="2680"/>
      <c r="AA1504" s="2680"/>
      <c r="AB1504" s="5079"/>
      <c r="AC1504" s="3524">
        <v>4</v>
      </c>
      <c r="AD1504" s="6700" t="s">
        <v>2499</v>
      </c>
      <c r="AE1504" s="1095">
        <v>0.03</v>
      </c>
      <c r="AF1504" s="2680">
        <f>1490000*AE1504</f>
        <v>44700</v>
      </c>
      <c r="AG1504" s="2680">
        <f t="shared" si="300"/>
        <v>44700</v>
      </c>
      <c r="AH1504" s="2680" t="s">
        <v>206</v>
      </c>
      <c r="AI1504" s="3812">
        <v>44048</v>
      </c>
      <c r="AJ1504" s="2680"/>
      <c r="AK1504" s="2680"/>
      <c r="AL1504" s="2678">
        <v>44700</v>
      </c>
      <c r="AM1504" s="3812">
        <v>44048</v>
      </c>
      <c r="AN1504" s="2678">
        <f t="shared" si="301"/>
        <v>44700</v>
      </c>
      <c r="AO1504" s="3812">
        <v>44364</v>
      </c>
      <c r="AP1504" s="859">
        <f t="shared" si="302"/>
        <v>0</v>
      </c>
      <c r="AQ1504" s="5887"/>
      <c r="AR1504" s="2680"/>
      <c r="AS1504" s="5079"/>
      <c r="AT1504" s="2680"/>
      <c r="AU1504" s="2680"/>
      <c r="AV1504" s="2680"/>
      <c r="AW1504" s="2680"/>
      <c r="AX1504" s="2680"/>
      <c r="AY1504" s="2680"/>
      <c r="AZ1504" s="2680"/>
      <c r="BA1504" s="5796"/>
      <c r="BB1504" s="5796"/>
      <c r="BC1504" s="2678"/>
      <c r="BD1504" s="5796"/>
      <c r="BE1504" s="5796"/>
      <c r="BF1504" s="5796"/>
      <c r="BG1504" s="5796"/>
      <c r="BH1504" s="2678"/>
      <c r="BI1504" s="5796"/>
      <c r="BJ1504" s="5796"/>
      <c r="BK1504" s="5796"/>
      <c r="BL1504" s="5796"/>
      <c r="BM1504" s="5796"/>
      <c r="BN1504" s="2678">
        <v>44700</v>
      </c>
      <c r="BO1504" s="5796"/>
      <c r="BP1504" s="5796"/>
      <c r="BQ1504" s="5796"/>
      <c r="BR1504" s="5796"/>
      <c r="BS1504" s="5796"/>
      <c r="BT1504" s="5796"/>
      <c r="BU1504" s="5796"/>
      <c r="BV1504" s="5796"/>
      <c r="BW1504" s="5796"/>
      <c r="BX1504" s="5796"/>
      <c r="BY1504" s="5796"/>
      <c r="BZ1504" s="5796"/>
      <c r="CA1504" s="5796"/>
      <c r="CB1504" s="2678">
        <v>44700</v>
      </c>
      <c r="CC1504" s="2680"/>
      <c r="CD1504" s="2680"/>
      <c r="CE1504" s="5039"/>
      <c r="CF1504" s="5039"/>
      <c r="CG1504" s="5039"/>
      <c r="CH1504" s="5039"/>
    </row>
    <row r="1505" s="4971" customFormat="1" ht="31" spans="1:86">
      <c r="A1505" s="5048">
        <v>3</v>
      </c>
      <c r="B1505" s="5048" t="s">
        <v>2466</v>
      </c>
      <c r="C1505" s="5349">
        <v>44027</v>
      </c>
      <c r="D1505" s="5712" t="s">
        <v>2486</v>
      </c>
      <c r="E1505" s="5048" t="s">
        <v>113</v>
      </c>
      <c r="F1505" s="6690" t="s">
        <v>2500</v>
      </c>
      <c r="G1505" s="6690" t="s">
        <v>2501</v>
      </c>
      <c r="H1505" s="6690" t="s">
        <v>2489</v>
      </c>
      <c r="I1505" s="6690"/>
      <c r="J1505" s="6690" t="s">
        <v>2490</v>
      </c>
      <c r="K1505" s="5048" t="s">
        <v>171</v>
      </c>
      <c r="L1505" s="6690" t="s">
        <v>2491</v>
      </c>
      <c r="M1505" s="5048">
        <f>SUM(N1505:AA1508)</f>
        <v>86000</v>
      </c>
      <c r="N1505" s="2680">
        <v>0</v>
      </c>
      <c r="O1505" s="2680">
        <v>0</v>
      </c>
      <c r="P1505" s="2680">
        <v>0</v>
      </c>
      <c r="Q1505" s="2680">
        <v>0</v>
      </c>
      <c r="R1505" s="2680">
        <v>0</v>
      </c>
      <c r="S1505" s="2680">
        <v>0</v>
      </c>
      <c r="T1505" s="2680"/>
      <c r="U1505" s="2680">
        <v>0</v>
      </c>
      <c r="V1505" s="2680">
        <v>0</v>
      </c>
      <c r="W1505" s="2680">
        <v>0</v>
      </c>
      <c r="X1505" s="2680"/>
      <c r="Y1505" s="2680"/>
      <c r="Z1505" s="2680"/>
      <c r="AA1505" s="2680">
        <v>86000</v>
      </c>
      <c r="AB1505" s="5079" t="s">
        <v>2502</v>
      </c>
      <c r="AC1505" s="3524">
        <v>1</v>
      </c>
      <c r="AD1505" s="6700" t="s">
        <v>2493</v>
      </c>
      <c r="AE1505" s="1095">
        <v>0.5</v>
      </c>
      <c r="AF1505" s="2680">
        <f>AA1505*AE1505</f>
        <v>43000</v>
      </c>
      <c r="AG1505" s="2678">
        <f t="shared" si="300"/>
        <v>43000</v>
      </c>
      <c r="AH1505" s="2680" t="s">
        <v>206</v>
      </c>
      <c r="AI1505" s="3812">
        <v>44048</v>
      </c>
      <c r="AJ1505" s="2680" t="s">
        <v>171</v>
      </c>
      <c r="AK1505" s="2680" t="s">
        <v>171</v>
      </c>
      <c r="AL1505" s="2678">
        <f>SUM(BF1505:BS1505)</f>
        <v>43000</v>
      </c>
      <c r="AM1505" s="3812">
        <v>44048</v>
      </c>
      <c r="AN1505" s="2678">
        <f t="shared" si="301"/>
        <v>43000</v>
      </c>
      <c r="AO1505" s="3812">
        <v>44153</v>
      </c>
      <c r="AP1505" s="859">
        <f t="shared" si="302"/>
        <v>0</v>
      </c>
      <c r="AQ1505" s="5331"/>
      <c r="AR1505" s="859" t="s">
        <v>128</v>
      </c>
      <c r="AS1505" s="5079"/>
      <c r="AT1505" s="2680"/>
      <c r="AU1505" s="2680">
        <f>SUM(AG1505:AG1508)</f>
        <v>86000</v>
      </c>
      <c r="AV1505" s="2680">
        <f>SUM(AL1505:AL1508)</f>
        <v>86000</v>
      </c>
      <c r="AW1505" s="2680">
        <f>SUM(AN1505:AN1508)</f>
        <v>86000</v>
      </c>
      <c r="AX1505" s="2680">
        <f>M1505-AU1505</f>
        <v>0</v>
      </c>
      <c r="AY1505" s="2680">
        <f>AU1505-AV1505</f>
        <v>0</v>
      </c>
      <c r="AZ1505" s="2680">
        <f>AV1505-AW1505</f>
        <v>0</v>
      </c>
      <c r="BA1505" s="5796"/>
      <c r="BB1505" s="5796"/>
      <c r="BC1505" s="2678"/>
      <c r="BD1505" s="5796"/>
      <c r="BE1505" s="5796"/>
      <c r="BF1505" s="5796"/>
      <c r="BG1505" s="5796"/>
      <c r="BH1505" s="2678"/>
      <c r="BI1505" s="5796"/>
      <c r="BJ1505" s="5796"/>
      <c r="BK1505" s="5796"/>
      <c r="BL1505" s="5796"/>
      <c r="BM1505" s="5796"/>
      <c r="BN1505" s="2678">
        <v>43000</v>
      </c>
      <c r="BO1505" s="5331"/>
      <c r="BP1505" s="5331"/>
      <c r="BQ1505" s="5331"/>
      <c r="BR1505" s="5331"/>
      <c r="BS1505" s="5331"/>
      <c r="BT1505" s="5331"/>
      <c r="BU1505" s="5331"/>
      <c r="BV1505" s="5331"/>
      <c r="BW1505" s="5331"/>
      <c r="BX1505" s="5331"/>
      <c r="BY1505" s="5331"/>
      <c r="BZ1505" s="5331"/>
      <c r="CA1505" s="5331"/>
      <c r="CB1505" s="2678">
        <v>43000</v>
      </c>
      <c r="CC1505" s="2680"/>
      <c r="CD1505" s="2680"/>
      <c r="CE1505" s="5039"/>
      <c r="CF1505" s="5039"/>
      <c r="CG1505" s="5039"/>
      <c r="CH1505" s="5039"/>
    </row>
    <row r="1506" s="4971" customFormat="1" ht="31" spans="1:86">
      <c r="A1506" s="5048"/>
      <c r="B1506" s="5048"/>
      <c r="C1506" s="5349"/>
      <c r="D1506" s="6690"/>
      <c r="E1506" s="5048"/>
      <c r="F1506" s="6690"/>
      <c r="G1506" s="6690"/>
      <c r="H1506" s="6690"/>
      <c r="I1506" s="6690"/>
      <c r="J1506" s="6690"/>
      <c r="K1506" s="5048"/>
      <c r="L1506" s="5048"/>
      <c r="M1506" s="5048"/>
      <c r="N1506" s="2680"/>
      <c r="O1506" s="2680"/>
      <c r="P1506" s="2680"/>
      <c r="Q1506" s="2680"/>
      <c r="R1506" s="2680"/>
      <c r="S1506" s="2680"/>
      <c r="T1506" s="2680"/>
      <c r="U1506" s="2680"/>
      <c r="V1506" s="2680"/>
      <c r="W1506" s="2680"/>
      <c r="X1506" s="2680"/>
      <c r="Y1506" s="2680"/>
      <c r="Z1506" s="2680"/>
      <c r="AA1506" s="2680"/>
      <c r="AB1506" s="5079"/>
      <c r="AC1506" s="3524">
        <v>2</v>
      </c>
      <c r="AD1506" s="6700" t="s">
        <v>2494</v>
      </c>
      <c r="AE1506" s="1095">
        <v>0.4</v>
      </c>
      <c r="AF1506" s="2680">
        <f>AA1505*AE1506</f>
        <v>34400</v>
      </c>
      <c r="AG1506" s="2678">
        <f t="shared" si="300"/>
        <v>34400</v>
      </c>
      <c r="AH1506" s="2680" t="s">
        <v>206</v>
      </c>
      <c r="AI1506" s="3812">
        <v>44048</v>
      </c>
      <c r="AJ1506" s="2680" t="s">
        <v>171</v>
      </c>
      <c r="AK1506" s="2680" t="s">
        <v>171</v>
      </c>
      <c r="AL1506" s="2678">
        <f>SUM(BF1506:BS1506)</f>
        <v>34400</v>
      </c>
      <c r="AM1506" s="3812">
        <v>44048</v>
      </c>
      <c r="AN1506" s="2678">
        <f t="shared" si="301"/>
        <v>34400</v>
      </c>
      <c r="AO1506" s="3812">
        <v>44153</v>
      </c>
      <c r="AP1506" s="859">
        <f t="shared" si="302"/>
        <v>0</v>
      </c>
      <c r="AQ1506" s="5331"/>
      <c r="AR1506" s="2680"/>
      <c r="AS1506" s="5079"/>
      <c r="AT1506" s="2680"/>
      <c r="AU1506" s="2680"/>
      <c r="AV1506" s="2680"/>
      <c r="AW1506" s="2680"/>
      <c r="AX1506" s="2680"/>
      <c r="AY1506" s="2680"/>
      <c r="AZ1506" s="2680"/>
      <c r="BA1506" s="5796"/>
      <c r="BB1506" s="5796"/>
      <c r="BC1506" s="2678"/>
      <c r="BD1506" s="5796"/>
      <c r="BE1506" s="5796"/>
      <c r="BF1506" s="5796"/>
      <c r="BG1506" s="5796"/>
      <c r="BH1506" s="2678"/>
      <c r="BI1506" s="5796"/>
      <c r="BJ1506" s="5796"/>
      <c r="BK1506" s="5796"/>
      <c r="BL1506" s="5796"/>
      <c r="BM1506" s="5796"/>
      <c r="BN1506" s="2678">
        <v>34400</v>
      </c>
      <c r="BO1506" s="5331"/>
      <c r="BP1506" s="5331"/>
      <c r="BQ1506" s="5331"/>
      <c r="BR1506" s="5331"/>
      <c r="BS1506" s="5331"/>
      <c r="BT1506" s="5331"/>
      <c r="BU1506" s="5331"/>
      <c r="BV1506" s="5331"/>
      <c r="BW1506" s="5331"/>
      <c r="BX1506" s="5331"/>
      <c r="BY1506" s="5331"/>
      <c r="BZ1506" s="5331"/>
      <c r="CA1506" s="5331"/>
      <c r="CB1506" s="2678">
        <v>34400</v>
      </c>
      <c r="CC1506" s="2680"/>
      <c r="CD1506" s="2680"/>
      <c r="CE1506" s="5039"/>
      <c r="CF1506" s="5039"/>
      <c r="CG1506" s="5039"/>
      <c r="CH1506" s="5039"/>
    </row>
    <row r="1507" s="4971" customFormat="1" ht="46" spans="1:86">
      <c r="A1507" s="5048"/>
      <c r="B1507" s="5048"/>
      <c r="C1507" s="5349"/>
      <c r="D1507" s="6690"/>
      <c r="E1507" s="5048"/>
      <c r="F1507" s="6690"/>
      <c r="G1507" s="6690"/>
      <c r="H1507" s="6690"/>
      <c r="I1507" s="6690"/>
      <c r="J1507" s="6690"/>
      <c r="K1507" s="5048"/>
      <c r="L1507" s="5048"/>
      <c r="M1507" s="5048"/>
      <c r="N1507" s="2680"/>
      <c r="O1507" s="2680"/>
      <c r="P1507" s="2680"/>
      <c r="Q1507" s="2680"/>
      <c r="R1507" s="2680"/>
      <c r="S1507" s="2680"/>
      <c r="T1507" s="2680"/>
      <c r="U1507" s="2680"/>
      <c r="V1507" s="2680"/>
      <c r="W1507" s="2680"/>
      <c r="X1507" s="2680"/>
      <c r="Y1507" s="2680"/>
      <c r="Z1507" s="2680"/>
      <c r="AA1507" s="2680"/>
      <c r="AB1507" s="5079"/>
      <c r="AC1507" s="3524">
        <v>3</v>
      </c>
      <c r="AD1507" s="6700" t="s">
        <v>2496</v>
      </c>
      <c r="AE1507" s="1095">
        <v>0.07</v>
      </c>
      <c r="AF1507" s="2680">
        <f>AA1505*AE1507</f>
        <v>6020</v>
      </c>
      <c r="AG1507" s="2678">
        <f t="shared" si="300"/>
        <v>6020</v>
      </c>
      <c r="AH1507" s="2680" t="s">
        <v>206</v>
      </c>
      <c r="AI1507" s="3812">
        <v>44048</v>
      </c>
      <c r="AJ1507" s="2680" t="s">
        <v>171</v>
      </c>
      <c r="AK1507" s="2680" t="s">
        <v>171</v>
      </c>
      <c r="AL1507" s="2678">
        <f>SUM(BF1507:BS1507)</f>
        <v>6020</v>
      </c>
      <c r="AM1507" s="3812">
        <v>44048</v>
      </c>
      <c r="AN1507" s="2678">
        <f t="shared" si="301"/>
        <v>6020</v>
      </c>
      <c r="AO1507" s="3812">
        <v>44153</v>
      </c>
      <c r="AP1507" s="859">
        <f t="shared" si="302"/>
        <v>0</v>
      </c>
      <c r="AQ1507" s="5331"/>
      <c r="AR1507" s="2680"/>
      <c r="AS1507" s="5079"/>
      <c r="AT1507" s="2680"/>
      <c r="AU1507" s="2680"/>
      <c r="AV1507" s="2680"/>
      <c r="AW1507" s="2680"/>
      <c r="AX1507" s="2680"/>
      <c r="AY1507" s="2680"/>
      <c r="AZ1507" s="2680"/>
      <c r="BA1507" s="5796"/>
      <c r="BB1507" s="5796"/>
      <c r="BC1507" s="2678"/>
      <c r="BD1507" s="5796"/>
      <c r="BE1507" s="5796"/>
      <c r="BF1507" s="5796"/>
      <c r="BG1507" s="5796"/>
      <c r="BH1507" s="2678"/>
      <c r="BI1507" s="5796"/>
      <c r="BJ1507" s="5796"/>
      <c r="BK1507" s="5796"/>
      <c r="BL1507" s="5796"/>
      <c r="BM1507" s="5796"/>
      <c r="BN1507" s="2678">
        <v>6020</v>
      </c>
      <c r="BO1507" s="5331"/>
      <c r="BP1507" s="5331"/>
      <c r="BQ1507" s="5331"/>
      <c r="BR1507" s="5331"/>
      <c r="BS1507" s="5331"/>
      <c r="BT1507" s="5331"/>
      <c r="BU1507" s="5331"/>
      <c r="BV1507" s="5331"/>
      <c r="BW1507" s="5331"/>
      <c r="BX1507" s="5331"/>
      <c r="BY1507" s="5331"/>
      <c r="BZ1507" s="5331"/>
      <c r="CA1507" s="5331"/>
      <c r="CB1507" s="2678">
        <v>6020</v>
      </c>
      <c r="CC1507" s="2680"/>
      <c r="CD1507" s="2680"/>
      <c r="CE1507" s="5039"/>
      <c r="CF1507" s="5039"/>
      <c r="CG1507" s="5039"/>
      <c r="CH1507" s="5039"/>
    </row>
    <row r="1508" s="4971" customFormat="1" ht="23" customHeight="1" spans="1:86">
      <c r="A1508" s="5048"/>
      <c r="B1508" s="5048"/>
      <c r="C1508" s="5349"/>
      <c r="D1508" s="6690"/>
      <c r="E1508" s="5048"/>
      <c r="F1508" s="6690"/>
      <c r="G1508" s="6690"/>
      <c r="H1508" s="6690"/>
      <c r="I1508" s="6690"/>
      <c r="J1508" s="6690"/>
      <c r="K1508" s="5048"/>
      <c r="L1508" s="5048"/>
      <c r="M1508" s="5048"/>
      <c r="N1508" s="2680"/>
      <c r="O1508" s="2680"/>
      <c r="P1508" s="2680"/>
      <c r="Q1508" s="2680"/>
      <c r="R1508" s="2680"/>
      <c r="S1508" s="2680"/>
      <c r="T1508" s="2680"/>
      <c r="U1508" s="2680"/>
      <c r="V1508" s="2680"/>
      <c r="W1508" s="2680"/>
      <c r="X1508" s="2680"/>
      <c r="Y1508" s="2680"/>
      <c r="Z1508" s="2680"/>
      <c r="AA1508" s="2680"/>
      <c r="AB1508" s="5079"/>
      <c r="AC1508" s="2680">
        <v>4</v>
      </c>
      <c r="AD1508" s="6699" t="s">
        <v>2499</v>
      </c>
      <c r="AE1508" s="791">
        <v>0.03</v>
      </c>
      <c r="AF1508" s="2680">
        <f>AA1505*AE1508</f>
        <v>2580</v>
      </c>
      <c r="AG1508" s="2680">
        <f t="shared" si="300"/>
        <v>2580</v>
      </c>
      <c r="AH1508" s="2680" t="s">
        <v>206</v>
      </c>
      <c r="AI1508" s="3812">
        <v>44048</v>
      </c>
      <c r="AJ1508" s="2680"/>
      <c r="AK1508" s="2680"/>
      <c r="AL1508" s="2678">
        <v>2580</v>
      </c>
      <c r="AM1508" s="3812">
        <v>44048</v>
      </c>
      <c r="AN1508" s="2678">
        <f t="shared" si="301"/>
        <v>2580</v>
      </c>
      <c r="AO1508" s="3812">
        <v>44364</v>
      </c>
      <c r="AP1508" s="859">
        <f t="shared" si="302"/>
        <v>0</v>
      </c>
      <c r="AQ1508" s="5331"/>
      <c r="AR1508" s="2680"/>
      <c r="AS1508" s="5079"/>
      <c r="AT1508" s="2680"/>
      <c r="AU1508" s="2680"/>
      <c r="AV1508" s="2680"/>
      <c r="AW1508" s="2680"/>
      <c r="AX1508" s="2680"/>
      <c r="AY1508" s="2680"/>
      <c r="AZ1508" s="2680"/>
      <c r="BA1508" s="5796"/>
      <c r="BB1508" s="5796"/>
      <c r="BC1508" s="2678"/>
      <c r="BD1508" s="5796"/>
      <c r="BE1508" s="5796"/>
      <c r="BF1508" s="5796"/>
      <c r="BG1508" s="5796"/>
      <c r="BH1508" s="2678"/>
      <c r="BI1508" s="5796"/>
      <c r="BJ1508" s="5796"/>
      <c r="BK1508" s="5796"/>
      <c r="BL1508" s="5796"/>
      <c r="BM1508" s="5796"/>
      <c r="BN1508" s="2678">
        <v>2580</v>
      </c>
      <c r="BO1508" s="5796"/>
      <c r="BP1508" s="5796"/>
      <c r="BQ1508" s="5796"/>
      <c r="BR1508" s="5796"/>
      <c r="BS1508" s="5796"/>
      <c r="BT1508" s="5796"/>
      <c r="BU1508" s="5796"/>
      <c r="BV1508" s="5796"/>
      <c r="BW1508" s="5796"/>
      <c r="BX1508" s="5796"/>
      <c r="BY1508" s="5796"/>
      <c r="BZ1508" s="5796"/>
      <c r="CA1508" s="5796"/>
      <c r="CB1508" s="2678">
        <v>2580</v>
      </c>
      <c r="CC1508" s="2680"/>
      <c r="CD1508" s="2680"/>
      <c r="CE1508" s="5039"/>
      <c r="CF1508" s="5039"/>
      <c r="CG1508" s="5039"/>
      <c r="CH1508" s="5039"/>
    </row>
    <row r="1509" s="4971" customFormat="1" ht="46" spans="1:86">
      <c r="A1509" s="5048">
        <v>3</v>
      </c>
      <c r="B1509" s="5048" t="s">
        <v>2466</v>
      </c>
      <c r="C1509" s="5048">
        <v>43005</v>
      </c>
      <c r="D1509" s="5712" t="s">
        <v>2503</v>
      </c>
      <c r="E1509" s="5048" t="s">
        <v>113</v>
      </c>
      <c r="F1509" s="6690" t="s">
        <v>2504</v>
      </c>
      <c r="G1509" s="6690" t="s">
        <v>2505</v>
      </c>
      <c r="H1509" s="6690" t="s">
        <v>2506</v>
      </c>
      <c r="I1509" s="6690"/>
      <c r="J1509" s="6690" t="s">
        <v>2490</v>
      </c>
      <c r="K1509" s="5048" t="s">
        <v>171</v>
      </c>
      <c r="L1509" s="6690" t="s">
        <v>2507</v>
      </c>
      <c r="M1509" s="5048">
        <f>SUM(N1509:AA1513)</f>
        <v>450000</v>
      </c>
      <c r="N1509" s="2680">
        <v>0</v>
      </c>
      <c r="O1509" s="2680">
        <v>0</v>
      </c>
      <c r="P1509" s="2680">
        <v>0</v>
      </c>
      <c r="Q1509" s="2680">
        <v>450000</v>
      </c>
      <c r="R1509" s="2680">
        <v>0</v>
      </c>
      <c r="S1509" s="2680">
        <v>0</v>
      </c>
      <c r="T1509" s="2680"/>
      <c r="U1509" s="2680">
        <v>0</v>
      </c>
      <c r="V1509" s="2680">
        <v>0</v>
      </c>
      <c r="W1509" s="2680">
        <v>0</v>
      </c>
      <c r="X1509" s="2680"/>
      <c r="Y1509" s="2680"/>
      <c r="Z1509" s="2680"/>
      <c r="AA1509" s="2680">
        <v>0</v>
      </c>
      <c r="AB1509" s="5079" t="s">
        <v>1967</v>
      </c>
      <c r="AC1509" s="5079" t="s">
        <v>2508</v>
      </c>
      <c r="AD1509" s="6699" t="s">
        <v>2509</v>
      </c>
      <c r="AE1509" s="6701">
        <v>0.9</v>
      </c>
      <c r="AF1509" s="6701">
        <v>90000</v>
      </c>
      <c r="AG1509" s="2680">
        <f t="shared" ref="AG1509:AG1527" si="303">SUM(BA1509:BN1509)</f>
        <v>0</v>
      </c>
      <c r="AH1509" s="2680"/>
      <c r="AI1509" s="2680"/>
      <c r="AJ1509" s="2680"/>
      <c r="AK1509" s="2680"/>
      <c r="AL1509" s="2680"/>
      <c r="AM1509" s="2680"/>
      <c r="AN1509" s="2680">
        <f t="shared" ref="AN1509:AN1527" si="304">SUM(BO1509:CB1509)</f>
        <v>0</v>
      </c>
      <c r="AO1509" s="2680"/>
      <c r="AP1509" s="859">
        <f t="shared" si="302"/>
        <v>0</v>
      </c>
      <c r="AQ1509" s="5331"/>
      <c r="AR1509" s="2680"/>
      <c r="AS1509" s="5079" t="s">
        <v>2510</v>
      </c>
      <c r="AT1509" s="2680"/>
      <c r="AU1509" s="2680">
        <f>SUM(AG1509:AG1513)</f>
        <v>175000</v>
      </c>
      <c r="AV1509" s="2680">
        <f>SUM(AL1509:AL1513)</f>
        <v>175000</v>
      </c>
      <c r="AW1509" s="2680">
        <f>SUM(AN1509:AN1513)</f>
        <v>175000</v>
      </c>
      <c r="AX1509" s="2680">
        <f>M1509-AU1509</f>
        <v>275000</v>
      </c>
      <c r="AY1509" s="2680">
        <f>AU1509-AV1509</f>
        <v>0</v>
      </c>
      <c r="AZ1509" s="2680">
        <f>AV1509-AW1509</f>
        <v>0</v>
      </c>
      <c r="BA1509" s="5331"/>
      <c r="BB1509" s="5331"/>
      <c r="BC1509" s="2680"/>
      <c r="BD1509" s="5331"/>
      <c r="BE1509" s="5331"/>
      <c r="BF1509" s="5331"/>
      <c r="BG1509" s="5331"/>
      <c r="BH1509" s="2680"/>
      <c r="BI1509" s="5331"/>
      <c r="BJ1509" s="5331"/>
      <c r="BK1509" s="5331"/>
      <c r="BL1509" s="5331"/>
      <c r="BM1509" s="5331"/>
      <c r="BN1509" s="5331"/>
      <c r="BO1509" s="5331"/>
      <c r="BP1509" s="5331"/>
      <c r="BQ1509" s="5331"/>
      <c r="BR1509" s="5331"/>
      <c r="BS1509" s="5331"/>
      <c r="BT1509" s="5331"/>
      <c r="BU1509" s="5331"/>
      <c r="BV1509" s="5331"/>
      <c r="BW1509" s="5331"/>
      <c r="BX1509" s="5331"/>
      <c r="BY1509" s="5331"/>
      <c r="BZ1509" s="5331"/>
      <c r="CA1509" s="5331"/>
      <c r="CB1509" s="5331"/>
      <c r="CC1509" s="2680"/>
      <c r="CD1509" s="2680"/>
      <c r="CE1509" s="5039"/>
      <c r="CF1509" s="5039"/>
      <c r="CG1509" s="5039"/>
      <c r="CH1509" s="5039"/>
    </row>
    <row r="1510" s="4971" customFormat="1" ht="46" spans="1:86">
      <c r="A1510" s="5048"/>
      <c r="B1510" s="5048"/>
      <c r="C1510" s="5048"/>
      <c r="D1510" s="6690"/>
      <c r="E1510" s="5048"/>
      <c r="F1510" s="6690"/>
      <c r="G1510" s="6690"/>
      <c r="H1510" s="6690"/>
      <c r="I1510" s="6690"/>
      <c r="J1510" s="6690"/>
      <c r="K1510" s="5048"/>
      <c r="L1510" s="6690"/>
      <c r="M1510" s="5048"/>
      <c r="N1510" s="2680"/>
      <c r="O1510" s="2680"/>
      <c r="P1510" s="2680"/>
      <c r="Q1510" s="2680"/>
      <c r="R1510" s="2680"/>
      <c r="S1510" s="2680"/>
      <c r="T1510" s="2680"/>
      <c r="U1510" s="2680"/>
      <c r="V1510" s="2680"/>
      <c r="W1510" s="2680"/>
      <c r="X1510" s="2680"/>
      <c r="Y1510" s="2680"/>
      <c r="Z1510" s="2680"/>
      <c r="AA1510" s="2680"/>
      <c r="AB1510" s="5079"/>
      <c r="AC1510" s="5079" t="s">
        <v>2511</v>
      </c>
      <c r="AD1510" s="6699" t="s">
        <v>2512</v>
      </c>
      <c r="AE1510" s="6701">
        <v>0.1</v>
      </c>
      <c r="AF1510" s="6701">
        <v>10000</v>
      </c>
      <c r="AG1510" s="2680">
        <f t="shared" si="303"/>
        <v>0</v>
      </c>
      <c r="AH1510" s="2680"/>
      <c r="AI1510" s="2680"/>
      <c r="AJ1510" s="2680"/>
      <c r="AK1510" s="2680"/>
      <c r="AL1510" s="2680"/>
      <c r="AM1510" s="2680"/>
      <c r="AN1510" s="2680">
        <f t="shared" si="304"/>
        <v>0</v>
      </c>
      <c r="AO1510" s="2680"/>
      <c r="AP1510" s="859">
        <f t="shared" si="302"/>
        <v>0</v>
      </c>
      <c r="AQ1510" s="5331"/>
      <c r="AR1510" s="2680"/>
      <c r="AS1510" s="5079" t="s">
        <v>2510</v>
      </c>
      <c r="AT1510" s="2680"/>
      <c r="AU1510" s="2680"/>
      <c r="AV1510" s="2680"/>
      <c r="AW1510" s="2680"/>
      <c r="AX1510" s="2680"/>
      <c r="AY1510" s="2680"/>
      <c r="AZ1510" s="2680"/>
      <c r="BA1510" s="5331"/>
      <c r="BB1510" s="5331"/>
      <c r="BC1510" s="2680"/>
      <c r="BD1510" s="5331"/>
      <c r="BE1510" s="5331"/>
      <c r="BF1510" s="5331"/>
      <c r="BG1510" s="5331"/>
      <c r="BH1510" s="2680"/>
      <c r="BI1510" s="5331"/>
      <c r="BJ1510" s="5331"/>
      <c r="BK1510" s="5331"/>
      <c r="BL1510" s="5331"/>
      <c r="BM1510" s="5331"/>
      <c r="BN1510" s="5331"/>
      <c r="BO1510" s="5331"/>
      <c r="BP1510" s="5331"/>
      <c r="BQ1510" s="5331"/>
      <c r="BR1510" s="5331"/>
      <c r="BS1510" s="5331"/>
      <c r="BT1510" s="5331"/>
      <c r="BU1510" s="5331"/>
      <c r="BV1510" s="5331"/>
      <c r="BW1510" s="5331"/>
      <c r="BX1510" s="5331"/>
      <c r="BY1510" s="5331"/>
      <c r="BZ1510" s="5331"/>
      <c r="CA1510" s="5331"/>
      <c r="CB1510" s="5331"/>
      <c r="CC1510" s="2680"/>
      <c r="CD1510" s="2680"/>
      <c r="CE1510" s="5039"/>
      <c r="CF1510" s="5039"/>
      <c r="CG1510" s="5039"/>
      <c r="CH1510" s="5039"/>
    </row>
    <row r="1511" s="4971" customFormat="1" ht="46" spans="1:86">
      <c r="A1511" s="5048"/>
      <c r="B1511" s="5048"/>
      <c r="C1511" s="5048"/>
      <c r="D1511" s="6690"/>
      <c r="E1511" s="5048"/>
      <c r="F1511" s="6690"/>
      <c r="G1511" s="6690"/>
      <c r="H1511" s="6690"/>
      <c r="I1511" s="6690"/>
      <c r="J1511" s="6690"/>
      <c r="K1511" s="5048"/>
      <c r="L1511" s="6690"/>
      <c r="M1511" s="5048"/>
      <c r="N1511" s="2680"/>
      <c r="O1511" s="2680"/>
      <c r="P1511" s="2680"/>
      <c r="Q1511" s="2680"/>
      <c r="R1511" s="2680"/>
      <c r="S1511" s="2680"/>
      <c r="T1511" s="2680"/>
      <c r="U1511" s="2680"/>
      <c r="V1511" s="2680"/>
      <c r="W1511" s="2680"/>
      <c r="X1511" s="2680"/>
      <c r="Y1511" s="2680"/>
      <c r="Z1511" s="2680"/>
      <c r="AA1511" s="2680"/>
      <c r="AB1511" s="5079"/>
      <c r="AC1511" s="5079" t="s">
        <v>2513</v>
      </c>
      <c r="AD1511" s="6699" t="s">
        <v>2514</v>
      </c>
      <c r="AE1511" s="6701">
        <v>0.5</v>
      </c>
      <c r="AF1511" s="6701">
        <v>175000</v>
      </c>
      <c r="AG1511" s="2680">
        <f t="shared" si="303"/>
        <v>175000</v>
      </c>
      <c r="AH1511" s="2680" t="s">
        <v>206</v>
      </c>
      <c r="AI1511" s="2680">
        <v>43049</v>
      </c>
      <c r="AJ1511" s="2680" t="s">
        <v>171</v>
      </c>
      <c r="AK1511" s="2680" t="s">
        <v>171</v>
      </c>
      <c r="AL1511" s="2680">
        <f>SUM(BF1511:BS1511)</f>
        <v>175000</v>
      </c>
      <c r="AM1511" s="2680">
        <v>43049</v>
      </c>
      <c r="AN1511" s="2680">
        <f t="shared" si="304"/>
        <v>175000</v>
      </c>
      <c r="AO1511" s="2680">
        <v>43089</v>
      </c>
      <c r="AP1511" s="859">
        <f t="shared" si="302"/>
        <v>0</v>
      </c>
      <c r="AQ1511" s="5331"/>
      <c r="AR1511" s="2680" t="s">
        <v>171</v>
      </c>
      <c r="AS1511" s="5079" t="s">
        <v>171</v>
      </c>
      <c r="AT1511" s="2680" t="s">
        <v>171</v>
      </c>
      <c r="AU1511" s="2680"/>
      <c r="AV1511" s="2680"/>
      <c r="AW1511" s="2680"/>
      <c r="AX1511" s="2680"/>
      <c r="AY1511" s="2680"/>
      <c r="AZ1511" s="2680"/>
      <c r="BA1511" s="5796"/>
      <c r="BB1511" s="5796"/>
      <c r="BC1511" s="2678"/>
      <c r="BD1511" s="5796">
        <v>175000</v>
      </c>
      <c r="BE1511" s="5796"/>
      <c r="BF1511" s="5796"/>
      <c r="BG1511" s="5796"/>
      <c r="BH1511" s="2678"/>
      <c r="BI1511" s="5796"/>
      <c r="BJ1511" s="5796"/>
      <c r="BK1511" s="5796"/>
      <c r="BL1511" s="5796"/>
      <c r="BM1511" s="5796"/>
      <c r="BN1511" s="5796"/>
      <c r="BO1511" s="5331"/>
      <c r="BP1511" s="5331"/>
      <c r="BQ1511" s="5331"/>
      <c r="BR1511" s="5331">
        <v>175000</v>
      </c>
      <c r="BS1511" s="5331"/>
      <c r="BT1511" s="5331"/>
      <c r="BU1511" s="5331"/>
      <c r="BV1511" s="5331"/>
      <c r="BW1511" s="5331"/>
      <c r="BX1511" s="5331"/>
      <c r="BY1511" s="5331"/>
      <c r="BZ1511" s="5331"/>
      <c r="CA1511" s="5331"/>
      <c r="CB1511" s="5331"/>
      <c r="CC1511" s="2680"/>
      <c r="CD1511" s="2680"/>
      <c r="CE1511" s="5039"/>
      <c r="CF1511" s="5039"/>
      <c r="CG1511" s="5039"/>
      <c r="CH1511" s="5039"/>
    </row>
    <row r="1512" s="4971" customFormat="1" ht="46" spans="1:86">
      <c r="A1512" s="5048"/>
      <c r="B1512" s="5048"/>
      <c r="C1512" s="5048"/>
      <c r="D1512" s="6690"/>
      <c r="E1512" s="5048"/>
      <c r="F1512" s="6690"/>
      <c r="G1512" s="6690"/>
      <c r="H1512" s="6690"/>
      <c r="I1512" s="6690"/>
      <c r="J1512" s="6690"/>
      <c r="K1512" s="5048"/>
      <c r="L1512" s="6690"/>
      <c r="M1512" s="5048"/>
      <c r="N1512" s="2680"/>
      <c r="O1512" s="2680"/>
      <c r="P1512" s="2680"/>
      <c r="Q1512" s="2680"/>
      <c r="R1512" s="2680"/>
      <c r="S1512" s="2680"/>
      <c r="T1512" s="2680"/>
      <c r="U1512" s="2680"/>
      <c r="V1512" s="2680"/>
      <c r="W1512" s="2680"/>
      <c r="X1512" s="2680"/>
      <c r="Y1512" s="2680"/>
      <c r="Z1512" s="2680"/>
      <c r="AA1512" s="2680"/>
      <c r="AB1512" s="5079"/>
      <c r="AC1512" s="5079" t="s">
        <v>2515</v>
      </c>
      <c r="AD1512" s="6699" t="s">
        <v>2516</v>
      </c>
      <c r="AE1512" s="5079">
        <v>0.4</v>
      </c>
      <c r="AF1512" s="6702">
        <v>140000</v>
      </c>
      <c r="AG1512" s="2680">
        <f t="shared" si="303"/>
        <v>0</v>
      </c>
      <c r="AH1512" s="2680"/>
      <c r="AI1512" s="2680"/>
      <c r="AJ1512" s="2680"/>
      <c r="AK1512" s="2680"/>
      <c r="AL1512" s="2680"/>
      <c r="AM1512" s="2680"/>
      <c r="AN1512" s="2680">
        <f t="shared" si="304"/>
        <v>0</v>
      </c>
      <c r="AO1512" s="2680"/>
      <c r="AP1512" s="859">
        <f t="shared" si="302"/>
        <v>0</v>
      </c>
      <c r="AQ1512" s="5331"/>
      <c r="AR1512" s="2680"/>
      <c r="AS1512" s="5079" t="s">
        <v>2510</v>
      </c>
      <c r="AT1512" s="2680"/>
      <c r="AU1512" s="2680"/>
      <c r="AV1512" s="2680"/>
      <c r="AW1512" s="2680"/>
      <c r="AX1512" s="2680"/>
      <c r="AY1512" s="2680"/>
      <c r="AZ1512" s="2680"/>
      <c r="BA1512" s="5331"/>
      <c r="BB1512" s="5331"/>
      <c r="BC1512" s="2680"/>
      <c r="BD1512" s="5331"/>
      <c r="BE1512" s="5331"/>
      <c r="BF1512" s="5331"/>
      <c r="BG1512" s="5331"/>
      <c r="BH1512" s="2680"/>
      <c r="BI1512" s="5331"/>
      <c r="BJ1512" s="5331"/>
      <c r="BK1512" s="5331"/>
      <c r="BL1512" s="5331"/>
      <c r="BM1512" s="5331"/>
      <c r="BN1512" s="5331"/>
      <c r="BO1512" s="5331"/>
      <c r="BP1512" s="5331"/>
      <c r="BQ1512" s="5331"/>
      <c r="BR1512" s="5331"/>
      <c r="BS1512" s="5331"/>
      <c r="BT1512" s="5331"/>
      <c r="BU1512" s="5331"/>
      <c r="BV1512" s="5331"/>
      <c r="BW1512" s="5331"/>
      <c r="BX1512" s="5331"/>
      <c r="BY1512" s="5331"/>
      <c r="BZ1512" s="5331"/>
      <c r="CA1512" s="5331"/>
      <c r="CB1512" s="5331"/>
      <c r="CC1512" s="2680"/>
      <c r="CD1512" s="2680"/>
      <c r="CE1512" s="5039"/>
      <c r="CF1512" s="5039"/>
      <c r="CG1512" s="5039"/>
      <c r="CH1512" s="5039"/>
    </row>
    <row r="1513" s="4971" customFormat="1" ht="31" spans="1:86">
      <c r="A1513" s="5048"/>
      <c r="B1513" s="5048"/>
      <c r="C1513" s="5048"/>
      <c r="D1513" s="6690"/>
      <c r="E1513" s="5048"/>
      <c r="F1513" s="6690"/>
      <c r="G1513" s="6690"/>
      <c r="H1513" s="6690"/>
      <c r="I1513" s="6690"/>
      <c r="J1513" s="6690"/>
      <c r="K1513" s="5048"/>
      <c r="L1513" s="6690"/>
      <c r="M1513" s="5048"/>
      <c r="N1513" s="2680"/>
      <c r="O1513" s="2680"/>
      <c r="P1513" s="2680"/>
      <c r="Q1513" s="2680"/>
      <c r="R1513" s="2680"/>
      <c r="S1513" s="2680"/>
      <c r="T1513" s="2680"/>
      <c r="U1513" s="2680"/>
      <c r="V1513" s="2680"/>
      <c r="W1513" s="2680"/>
      <c r="X1513" s="2680"/>
      <c r="Y1513" s="2680"/>
      <c r="Z1513" s="2680"/>
      <c r="AA1513" s="2680"/>
      <c r="AB1513" s="5079"/>
      <c r="AC1513" s="5079" t="s">
        <v>2517</v>
      </c>
      <c r="AD1513" s="6699" t="s">
        <v>2518</v>
      </c>
      <c r="AE1513" s="6701">
        <v>0.1</v>
      </c>
      <c r="AF1513" s="6701">
        <v>35000</v>
      </c>
      <c r="AG1513" s="2680">
        <f t="shared" si="303"/>
        <v>0</v>
      </c>
      <c r="AH1513" s="2680"/>
      <c r="AI1513" s="2680"/>
      <c r="AJ1513" s="2680"/>
      <c r="AK1513" s="2680"/>
      <c r="AL1513" s="2680"/>
      <c r="AM1513" s="2680"/>
      <c r="AN1513" s="2680">
        <f t="shared" si="304"/>
        <v>0</v>
      </c>
      <c r="AO1513" s="2680"/>
      <c r="AP1513" s="859">
        <f t="shared" si="302"/>
        <v>0</v>
      </c>
      <c r="AQ1513" s="5331"/>
      <c r="AR1513" s="2680"/>
      <c r="AS1513" s="5079" t="s">
        <v>2510</v>
      </c>
      <c r="AT1513" s="2680"/>
      <c r="AU1513" s="2680"/>
      <c r="AV1513" s="2680"/>
      <c r="AW1513" s="2680"/>
      <c r="AX1513" s="2680"/>
      <c r="AY1513" s="2680"/>
      <c r="AZ1513" s="2680"/>
      <c r="BA1513" s="5331"/>
      <c r="BB1513" s="5331"/>
      <c r="BC1513" s="2680"/>
      <c r="BD1513" s="5331"/>
      <c r="BE1513" s="5331"/>
      <c r="BF1513" s="5331"/>
      <c r="BG1513" s="5331"/>
      <c r="BH1513" s="2680"/>
      <c r="BI1513" s="5331"/>
      <c r="BJ1513" s="5331"/>
      <c r="BK1513" s="5331"/>
      <c r="BL1513" s="5331"/>
      <c r="BM1513" s="5331"/>
      <c r="BN1513" s="5331"/>
      <c r="BO1513" s="5331"/>
      <c r="BP1513" s="5331"/>
      <c r="BQ1513" s="5331"/>
      <c r="BR1513" s="5331"/>
      <c r="BS1513" s="5331"/>
      <c r="BT1513" s="5331"/>
      <c r="BU1513" s="5331"/>
      <c r="BV1513" s="5331"/>
      <c r="BW1513" s="5331"/>
      <c r="BX1513" s="5331"/>
      <c r="BY1513" s="5331"/>
      <c r="BZ1513" s="5331"/>
      <c r="CA1513" s="5331"/>
      <c r="CB1513" s="5331"/>
      <c r="CC1513" s="2680"/>
      <c r="CD1513" s="2680"/>
      <c r="CE1513" s="5039"/>
      <c r="CF1513" s="5039"/>
      <c r="CG1513" s="5039"/>
      <c r="CH1513" s="5039"/>
    </row>
    <row r="1514" s="4971" customFormat="1" ht="34" customHeight="1" spans="1:86">
      <c r="A1514" s="5048"/>
      <c r="B1514" s="5048" t="s">
        <v>2466</v>
      </c>
      <c r="C1514" s="5048">
        <v>43441</v>
      </c>
      <c r="D1514" s="6690" t="s">
        <v>2519</v>
      </c>
      <c r="E1514" s="5048" t="s">
        <v>113</v>
      </c>
      <c r="F1514" s="6690" t="s">
        <v>2520</v>
      </c>
      <c r="G1514" s="6690" t="s">
        <v>2521</v>
      </c>
      <c r="H1514" s="6690" t="s">
        <v>2522</v>
      </c>
      <c r="I1514" s="5061"/>
      <c r="J1514" s="6690" t="s">
        <v>2473</v>
      </c>
      <c r="K1514" s="6696">
        <v>119975.97</v>
      </c>
      <c r="L1514" s="6690" t="s">
        <v>2523</v>
      </c>
      <c r="M1514" s="5048">
        <f>SUM(N1514:AA1518)</f>
        <v>6420242.11</v>
      </c>
      <c r="N1514" s="5048">
        <v>0</v>
      </c>
      <c r="O1514" s="5048">
        <v>0</v>
      </c>
      <c r="P1514" s="5048">
        <f>2399519.4+3420842.86</f>
        <v>5820362.26</v>
      </c>
      <c r="Q1514" s="5048">
        <v>0</v>
      </c>
      <c r="R1514" s="5048">
        <v>0</v>
      </c>
      <c r="S1514" s="5048">
        <v>0</v>
      </c>
      <c r="T1514" s="5048"/>
      <c r="U1514" s="5048">
        <f>5*K1514</f>
        <v>599879.85</v>
      </c>
      <c r="V1514" s="5048">
        <v>0</v>
      </c>
      <c r="W1514" s="5048">
        <v>0</v>
      </c>
      <c r="X1514" s="5048"/>
      <c r="Y1514" s="5048"/>
      <c r="Z1514" s="5048"/>
      <c r="AA1514" s="5048">
        <v>0</v>
      </c>
      <c r="AB1514" s="6690" t="s">
        <v>2524</v>
      </c>
      <c r="AC1514" s="2680">
        <v>1</v>
      </c>
      <c r="AD1514" s="5887" t="s">
        <v>2525</v>
      </c>
      <c r="AE1514" s="5079">
        <v>0.2</v>
      </c>
      <c r="AF1514" s="2680">
        <f>6420242.11*AE1514</f>
        <v>1284048.422</v>
      </c>
      <c r="AG1514" s="2680">
        <f t="shared" si="303"/>
        <v>1284048.422</v>
      </c>
      <c r="AH1514" s="2680" t="s">
        <v>206</v>
      </c>
      <c r="AI1514" s="2680">
        <v>43486</v>
      </c>
      <c r="AJ1514" s="2680" t="s">
        <v>171</v>
      </c>
      <c r="AK1514" s="2680" t="s">
        <v>171</v>
      </c>
      <c r="AL1514" s="2680">
        <v>1284048.422</v>
      </c>
      <c r="AM1514" s="2680">
        <v>43486</v>
      </c>
      <c r="AN1514" s="2680">
        <f t="shared" si="304"/>
        <v>4500000</v>
      </c>
      <c r="AO1514" s="2680">
        <v>43550</v>
      </c>
      <c r="AP1514" s="859">
        <v>0</v>
      </c>
      <c r="AQ1514" s="5079" t="s">
        <v>2526</v>
      </c>
      <c r="AR1514" s="2680" t="s">
        <v>171</v>
      </c>
      <c r="AS1514" s="5079" t="s">
        <v>171</v>
      </c>
      <c r="AT1514" s="2680" t="s">
        <v>171</v>
      </c>
      <c r="AU1514" s="2680">
        <f>SUM(AG1514:AG1518)</f>
        <v>6544855.17</v>
      </c>
      <c r="AV1514" s="859">
        <f>SUBTOTAL(9,AL1514:AL1518)</f>
        <v>6542660.74</v>
      </c>
      <c r="AW1514" s="859">
        <f>SUBTOTAL(9,AN1514:AN1518)</f>
        <v>6542660.74</v>
      </c>
      <c r="AX1514" s="859">
        <f>6496532.29-AU1514</f>
        <v>-48322.8799999999</v>
      </c>
      <c r="AY1514" s="857">
        <f>AU1514-AV1514</f>
        <v>2194.4299999997</v>
      </c>
      <c r="AZ1514" s="857">
        <f>AV1514-AW1514</f>
        <v>0</v>
      </c>
      <c r="BA1514" s="5796"/>
      <c r="BB1514" s="5796"/>
      <c r="BC1514" s="2678">
        <f>AF1514-BH1514</f>
        <v>1164072.452</v>
      </c>
      <c r="BD1514" s="2678"/>
      <c r="BE1514" s="2678"/>
      <c r="BF1514" s="2678"/>
      <c r="BG1514" s="2678"/>
      <c r="BH1514" s="2678">
        <f>U1514*0.2</f>
        <v>119975.97</v>
      </c>
      <c r="BI1514" s="5796"/>
      <c r="BJ1514" s="5796"/>
      <c r="BK1514" s="5796"/>
      <c r="BL1514" s="5796"/>
      <c r="BM1514" s="5796"/>
      <c r="BN1514" s="5796"/>
      <c r="BO1514" s="5331"/>
      <c r="BP1514" s="5331"/>
      <c r="BQ1514" s="5331">
        <v>4078749.73</v>
      </c>
      <c r="BR1514" s="5331"/>
      <c r="BS1514" s="5331"/>
      <c r="BT1514" s="5331"/>
      <c r="BU1514" s="5331"/>
      <c r="BV1514" s="5331">
        <v>421250.27</v>
      </c>
      <c r="BW1514" s="5331"/>
      <c r="BX1514" s="5331"/>
      <c r="BY1514" s="5331"/>
      <c r="BZ1514" s="5331"/>
      <c r="CA1514" s="5331"/>
      <c r="CB1514" s="5331"/>
      <c r="CC1514" s="2680"/>
      <c r="CD1514" s="2680"/>
      <c r="CE1514" s="5039"/>
      <c r="CF1514" s="5039"/>
      <c r="CG1514" s="5039"/>
      <c r="CH1514" s="5039"/>
    </row>
    <row r="1515" s="4971" customFormat="1" ht="34" customHeight="1" spans="1:86">
      <c r="A1515" s="5048"/>
      <c r="B1515" s="5048"/>
      <c r="C1515" s="5048"/>
      <c r="D1515" s="6690"/>
      <c r="E1515" s="5048"/>
      <c r="F1515" s="6690"/>
      <c r="G1515" s="6690"/>
      <c r="H1515" s="6690"/>
      <c r="I1515" s="6692"/>
      <c r="J1515" s="6690"/>
      <c r="K1515" s="6696"/>
      <c r="L1515" s="6690"/>
      <c r="M1515" s="5048"/>
      <c r="N1515" s="5048"/>
      <c r="O1515" s="5048"/>
      <c r="P1515" s="5048"/>
      <c r="Q1515" s="5048"/>
      <c r="R1515" s="5048"/>
      <c r="S1515" s="5048"/>
      <c r="T1515" s="5048"/>
      <c r="U1515" s="5048"/>
      <c r="V1515" s="5048"/>
      <c r="W1515" s="5048"/>
      <c r="X1515" s="5048"/>
      <c r="Y1515" s="5048"/>
      <c r="Z1515" s="5048"/>
      <c r="AA1515" s="5048"/>
      <c r="AB1515" s="6690"/>
      <c r="AC1515" s="2680">
        <v>2</v>
      </c>
      <c r="AD1515" s="5887" t="s">
        <v>2527</v>
      </c>
      <c r="AE1515" s="5079">
        <v>0.3</v>
      </c>
      <c r="AF1515" s="2680">
        <f>6420242.11*AE1515</f>
        <v>1926072.633</v>
      </c>
      <c r="AG1515" s="2680">
        <f t="shared" si="303"/>
        <v>1964217.723</v>
      </c>
      <c r="AH1515" s="2680" t="s">
        <v>206</v>
      </c>
      <c r="AI1515" s="2680">
        <v>43486</v>
      </c>
      <c r="AJ1515" s="2680" t="s">
        <v>171</v>
      </c>
      <c r="AK1515" s="2680" t="s">
        <v>171</v>
      </c>
      <c r="AL1515" s="2680">
        <v>1964217.723</v>
      </c>
      <c r="AM1515" s="2680">
        <v>43486</v>
      </c>
      <c r="AN1515" s="2680">
        <f t="shared" si="304"/>
        <v>0</v>
      </c>
      <c r="AO1515" s="2680">
        <v>43550</v>
      </c>
      <c r="AP1515" s="859">
        <v>0</v>
      </c>
      <c r="AQ1515" s="5079"/>
      <c r="AR1515" s="2680" t="s">
        <v>171</v>
      </c>
      <c r="AS1515" s="5079" t="s">
        <v>171</v>
      </c>
      <c r="AT1515" s="2680" t="s">
        <v>171</v>
      </c>
      <c r="AU1515" s="2680"/>
      <c r="AV1515" s="859"/>
      <c r="AW1515" s="859"/>
      <c r="AX1515" s="859"/>
      <c r="AY1515" s="857"/>
      <c r="AZ1515" s="857"/>
      <c r="BA1515" s="5796"/>
      <c r="BB1515" s="5796"/>
      <c r="BC1515" s="2678">
        <f>1964217.723-BH1515</f>
        <v>1780119.693</v>
      </c>
      <c r="BD1515" s="2678"/>
      <c r="BE1515" s="2678"/>
      <c r="BF1515" s="2678"/>
      <c r="BG1515" s="2678"/>
      <c r="BH1515" s="2678">
        <f>608148*0.5-BH1514</f>
        <v>184098.03</v>
      </c>
      <c r="BI1515" s="5796"/>
      <c r="BJ1515" s="5796"/>
      <c r="BK1515" s="5796"/>
      <c r="BL1515" s="5796"/>
      <c r="BM1515" s="5796"/>
      <c r="BN1515" s="5796"/>
      <c r="BO1515" s="5331"/>
      <c r="BP1515" s="5331"/>
      <c r="BQ1515" s="5331">
        <v>0</v>
      </c>
      <c r="BR1515" s="5331"/>
      <c r="BS1515" s="5331"/>
      <c r="BT1515" s="5331"/>
      <c r="BU1515" s="5331"/>
      <c r="BV1515" s="5331">
        <v>0</v>
      </c>
      <c r="BW1515" s="5331"/>
      <c r="BX1515" s="5331"/>
      <c r="BY1515" s="5331"/>
      <c r="BZ1515" s="5331"/>
      <c r="CA1515" s="5331"/>
      <c r="CB1515" s="5331"/>
      <c r="CC1515" s="2680"/>
      <c r="CD1515" s="2680"/>
      <c r="CE1515" s="5039"/>
      <c r="CF1515" s="5039"/>
      <c r="CG1515" s="5039"/>
      <c r="CH1515" s="5039"/>
    </row>
    <row r="1516" s="4971" customFormat="1" ht="61" spans="1:86">
      <c r="A1516" s="5048"/>
      <c r="B1516" s="5048"/>
      <c r="C1516" s="5048"/>
      <c r="D1516" s="6690"/>
      <c r="E1516" s="5048"/>
      <c r="F1516" s="6690"/>
      <c r="G1516" s="6690"/>
      <c r="H1516" s="6690"/>
      <c r="I1516" s="6692"/>
      <c r="J1516" s="6690"/>
      <c r="K1516" s="6696"/>
      <c r="L1516" s="6690"/>
      <c r="M1516" s="5048"/>
      <c r="N1516" s="5048"/>
      <c r="O1516" s="5048"/>
      <c r="P1516" s="5048"/>
      <c r="Q1516" s="5048"/>
      <c r="R1516" s="5048"/>
      <c r="S1516" s="5048"/>
      <c r="T1516" s="5048"/>
      <c r="U1516" s="5048"/>
      <c r="V1516" s="5048"/>
      <c r="W1516" s="5048"/>
      <c r="X1516" s="5048"/>
      <c r="Y1516" s="5048"/>
      <c r="Z1516" s="5048"/>
      <c r="AA1516" s="5048"/>
      <c r="AB1516" s="6690"/>
      <c r="AC1516" s="2680">
        <v>3</v>
      </c>
      <c r="AD1516" s="5887" t="s">
        <v>2528</v>
      </c>
      <c r="AE1516" s="5079">
        <v>0.4</v>
      </c>
      <c r="AF1516" s="2680">
        <f>6420242.11*AE1516</f>
        <v>2568096.844</v>
      </c>
      <c r="AG1516" s="2680">
        <f t="shared" si="303"/>
        <v>2598612.916</v>
      </c>
      <c r="AH1516" s="2680" t="s">
        <v>206</v>
      </c>
      <c r="AI1516" s="2680">
        <v>43486</v>
      </c>
      <c r="AJ1516" s="2680" t="s">
        <v>171</v>
      </c>
      <c r="AK1516" s="2680" t="s">
        <v>171</v>
      </c>
      <c r="AL1516" s="2680">
        <v>2598612.916</v>
      </c>
      <c r="AM1516" s="2680">
        <v>43486</v>
      </c>
      <c r="AN1516" s="2680">
        <f t="shared" si="304"/>
        <v>1346879.06</v>
      </c>
      <c r="AO1516" s="859">
        <v>43646</v>
      </c>
      <c r="AP1516" s="859">
        <v>0</v>
      </c>
      <c r="AQ1516" s="5079"/>
      <c r="AR1516" s="6711" t="s">
        <v>2529</v>
      </c>
      <c r="AS1516" s="5079" t="s">
        <v>171</v>
      </c>
      <c r="AT1516" s="2680"/>
      <c r="AU1516" s="2680"/>
      <c r="AV1516" s="859"/>
      <c r="AW1516" s="859"/>
      <c r="AX1516" s="859"/>
      <c r="AY1516" s="857"/>
      <c r="AZ1516" s="857"/>
      <c r="BA1516" s="5796"/>
      <c r="BB1516" s="5796"/>
      <c r="BC1516" s="2678">
        <f>(2432592+3455792.29)*0.4</f>
        <v>2355353.716</v>
      </c>
      <c r="BD1516" s="2678"/>
      <c r="BE1516" s="2678"/>
      <c r="BF1516" s="2678"/>
      <c r="BG1516" s="2678"/>
      <c r="BH1516" s="2678">
        <f>608148*0.4</f>
        <v>243259.2</v>
      </c>
      <c r="BI1516" s="5796"/>
      <c r="BJ1516" s="5796"/>
      <c r="BK1516" s="5796"/>
      <c r="BL1516" s="5796"/>
      <c r="BM1516" s="5796"/>
      <c r="BN1516" s="5796"/>
      <c r="BO1516" s="5331"/>
      <c r="BP1516" s="5331"/>
      <c r="BQ1516" s="5331">
        <v>1220796.13</v>
      </c>
      <c r="BR1516" s="5331"/>
      <c r="BS1516" s="5331"/>
      <c r="BT1516" s="5331"/>
      <c r="BU1516" s="5331"/>
      <c r="BV1516" s="5331">
        <v>126082.93</v>
      </c>
      <c r="BW1516" s="5331"/>
      <c r="BX1516" s="5331"/>
      <c r="BY1516" s="5331"/>
      <c r="BZ1516" s="5331"/>
      <c r="CA1516" s="5331"/>
      <c r="CB1516" s="5331"/>
      <c r="CC1516" s="2680"/>
      <c r="CD1516" s="2680"/>
      <c r="CE1516" s="5039"/>
      <c r="CF1516" s="5039"/>
      <c r="CG1516" s="5039"/>
      <c r="CH1516" s="5039"/>
    </row>
    <row r="1517" s="4971" customFormat="1" ht="16" spans="1:86">
      <c r="A1517" s="5048"/>
      <c r="B1517" s="5048"/>
      <c r="C1517" s="5048"/>
      <c r="D1517" s="6690"/>
      <c r="E1517" s="5048"/>
      <c r="F1517" s="6690"/>
      <c r="G1517" s="6690"/>
      <c r="H1517" s="6690"/>
      <c r="I1517" s="6692"/>
      <c r="J1517" s="6690"/>
      <c r="K1517" s="6696"/>
      <c r="L1517" s="6690"/>
      <c r="M1517" s="5048"/>
      <c r="N1517" s="5048"/>
      <c r="O1517" s="5048"/>
      <c r="P1517" s="5048"/>
      <c r="Q1517" s="5048"/>
      <c r="R1517" s="5048"/>
      <c r="S1517" s="5048"/>
      <c r="T1517" s="5048"/>
      <c r="U1517" s="5048"/>
      <c r="V1517" s="5048"/>
      <c r="W1517" s="5048"/>
      <c r="X1517" s="5048"/>
      <c r="Y1517" s="5048"/>
      <c r="Z1517" s="5048"/>
      <c r="AA1517" s="5048"/>
      <c r="AB1517" s="6690"/>
      <c r="AC1517" s="2680">
        <v>4</v>
      </c>
      <c r="AD1517" s="5887" t="s">
        <v>2530</v>
      </c>
      <c r="AE1517" s="5079">
        <v>0.05</v>
      </c>
      <c r="AF1517" s="2678">
        <f>6420242.11*AE1517</f>
        <v>321012.1055</v>
      </c>
      <c r="AG1517" s="2678">
        <f t="shared" si="303"/>
        <v>324826.614499999</v>
      </c>
      <c r="AH1517" s="859" t="s">
        <v>122</v>
      </c>
      <c r="AI1517" s="2678">
        <v>44526</v>
      </c>
      <c r="AJ1517" s="2680"/>
      <c r="AK1517" s="2680"/>
      <c r="AL1517" s="2680">
        <v>324826.614499999</v>
      </c>
      <c r="AM1517" s="2678">
        <v>44930</v>
      </c>
      <c r="AN1517" s="2678">
        <f t="shared" si="304"/>
        <v>324826.614499999</v>
      </c>
      <c r="AO1517" s="2678">
        <v>44970</v>
      </c>
      <c r="AP1517" s="859">
        <f>AG1517-AN1517</f>
        <v>0</v>
      </c>
      <c r="AQ1517" s="5079" t="s">
        <v>2531</v>
      </c>
      <c r="AR1517" s="5973"/>
      <c r="AS1517" s="5079"/>
      <c r="AT1517" s="2680"/>
      <c r="AU1517" s="2680"/>
      <c r="AV1517" s="859"/>
      <c r="AW1517" s="859"/>
      <c r="AX1517" s="859"/>
      <c r="AY1517" s="857"/>
      <c r="AZ1517" s="857"/>
      <c r="BA1517" s="5796"/>
      <c r="BB1517" s="5796"/>
      <c r="BC1517" s="2678">
        <f>6496532.29*0.95-BC1514-BC1515-BC1516-BH1514-BH1515-BH1516-BH1517</f>
        <v>294419.214499999</v>
      </c>
      <c r="BD1517" s="5796"/>
      <c r="BE1517" s="5796"/>
      <c r="BF1517" s="5796"/>
      <c r="BG1517" s="5796"/>
      <c r="BH1517" s="2678">
        <f>121629.6*5*0.95-BH1514-BH1515-BH1516</f>
        <v>30407.4</v>
      </c>
      <c r="BI1517" s="5796"/>
      <c r="BJ1517" s="5796"/>
      <c r="BK1517" s="5796"/>
      <c r="BL1517" s="5796"/>
      <c r="BM1517" s="5796"/>
      <c r="BN1517" s="5796"/>
      <c r="BO1517" s="5331"/>
      <c r="BP1517" s="5331"/>
      <c r="BQ1517" s="5796">
        <v>294419.214499999</v>
      </c>
      <c r="BR1517" s="5860"/>
      <c r="BS1517" s="5860"/>
      <c r="BT1517" s="5860"/>
      <c r="BU1517" s="5860"/>
      <c r="BV1517" s="5796">
        <v>30407.4</v>
      </c>
      <c r="BW1517" s="5331"/>
      <c r="BX1517" s="5331"/>
      <c r="BY1517" s="5331"/>
      <c r="BZ1517" s="5331"/>
      <c r="CA1517" s="5331"/>
      <c r="CB1517" s="5331"/>
      <c r="CC1517" s="2680"/>
      <c r="CD1517" s="2680"/>
      <c r="CE1517" s="5039"/>
      <c r="CF1517" s="5039"/>
      <c r="CG1517" s="5039"/>
      <c r="CH1517" s="5039"/>
    </row>
    <row r="1518" s="4971" customFormat="1" ht="45" customHeight="1" spans="1:86">
      <c r="A1518" s="5048"/>
      <c r="B1518" s="5048"/>
      <c r="C1518" s="5048"/>
      <c r="D1518" s="6690"/>
      <c r="E1518" s="5048"/>
      <c r="F1518" s="6690"/>
      <c r="G1518" s="6690"/>
      <c r="H1518" s="6690"/>
      <c r="I1518" s="6692"/>
      <c r="J1518" s="6690"/>
      <c r="K1518" s="6696"/>
      <c r="L1518" s="6690"/>
      <c r="M1518" s="5048"/>
      <c r="N1518" s="5048"/>
      <c r="O1518" s="5048"/>
      <c r="P1518" s="5048"/>
      <c r="Q1518" s="5048"/>
      <c r="R1518" s="5048"/>
      <c r="S1518" s="5048"/>
      <c r="T1518" s="5048"/>
      <c r="U1518" s="5048"/>
      <c r="V1518" s="5048"/>
      <c r="W1518" s="5048"/>
      <c r="X1518" s="5048"/>
      <c r="Y1518" s="5048"/>
      <c r="Z1518" s="5048"/>
      <c r="AA1518" s="5048"/>
      <c r="AB1518" s="6690"/>
      <c r="AC1518" s="2680">
        <v>5</v>
      </c>
      <c r="AD1518" s="5857" t="s">
        <v>2532</v>
      </c>
      <c r="AE1518" s="5079">
        <v>0.05</v>
      </c>
      <c r="AF1518" s="2680">
        <f>6420242.11*AE1518</f>
        <v>321012.1055</v>
      </c>
      <c r="AG1518" s="2678">
        <f t="shared" si="303"/>
        <v>373149.4945</v>
      </c>
      <c r="AH1518" s="859" t="s">
        <v>122</v>
      </c>
      <c r="AI1518" s="2678">
        <v>44879</v>
      </c>
      <c r="AJ1518" s="2680"/>
      <c r="AK1518" s="2680"/>
      <c r="AL1518" s="2680">
        <f>6496532.29-BC1514-BC1515-BC1516-BC1517-BH1514-BH1515-BH1516-BH1517-BH1518+46128.45+BH1518</f>
        <v>370955.0645</v>
      </c>
      <c r="AM1518" s="2680">
        <v>44930</v>
      </c>
      <c r="AN1518" s="2678">
        <f t="shared" si="304"/>
        <v>370955.065500001</v>
      </c>
      <c r="AO1518" s="2678">
        <v>44970</v>
      </c>
      <c r="AP1518" s="859">
        <f>AG1518+AG1519-AN1518</f>
        <v>-0.00100000092061237</v>
      </c>
      <c r="AQ1518" s="1035" t="s">
        <v>2533</v>
      </c>
      <c r="AR1518" s="2680"/>
      <c r="AS1518" s="5079"/>
      <c r="AT1518" s="2680"/>
      <c r="AU1518" s="2680"/>
      <c r="AV1518" s="859"/>
      <c r="AW1518" s="859"/>
      <c r="AX1518" s="859"/>
      <c r="AY1518" s="857"/>
      <c r="AZ1518" s="857"/>
      <c r="BA1518" s="5796"/>
      <c r="BB1518" s="5796"/>
      <c r="BC1518" s="2678">
        <f>6496532.29-BC1514-BC1515-BC1516-BC1517-BH1514-BH1515-BH1516-BH1517-BH1518+48322.88</f>
        <v>342742.0945</v>
      </c>
      <c r="BD1518" s="5796"/>
      <c r="BE1518" s="5796"/>
      <c r="BF1518" s="5796"/>
      <c r="BG1518" s="5796"/>
      <c r="BH1518" s="2678">
        <f>121629.6*5-BH1514-BH1515-BH1516-BH1517</f>
        <v>30407.4</v>
      </c>
      <c r="BI1518" s="5796"/>
      <c r="BJ1518" s="5796"/>
      <c r="BK1518" s="5796"/>
      <c r="BL1518" s="5796"/>
      <c r="BM1518" s="5796"/>
      <c r="BN1518" s="5796"/>
      <c r="BO1518" s="5331"/>
      <c r="BP1518" s="5331"/>
      <c r="BQ1518" s="2678">
        <f>6496532.29-BQ1514-BQ1515-BQ1516-BQ1517-BV1514-BV1515-BV1516-BV1517-BV1518+46128.45</f>
        <v>340547.665500001</v>
      </c>
      <c r="BR1518" s="5331"/>
      <c r="BS1518" s="5331"/>
      <c r="BT1518" s="5331"/>
      <c r="BU1518" s="5331"/>
      <c r="BV1518" s="2678">
        <f>121629.6*5-BV1514-BV1515-BV1516-BV1517</f>
        <v>30407.4</v>
      </c>
      <c r="BW1518" s="5331"/>
      <c r="BX1518" s="5331"/>
      <c r="BY1518" s="5331"/>
      <c r="BZ1518" s="5331"/>
      <c r="CA1518" s="5331"/>
      <c r="CB1518" s="5331"/>
      <c r="CC1518" s="2680"/>
      <c r="CD1518" s="2680"/>
      <c r="CE1518" s="5039"/>
      <c r="CF1518" s="5039"/>
      <c r="CG1518" s="5039"/>
      <c r="CH1518" s="5039"/>
    </row>
    <row r="1519" s="4971" customFormat="1" ht="45" customHeight="1" spans="1:86">
      <c r="A1519" s="5048"/>
      <c r="B1519" s="5048"/>
      <c r="C1519" s="5048"/>
      <c r="D1519" s="6690"/>
      <c r="E1519" s="5048"/>
      <c r="F1519" s="6690"/>
      <c r="G1519" s="6690"/>
      <c r="H1519" s="6690"/>
      <c r="I1519" s="6693"/>
      <c r="J1519" s="6690"/>
      <c r="K1519" s="6696"/>
      <c r="L1519" s="6690"/>
      <c r="M1519" s="5048"/>
      <c r="N1519" s="5048"/>
      <c r="O1519" s="5048"/>
      <c r="P1519" s="5048"/>
      <c r="Q1519" s="5048"/>
      <c r="R1519" s="5048"/>
      <c r="S1519" s="5048"/>
      <c r="T1519" s="5048"/>
      <c r="U1519" s="5048"/>
      <c r="V1519" s="5048"/>
      <c r="W1519" s="5048"/>
      <c r="X1519" s="5048"/>
      <c r="Y1519" s="5048"/>
      <c r="Z1519" s="5048"/>
      <c r="AA1519" s="5048"/>
      <c r="AB1519" s="6690"/>
      <c r="AC1519" s="2680"/>
      <c r="AD1519" s="5857"/>
      <c r="AE1519" s="5079"/>
      <c r="AF1519" s="2680"/>
      <c r="AG1519" s="2678">
        <f t="shared" si="303"/>
        <v>-2194.43</v>
      </c>
      <c r="AH1519" s="859" t="s">
        <v>122</v>
      </c>
      <c r="AI1519" s="2678">
        <v>44940</v>
      </c>
      <c r="AJ1519" s="2680"/>
      <c r="AK1519" s="2680"/>
      <c r="AL1519" s="2680"/>
      <c r="AM1519" s="2680"/>
      <c r="AN1519" s="2678"/>
      <c r="AO1519" s="2678"/>
      <c r="AP1519" s="859"/>
      <c r="AQ1519" s="1035"/>
      <c r="AR1519" s="2680"/>
      <c r="AS1519" s="5079"/>
      <c r="AT1519" s="2680"/>
      <c r="AU1519" s="2680"/>
      <c r="AV1519" s="859"/>
      <c r="AW1519" s="859"/>
      <c r="AX1519" s="859"/>
      <c r="AY1519" s="857"/>
      <c r="AZ1519" s="857"/>
      <c r="BA1519" s="5331"/>
      <c r="BB1519" s="5331"/>
      <c r="BC1519" s="2678">
        <v>-2194.43</v>
      </c>
      <c r="BD1519" s="5331"/>
      <c r="BE1519" s="5331"/>
      <c r="BF1519" s="5331"/>
      <c r="BG1519" s="5331"/>
      <c r="BH1519" s="6716"/>
      <c r="BI1519" s="5331"/>
      <c r="BJ1519" s="5331"/>
      <c r="BK1519" s="5331"/>
      <c r="BL1519" s="5331"/>
      <c r="BM1519" s="5331"/>
      <c r="BN1519" s="5860"/>
      <c r="BO1519" s="5331"/>
      <c r="BP1519" s="5331"/>
      <c r="BQ1519" s="6716"/>
      <c r="BR1519" s="5331"/>
      <c r="BS1519" s="5331"/>
      <c r="BT1519" s="5331"/>
      <c r="BU1519" s="5331"/>
      <c r="BV1519" s="6716"/>
      <c r="BW1519" s="5331"/>
      <c r="BX1519" s="5331"/>
      <c r="BY1519" s="5331"/>
      <c r="BZ1519" s="5331"/>
      <c r="CA1519" s="5331"/>
      <c r="CB1519" s="5331"/>
      <c r="CC1519" s="2680"/>
      <c r="CD1519" s="2680"/>
      <c r="CE1519" s="5039"/>
      <c r="CF1519" s="5039"/>
      <c r="CG1519" s="5039"/>
      <c r="CH1519" s="5039"/>
    </row>
    <row r="1520" s="4971" customFormat="1" ht="56.25" customHeight="1" spans="1:86">
      <c r="A1520" s="6690"/>
      <c r="B1520" s="6690" t="s">
        <v>2466</v>
      </c>
      <c r="C1520" s="6690">
        <v>43840</v>
      </c>
      <c r="D1520" s="6690" t="s">
        <v>2519</v>
      </c>
      <c r="E1520" s="6690" t="s">
        <v>113</v>
      </c>
      <c r="F1520" s="6690" t="s">
        <v>2534</v>
      </c>
      <c r="G1520" s="6690" t="s">
        <v>2535</v>
      </c>
      <c r="H1520" s="6690" t="s">
        <v>2536</v>
      </c>
      <c r="I1520" s="6690"/>
      <c r="J1520" s="6690" t="s">
        <v>2473</v>
      </c>
      <c r="K1520" s="6690" t="s">
        <v>171</v>
      </c>
      <c r="L1520" s="6690" t="s">
        <v>171</v>
      </c>
      <c r="M1520" s="6690">
        <f>SUM(N1520:AA1520)</f>
        <v>80000</v>
      </c>
      <c r="N1520" s="6690">
        <v>0</v>
      </c>
      <c r="O1520" s="6690">
        <v>0</v>
      </c>
      <c r="P1520" s="6690">
        <v>0</v>
      </c>
      <c r="Q1520" s="6690">
        <v>0</v>
      </c>
      <c r="R1520" s="6690">
        <v>0</v>
      </c>
      <c r="S1520" s="6690">
        <v>0</v>
      </c>
      <c r="T1520" s="6690"/>
      <c r="U1520" s="6690">
        <v>0</v>
      </c>
      <c r="V1520" s="6690">
        <v>0</v>
      </c>
      <c r="W1520" s="6690">
        <v>0</v>
      </c>
      <c r="X1520" s="6690"/>
      <c r="Y1520" s="6690"/>
      <c r="Z1520" s="6690"/>
      <c r="AA1520" s="6690">
        <v>80000</v>
      </c>
      <c r="AB1520" s="6690" t="s">
        <v>2537</v>
      </c>
      <c r="AC1520" s="2680">
        <v>1</v>
      </c>
      <c r="AD1520" s="5887" t="s">
        <v>2538</v>
      </c>
      <c r="AE1520" s="5079">
        <v>1</v>
      </c>
      <c r="AF1520" s="2680">
        <v>80000</v>
      </c>
      <c r="AG1520" s="2680">
        <f t="shared" si="303"/>
        <v>80000</v>
      </c>
      <c r="AH1520" s="2680" t="s">
        <v>206</v>
      </c>
      <c r="AI1520" s="2680">
        <v>43938</v>
      </c>
      <c r="AJ1520" s="2680" t="s">
        <v>171</v>
      </c>
      <c r="AK1520" s="2680" t="s">
        <v>171</v>
      </c>
      <c r="AL1520" s="2680">
        <v>80000</v>
      </c>
      <c r="AM1520" s="2680">
        <v>43938</v>
      </c>
      <c r="AN1520" s="2680">
        <f t="shared" ref="AN1520:AN1525" si="305">SUM(BO1520:CB1520)</f>
        <v>80000</v>
      </c>
      <c r="AO1520" s="859">
        <v>43971</v>
      </c>
      <c r="AP1520" s="859">
        <f>AG1520-AN1520</f>
        <v>0</v>
      </c>
      <c r="AQ1520" s="5079"/>
      <c r="AR1520" s="2680" t="s">
        <v>171</v>
      </c>
      <c r="AS1520" s="5079" t="s">
        <v>171</v>
      </c>
      <c r="AT1520" s="2680" t="s">
        <v>171</v>
      </c>
      <c r="AU1520" s="2680">
        <f>AG1520</f>
        <v>80000</v>
      </c>
      <c r="AV1520" s="859">
        <f>AL1520</f>
        <v>80000</v>
      </c>
      <c r="AW1520" s="859">
        <f>AN1520</f>
        <v>80000</v>
      </c>
      <c r="AX1520" s="859">
        <f>M1520-AU1520</f>
        <v>0</v>
      </c>
      <c r="AY1520" s="857">
        <f>AU1520-AV1520</f>
        <v>0</v>
      </c>
      <c r="AZ1520" s="857">
        <f>AV1520-AW1520</f>
        <v>0</v>
      </c>
      <c r="BA1520" s="5796"/>
      <c r="BB1520" s="5796"/>
      <c r="BC1520" s="2678"/>
      <c r="BD1520" s="5796"/>
      <c r="BE1520" s="5796"/>
      <c r="BF1520" s="5796"/>
      <c r="BG1520" s="5796"/>
      <c r="BH1520" s="2678"/>
      <c r="BI1520" s="5796"/>
      <c r="BJ1520" s="5796"/>
      <c r="BK1520" s="5796"/>
      <c r="BL1520" s="5796"/>
      <c r="BM1520" s="5796"/>
      <c r="BN1520" s="5796">
        <v>80000</v>
      </c>
      <c r="BO1520" s="5331"/>
      <c r="BP1520" s="5331"/>
      <c r="BQ1520" s="5331"/>
      <c r="BR1520" s="5331"/>
      <c r="BS1520" s="5331"/>
      <c r="BT1520" s="5331"/>
      <c r="BU1520" s="5331"/>
      <c r="BV1520" s="5331"/>
      <c r="BW1520" s="5331"/>
      <c r="BX1520" s="5331"/>
      <c r="BY1520" s="5331"/>
      <c r="BZ1520" s="5331"/>
      <c r="CA1520" s="5331"/>
      <c r="CB1520" s="5796">
        <v>80000</v>
      </c>
      <c r="CC1520" s="2680"/>
      <c r="CD1520" s="2680"/>
      <c r="CE1520" s="5039"/>
      <c r="CF1520" s="5039"/>
      <c r="CG1520" s="5039"/>
      <c r="CH1520" s="5039"/>
    </row>
    <row r="1521" s="4971" customFormat="1" ht="76.5" customHeight="1" spans="1:86">
      <c r="A1521" s="6690"/>
      <c r="B1521" s="6690" t="s">
        <v>2466</v>
      </c>
      <c r="C1521" s="6690">
        <v>43413</v>
      </c>
      <c r="D1521" s="6690" t="s">
        <v>2539</v>
      </c>
      <c r="E1521" s="6690" t="s">
        <v>113</v>
      </c>
      <c r="F1521" s="6690" t="s">
        <v>2540</v>
      </c>
      <c r="G1521" s="6690" t="s">
        <v>2541</v>
      </c>
      <c r="H1521" s="6690" t="s">
        <v>286</v>
      </c>
      <c r="I1521" s="6690"/>
      <c r="J1521" s="6690" t="s">
        <v>2490</v>
      </c>
      <c r="K1521" s="6690" t="s">
        <v>171</v>
      </c>
      <c r="L1521" s="6690" t="s">
        <v>2542</v>
      </c>
      <c r="M1521" s="6690">
        <f>SUM(N1521:AA1521)</f>
        <v>1000000</v>
      </c>
      <c r="N1521" s="6690">
        <v>0</v>
      </c>
      <c r="O1521" s="6690">
        <v>0</v>
      </c>
      <c r="P1521" s="6690">
        <v>500000</v>
      </c>
      <c r="Q1521" s="6690">
        <v>500000</v>
      </c>
      <c r="R1521" s="6690">
        <v>0</v>
      </c>
      <c r="S1521" s="6690">
        <v>0</v>
      </c>
      <c r="T1521" s="6690"/>
      <c r="U1521" s="6690">
        <v>0</v>
      </c>
      <c r="V1521" s="6690">
        <v>0</v>
      </c>
      <c r="W1521" s="6690">
        <v>0</v>
      </c>
      <c r="X1521" s="6690"/>
      <c r="Y1521" s="6690"/>
      <c r="Z1521" s="6690"/>
      <c r="AA1521" s="6690">
        <v>0</v>
      </c>
      <c r="AB1521" s="6690" t="s">
        <v>113</v>
      </c>
      <c r="AC1521" s="2680">
        <v>1</v>
      </c>
      <c r="AD1521" s="5887" t="s">
        <v>2543</v>
      </c>
      <c r="AE1521" s="5079">
        <v>1</v>
      </c>
      <c r="AF1521" s="2680">
        <v>1000000</v>
      </c>
      <c r="AG1521" s="2680">
        <f t="shared" si="303"/>
        <v>0</v>
      </c>
      <c r="AH1521" s="2680"/>
      <c r="AI1521" s="2680"/>
      <c r="AJ1521" s="2680"/>
      <c r="AK1521" s="2680"/>
      <c r="AL1521" s="2680"/>
      <c r="AM1521" s="2680"/>
      <c r="AN1521" s="2680">
        <f t="shared" si="305"/>
        <v>0</v>
      </c>
      <c r="AO1521" s="2680"/>
      <c r="AP1521" s="859">
        <f>AG1521-AN1521</f>
        <v>0</v>
      </c>
      <c r="AQ1521" s="5079" t="s">
        <v>2544</v>
      </c>
      <c r="AR1521" s="2680"/>
      <c r="AS1521" s="1035" t="s">
        <v>2545</v>
      </c>
      <c r="AT1521" s="2680"/>
      <c r="AU1521" s="2680">
        <f>SUBTOTAL(9,AG1521)</f>
        <v>0</v>
      </c>
      <c r="AV1521" s="859">
        <f>SUBTOTAL(9,AL1521)</f>
        <v>0</v>
      </c>
      <c r="AW1521" s="859">
        <f>SUBTOTAL(9,AN1521)</f>
        <v>0</v>
      </c>
      <c r="AX1521" s="859">
        <f>M1521-AU1521</f>
        <v>1000000</v>
      </c>
      <c r="AY1521" s="857">
        <f>AU1521-AV1521</f>
        <v>0</v>
      </c>
      <c r="AZ1521" s="857">
        <f>AV1521-AW1521</f>
        <v>0</v>
      </c>
      <c r="BA1521" s="5331"/>
      <c r="BB1521" s="5331"/>
      <c r="BC1521" s="2680"/>
      <c r="BD1521" s="5331"/>
      <c r="BE1521" s="5331"/>
      <c r="BF1521" s="5331"/>
      <c r="BG1521" s="5331"/>
      <c r="BH1521" s="2680"/>
      <c r="BI1521" s="5331"/>
      <c r="BJ1521" s="5331"/>
      <c r="BK1521" s="5331"/>
      <c r="BL1521" s="5331"/>
      <c r="BM1521" s="5331"/>
      <c r="BN1521" s="5331"/>
      <c r="BO1521" s="5331"/>
      <c r="BP1521" s="5331"/>
      <c r="BQ1521" s="5331"/>
      <c r="BR1521" s="5331"/>
      <c r="BS1521" s="5331"/>
      <c r="BT1521" s="5331"/>
      <c r="BU1521" s="5331"/>
      <c r="BV1521" s="5331"/>
      <c r="BW1521" s="5331"/>
      <c r="BX1521" s="5331"/>
      <c r="BY1521" s="5331"/>
      <c r="BZ1521" s="5331"/>
      <c r="CA1521" s="5331"/>
      <c r="CB1521" s="5331"/>
      <c r="CC1521" s="2680"/>
      <c r="CD1521" s="2680"/>
      <c r="CE1521" s="5039"/>
      <c r="CF1521" s="5039"/>
      <c r="CG1521" s="5039"/>
      <c r="CH1521" s="5039"/>
    </row>
    <row r="1522" s="4971" customFormat="1" ht="72.75" customHeight="1" spans="1:86">
      <c r="A1522" s="6690"/>
      <c r="B1522" s="6690" t="s">
        <v>2466</v>
      </c>
      <c r="C1522" s="6690">
        <v>44397</v>
      </c>
      <c r="D1522" s="6690" t="s">
        <v>2546</v>
      </c>
      <c r="E1522" s="6690" t="s">
        <v>113</v>
      </c>
      <c r="F1522" s="6690" t="s">
        <v>2547</v>
      </c>
      <c r="G1522" s="6690" t="s">
        <v>2548</v>
      </c>
      <c r="H1522" s="6690" t="s">
        <v>2536</v>
      </c>
      <c r="I1522" s="6690"/>
      <c r="J1522" s="6690" t="s">
        <v>2473</v>
      </c>
      <c r="K1522" s="6690" t="s">
        <v>171</v>
      </c>
      <c r="L1522" s="6690" t="s">
        <v>171</v>
      </c>
      <c r="M1522" s="6690">
        <f>SUM(N1522:AA1522)</f>
        <v>80000</v>
      </c>
      <c r="N1522" s="6690"/>
      <c r="O1522" s="6690"/>
      <c r="P1522" s="6690">
        <v>80000</v>
      </c>
      <c r="Q1522" s="6690"/>
      <c r="R1522" s="6690"/>
      <c r="S1522" s="6690"/>
      <c r="T1522" s="6690"/>
      <c r="U1522" s="6690"/>
      <c r="V1522" s="6690"/>
      <c r="W1522" s="6690"/>
      <c r="X1522" s="6690"/>
      <c r="Y1522" s="6690"/>
      <c r="Z1522" s="6690"/>
      <c r="AA1522" s="6690"/>
      <c r="AB1522" s="6690"/>
      <c r="AC1522" s="2680">
        <v>1</v>
      </c>
      <c r="AD1522" s="6703" t="s">
        <v>2549</v>
      </c>
      <c r="AE1522" s="5079">
        <v>1</v>
      </c>
      <c r="AF1522" s="2680">
        <v>80000</v>
      </c>
      <c r="AG1522" s="2680">
        <f t="shared" si="303"/>
        <v>80000</v>
      </c>
      <c r="AH1522" s="2680" t="s">
        <v>122</v>
      </c>
      <c r="AI1522" s="2680">
        <v>44446</v>
      </c>
      <c r="AJ1522" s="2680">
        <v>80000</v>
      </c>
      <c r="AK1522" s="2680">
        <v>44446</v>
      </c>
      <c r="AL1522" s="2680">
        <v>80000</v>
      </c>
      <c r="AM1522" s="2680">
        <v>44446</v>
      </c>
      <c r="AN1522" s="2680">
        <f t="shared" si="305"/>
        <v>80000</v>
      </c>
      <c r="AO1522" s="2680">
        <v>44453</v>
      </c>
      <c r="AP1522" s="859">
        <f>AG1522-AN1522</f>
        <v>0</v>
      </c>
      <c r="AQ1522" s="5079"/>
      <c r="AR1522" s="2680"/>
      <c r="AS1522" s="1035"/>
      <c r="AT1522" s="2680"/>
      <c r="AU1522" s="2680">
        <f>SUBTOTAL(9,AG1522)</f>
        <v>80000</v>
      </c>
      <c r="AV1522" s="859">
        <f>SUBTOTAL(9,AL1522)</f>
        <v>80000</v>
      </c>
      <c r="AW1522" s="859">
        <f>SUBTOTAL(9,AN1522)</f>
        <v>80000</v>
      </c>
      <c r="AX1522" s="859">
        <f>M1522-AU1522</f>
        <v>0</v>
      </c>
      <c r="AY1522" s="857">
        <f>AU1522-AV1522</f>
        <v>0</v>
      </c>
      <c r="AZ1522" s="857">
        <f>AV1522-AW1522</f>
        <v>0</v>
      </c>
      <c r="BA1522" s="5796"/>
      <c r="BB1522" s="5796"/>
      <c r="BC1522" s="2678">
        <v>80000</v>
      </c>
      <c r="BD1522" s="5796"/>
      <c r="BE1522" s="5796"/>
      <c r="BF1522" s="5796"/>
      <c r="BG1522" s="5796"/>
      <c r="BH1522" s="2678"/>
      <c r="BI1522" s="5796"/>
      <c r="BJ1522" s="5796"/>
      <c r="BK1522" s="5796"/>
      <c r="BL1522" s="5796"/>
      <c r="BM1522" s="5796"/>
      <c r="BN1522" s="5796"/>
      <c r="BO1522" s="5331"/>
      <c r="BP1522" s="5331"/>
      <c r="BQ1522" s="5331">
        <v>80000</v>
      </c>
      <c r="BR1522" s="5331"/>
      <c r="BS1522" s="5331"/>
      <c r="BT1522" s="5331"/>
      <c r="BU1522" s="5331"/>
      <c r="BV1522" s="5331"/>
      <c r="BW1522" s="5331"/>
      <c r="BX1522" s="5331"/>
      <c r="BY1522" s="5331"/>
      <c r="BZ1522" s="5331"/>
      <c r="CA1522" s="5331"/>
      <c r="CB1522" s="5331"/>
      <c r="CC1522" s="2680"/>
      <c r="CD1522" s="2680"/>
      <c r="CE1522" s="5039"/>
      <c r="CF1522" s="5039"/>
      <c r="CG1522" s="5039"/>
      <c r="CH1522" s="5039"/>
    </row>
    <row r="1523" s="4971" customFormat="1" ht="68.25" customHeight="1" spans="1:86">
      <c r="A1523" s="6690"/>
      <c r="B1523" s="6690" t="s">
        <v>2466</v>
      </c>
      <c r="C1523" s="6690">
        <v>44652</v>
      </c>
      <c r="D1523" s="6690" t="s">
        <v>2546</v>
      </c>
      <c r="E1523" s="6690" t="s">
        <v>113</v>
      </c>
      <c r="F1523" s="5712" t="s">
        <v>2550</v>
      </c>
      <c r="G1523" s="5712" t="s">
        <v>2551</v>
      </c>
      <c r="H1523" s="6690" t="s">
        <v>2536</v>
      </c>
      <c r="I1523" s="6690"/>
      <c r="J1523" s="6690" t="s">
        <v>2473</v>
      </c>
      <c r="K1523" s="5712" t="s">
        <v>171</v>
      </c>
      <c r="L1523" s="5712" t="s">
        <v>171</v>
      </c>
      <c r="M1523" s="6690">
        <f>SUM(N1523:AA1523)</f>
        <v>170000</v>
      </c>
      <c r="N1523" s="6690"/>
      <c r="O1523" s="6690"/>
      <c r="P1523" s="6690"/>
      <c r="Q1523" s="6690"/>
      <c r="R1523" s="6690"/>
      <c r="S1523" s="6690"/>
      <c r="T1523" s="6690"/>
      <c r="U1523" s="6690"/>
      <c r="V1523" s="6690"/>
      <c r="W1523" s="6690"/>
      <c r="X1523" s="6690"/>
      <c r="Y1523" s="6690"/>
      <c r="Z1523" s="6690"/>
      <c r="AA1523" s="6690">
        <v>170000</v>
      </c>
      <c r="AB1523" s="5712" t="s">
        <v>126</v>
      </c>
      <c r="AC1523" s="2680">
        <v>1</v>
      </c>
      <c r="AD1523" s="6704" t="s">
        <v>2552</v>
      </c>
      <c r="AE1523" s="5079">
        <v>1</v>
      </c>
      <c r="AF1523" s="2680">
        <f>AA1523*AE1523</f>
        <v>170000</v>
      </c>
      <c r="AG1523" s="2680">
        <f t="shared" si="303"/>
        <v>170000</v>
      </c>
      <c r="AH1523" s="859" t="s">
        <v>122</v>
      </c>
      <c r="AI1523" s="2680">
        <v>44781</v>
      </c>
      <c r="AJ1523" s="2680">
        <v>170000</v>
      </c>
      <c r="AK1523" s="2680">
        <v>44781</v>
      </c>
      <c r="AL1523" s="2680">
        <v>170000</v>
      </c>
      <c r="AM1523" s="2680">
        <v>44788</v>
      </c>
      <c r="AN1523" s="2678">
        <f t="shared" si="305"/>
        <v>170000</v>
      </c>
      <c r="AO1523" s="2678">
        <v>44796</v>
      </c>
      <c r="AP1523" s="859"/>
      <c r="AQ1523" s="5079"/>
      <c r="AR1523" s="2680"/>
      <c r="AS1523" s="1035"/>
      <c r="AT1523" s="2680"/>
      <c r="AU1523" s="2680"/>
      <c r="AV1523" s="859"/>
      <c r="AW1523" s="859"/>
      <c r="AX1523" s="859"/>
      <c r="AY1523" s="857"/>
      <c r="AZ1523" s="857"/>
      <c r="BA1523" s="5796"/>
      <c r="BB1523" s="5796"/>
      <c r="BC1523" s="2678"/>
      <c r="BD1523" s="5796"/>
      <c r="BE1523" s="5796"/>
      <c r="BF1523" s="5796"/>
      <c r="BG1523" s="5796"/>
      <c r="BH1523" s="2678"/>
      <c r="BI1523" s="5796"/>
      <c r="BJ1523" s="5796"/>
      <c r="BK1523" s="5796"/>
      <c r="BL1523" s="5796"/>
      <c r="BM1523" s="5796"/>
      <c r="BN1523" s="5796">
        <v>170000</v>
      </c>
      <c r="BO1523" s="5331"/>
      <c r="BP1523" s="5331"/>
      <c r="BQ1523" s="6717"/>
      <c r="BR1523" s="5331"/>
      <c r="BS1523" s="5331"/>
      <c r="BT1523" s="5331"/>
      <c r="BU1523" s="5331"/>
      <c r="BV1523" s="5331"/>
      <c r="BW1523" s="5331"/>
      <c r="BX1523" s="5331"/>
      <c r="BY1523" s="5331"/>
      <c r="BZ1523" s="5331"/>
      <c r="CA1523" s="5331"/>
      <c r="CB1523" s="5796">
        <v>170000</v>
      </c>
      <c r="CC1523" s="859" t="s">
        <v>1112</v>
      </c>
      <c r="CD1523" s="859" t="s">
        <v>154</v>
      </c>
      <c r="CE1523" s="5039"/>
      <c r="CF1523" s="5039"/>
      <c r="CG1523" s="5039"/>
      <c r="CH1523" s="5039"/>
    </row>
    <row r="1524" s="4971" customFormat="1" ht="47.25" customHeight="1" spans="1:86">
      <c r="A1524" s="6690"/>
      <c r="B1524" s="6690" t="s">
        <v>2466</v>
      </c>
      <c r="C1524" s="6690">
        <v>43970</v>
      </c>
      <c r="D1524" s="5712" t="s">
        <v>2553</v>
      </c>
      <c r="E1524" s="6690" t="s">
        <v>171</v>
      </c>
      <c r="F1524" s="5712" t="s">
        <v>2554</v>
      </c>
      <c r="G1524" s="5712" t="s">
        <v>2555</v>
      </c>
      <c r="H1524" s="6690" t="s">
        <v>286</v>
      </c>
      <c r="I1524" s="6690"/>
      <c r="J1524" s="5712" t="s">
        <v>2490</v>
      </c>
      <c r="K1524" s="5712" t="s">
        <v>171</v>
      </c>
      <c r="L1524" s="6690" t="s">
        <v>2542</v>
      </c>
      <c r="M1524" s="6690">
        <f>SUM(N1524:AA1525)</f>
        <v>1000000</v>
      </c>
      <c r="N1524" s="6690">
        <v>0</v>
      </c>
      <c r="O1524" s="6690">
        <v>0</v>
      </c>
      <c r="P1524" s="6690">
        <v>800000</v>
      </c>
      <c r="Q1524" s="6690">
        <v>200000</v>
      </c>
      <c r="R1524" s="6690">
        <v>0</v>
      </c>
      <c r="S1524" s="6690">
        <v>0</v>
      </c>
      <c r="T1524" s="6690"/>
      <c r="U1524" s="6690">
        <v>0</v>
      </c>
      <c r="V1524" s="6690">
        <v>0</v>
      </c>
      <c r="W1524" s="6690">
        <v>0</v>
      </c>
      <c r="X1524" s="6690"/>
      <c r="Y1524" s="6690"/>
      <c r="Z1524" s="6690"/>
      <c r="AA1524" s="6690">
        <v>0</v>
      </c>
      <c r="AB1524" s="5712" t="s">
        <v>2556</v>
      </c>
      <c r="AC1524" s="2680">
        <v>1</v>
      </c>
      <c r="AD1524" s="5887" t="s">
        <v>2557</v>
      </c>
      <c r="AE1524" s="5079">
        <v>0.5</v>
      </c>
      <c r="AF1524" s="2680">
        <v>500000</v>
      </c>
      <c r="AG1524" s="2678">
        <f t="shared" si="303"/>
        <v>500000</v>
      </c>
      <c r="AH1524" s="2680" t="s">
        <v>206</v>
      </c>
      <c r="AI1524" s="2680">
        <v>44126</v>
      </c>
      <c r="AJ1524" s="2680" t="s">
        <v>171</v>
      </c>
      <c r="AK1524" s="2680" t="s">
        <v>171</v>
      </c>
      <c r="AL1524" s="2680">
        <v>500000</v>
      </c>
      <c r="AM1524" s="2680">
        <v>44126</v>
      </c>
      <c r="AN1524" s="2678">
        <f t="shared" si="305"/>
        <v>500000</v>
      </c>
      <c r="AO1524" s="2678">
        <v>44181</v>
      </c>
      <c r="AP1524" s="859">
        <f>AG1524-AN1524</f>
        <v>0</v>
      </c>
      <c r="AQ1524" s="5079"/>
      <c r="AR1524" s="859" t="s">
        <v>128</v>
      </c>
      <c r="AS1524" s="1035" t="s">
        <v>2558</v>
      </c>
      <c r="AT1524" s="2680"/>
      <c r="AU1524" s="2680">
        <f>SUBTOTAL(9,AG1524:AG1525)</f>
        <v>1000000</v>
      </c>
      <c r="AV1524" s="859">
        <f>SUBTOTAL(9,AL1524:AL1525)</f>
        <v>1000000</v>
      </c>
      <c r="AW1524" s="859">
        <f>SUBTOTAL(9,AN1524:AN1525)</f>
        <v>1000000</v>
      </c>
      <c r="AX1524" s="859">
        <f>M1524-AU1524</f>
        <v>0</v>
      </c>
      <c r="AY1524" s="857">
        <f>AU1524-AV1524</f>
        <v>0</v>
      </c>
      <c r="AZ1524" s="857">
        <f>AV1524-AW1524</f>
        <v>0</v>
      </c>
      <c r="BA1524" s="5796"/>
      <c r="BB1524" s="5796"/>
      <c r="BC1524" s="2678">
        <v>500000</v>
      </c>
      <c r="BD1524" s="5796"/>
      <c r="BE1524" s="5796"/>
      <c r="BF1524" s="5796"/>
      <c r="BG1524" s="5796"/>
      <c r="BH1524" s="2678"/>
      <c r="BI1524" s="5796"/>
      <c r="BJ1524" s="5796"/>
      <c r="BK1524" s="5796"/>
      <c r="BL1524" s="5796"/>
      <c r="BM1524" s="5796"/>
      <c r="BN1524" s="5796"/>
      <c r="BO1524" s="5331"/>
      <c r="BP1524" s="5331"/>
      <c r="BQ1524" s="5331">
        <v>500000</v>
      </c>
      <c r="BR1524" s="5331"/>
      <c r="BS1524" s="5331"/>
      <c r="BT1524" s="5331"/>
      <c r="BU1524" s="5331"/>
      <c r="BV1524" s="5331"/>
      <c r="BW1524" s="5331"/>
      <c r="BX1524" s="5331"/>
      <c r="BY1524" s="5331"/>
      <c r="BZ1524" s="5331"/>
      <c r="CA1524" s="5331"/>
      <c r="CB1524" s="5331"/>
      <c r="CC1524" s="2680" t="s">
        <v>1112</v>
      </c>
      <c r="CD1524" s="2680" t="s">
        <v>154</v>
      </c>
      <c r="CE1524" s="5039"/>
      <c r="CF1524" s="5039"/>
      <c r="CG1524" s="5039"/>
      <c r="CH1524" s="5039"/>
    </row>
    <row r="1525" s="4971" customFormat="1" ht="72.75" customHeight="1" spans="1:86">
      <c r="A1525" s="6690"/>
      <c r="B1525" s="6690"/>
      <c r="C1525" s="6690"/>
      <c r="D1525" s="5712"/>
      <c r="E1525" s="6690"/>
      <c r="F1525" s="5712"/>
      <c r="G1525" s="5712"/>
      <c r="H1525" s="6690"/>
      <c r="I1525" s="6690"/>
      <c r="J1525" s="5712"/>
      <c r="K1525" s="5712"/>
      <c r="L1525" s="6690"/>
      <c r="M1525" s="6690"/>
      <c r="N1525" s="6690"/>
      <c r="O1525" s="6690"/>
      <c r="P1525" s="6690"/>
      <c r="Q1525" s="6690"/>
      <c r="R1525" s="6690"/>
      <c r="S1525" s="6690"/>
      <c r="T1525" s="6690"/>
      <c r="U1525" s="6690"/>
      <c r="V1525" s="6690"/>
      <c r="W1525" s="6690"/>
      <c r="X1525" s="6690"/>
      <c r="Y1525" s="6690"/>
      <c r="Z1525" s="6690"/>
      <c r="AA1525" s="6690"/>
      <c r="AB1525" s="5712"/>
      <c r="AC1525" s="2680">
        <v>2</v>
      </c>
      <c r="AD1525" s="5887" t="s">
        <v>2559</v>
      </c>
      <c r="AE1525" s="5079">
        <v>0.5</v>
      </c>
      <c r="AF1525" s="2680">
        <v>500000</v>
      </c>
      <c r="AG1525" s="2678">
        <f t="shared" si="303"/>
        <v>500000</v>
      </c>
      <c r="AH1525" s="2680" t="s">
        <v>206</v>
      </c>
      <c r="AI1525" s="2680">
        <v>44176</v>
      </c>
      <c r="AJ1525" s="2680" t="s">
        <v>171</v>
      </c>
      <c r="AK1525" s="2680" t="s">
        <v>171</v>
      </c>
      <c r="AL1525" s="2680">
        <v>500000</v>
      </c>
      <c r="AM1525" s="2680">
        <v>44176</v>
      </c>
      <c r="AN1525" s="2678">
        <f t="shared" si="305"/>
        <v>500000</v>
      </c>
      <c r="AO1525" s="2680">
        <v>44214</v>
      </c>
      <c r="AP1525" s="859">
        <f>AG1525-AN1525</f>
        <v>0</v>
      </c>
      <c r="AQ1525" s="5079"/>
      <c r="AR1525" s="2680"/>
      <c r="AS1525" s="1035"/>
      <c r="AT1525" s="2680"/>
      <c r="AU1525" s="2680"/>
      <c r="AV1525" s="859"/>
      <c r="AW1525" s="859"/>
      <c r="AX1525" s="859"/>
      <c r="AY1525" s="857"/>
      <c r="AZ1525" s="857"/>
      <c r="BA1525" s="5796"/>
      <c r="BB1525" s="5796"/>
      <c r="BC1525" s="2678">
        <v>300000</v>
      </c>
      <c r="BD1525" s="5796">
        <v>200000</v>
      </c>
      <c r="BE1525" s="5796"/>
      <c r="BF1525" s="5796"/>
      <c r="BG1525" s="5796"/>
      <c r="BH1525" s="2678"/>
      <c r="BI1525" s="5796"/>
      <c r="BJ1525" s="5796"/>
      <c r="BK1525" s="5796"/>
      <c r="BL1525" s="5796"/>
      <c r="BM1525" s="5796"/>
      <c r="BN1525" s="5796"/>
      <c r="BO1525" s="5796"/>
      <c r="BP1525" s="5796"/>
      <c r="BQ1525" s="2678">
        <v>300000</v>
      </c>
      <c r="BR1525" s="5796">
        <v>200000</v>
      </c>
      <c r="BS1525" s="5796"/>
      <c r="BT1525" s="5796"/>
      <c r="BU1525" s="5796"/>
      <c r="BV1525" s="5796"/>
      <c r="BW1525" s="5796"/>
      <c r="BX1525" s="5796"/>
      <c r="BY1525" s="5796"/>
      <c r="BZ1525" s="5796"/>
      <c r="CA1525" s="5796"/>
      <c r="CB1525" s="5796"/>
      <c r="CC1525" s="2680"/>
      <c r="CD1525" s="2680"/>
      <c r="CE1525" s="5039"/>
      <c r="CF1525" s="5039"/>
      <c r="CG1525" s="5039"/>
      <c r="CH1525" s="5039"/>
    </row>
    <row r="1526" s="4971" customFormat="1" ht="30" customHeight="1" spans="1:86">
      <c r="A1526" s="6690"/>
      <c r="B1526" s="6690" t="s">
        <v>2466</v>
      </c>
      <c r="C1526" s="6690">
        <v>42849</v>
      </c>
      <c r="D1526" s="5712" t="s">
        <v>2560</v>
      </c>
      <c r="E1526" s="6690" t="s">
        <v>113</v>
      </c>
      <c r="F1526" s="6690" t="s">
        <v>2561</v>
      </c>
      <c r="G1526" s="6690" t="s">
        <v>2562</v>
      </c>
      <c r="H1526" s="6690" t="s">
        <v>31</v>
      </c>
      <c r="I1526" s="6690"/>
      <c r="J1526" s="6690" t="s">
        <v>2563</v>
      </c>
      <c r="K1526" s="6690">
        <v>86400</v>
      </c>
      <c r="L1526" s="6690" t="s">
        <v>2564</v>
      </c>
      <c r="M1526" s="6690">
        <f>SUM(N1526:AA1528)</f>
        <v>604800</v>
      </c>
      <c r="N1526" s="6690">
        <v>0</v>
      </c>
      <c r="O1526" s="6690">
        <v>0</v>
      </c>
      <c r="P1526" s="6690">
        <v>0</v>
      </c>
      <c r="Q1526" s="6690">
        <v>0</v>
      </c>
      <c r="R1526" s="6690">
        <v>0</v>
      </c>
      <c r="S1526" s="6690">
        <v>0</v>
      </c>
      <c r="T1526" s="6690"/>
      <c r="U1526" s="6690">
        <v>604800</v>
      </c>
      <c r="V1526" s="6690">
        <v>0</v>
      </c>
      <c r="W1526" s="6690">
        <v>0</v>
      </c>
      <c r="X1526" s="6690"/>
      <c r="Y1526" s="6690"/>
      <c r="Z1526" s="6690"/>
      <c r="AA1526" s="6690">
        <v>0</v>
      </c>
      <c r="AB1526" s="6690" t="s">
        <v>113</v>
      </c>
      <c r="AC1526" s="2680">
        <v>1</v>
      </c>
      <c r="AD1526" s="5887" t="s">
        <v>121</v>
      </c>
      <c r="AE1526" s="5079">
        <v>0.2</v>
      </c>
      <c r="AF1526" s="2680">
        <f>604800*AE1526</f>
        <v>120960</v>
      </c>
      <c r="AG1526" s="2680">
        <f t="shared" ref="AG1526:AG1531" si="306">SUM(BA1526:BN1526)</f>
        <v>120960</v>
      </c>
      <c r="AH1526" s="2680" t="s">
        <v>206</v>
      </c>
      <c r="AI1526" s="2680">
        <v>42878</v>
      </c>
      <c r="AJ1526" s="2680" t="s">
        <v>171</v>
      </c>
      <c r="AK1526" s="2680" t="s">
        <v>171</v>
      </c>
      <c r="AL1526" s="2680">
        <v>120960</v>
      </c>
      <c r="AM1526" s="2680">
        <v>42878</v>
      </c>
      <c r="AN1526" s="2680">
        <f t="shared" ref="AN1526:AN1544" si="307">SUM(BO1526:CB1526)</f>
        <v>120960</v>
      </c>
      <c r="AO1526" s="2680">
        <v>43092</v>
      </c>
      <c r="AP1526" s="859">
        <f t="shared" ref="AP1526:AP1540" si="308">AG1526-AN1526</f>
        <v>0</v>
      </c>
      <c r="AQ1526" s="5079" t="s">
        <v>2565</v>
      </c>
      <c r="AR1526" s="2680" t="s">
        <v>171</v>
      </c>
      <c r="AS1526" s="5079" t="s">
        <v>171</v>
      </c>
      <c r="AT1526" s="2680" t="s">
        <v>171</v>
      </c>
      <c r="AU1526" s="2680">
        <f>SUBTOTAL(9,AG1526:AG1528)</f>
        <v>604800</v>
      </c>
      <c r="AV1526" s="2680">
        <f>SUBTOTAL(9,AL1526:AL1528)</f>
        <v>604800</v>
      </c>
      <c r="AW1526" s="2680">
        <f>SUBTOTAL(9,AN1526:AN1528)</f>
        <v>604800</v>
      </c>
      <c r="AX1526" s="2680">
        <f>M1526-AU1526</f>
        <v>0</v>
      </c>
      <c r="AY1526" s="2680">
        <f>AU1526-AV1526</f>
        <v>0</v>
      </c>
      <c r="AZ1526" s="2680">
        <f>AV1526-AW1526</f>
        <v>0</v>
      </c>
      <c r="BA1526" s="6714"/>
      <c r="BB1526" s="6714"/>
      <c r="BC1526" s="6714"/>
      <c r="BD1526" s="6714"/>
      <c r="BE1526" s="6714"/>
      <c r="BF1526" s="6714"/>
      <c r="BG1526" s="6714"/>
      <c r="BH1526" s="2678">
        <f>604800*AE1526</f>
        <v>120960</v>
      </c>
      <c r="BI1526" s="6714"/>
      <c r="BJ1526" s="6714"/>
      <c r="BK1526" s="6714"/>
      <c r="BL1526" s="6714"/>
      <c r="BM1526" s="6714"/>
      <c r="BN1526" s="6714"/>
      <c r="BO1526" s="6715"/>
      <c r="BP1526" s="6715"/>
      <c r="BQ1526" s="6715"/>
      <c r="BR1526" s="6715"/>
      <c r="BS1526" s="6715"/>
      <c r="BT1526" s="6715"/>
      <c r="BU1526" s="6715"/>
      <c r="BV1526" s="2680">
        <v>120960</v>
      </c>
      <c r="BW1526" s="6715"/>
      <c r="BX1526" s="6715"/>
      <c r="BY1526" s="6715"/>
      <c r="BZ1526" s="6715"/>
      <c r="CA1526" s="6715"/>
      <c r="CB1526" s="6715"/>
      <c r="CC1526" s="2680"/>
      <c r="CD1526" s="2680"/>
      <c r="CE1526" s="5039"/>
      <c r="CF1526" s="5039"/>
      <c r="CG1526" s="5039"/>
      <c r="CH1526" s="5039"/>
    </row>
    <row r="1527" s="4971" customFormat="1" ht="46.65" customHeight="1" spans="1:86">
      <c r="A1527" s="6690"/>
      <c r="B1527" s="6690"/>
      <c r="C1527" s="6690"/>
      <c r="D1527" s="6690"/>
      <c r="E1527" s="6690"/>
      <c r="F1527" s="6690"/>
      <c r="G1527" s="6690"/>
      <c r="H1527" s="6690"/>
      <c r="I1527" s="6690"/>
      <c r="J1527" s="6690"/>
      <c r="K1527" s="6690"/>
      <c r="L1527" s="6690"/>
      <c r="M1527" s="6690"/>
      <c r="N1527" s="6690"/>
      <c r="O1527" s="6690"/>
      <c r="P1527" s="6690"/>
      <c r="Q1527" s="6690"/>
      <c r="R1527" s="6690"/>
      <c r="S1527" s="6690"/>
      <c r="T1527" s="6690"/>
      <c r="U1527" s="6690"/>
      <c r="V1527" s="6690"/>
      <c r="W1527" s="6690"/>
      <c r="X1527" s="6690"/>
      <c r="Y1527" s="6690"/>
      <c r="Z1527" s="6690"/>
      <c r="AA1527" s="6690"/>
      <c r="AB1527" s="6690"/>
      <c r="AC1527" s="2680">
        <v>2</v>
      </c>
      <c r="AD1527" s="5887" t="s">
        <v>2566</v>
      </c>
      <c r="AE1527" s="5079">
        <v>0.3</v>
      </c>
      <c r="AF1527" s="2680">
        <f>604800*AE1527</f>
        <v>181440</v>
      </c>
      <c r="AG1527" s="2680">
        <f t="shared" si="306"/>
        <v>181440</v>
      </c>
      <c r="AH1527" s="2680" t="s">
        <v>206</v>
      </c>
      <c r="AI1527" s="2680">
        <v>42878</v>
      </c>
      <c r="AJ1527" s="2680" t="s">
        <v>171</v>
      </c>
      <c r="AK1527" s="2680" t="s">
        <v>171</v>
      </c>
      <c r="AL1527" s="2680">
        <v>181440</v>
      </c>
      <c r="AM1527" s="2680">
        <v>43045</v>
      </c>
      <c r="AN1527" s="2680">
        <f t="shared" si="307"/>
        <v>181440</v>
      </c>
      <c r="AO1527" s="2680">
        <v>43092</v>
      </c>
      <c r="AP1527" s="859">
        <f t="shared" si="308"/>
        <v>0</v>
      </c>
      <c r="AQ1527" s="5079"/>
      <c r="AR1527" s="2680" t="s">
        <v>171</v>
      </c>
      <c r="AS1527" s="5079" t="s">
        <v>171</v>
      </c>
      <c r="AT1527" s="2680" t="s">
        <v>171</v>
      </c>
      <c r="AU1527" s="2680"/>
      <c r="AV1527" s="2680"/>
      <c r="AW1527" s="2680"/>
      <c r="AX1527" s="2680"/>
      <c r="AY1527" s="2680"/>
      <c r="AZ1527" s="2680"/>
      <c r="BA1527" s="6714"/>
      <c r="BB1527" s="6714"/>
      <c r="BC1527" s="6714"/>
      <c r="BD1527" s="6714"/>
      <c r="BE1527" s="6714"/>
      <c r="BF1527" s="6714"/>
      <c r="BG1527" s="6714"/>
      <c r="BH1527" s="2678">
        <f>604800*AE1527</f>
        <v>181440</v>
      </c>
      <c r="BI1527" s="6714"/>
      <c r="BJ1527" s="6714"/>
      <c r="BK1527" s="6714"/>
      <c r="BL1527" s="6714"/>
      <c r="BM1527" s="6714"/>
      <c r="BN1527" s="6714"/>
      <c r="BO1527" s="6715"/>
      <c r="BP1527" s="6715"/>
      <c r="BQ1527" s="6715"/>
      <c r="BR1527" s="6715"/>
      <c r="BS1527" s="6715"/>
      <c r="BT1527" s="6715"/>
      <c r="BU1527" s="6715"/>
      <c r="BV1527" s="2680">
        <v>181440</v>
      </c>
      <c r="BW1527" s="6715"/>
      <c r="BX1527" s="6715"/>
      <c r="BY1527" s="6715"/>
      <c r="BZ1527" s="6715"/>
      <c r="CA1527" s="6715"/>
      <c r="CB1527" s="6715"/>
      <c r="CC1527" s="2680"/>
      <c r="CD1527" s="2680"/>
      <c r="CE1527" s="5039"/>
      <c r="CF1527" s="5039"/>
      <c r="CG1527" s="5039"/>
      <c r="CH1527" s="5039"/>
    </row>
    <row r="1528" s="4971" customFormat="1" ht="23.35" customHeight="1" spans="1:86">
      <c r="A1528" s="6690"/>
      <c r="B1528" s="6690"/>
      <c r="C1528" s="6690"/>
      <c r="D1528" s="6690"/>
      <c r="E1528" s="6690"/>
      <c r="F1528" s="6690"/>
      <c r="G1528" s="6690"/>
      <c r="H1528" s="6690"/>
      <c r="I1528" s="6690"/>
      <c r="J1528" s="6690"/>
      <c r="K1528" s="6690"/>
      <c r="L1528" s="6690"/>
      <c r="M1528" s="6690"/>
      <c r="N1528" s="6690"/>
      <c r="O1528" s="6690"/>
      <c r="P1528" s="6690"/>
      <c r="Q1528" s="6690"/>
      <c r="R1528" s="6690"/>
      <c r="S1528" s="6690"/>
      <c r="T1528" s="6690"/>
      <c r="U1528" s="6690"/>
      <c r="V1528" s="6690"/>
      <c r="W1528" s="6690"/>
      <c r="X1528" s="6690"/>
      <c r="Y1528" s="6690"/>
      <c r="Z1528" s="6690"/>
      <c r="AA1528" s="6690"/>
      <c r="AB1528" s="6690"/>
      <c r="AC1528" s="2680">
        <v>3</v>
      </c>
      <c r="AD1528" s="5887" t="s">
        <v>2567</v>
      </c>
      <c r="AE1528" s="5079">
        <v>0.5</v>
      </c>
      <c r="AF1528" s="3812">
        <f>604800*AE1528</f>
        <v>302400</v>
      </c>
      <c r="AG1528" s="3812">
        <f t="shared" si="306"/>
        <v>302400</v>
      </c>
      <c r="AH1528" s="859" t="s">
        <v>122</v>
      </c>
      <c r="AI1528" s="2678">
        <v>45275</v>
      </c>
      <c r="AJ1528" s="2680"/>
      <c r="AK1528" s="2680"/>
      <c r="AL1528" s="2680">
        <v>302400</v>
      </c>
      <c r="AM1528" s="2680">
        <v>45981</v>
      </c>
      <c r="AN1528" s="3932">
        <f t="shared" si="307"/>
        <v>302400</v>
      </c>
      <c r="AO1528" s="3932">
        <v>46001</v>
      </c>
      <c r="AP1528" s="859">
        <f t="shared" si="308"/>
        <v>0</v>
      </c>
      <c r="AQ1528" s="5079"/>
      <c r="AR1528" s="6711" t="s">
        <v>2568</v>
      </c>
      <c r="AS1528" s="6712" t="s">
        <v>2569</v>
      </c>
      <c r="AT1528" s="2680"/>
      <c r="AU1528" s="2680"/>
      <c r="AV1528" s="2680"/>
      <c r="AW1528" s="2680"/>
      <c r="AX1528" s="2680"/>
      <c r="AY1528" s="2680"/>
      <c r="AZ1528" s="2680"/>
      <c r="BA1528" s="6715"/>
      <c r="BB1528" s="6715"/>
      <c r="BC1528" s="6715"/>
      <c r="BD1528" s="6715"/>
      <c r="BE1528" s="6715"/>
      <c r="BF1528" s="6715"/>
      <c r="BG1528" s="6715"/>
      <c r="BH1528" s="2678">
        <v>302400</v>
      </c>
      <c r="BI1528" s="6715"/>
      <c r="BJ1528" s="6715"/>
      <c r="BK1528" s="6715"/>
      <c r="BL1528" s="6715"/>
      <c r="BM1528" s="6715"/>
      <c r="BN1528" s="6715"/>
      <c r="BO1528" s="6715"/>
      <c r="BP1528" s="6715"/>
      <c r="BQ1528" s="6715"/>
      <c r="BR1528" s="6715"/>
      <c r="BS1528" s="6715"/>
      <c r="BT1528" s="6715"/>
      <c r="BU1528" s="6715"/>
      <c r="BV1528" s="3932">
        <v>302400</v>
      </c>
      <c r="BW1528" s="6715"/>
      <c r="BX1528" s="6715"/>
      <c r="BY1528" s="6715"/>
      <c r="BZ1528" s="6715"/>
      <c r="CA1528" s="6715"/>
      <c r="CB1528" s="6715"/>
      <c r="CC1528" s="2680"/>
      <c r="CD1528" s="2680"/>
      <c r="CE1528" s="5169">
        <f>SUBTOTAL(9,BO1528:CB1528)</f>
        <v>302400</v>
      </c>
      <c r="CF1528" s="5169">
        <f>AN1528-CE1528</f>
        <v>0</v>
      </c>
      <c r="CG1528" s="5039"/>
      <c r="CH1528" s="5039"/>
    </row>
    <row r="1529" s="4987" customFormat="1" ht="53" customHeight="1" spans="1:86">
      <c r="A1529" s="5048"/>
      <c r="B1529" s="5048" t="s">
        <v>2570</v>
      </c>
      <c r="C1529" s="5048">
        <v>42859</v>
      </c>
      <c r="D1529" s="5712" t="s">
        <v>2571</v>
      </c>
      <c r="E1529" s="5048" t="s">
        <v>113</v>
      </c>
      <c r="F1529" s="6690" t="s">
        <v>2572</v>
      </c>
      <c r="G1529" s="6690" t="s">
        <v>2573</v>
      </c>
      <c r="H1529" s="5048" t="s">
        <v>286</v>
      </c>
      <c r="I1529" s="5048"/>
      <c r="J1529" s="6690" t="s">
        <v>2574</v>
      </c>
      <c r="K1529" s="5048" t="s">
        <v>171</v>
      </c>
      <c r="L1529" s="5048" t="s">
        <v>171</v>
      </c>
      <c r="M1529" s="5048">
        <f>SUM(N1529:AA1530)</f>
        <v>150000</v>
      </c>
      <c r="N1529" s="5048">
        <v>0</v>
      </c>
      <c r="O1529" s="5048">
        <v>0</v>
      </c>
      <c r="P1529" s="5048">
        <v>0</v>
      </c>
      <c r="Q1529" s="5048">
        <v>150000</v>
      </c>
      <c r="R1529" s="5048">
        <v>0</v>
      </c>
      <c r="S1529" s="5048">
        <v>0</v>
      </c>
      <c r="T1529" s="5048"/>
      <c r="U1529" s="5048">
        <v>0</v>
      </c>
      <c r="V1529" s="5048">
        <v>0</v>
      </c>
      <c r="W1529" s="5048">
        <v>0</v>
      </c>
      <c r="X1529" s="5048"/>
      <c r="Y1529" s="5048"/>
      <c r="Z1529" s="5048"/>
      <c r="AA1529" s="5048">
        <v>0</v>
      </c>
      <c r="AB1529" s="2680" t="s">
        <v>113</v>
      </c>
      <c r="AC1529" s="2680">
        <v>1</v>
      </c>
      <c r="AD1529" s="5686" t="s">
        <v>2575</v>
      </c>
      <c r="AE1529" s="791">
        <v>0.3</v>
      </c>
      <c r="AF1529" s="2680">
        <f>150000*AE1529</f>
        <v>45000</v>
      </c>
      <c r="AG1529" s="2680">
        <f t="shared" si="306"/>
        <v>45000</v>
      </c>
      <c r="AH1529" s="2680" t="s">
        <v>206</v>
      </c>
      <c r="AI1529" s="2680">
        <v>42878</v>
      </c>
      <c r="AJ1529" s="2680" t="s">
        <v>171</v>
      </c>
      <c r="AK1529" s="2680" t="s">
        <v>171</v>
      </c>
      <c r="AL1529" s="2680">
        <v>45000</v>
      </c>
      <c r="AM1529" s="2680">
        <v>42878</v>
      </c>
      <c r="AN1529" s="2680">
        <f t="shared" si="307"/>
        <v>45000</v>
      </c>
      <c r="AO1529" s="859">
        <v>42901</v>
      </c>
      <c r="AP1529" s="2713">
        <f t="shared" si="308"/>
        <v>0</v>
      </c>
      <c r="AQ1529" s="2680"/>
      <c r="AR1529" s="2680" t="s">
        <v>171</v>
      </c>
      <c r="AS1529" s="5079" t="s">
        <v>171</v>
      </c>
      <c r="AT1529" s="2680" t="s">
        <v>171</v>
      </c>
      <c r="AU1529" s="2680">
        <f>SUM(AG1529:AG1530)</f>
        <v>45000</v>
      </c>
      <c r="AV1529" s="2680">
        <f>SUM(AL1529:AL1530)</f>
        <v>45000</v>
      </c>
      <c r="AW1529" s="2680">
        <f>SUM(AN1529:AN1530)</f>
        <v>45000</v>
      </c>
      <c r="AX1529" s="2680">
        <f>M1529-AU1529</f>
        <v>105000</v>
      </c>
      <c r="AY1529" s="2680">
        <f>AU1529-AV1529</f>
        <v>0</v>
      </c>
      <c r="AZ1529" s="2680">
        <f>AV1529-AW1529</f>
        <v>0</v>
      </c>
      <c r="BA1529" s="2678"/>
      <c r="BB1529" s="2678"/>
      <c r="BC1529" s="2678"/>
      <c r="BD1529" s="2678">
        <v>45000</v>
      </c>
      <c r="BE1529" s="2678"/>
      <c r="BF1529" s="2678"/>
      <c r="BG1529" s="2678"/>
      <c r="BH1529" s="2678"/>
      <c r="BI1529" s="2678"/>
      <c r="BJ1529" s="2678"/>
      <c r="BK1529" s="2678"/>
      <c r="BL1529" s="2678"/>
      <c r="BM1529" s="2678"/>
      <c r="BN1529" s="2678"/>
      <c r="BO1529" s="2680"/>
      <c r="BP1529" s="2680"/>
      <c r="BQ1529" s="2680"/>
      <c r="BR1529" s="2680">
        <v>45000</v>
      </c>
      <c r="BS1529" s="2680"/>
      <c r="BT1529" s="2680"/>
      <c r="BU1529" s="2680"/>
      <c r="BV1529" s="2680"/>
      <c r="BW1529" s="2680"/>
      <c r="BX1529" s="2680"/>
      <c r="BY1529" s="2680"/>
      <c r="BZ1529" s="2680"/>
      <c r="CA1529" s="2680"/>
      <c r="CB1529" s="2680"/>
      <c r="CC1529" s="2680"/>
      <c r="CD1529" s="2680"/>
      <c r="CE1529" s="5031"/>
      <c r="CF1529" s="5031"/>
      <c r="CG1529" s="5031"/>
      <c r="CH1529" s="5031"/>
    </row>
    <row r="1530" s="4971" customFormat="1" ht="53" customHeight="1" spans="1:86">
      <c r="A1530" s="5048"/>
      <c r="B1530" s="5048"/>
      <c r="C1530" s="5048"/>
      <c r="D1530" s="6690"/>
      <c r="E1530" s="5048"/>
      <c r="F1530" s="6690"/>
      <c r="G1530" s="6690"/>
      <c r="H1530" s="5048"/>
      <c r="I1530" s="5048"/>
      <c r="J1530" s="6690"/>
      <c r="K1530" s="5048"/>
      <c r="L1530" s="5048"/>
      <c r="M1530" s="5048"/>
      <c r="N1530" s="5048"/>
      <c r="O1530" s="5048"/>
      <c r="P1530" s="5048"/>
      <c r="Q1530" s="5048"/>
      <c r="R1530" s="5048"/>
      <c r="S1530" s="5048"/>
      <c r="T1530" s="5048"/>
      <c r="U1530" s="5048"/>
      <c r="V1530" s="5048"/>
      <c r="W1530" s="5048"/>
      <c r="X1530" s="5048"/>
      <c r="Y1530" s="5048"/>
      <c r="Z1530" s="5048"/>
      <c r="AA1530" s="5048"/>
      <c r="AB1530" s="2680"/>
      <c r="AC1530" s="2680">
        <v>2</v>
      </c>
      <c r="AD1530" s="6705" t="s">
        <v>2576</v>
      </c>
      <c r="AE1530" s="791">
        <v>0.7</v>
      </c>
      <c r="AF1530" s="2680">
        <f>150000*AE1530</f>
        <v>105000</v>
      </c>
      <c r="AG1530" s="2680">
        <f t="shared" si="306"/>
        <v>0</v>
      </c>
      <c r="AH1530" s="2680"/>
      <c r="AI1530" s="2680"/>
      <c r="AJ1530" s="2680"/>
      <c r="AK1530" s="2680"/>
      <c r="AL1530" s="2680"/>
      <c r="AM1530" s="2680"/>
      <c r="AN1530" s="2680">
        <f t="shared" si="307"/>
        <v>0</v>
      </c>
      <c r="AO1530" s="2680"/>
      <c r="AP1530" s="2713">
        <f t="shared" si="308"/>
        <v>0</v>
      </c>
      <c r="AQ1530" s="5331"/>
      <c r="AR1530" s="2680" t="s">
        <v>2577</v>
      </c>
      <c r="AS1530" s="5079" t="s">
        <v>2578</v>
      </c>
      <c r="AT1530" s="2680" t="s">
        <v>171</v>
      </c>
      <c r="AU1530" s="2680"/>
      <c r="AV1530" s="2680"/>
      <c r="AW1530" s="2680"/>
      <c r="AX1530" s="2680"/>
      <c r="AY1530" s="2680"/>
      <c r="AZ1530" s="2680"/>
      <c r="BA1530" s="5331"/>
      <c r="BB1530" s="5331"/>
      <c r="BC1530" s="2680"/>
      <c r="BD1530" s="5331"/>
      <c r="BE1530" s="5331"/>
      <c r="BF1530" s="5331"/>
      <c r="BG1530" s="5331"/>
      <c r="BH1530" s="2680"/>
      <c r="BI1530" s="5331"/>
      <c r="BJ1530" s="5331"/>
      <c r="BK1530" s="5331"/>
      <c r="BL1530" s="5331"/>
      <c r="BM1530" s="5331"/>
      <c r="BN1530" s="5331"/>
      <c r="BO1530" s="5331"/>
      <c r="BP1530" s="5331"/>
      <c r="BQ1530" s="5331"/>
      <c r="BR1530" s="5331"/>
      <c r="BS1530" s="5331"/>
      <c r="BT1530" s="5331"/>
      <c r="BU1530" s="5331"/>
      <c r="BV1530" s="5331"/>
      <c r="BW1530" s="5331"/>
      <c r="BX1530" s="5331"/>
      <c r="BY1530" s="5331"/>
      <c r="BZ1530" s="5331"/>
      <c r="CA1530" s="5331"/>
      <c r="CB1530" s="5331"/>
      <c r="CC1530" s="2680"/>
      <c r="CD1530" s="2680"/>
      <c r="CE1530" s="5039"/>
      <c r="CF1530" s="5039"/>
      <c r="CG1530" s="5039"/>
      <c r="CH1530" s="5039"/>
    </row>
    <row r="1531" s="4971" customFormat="1" ht="29" customHeight="1" spans="1:86">
      <c r="A1531" s="5048"/>
      <c r="B1531" s="5048" t="s">
        <v>2570</v>
      </c>
      <c r="C1531" s="5048">
        <v>42818</v>
      </c>
      <c r="D1531" s="5712" t="s">
        <v>2579</v>
      </c>
      <c r="E1531" s="5048" t="s">
        <v>113</v>
      </c>
      <c r="F1531" s="6690" t="s">
        <v>2580</v>
      </c>
      <c r="G1531" s="6690" t="s">
        <v>2581</v>
      </c>
      <c r="H1531" s="6690" t="s">
        <v>2582</v>
      </c>
      <c r="I1531" s="5061"/>
      <c r="J1531" s="6690" t="s">
        <v>2583</v>
      </c>
      <c r="K1531" s="5048">
        <v>147337</v>
      </c>
      <c r="L1531" s="6690" t="s">
        <v>2584</v>
      </c>
      <c r="M1531" s="5048">
        <f>SUM(N1531:AA1539)</f>
        <v>1768044</v>
      </c>
      <c r="N1531" s="5048">
        <v>0</v>
      </c>
      <c r="O1531" s="5048">
        <f>1768044-U1531</f>
        <v>736685</v>
      </c>
      <c r="P1531" s="5048">
        <v>0</v>
      </c>
      <c r="Q1531" s="5048">
        <v>0</v>
      </c>
      <c r="R1531" s="5048">
        <v>0</v>
      </c>
      <c r="S1531" s="3524">
        <v>0</v>
      </c>
      <c r="T1531" s="5089">
        <v>0</v>
      </c>
      <c r="U1531" s="6696">
        <f>147337*7</f>
        <v>1031359</v>
      </c>
      <c r="V1531" s="5048">
        <v>0</v>
      </c>
      <c r="W1531" s="5048">
        <v>0</v>
      </c>
      <c r="X1531" s="5048"/>
      <c r="Y1531" s="5048"/>
      <c r="Z1531" s="5048"/>
      <c r="AA1531" s="5048">
        <v>0</v>
      </c>
      <c r="AB1531" s="5048" t="s">
        <v>113</v>
      </c>
      <c r="AC1531" s="725">
        <v>1</v>
      </c>
      <c r="AD1531" s="6706" t="s">
        <v>2585</v>
      </c>
      <c r="AE1531" s="791">
        <v>0.2</v>
      </c>
      <c r="AF1531" s="1035">
        <v>353608.8</v>
      </c>
      <c r="AG1531" s="725">
        <f t="shared" si="306"/>
        <v>353608.8</v>
      </c>
      <c r="AH1531" s="725" t="s">
        <v>206</v>
      </c>
      <c r="AI1531" s="725">
        <v>42817</v>
      </c>
      <c r="AJ1531" s="2680" t="s">
        <v>171</v>
      </c>
      <c r="AK1531" s="2680" t="s">
        <v>171</v>
      </c>
      <c r="AL1531" s="2680">
        <v>353608.8</v>
      </c>
      <c r="AM1531" s="2680">
        <v>42817</v>
      </c>
      <c r="AN1531" s="2680">
        <f t="shared" si="307"/>
        <v>353608.8</v>
      </c>
      <c r="AO1531" s="857">
        <v>42851</v>
      </c>
      <c r="AP1531" s="2713">
        <f t="shared" si="308"/>
        <v>0</v>
      </c>
      <c r="AQ1531" s="5331"/>
      <c r="AR1531" s="859" t="s">
        <v>128</v>
      </c>
      <c r="AS1531" s="5079" t="s">
        <v>171</v>
      </c>
      <c r="AT1531" s="2680" t="s">
        <v>171</v>
      </c>
      <c r="AU1531" s="2680">
        <f>SUM(AG1531:AG1539)</f>
        <v>1768044</v>
      </c>
      <c r="AV1531" s="2680">
        <f>SUM(AL1531:AL1539)</f>
        <v>1768044</v>
      </c>
      <c r="AW1531" s="2680">
        <f>SUM(AN1531:AN1539)</f>
        <v>1768044</v>
      </c>
      <c r="AX1531" s="2680">
        <f>M1531-AU1531</f>
        <v>0</v>
      </c>
      <c r="AY1531" s="2680">
        <f>AU1531-AV1531</f>
        <v>0</v>
      </c>
      <c r="AZ1531" s="2680">
        <f>AV1531-AW1531</f>
        <v>0</v>
      </c>
      <c r="BA1531" s="6714"/>
      <c r="BB1531" s="5796">
        <f>353608.8/12*5</f>
        <v>147337</v>
      </c>
      <c r="BC1531" s="2678"/>
      <c r="BD1531" s="5796"/>
      <c r="BE1531" s="5796"/>
      <c r="BF1531" s="5796"/>
      <c r="BG1531" s="5796"/>
      <c r="BH1531" s="2678">
        <f>353608.8/12*7</f>
        <v>206271.8</v>
      </c>
      <c r="BI1531" s="5796"/>
      <c r="BJ1531" s="5796"/>
      <c r="BK1531" s="5796"/>
      <c r="BL1531" s="5796"/>
      <c r="BM1531" s="5796"/>
      <c r="BN1531" s="5796"/>
      <c r="BO1531" s="5331"/>
      <c r="BP1531" s="5331">
        <v>147337</v>
      </c>
      <c r="BQ1531" s="5331"/>
      <c r="BR1531" s="5331"/>
      <c r="BS1531" s="5331"/>
      <c r="BT1531" s="5331"/>
      <c r="BU1531" s="5331"/>
      <c r="BV1531" s="5331">
        <v>206271.8</v>
      </c>
      <c r="BW1531" s="5331"/>
      <c r="BX1531" s="5331"/>
      <c r="BY1531" s="5331"/>
      <c r="BZ1531" s="5331"/>
      <c r="CA1531" s="5331"/>
      <c r="CB1531" s="5331"/>
      <c r="CC1531" s="2680"/>
      <c r="CD1531" s="2680"/>
      <c r="CE1531" s="5039"/>
      <c r="CF1531" s="5039"/>
      <c r="CG1531" s="5039"/>
      <c r="CH1531" s="5039"/>
    </row>
    <row r="1532" s="4971" customFormat="1" ht="31" spans="1:86">
      <c r="A1532" s="5048"/>
      <c r="B1532" s="5048"/>
      <c r="C1532" s="5048"/>
      <c r="D1532" s="6690"/>
      <c r="E1532" s="5048"/>
      <c r="F1532" s="6690"/>
      <c r="G1532" s="6690"/>
      <c r="H1532" s="6690"/>
      <c r="I1532" s="6692"/>
      <c r="J1532" s="6690"/>
      <c r="K1532" s="5048"/>
      <c r="L1532" s="6690"/>
      <c r="M1532" s="5048"/>
      <c r="N1532" s="5048"/>
      <c r="O1532" s="5048"/>
      <c r="P1532" s="5048"/>
      <c r="Q1532" s="5048"/>
      <c r="R1532" s="5048"/>
      <c r="S1532" s="3524"/>
      <c r="T1532" s="3524"/>
      <c r="U1532" s="6696"/>
      <c r="V1532" s="5048"/>
      <c r="W1532" s="5048"/>
      <c r="X1532" s="5048"/>
      <c r="Y1532" s="5048"/>
      <c r="Z1532" s="5048"/>
      <c r="AA1532" s="5048"/>
      <c r="AB1532" s="5048"/>
      <c r="AC1532" s="725">
        <v>2</v>
      </c>
      <c r="AD1532" s="6706" t="s">
        <v>2586</v>
      </c>
      <c r="AE1532" s="791">
        <v>0.1</v>
      </c>
      <c r="AF1532" s="1035">
        <v>176804.4</v>
      </c>
      <c r="AG1532" s="725">
        <f t="shared" ref="AG1532:AG1548" si="309">SUM(BA1532:BN1532)</f>
        <v>176804.4</v>
      </c>
      <c r="AH1532" s="725" t="s">
        <v>206</v>
      </c>
      <c r="AI1532" s="859">
        <v>42849</v>
      </c>
      <c r="AJ1532" s="2680" t="s">
        <v>171</v>
      </c>
      <c r="AK1532" s="2680" t="s">
        <v>171</v>
      </c>
      <c r="AL1532" s="2680">
        <v>176804.4</v>
      </c>
      <c r="AM1532" s="859">
        <v>42849</v>
      </c>
      <c r="AN1532" s="2680">
        <f t="shared" si="307"/>
        <v>176804.4</v>
      </c>
      <c r="AO1532" s="857">
        <v>42882</v>
      </c>
      <c r="AP1532" s="2713">
        <f t="shared" si="308"/>
        <v>0</v>
      </c>
      <c r="AQ1532" s="5331"/>
      <c r="AR1532" s="2680"/>
      <c r="AS1532" s="5079" t="s">
        <v>171</v>
      </c>
      <c r="AT1532" s="2680" t="s">
        <v>171</v>
      </c>
      <c r="AU1532" s="2680"/>
      <c r="AV1532" s="2680"/>
      <c r="AW1532" s="2680"/>
      <c r="AX1532" s="2680"/>
      <c r="AY1532" s="2680"/>
      <c r="AZ1532" s="2680"/>
      <c r="BA1532" s="6714"/>
      <c r="BB1532" s="5796">
        <f>176804.4/12*5</f>
        <v>73668.5</v>
      </c>
      <c r="BC1532" s="2678"/>
      <c r="BD1532" s="5796"/>
      <c r="BE1532" s="5796"/>
      <c r="BF1532" s="5796"/>
      <c r="BG1532" s="5796"/>
      <c r="BH1532" s="2678">
        <f>176804.4/12*7</f>
        <v>103135.9</v>
      </c>
      <c r="BI1532" s="5796"/>
      <c r="BJ1532" s="5796"/>
      <c r="BK1532" s="5796"/>
      <c r="BL1532" s="5796"/>
      <c r="BM1532" s="5796"/>
      <c r="BN1532" s="5796"/>
      <c r="BO1532" s="5331"/>
      <c r="BP1532" s="5331">
        <v>73668.5</v>
      </c>
      <c r="BQ1532" s="5331"/>
      <c r="BR1532" s="5331"/>
      <c r="BS1532" s="5331"/>
      <c r="BT1532" s="5331"/>
      <c r="BU1532" s="5331"/>
      <c r="BV1532" s="5331">
        <v>103135.9</v>
      </c>
      <c r="BW1532" s="5331"/>
      <c r="BX1532" s="5331"/>
      <c r="BY1532" s="5331"/>
      <c r="BZ1532" s="5331"/>
      <c r="CA1532" s="5331"/>
      <c r="CB1532" s="5331"/>
      <c r="CC1532" s="2680"/>
      <c r="CD1532" s="2680"/>
      <c r="CE1532" s="5039"/>
      <c r="CF1532" s="5039"/>
      <c r="CG1532" s="5039"/>
      <c r="CH1532" s="5039"/>
    </row>
    <row r="1533" s="4971" customFormat="1" ht="16" spans="1:86">
      <c r="A1533" s="5048"/>
      <c r="B1533" s="5048"/>
      <c r="C1533" s="5048"/>
      <c r="D1533" s="6690"/>
      <c r="E1533" s="5048"/>
      <c r="F1533" s="6690"/>
      <c r="G1533" s="6690"/>
      <c r="H1533" s="6690"/>
      <c r="I1533" s="6692"/>
      <c r="J1533" s="6690"/>
      <c r="K1533" s="5048"/>
      <c r="L1533" s="6690"/>
      <c r="M1533" s="5048"/>
      <c r="N1533" s="5048"/>
      <c r="O1533" s="5048"/>
      <c r="P1533" s="5048"/>
      <c r="Q1533" s="5048"/>
      <c r="R1533" s="5048"/>
      <c r="S1533" s="3524"/>
      <c r="T1533" s="3524"/>
      <c r="U1533" s="6696"/>
      <c r="V1533" s="5048"/>
      <c r="W1533" s="5048"/>
      <c r="X1533" s="5048"/>
      <c r="Y1533" s="5048"/>
      <c r="Z1533" s="5048"/>
      <c r="AA1533" s="5048"/>
      <c r="AB1533" s="5048"/>
      <c r="AC1533" s="725">
        <v>3</v>
      </c>
      <c r="AD1533" s="6706" t="s">
        <v>2587</v>
      </c>
      <c r="AE1533" s="791">
        <v>0.1</v>
      </c>
      <c r="AF1533" s="1035">
        <v>176804.4</v>
      </c>
      <c r="AG1533" s="725">
        <f t="shared" si="309"/>
        <v>176804.4</v>
      </c>
      <c r="AH1533" s="725" t="s">
        <v>206</v>
      </c>
      <c r="AI1533" s="859">
        <v>42968</v>
      </c>
      <c r="AJ1533" s="2680" t="s">
        <v>171</v>
      </c>
      <c r="AK1533" s="2680" t="s">
        <v>171</v>
      </c>
      <c r="AL1533" s="2680">
        <v>176804.4</v>
      </c>
      <c r="AM1533" s="859">
        <v>42968</v>
      </c>
      <c r="AN1533" s="2680">
        <f t="shared" si="307"/>
        <v>176804.4</v>
      </c>
      <c r="AO1533" s="857">
        <v>43095</v>
      </c>
      <c r="AP1533" s="2713">
        <f t="shared" si="308"/>
        <v>0</v>
      </c>
      <c r="AQ1533" s="5079" t="s">
        <v>2588</v>
      </c>
      <c r="AR1533" s="2680"/>
      <c r="AS1533" s="5079" t="s">
        <v>171</v>
      </c>
      <c r="AT1533" s="2680" t="s">
        <v>171</v>
      </c>
      <c r="AU1533" s="2680"/>
      <c r="AV1533" s="2680"/>
      <c r="AW1533" s="2680"/>
      <c r="AX1533" s="2680"/>
      <c r="AY1533" s="2680"/>
      <c r="AZ1533" s="2680"/>
      <c r="BA1533" s="6714"/>
      <c r="BB1533" s="1035">
        <f>176804.4/12*5</f>
        <v>73668.5</v>
      </c>
      <c r="BC1533" s="2678"/>
      <c r="BD1533" s="5796"/>
      <c r="BE1533" s="5796"/>
      <c r="BF1533" s="5796"/>
      <c r="BG1533" s="5796"/>
      <c r="BH1533" s="1035">
        <f>176804.4/12*7</f>
        <v>103135.9</v>
      </c>
      <c r="BI1533" s="5796"/>
      <c r="BJ1533" s="5796"/>
      <c r="BK1533" s="5796"/>
      <c r="BL1533" s="5796"/>
      <c r="BM1533" s="5796"/>
      <c r="BN1533" s="5796"/>
      <c r="BO1533" s="5331"/>
      <c r="BP1533" s="5331">
        <v>73668.5</v>
      </c>
      <c r="BQ1533" s="5331"/>
      <c r="BR1533" s="5331"/>
      <c r="BS1533" s="5331"/>
      <c r="BT1533" s="5331"/>
      <c r="BU1533" s="5331"/>
      <c r="BV1533" s="5331">
        <v>103135.9</v>
      </c>
      <c r="BW1533" s="5331"/>
      <c r="BX1533" s="5331"/>
      <c r="BY1533" s="5331"/>
      <c r="BZ1533" s="5331"/>
      <c r="CA1533" s="5331"/>
      <c r="CB1533" s="5331"/>
      <c r="CC1533" s="2680"/>
      <c r="CD1533" s="2680"/>
      <c r="CE1533" s="5039"/>
      <c r="CF1533" s="5039"/>
      <c r="CG1533" s="5039"/>
      <c r="CH1533" s="5039"/>
    </row>
    <row r="1534" s="4971" customFormat="1" ht="46" spans="1:86">
      <c r="A1534" s="5048"/>
      <c r="B1534" s="5048"/>
      <c r="C1534" s="5048"/>
      <c r="D1534" s="6690"/>
      <c r="E1534" s="5048"/>
      <c r="F1534" s="6690"/>
      <c r="G1534" s="6690"/>
      <c r="H1534" s="6690"/>
      <c r="I1534" s="6692"/>
      <c r="J1534" s="6690"/>
      <c r="K1534" s="5048"/>
      <c r="L1534" s="6690"/>
      <c r="M1534" s="5048"/>
      <c r="N1534" s="5048"/>
      <c r="O1534" s="5048"/>
      <c r="P1534" s="5048"/>
      <c r="Q1534" s="5048"/>
      <c r="R1534" s="5048"/>
      <c r="S1534" s="3524"/>
      <c r="T1534" s="3524"/>
      <c r="U1534" s="6696"/>
      <c r="V1534" s="5048"/>
      <c r="W1534" s="5048"/>
      <c r="X1534" s="5048"/>
      <c r="Y1534" s="5048"/>
      <c r="Z1534" s="5048"/>
      <c r="AA1534" s="5048"/>
      <c r="AB1534" s="5048"/>
      <c r="AC1534" s="725">
        <v>4</v>
      </c>
      <c r="AD1534" s="6706" t="s">
        <v>2589</v>
      </c>
      <c r="AE1534" s="791">
        <v>0.05</v>
      </c>
      <c r="AF1534" s="1035">
        <v>88402.2</v>
      </c>
      <c r="AG1534" s="725">
        <f t="shared" si="309"/>
        <v>88402.2</v>
      </c>
      <c r="AH1534" s="725" t="s">
        <v>206</v>
      </c>
      <c r="AI1534" s="859">
        <v>42968</v>
      </c>
      <c r="AJ1534" s="2680" t="s">
        <v>171</v>
      </c>
      <c r="AK1534" s="2680" t="s">
        <v>171</v>
      </c>
      <c r="AL1534" s="2680">
        <v>88402.2</v>
      </c>
      <c r="AM1534" s="859">
        <v>42968</v>
      </c>
      <c r="AN1534" s="2680">
        <f t="shared" si="307"/>
        <v>88402.2</v>
      </c>
      <c r="AO1534" s="857">
        <v>43095</v>
      </c>
      <c r="AP1534" s="2713">
        <f t="shared" si="308"/>
        <v>0</v>
      </c>
      <c r="AQ1534" s="5079"/>
      <c r="AR1534" s="2680"/>
      <c r="AS1534" s="5079" t="s">
        <v>171</v>
      </c>
      <c r="AT1534" s="2680" t="s">
        <v>171</v>
      </c>
      <c r="AU1534" s="2680"/>
      <c r="AV1534" s="2680"/>
      <c r="AW1534" s="2680"/>
      <c r="AX1534" s="2680"/>
      <c r="AY1534" s="2680"/>
      <c r="AZ1534" s="2680"/>
      <c r="BA1534" s="6714"/>
      <c r="BB1534" s="1035">
        <f>88402.2/12*5</f>
        <v>36834.25</v>
      </c>
      <c r="BC1534" s="2678"/>
      <c r="BD1534" s="5796"/>
      <c r="BE1534" s="5796"/>
      <c r="BF1534" s="5796"/>
      <c r="BG1534" s="5796"/>
      <c r="BH1534" s="1035">
        <f>88402.2/12*7</f>
        <v>51567.95</v>
      </c>
      <c r="BI1534" s="5796"/>
      <c r="BJ1534" s="5796"/>
      <c r="BK1534" s="5796"/>
      <c r="BL1534" s="5796"/>
      <c r="BM1534" s="5796"/>
      <c r="BN1534" s="5796"/>
      <c r="BO1534" s="5331"/>
      <c r="BP1534" s="5331">
        <v>36834.25</v>
      </c>
      <c r="BQ1534" s="5331"/>
      <c r="BR1534" s="5331"/>
      <c r="BS1534" s="5331"/>
      <c r="BT1534" s="5331"/>
      <c r="BU1534" s="5331"/>
      <c r="BV1534" s="5331">
        <v>51567.95</v>
      </c>
      <c r="BW1534" s="5331"/>
      <c r="BX1534" s="5331"/>
      <c r="BY1534" s="5331"/>
      <c r="BZ1534" s="5331"/>
      <c r="CA1534" s="5331"/>
      <c r="CB1534" s="5331"/>
      <c r="CC1534" s="2680"/>
      <c r="CD1534" s="2680"/>
      <c r="CE1534" s="5039"/>
      <c r="CF1534" s="5039"/>
      <c r="CG1534" s="5039"/>
      <c r="CH1534" s="5039"/>
    </row>
    <row r="1535" s="4971" customFormat="1" ht="16" spans="1:86">
      <c r="A1535" s="5048"/>
      <c r="B1535" s="5048"/>
      <c r="C1535" s="5048"/>
      <c r="D1535" s="6690"/>
      <c r="E1535" s="5048"/>
      <c r="F1535" s="6690"/>
      <c r="G1535" s="6690"/>
      <c r="H1535" s="6690"/>
      <c r="I1535" s="6692"/>
      <c r="J1535" s="6690"/>
      <c r="K1535" s="5048"/>
      <c r="L1535" s="6690"/>
      <c r="M1535" s="5048"/>
      <c r="N1535" s="5048"/>
      <c r="O1535" s="5048"/>
      <c r="P1535" s="5048"/>
      <c r="Q1535" s="5048"/>
      <c r="R1535" s="5048"/>
      <c r="S1535" s="3524"/>
      <c r="T1535" s="3524"/>
      <c r="U1535" s="6696"/>
      <c r="V1535" s="5048"/>
      <c r="W1535" s="5048"/>
      <c r="X1535" s="5048"/>
      <c r="Y1535" s="5048"/>
      <c r="Z1535" s="5048"/>
      <c r="AA1535" s="5048"/>
      <c r="AB1535" s="5048"/>
      <c r="AC1535" s="725">
        <v>5</v>
      </c>
      <c r="AD1535" s="6706" t="s">
        <v>2590</v>
      </c>
      <c r="AE1535" s="791">
        <v>0.1</v>
      </c>
      <c r="AF1535" s="1035">
        <v>176804.4</v>
      </c>
      <c r="AG1535" s="725">
        <f t="shared" si="309"/>
        <v>176804.4</v>
      </c>
      <c r="AH1535" s="725" t="s">
        <v>122</v>
      </c>
      <c r="AI1535" s="859">
        <v>43053</v>
      </c>
      <c r="AJ1535" s="2680">
        <v>176804.4</v>
      </c>
      <c r="AK1535" s="859">
        <v>43053</v>
      </c>
      <c r="AL1535" s="2680">
        <v>176804.4</v>
      </c>
      <c r="AM1535" s="859">
        <v>43293</v>
      </c>
      <c r="AN1535" s="2680">
        <f t="shared" si="307"/>
        <v>176804.4</v>
      </c>
      <c r="AO1535" s="857">
        <v>43337</v>
      </c>
      <c r="AP1535" s="2713">
        <f t="shared" si="308"/>
        <v>0</v>
      </c>
      <c r="AQ1535" s="5331"/>
      <c r="AR1535" s="2680"/>
      <c r="AS1535" s="5079" t="s">
        <v>171</v>
      </c>
      <c r="AT1535" s="2680" t="s">
        <v>171</v>
      </c>
      <c r="AU1535" s="2680"/>
      <c r="AV1535" s="2680"/>
      <c r="AW1535" s="2680"/>
      <c r="AX1535" s="2680"/>
      <c r="AY1535" s="2680"/>
      <c r="AZ1535" s="2680"/>
      <c r="BA1535" s="6714"/>
      <c r="BB1535" s="1035">
        <f>176804.4/12*5</f>
        <v>73668.5</v>
      </c>
      <c r="BC1535" s="2678"/>
      <c r="BD1535" s="5796"/>
      <c r="BE1535" s="5796"/>
      <c r="BF1535" s="5796"/>
      <c r="BG1535" s="5796"/>
      <c r="BH1535" s="1035">
        <f>176804.4/12*7</f>
        <v>103135.9</v>
      </c>
      <c r="BI1535" s="5796"/>
      <c r="BJ1535" s="5796"/>
      <c r="BK1535" s="5796"/>
      <c r="BL1535" s="5796"/>
      <c r="BM1535" s="5796"/>
      <c r="BN1535" s="5796"/>
      <c r="BO1535" s="5331"/>
      <c r="BP1535" s="5331">
        <v>73668.5</v>
      </c>
      <c r="BQ1535" s="5331"/>
      <c r="BR1535" s="5331"/>
      <c r="BS1535" s="5331"/>
      <c r="BT1535" s="5331"/>
      <c r="BU1535" s="5331"/>
      <c r="BV1535" s="5331">
        <v>103135.9</v>
      </c>
      <c r="BW1535" s="5331"/>
      <c r="BX1535" s="5331"/>
      <c r="BY1535" s="5331"/>
      <c r="BZ1535" s="5331"/>
      <c r="CA1535" s="5331"/>
      <c r="CB1535" s="5331"/>
      <c r="CC1535" s="2680"/>
      <c r="CD1535" s="2680"/>
      <c r="CE1535" s="5039"/>
      <c r="CF1535" s="5039"/>
      <c r="CG1535" s="5039"/>
      <c r="CH1535" s="5039"/>
    </row>
    <row r="1536" s="4971" customFormat="1" ht="46" spans="1:86">
      <c r="A1536" s="5048"/>
      <c r="B1536" s="5048"/>
      <c r="C1536" s="5048"/>
      <c r="D1536" s="6690"/>
      <c r="E1536" s="5048"/>
      <c r="F1536" s="6690"/>
      <c r="G1536" s="6690"/>
      <c r="H1536" s="6690"/>
      <c r="I1536" s="6692"/>
      <c r="J1536" s="6690"/>
      <c r="K1536" s="5048"/>
      <c r="L1536" s="6690"/>
      <c r="M1536" s="5048"/>
      <c r="N1536" s="5048"/>
      <c r="O1536" s="5048"/>
      <c r="P1536" s="5048"/>
      <c r="Q1536" s="5048"/>
      <c r="R1536" s="5048"/>
      <c r="S1536" s="3524"/>
      <c r="T1536" s="3524"/>
      <c r="U1536" s="6696"/>
      <c r="V1536" s="5048"/>
      <c r="W1536" s="5048"/>
      <c r="X1536" s="5048"/>
      <c r="Y1536" s="5048"/>
      <c r="Z1536" s="5048"/>
      <c r="AA1536" s="5048"/>
      <c r="AB1536" s="5048"/>
      <c r="AC1536" s="725">
        <v>6</v>
      </c>
      <c r="AD1536" s="6706" t="s">
        <v>2591</v>
      </c>
      <c r="AE1536" s="791">
        <v>0.05</v>
      </c>
      <c r="AF1536" s="1035">
        <v>88402.2</v>
      </c>
      <c r="AG1536" s="725">
        <f t="shared" si="309"/>
        <v>88402.2</v>
      </c>
      <c r="AH1536" s="725" t="s">
        <v>122</v>
      </c>
      <c r="AI1536" s="859">
        <v>43053</v>
      </c>
      <c r="AJ1536" s="2680">
        <v>88402.2</v>
      </c>
      <c r="AK1536" s="859">
        <v>43053</v>
      </c>
      <c r="AL1536" s="2680">
        <v>88402.2</v>
      </c>
      <c r="AM1536" s="859">
        <v>43293</v>
      </c>
      <c r="AN1536" s="2680">
        <f t="shared" si="307"/>
        <v>88402.2</v>
      </c>
      <c r="AO1536" s="857">
        <v>43337</v>
      </c>
      <c r="AP1536" s="2713">
        <f t="shared" si="308"/>
        <v>0</v>
      </c>
      <c r="AQ1536" s="5331"/>
      <c r="AR1536" s="2680"/>
      <c r="AS1536" s="5079" t="s">
        <v>171</v>
      </c>
      <c r="AT1536" s="2680" t="s">
        <v>171</v>
      </c>
      <c r="AU1536" s="2680"/>
      <c r="AV1536" s="2680"/>
      <c r="AW1536" s="2680"/>
      <c r="AX1536" s="2680"/>
      <c r="AY1536" s="2680"/>
      <c r="AZ1536" s="2680"/>
      <c r="BA1536" s="6714"/>
      <c r="BB1536" s="1035">
        <f>88402.2/12*5</f>
        <v>36834.25</v>
      </c>
      <c r="BC1536" s="2678"/>
      <c r="BD1536" s="5796"/>
      <c r="BE1536" s="5796"/>
      <c r="BF1536" s="5796"/>
      <c r="BG1536" s="5796"/>
      <c r="BH1536" s="1035">
        <f>88402.2/12*7</f>
        <v>51567.95</v>
      </c>
      <c r="BI1536" s="5796"/>
      <c r="BJ1536" s="5796"/>
      <c r="BK1536" s="5796"/>
      <c r="BL1536" s="5796"/>
      <c r="BM1536" s="5796"/>
      <c r="BN1536" s="5796"/>
      <c r="BO1536" s="5331"/>
      <c r="BP1536" s="5331">
        <v>36834.25</v>
      </c>
      <c r="BQ1536" s="5331"/>
      <c r="BR1536" s="5331"/>
      <c r="BS1536" s="5331"/>
      <c r="BT1536" s="5331"/>
      <c r="BU1536" s="5331"/>
      <c r="BV1536" s="5331">
        <v>51567.95</v>
      </c>
      <c r="BW1536" s="5331"/>
      <c r="BX1536" s="5331"/>
      <c r="BY1536" s="5331"/>
      <c r="BZ1536" s="5331"/>
      <c r="CA1536" s="5331"/>
      <c r="CB1536" s="5331"/>
      <c r="CC1536" s="2680"/>
      <c r="CD1536" s="2680"/>
      <c r="CE1536" s="5039"/>
      <c r="CF1536" s="5039"/>
      <c r="CG1536" s="5039"/>
      <c r="CH1536" s="5039"/>
    </row>
    <row r="1537" s="4971" customFormat="1" ht="31" spans="1:86">
      <c r="A1537" s="5048"/>
      <c r="B1537" s="5048"/>
      <c r="C1537" s="5048"/>
      <c r="D1537" s="6690"/>
      <c r="E1537" s="5048"/>
      <c r="F1537" s="6690"/>
      <c r="G1537" s="6690"/>
      <c r="H1537" s="6690"/>
      <c r="I1537" s="6692"/>
      <c r="J1537" s="6690"/>
      <c r="K1537" s="5048"/>
      <c r="L1537" s="6690"/>
      <c r="M1537" s="5048"/>
      <c r="N1537" s="5048"/>
      <c r="O1537" s="5048"/>
      <c r="P1537" s="5048"/>
      <c r="Q1537" s="5048"/>
      <c r="R1537" s="5048"/>
      <c r="S1537" s="3524"/>
      <c r="T1537" s="3524"/>
      <c r="U1537" s="6696"/>
      <c r="V1537" s="5048"/>
      <c r="W1537" s="5048"/>
      <c r="X1537" s="5048"/>
      <c r="Y1537" s="5048"/>
      <c r="Z1537" s="5048"/>
      <c r="AA1537" s="5048"/>
      <c r="AB1537" s="5048"/>
      <c r="AC1537" s="725">
        <v>7</v>
      </c>
      <c r="AD1537" s="6706" t="s">
        <v>2592</v>
      </c>
      <c r="AE1537" s="791">
        <v>0.15</v>
      </c>
      <c r="AF1537" s="1035">
        <v>265206.6</v>
      </c>
      <c r="AG1537" s="725">
        <f t="shared" si="309"/>
        <v>265206.6</v>
      </c>
      <c r="AH1537" s="725" t="s">
        <v>122</v>
      </c>
      <c r="AI1537" s="859">
        <v>43053</v>
      </c>
      <c r="AJ1537" s="2680">
        <v>265206.6</v>
      </c>
      <c r="AK1537" s="859">
        <v>43053</v>
      </c>
      <c r="AL1537" s="2680">
        <v>265206.6</v>
      </c>
      <c r="AM1537" s="859">
        <v>43427</v>
      </c>
      <c r="AN1537" s="2680">
        <f t="shared" si="307"/>
        <v>265206.6</v>
      </c>
      <c r="AO1537" s="857">
        <v>43457</v>
      </c>
      <c r="AP1537" s="2713">
        <f t="shared" si="308"/>
        <v>0</v>
      </c>
      <c r="AQ1537" s="5331"/>
      <c r="AR1537" s="2680"/>
      <c r="AS1537" s="5079" t="s">
        <v>171</v>
      </c>
      <c r="AT1537" s="2680" t="s">
        <v>171</v>
      </c>
      <c r="AU1537" s="2680"/>
      <c r="AV1537" s="2680"/>
      <c r="AW1537" s="2680"/>
      <c r="AX1537" s="2680"/>
      <c r="AY1537" s="2680"/>
      <c r="AZ1537" s="2680"/>
      <c r="BA1537" s="6714"/>
      <c r="BB1537" s="1035">
        <f>265206.6/12*5</f>
        <v>110502.75</v>
      </c>
      <c r="BC1537" s="2678"/>
      <c r="BD1537" s="5796"/>
      <c r="BE1537" s="5796"/>
      <c r="BF1537" s="5796"/>
      <c r="BG1537" s="5796"/>
      <c r="BH1537" s="1035">
        <f>265206.6/12*7</f>
        <v>154703.85</v>
      </c>
      <c r="BI1537" s="5796"/>
      <c r="BJ1537" s="5796"/>
      <c r="BK1537" s="5796"/>
      <c r="BL1537" s="5796"/>
      <c r="BM1537" s="5796"/>
      <c r="BN1537" s="5796"/>
      <c r="BO1537" s="5331"/>
      <c r="BP1537" s="5331">
        <v>110502.75</v>
      </c>
      <c r="BQ1537" s="5331"/>
      <c r="BR1537" s="5331"/>
      <c r="BS1537" s="5331"/>
      <c r="BT1537" s="5331"/>
      <c r="BU1537" s="5331"/>
      <c r="BV1537" s="5331">
        <v>154703.85</v>
      </c>
      <c r="BW1537" s="5331"/>
      <c r="BX1537" s="5331"/>
      <c r="BY1537" s="5331"/>
      <c r="BZ1537" s="5331"/>
      <c r="CA1537" s="5331"/>
      <c r="CB1537" s="5331"/>
      <c r="CC1537" s="2680"/>
      <c r="CD1537" s="2680"/>
      <c r="CE1537" s="5039"/>
      <c r="CF1537" s="5039"/>
      <c r="CG1537" s="5039"/>
      <c r="CH1537" s="5039"/>
    </row>
    <row r="1538" s="4971" customFormat="1" ht="46" spans="1:86">
      <c r="A1538" s="5048"/>
      <c r="B1538" s="5048"/>
      <c r="C1538" s="5048"/>
      <c r="D1538" s="6690"/>
      <c r="E1538" s="5048"/>
      <c r="F1538" s="6690"/>
      <c r="G1538" s="6690"/>
      <c r="H1538" s="6690"/>
      <c r="I1538" s="6692"/>
      <c r="J1538" s="6690"/>
      <c r="K1538" s="5048"/>
      <c r="L1538" s="6690"/>
      <c r="M1538" s="5048"/>
      <c r="N1538" s="5048"/>
      <c r="O1538" s="5048"/>
      <c r="P1538" s="5048"/>
      <c r="Q1538" s="5048"/>
      <c r="R1538" s="5048"/>
      <c r="S1538" s="3524"/>
      <c r="T1538" s="3524"/>
      <c r="U1538" s="6696"/>
      <c r="V1538" s="5048"/>
      <c r="W1538" s="5048"/>
      <c r="X1538" s="5048"/>
      <c r="Y1538" s="5048"/>
      <c r="Z1538" s="5048"/>
      <c r="AA1538" s="5048"/>
      <c r="AB1538" s="5048"/>
      <c r="AC1538" s="725">
        <v>8</v>
      </c>
      <c r="AD1538" s="6706" t="s">
        <v>2593</v>
      </c>
      <c r="AE1538" s="791">
        <v>0.15</v>
      </c>
      <c r="AF1538" s="1035">
        <v>265206.6</v>
      </c>
      <c r="AG1538" s="725">
        <f t="shared" si="309"/>
        <v>265206.6</v>
      </c>
      <c r="AH1538" s="725" t="s">
        <v>122</v>
      </c>
      <c r="AI1538" s="859">
        <v>43053</v>
      </c>
      <c r="AJ1538" s="2680">
        <v>265206.6</v>
      </c>
      <c r="AK1538" s="859">
        <v>43053</v>
      </c>
      <c r="AL1538" s="2680">
        <v>265206.6</v>
      </c>
      <c r="AM1538" s="859">
        <v>43427</v>
      </c>
      <c r="AN1538" s="2680">
        <f t="shared" si="307"/>
        <v>265206.6</v>
      </c>
      <c r="AO1538" s="857">
        <v>43457</v>
      </c>
      <c r="AP1538" s="2713">
        <f t="shared" si="308"/>
        <v>0</v>
      </c>
      <c r="AQ1538" s="5331"/>
      <c r="AR1538" s="2680"/>
      <c r="AS1538" s="5079" t="s">
        <v>171</v>
      </c>
      <c r="AT1538" s="2680"/>
      <c r="AU1538" s="2680"/>
      <c r="AV1538" s="2680"/>
      <c r="AW1538" s="2680"/>
      <c r="AX1538" s="2680"/>
      <c r="AY1538" s="2680"/>
      <c r="AZ1538" s="2680"/>
      <c r="BA1538" s="6714"/>
      <c r="BB1538" s="1035">
        <f>265206.6/12*5</f>
        <v>110502.75</v>
      </c>
      <c r="BC1538" s="2678"/>
      <c r="BD1538" s="5796"/>
      <c r="BE1538" s="5796"/>
      <c r="BF1538" s="5796"/>
      <c r="BG1538" s="5796"/>
      <c r="BH1538" s="1035">
        <f>265206.6/12*7</f>
        <v>154703.85</v>
      </c>
      <c r="BI1538" s="5796"/>
      <c r="BJ1538" s="5796"/>
      <c r="BK1538" s="5796"/>
      <c r="BL1538" s="5796"/>
      <c r="BM1538" s="5796"/>
      <c r="BN1538" s="5796"/>
      <c r="BO1538" s="5331"/>
      <c r="BP1538" s="5331">
        <v>110502.75</v>
      </c>
      <c r="BQ1538" s="5331"/>
      <c r="BR1538" s="5331"/>
      <c r="BS1538" s="5331"/>
      <c r="BT1538" s="5331"/>
      <c r="BU1538" s="5331"/>
      <c r="BV1538" s="5331">
        <v>154703.85</v>
      </c>
      <c r="BW1538" s="5331"/>
      <c r="BX1538" s="5331"/>
      <c r="BY1538" s="5331"/>
      <c r="BZ1538" s="5331"/>
      <c r="CA1538" s="5331"/>
      <c r="CB1538" s="5331"/>
      <c r="CC1538" s="2680"/>
      <c r="CD1538" s="2680"/>
      <c r="CE1538" s="5039"/>
      <c r="CF1538" s="5039"/>
      <c r="CG1538" s="5039"/>
      <c r="CH1538" s="5039"/>
    </row>
    <row r="1539" s="4971" customFormat="1" ht="30" customHeight="1" spans="1:86">
      <c r="A1539" s="5048"/>
      <c r="B1539" s="5048"/>
      <c r="C1539" s="5048"/>
      <c r="D1539" s="6690"/>
      <c r="E1539" s="5048"/>
      <c r="F1539" s="6690"/>
      <c r="G1539" s="6690"/>
      <c r="H1539" s="6690"/>
      <c r="I1539" s="6693"/>
      <c r="J1539" s="6690"/>
      <c r="K1539" s="5048"/>
      <c r="L1539" s="6690"/>
      <c r="M1539" s="5048"/>
      <c r="N1539" s="5048"/>
      <c r="O1539" s="5048"/>
      <c r="P1539" s="5048"/>
      <c r="Q1539" s="5048"/>
      <c r="R1539" s="5048"/>
      <c r="S1539" s="3524"/>
      <c r="T1539" s="3524"/>
      <c r="U1539" s="6696"/>
      <c r="V1539" s="5048"/>
      <c r="W1539" s="5048"/>
      <c r="X1539" s="5048"/>
      <c r="Y1539" s="5048"/>
      <c r="Z1539" s="5048"/>
      <c r="AA1539" s="5048"/>
      <c r="AB1539" s="5048"/>
      <c r="AC1539" s="725">
        <v>9</v>
      </c>
      <c r="AD1539" s="6724" t="s">
        <v>2594</v>
      </c>
      <c r="AE1539" s="791">
        <v>0.1</v>
      </c>
      <c r="AF1539" s="1035">
        <v>176804.4</v>
      </c>
      <c r="AG1539" s="725">
        <f t="shared" si="309"/>
        <v>176804.4</v>
      </c>
      <c r="AH1539" s="725" t="s">
        <v>122</v>
      </c>
      <c r="AI1539" s="150">
        <v>44187</v>
      </c>
      <c r="AJ1539" s="1035">
        <v>176804.4</v>
      </c>
      <c r="AK1539" s="3524">
        <v>44187</v>
      </c>
      <c r="AL1539" s="1035">
        <v>176804.4</v>
      </c>
      <c r="AM1539" s="3524">
        <v>44188</v>
      </c>
      <c r="AN1539" s="2680">
        <f t="shared" si="307"/>
        <v>176804.4</v>
      </c>
      <c r="AO1539" s="2678">
        <v>44229</v>
      </c>
      <c r="AP1539" s="2713">
        <f t="shared" si="308"/>
        <v>0</v>
      </c>
      <c r="AQ1539" s="5331"/>
      <c r="AR1539" s="2680"/>
      <c r="AS1539" s="5079"/>
      <c r="AT1539" s="2680"/>
      <c r="AU1539" s="2680"/>
      <c r="AV1539" s="2680"/>
      <c r="AW1539" s="2680"/>
      <c r="AX1539" s="2680"/>
      <c r="AY1539" s="2680"/>
      <c r="AZ1539" s="2680"/>
      <c r="BA1539" s="6714"/>
      <c r="BB1539" s="5796"/>
      <c r="BC1539" s="2678"/>
      <c r="BD1539" s="5796"/>
      <c r="BE1539" s="5796"/>
      <c r="BF1539" s="5796"/>
      <c r="BG1539" s="5796"/>
      <c r="BH1539" s="2678">
        <f>147337*7*0.1</f>
        <v>103135.9</v>
      </c>
      <c r="BI1539" s="5796"/>
      <c r="BJ1539" s="5796"/>
      <c r="BK1539" s="5796"/>
      <c r="BL1539" s="5796"/>
      <c r="BM1539" s="5796"/>
      <c r="BN1539" s="5796">
        <f>176804.4-BH1539</f>
        <v>73668.5</v>
      </c>
      <c r="BO1539" s="5796"/>
      <c r="BP1539" s="5796"/>
      <c r="BQ1539" s="5796"/>
      <c r="BR1539" s="5796"/>
      <c r="BS1539" s="5796"/>
      <c r="BT1539" s="5796"/>
      <c r="BU1539" s="5796"/>
      <c r="BV1539" s="5796">
        <v>103135.9</v>
      </c>
      <c r="BW1539" s="5796"/>
      <c r="BX1539" s="5796"/>
      <c r="BY1539" s="5796"/>
      <c r="BZ1539" s="5796"/>
      <c r="CA1539" s="5796"/>
      <c r="CB1539" s="5796">
        <v>73668.5</v>
      </c>
      <c r="CC1539" s="2680"/>
      <c r="CD1539" s="2680"/>
      <c r="CE1539" s="5039"/>
      <c r="CF1539" s="5039"/>
      <c r="CG1539" s="5039"/>
      <c r="CH1539" s="5039"/>
    </row>
    <row r="1540" s="4971" customFormat="1" ht="16" spans="1:86">
      <c r="A1540" s="5048">
        <v>4</v>
      </c>
      <c r="B1540" s="5064" t="s">
        <v>2570</v>
      </c>
      <c r="C1540" s="5064">
        <v>42906</v>
      </c>
      <c r="D1540" s="5061" t="s">
        <v>2595</v>
      </c>
      <c r="E1540" s="5064" t="s">
        <v>113</v>
      </c>
      <c r="F1540" s="5049" t="s">
        <v>2596</v>
      </c>
      <c r="G1540" s="5061" t="s">
        <v>2597</v>
      </c>
      <c r="H1540" s="5061" t="s">
        <v>2582</v>
      </c>
      <c r="I1540" s="5061"/>
      <c r="J1540" s="5061" t="s">
        <v>2598</v>
      </c>
      <c r="K1540" s="5064">
        <v>463815</v>
      </c>
      <c r="L1540" s="5064" t="s">
        <v>2599</v>
      </c>
      <c r="M1540" s="5064">
        <f>SUM(N1540:AA1544)</f>
        <v>16553396</v>
      </c>
      <c r="N1540" s="3925">
        <v>0</v>
      </c>
      <c r="O1540" s="3925">
        <v>13306691</v>
      </c>
      <c r="P1540" s="3925">
        <v>0</v>
      </c>
      <c r="Q1540" s="3925">
        <v>0</v>
      </c>
      <c r="R1540" s="3925">
        <v>0</v>
      </c>
      <c r="S1540" s="3925">
        <v>0</v>
      </c>
      <c r="T1540" s="6723">
        <v>0</v>
      </c>
      <c r="U1540" s="3925">
        <f>7*K1540</f>
        <v>3246705</v>
      </c>
      <c r="V1540" s="3925">
        <v>0</v>
      </c>
      <c r="W1540" s="3925">
        <v>0</v>
      </c>
      <c r="X1540" s="3925"/>
      <c r="Y1540" s="3925"/>
      <c r="Z1540" s="3925"/>
      <c r="AA1540" s="2680">
        <v>0</v>
      </c>
      <c r="AB1540" s="5079" t="s">
        <v>2600</v>
      </c>
      <c r="AC1540" s="725">
        <v>1</v>
      </c>
      <c r="AD1540" s="5853" t="s">
        <v>1105</v>
      </c>
      <c r="AE1540" s="725">
        <v>0.2</v>
      </c>
      <c r="AF1540" s="725">
        <f>M1540*AE1540</f>
        <v>3310679.2</v>
      </c>
      <c r="AG1540" s="725">
        <f t="shared" si="309"/>
        <v>3310679</v>
      </c>
      <c r="AH1540" s="725" t="s">
        <v>206</v>
      </c>
      <c r="AI1540" s="859">
        <v>42950</v>
      </c>
      <c r="AJ1540" s="2680" t="s">
        <v>171</v>
      </c>
      <c r="AK1540" s="2680" t="s">
        <v>171</v>
      </c>
      <c r="AL1540" s="2680">
        <v>3310679</v>
      </c>
      <c r="AM1540" s="859">
        <v>42950</v>
      </c>
      <c r="AN1540" s="2680">
        <f t="shared" si="307"/>
        <v>3310679</v>
      </c>
      <c r="AO1540" s="2713">
        <v>42978</v>
      </c>
      <c r="AP1540" s="2713">
        <f t="shared" si="308"/>
        <v>0</v>
      </c>
      <c r="AQ1540" s="2680" t="s">
        <v>171</v>
      </c>
      <c r="AR1540" s="2680" t="s">
        <v>171</v>
      </c>
      <c r="AS1540" s="5079"/>
      <c r="AT1540" s="2680" t="s">
        <v>171</v>
      </c>
      <c r="AU1540" s="2680">
        <f>SUM(AG1540:AG1544)</f>
        <v>16553396</v>
      </c>
      <c r="AV1540" s="2680">
        <f>SUM(AL1540:AL1544)</f>
        <v>15725726</v>
      </c>
      <c r="AW1540" s="2680">
        <f>SUM(AN1540:AN1544)</f>
        <v>16553395.8</v>
      </c>
      <c r="AX1540" s="2680">
        <f>M1540-AU1540</f>
        <v>0</v>
      </c>
      <c r="AY1540" s="2680">
        <f>AU1540-AV1540</f>
        <v>827670</v>
      </c>
      <c r="AZ1540" s="2680">
        <f>AV1540-AW1540</f>
        <v>-827669.800000001</v>
      </c>
      <c r="BA1540" s="5796"/>
      <c r="BB1540" s="5796">
        <f>16553396*0.2-BH1540-0.2</f>
        <v>2661338</v>
      </c>
      <c r="BC1540" s="2678"/>
      <c r="BD1540" s="5796"/>
      <c r="BE1540" s="5796"/>
      <c r="BF1540" s="5796"/>
      <c r="BG1540" s="5796"/>
      <c r="BH1540" s="2678">
        <f>3246705*0.2</f>
        <v>649341</v>
      </c>
      <c r="BI1540" s="5796"/>
      <c r="BJ1540" s="5796"/>
      <c r="BK1540" s="5796"/>
      <c r="BL1540" s="5796"/>
      <c r="BM1540" s="5796"/>
      <c r="BN1540" s="5796"/>
      <c r="BO1540" s="5331"/>
      <c r="BP1540" s="5331">
        <v>2661338</v>
      </c>
      <c r="BQ1540" s="5331"/>
      <c r="BR1540" s="5331"/>
      <c r="BS1540" s="5331"/>
      <c r="BT1540" s="5331"/>
      <c r="BU1540" s="5331"/>
      <c r="BV1540" s="5331">
        <v>649341</v>
      </c>
      <c r="BW1540" s="5331"/>
      <c r="BX1540" s="5331"/>
      <c r="BY1540" s="5331"/>
      <c r="BZ1540" s="5331"/>
      <c r="CA1540" s="5331"/>
      <c r="CB1540" s="5331"/>
      <c r="CC1540" s="2680"/>
      <c r="CD1540" s="2680"/>
      <c r="CE1540" s="5039"/>
      <c r="CF1540" s="5039"/>
      <c r="CG1540" s="5039"/>
      <c r="CH1540" s="5039"/>
    </row>
    <row r="1541" s="4971" customFormat="1" ht="61" spans="1:86">
      <c r="A1541" s="5048"/>
      <c r="B1541" s="6721"/>
      <c r="C1541" s="6721"/>
      <c r="D1541" s="6692"/>
      <c r="E1541" s="6721"/>
      <c r="F1541" s="6694"/>
      <c r="G1541" s="6692"/>
      <c r="H1541" s="6692"/>
      <c r="I1541" s="6692"/>
      <c r="J1541" s="6692"/>
      <c r="K1541" s="6721"/>
      <c r="L1541" s="6721"/>
      <c r="M1541" s="6721"/>
      <c r="N1541" s="4026"/>
      <c r="O1541" s="4026"/>
      <c r="P1541" s="4026"/>
      <c r="Q1541" s="4026"/>
      <c r="R1541" s="4026"/>
      <c r="S1541" s="4026"/>
      <c r="T1541" s="4026"/>
      <c r="U1541" s="4026"/>
      <c r="V1541" s="4026"/>
      <c r="W1541" s="4026"/>
      <c r="X1541" s="4026"/>
      <c r="Y1541" s="4026"/>
      <c r="Z1541" s="4026"/>
      <c r="AA1541" s="2680"/>
      <c r="AB1541" s="5079"/>
      <c r="AC1541" s="2680">
        <v>2</v>
      </c>
      <c r="AD1541" s="5853" t="s">
        <v>2601</v>
      </c>
      <c r="AE1541" s="2680">
        <v>0.5</v>
      </c>
      <c r="AF1541" s="2680">
        <f>M1540*AE1541</f>
        <v>8276698</v>
      </c>
      <c r="AG1541" s="2680">
        <f t="shared" si="309"/>
        <v>8276698</v>
      </c>
      <c r="AH1541" s="2680" t="s">
        <v>206</v>
      </c>
      <c r="AI1541" s="859">
        <v>43019</v>
      </c>
      <c r="AJ1541" s="2680" t="s">
        <v>171</v>
      </c>
      <c r="AK1541" s="2680" t="s">
        <v>171</v>
      </c>
      <c r="AL1541" s="2680">
        <v>2700000</v>
      </c>
      <c r="AM1541" s="859">
        <v>43019</v>
      </c>
      <c r="AN1541" s="2680">
        <f t="shared" si="307"/>
        <v>2700000</v>
      </c>
      <c r="AO1541" s="2713">
        <v>43045</v>
      </c>
      <c r="AP1541" s="2713">
        <f>AG1541-AN1541-AN1542</f>
        <v>0</v>
      </c>
      <c r="AQ1541" s="5079" t="s">
        <v>2602</v>
      </c>
      <c r="AR1541" s="2680" t="s">
        <v>171</v>
      </c>
      <c r="AS1541" s="5079" t="s">
        <v>171</v>
      </c>
      <c r="AT1541" s="2680" t="s">
        <v>171</v>
      </c>
      <c r="AU1541" s="2680"/>
      <c r="AV1541" s="2680"/>
      <c r="AW1541" s="2680"/>
      <c r="AX1541" s="2680"/>
      <c r="AY1541" s="2680"/>
      <c r="AZ1541" s="2680"/>
      <c r="BA1541" s="5796"/>
      <c r="BB1541" s="5796">
        <f>16553396*0.5-BH1541</f>
        <v>6653345.5</v>
      </c>
      <c r="BC1541" s="2678"/>
      <c r="BD1541" s="5796"/>
      <c r="BE1541" s="5796"/>
      <c r="BF1541" s="5796"/>
      <c r="BG1541" s="5796"/>
      <c r="BH1541" s="2678">
        <f>3246705*0.5</f>
        <v>1623352.5</v>
      </c>
      <c r="BI1541" s="5796"/>
      <c r="BJ1541" s="5796"/>
      <c r="BK1541" s="5796"/>
      <c r="BL1541" s="5796"/>
      <c r="BM1541" s="5796"/>
      <c r="BN1541" s="5796"/>
      <c r="BO1541" s="5331"/>
      <c r="BP1541" s="5331">
        <f>2700000-BV1541</f>
        <v>2170434.73737957</v>
      </c>
      <c r="BQ1541" s="5331"/>
      <c r="BR1541" s="5331"/>
      <c r="BS1541" s="5331"/>
      <c r="BT1541" s="5331"/>
      <c r="BU1541" s="5331"/>
      <c r="BV1541" s="5331">
        <f>3246705*(2700000/16553396)</f>
        <v>529565.262620431</v>
      </c>
      <c r="BW1541" s="5331"/>
      <c r="BX1541" s="5331"/>
      <c r="BY1541" s="5331"/>
      <c r="BZ1541" s="5331"/>
      <c r="CA1541" s="5331"/>
      <c r="CB1541" s="5331"/>
      <c r="CC1541" s="2680"/>
      <c r="CD1541" s="2680"/>
      <c r="CE1541" s="5039"/>
      <c r="CF1541" s="5039"/>
      <c r="CG1541" s="5039"/>
      <c r="CH1541" s="5039"/>
    </row>
    <row r="1542" s="4987" customFormat="1" ht="42" customHeight="1" spans="1:86">
      <c r="A1542" s="5048"/>
      <c r="B1542" s="6721"/>
      <c r="C1542" s="6721"/>
      <c r="D1542" s="6692"/>
      <c r="E1542" s="6721"/>
      <c r="F1542" s="6694"/>
      <c r="G1542" s="6692"/>
      <c r="H1542" s="6692"/>
      <c r="I1542" s="6692"/>
      <c r="J1542" s="6692"/>
      <c r="K1542" s="6721"/>
      <c r="L1542" s="6721"/>
      <c r="M1542" s="6721"/>
      <c r="N1542" s="4026"/>
      <c r="O1542" s="4026"/>
      <c r="P1542" s="4026"/>
      <c r="Q1542" s="4026"/>
      <c r="R1542" s="4026"/>
      <c r="S1542" s="4026"/>
      <c r="T1542" s="4026"/>
      <c r="U1542" s="4026"/>
      <c r="V1542" s="4026"/>
      <c r="W1542" s="4026"/>
      <c r="X1542" s="4026"/>
      <c r="Y1542" s="4026"/>
      <c r="Z1542" s="4026"/>
      <c r="AA1542" s="2680"/>
      <c r="AB1542" s="5079"/>
      <c r="AC1542" s="2680" t="s">
        <v>171</v>
      </c>
      <c r="AD1542" s="1035" t="s">
        <v>552</v>
      </c>
      <c r="AE1542" s="2680" t="s">
        <v>171</v>
      </c>
      <c r="AF1542" s="2680" t="s">
        <v>171</v>
      </c>
      <c r="AG1542" s="2680">
        <f t="shared" si="309"/>
        <v>0</v>
      </c>
      <c r="AH1542" s="2680" t="s">
        <v>206</v>
      </c>
      <c r="AI1542" s="859">
        <v>43046</v>
      </c>
      <c r="AJ1542" s="2680" t="s">
        <v>171</v>
      </c>
      <c r="AK1542" s="2680" t="s">
        <v>171</v>
      </c>
      <c r="AL1542" s="2680">
        <v>5576698</v>
      </c>
      <c r="AM1542" s="859">
        <v>43046</v>
      </c>
      <c r="AN1542" s="2680">
        <f t="shared" si="307"/>
        <v>5576698</v>
      </c>
      <c r="AO1542" s="2713">
        <v>43054</v>
      </c>
      <c r="AP1542" s="2713">
        <v>0</v>
      </c>
      <c r="AQ1542" s="5079"/>
      <c r="AR1542" s="2680" t="s">
        <v>171</v>
      </c>
      <c r="AS1542" s="5079" t="s">
        <v>171</v>
      </c>
      <c r="AT1542" s="2680" t="s">
        <v>171</v>
      </c>
      <c r="AU1542" s="2680"/>
      <c r="AV1542" s="2680"/>
      <c r="AW1542" s="2680"/>
      <c r="AX1542" s="2680"/>
      <c r="AY1542" s="2680"/>
      <c r="AZ1542" s="2680"/>
      <c r="BA1542" s="2678"/>
      <c r="BB1542" s="2678"/>
      <c r="BC1542" s="2678"/>
      <c r="BD1542" s="2678"/>
      <c r="BE1542" s="2678"/>
      <c r="BF1542" s="2678"/>
      <c r="BG1542" s="2678"/>
      <c r="BH1542" s="2678"/>
      <c r="BI1542" s="2678"/>
      <c r="BJ1542" s="2678"/>
      <c r="BK1542" s="2678"/>
      <c r="BL1542" s="2678"/>
      <c r="BM1542" s="2678"/>
      <c r="BN1542" s="2678"/>
      <c r="BO1542" s="2680"/>
      <c r="BP1542" s="2680">
        <f>5576698-BV1542</f>
        <v>4482910.76262043</v>
      </c>
      <c r="BQ1542" s="2680"/>
      <c r="BR1542" s="2680"/>
      <c r="BS1542" s="2680"/>
      <c r="BT1542" s="2680"/>
      <c r="BU1542" s="2680"/>
      <c r="BV1542" s="5331">
        <f>3246705*(5576698/16553396)</f>
        <v>1093787.23737957</v>
      </c>
      <c r="BW1542" s="2680"/>
      <c r="BX1542" s="2680"/>
      <c r="BY1542" s="2680"/>
      <c r="BZ1542" s="2680"/>
      <c r="CA1542" s="2680"/>
      <c r="CB1542" s="2680"/>
      <c r="CC1542" s="2680"/>
      <c r="CD1542" s="2680"/>
      <c r="CE1542" s="5031"/>
      <c r="CF1542" s="5031"/>
      <c r="CG1542" s="5031"/>
      <c r="CH1542" s="5031"/>
    </row>
    <row r="1543" s="4971" customFormat="1" ht="41" customHeight="1" spans="1:86">
      <c r="A1543" s="5048"/>
      <c r="B1543" s="6721"/>
      <c r="C1543" s="6721"/>
      <c r="D1543" s="6692"/>
      <c r="E1543" s="6721"/>
      <c r="F1543" s="6694"/>
      <c r="G1543" s="6692"/>
      <c r="H1543" s="6692"/>
      <c r="I1543" s="6692"/>
      <c r="J1543" s="6692"/>
      <c r="K1543" s="6721"/>
      <c r="L1543" s="6721"/>
      <c r="M1543" s="6721"/>
      <c r="N1543" s="4026"/>
      <c r="O1543" s="4026"/>
      <c r="P1543" s="4026"/>
      <c r="Q1543" s="4026"/>
      <c r="R1543" s="4026"/>
      <c r="S1543" s="4026"/>
      <c r="T1543" s="4026"/>
      <c r="U1543" s="4026"/>
      <c r="V1543" s="4026"/>
      <c r="W1543" s="4026"/>
      <c r="X1543" s="4026"/>
      <c r="Y1543" s="4026"/>
      <c r="Z1543" s="4026"/>
      <c r="AA1543" s="2680"/>
      <c r="AB1543" s="5079"/>
      <c r="AC1543" s="2680">
        <v>3</v>
      </c>
      <c r="AD1543" s="5853" t="s">
        <v>1108</v>
      </c>
      <c r="AE1543" s="2680">
        <v>0.25</v>
      </c>
      <c r="AF1543" s="2680">
        <f>M1540*AE1543</f>
        <v>4138349</v>
      </c>
      <c r="AG1543" s="2680">
        <f t="shared" si="309"/>
        <v>4138349</v>
      </c>
      <c r="AH1543" s="2680" t="s">
        <v>206</v>
      </c>
      <c r="AI1543" s="859">
        <v>43116</v>
      </c>
      <c r="AJ1543" s="2680" t="s">
        <v>171</v>
      </c>
      <c r="AK1543" s="2680" t="s">
        <v>171</v>
      </c>
      <c r="AL1543" s="2680">
        <v>4138349</v>
      </c>
      <c r="AM1543" s="859">
        <v>43115</v>
      </c>
      <c r="AN1543" s="2680">
        <f t="shared" si="307"/>
        <v>4138349</v>
      </c>
      <c r="AO1543" s="2713">
        <v>43140</v>
      </c>
      <c r="AP1543" s="2713">
        <f>AG1543-AN1543</f>
        <v>0</v>
      </c>
      <c r="AQ1543" s="5331"/>
      <c r="AR1543" s="2680" t="s">
        <v>171</v>
      </c>
      <c r="AS1543" s="5079" t="s">
        <v>171</v>
      </c>
      <c r="AT1543" s="2680" t="s">
        <v>171</v>
      </c>
      <c r="AU1543" s="2680"/>
      <c r="AV1543" s="2680"/>
      <c r="AW1543" s="2680"/>
      <c r="AX1543" s="2680"/>
      <c r="AY1543" s="2680"/>
      <c r="AZ1543" s="2680"/>
      <c r="BA1543" s="5796"/>
      <c r="BB1543" s="5796">
        <f>16553396*0.25-BH1543</f>
        <v>3326672.75</v>
      </c>
      <c r="BC1543" s="2678"/>
      <c r="BD1543" s="5796"/>
      <c r="BE1543" s="5796"/>
      <c r="BF1543" s="5796"/>
      <c r="BG1543" s="5796"/>
      <c r="BH1543" s="2678">
        <f>3246705*0.25</f>
        <v>811676.25</v>
      </c>
      <c r="BI1543" s="5796"/>
      <c r="BJ1543" s="5796"/>
      <c r="BK1543" s="5796"/>
      <c r="BL1543" s="5796"/>
      <c r="BM1543" s="5796"/>
      <c r="BN1543" s="5796"/>
      <c r="BO1543" s="5331"/>
      <c r="BP1543" s="5331">
        <v>3326672.75</v>
      </c>
      <c r="BQ1543" s="5331"/>
      <c r="BR1543" s="5331"/>
      <c r="BS1543" s="5331"/>
      <c r="BT1543" s="5331"/>
      <c r="BU1543" s="5331"/>
      <c r="BV1543" s="5331">
        <v>811676.25</v>
      </c>
      <c r="BW1543" s="5331"/>
      <c r="BX1543" s="5331"/>
      <c r="BY1543" s="5331"/>
      <c r="BZ1543" s="5331"/>
      <c r="CA1543" s="5331"/>
      <c r="CB1543" s="5331"/>
      <c r="CC1543" s="2680"/>
      <c r="CD1543" s="2680"/>
      <c r="CE1543" s="5039"/>
      <c r="CF1543" s="5039"/>
      <c r="CG1543" s="5039"/>
      <c r="CH1543" s="5039"/>
    </row>
    <row r="1544" s="4971" customFormat="1" ht="16" spans="1:86">
      <c r="A1544" s="5048"/>
      <c r="B1544" s="6721"/>
      <c r="C1544" s="6721"/>
      <c r="D1544" s="6692"/>
      <c r="E1544" s="6721"/>
      <c r="F1544" s="6694"/>
      <c r="G1544" s="6692"/>
      <c r="H1544" s="6692"/>
      <c r="I1544" s="6692"/>
      <c r="J1544" s="6692"/>
      <c r="K1544" s="6721"/>
      <c r="L1544" s="6721"/>
      <c r="M1544" s="6721"/>
      <c r="N1544" s="4026"/>
      <c r="O1544" s="4026"/>
      <c r="P1544" s="4026"/>
      <c r="Q1544" s="4026"/>
      <c r="R1544" s="4026"/>
      <c r="S1544" s="4026"/>
      <c r="T1544" s="4026"/>
      <c r="U1544" s="4026"/>
      <c r="V1544" s="4026"/>
      <c r="W1544" s="4026"/>
      <c r="X1544" s="4026"/>
      <c r="Y1544" s="4026"/>
      <c r="Z1544" s="4026"/>
      <c r="AA1544" s="2680"/>
      <c r="AB1544" s="5079"/>
      <c r="AC1544" s="3925">
        <v>4</v>
      </c>
      <c r="AD1544" s="5050" t="s">
        <v>1109</v>
      </c>
      <c r="AE1544" s="3925">
        <v>0.05</v>
      </c>
      <c r="AF1544" s="3925">
        <f>M1540*AE1544</f>
        <v>827669.8</v>
      </c>
      <c r="AG1544" s="3812">
        <f t="shared" si="309"/>
        <v>827670</v>
      </c>
      <c r="AH1544" s="859" t="s">
        <v>122</v>
      </c>
      <c r="AI1544" s="2678">
        <v>44881</v>
      </c>
      <c r="AJ1544" s="3932"/>
      <c r="AK1544" s="3932"/>
      <c r="AL1544" s="3932"/>
      <c r="AM1544" s="3932"/>
      <c r="AN1544" s="3932">
        <f t="shared" si="307"/>
        <v>827669.8</v>
      </c>
      <c r="AO1544" s="3932"/>
      <c r="AP1544" s="3406">
        <f>AG1544-AN1544</f>
        <v>0.199999999953434</v>
      </c>
      <c r="AQ1544" s="5331"/>
      <c r="AR1544" s="5079" t="s">
        <v>2603</v>
      </c>
      <c r="AS1544" s="5079"/>
      <c r="AT1544" s="2680"/>
      <c r="AU1544" s="2680"/>
      <c r="AV1544" s="2680"/>
      <c r="AW1544" s="2680"/>
      <c r="AX1544" s="2680"/>
      <c r="AY1544" s="2680"/>
      <c r="AZ1544" s="2680"/>
      <c r="BA1544" s="5796"/>
      <c r="BB1544" s="5796">
        <v>665334.75</v>
      </c>
      <c r="BC1544" s="2678"/>
      <c r="BD1544" s="5796"/>
      <c r="BE1544" s="5796"/>
      <c r="BF1544" s="5796"/>
      <c r="BG1544" s="5796"/>
      <c r="BH1544" s="2678">
        <f>3246705*0.05</f>
        <v>162335.25</v>
      </c>
      <c r="BI1544" s="5796"/>
      <c r="BJ1544" s="5796"/>
      <c r="BK1544" s="5796"/>
      <c r="BL1544" s="5796"/>
      <c r="BM1544" s="5796"/>
      <c r="BN1544" s="5796"/>
      <c r="BO1544" s="5331"/>
      <c r="BP1544" s="5331"/>
      <c r="BQ1544" s="5331"/>
      <c r="BR1544" s="5331"/>
      <c r="BS1544" s="5331"/>
      <c r="BT1544" s="5331"/>
      <c r="BU1544" s="5331"/>
      <c r="BV1544" s="3932">
        <f>3246705*0.05</f>
        <v>162335.25</v>
      </c>
      <c r="BW1544" s="5860"/>
      <c r="BX1544" s="5860"/>
      <c r="BY1544" s="5860"/>
      <c r="BZ1544" s="5860"/>
      <c r="CA1544" s="5860"/>
      <c r="CB1544" s="5860">
        <f>16553396*0.05-BV1544</f>
        <v>665334.55</v>
      </c>
      <c r="CC1544" s="2680"/>
      <c r="CD1544" s="2680"/>
      <c r="CE1544" s="5039"/>
      <c r="CF1544" s="5039"/>
      <c r="CG1544" s="5039"/>
      <c r="CH1544" s="5039"/>
    </row>
    <row r="1545" s="4971" customFormat="1" ht="15.2" spans="1:86">
      <c r="A1545" s="5048"/>
      <c r="B1545" s="6722"/>
      <c r="C1545" s="6722"/>
      <c r="D1545" s="6693"/>
      <c r="E1545" s="6722"/>
      <c r="F1545" s="6695"/>
      <c r="G1545" s="6693"/>
      <c r="H1545" s="6693"/>
      <c r="I1545" s="6693"/>
      <c r="J1545" s="6693"/>
      <c r="K1545" s="6722"/>
      <c r="L1545" s="6722"/>
      <c r="M1545" s="6722"/>
      <c r="N1545" s="3927"/>
      <c r="O1545" s="3927"/>
      <c r="P1545" s="3927"/>
      <c r="Q1545" s="3927"/>
      <c r="R1545" s="3927"/>
      <c r="S1545" s="3927"/>
      <c r="T1545" s="3927"/>
      <c r="U1545" s="3927"/>
      <c r="V1545" s="3927"/>
      <c r="W1545" s="3927"/>
      <c r="X1545" s="3927"/>
      <c r="Y1545" s="3927"/>
      <c r="Z1545" s="3927"/>
      <c r="AA1545" s="2680"/>
      <c r="AB1545" s="5079"/>
      <c r="AC1545" s="3927"/>
      <c r="AD1545" s="5145"/>
      <c r="AE1545" s="3927"/>
      <c r="AF1545" s="3927"/>
      <c r="AG1545" s="5123">
        <f t="shared" si="309"/>
        <v>-827670</v>
      </c>
      <c r="AH1545" s="859"/>
      <c r="AI1545" s="2678"/>
      <c r="AJ1545" s="3932"/>
      <c r="AK1545" s="3932"/>
      <c r="AL1545" s="3932"/>
      <c r="AM1545" s="3932"/>
      <c r="AN1545" s="3932"/>
      <c r="AO1545" s="3932"/>
      <c r="AP1545" s="3406"/>
      <c r="AQ1545" s="5331"/>
      <c r="AR1545" s="5079"/>
      <c r="AS1545" s="5079"/>
      <c r="AT1545" s="2680"/>
      <c r="AU1545" s="2680"/>
      <c r="AV1545" s="2680"/>
      <c r="AW1545" s="2680"/>
      <c r="AX1545" s="2680"/>
      <c r="AY1545" s="2680"/>
      <c r="AZ1545" s="2680"/>
      <c r="BA1545" s="5796"/>
      <c r="BB1545" s="5860">
        <f>0-BB1544</f>
        <v>-665334.75</v>
      </c>
      <c r="BC1545" s="2678"/>
      <c r="BD1545" s="5796"/>
      <c r="BE1545" s="5796"/>
      <c r="BF1545" s="5796"/>
      <c r="BG1545" s="5796"/>
      <c r="BH1545" s="3932">
        <f>0-BH1544</f>
        <v>-162335.25</v>
      </c>
      <c r="BI1545" s="5796"/>
      <c r="BJ1545" s="5796"/>
      <c r="BK1545" s="5796"/>
      <c r="BL1545" s="5796"/>
      <c r="BM1545" s="5796"/>
      <c r="BN1545" s="5796"/>
      <c r="BO1545" s="5331"/>
      <c r="BP1545" s="5331"/>
      <c r="BQ1545" s="5331"/>
      <c r="BR1545" s="5331"/>
      <c r="BS1545" s="5331"/>
      <c r="BT1545" s="5331"/>
      <c r="BU1545" s="5331"/>
      <c r="BV1545" s="3932"/>
      <c r="BW1545" s="5860"/>
      <c r="BX1545" s="5860"/>
      <c r="BY1545" s="5860"/>
      <c r="BZ1545" s="5860"/>
      <c r="CA1545" s="5860"/>
      <c r="CB1545" s="5860"/>
      <c r="CC1545" s="2680"/>
      <c r="CD1545" s="2680"/>
      <c r="CE1545" s="5039"/>
      <c r="CF1545" s="5039"/>
      <c r="CG1545" s="5039"/>
      <c r="CH1545" s="5039"/>
    </row>
    <row r="1546" s="4971" customFormat="1" ht="168" spans="1:86">
      <c r="A1546" s="5048"/>
      <c r="B1546" s="5048" t="s">
        <v>2570</v>
      </c>
      <c r="C1546" s="5048">
        <v>43006</v>
      </c>
      <c r="D1546" s="5712" t="s">
        <v>2604</v>
      </c>
      <c r="E1546" s="5048" t="s">
        <v>113</v>
      </c>
      <c r="F1546" s="6690" t="s">
        <v>2605</v>
      </c>
      <c r="G1546" s="6690" t="s">
        <v>2606</v>
      </c>
      <c r="H1546" s="6690" t="s">
        <v>286</v>
      </c>
      <c r="I1546" s="6690"/>
      <c r="J1546" s="6690" t="s">
        <v>2607</v>
      </c>
      <c r="K1546" s="5048" t="s">
        <v>171</v>
      </c>
      <c r="L1546" s="5048" t="s">
        <v>2608</v>
      </c>
      <c r="M1546" s="5048">
        <f>SUM(N1546:AA1546)</f>
        <v>450000</v>
      </c>
      <c r="N1546" s="2680">
        <v>0</v>
      </c>
      <c r="O1546" s="2680">
        <v>0</v>
      </c>
      <c r="P1546" s="2680">
        <v>400000</v>
      </c>
      <c r="Q1546" s="2680">
        <v>50000</v>
      </c>
      <c r="R1546" s="2680">
        <v>0</v>
      </c>
      <c r="S1546" s="2680">
        <v>0</v>
      </c>
      <c r="T1546" s="5823">
        <v>0</v>
      </c>
      <c r="U1546" s="2680">
        <v>0</v>
      </c>
      <c r="V1546" s="2680">
        <v>0</v>
      </c>
      <c r="W1546" s="2680">
        <v>0</v>
      </c>
      <c r="X1546" s="2680"/>
      <c r="Y1546" s="2680"/>
      <c r="Z1546" s="2680"/>
      <c r="AA1546" s="2680">
        <v>0</v>
      </c>
      <c r="AB1546" s="2680">
        <v>0</v>
      </c>
      <c r="AC1546" s="2680">
        <v>1</v>
      </c>
      <c r="AD1546" s="5853" t="s">
        <v>2609</v>
      </c>
      <c r="AE1546" s="2680">
        <v>1</v>
      </c>
      <c r="AF1546" s="2680">
        <v>450000</v>
      </c>
      <c r="AG1546" s="2680">
        <f t="shared" si="309"/>
        <v>550000</v>
      </c>
      <c r="AH1546" s="2680" t="s">
        <v>206</v>
      </c>
      <c r="AI1546" s="2680">
        <v>43461</v>
      </c>
      <c r="AJ1546" s="2680" t="s">
        <v>171</v>
      </c>
      <c r="AK1546" s="2680" t="s">
        <v>171</v>
      </c>
      <c r="AL1546" s="2680">
        <v>550000</v>
      </c>
      <c r="AM1546" s="2680">
        <v>43461</v>
      </c>
      <c r="AN1546" s="2680">
        <f t="shared" ref="AN1546:AN1568" si="310">SUM(BO1546:CB1546)</f>
        <v>550000</v>
      </c>
      <c r="AO1546" s="2680">
        <v>43463</v>
      </c>
      <c r="AP1546" s="2680">
        <f t="shared" ref="AP1546:AP1568" si="311">AG1546-AN1546</f>
        <v>0</v>
      </c>
      <c r="AQ1546" s="5887" t="s">
        <v>2610</v>
      </c>
      <c r="AR1546" s="859" t="s">
        <v>128</v>
      </c>
      <c r="AS1546" s="5079" t="s">
        <v>171</v>
      </c>
      <c r="AT1546" s="2680" t="s">
        <v>171</v>
      </c>
      <c r="AU1546" s="2680">
        <f>AG1546</f>
        <v>550000</v>
      </c>
      <c r="AV1546" s="2680">
        <f>AL1546</f>
        <v>550000</v>
      </c>
      <c r="AW1546" s="2680">
        <f>AN1546</f>
        <v>550000</v>
      </c>
      <c r="AX1546" s="2680">
        <f>M1546-AU1546</f>
        <v>-100000</v>
      </c>
      <c r="AY1546" s="2680">
        <f>AG1546-AV1546</f>
        <v>0</v>
      </c>
      <c r="AZ1546" s="2680">
        <f>AV1546-AW1546</f>
        <v>0</v>
      </c>
      <c r="BA1546" s="5796"/>
      <c r="BB1546" s="5796"/>
      <c r="BC1546" s="5796">
        <v>450000</v>
      </c>
      <c r="BD1546" s="5796">
        <v>100000</v>
      </c>
      <c r="BE1546" s="5796"/>
      <c r="BF1546" s="5796"/>
      <c r="BG1546" s="5796"/>
      <c r="BH1546" s="2678"/>
      <c r="BI1546" s="5796"/>
      <c r="BJ1546" s="5796"/>
      <c r="BK1546" s="5796"/>
      <c r="BL1546" s="5796"/>
      <c r="BM1546" s="5796"/>
      <c r="BN1546" s="5796"/>
      <c r="BO1546" s="5331"/>
      <c r="BP1546" s="5331"/>
      <c r="BQ1546" s="5331">
        <v>450000</v>
      </c>
      <c r="BR1546" s="5331">
        <v>100000</v>
      </c>
      <c r="BS1546" s="5331"/>
      <c r="BT1546" s="5331"/>
      <c r="BU1546" s="5331"/>
      <c r="BV1546" s="5331"/>
      <c r="BW1546" s="5331"/>
      <c r="BX1546" s="5331"/>
      <c r="BY1546" s="5331"/>
      <c r="BZ1546" s="5331"/>
      <c r="CA1546" s="5331"/>
      <c r="CB1546" s="5331"/>
      <c r="CC1546" s="2680"/>
      <c r="CD1546" s="2680"/>
      <c r="CE1546" s="5039"/>
      <c r="CF1546" s="5039"/>
      <c r="CG1546" s="5039"/>
      <c r="CH1546" s="5039"/>
    </row>
    <row r="1547" s="4971" customFormat="1" ht="16" spans="1:86">
      <c r="A1547" s="5048"/>
      <c r="B1547" s="5064" t="s">
        <v>2570</v>
      </c>
      <c r="C1547" s="5064">
        <v>43297</v>
      </c>
      <c r="D1547" s="5049" t="s">
        <v>2611</v>
      </c>
      <c r="E1547" s="5064" t="s">
        <v>113</v>
      </c>
      <c r="F1547" s="5061" t="s">
        <v>2612</v>
      </c>
      <c r="G1547" s="5061" t="s">
        <v>2613</v>
      </c>
      <c r="H1547" s="5061" t="s">
        <v>2582</v>
      </c>
      <c r="I1547" s="5061"/>
      <c r="J1547" s="5061" t="s">
        <v>2614</v>
      </c>
      <c r="K1547" s="5064">
        <v>66604</v>
      </c>
      <c r="L1547" s="3740" t="s">
        <v>2615</v>
      </c>
      <c r="M1547" s="5064">
        <f>SUM(N1547:AA1553)</f>
        <v>799248</v>
      </c>
      <c r="N1547" s="3925">
        <v>0</v>
      </c>
      <c r="O1547" s="3925">
        <f>799248/12*5</f>
        <v>333020</v>
      </c>
      <c r="P1547" s="3925">
        <v>0</v>
      </c>
      <c r="Q1547" s="3925">
        <v>0</v>
      </c>
      <c r="R1547" s="3925">
        <v>0</v>
      </c>
      <c r="S1547" s="3925">
        <v>0</v>
      </c>
      <c r="T1547" s="6723">
        <v>0</v>
      </c>
      <c r="U1547" s="3925">
        <f>799248/12*7</f>
        <v>466228</v>
      </c>
      <c r="V1547" s="3925">
        <v>0</v>
      </c>
      <c r="W1547" s="3925">
        <v>0</v>
      </c>
      <c r="X1547" s="3925"/>
      <c r="Y1547" s="3925"/>
      <c r="Z1547" s="3925"/>
      <c r="AA1547" s="3925">
        <v>0</v>
      </c>
      <c r="AB1547" s="3925">
        <v>0</v>
      </c>
      <c r="AC1547" s="2680">
        <v>1</v>
      </c>
      <c r="AD1547" s="5853" t="s">
        <v>2616</v>
      </c>
      <c r="AE1547" s="2680">
        <v>0.2</v>
      </c>
      <c r="AF1547" s="2680">
        <f>799248*AE1547</f>
        <v>159849.6</v>
      </c>
      <c r="AG1547" s="2680">
        <f t="shared" si="309"/>
        <v>159849.6</v>
      </c>
      <c r="AH1547" s="2680" t="s">
        <v>206</v>
      </c>
      <c r="AI1547" s="2680">
        <v>43298</v>
      </c>
      <c r="AJ1547" s="2680" t="s">
        <v>171</v>
      </c>
      <c r="AK1547" s="2680" t="s">
        <v>171</v>
      </c>
      <c r="AL1547" s="2680">
        <v>159849.6</v>
      </c>
      <c r="AM1547" s="2680">
        <v>43298</v>
      </c>
      <c r="AN1547" s="2680">
        <f t="shared" si="310"/>
        <v>159849.6</v>
      </c>
      <c r="AO1547" s="2678">
        <v>43342</v>
      </c>
      <c r="AP1547" s="2680">
        <f t="shared" si="311"/>
        <v>0</v>
      </c>
      <c r="AQ1547" s="5887"/>
      <c r="AR1547" s="2680" t="s">
        <v>171</v>
      </c>
      <c r="AS1547" s="5079" t="s">
        <v>171</v>
      </c>
      <c r="AT1547" s="2680" t="s">
        <v>171</v>
      </c>
      <c r="AU1547" s="2680">
        <f>SUM(AG1547:AG1553)</f>
        <v>799248</v>
      </c>
      <c r="AV1547" s="2680">
        <f>SUM(AL1547:AL1553)</f>
        <v>799248</v>
      </c>
      <c r="AW1547" s="2680">
        <f>SUM(AN1547:AN1553)</f>
        <v>799248</v>
      </c>
      <c r="AX1547" s="2680">
        <f>M1547-AU1547</f>
        <v>0</v>
      </c>
      <c r="AY1547" s="2680">
        <f>AU1547-AV1547</f>
        <v>0</v>
      </c>
      <c r="AZ1547" s="2680">
        <f>AV1547-AW1547</f>
        <v>0</v>
      </c>
      <c r="BA1547" s="6714"/>
      <c r="BB1547" s="6714">
        <f>159849.6/12*5</f>
        <v>66604</v>
      </c>
      <c r="BC1547" s="6714"/>
      <c r="BD1547" s="6714"/>
      <c r="BE1547" s="6714"/>
      <c r="BF1547" s="6714"/>
      <c r="BG1547" s="6714"/>
      <c r="BH1547" s="2678">
        <f>159849.6/12*7</f>
        <v>93245.6</v>
      </c>
      <c r="BI1547" s="6714"/>
      <c r="BJ1547" s="6714"/>
      <c r="BK1547" s="6714"/>
      <c r="BL1547" s="6714"/>
      <c r="BM1547" s="6714"/>
      <c r="BN1547" s="6714"/>
      <c r="BO1547" s="6715"/>
      <c r="BP1547" s="6715">
        <v>66604</v>
      </c>
      <c r="BQ1547" s="6715"/>
      <c r="BR1547" s="6715"/>
      <c r="BS1547" s="6715"/>
      <c r="BT1547" s="6715"/>
      <c r="BU1547" s="6715"/>
      <c r="BV1547" s="6715">
        <v>93245.6</v>
      </c>
      <c r="BW1547" s="6715"/>
      <c r="BX1547" s="6715"/>
      <c r="BY1547" s="6715"/>
      <c r="BZ1547" s="6715"/>
      <c r="CA1547" s="6715"/>
      <c r="CB1547" s="6715"/>
      <c r="CC1547" s="2680"/>
      <c r="CD1547" s="2680"/>
      <c r="CE1547" s="5039"/>
      <c r="CF1547" s="5039"/>
      <c r="CG1547" s="5039"/>
      <c r="CH1547" s="5039"/>
    </row>
    <row r="1548" s="4971" customFormat="1" ht="31" spans="1:86">
      <c r="A1548" s="5048"/>
      <c r="B1548" s="6721"/>
      <c r="C1548" s="6721"/>
      <c r="D1548" s="6694"/>
      <c r="E1548" s="6721"/>
      <c r="F1548" s="6692"/>
      <c r="G1548" s="6692"/>
      <c r="H1548" s="6692"/>
      <c r="I1548" s="6692"/>
      <c r="J1548" s="6692"/>
      <c r="K1548" s="6721"/>
      <c r="L1548" s="3669"/>
      <c r="M1548" s="6721"/>
      <c r="N1548" s="4026"/>
      <c r="O1548" s="4026"/>
      <c r="P1548" s="4026"/>
      <c r="Q1548" s="4026"/>
      <c r="R1548" s="4026"/>
      <c r="S1548" s="4026"/>
      <c r="T1548" s="4026"/>
      <c r="U1548" s="4026"/>
      <c r="V1548" s="4026"/>
      <c r="W1548" s="4026"/>
      <c r="X1548" s="4026"/>
      <c r="Y1548" s="4026"/>
      <c r="Z1548" s="4026"/>
      <c r="AA1548" s="4026"/>
      <c r="AB1548" s="4026"/>
      <c r="AC1548" s="2680">
        <v>2</v>
      </c>
      <c r="AD1548" s="5853" t="s">
        <v>2617</v>
      </c>
      <c r="AE1548" s="2680">
        <v>0.1</v>
      </c>
      <c r="AF1548" s="2680">
        <f t="shared" ref="AF1548:AF1554" si="312">799248*AE1548</f>
        <v>79924.8</v>
      </c>
      <c r="AG1548" s="2680">
        <f t="shared" si="309"/>
        <v>79924.8</v>
      </c>
      <c r="AH1548" s="2680" t="s">
        <v>206</v>
      </c>
      <c r="AI1548" s="2680">
        <v>43298</v>
      </c>
      <c r="AJ1548" s="2680" t="s">
        <v>171</v>
      </c>
      <c r="AK1548" s="2680" t="s">
        <v>171</v>
      </c>
      <c r="AL1548" s="2680">
        <v>79924.8</v>
      </c>
      <c r="AM1548" s="2680">
        <v>43298</v>
      </c>
      <c r="AN1548" s="2680">
        <f t="shared" si="310"/>
        <v>79924.8</v>
      </c>
      <c r="AO1548" s="2678">
        <v>43342</v>
      </c>
      <c r="AP1548" s="2680">
        <f t="shared" si="311"/>
        <v>0</v>
      </c>
      <c r="AQ1548" s="5887"/>
      <c r="AR1548" s="2680" t="s">
        <v>171</v>
      </c>
      <c r="AS1548" s="5079" t="s">
        <v>171</v>
      </c>
      <c r="AT1548" s="2680" t="s">
        <v>171</v>
      </c>
      <c r="AU1548" s="2680"/>
      <c r="AV1548" s="2680"/>
      <c r="AW1548" s="2680"/>
      <c r="AX1548" s="2680"/>
      <c r="AY1548" s="2680"/>
      <c r="AZ1548" s="2680"/>
      <c r="BA1548" s="6714"/>
      <c r="BB1548" s="6714">
        <f>79924.8/12*5</f>
        <v>33302</v>
      </c>
      <c r="BC1548" s="6714"/>
      <c r="BD1548" s="6714"/>
      <c r="BE1548" s="6714"/>
      <c r="BF1548" s="6714"/>
      <c r="BG1548" s="6714"/>
      <c r="BH1548" s="2678">
        <f>79924.8/12*7</f>
        <v>46622.8</v>
      </c>
      <c r="BI1548" s="6714"/>
      <c r="BJ1548" s="6714"/>
      <c r="BK1548" s="6714"/>
      <c r="BL1548" s="6714"/>
      <c r="BM1548" s="6714"/>
      <c r="BN1548" s="6714"/>
      <c r="BO1548" s="6715"/>
      <c r="BP1548" s="6715">
        <v>33302</v>
      </c>
      <c r="BQ1548" s="6715"/>
      <c r="BR1548" s="6715"/>
      <c r="BS1548" s="6715"/>
      <c r="BT1548" s="6715"/>
      <c r="BU1548" s="6715"/>
      <c r="BV1548" s="6715">
        <v>46622.8</v>
      </c>
      <c r="BW1548" s="6715"/>
      <c r="BX1548" s="6715"/>
      <c r="BY1548" s="6715"/>
      <c r="BZ1548" s="6715"/>
      <c r="CA1548" s="6715"/>
      <c r="CB1548" s="6715"/>
      <c r="CC1548" s="2680"/>
      <c r="CD1548" s="2680"/>
      <c r="CE1548" s="5039"/>
      <c r="CF1548" s="5039"/>
      <c r="CG1548" s="5039"/>
      <c r="CH1548" s="5039"/>
    </row>
    <row r="1549" s="4971" customFormat="1" ht="31" spans="1:86">
      <c r="A1549" s="5048"/>
      <c r="B1549" s="6721"/>
      <c r="C1549" s="6721"/>
      <c r="D1549" s="6694"/>
      <c r="E1549" s="6721"/>
      <c r="F1549" s="6692"/>
      <c r="G1549" s="6692"/>
      <c r="H1549" s="6692"/>
      <c r="I1549" s="6692"/>
      <c r="J1549" s="6692"/>
      <c r="K1549" s="6721"/>
      <c r="L1549" s="3669"/>
      <c r="M1549" s="6721"/>
      <c r="N1549" s="4026"/>
      <c r="O1549" s="4026"/>
      <c r="P1549" s="4026"/>
      <c r="Q1549" s="4026"/>
      <c r="R1549" s="4026"/>
      <c r="S1549" s="4026"/>
      <c r="T1549" s="4026"/>
      <c r="U1549" s="4026"/>
      <c r="V1549" s="4026"/>
      <c r="W1549" s="4026"/>
      <c r="X1549" s="4026"/>
      <c r="Y1549" s="4026"/>
      <c r="Z1549" s="4026"/>
      <c r="AA1549" s="4026"/>
      <c r="AB1549" s="4026"/>
      <c r="AC1549" s="2680">
        <v>3</v>
      </c>
      <c r="AD1549" s="5853" t="s">
        <v>2618</v>
      </c>
      <c r="AE1549" s="2680">
        <v>0.2</v>
      </c>
      <c r="AF1549" s="2680">
        <f t="shared" si="312"/>
        <v>159849.6</v>
      </c>
      <c r="AG1549" s="2680">
        <f t="shared" ref="AG1549:AG1564" si="313">SUM(BA1549:BN1549)</f>
        <v>159849.6</v>
      </c>
      <c r="AH1549" s="2680" t="s">
        <v>206</v>
      </c>
      <c r="AI1549" s="2680">
        <v>43384</v>
      </c>
      <c r="AJ1549" s="2680" t="s">
        <v>171</v>
      </c>
      <c r="AK1549" s="2680" t="s">
        <v>171</v>
      </c>
      <c r="AL1549" s="2680">
        <v>159849.6</v>
      </c>
      <c r="AM1549" s="2680">
        <v>43384</v>
      </c>
      <c r="AN1549" s="2680">
        <f t="shared" si="310"/>
        <v>159849.6</v>
      </c>
      <c r="AO1549" s="2678">
        <v>43429</v>
      </c>
      <c r="AP1549" s="2680">
        <f t="shared" si="311"/>
        <v>0</v>
      </c>
      <c r="AQ1549" s="5887"/>
      <c r="AR1549" s="2680" t="s">
        <v>171</v>
      </c>
      <c r="AS1549" s="5079" t="s">
        <v>171</v>
      </c>
      <c r="AT1549" s="2680" t="s">
        <v>171</v>
      </c>
      <c r="AU1549" s="2680"/>
      <c r="AV1549" s="2680"/>
      <c r="AW1549" s="2680"/>
      <c r="AX1549" s="2680"/>
      <c r="AY1549" s="2680"/>
      <c r="AZ1549" s="2680"/>
      <c r="BA1549" s="6714"/>
      <c r="BB1549" s="6714">
        <f>159849.6/12*5</f>
        <v>66604</v>
      </c>
      <c r="BC1549" s="6714"/>
      <c r="BD1549" s="6714"/>
      <c r="BE1549" s="6714"/>
      <c r="BF1549" s="6714"/>
      <c r="BG1549" s="6714"/>
      <c r="BH1549" s="2678">
        <f>159849.6/12*7</f>
        <v>93245.6</v>
      </c>
      <c r="BI1549" s="6714"/>
      <c r="BJ1549" s="6714"/>
      <c r="BK1549" s="6714"/>
      <c r="BL1549" s="6714"/>
      <c r="BM1549" s="6714"/>
      <c r="BN1549" s="6714"/>
      <c r="BO1549" s="6715"/>
      <c r="BP1549" s="6715">
        <v>66604</v>
      </c>
      <c r="BQ1549" s="6715"/>
      <c r="BR1549" s="6715"/>
      <c r="BS1549" s="6715"/>
      <c r="BT1549" s="6715"/>
      <c r="BU1549" s="6715"/>
      <c r="BV1549" s="6715">
        <v>93245.6</v>
      </c>
      <c r="BW1549" s="6715"/>
      <c r="BX1549" s="6715"/>
      <c r="BY1549" s="6715"/>
      <c r="BZ1549" s="6715"/>
      <c r="CA1549" s="6715"/>
      <c r="CB1549" s="6715"/>
      <c r="CC1549" s="2680"/>
      <c r="CD1549" s="2680"/>
      <c r="CE1549" s="5039"/>
      <c r="CF1549" s="5039"/>
      <c r="CG1549" s="5039"/>
      <c r="CH1549" s="5039"/>
    </row>
    <row r="1550" s="4971" customFormat="1" ht="46" spans="1:86">
      <c r="A1550" s="5048"/>
      <c r="B1550" s="6721"/>
      <c r="C1550" s="6721"/>
      <c r="D1550" s="6694"/>
      <c r="E1550" s="6721"/>
      <c r="F1550" s="6692"/>
      <c r="G1550" s="6692"/>
      <c r="H1550" s="6692"/>
      <c r="I1550" s="6692"/>
      <c r="J1550" s="6692"/>
      <c r="K1550" s="6721"/>
      <c r="L1550" s="3669"/>
      <c r="M1550" s="6721"/>
      <c r="N1550" s="4026"/>
      <c r="O1550" s="4026"/>
      <c r="P1550" s="4026"/>
      <c r="Q1550" s="4026"/>
      <c r="R1550" s="4026"/>
      <c r="S1550" s="4026"/>
      <c r="T1550" s="4026"/>
      <c r="U1550" s="4026"/>
      <c r="V1550" s="4026"/>
      <c r="W1550" s="4026"/>
      <c r="X1550" s="4026"/>
      <c r="Y1550" s="4026"/>
      <c r="Z1550" s="4026"/>
      <c r="AA1550" s="4026"/>
      <c r="AB1550" s="4026"/>
      <c r="AC1550" s="2680">
        <v>4</v>
      </c>
      <c r="AD1550" s="5853" t="s">
        <v>2619</v>
      </c>
      <c r="AE1550" s="2680">
        <v>0.1</v>
      </c>
      <c r="AF1550" s="2680">
        <f t="shared" si="312"/>
        <v>79924.8</v>
      </c>
      <c r="AG1550" s="2680">
        <f t="shared" si="313"/>
        <v>79924.8</v>
      </c>
      <c r="AH1550" s="2680" t="s">
        <v>206</v>
      </c>
      <c r="AI1550" s="2680">
        <v>43419</v>
      </c>
      <c r="AJ1550" s="2680" t="s">
        <v>171</v>
      </c>
      <c r="AK1550" s="2680" t="s">
        <v>171</v>
      </c>
      <c r="AL1550" s="2680">
        <v>79924.8</v>
      </c>
      <c r="AM1550" s="2680">
        <v>43419</v>
      </c>
      <c r="AN1550" s="2680">
        <f t="shared" si="310"/>
        <v>79924.8</v>
      </c>
      <c r="AO1550" s="2678">
        <v>43489</v>
      </c>
      <c r="AP1550" s="2680">
        <f t="shared" si="311"/>
        <v>0</v>
      </c>
      <c r="AQ1550" s="5887" t="s">
        <v>2620</v>
      </c>
      <c r="AR1550" s="2680" t="s">
        <v>171</v>
      </c>
      <c r="AS1550" s="5079" t="s">
        <v>171</v>
      </c>
      <c r="AT1550" s="2680" t="s">
        <v>171</v>
      </c>
      <c r="AU1550" s="2680"/>
      <c r="AV1550" s="2680"/>
      <c r="AW1550" s="2680"/>
      <c r="AX1550" s="2680"/>
      <c r="AY1550" s="2680"/>
      <c r="AZ1550" s="2680"/>
      <c r="BA1550" s="6714"/>
      <c r="BB1550" s="6714">
        <v>33302</v>
      </c>
      <c r="BC1550" s="6714"/>
      <c r="BD1550" s="6714"/>
      <c r="BE1550" s="6714"/>
      <c r="BF1550" s="6714"/>
      <c r="BG1550" s="6714"/>
      <c r="BH1550" s="2678">
        <v>46622.8</v>
      </c>
      <c r="BI1550" s="6714"/>
      <c r="BJ1550" s="6714"/>
      <c r="BK1550" s="6714"/>
      <c r="BL1550" s="6714"/>
      <c r="BM1550" s="6714"/>
      <c r="BN1550" s="6714"/>
      <c r="BO1550" s="6715"/>
      <c r="BP1550" s="6715">
        <v>33302</v>
      </c>
      <c r="BQ1550" s="6715"/>
      <c r="BR1550" s="6715"/>
      <c r="BS1550" s="6715"/>
      <c r="BT1550" s="6715"/>
      <c r="BU1550" s="6715"/>
      <c r="BV1550" s="6715">
        <v>46622.8</v>
      </c>
      <c r="BW1550" s="6715"/>
      <c r="BX1550" s="6715"/>
      <c r="BY1550" s="6715"/>
      <c r="BZ1550" s="6715"/>
      <c r="CA1550" s="6715"/>
      <c r="CB1550" s="6715"/>
      <c r="CC1550" s="2680"/>
      <c r="CD1550" s="2680"/>
      <c r="CE1550" s="5039"/>
      <c r="CF1550" s="5039"/>
      <c r="CG1550" s="5039"/>
      <c r="CH1550" s="5039"/>
    </row>
    <row r="1551" s="4971" customFormat="1" ht="27" customHeight="1" spans="1:86">
      <c r="A1551" s="5048"/>
      <c r="B1551" s="6721"/>
      <c r="C1551" s="6721"/>
      <c r="D1551" s="6694"/>
      <c r="E1551" s="6721"/>
      <c r="F1551" s="6692"/>
      <c r="G1551" s="6692"/>
      <c r="H1551" s="6692"/>
      <c r="I1551" s="6692"/>
      <c r="J1551" s="6692"/>
      <c r="K1551" s="6721"/>
      <c r="L1551" s="3669"/>
      <c r="M1551" s="6721"/>
      <c r="N1551" s="4026"/>
      <c r="O1551" s="4026"/>
      <c r="P1551" s="4026"/>
      <c r="Q1551" s="4026"/>
      <c r="R1551" s="4026"/>
      <c r="S1551" s="4026"/>
      <c r="T1551" s="4026"/>
      <c r="U1551" s="4026"/>
      <c r="V1551" s="4026"/>
      <c r="W1551" s="4026"/>
      <c r="X1551" s="4026"/>
      <c r="Y1551" s="4026"/>
      <c r="Z1551" s="4026"/>
      <c r="AA1551" s="4026"/>
      <c r="AB1551" s="4026"/>
      <c r="AC1551" s="2680">
        <v>5</v>
      </c>
      <c r="AD1551" s="5853" t="s">
        <v>2621</v>
      </c>
      <c r="AE1551" s="2680">
        <v>0.2</v>
      </c>
      <c r="AF1551" s="2680">
        <f t="shared" si="312"/>
        <v>159849.6</v>
      </c>
      <c r="AG1551" s="2680">
        <f t="shared" si="313"/>
        <v>159849.6</v>
      </c>
      <c r="AH1551" s="2680" t="s">
        <v>206</v>
      </c>
      <c r="AI1551" s="2680">
        <v>43675</v>
      </c>
      <c r="AJ1551" s="2680" t="s">
        <v>171</v>
      </c>
      <c r="AK1551" s="2680" t="s">
        <v>171</v>
      </c>
      <c r="AL1551" s="2680">
        <v>159849.6</v>
      </c>
      <c r="AM1551" s="2680">
        <v>43675</v>
      </c>
      <c r="AN1551" s="2680">
        <f t="shared" si="310"/>
        <v>159849.6</v>
      </c>
      <c r="AO1551" s="2678">
        <v>43768</v>
      </c>
      <c r="AP1551" s="2680">
        <f t="shared" si="311"/>
        <v>0</v>
      </c>
      <c r="AQ1551" s="5887"/>
      <c r="AR1551" s="2680" t="s">
        <v>171</v>
      </c>
      <c r="AS1551" s="5079" t="s">
        <v>171</v>
      </c>
      <c r="AT1551" s="2680" t="s">
        <v>171</v>
      </c>
      <c r="AU1551" s="2680"/>
      <c r="AV1551" s="2680"/>
      <c r="AW1551" s="2680"/>
      <c r="AX1551" s="2680"/>
      <c r="AY1551" s="2680"/>
      <c r="AZ1551" s="2680"/>
      <c r="BA1551" s="6714"/>
      <c r="BB1551" s="6714">
        <v>66604</v>
      </c>
      <c r="BC1551" s="6714"/>
      <c r="BD1551" s="6714"/>
      <c r="BE1551" s="6714"/>
      <c r="BF1551" s="6714"/>
      <c r="BG1551" s="6714"/>
      <c r="BH1551" s="2678">
        <v>93245.6</v>
      </c>
      <c r="BI1551" s="6714"/>
      <c r="BJ1551" s="6714"/>
      <c r="BK1551" s="6714"/>
      <c r="BL1551" s="6714"/>
      <c r="BM1551" s="6714"/>
      <c r="BN1551" s="6714"/>
      <c r="BO1551" s="6715"/>
      <c r="BP1551" s="6715">
        <v>66604</v>
      </c>
      <c r="BQ1551" s="6715"/>
      <c r="BR1551" s="6715"/>
      <c r="BS1551" s="6715"/>
      <c r="BT1551" s="6715"/>
      <c r="BU1551" s="6715"/>
      <c r="BV1551" s="6715">
        <v>93245.6</v>
      </c>
      <c r="BW1551" s="6715"/>
      <c r="BX1551" s="6715"/>
      <c r="BY1551" s="6715"/>
      <c r="BZ1551" s="6715"/>
      <c r="CA1551" s="6715"/>
      <c r="CB1551" s="6715"/>
      <c r="CC1551" s="2680"/>
      <c r="CD1551" s="2680"/>
      <c r="CE1551" s="5039"/>
      <c r="CF1551" s="5039"/>
      <c r="CG1551" s="5039"/>
      <c r="CH1551" s="5039"/>
    </row>
    <row r="1552" s="4971" customFormat="1" ht="27" customHeight="1" spans="1:86">
      <c r="A1552" s="5048"/>
      <c r="B1552" s="6721"/>
      <c r="C1552" s="6721"/>
      <c r="D1552" s="6694"/>
      <c r="E1552" s="6721"/>
      <c r="F1552" s="6692"/>
      <c r="G1552" s="6692"/>
      <c r="H1552" s="6692"/>
      <c r="I1552" s="6692"/>
      <c r="J1552" s="6692"/>
      <c r="K1552" s="6721"/>
      <c r="L1552" s="3669"/>
      <c r="M1552" s="6721"/>
      <c r="N1552" s="4026"/>
      <c r="O1552" s="4026"/>
      <c r="P1552" s="4026"/>
      <c r="Q1552" s="4026"/>
      <c r="R1552" s="4026"/>
      <c r="S1552" s="4026"/>
      <c r="T1552" s="4026"/>
      <c r="U1552" s="4026"/>
      <c r="V1552" s="4026"/>
      <c r="W1552" s="4026"/>
      <c r="X1552" s="4026"/>
      <c r="Y1552" s="4026"/>
      <c r="Z1552" s="4026"/>
      <c r="AA1552" s="4026"/>
      <c r="AB1552" s="4026"/>
      <c r="AC1552" s="2680">
        <v>6</v>
      </c>
      <c r="AD1552" s="5853" t="s">
        <v>2622</v>
      </c>
      <c r="AE1552" s="2680">
        <v>0.1</v>
      </c>
      <c r="AF1552" s="2680">
        <f t="shared" si="312"/>
        <v>79924.8</v>
      </c>
      <c r="AG1552" s="2680">
        <f t="shared" si="313"/>
        <v>79924.8</v>
      </c>
      <c r="AH1552" s="2680" t="s">
        <v>206</v>
      </c>
      <c r="AI1552" s="2680">
        <v>43801</v>
      </c>
      <c r="AJ1552" s="2680" t="s">
        <v>171</v>
      </c>
      <c r="AK1552" s="2680" t="s">
        <v>171</v>
      </c>
      <c r="AL1552" s="2680">
        <v>79924.8</v>
      </c>
      <c r="AM1552" s="2680">
        <v>43801</v>
      </c>
      <c r="AN1552" s="2680">
        <f t="shared" si="310"/>
        <v>79924.8</v>
      </c>
      <c r="AO1552" s="2678">
        <v>43829</v>
      </c>
      <c r="AP1552" s="2680">
        <f t="shared" si="311"/>
        <v>0</v>
      </c>
      <c r="AQ1552" s="5887"/>
      <c r="AR1552" s="5079" t="s">
        <v>2623</v>
      </c>
      <c r="AS1552" s="5079" t="s">
        <v>171</v>
      </c>
      <c r="AT1552" s="2680"/>
      <c r="AU1552" s="2680"/>
      <c r="AV1552" s="2680"/>
      <c r="AW1552" s="2680"/>
      <c r="AX1552" s="2680"/>
      <c r="AY1552" s="2680"/>
      <c r="AZ1552" s="2680"/>
      <c r="BA1552" s="6714"/>
      <c r="BB1552" s="6714">
        <v>33302</v>
      </c>
      <c r="BC1552" s="6714"/>
      <c r="BD1552" s="6714"/>
      <c r="BE1552" s="6714"/>
      <c r="BF1552" s="6714"/>
      <c r="BG1552" s="6714"/>
      <c r="BH1552" s="2678">
        <v>46622.8</v>
      </c>
      <c r="BI1552" s="6714"/>
      <c r="BJ1552" s="6714"/>
      <c r="BK1552" s="6714"/>
      <c r="BL1552" s="6714"/>
      <c r="BM1552" s="6714"/>
      <c r="BN1552" s="6714"/>
      <c r="BO1552" s="6715"/>
      <c r="BP1552" s="6715">
        <v>33302</v>
      </c>
      <c r="BQ1552" s="6715"/>
      <c r="BR1552" s="6715"/>
      <c r="BS1552" s="6715"/>
      <c r="BT1552" s="6715"/>
      <c r="BU1552" s="6715"/>
      <c r="BV1552" s="6715">
        <v>46622.8</v>
      </c>
      <c r="BW1552" s="6715"/>
      <c r="BX1552" s="6715"/>
      <c r="BY1552" s="6715"/>
      <c r="BZ1552" s="6715"/>
      <c r="CA1552" s="6715"/>
      <c r="CB1552" s="6715"/>
      <c r="CC1552" s="2680"/>
      <c r="CD1552" s="2680"/>
      <c r="CE1552" s="5039"/>
      <c r="CF1552" s="5039"/>
      <c r="CG1552" s="5039"/>
      <c r="CH1552" s="5039"/>
    </row>
    <row r="1553" s="4965" customFormat="1" ht="28" customHeight="1" spans="1:86">
      <c r="A1553" s="3524"/>
      <c r="B1553" s="6721"/>
      <c r="C1553" s="6721"/>
      <c r="D1553" s="6694"/>
      <c r="E1553" s="6721"/>
      <c r="F1553" s="6692"/>
      <c r="G1553" s="6692"/>
      <c r="H1553" s="6692"/>
      <c r="I1553" s="6692"/>
      <c r="J1553" s="6692"/>
      <c r="K1553" s="6721"/>
      <c r="L1553" s="3669"/>
      <c r="M1553" s="6721"/>
      <c r="N1553" s="4026"/>
      <c r="O1553" s="4026"/>
      <c r="P1553" s="4026"/>
      <c r="Q1553" s="4026"/>
      <c r="R1553" s="4026"/>
      <c r="S1553" s="4026"/>
      <c r="T1553" s="4026"/>
      <c r="U1553" s="4026"/>
      <c r="V1553" s="4026"/>
      <c r="W1553" s="4026"/>
      <c r="X1553" s="4026"/>
      <c r="Y1553" s="4026"/>
      <c r="Z1553" s="4026"/>
      <c r="AA1553" s="4026"/>
      <c r="AB1553" s="4026"/>
      <c r="AC1553" s="4087">
        <v>7</v>
      </c>
      <c r="AD1553" s="5073" t="s">
        <v>2624</v>
      </c>
      <c r="AE1553" s="4087">
        <v>0.1</v>
      </c>
      <c r="AF1553" s="4087">
        <f t="shared" si="312"/>
        <v>79924.8</v>
      </c>
      <c r="AG1553" s="2678">
        <f t="shared" si="313"/>
        <v>79924.8</v>
      </c>
      <c r="AH1553" s="859" t="s">
        <v>122</v>
      </c>
      <c r="AI1553" s="2678">
        <v>44881</v>
      </c>
      <c r="AJ1553" s="2680" t="s">
        <v>171</v>
      </c>
      <c r="AK1553" s="2680" t="s">
        <v>171</v>
      </c>
      <c r="AL1553" s="2678">
        <v>79924.8</v>
      </c>
      <c r="AM1553" s="3812">
        <v>45321</v>
      </c>
      <c r="AN1553" s="3812">
        <f t="shared" si="310"/>
        <v>79924.8</v>
      </c>
      <c r="AO1553" s="2678">
        <v>45328</v>
      </c>
      <c r="AP1553" s="5123">
        <f t="shared" si="311"/>
        <v>0</v>
      </c>
      <c r="AQ1553" s="5137"/>
      <c r="AR1553" s="3524"/>
      <c r="AS1553" s="5256" t="s">
        <v>2625</v>
      </c>
      <c r="AT1553" s="5262"/>
      <c r="AU1553" s="3524"/>
      <c r="AV1553" s="3524"/>
      <c r="AW1553" s="3524"/>
      <c r="AX1553" s="3524"/>
      <c r="AY1553" s="3524"/>
      <c r="AZ1553" s="3524"/>
      <c r="BA1553" s="5147"/>
      <c r="BB1553" s="1035">
        <v>46622.8</v>
      </c>
      <c r="BC1553" s="5147"/>
      <c r="BD1553" s="5147"/>
      <c r="BE1553" s="5147"/>
      <c r="BF1553" s="5147"/>
      <c r="BG1553" s="5147"/>
      <c r="BH1553" s="3812">
        <v>33302</v>
      </c>
      <c r="BI1553" s="5147"/>
      <c r="BJ1553" s="5147"/>
      <c r="BK1553" s="5147"/>
      <c r="BL1553" s="5147"/>
      <c r="BM1553" s="5147"/>
      <c r="BN1553" s="5147"/>
      <c r="BO1553" s="5262"/>
      <c r="BP1553" s="5147">
        <f>333020*0.1</f>
        <v>33302</v>
      </c>
      <c r="BQ1553" s="5147"/>
      <c r="BR1553" s="5147"/>
      <c r="BS1553" s="5147"/>
      <c r="BT1553" s="5147"/>
      <c r="BU1553" s="5147"/>
      <c r="BV1553" s="3812">
        <v>46622.8</v>
      </c>
      <c r="BW1553" s="6731"/>
      <c r="BX1553" s="6731"/>
      <c r="BY1553" s="6731"/>
      <c r="BZ1553" s="6731"/>
      <c r="CA1553" s="6731"/>
      <c r="CB1553" s="6731"/>
      <c r="CC1553" s="3524"/>
      <c r="CD1553" s="3524"/>
      <c r="CE1553" s="5169"/>
      <c r="CF1553" s="5169"/>
      <c r="CG1553" s="5169"/>
      <c r="CH1553" s="5169"/>
    </row>
    <row r="1554" s="4965" customFormat="1" ht="28" customHeight="1" spans="1:86">
      <c r="A1554" s="3524"/>
      <c r="B1554" s="6722"/>
      <c r="C1554" s="6722"/>
      <c r="D1554" s="6695"/>
      <c r="E1554" s="6722"/>
      <c r="F1554" s="6693"/>
      <c r="G1554" s="6693"/>
      <c r="H1554" s="6693"/>
      <c r="I1554" s="6693"/>
      <c r="J1554" s="6693"/>
      <c r="K1554" s="6722"/>
      <c r="L1554" s="3741"/>
      <c r="M1554" s="6722"/>
      <c r="N1554" s="3927"/>
      <c r="O1554" s="3927"/>
      <c r="P1554" s="3927"/>
      <c r="Q1554" s="3927"/>
      <c r="R1554" s="3927"/>
      <c r="S1554" s="3927"/>
      <c r="T1554" s="3927"/>
      <c r="U1554" s="3927"/>
      <c r="V1554" s="3927"/>
      <c r="W1554" s="3927"/>
      <c r="X1554" s="3927"/>
      <c r="Y1554" s="3927"/>
      <c r="Z1554" s="3927"/>
      <c r="AA1554" s="3927"/>
      <c r="AB1554" s="3927"/>
      <c r="AC1554" s="4903"/>
      <c r="AD1554" s="5206"/>
      <c r="AE1554" s="4903"/>
      <c r="AF1554" s="4903"/>
      <c r="AG1554" s="2678">
        <f t="shared" si="313"/>
        <v>0</v>
      </c>
      <c r="AH1554" s="859" t="s">
        <v>2626</v>
      </c>
      <c r="AI1554" s="2678">
        <v>45321</v>
      </c>
      <c r="AJ1554" s="2680" t="s">
        <v>171</v>
      </c>
      <c r="AK1554" s="2680" t="s">
        <v>171</v>
      </c>
      <c r="AL1554" s="859" t="s">
        <v>171</v>
      </c>
      <c r="AM1554" s="857" t="s">
        <v>171</v>
      </c>
      <c r="AN1554" s="3406" t="s">
        <v>171</v>
      </c>
      <c r="AO1554" s="5881" t="s">
        <v>171</v>
      </c>
      <c r="AP1554" s="5123"/>
      <c r="AQ1554" s="5137"/>
      <c r="AR1554" s="3524"/>
      <c r="AS1554" s="5256"/>
      <c r="AT1554" s="5262"/>
      <c r="AU1554" s="3524"/>
      <c r="AV1554" s="3524"/>
      <c r="AW1554" s="3524"/>
      <c r="AX1554" s="3524"/>
      <c r="AY1554" s="3524"/>
      <c r="AZ1554" s="3524"/>
      <c r="BA1554" s="5147"/>
      <c r="BB1554" s="1035">
        <v>-13320.8</v>
      </c>
      <c r="BC1554" s="5147"/>
      <c r="BD1554" s="5147"/>
      <c r="BE1554" s="5147"/>
      <c r="BF1554" s="5147"/>
      <c r="BG1554" s="5147"/>
      <c r="BH1554" s="4813">
        <v>13320.8</v>
      </c>
      <c r="BI1554" s="5147"/>
      <c r="BJ1554" s="5147"/>
      <c r="BK1554" s="5147"/>
      <c r="BL1554" s="5147"/>
      <c r="BM1554" s="5147"/>
      <c r="BN1554" s="5147"/>
      <c r="BO1554" s="5262"/>
      <c r="BP1554" s="5262"/>
      <c r="BQ1554" s="5262"/>
      <c r="BR1554" s="5262"/>
      <c r="BS1554" s="5262"/>
      <c r="BT1554" s="5262"/>
      <c r="BU1554" s="5262"/>
      <c r="BV1554" s="5123"/>
      <c r="BW1554" s="6731"/>
      <c r="BX1554" s="6731"/>
      <c r="BY1554" s="6731"/>
      <c r="BZ1554" s="6731"/>
      <c r="CA1554" s="6731"/>
      <c r="CB1554" s="6731"/>
      <c r="CC1554" s="3524"/>
      <c r="CD1554" s="3524"/>
      <c r="CE1554" s="5169"/>
      <c r="CF1554" s="5169"/>
      <c r="CG1554" s="5169"/>
      <c r="CH1554" s="5169"/>
    </row>
    <row r="1555" s="4971" customFormat="1" ht="30" customHeight="1" spans="1:86">
      <c r="A1555" s="5048">
        <v>5</v>
      </c>
      <c r="B1555" s="5064" t="s">
        <v>2570</v>
      </c>
      <c r="C1555" s="5064">
        <v>43223</v>
      </c>
      <c r="D1555" s="5061" t="s">
        <v>2627</v>
      </c>
      <c r="E1555" s="5064" t="s">
        <v>113</v>
      </c>
      <c r="F1555" s="5061" t="s">
        <v>2628</v>
      </c>
      <c r="G1555" s="5061" t="s">
        <v>2629</v>
      </c>
      <c r="H1555" s="5061" t="s">
        <v>2582</v>
      </c>
      <c r="I1555" s="5061"/>
      <c r="J1555" s="5061" t="s">
        <v>2630</v>
      </c>
      <c r="K1555" s="5064">
        <v>196709</v>
      </c>
      <c r="L1555" s="5061" t="s">
        <v>2631</v>
      </c>
      <c r="M1555" s="5064">
        <f>SUM(N1555:AA1558)</f>
        <v>6668685.2</v>
      </c>
      <c r="N1555" s="2680">
        <v>0</v>
      </c>
      <c r="O1555" s="2680">
        <f>6668685.2-U1555</f>
        <v>5291722.2</v>
      </c>
      <c r="P1555" s="2680">
        <v>0</v>
      </c>
      <c r="Q1555" s="2680">
        <v>0</v>
      </c>
      <c r="R1555" s="2680">
        <v>0</v>
      </c>
      <c r="S1555" s="2680">
        <v>0</v>
      </c>
      <c r="T1555" s="5823">
        <v>0</v>
      </c>
      <c r="U1555" s="2680">
        <f>196709*7</f>
        <v>1376963</v>
      </c>
      <c r="V1555" s="2680">
        <v>0</v>
      </c>
      <c r="W1555" s="2680">
        <v>0</v>
      </c>
      <c r="X1555" s="2680"/>
      <c r="Y1555" s="2680"/>
      <c r="Z1555" s="2680"/>
      <c r="AA1555" s="2680">
        <v>0</v>
      </c>
      <c r="AB1555" s="5079" t="s">
        <v>2632</v>
      </c>
      <c r="AC1555" s="2680">
        <v>1</v>
      </c>
      <c r="AD1555" s="5853" t="s">
        <v>2633</v>
      </c>
      <c r="AE1555" s="2680">
        <v>0.2</v>
      </c>
      <c r="AF1555" s="2680">
        <f>6668685.2*AE1555</f>
        <v>1333737.04</v>
      </c>
      <c r="AG1555" s="2680">
        <f t="shared" si="313"/>
        <v>1333737.04</v>
      </c>
      <c r="AH1555" s="2680" t="s">
        <v>206</v>
      </c>
      <c r="AI1555" s="2680">
        <v>43231</v>
      </c>
      <c r="AJ1555" s="2680" t="s">
        <v>171</v>
      </c>
      <c r="AK1555" s="2680" t="s">
        <v>171</v>
      </c>
      <c r="AL1555" s="2680">
        <v>1333737.04</v>
      </c>
      <c r="AM1555" s="2680">
        <v>43231</v>
      </c>
      <c r="AN1555" s="2680">
        <f>SUM(BO1555:CB1555)</f>
        <v>1333737.04</v>
      </c>
      <c r="AO1555" s="2678">
        <v>43247</v>
      </c>
      <c r="AP1555" s="2680">
        <f>AG1555-AN1555</f>
        <v>0</v>
      </c>
      <c r="AQ1555" s="5331"/>
      <c r="AR1555" s="2680" t="s">
        <v>171</v>
      </c>
      <c r="AS1555" s="5079"/>
      <c r="AT1555" s="2680" t="s">
        <v>171</v>
      </c>
      <c r="AU1555" s="2680">
        <f>SUM(AG1555:AG1558)</f>
        <v>6902402.92</v>
      </c>
      <c r="AV1555" s="2680">
        <f>SUM(AL1555:AL1558)</f>
        <v>6668685.2</v>
      </c>
      <c r="AW1555" s="2680">
        <f>SUM(AN1555:AN1558)</f>
        <v>6668685.204</v>
      </c>
      <c r="AX1555" s="2680">
        <f>6902402.92-AU1555</f>
        <v>0</v>
      </c>
      <c r="AY1555" s="2680">
        <f>AU1555-AV1555</f>
        <v>233717.719999999</v>
      </c>
      <c r="AZ1555" s="2680">
        <f>AV1555-AW1555</f>
        <v>-0.00399999972432852</v>
      </c>
      <c r="BA1555" s="5796"/>
      <c r="BB1555" s="5796">
        <f>6668685.2*0.2-BH1555</f>
        <v>1058344.44</v>
      </c>
      <c r="BC1555" s="2678"/>
      <c r="BD1555" s="5796"/>
      <c r="BE1555" s="5796"/>
      <c r="BF1555" s="5796"/>
      <c r="BG1555" s="5796"/>
      <c r="BH1555" s="2678">
        <f>1376963*0.2</f>
        <v>275392.6</v>
      </c>
      <c r="BI1555" s="5796"/>
      <c r="BJ1555" s="5796"/>
      <c r="BK1555" s="5796"/>
      <c r="BL1555" s="5796"/>
      <c r="BM1555" s="5796"/>
      <c r="BN1555" s="5796"/>
      <c r="BO1555" s="5331"/>
      <c r="BP1555" s="5331">
        <v>1058344.44</v>
      </c>
      <c r="BQ1555" s="5331"/>
      <c r="BR1555" s="5331"/>
      <c r="BS1555" s="5331"/>
      <c r="BT1555" s="5331"/>
      <c r="BU1555" s="5331"/>
      <c r="BV1555" s="5331">
        <v>275392.6</v>
      </c>
      <c r="BW1555" s="5331"/>
      <c r="BX1555" s="5331"/>
      <c r="BY1555" s="5331"/>
      <c r="BZ1555" s="5331"/>
      <c r="CA1555" s="5331"/>
      <c r="CB1555" s="5331"/>
      <c r="CC1555" s="2680"/>
      <c r="CD1555" s="2680"/>
      <c r="CE1555" s="5039"/>
      <c r="CF1555" s="5039"/>
      <c r="CG1555" s="5039"/>
      <c r="CH1555" s="5039"/>
    </row>
    <row r="1556" s="4971" customFormat="1" ht="76" spans="1:86">
      <c r="A1556" s="5048"/>
      <c r="B1556" s="6721"/>
      <c r="C1556" s="6721"/>
      <c r="D1556" s="6692"/>
      <c r="E1556" s="6721"/>
      <c r="F1556" s="6692"/>
      <c r="G1556" s="6692"/>
      <c r="H1556" s="6692"/>
      <c r="I1556" s="6692"/>
      <c r="J1556" s="6692"/>
      <c r="K1556" s="6721"/>
      <c r="L1556" s="6692"/>
      <c r="M1556" s="6721"/>
      <c r="N1556" s="2680"/>
      <c r="O1556" s="2680"/>
      <c r="P1556" s="2680"/>
      <c r="Q1556" s="2680"/>
      <c r="R1556" s="2680"/>
      <c r="S1556" s="2680"/>
      <c r="T1556" s="2680"/>
      <c r="U1556" s="2680"/>
      <c r="V1556" s="2680"/>
      <c r="W1556" s="2680"/>
      <c r="X1556" s="2680"/>
      <c r="Y1556" s="2680"/>
      <c r="Z1556" s="2680"/>
      <c r="AA1556" s="2680"/>
      <c r="AB1556" s="5079"/>
      <c r="AC1556" s="2680">
        <v>2</v>
      </c>
      <c r="AD1556" s="5853" t="s">
        <v>2634</v>
      </c>
      <c r="AE1556" s="2680">
        <v>0.5</v>
      </c>
      <c r="AF1556" s="2680">
        <f>6668685.2*AE1556</f>
        <v>3334342.6</v>
      </c>
      <c r="AG1556" s="2680">
        <f t="shared" si="313"/>
        <v>3334342.6</v>
      </c>
      <c r="AH1556" s="2680" t="s">
        <v>206</v>
      </c>
      <c r="AI1556" s="2680">
        <v>43329</v>
      </c>
      <c r="AJ1556" s="2680" t="s">
        <v>171</v>
      </c>
      <c r="AK1556" s="2680" t="s">
        <v>171</v>
      </c>
      <c r="AL1556" s="2680">
        <v>3334342.6</v>
      </c>
      <c r="AM1556" s="2680">
        <v>43329</v>
      </c>
      <c r="AN1556" s="2680">
        <f>SUM(BO1556:CB1556)</f>
        <v>3334342.6</v>
      </c>
      <c r="AO1556" s="6727">
        <v>43341</v>
      </c>
      <c r="AP1556" s="2680">
        <f>AG1556-AN1556</f>
        <v>0</v>
      </c>
      <c r="AQ1556" s="5331"/>
      <c r="AR1556" s="2680" t="s">
        <v>171</v>
      </c>
      <c r="AS1556" s="5079"/>
      <c r="AT1556" s="2680" t="s">
        <v>171</v>
      </c>
      <c r="AU1556" s="2680"/>
      <c r="AV1556" s="2680"/>
      <c r="AW1556" s="2680"/>
      <c r="AX1556" s="2680"/>
      <c r="AY1556" s="2680"/>
      <c r="AZ1556" s="2680"/>
      <c r="BA1556" s="5796"/>
      <c r="BB1556" s="5796">
        <f>6668685.2*0.5-BH1556</f>
        <v>2645861.1</v>
      </c>
      <c r="BC1556" s="2678"/>
      <c r="BD1556" s="5796"/>
      <c r="BE1556" s="5796"/>
      <c r="BF1556" s="5796"/>
      <c r="BG1556" s="5796"/>
      <c r="BH1556" s="2678">
        <f>1376963*0.5</f>
        <v>688481.5</v>
      </c>
      <c r="BI1556" s="5796"/>
      <c r="BJ1556" s="5796"/>
      <c r="BK1556" s="5796"/>
      <c r="BL1556" s="5796"/>
      <c r="BM1556" s="5796"/>
      <c r="BN1556" s="5796"/>
      <c r="BO1556" s="5331"/>
      <c r="BP1556" s="5331">
        <v>2645861.1</v>
      </c>
      <c r="BQ1556" s="5331"/>
      <c r="BR1556" s="5331"/>
      <c r="BS1556" s="5331"/>
      <c r="BT1556" s="5331"/>
      <c r="BU1556" s="5331"/>
      <c r="BV1556" s="5331">
        <v>688481.5</v>
      </c>
      <c r="BW1556" s="5331"/>
      <c r="BX1556" s="5331"/>
      <c r="BY1556" s="5331"/>
      <c r="BZ1556" s="5331"/>
      <c r="CA1556" s="5331"/>
      <c r="CB1556" s="5331"/>
      <c r="CC1556" s="2680"/>
      <c r="CD1556" s="2680"/>
      <c r="CE1556" s="5039"/>
      <c r="CF1556" s="5039"/>
      <c r="CG1556" s="5039"/>
      <c r="CH1556" s="5039"/>
    </row>
    <row r="1557" s="4971" customFormat="1" ht="61" spans="1:86">
      <c r="A1557" s="5048"/>
      <c r="B1557" s="6721"/>
      <c r="C1557" s="6721"/>
      <c r="D1557" s="6692"/>
      <c r="E1557" s="6721"/>
      <c r="F1557" s="6692"/>
      <c r="G1557" s="6692"/>
      <c r="H1557" s="6692"/>
      <c r="I1557" s="6692"/>
      <c r="J1557" s="6692"/>
      <c r="K1557" s="6721"/>
      <c r="L1557" s="6692"/>
      <c r="M1557" s="6721"/>
      <c r="N1557" s="2680"/>
      <c r="O1557" s="2680"/>
      <c r="P1557" s="2680"/>
      <c r="Q1557" s="2680"/>
      <c r="R1557" s="2680"/>
      <c r="S1557" s="2680"/>
      <c r="T1557" s="2680"/>
      <c r="U1557" s="2680"/>
      <c r="V1557" s="2680"/>
      <c r="W1557" s="2680"/>
      <c r="X1557" s="2680"/>
      <c r="Y1557" s="2680"/>
      <c r="Z1557" s="2680"/>
      <c r="AA1557" s="2680"/>
      <c r="AB1557" s="5079"/>
      <c r="AC1557" s="2680">
        <v>3</v>
      </c>
      <c r="AD1557" s="5853" t="s">
        <v>2635</v>
      </c>
      <c r="AE1557" s="2680">
        <v>0.25</v>
      </c>
      <c r="AF1557" s="2680">
        <f>6668685.2*AE1557</f>
        <v>1667171.3</v>
      </c>
      <c r="AG1557" s="2680">
        <f t="shared" si="313"/>
        <v>1889203.134</v>
      </c>
      <c r="AH1557" s="2680" t="s">
        <v>206</v>
      </c>
      <c r="AI1557" s="2680">
        <v>43595</v>
      </c>
      <c r="AJ1557" s="2680" t="s">
        <v>171</v>
      </c>
      <c r="AK1557" s="2680" t="s">
        <v>171</v>
      </c>
      <c r="AL1557" s="2680">
        <v>1889203.13</v>
      </c>
      <c r="AM1557" s="2680">
        <v>43595</v>
      </c>
      <c r="AN1557" s="2680">
        <f>SUM(BO1557:CB1557)</f>
        <v>1889203.134</v>
      </c>
      <c r="AO1557" s="6727">
        <v>43658</v>
      </c>
      <c r="AP1557" s="2680">
        <f>AG1557-AN1557</f>
        <v>0</v>
      </c>
      <c r="AQ1557" s="5887" t="s">
        <v>2636</v>
      </c>
      <c r="AR1557" s="5079" t="s">
        <v>2637</v>
      </c>
      <c r="AS1557" s="5079" t="s">
        <v>171</v>
      </c>
      <c r="AT1557" s="2680"/>
      <c r="AU1557" s="2680"/>
      <c r="AV1557" s="2680"/>
      <c r="AW1557" s="2680"/>
      <c r="AX1557" s="2680"/>
      <c r="AY1557" s="2680"/>
      <c r="AZ1557" s="2680"/>
      <c r="BA1557" s="5796"/>
      <c r="BB1557" s="5796">
        <f>6902402.92*0.95-BB1555-BB1556-BH1555-BH1556-BH1557</f>
        <v>1386989.7055</v>
      </c>
      <c r="BC1557" s="2678"/>
      <c r="BD1557" s="5796"/>
      <c r="BE1557" s="5796"/>
      <c r="BF1557" s="5796"/>
      <c r="BG1557" s="5796"/>
      <c r="BH1557" s="2678">
        <f>220464.29*7*0.95-BH1555-BH1556</f>
        <v>502213.4285</v>
      </c>
      <c r="BI1557" s="5796"/>
      <c r="BJ1557" s="5796"/>
      <c r="BK1557" s="5796"/>
      <c r="BL1557" s="5796"/>
      <c r="BM1557" s="5796"/>
      <c r="BN1557" s="5796"/>
      <c r="BO1557" s="5331"/>
      <c r="BP1557" s="5331">
        <v>1386989.7055</v>
      </c>
      <c r="BQ1557" s="5331"/>
      <c r="BR1557" s="5331"/>
      <c r="BS1557" s="5331"/>
      <c r="BT1557" s="5331"/>
      <c r="BU1557" s="5331"/>
      <c r="BV1557" s="5331">
        <v>502213.4285</v>
      </c>
      <c r="BW1557" s="5331"/>
      <c r="BX1557" s="5331"/>
      <c r="BY1557" s="5331"/>
      <c r="BZ1557" s="5331"/>
      <c r="CA1557" s="5331"/>
      <c r="CB1557" s="5331"/>
      <c r="CC1557" s="2680"/>
      <c r="CD1557" s="2680"/>
      <c r="CE1557" s="5039"/>
      <c r="CF1557" s="5039"/>
      <c r="CG1557" s="5039"/>
      <c r="CH1557" s="5039"/>
    </row>
    <row r="1558" s="4971" customFormat="1" ht="15.2" spans="1:86">
      <c r="A1558" s="5048"/>
      <c r="B1558" s="6721"/>
      <c r="C1558" s="6721"/>
      <c r="D1558" s="6692"/>
      <c r="E1558" s="6721"/>
      <c r="F1558" s="6692"/>
      <c r="G1558" s="6692"/>
      <c r="H1558" s="6692"/>
      <c r="I1558" s="6692"/>
      <c r="J1558" s="6692"/>
      <c r="K1558" s="6721"/>
      <c r="L1558" s="6692"/>
      <c r="M1558" s="6721"/>
      <c r="N1558" s="2680"/>
      <c r="O1558" s="2680"/>
      <c r="P1558" s="2680"/>
      <c r="Q1558" s="2680"/>
      <c r="R1558" s="2680"/>
      <c r="S1558" s="2680"/>
      <c r="T1558" s="2680"/>
      <c r="U1558" s="2680"/>
      <c r="V1558" s="2680"/>
      <c r="W1558" s="2680"/>
      <c r="X1558" s="2680"/>
      <c r="Y1558" s="2680"/>
      <c r="Z1558" s="2680"/>
      <c r="AA1558" s="2680"/>
      <c r="AB1558" s="5079"/>
      <c r="AC1558" s="3925">
        <v>4</v>
      </c>
      <c r="AD1558" s="5050" t="s">
        <v>2638</v>
      </c>
      <c r="AE1558" s="3925">
        <v>0.05</v>
      </c>
      <c r="AF1558" s="3925">
        <f>6668685.2*AE1558</f>
        <v>333434.26</v>
      </c>
      <c r="AG1558" s="2678">
        <f t="shared" si="313"/>
        <v>345120.146</v>
      </c>
      <c r="AH1558" s="2678" t="s">
        <v>122</v>
      </c>
      <c r="AI1558" s="2678">
        <v>44181</v>
      </c>
      <c r="AJ1558" s="2678">
        <v>345120.146</v>
      </c>
      <c r="AK1558" s="2678">
        <v>44181</v>
      </c>
      <c r="AL1558" s="3912">
        <f>SUM(BL1558:BY1558)</f>
        <v>111402.43</v>
      </c>
      <c r="AM1558" s="3912">
        <v>45482</v>
      </c>
      <c r="AN1558" s="3912">
        <f>SUM(BO1558:CB1558)</f>
        <v>111402.43</v>
      </c>
      <c r="AO1558" s="3912">
        <v>45682</v>
      </c>
      <c r="AP1558" s="3925">
        <f>AG1558-AN1558</f>
        <v>233717.716</v>
      </c>
      <c r="AQ1558" s="6728" t="s">
        <v>2639</v>
      </c>
      <c r="AR1558" s="2680"/>
      <c r="AS1558" s="5079"/>
      <c r="AT1558" s="2680"/>
      <c r="AU1558" s="2680"/>
      <c r="AV1558" s="2680"/>
      <c r="AW1558" s="2680"/>
      <c r="AX1558" s="2680"/>
      <c r="AY1558" s="2680"/>
      <c r="AZ1558" s="2680"/>
      <c r="BA1558" s="5796"/>
      <c r="BB1558" s="5331">
        <v>267957.6445</v>
      </c>
      <c r="BC1558" s="2678"/>
      <c r="BD1558" s="5796"/>
      <c r="BE1558" s="5796"/>
      <c r="BF1558" s="5796"/>
      <c r="BG1558" s="5796"/>
      <c r="BH1558" s="2678">
        <f>220464.29*7-BH1557-BH1556-BH1555</f>
        <v>77162.5015000001</v>
      </c>
      <c r="BI1558" s="5796"/>
      <c r="BJ1558" s="5796"/>
      <c r="BK1558" s="5796"/>
      <c r="BL1558" s="5796"/>
      <c r="BM1558" s="5796"/>
      <c r="BN1558" s="5796"/>
      <c r="BO1558" s="5331"/>
      <c r="BP1558" s="5860">
        <v>111402.43</v>
      </c>
      <c r="BQ1558" s="5331"/>
      <c r="BR1558" s="5331"/>
      <c r="BS1558" s="5331"/>
      <c r="BT1558" s="5331"/>
      <c r="BU1558" s="5331"/>
      <c r="BV1558" s="2678"/>
      <c r="BW1558" s="5860"/>
      <c r="BX1558" s="5860"/>
      <c r="BY1558" s="5860"/>
      <c r="BZ1558" s="5860"/>
      <c r="CA1558" s="5860"/>
      <c r="CB1558" s="5860"/>
      <c r="CC1558" s="2680"/>
      <c r="CD1558" s="2680"/>
      <c r="CE1558" s="5169">
        <f>SUBTOTAL(9,BO1558:CB1558)</f>
        <v>111402.43</v>
      </c>
      <c r="CF1558" s="5169">
        <f>AN1558-CE1558</f>
        <v>0</v>
      </c>
      <c r="CG1558" s="5039"/>
      <c r="CH1558" s="5039"/>
    </row>
    <row r="1559" s="4971" customFormat="1" ht="15.2" spans="1:86">
      <c r="A1559" s="5048"/>
      <c r="B1559" s="6721"/>
      <c r="C1559" s="6721"/>
      <c r="D1559" s="6692"/>
      <c r="E1559" s="6721"/>
      <c r="F1559" s="6692"/>
      <c r="G1559" s="6692"/>
      <c r="H1559" s="6692"/>
      <c r="I1559" s="6692"/>
      <c r="J1559" s="6692"/>
      <c r="K1559" s="6721"/>
      <c r="L1559" s="6692"/>
      <c r="M1559" s="6721"/>
      <c r="N1559" s="2680"/>
      <c r="O1559" s="2680"/>
      <c r="P1559" s="2680"/>
      <c r="Q1559" s="2680"/>
      <c r="R1559" s="2680"/>
      <c r="S1559" s="2680"/>
      <c r="T1559" s="2680"/>
      <c r="U1559" s="2680"/>
      <c r="V1559" s="2680"/>
      <c r="W1559" s="2680"/>
      <c r="X1559" s="2680"/>
      <c r="Y1559" s="2680"/>
      <c r="Z1559" s="2680"/>
      <c r="AA1559" s="2680"/>
      <c r="AB1559" s="5079"/>
      <c r="AC1559" s="4026"/>
      <c r="AD1559" s="6040"/>
      <c r="AE1559" s="4026"/>
      <c r="AF1559" s="4026"/>
      <c r="AG1559" s="6716">
        <f t="shared" si="313"/>
        <v>0</v>
      </c>
      <c r="AH1559" s="1016" t="s">
        <v>206</v>
      </c>
      <c r="AI1559" s="6716">
        <v>45482</v>
      </c>
      <c r="AJ1559" s="2678">
        <f>SUM(BD1559:BQ1559)</f>
        <v>0</v>
      </c>
      <c r="AK1559" s="2678">
        <v>45482</v>
      </c>
      <c r="AL1559" s="5936"/>
      <c r="AM1559" s="5936"/>
      <c r="AN1559" s="3913"/>
      <c r="AO1559" s="3913"/>
      <c r="AP1559" s="4026"/>
      <c r="AQ1559" s="6729"/>
      <c r="AR1559" s="2680"/>
      <c r="AS1559" s="5079"/>
      <c r="AT1559" s="2680"/>
      <c r="AU1559" s="2680"/>
      <c r="AV1559" s="2680"/>
      <c r="AW1559" s="2680"/>
      <c r="AX1559" s="2680"/>
      <c r="AY1559" s="2680"/>
      <c r="AZ1559" s="2680"/>
      <c r="BA1559" s="5796"/>
      <c r="BB1559" s="5031">
        <v>0</v>
      </c>
      <c r="BC1559" s="2678"/>
      <c r="BD1559" s="5796"/>
      <c r="BE1559" s="5796"/>
      <c r="BF1559" s="5796"/>
      <c r="BG1559" s="5796"/>
      <c r="BH1559" s="2680">
        <f>0</f>
        <v>0</v>
      </c>
      <c r="BI1559" s="5796"/>
      <c r="BJ1559" s="5796"/>
      <c r="BK1559" s="5796"/>
      <c r="BL1559" s="5796"/>
      <c r="BM1559" s="5796"/>
      <c r="BN1559" s="5796"/>
      <c r="BO1559" s="5331"/>
      <c r="BP1559" s="5860"/>
      <c r="BQ1559" s="5331"/>
      <c r="BR1559" s="5331"/>
      <c r="BS1559" s="5331"/>
      <c r="BT1559" s="5331"/>
      <c r="BU1559" s="5331"/>
      <c r="BV1559" s="2678"/>
      <c r="BW1559" s="5860"/>
      <c r="BX1559" s="5860"/>
      <c r="BY1559" s="5860"/>
      <c r="BZ1559" s="5860"/>
      <c r="CA1559" s="5860"/>
      <c r="CB1559" s="5860"/>
      <c r="CC1559" s="2680"/>
      <c r="CD1559" s="2680"/>
      <c r="CE1559" s="5169">
        <f>SUBTOTAL(9,BO1559:CB1559)</f>
        <v>0</v>
      </c>
      <c r="CF1559" s="5169">
        <f>AN1559-CE1559</f>
        <v>0</v>
      </c>
      <c r="CG1559" s="5039"/>
      <c r="CH1559" s="5039"/>
    </row>
    <row r="1560" s="4971" customFormat="1" ht="15.2" spans="1:86">
      <c r="A1560" s="5048"/>
      <c r="B1560" s="6721"/>
      <c r="C1560" s="6721"/>
      <c r="D1560" s="6692"/>
      <c r="E1560" s="6721"/>
      <c r="F1560" s="6692"/>
      <c r="G1560" s="6692"/>
      <c r="H1560" s="6692"/>
      <c r="I1560" s="6692"/>
      <c r="J1560" s="6692"/>
      <c r="K1560" s="6721"/>
      <c r="L1560" s="6692"/>
      <c r="M1560" s="6721"/>
      <c r="N1560" s="2680"/>
      <c r="O1560" s="2680"/>
      <c r="P1560" s="2680"/>
      <c r="Q1560" s="2680"/>
      <c r="R1560" s="2680"/>
      <c r="S1560" s="2680"/>
      <c r="T1560" s="2680"/>
      <c r="U1560" s="2680"/>
      <c r="V1560" s="2680"/>
      <c r="W1560" s="2680"/>
      <c r="X1560" s="2680"/>
      <c r="Y1560" s="2680"/>
      <c r="Z1560" s="2680"/>
      <c r="AA1560" s="2680"/>
      <c r="AB1560" s="5079"/>
      <c r="AC1560" s="4026"/>
      <c r="AD1560" s="6040"/>
      <c r="AE1560" s="4026"/>
      <c r="AF1560" s="4026"/>
      <c r="AG1560" s="3932">
        <f t="shared" si="313"/>
        <v>-233717.719999999</v>
      </c>
      <c r="AH1560" s="5881" t="s">
        <v>349</v>
      </c>
      <c r="AI1560" s="3932"/>
      <c r="AJ1560" s="2678"/>
      <c r="AK1560" s="2678"/>
      <c r="AL1560" s="3914"/>
      <c r="AM1560" s="3914"/>
      <c r="AN1560" s="3914"/>
      <c r="AO1560" s="3914"/>
      <c r="AP1560" s="3927"/>
      <c r="AQ1560" s="6730"/>
      <c r="AR1560" s="2680"/>
      <c r="AS1560" s="5079"/>
      <c r="AT1560" s="2680"/>
      <c r="AU1560" s="2680"/>
      <c r="AV1560" s="2680"/>
      <c r="AW1560" s="2680"/>
      <c r="AX1560" s="2680"/>
      <c r="AY1560" s="2680"/>
      <c r="AZ1560" s="2680"/>
      <c r="BA1560" s="5796"/>
      <c r="BB1560" s="6720">
        <f>5291722.2-BB1555-BB1556-BB1558-BB1557</f>
        <v>-67430.689999999</v>
      </c>
      <c r="BC1560" s="2678"/>
      <c r="BD1560" s="5796"/>
      <c r="BE1560" s="5796"/>
      <c r="BF1560" s="5796"/>
      <c r="BG1560" s="5796"/>
      <c r="BH1560" s="2680">
        <f>1376963-BH1555-BH1556-BH1557-BH1558-BH1559</f>
        <v>-166287.03</v>
      </c>
      <c r="BI1560" s="5796"/>
      <c r="BJ1560" s="5796"/>
      <c r="BK1560" s="5796"/>
      <c r="BL1560" s="5796"/>
      <c r="BM1560" s="5796"/>
      <c r="BN1560" s="5796"/>
      <c r="BO1560" s="5331"/>
      <c r="BP1560" s="5860"/>
      <c r="BQ1560" s="5331"/>
      <c r="BR1560" s="5331"/>
      <c r="BS1560" s="5331"/>
      <c r="BT1560" s="5331"/>
      <c r="BU1560" s="5331"/>
      <c r="BV1560" s="2678">
        <v>0</v>
      </c>
      <c r="BW1560" s="5860"/>
      <c r="BX1560" s="5860"/>
      <c r="BY1560" s="5860"/>
      <c r="BZ1560" s="5860"/>
      <c r="CA1560" s="5860"/>
      <c r="CB1560" s="5860"/>
      <c r="CC1560" s="2680"/>
      <c r="CD1560" s="2680"/>
      <c r="CE1560" s="5169">
        <f>SUBTOTAL(9,BO1560:CB1560)</f>
        <v>0</v>
      </c>
      <c r="CF1560" s="5169">
        <f>AN1560-CE1560</f>
        <v>0</v>
      </c>
      <c r="CG1560" s="5039"/>
      <c r="CH1560" s="5039"/>
    </row>
    <row r="1561" s="4971" customFormat="1" ht="25" customHeight="1" spans="1:86">
      <c r="A1561" s="5048">
        <v>6</v>
      </c>
      <c r="B1561" s="5048" t="s">
        <v>2570</v>
      </c>
      <c r="C1561" s="5048">
        <v>43320</v>
      </c>
      <c r="D1561" s="6690" t="s">
        <v>2640</v>
      </c>
      <c r="E1561" s="5048" t="s">
        <v>113</v>
      </c>
      <c r="F1561" s="6690" t="s">
        <v>2641</v>
      </c>
      <c r="G1561" s="6690" t="s">
        <v>2642</v>
      </c>
      <c r="H1561" s="6690" t="s">
        <v>2582</v>
      </c>
      <c r="I1561" s="5061"/>
      <c r="J1561" s="6690" t="s">
        <v>2643</v>
      </c>
      <c r="K1561" s="5048">
        <v>314055.54</v>
      </c>
      <c r="L1561" s="6690" t="s">
        <v>2644</v>
      </c>
      <c r="M1561" s="5048">
        <f>SUM(N1561:AA1565)</f>
        <v>9541581.97</v>
      </c>
      <c r="N1561" s="5048">
        <v>0</v>
      </c>
      <c r="O1561" s="5048">
        <f>9541581.97-U1561</f>
        <v>7343193.19</v>
      </c>
      <c r="P1561" s="5048">
        <v>0</v>
      </c>
      <c r="Q1561" s="5048">
        <v>0</v>
      </c>
      <c r="R1561" s="5048">
        <v>0</v>
      </c>
      <c r="S1561" s="5048">
        <v>0</v>
      </c>
      <c r="T1561" s="5048"/>
      <c r="U1561" s="5048">
        <f>314055.54*7</f>
        <v>2198388.78</v>
      </c>
      <c r="V1561" s="5048">
        <v>0</v>
      </c>
      <c r="W1561" s="5048">
        <v>0</v>
      </c>
      <c r="X1561" s="5048"/>
      <c r="Y1561" s="5048"/>
      <c r="Z1561" s="5048"/>
      <c r="AA1561" s="5048">
        <v>0</v>
      </c>
      <c r="AB1561" s="5079" t="s">
        <v>2645</v>
      </c>
      <c r="AC1561" s="2680">
        <v>1</v>
      </c>
      <c r="AD1561" s="5853" t="s">
        <v>1105</v>
      </c>
      <c r="AE1561" s="2680">
        <v>0.2</v>
      </c>
      <c r="AF1561" s="2680">
        <f>9541581.97*AE1561</f>
        <v>1908316.394</v>
      </c>
      <c r="AG1561" s="2680">
        <f t="shared" si="313"/>
        <v>1908316.394</v>
      </c>
      <c r="AH1561" s="2680" t="s">
        <v>206</v>
      </c>
      <c r="AI1561" s="2680">
        <v>43570</v>
      </c>
      <c r="AJ1561" s="2680" t="s">
        <v>171</v>
      </c>
      <c r="AK1561" s="2680" t="s">
        <v>171</v>
      </c>
      <c r="AL1561" s="2680">
        <v>1908316.394</v>
      </c>
      <c r="AM1561" s="2680">
        <v>43570</v>
      </c>
      <c r="AN1561" s="2680">
        <f>SUM(BO1561:CB1561)</f>
        <v>1908316.394</v>
      </c>
      <c r="AO1561" s="6727">
        <v>43581</v>
      </c>
      <c r="AP1561" s="2680">
        <f>AG1561-AN1561</f>
        <v>0</v>
      </c>
      <c r="AQ1561" s="5331"/>
      <c r="AR1561" s="2680" t="s">
        <v>171</v>
      </c>
      <c r="AS1561" s="5079" t="s">
        <v>171</v>
      </c>
      <c r="AT1561" s="2680" t="s">
        <v>171</v>
      </c>
      <c r="AU1561" s="2680">
        <f>SUM(AG1561:AG1564)</f>
        <v>9541581.9705</v>
      </c>
      <c r="AV1561" s="2680">
        <f>SUM(AL1561:AL1564)</f>
        <v>9541581.9705</v>
      </c>
      <c r="AW1561" s="2680">
        <f>SUM(AN1561:AN1564)</f>
        <v>9541581.97</v>
      </c>
      <c r="AX1561" s="2680">
        <f>M1561-AU1561</f>
        <v>-0.000499999150633812</v>
      </c>
      <c r="AY1561" s="2680">
        <f>AU1561-AV1561</f>
        <v>0</v>
      </c>
      <c r="AZ1561" s="2680">
        <f>AV1561-AW1561</f>
        <v>0.000499999150633812</v>
      </c>
      <c r="BA1561" s="5796"/>
      <c r="BB1561" s="2678">
        <f>9541581.97*0.2-BH1561</f>
        <v>1468638.638</v>
      </c>
      <c r="BC1561" s="2678"/>
      <c r="BD1561" s="2678"/>
      <c r="BE1561" s="2678"/>
      <c r="BF1561" s="2678"/>
      <c r="BG1561" s="2678"/>
      <c r="BH1561" s="2678">
        <f>2198388.78*0.2</f>
        <v>439677.756</v>
      </c>
      <c r="BI1561" s="5796"/>
      <c r="BJ1561" s="5796"/>
      <c r="BK1561" s="5796"/>
      <c r="BL1561" s="5796"/>
      <c r="BM1561" s="5796"/>
      <c r="BN1561" s="5796"/>
      <c r="BO1561" s="5331"/>
      <c r="BP1561" s="5331">
        <v>1468638.638</v>
      </c>
      <c r="BQ1561" s="5331"/>
      <c r="BR1561" s="5331"/>
      <c r="BS1561" s="5331"/>
      <c r="BT1561" s="5331"/>
      <c r="BU1561" s="5331"/>
      <c r="BV1561" s="5331">
        <v>439677.756</v>
      </c>
      <c r="BW1561" s="5331"/>
      <c r="BX1561" s="5331"/>
      <c r="BY1561" s="5331"/>
      <c r="BZ1561" s="5331"/>
      <c r="CA1561" s="5331"/>
      <c r="CB1561" s="5331"/>
      <c r="CC1561" s="2680"/>
      <c r="CD1561" s="2680"/>
      <c r="CE1561" s="5039"/>
      <c r="CF1561" s="5039"/>
      <c r="CG1561" s="5039"/>
      <c r="CH1561" s="5039"/>
    </row>
    <row r="1562" s="4971" customFormat="1" ht="25" customHeight="1" spans="1:86">
      <c r="A1562" s="5048"/>
      <c r="B1562" s="5048"/>
      <c r="C1562" s="5048"/>
      <c r="D1562" s="6690"/>
      <c r="E1562" s="5048"/>
      <c r="F1562" s="6690"/>
      <c r="G1562" s="6690"/>
      <c r="H1562" s="6690"/>
      <c r="I1562" s="6692"/>
      <c r="J1562" s="6690"/>
      <c r="K1562" s="5048"/>
      <c r="L1562" s="6690"/>
      <c r="M1562" s="5048"/>
      <c r="N1562" s="5048"/>
      <c r="O1562" s="5048"/>
      <c r="P1562" s="5048"/>
      <c r="Q1562" s="5048"/>
      <c r="R1562" s="5048"/>
      <c r="S1562" s="5048"/>
      <c r="T1562" s="5048"/>
      <c r="U1562" s="5048"/>
      <c r="V1562" s="5048"/>
      <c r="W1562" s="5048"/>
      <c r="X1562" s="5048"/>
      <c r="Y1562" s="5048"/>
      <c r="Z1562" s="5048"/>
      <c r="AA1562" s="5048"/>
      <c r="AB1562" s="5079"/>
      <c r="AC1562" s="2680">
        <v>2</v>
      </c>
      <c r="AD1562" s="5853" t="s">
        <v>2634</v>
      </c>
      <c r="AE1562" s="2680">
        <v>0.5</v>
      </c>
      <c r="AF1562" s="2680">
        <f>9541581.97*AE1562</f>
        <v>4770790.985</v>
      </c>
      <c r="AG1562" s="2680">
        <f t="shared" si="313"/>
        <v>4770790.985</v>
      </c>
      <c r="AH1562" s="2680" t="s">
        <v>206</v>
      </c>
      <c r="AI1562" s="2680">
        <v>43693</v>
      </c>
      <c r="AJ1562" s="2680" t="s">
        <v>171</v>
      </c>
      <c r="AK1562" s="2680" t="s">
        <v>171</v>
      </c>
      <c r="AL1562" s="2680">
        <v>4770790.985</v>
      </c>
      <c r="AM1562" s="2680">
        <v>43693</v>
      </c>
      <c r="AN1562" s="2680">
        <f>SUM(BO1562:CB1562)</f>
        <v>4770790.985</v>
      </c>
      <c r="AO1562" s="6727">
        <v>43761</v>
      </c>
      <c r="AP1562" s="2680">
        <f>AG1562-AN1562</f>
        <v>0</v>
      </c>
      <c r="AQ1562" s="5331"/>
      <c r="AR1562" s="2680" t="s">
        <v>171</v>
      </c>
      <c r="AS1562" s="5079" t="s">
        <v>171</v>
      </c>
      <c r="AT1562" s="2680" t="s">
        <v>171</v>
      </c>
      <c r="AU1562" s="2680"/>
      <c r="AV1562" s="2680"/>
      <c r="AW1562" s="2680"/>
      <c r="AX1562" s="2680"/>
      <c r="AY1562" s="2680"/>
      <c r="AZ1562" s="2680"/>
      <c r="BA1562" s="5796"/>
      <c r="BB1562" s="2678">
        <f>9541581.97*0.5-BH1562</f>
        <v>3671596.595</v>
      </c>
      <c r="BC1562" s="2678"/>
      <c r="BD1562" s="2678"/>
      <c r="BE1562" s="2678"/>
      <c r="BF1562" s="2678"/>
      <c r="BG1562" s="2678"/>
      <c r="BH1562" s="2678">
        <f>2198388.78*0.5</f>
        <v>1099194.39</v>
      </c>
      <c r="BI1562" s="5796"/>
      <c r="BJ1562" s="5796"/>
      <c r="BK1562" s="5796"/>
      <c r="BL1562" s="5796"/>
      <c r="BM1562" s="5796"/>
      <c r="BN1562" s="5796"/>
      <c r="BO1562" s="5331"/>
      <c r="BP1562" s="5331">
        <v>3671596.595</v>
      </c>
      <c r="BQ1562" s="5331"/>
      <c r="BR1562" s="5331"/>
      <c r="BS1562" s="5331"/>
      <c r="BT1562" s="5331"/>
      <c r="BU1562" s="5331"/>
      <c r="BV1562" s="5331">
        <v>1099194.39</v>
      </c>
      <c r="BW1562" s="5331"/>
      <c r="BX1562" s="5331"/>
      <c r="BY1562" s="5331"/>
      <c r="BZ1562" s="5331"/>
      <c r="CA1562" s="5331"/>
      <c r="CB1562" s="5331"/>
      <c r="CC1562" s="2680"/>
      <c r="CD1562" s="2680"/>
      <c r="CE1562" s="5039"/>
      <c r="CF1562" s="5039"/>
      <c r="CG1562" s="5039"/>
      <c r="CH1562" s="5039"/>
    </row>
    <row r="1563" s="4971" customFormat="1" ht="61" spans="1:86">
      <c r="A1563" s="5048"/>
      <c r="B1563" s="5048"/>
      <c r="C1563" s="5048"/>
      <c r="D1563" s="6690"/>
      <c r="E1563" s="5048"/>
      <c r="F1563" s="6690"/>
      <c r="G1563" s="6690"/>
      <c r="H1563" s="6690"/>
      <c r="I1563" s="6692"/>
      <c r="J1563" s="6690"/>
      <c r="K1563" s="5048"/>
      <c r="L1563" s="6690"/>
      <c r="M1563" s="5048"/>
      <c r="N1563" s="5048"/>
      <c r="O1563" s="5048"/>
      <c r="P1563" s="5048"/>
      <c r="Q1563" s="5048"/>
      <c r="R1563" s="5048"/>
      <c r="S1563" s="5048"/>
      <c r="T1563" s="5048"/>
      <c r="U1563" s="5048"/>
      <c r="V1563" s="5048"/>
      <c r="W1563" s="5048"/>
      <c r="X1563" s="5048"/>
      <c r="Y1563" s="5048"/>
      <c r="Z1563" s="5048"/>
      <c r="AA1563" s="5048"/>
      <c r="AB1563" s="5079"/>
      <c r="AC1563" s="2680">
        <v>3</v>
      </c>
      <c r="AD1563" s="5853" t="s">
        <v>2635</v>
      </c>
      <c r="AE1563" s="2680">
        <v>0.25</v>
      </c>
      <c r="AF1563" s="2680">
        <f>9541581.97*AE1563</f>
        <v>2385395.4925</v>
      </c>
      <c r="AG1563" s="2680">
        <f t="shared" si="313"/>
        <v>2385395.4925</v>
      </c>
      <c r="AH1563" s="2680" t="s">
        <v>122</v>
      </c>
      <c r="AI1563" s="2680">
        <v>43709</v>
      </c>
      <c r="AJ1563" s="2680">
        <v>2385395.4925</v>
      </c>
      <c r="AK1563" s="2680">
        <v>43709</v>
      </c>
      <c r="AL1563" s="2680">
        <v>2385395.4925</v>
      </c>
      <c r="AM1563" s="2680">
        <v>43767</v>
      </c>
      <c r="AN1563" s="2680">
        <f>SUM(BO1563:CB1563)</f>
        <v>2385395.4925</v>
      </c>
      <c r="AO1563" s="6727">
        <v>43819</v>
      </c>
      <c r="AP1563" s="2680">
        <f>AG1563-AN1563</f>
        <v>0</v>
      </c>
      <c r="AQ1563" s="5331"/>
      <c r="AR1563" s="5079" t="s">
        <v>2646</v>
      </c>
      <c r="AS1563" s="5079" t="s">
        <v>171</v>
      </c>
      <c r="AT1563" s="2680"/>
      <c r="AU1563" s="2680"/>
      <c r="AV1563" s="2680"/>
      <c r="AW1563" s="2680"/>
      <c r="AX1563" s="2680"/>
      <c r="AY1563" s="2680"/>
      <c r="AZ1563" s="2680"/>
      <c r="BA1563" s="5796"/>
      <c r="BB1563" s="2678">
        <f>9541581.97*0.25-BH1563</f>
        <v>1835798.2975</v>
      </c>
      <c r="BC1563" s="2678"/>
      <c r="BD1563" s="2678"/>
      <c r="BE1563" s="2678"/>
      <c r="BF1563" s="2678"/>
      <c r="BG1563" s="2678"/>
      <c r="BH1563" s="2678">
        <f>2198388.78*0.25</f>
        <v>549597.195</v>
      </c>
      <c r="BI1563" s="5796"/>
      <c r="BJ1563" s="5796"/>
      <c r="BK1563" s="5796"/>
      <c r="BL1563" s="5796"/>
      <c r="BM1563" s="5796"/>
      <c r="BN1563" s="5796"/>
      <c r="BO1563" s="5331"/>
      <c r="BP1563" s="5331">
        <v>1835798.2975</v>
      </c>
      <c r="BQ1563" s="5331"/>
      <c r="BR1563" s="5331"/>
      <c r="BS1563" s="5331"/>
      <c r="BT1563" s="5331"/>
      <c r="BU1563" s="5331"/>
      <c r="BV1563" s="5331">
        <v>549597.195</v>
      </c>
      <c r="BW1563" s="5331"/>
      <c r="BX1563" s="5331"/>
      <c r="BY1563" s="5331"/>
      <c r="BZ1563" s="5331"/>
      <c r="CA1563" s="5331"/>
      <c r="CB1563" s="5331"/>
      <c r="CC1563" s="2680"/>
      <c r="CD1563" s="2680"/>
      <c r="CE1563" s="5039"/>
      <c r="CF1563" s="5039"/>
      <c r="CG1563" s="5039"/>
      <c r="CH1563" s="5039"/>
    </row>
    <row r="1564" s="4971" customFormat="1" ht="20.25" customHeight="1" spans="1:86">
      <c r="A1564" s="5048"/>
      <c r="B1564" s="5048"/>
      <c r="C1564" s="5048"/>
      <c r="D1564" s="6690"/>
      <c r="E1564" s="5048"/>
      <c r="F1564" s="6690"/>
      <c r="G1564" s="6690"/>
      <c r="H1564" s="6690"/>
      <c r="I1564" s="6692"/>
      <c r="J1564" s="6690"/>
      <c r="K1564" s="5048"/>
      <c r="L1564" s="6690"/>
      <c r="M1564" s="5048"/>
      <c r="N1564" s="5048"/>
      <c r="O1564" s="5048"/>
      <c r="P1564" s="5048"/>
      <c r="Q1564" s="5048"/>
      <c r="R1564" s="5048"/>
      <c r="S1564" s="5048"/>
      <c r="T1564" s="5048"/>
      <c r="U1564" s="5048"/>
      <c r="V1564" s="5048"/>
      <c r="W1564" s="5048"/>
      <c r="X1564" s="5048"/>
      <c r="Y1564" s="5048"/>
      <c r="Z1564" s="5048"/>
      <c r="AA1564" s="5048"/>
      <c r="AB1564" s="5079"/>
      <c r="AC1564" s="3925">
        <v>4</v>
      </c>
      <c r="AD1564" s="5050" t="s">
        <v>1109</v>
      </c>
      <c r="AE1564" s="2680">
        <v>0.05</v>
      </c>
      <c r="AF1564" s="2680">
        <f>9541581.97*AE1564</f>
        <v>477079.0985</v>
      </c>
      <c r="AG1564" s="2678">
        <f t="shared" si="313"/>
        <v>477079.099</v>
      </c>
      <c r="AH1564" s="2680" t="s">
        <v>122</v>
      </c>
      <c r="AI1564" s="2678">
        <v>44181</v>
      </c>
      <c r="AJ1564" s="2678">
        <f>SUM(BD1564:BQ1564)</f>
        <v>477079.0985</v>
      </c>
      <c r="AK1564" s="2678">
        <v>44181</v>
      </c>
      <c r="AL1564" s="2678">
        <v>477079.099</v>
      </c>
      <c r="AM1564" s="2678">
        <v>45275</v>
      </c>
      <c r="AN1564" s="2680">
        <f>SUM(BO1564:CB1564)</f>
        <v>477079.0985</v>
      </c>
      <c r="AO1564" s="2680">
        <v>45324</v>
      </c>
      <c r="AP1564" s="2680">
        <f>AG1564-AN1564</f>
        <v>0.000500000023748726</v>
      </c>
      <c r="AQ1564" s="5331"/>
      <c r="AR1564" s="2680" t="s">
        <v>2603</v>
      </c>
      <c r="AS1564" s="5079"/>
      <c r="AT1564" s="2680"/>
      <c r="AU1564" s="2680"/>
      <c r="AV1564" s="2680"/>
      <c r="AW1564" s="2680"/>
      <c r="AX1564" s="2680"/>
      <c r="AY1564" s="2680"/>
      <c r="AZ1564" s="2680"/>
      <c r="BA1564" s="5796"/>
      <c r="BB1564" s="2678">
        <v>367159.66</v>
      </c>
      <c r="BC1564" s="2678"/>
      <c r="BD1564" s="2678"/>
      <c r="BE1564" s="2678"/>
      <c r="BF1564" s="2678"/>
      <c r="BG1564" s="2678"/>
      <c r="BH1564" s="2678">
        <f>314055.54*7-BH1563-BH1562-BH1561</f>
        <v>109919.439</v>
      </c>
      <c r="BI1564" s="5796"/>
      <c r="BJ1564" s="5796"/>
      <c r="BK1564" s="5796"/>
      <c r="BL1564" s="5796"/>
      <c r="BM1564" s="5796"/>
      <c r="BN1564" s="5331"/>
      <c r="BO1564" s="5331"/>
      <c r="BP1564" s="2678">
        <f>M1561*0.05-BH1564</f>
        <v>367159.6595</v>
      </c>
      <c r="BQ1564" s="5331"/>
      <c r="BR1564" s="5331"/>
      <c r="BS1564" s="5331"/>
      <c r="BT1564" s="5331"/>
      <c r="BU1564" s="5331"/>
      <c r="BV1564" s="2680">
        <v>109919.439</v>
      </c>
      <c r="BW1564" s="5331"/>
      <c r="BX1564" s="5331"/>
      <c r="BY1564" s="5331"/>
      <c r="BZ1564" s="5331"/>
      <c r="CA1564" s="5331"/>
      <c r="CB1564" s="5331"/>
      <c r="CC1564" s="2680"/>
      <c r="CD1564" s="2680"/>
      <c r="CE1564" s="5039"/>
      <c r="CF1564" s="5039"/>
      <c r="CG1564" s="5039"/>
      <c r="CH1564" s="5039"/>
    </row>
    <row r="1565" s="4971" customFormat="1" ht="25" customHeight="1" spans="1:86">
      <c r="A1565" s="5048"/>
      <c r="B1565" s="5048"/>
      <c r="C1565" s="5048"/>
      <c r="D1565" s="6690"/>
      <c r="E1565" s="5048"/>
      <c r="F1565" s="6690"/>
      <c r="G1565" s="6690"/>
      <c r="H1565" s="6690"/>
      <c r="I1565" s="6693"/>
      <c r="J1565" s="6690"/>
      <c r="K1565" s="5048"/>
      <c r="L1565" s="6690"/>
      <c r="M1565" s="5048"/>
      <c r="N1565" s="5048"/>
      <c r="O1565" s="5048"/>
      <c r="P1565" s="5048"/>
      <c r="Q1565" s="5048"/>
      <c r="R1565" s="5048"/>
      <c r="S1565" s="5048"/>
      <c r="T1565" s="5048"/>
      <c r="U1565" s="5048"/>
      <c r="V1565" s="5048"/>
      <c r="W1565" s="5048"/>
      <c r="X1565" s="5048"/>
      <c r="Y1565" s="5048"/>
      <c r="Z1565" s="5048"/>
      <c r="AA1565" s="5048"/>
      <c r="AB1565" s="5079"/>
      <c r="AC1565" s="3927"/>
      <c r="AD1565" s="5145"/>
      <c r="AE1565" s="859" t="s">
        <v>2647</v>
      </c>
      <c r="AF1565" s="859" t="s">
        <v>171</v>
      </c>
      <c r="AG1565" s="2678">
        <f>SUM(BA1565:BO1565)</f>
        <v>500000</v>
      </c>
      <c r="AH1565" s="2678" t="s">
        <v>206</v>
      </c>
      <c r="AI1565" s="2678">
        <v>45275</v>
      </c>
      <c r="AJ1565" s="2678">
        <f>SUM(BD1565:BR1565)</f>
        <v>499999.999499999</v>
      </c>
      <c r="AK1565" s="2678">
        <v>45275</v>
      </c>
      <c r="AL1565" s="2678">
        <f>SUM(BF1565:BT1565)</f>
        <v>499999.999499999</v>
      </c>
      <c r="AM1565" s="2678">
        <v>45275</v>
      </c>
      <c r="AN1565" s="2680">
        <v>500000</v>
      </c>
      <c r="AO1565" s="2680">
        <v>45324</v>
      </c>
      <c r="AP1565" s="2680">
        <f>AG1565-AN1565</f>
        <v>0</v>
      </c>
      <c r="AQ1565" s="5331"/>
      <c r="AR1565" s="5331"/>
      <c r="AS1565" s="5331"/>
      <c r="AT1565" s="5331"/>
      <c r="AU1565" s="2680"/>
      <c r="AV1565" s="2680"/>
      <c r="AW1565" s="2680"/>
      <c r="AX1565" s="2680"/>
      <c r="AY1565" s="2680"/>
      <c r="AZ1565" s="2680"/>
      <c r="BA1565" s="5331"/>
      <c r="BB1565" s="2678">
        <v>340676.78</v>
      </c>
      <c r="BC1565" s="2680"/>
      <c r="BD1565" s="2680"/>
      <c r="BE1565" s="2680"/>
      <c r="BF1565" s="2680"/>
      <c r="BG1565" s="2680"/>
      <c r="BH1565" s="859">
        <v>159323.22</v>
      </c>
      <c r="BI1565" s="5860"/>
      <c r="BJ1565" s="5860"/>
      <c r="BK1565" s="5860"/>
      <c r="BL1565" s="5860"/>
      <c r="BM1565" s="5860"/>
      <c r="BN1565" s="5331"/>
      <c r="BO1565" s="5331"/>
      <c r="BP1565" s="2678">
        <v>340676.779499999</v>
      </c>
      <c r="BQ1565" s="5860"/>
      <c r="BR1565" s="5860"/>
      <c r="BS1565" s="5860"/>
      <c r="BT1565" s="5860"/>
      <c r="BU1565" s="5860"/>
      <c r="BV1565" s="2678">
        <v>159323.22</v>
      </c>
      <c r="BW1565" s="5331"/>
      <c r="BX1565" s="5331"/>
      <c r="BY1565" s="5331"/>
      <c r="BZ1565" s="5331"/>
      <c r="CA1565" s="5331"/>
      <c r="CB1565" s="5331"/>
      <c r="CC1565" s="5331"/>
      <c r="CD1565" s="5331"/>
      <c r="CE1565" s="5039"/>
      <c r="CF1565" s="5039"/>
      <c r="CG1565" s="5039"/>
      <c r="CH1565" s="5039"/>
    </row>
    <row r="1566" s="4971" customFormat="1" ht="25" customHeight="1" spans="1:86">
      <c r="A1566" s="5048">
        <v>7</v>
      </c>
      <c r="B1566" s="5048" t="s">
        <v>2570</v>
      </c>
      <c r="C1566" s="5048">
        <v>43223</v>
      </c>
      <c r="D1566" s="1032" t="s">
        <v>2648</v>
      </c>
      <c r="E1566" s="5048" t="s">
        <v>113</v>
      </c>
      <c r="F1566" s="6690" t="s">
        <v>2649</v>
      </c>
      <c r="G1566" s="6690" t="s">
        <v>2650</v>
      </c>
      <c r="H1566" s="6690" t="s">
        <v>2582</v>
      </c>
      <c r="I1566" s="5061"/>
      <c r="J1566" s="6690" t="s">
        <v>2651</v>
      </c>
      <c r="K1566" s="5048">
        <v>208095</v>
      </c>
      <c r="L1566" s="6690" t="s">
        <v>2652</v>
      </c>
      <c r="M1566" s="5048">
        <f>SUM(N1566:AA1569)</f>
        <v>9646555</v>
      </c>
      <c r="N1566" s="5048">
        <v>0</v>
      </c>
      <c r="O1566" s="5048">
        <v>8189890</v>
      </c>
      <c r="P1566" s="5048">
        <v>0</v>
      </c>
      <c r="Q1566" s="5048">
        <v>0</v>
      </c>
      <c r="R1566" s="5048">
        <v>0</v>
      </c>
      <c r="S1566" s="5048">
        <v>0</v>
      </c>
      <c r="T1566" s="5048"/>
      <c r="U1566" s="5048">
        <f>208095*7</f>
        <v>1456665</v>
      </c>
      <c r="V1566" s="5048">
        <v>0</v>
      </c>
      <c r="W1566" s="5048">
        <v>0</v>
      </c>
      <c r="X1566" s="5048"/>
      <c r="Y1566" s="5048"/>
      <c r="Z1566" s="5048"/>
      <c r="AA1566" s="5048">
        <v>0</v>
      </c>
      <c r="AB1566" s="5079" t="s">
        <v>2653</v>
      </c>
      <c r="AC1566" s="2680">
        <v>1</v>
      </c>
      <c r="AD1566" s="5853" t="s">
        <v>2654</v>
      </c>
      <c r="AE1566" s="2680">
        <v>0.2</v>
      </c>
      <c r="AF1566" s="2680">
        <f>9646555*AE1566</f>
        <v>1929311</v>
      </c>
      <c r="AG1566" s="2680">
        <f t="shared" ref="AG1566:AG1572" si="314">SUM(BA1566:BN1566)</f>
        <v>1929311</v>
      </c>
      <c r="AH1566" s="2680" t="s">
        <v>206</v>
      </c>
      <c r="AI1566" s="2680">
        <v>43235</v>
      </c>
      <c r="AJ1566" s="2680" t="s">
        <v>171</v>
      </c>
      <c r="AK1566" s="2680" t="s">
        <v>171</v>
      </c>
      <c r="AL1566" s="2680">
        <v>1929311</v>
      </c>
      <c r="AM1566" s="2680">
        <v>43235</v>
      </c>
      <c r="AN1566" s="2680">
        <f t="shared" ref="AN1566:AN1572" si="315">SUM(BO1566:CB1566)</f>
        <v>1929311</v>
      </c>
      <c r="AO1566" s="2678">
        <v>43278</v>
      </c>
      <c r="AP1566" s="2680">
        <f t="shared" ref="AP1566:AP1572" si="316">AG1566-AN1566</f>
        <v>0</v>
      </c>
      <c r="AQ1566" s="5331"/>
      <c r="AR1566" s="859" t="s">
        <v>128</v>
      </c>
      <c r="AS1566" s="5079" t="s">
        <v>171</v>
      </c>
      <c r="AT1566" s="2680" t="s">
        <v>171</v>
      </c>
      <c r="AU1566" s="2680">
        <f>SUM(AG1566:AG1569)</f>
        <v>9651151.61</v>
      </c>
      <c r="AV1566" s="2680">
        <f>SUM(AL1566:AL1569)</f>
        <v>9651151.61</v>
      </c>
      <c r="AW1566" s="2680">
        <f>SUM(AN1566:AN1569)</f>
        <v>9651151.61</v>
      </c>
      <c r="AX1566" s="2680">
        <f>9651151.61-AU1566</f>
        <v>0</v>
      </c>
      <c r="AY1566" s="2680">
        <f>AU1566-AV1566</f>
        <v>0</v>
      </c>
      <c r="AZ1566" s="2680">
        <f>AV1566-AW1566</f>
        <v>0</v>
      </c>
      <c r="BA1566" s="5796"/>
      <c r="BB1566" s="5796">
        <v>1637978</v>
      </c>
      <c r="BC1566" s="2678"/>
      <c r="BD1566" s="5796"/>
      <c r="BE1566" s="5796"/>
      <c r="BF1566" s="5796"/>
      <c r="BG1566" s="5796"/>
      <c r="BH1566" s="2678">
        <f>1456665*0.2</f>
        <v>291333</v>
      </c>
      <c r="BI1566" s="5796"/>
      <c r="BJ1566" s="5796"/>
      <c r="BK1566" s="5796"/>
      <c r="BL1566" s="5796"/>
      <c r="BM1566" s="5796"/>
      <c r="BN1566" s="5796"/>
      <c r="BO1566" s="5331"/>
      <c r="BP1566" s="5331">
        <v>1637978</v>
      </c>
      <c r="BQ1566" s="5331"/>
      <c r="BR1566" s="5331"/>
      <c r="BS1566" s="5331"/>
      <c r="BT1566" s="5331"/>
      <c r="BU1566" s="5331"/>
      <c r="BV1566" s="5331">
        <v>291333</v>
      </c>
      <c r="BW1566" s="5331"/>
      <c r="BX1566" s="5331"/>
      <c r="BY1566" s="5331"/>
      <c r="BZ1566" s="5331"/>
      <c r="CA1566" s="5331"/>
      <c r="CB1566" s="5331"/>
      <c r="CC1566" s="2680"/>
      <c r="CD1566" s="2680"/>
      <c r="CE1566" s="5039"/>
      <c r="CF1566" s="5039"/>
      <c r="CG1566" s="5039"/>
      <c r="CH1566" s="5039"/>
    </row>
    <row r="1567" s="4971" customFormat="1" ht="25" customHeight="1" spans="1:86">
      <c r="A1567" s="5048"/>
      <c r="B1567" s="5048"/>
      <c r="C1567" s="5048"/>
      <c r="D1567" s="3742"/>
      <c r="E1567" s="5048"/>
      <c r="F1567" s="6690"/>
      <c r="G1567" s="6690"/>
      <c r="H1567" s="6690"/>
      <c r="I1567" s="6692"/>
      <c r="J1567" s="6690"/>
      <c r="K1567" s="5048"/>
      <c r="L1567" s="6690"/>
      <c r="M1567" s="5048"/>
      <c r="N1567" s="5048"/>
      <c r="O1567" s="5048"/>
      <c r="P1567" s="5048"/>
      <c r="Q1567" s="5048"/>
      <c r="R1567" s="5048"/>
      <c r="S1567" s="5048"/>
      <c r="T1567" s="5048"/>
      <c r="U1567" s="5048"/>
      <c r="V1567" s="5048"/>
      <c r="W1567" s="5048"/>
      <c r="X1567" s="5048"/>
      <c r="Y1567" s="5048"/>
      <c r="Z1567" s="5048"/>
      <c r="AA1567" s="5048"/>
      <c r="AB1567" s="5079"/>
      <c r="AC1567" s="2680">
        <v>2</v>
      </c>
      <c r="AD1567" s="5853" t="s">
        <v>2655</v>
      </c>
      <c r="AE1567" s="2680">
        <v>0.5</v>
      </c>
      <c r="AF1567" s="2680">
        <f>9646555*AE1567</f>
        <v>4823277.5</v>
      </c>
      <c r="AG1567" s="2680">
        <f t="shared" si="314"/>
        <v>4823277.5</v>
      </c>
      <c r="AH1567" s="2680" t="s">
        <v>206</v>
      </c>
      <c r="AI1567" s="2680">
        <v>43333</v>
      </c>
      <c r="AJ1567" s="2680" t="s">
        <v>171</v>
      </c>
      <c r="AK1567" s="2680" t="s">
        <v>171</v>
      </c>
      <c r="AL1567" s="2680">
        <v>4823277.5</v>
      </c>
      <c r="AM1567" s="2680">
        <v>43333</v>
      </c>
      <c r="AN1567" s="2680">
        <f t="shared" si="315"/>
        <v>4823277.5</v>
      </c>
      <c r="AO1567" s="2678">
        <v>43343</v>
      </c>
      <c r="AP1567" s="2680">
        <f t="shared" si="316"/>
        <v>0</v>
      </c>
      <c r="AQ1567" s="5331"/>
      <c r="AR1567" s="2680"/>
      <c r="AS1567" s="5079" t="s">
        <v>171</v>
      </c>
      <c r="AT1567" s="2680" t="s">
        <v>171</v>
      </c>
      <c r="AU1567" s="2680"/>
      <c r="AV1567" s="2680"/>
      <c r="AW1567" s="2680"/>
      <c r="AX1567" s="2680"/>
      <c r="AY1567" s="2680"/>
      <c r="AZ1567" s="2680"/>
      <c r="BA1567" s="5796"/>
      <c r="BB1567" s="5796">
        <f>9646555*0.5-BH1567</f>
        <v>4094945</v>
      </c>
      <c r="BC1567" s="2678"/>
      <c r="BD1567" s="5796"/>
      <c r="BE1567" s="5796"/>
      <c r="BF1567" s="5796"/>
      <c r="BG1567" s="5796"/>
      <c r="BH1567" s="2678">
        <f>1456665*0.5</f>
        <v>728332.5</v>
      </c>
      <c r="BI1567" s="5796"/>
      <c r="BJ1567" s="5796"/>
      <c r="BK1567" s="5796"/>
      <c r="BL1567" s="5796"/>
      <c r="BM1567" s="5796"/>
      <c r="BN1567" s="5796"/>
      <c r="BO1567" s="5331"/>
      <c r="BP1567" s="5331">
        <v>4094945</v>
      </c>
      <c r="BQ1567" s="5331"/>
      <c r="BR1567" s="5331"/>
      <c r="BS1567" s="5331"/>
      <c r="BT1567" s="5331"/>
      <c r="BU1567" s="5331"/>
      <c r="BV1567" s="5331">
        <v>728332.5</v>
      </c>
      <c r="BW1567" s="5331"/>
      <c r="BX1567" s="5331"/>
      <c r="BY1567" s="5331"/>
      <c r="BZ1567" s="5331"/>
      <c r="CA1567" s="5331"/>
      <c r="CB1567" s="5331"/>
      <c r="CC1567" s="2680"/>
      <c r="CD1567" s="2680"/>
      <c r="CE1567" s="5039"/>
      <c r="CF1567" s="5039"/>
      <c r="CG1567" s="5039"/>
      <c r="CH1567" s="5039"/>
    </row>
    <row r="1568" s="4971" customFormat="1" ht="25" customHeight="1" spans="1:86">
      <c r="A1568" s="5048"/>
      <c r="B1568" s="5048"/>
      <c r="C1568" s="5048"/>
      <c r="D1568" s="3742"/>
      <c r="E1568" s="5048"/>
      <c r="F1568" s="6690"/>
      <c r="G1568" s="6690"/>
      <c r="H1568" s="6690"/>
      <c r="I1568" s="6692"/>
      <c r="J1568" s="6690"/>
      <c r="K1568" s="5048"/>
      <c r="L1568" s="6690"/>
      <c r="M1568" s="5048"/>
      <c r="N1568" s="5048"/>
      <c r="O1568" s="5048"/>
      <c r="P1568" s="5048"/>
      <c r="Q1568" s="5048"/>
      <c r="R1568" s="5048"/>
      <c r="S1568" s="5048"/>
      <c r="T1568" s="5048"/>
      <c r="U1568" s="5048"/>
      <c r="V1568" s="5048"/>
      <c r="W1568" s="5048"/>
      <c r="X1568" s="5048"/>
      <c r="Y1568" s="5048"/>
      <c r="Z1568" s="5048"/>
      <c r="AA1568" s="5048"/>
      <c r="AB1568" s="5079"/>
      <c r="AC1568" s="2680">
        <v>3</v>
      </c>
      <c r="AD1568" s="5853" t="s">
        <v>2656</v>
      </c>
      <c r="AE1568" s="2680">
        <v>0.25</v>
      </c>
      <c r="AF1568" s="2680">
        <f>9646555*AE1568</f>
        <v>2411638.75</v>
      </c>
      <c r="AG1568" s="2680">
        <f t="shared" si="314"/>
        <v>2411638.75</v>
      </c>
      <c r="AH1568" s="2680" t="s">
        <v>206</v>
      </c>
      <c r="AI1568" s="2680">
        <v>43425</v>
      </c>
      <c r="AJ1568" s="2680" t="s">
        <v>171</v>
      </c>
      <c r="AK1568" s="2680" t="s">
        <v>171</v>
      </c>
      <c r="AL1568" s="2680">
        <v>2411638.75</v>
      </c>
      <c r="AM1568" s="2680">
        <v>43425</v>
      </c>
      <c r="AN1568" s="2680">
        <f t="shared" si="315"/>
        <v>2411638.75</v>
      </c>
      <c r="AO1568" s="2678">
        <v>43464</v>
      </c>
      <c r="AP1568" s="2680">
        <f t="shared" si="316"/>
        <v>0</v>
      </c>
      <c r="AQ1568" s="5331"/>
      <c r="AR1568" s="2680"/>
      <c r="AS1568" s="5079" t="s">
        <v>171</v>
      </c>
      <c r="AT1568" s="2680"/>
      <c r="AU1568" s="2680"/>
      <c r="AV1568" s="2680"/>
      <c r="AW1568" s="2680"/>
      <c r="AX1568" s="2680"/>
      <c r="AY1568" s="2680"/>
      <c r="AZ1568" s="2680"/>
      <c r="BA1568" s="5796"/>
      <c r="BB1568" s="5796">
        <f>9646555*0.25-BH1568</f>
        <v>2047472.5</v>
      </c>
      <c r="BC1568" s="2678"/>
      <c r="BD1568" s="5796"/>
      <c r="BE1568" s="5796"/>
      <c r="BF1568" s="5796"/>
      <c r="BG1568" s="5796"/>
      <c r="BH1568" s="2678">
        <f>1456665*0.25</f>
        <v>364166.25</v>
      </c>
      <c r="BI1568" s="5796"/>
      <c r="BJ1568" s="5796"/>
      <c r="BK1568" s="5796"/>
      <c r="BL1568" s="5796"/>
      <c r="BM1568" s="5796"/>
      <c r="BN1568" s="5796"/>
      <c r="BO1568" s="5331"/>
      <c r="BP1568" s="5331">
        <v>2047472.5</v>
      </c>
      <c r="BQ1568" s="5331"/>
      <c r="BR1568" s="5331"/>
      <c r="BS1568" s="5331"/>
      <c r="BT1568" s="5331"/>
      <c r="BU1568" s="5331"/>
      <c r="BV1568" s="5331">
        <v>364166.25</v>
      </c>
      <c r="BW1568" s="5331"/>
      <c r="BX1568" s="5331"/>
      <c r="BY1568" s="5331"/>
      <c r="BZ1568" s="5331"/>
      <c r="CA1568" s="5331"/>
      <c r="CB1568" s="5331"/>
      <c r="CC1568" s="2680"/>
      <c r="CD1568" s="2680"/>
      <c r="CE1568" s="5039"/>
      <c r="CF1568" s="5039"/>
      <c r="CG1568" s="5039"/>
      <c r="CH1568" s="5039"/>
    </row>
    <row r="1569" s="4971" customFormat="1" ht="36.35" customHeight="1" spans="1:86">
      <c r="A1569" s="5048"/>
      <c r="B1569" s="5048"/>
      <c r="C1569" s="5048"/>
      <c r="D1569" s="3742"/>
      <c r="E1569" s="5048"/>
      <c r="F1569" s="6690"/>
      <c r="G1569" s="6690"/>
      <c r="H1569" s="6690"/>
      <c r="I1569" s="6693"/>
      <c r="J1569" s="6690"/>
      <c r="K1569" s="5048"/>
      <c r="L1569" s="6690"/>
      <c r="M1569" s="5048"/>
      <c r="N1569" s="5048"/>
      <c r="O1569" s="5048"/>
      <c r="P1569" s="5048"/>
      <c r="Q1569" s="5048"/>
      <c r="R1569" s="5048"/>
      <c r="S1569" s="5048"/>
      <c r="T1569" s="5048"/>
      <c r="U1569" s="5048"/>
      <c r="V1569" s="5048"/>
      <c r="W1569" s="5048"/>
      <c r="X1569" s="5048"/>
      <c r="Y1569" s="5048"/>
      <c r="Z1569" s="5048"/>
      <c r="AA1569" s="5048"/>
      <c r="AB1569" s="5079"/>
      <c r="AC1569" s="2680">
        <v>4</v>
      </c>
      <c r="AD1569" s="5853" t="s">
        <v>2657</v>
      </c>
      <c r="AE1569" s="2680">
        <v>0.05</v>
      </c>
      <c r="AF1569" s="2680">
        <f>9646555*AE1569</f>
        <v>482327.75</v>
      </c>
      <c r="AG1569" s="2678">
        <f t="shared" si="314"/>
        <v>486924.359999999</v>
      </c>
      <c r="AH1569" s="2680" t="s">
        <v>122</v>
      </c>
      <c r="AI1569" s="2678">
        <v>44187</v>
      </c>
      <c r="AJ1569" s="2678">
        <f>SUM(BD1569:BQ1569)</f>
        <v>486924.359999999</v>
      </c>
      <c r="AK1569" s="2678">
        <v>44187</v>
      </c>
      <c r="AL1569" s="2680">
        <v>486924.359999999</v>
      </c>
      <c r="AM1569" s="2680">
        <v>44200</v>
      </c>
      <c r="AN1569" s="2680">
        <f t="shared" si="315"/>
        <v>486924.359999999</v>
      </c>
      <c r="AO1569" s="2678">
        <v>44229</v>
      </c>
      <c r="AP1569" s="2680">
        <f t="shared" si="316"/>
        <v>0</v>
      </c>
      <c r="AQ1569" s="5887" t="s">
        <v>2658</v>
      </c>
      <c r="AR1569" s="2680"/>
      <c r="AS1569" s="5079" t="s">
        <v>2659</v>
      </c>
      <c r="AT1569" s="2680"/>
      <c r="AU1569" s="2680"/>
      <c r="AV1569" s="2680"/>
      <c r="AW1569" s="2680"/>
      <c r="AX1569" s="2680"/>
      <c r="AY1569" s="2680"/>
      <c r="AZ1569" s="2680"/>
      <c r="BA1569" s="5796"/>
      <c r="BB1569" s="5796"/>
      <c r="BC1569" s="2678"/>
      <c r="BD1569" s="5796"/>
      <c r="BE1569" s="5796"/>
      <c r="BF1569" s="5796"/>
      <c r="BG1569" s="5796"/>
      <c r="BH1569" s="2678">
        <f>209312.21*7-BH1566-BH1567-BH1568</f>
        <v>81353.72</v>
      </c>
      <c r="BI1569" s="5796"/>
      <c r="BJ1569" s="5796"/>
      <c r="BK1569" s="5796"/>
      <c r="BL1569" s="5796"/>
      <c r="BM1569" s="5796"/>
      <c r="BN1569" s="5796">
        <v>405570.639999999</v>
      </c>
      <c r="BO1569" s="5796"/>
      <c r="BP1569" s="5796"/>
      <c r="BQ1569" s="5796"/>
      <c r="BR1569" s="5796"/>
      <c r="BS1569" s="5796"/>
      <c r="BT1569" s="5796"/>
      <c r="BU1569" s="5796"/>
      <c r="BV1569" s="2678">
        <f>209312.21*7-BV1566-BV1567-BV1568</f>
        <v>81353.72</v>
      </c>
      <c r="BW1569" s="5796"/>
      <c r="BX1569" s="5796"/>
      <c r="BY1569" s="5796"/>
      <c r="BZ1569" s="5796"/>
      <c r="CA1569" s="5796"/>
      <c r="CB1569" s="5796">
        <v>405570.639999999</v>
      </c>
      <c r="CC1569" s="2680"/>
      <c r="CD1569" s="2680"/>
      <c r="CE1569" s="5039"/>
      <c r="CF1569" s="5039"/>
      <c r="CG1569" s="5039"/>
      <c r="CH1569" s="5039"/>
    </row>
    <row r="1570" s="4971" customFormat="1" ht="20" customHeight="1" spans="1:86">
      <c r="A1570" s="6690">
        <v>8</v>
      </c>
      <c r="B1570" s="6690" t="s">
        <v>2570</v>
      </c>
      <c r="C1570" s="6690">
        <v>43229</v>
      </c>
      <c r="D1570" s="5712" t="s">
        <v>2660</v>
      </c>
      <c r="E1570" s="5048" t="s">
        <v>113</v>
      </c>
      <c r="F1570" s="6690" t="s">
        <v>2661</v>
      </c>
      <c r="G1570" s="6690" t="s">
        <v>2662</v>
      </c>
      <c r="H1570" s="6690" t="s">
        <v>2582</v>
      </c>
      <c r="I1570" s="5061"/>
      <c r="J1570" s="6690" t="s">
        <v>2663</v>
      </c>
      <c r="K1570" s="5048">
        <v>127583.16</v>
      </c>
      <c r="L1570" s="5712" t="s">
        <v>2664</v>
      </c>
      <c r="M1570" s="5048">
        <f>SUM(N1570:AA1575)</f>
        <v>5996408.52</v>
      </c>
      <c r="N1570" s="5048">
        <v>0</v>
      </c>
      <c r="O1570" s="5048">
        <v>5103326.4</v>
      </c>
      <c r="P1570" s="5048">
        <v>0</v>
      </c>
      <c r="Q1570" s="5048">
        <v>0</v>
      </c>
      <c r="R1570" s="5048">
        <v>0</v>
      </c>
      <c r="S1570" s="5048">
        <v>0</v>
      </c>
      <c r="T1570" s="5048"/>
      <c r="U1570" s="5048">
        <f>K1570*7</f>
        <v>893082.12</v>
      </c>
      <c r="V1570" s="5048">
        <v>0</v>
      </c>
      <c r="W1570" s="5048">
        <v>0</v>
      </c>
      <c r="X1570" s="5048"/>
      <c r="Y1570" s="5048"/>
      <c r="Z1570" s="5048"/>
      <c r="AA1570" s="5048">
        <v>0</v>
      </c>
      <c r="AB1570" s="6690" t="s">
        <v>2665</v>
      </c>
      <c r="AC1570" s="2680">
        <v>1</v>
      </c>
      <c r="AD1570" s="5853" t="s">
        <v>2666</v>
      </c>
      <c r="AE1570" s="2680">
        <v>0.2</v>
      </c>
      <c r="AF1570" s="2680">
        <f t="shared" ref="AF1570:AF1575" si="317">5996408.52*AE1570</f>
        <v>1199281.704</v>
      </c>
      <c r="AG1570" s="2680">
        <f t="shared" si="314"/>
        <v>1199281.704</v>
      </c>
      <c r="AH1570" s="2680" t="s">
        <v>206</v>
      </c>
      <c r="AI1570" s="2680">
        <v>43242</v>
      </c>
      <c r="AJ1570" s="2680" t="s">
        <v>171</v>
      </c>
      <c r="AK1570" s="2680" t="s">
        <v>171</v>
      </c>
      <c r="AL1570" s="2680">
        <v>1199281.7</v>
      </c>
      <c r="AM1570" s="2680">
        <v>43242</v>
      </c>
      <c r="AN1570" s="2680">
        <f t="shared" si="315"/>
        <v>1199281.7</v>
      </c>
      <c r="AO1570" s="2678">
        <v>43270</v>
      </c>
      <c r="AP1570" s="2680">
        <f t="shared" si="316"/>
        <v>0.00399999995715916</v>
      </c>
      <c r="AQ1570" s="5331"/>
      <c r="AR1570" s="2680" t="s">
        <v>171</v>
      </c>
      <c r="AS1570" s="5079" t="s">
        <v>171</v>
      </c>
      <c r="AT1570" s="2680" t="s">
        <v>171</v>
      </c>
      <c r="AU1570" s="2680">
        <f>SUM(AG1570:AG1575)</f>
        <v>5996408.518</v>
      </c>
      <c r="AV1570" s="2680">
        <f>SUM(AL1570:AL1575)</f>
        <v>5965938.93</v>
      </c>
      <c r="AW1570" s="2680">
        <f>SUM(AN1570:AN1575)</f>
        <v>5965938.93</v>
      </c>
      <c r="AX1570" s="2680">
        <f>M1570-AU1570</f>
        <v>0.00200000125914812</v>
      </c>
      <c r="AY1570" s="2680">
        <f>AU1570-AV1570</f>
        <v>30469.5879999995</v>
      </c>
      <c r="AZ1570" s="2680">
        <f>AV1570-AW1570</f>
        <v>0</v>
      </c>
      <c r="BA1570" s="5796"/>
      <c r="BB1570" s="5796">
        <f t="shared" ref="BB1570:BB1572" si="318">5996408.52*0.2-BH1570</f>
        <v>1020665.28</v>
      </c>
      <c r="BC1570" s="2678"/>
      <c r="BD1570" s="5796"/>
      <c r="BE1570" s="5796"/>
      <c r="BF1570" s="5796"/>
      <c r="BG1570" s="5796"/>
      <c r="BH1570" s="2678">
        <f t="shared" ref="BH1570:BH1572" si="319">893082.12*AE1570</f>
        <v>178616.424</v>
      </c>
      <c r="BI1570" s="5796"/>
      <c r="BJ1570" s="5796"/>
      <c r="BK1570" s="5796"/>
      <c r="BL1570" s="5796"/>
      <c r="BM1570" s="5796"/>
      <c r="BN1570" s="5796"/>
      <c r="BO1570" s="5331"/>
      <c r="BP1570" s="5331">
        <v>1020665.28</v>
      </c>
      <c r="BQ1570" s="5331"/>
      <c r="BR1570" s="5331"/>
      <c r="BS1570" s="5331"/>
      <c r="BT1570" s="5331"/>
      <c r="BU1570" s="5331"/>
      <c r="BV1570" s="5331">
        <v>178616.42</v>
      </c>
      <c r="BW1570" s="5331"/>
      <c r="BX1570" s="5331"/>
      <c r="BY1570" s="5331"/>
      <c r="BZ1570" s="5331"/>
      <c r="CA1570" s="5331"/>
      <c r="CB1570" s="5331"/>
      <c r="CC1570" s="2680"/>
      <c r="CD1570" s="2680"/>
      <c r="CE1570" s="5039"/>
      <c r="CF1570" s="5039"/>
      <c r="CG1570" s="5039"/>
      <c r="CH1570" s="5039"/>
    </row>
    <row r="1571" s="4971" customFormat="1" ht="61" spans="1:86">
      <c r="A1571" s="6690"/>
      <c r="B1571" s="6690"/>
      <c r="C1571" s="6690"/>
      <c r="D1571" s="6690"/>
      <c r="E1571" s="5048"/>
      <c r="F1571" s="6690"/>
      <c r="G1571" s="6690"/>
      <c r="H1571" s="6690"/>
      <c r="I1571" s="6692"/>
      <c r="J1571" s="6690"/>
      <c r="K1571" s="5048"/>
      <c r="L1571" s="5712"/>
      <c r="M1571" s="5048"/>
      <c r="N1571" s="5048"/>
      <c r="O1571" s="5048"/>
      <c r="P1571" s="5048"/>
      <c r="Q1571" s="5048"/>
      <c r="R1571" s="5048"/>
      <c r="S1571" s="5048"/>
      <c r="T1571" s="5048"/>
      <c r="U1571" s="5048"/>
      <c r="V1571" s="5048"/>
      <c r="W1571" s="5048"/>
      <c r="X1571" s="5048"/>
      <c r="Y1571" s="5048"/>
      <c r="Z1571" s="5048"/>
      <c r="AA1571" s="5048"/>
      <c r="AB1571" s="6690"/>
      <c r="AC1571" s="2680">
        <v>2</v>
      </c>
      <c r="AD1571" s="5853" t="s">
        <v>2667</v>
      </c>
      <c r="AE1571" s="2680">
        <v>0.2</v>
      </c>
      <c r="AF1571" s="2680">
        <f t="shared" si="317"/>
        <v>1199281.704</v>
      </c>
      <c r="AG1571" s="2680">
        <f t="shared" si="314"/>
        <v>1199281.704</v>
      </c>
      <c r="AH1571" s="2680" t="s">
        <v>206</v>
      </c>
      <c r="AI1571" s="2680">
        <v>43322</v>
      </c>
      <c r="AJ1571" s="2680" t="s">
        <v>171</v>
      </c>
      <c r="AK1571" s="2680" t="s">
        <v>171</v>
      </c>
      <c r="AL1571" s="2680">
        <v>1199281.7</v>
      </c>
      <c r="AM1571" s="2680">
        <v>43322</v>
      </c>
      <c r="AN1571" s="2680">
        <f t="shared" si="315"/>
        <v>1199281.7</v>
      </c>
      <c r="AO1571" s="2680">
        <v>43398</v>
      </c>
      <c r="AP1571" s="2680">
        <f t="shared" si="316"/>
        <v>0.00399999995715916</v>
      </c>
      <c r="AQ1571" s="5331"/>
      <c r="AR1571" s="2680" t="s">
        <v>171</v>
      </c>
      <c r="AS1571" s="5079" t="s">
        <v>171</v>
      </c>
      <c r="AT1571" s="2680" t="s">
        <v>171</v>
      </c>
      <c r="AU1571" s="2680"/>
      <c r="AV1571" s="2680"/>
      <c r="AW1571" s="2680"/>
      <c r="AX1571" s="2680"/>
      <c r="AY1571" s="2680"/>
      <c r="AZ1571" s="2680"/>
      <c r="BA1571" s="5796"/>
      <c r="BB1571" s="5796">
        <f t="shared" si="318"/>
        <v>1020665.28</v>
      </c>
      <c r="BC1571" s="2678"/>
      <c r="BD1571" s="5796"/>
      <c r="BE1571" s="5796"/>
      <c r="BF1571" s="5796"/>
      <c r="BG1571" s="5796"/>
      <c r="BH1571" s="2678">
        <f t="shared" si="319"/>
        <v>178616.424</v>
      </c>
      <c r="BI1571" s="5796"/>
      <c r="BJ1571" s="5796"/>
      <c r="BK1571" s="5796"/>
      <c r="BL1571" s="5796"/>
      <c r="BM1571" s="5796"/>
      <c r="BN1571" s="5796"/>
      <c r="BO1571" s="5331"/>
      <c r="BP1571" s="5331">
        <v>1020665.28</v>
      </c>
      <c r="BQ1571" s="5331"/>
      <c r="BR1571" s="5331"/>
      <c r="BS1571" s="5331"/>
      <c r="BT1571" s="5331"/>
      <c r="BU1571" s="5331"/>
      <c r="BV1571" s="5331">
        <v>178616.42</v>
      </c>
      <c r="BW1571" s="5331"/>
      <c r="BX1571" s="5331"/>
      <c r="BY1571" s="5331"/>
      <c r="BZ1571" s="5331"/>
      <c r="CA1571" s="5331"/>
      <c r="CB1571" s="5331"/>
      <c r="CC1571" s="2680"/>
      <c r="CD1571" s="2680"/>
      <c r="CE1571" s="5039"/>
      <c r="CF1571" s="5039"/>
      <c r="CG1571" s="5039"/>
      <c r="CH1571" s="5039"/>
    </row>
    <row r="1572" s="4971" customFormat="1" ht="46" spans="1:86">
      <c r="A1572" s="6690"/>
      <c r="B1572" s="6690"/>
      <c r="C1572" s="6690"/>
      <c r="D1572" s="6690"/>
      <c r="E1572" s="5048"/>
      <c r="F1572" s="6690"/>
      <c r="G1572" s="6690"/>
      <c r="H1572" s="6690"/>
      <c r="I1572" s="6692"/>
      <c r="J1572" s="6690"/>
      <c r="K1572" s="5048"/>
      <c r="L1572" s="5712"/>
      <c r="M1572" s="5048"/>
      <c r="N1572" s="5048"/>
      <c r="O1572" s="5048"/>
      <c r="P1572" s="5048"/>
      <c r="Q1572" s="5048"/>
      <c r="R1572" s="5048"/>
      <c r="S1572" s="5048"/>
      <c r="T1572" s="5048"/>
      <c r="U1572" s="5048"/>
      <c r="V1572" s="5048"/>
      <c r="W1572" s="5048"/>
      <c r="X1572" s="5048"/>
      <c r="Y1572" s="5048"/>
      <c r="Z1572" s="5048"/>
      <c r="AA1572" s="5048"/>
      <c r="AB1572" s="6690"/>
      <c r="AC1572" s="2680">
        <v>3</v>
      </c>
      <c r="AD1572" s="5853" t="s">
        <v>2668</v>
      </c>
      <c r="AE1572" s="2680">
        <v>0.15</v>
      </c>
      <c r="AF1572" s="2680">
        <f t="shared" si="317"/>
        <v>899461.278</v>
      </c>
      <c r="AG1572" s="3925">
        <f t="shared" si="314"/>
        <v>2998204.26</v>
      </c>
      <c r="AH1572" s="3925" t="s">
        <v>206</v>
      </c>
      <c r="AI1572" s="3925">
        <v>43385</v>
      </c>
      <c r="AJ1572" s="3925" t="s">
        <v>171</v>
      </c>
      <c r="AK1572" s="3925" t="s">
        <v>171</v>
      </c>
      <c r="AL1572" s="3925">
        <v>2998204.26</v>
      </c>
      <c r="AM1572" s="3925">
        <v>43385</v>
      </c>
      <c r="AN1572" s="3925">
        <f t="shared" si="315"/>
        <v>2998204.26</v>
      </c>
      <c r="AO1572" s="3925">
        <v>43451</v>
      </c>
      <c r="AP1572" s="3925">
        <f t="shared" si="316"/>
        <v>0</v>
      </c>
      <c r="AQ1572" s="5079" t="s">
        <v>2669</v>
      </c>
      <c r="AR1572" s="2680" t="s">
        <v>171</v>
      </c>
      <c r="AS1572" s="5079" t="s">
        <v>171</v>
      </c>
      <c r="AT1572" s="2680" t="s">
        <v>171</v>
      </c>
      <c r="AU1572" s="2680"/>
      <c r="AV1572" s="2680"/>
      <c r="AW1572" s="2680"/>
      <c r="AX1572" s="2680"/>
      <c r="AY1572" s="2680"/>
      <c r="AZ1572" s="2680"/>
      <c r="BA1572" s="5796"/>
      <c r="BB1572" s="5796">
        <f>5996408.52*0.5-BH1572</f>
        <v>2551663.2</v>
      </c>
      <c r="BC1572" s="2678"/>
      <c r="BD1572" s="5796"/>
      <c r="BE1572" s="5796"/>
      <c r="BF1572" s="5796"/>
      <c r="BG1572" s="5796"/>
      <c r="BH1572" s="2678">
        <f>893082.12*50%</f>
        <v>446541.06</v>
      </c>
      <c r="BI1572" s="5796"/>
      <c r="BJ1572" s="5796"/>
      <c r="BK1572" s="5796"/>
      <c r="BL1572" s="5796"/>
      <c r="BM1572" s="5796"/>
      <c r="BN1572" s="5796"/>
      <c r="BO1572" s="5331"/>
      <c r="BP1572" s="5331">
        <v>2551663.2</v>
      </c>
      <c r="BQ1572" s="5331"/>
      <c r="BR1572" s="5331"/>
      <c r="BS1572" s="5331"/>
      <c r="BT1572" s="5331"/>
      <c r="BU1572" s="5331"/>
      <c r="BV1572" s="5331">
        <v>446541.06</v>
      </c>
      <c r="BW1572" s="5331"/>
      <c r="BX1572" s="5331"/>
      <c r="BY1572" s="5331"/>
      <c r="BZ1572" s="5331"/>
      <c r="CA1572" s="5331"/>
      <c r="CB1572" s="5331"/>
      <c r="CC1572" s="2680"/>
      <c r="CD1572" s="2680"/>
      <c r="CE1572" s="5039"/>
      <c r="CF1572" s="5039"/>
      <c r="CG1572" s="5039"/>
      <c r="CH1572" s="5039"/>
    </row>
    <row r="1573" s="4971" customFormat="1" ht="76" spans="1:86">
      <c r="A1573" s="6690"/>
      <c r="B1573" s="6690"/>
      <c r="C1573" s="6690"/>
      <c r="D1573" s="6690"/>
      <c r="E1573" s="5048"/>
      <c r="F1573" s="6690"/>
      <c r="G1573" s="6690"/>
      <c r="H1573" s="6690"/>
      <c r="I1573" s="6692"/>
      <c r="J1573" s="6690"/>
      <c r="K1573" s="5048"/>
      <c r="L1573" s="5712"/>
      <c r="M1573" s="5048"/>
      <c r="N1573" s="5048"/>
      <c r="O1573" s="5048"/>
      <c r="P1573" s="5048"/>
      <c r="Q1573" s="5048"/>
      <c r="R1573" s="5048"/>
      <c r="S1573" s="5048"/>
      <c r="T1573" s="5048"/>
      <c r="U1573" s="5048"/>
      <c r="V1573" s="5048"/>
      <c r="W1573" s="5048"/>
      <c r="X1573" s="5048"/>
      <c r="Y1573" s="5048"/>
      <c r="Z1573" s="5048"/>
      <c r="AA1573" s="5048"/>
      <c r="AB1573" s="6690"/>
      <c r="AC1573" s="2680">
        <v>4</v>
      </c>
      <c r="AD1573" s="5853" t="s">
        <v>2670</v>
      </c>
      <c r="AE1573" s="2680">
        <v>0.15</v>
      </c>
      <c r="AF1573" s="2680">
        <f t="shared" si="317"/>
        <v>899461.278</v>
      </c>
      <c r="AG1573" s="4026"/>
      <c r="AH1573" s="4026"/>
      <c r="AI1573" s="4026"/>
      <c r="AJ1573" s="4026"/>
      <c r="AK1573" s="4026"/>
      <c r="AL1573" s="4026"/>
      <c r="AM1573" s="4026"/>
      <c r="AN1573" s="4026"/>
      <c r="AO1573" s="4026"/>
      <c r="AP1573" s="4026"/>
      <c r="AQ1573" s="5079"/>
      <c r="AR1573" s="2680"/>
      <c r="AS1573" s="5079"/>
      <c r="AT1573" s="2680"/>
      <c r="AU1573" s="2680"/>
      <c r="AV1573" s="2680"/>
      <c r="AW1573" s="2680"/>
      <c r="AX1573" s="2680"/>
      <c r="AY1573" s="2680"/>
      <c r="AZ1573" s="2680"/>
      <c r="BA1573" s="5331"/>
      <c r="BB1573" s="2680"/>
      <c r="BC1573" s="2680"/>
      <c r="BD1573" s="5331"/>
      <c r="BE1573" s="5331"/>
      <c r="BF1573" s="5331"/>
      <c r="BG1573" s="5331"/>
      <c r="BH1573" s="2680"/>
      <c r="BI1573" s="5331"/>
      <c r="BJ1573" s="5331"/>
      <c r="BK1573" s="5331"/>
      <c r="BL1573" s="5331"/>
      <c r="BM1573" s="5331"/>
      <c r="BN1573" s="5331"/>
      <c r="BO1573" s="5331"/>
      <c r="BP1573" s="2680"/>
      <c r="BQ1573" s="5331"/>
      <c r="BR1573" s="5331"/>
      <c r="BS1573" s="5331"/>
      <c r="BT1573" s="5331"/>
      <c r="BU1573" s="5331"/>
      <c r="BV1573" s="2680"/>
      <c r="BW1573" s="5331"/>
      <c r="BX1573" s="5331"/>
      <c r="BY1573" s="5331"/>
      <c r="BZ1573" s="5331"/>
      <c r="CA1573" s="5331"/>
      <c r="CB1573" s="5331"/>
      <c r="CC1573" s="2680"/>
      <c r="CD1573" s="2680"/>
      <c r="CE1573" s="5039"/>
      <c r="CF1573" s="5039"/>
      <c r="CG1573" s="5039"/>
      <c r="CH1573" s="5039"/>
    </row>
    <row r="1574" s="4971" customFormat="1" ht="29" customHeight="1" spans="1:86">
      <c r="A1574" s="6690"/>
      <c r="B1574" s="6690"/>
      <c r="C1574" s="6690"/>
      <c r="D1574" s="6690"/>
      <c r="E1574" s="5048"/>
      <c r="F1574" s="6690"/>
      <c r="G1574" s="6690"/>
      <c r="H1574" s="6690"/>
      <c r="I1574" s="6692"/>
      <c r="J1574" s="6690"/>
      <c r="K1574" s="5048"/>
      <c r="L1574" s="5712"/>
      <c r="M1574" s="5048"/>
      <c r="N1574" s="5048"/>
      <c r="O1574" s="5048"/>
      <c r="P1574" s="5048"/>
      <c r="Q1574" s="5048"/>
      <c r="R1574" s="5048"/>
      <c r="S1574" s="5048"/>
      <c r="T1574" s="5048"/>
      <c r="U1574" s="5048"/>
      <c r="V1574" s="5048"/>
      <c r="W1574" s="5048"/>
      <c r="X1574" s="5048"/>
      <c r="Y1574" s="5048"/>
      <c r="Z1574" s="5048"/>
      <c r="AA1574" s="5048"/>
      <c r="AB1574" s="6690"/>
      <c r="AC1574" s="2680">
        <v>5</v>
      </c>
      <c r="AD1574" s="5853" t="s">
        <v>2671</v>
      </c>
      <c r="AE1574" s="2680">
        <v>0.2</v>
      </c>
      <c r="AF1574" s="2680">
        <f t="shared" si="317"/>
        <v>1199281.704</v>
      </c>
      <c r="AG1574" s="3927"/>
      <c r="AH1574" s="3927"/>
      <c r="AI1574" s="3927"/>
      <c r="AJ1574" s="3927"/>
      <c r="AK1574" s="3927"/>
      <c r="AL1574" s="3927"/>
      <c r="AM1574" s="3927"/>
      <c r="AN1574" s="3927"/>
      <c r="AO1574" s="3927"/>
      <c r="AP1574" s="3927"/>
      <c r="AQ1574" s="5079"/>
      <c r="AR1574" s="5079" t="s">
        <v>2623</v>
      </c>
      <c r="AS1574" s="5079"/>
      <c r="AT1574" s="2680"/>
      <c r="AU1574" s="2680"/>
      <c r="AV1574" s="2680"/>
      <c r="AW1574" s="2680"/>
      <c r="AX1574" s="2680"/>
      <c r="AY1574" s="2680"/>
      <c r="AZ1574" s="2680"/>
      <c r="BA1574" s="5331"/>
      <c r="BB1574" s="2680"/>
      <c r="BC1574" s="2680"/>
      <c r="BD1574" s="5331"/>
      <c r="BE1574" s="5331"/>
      <c r="BF1574" s="5331"/>
      <c r="BG1574" s="5331"/>
      <c r="BH1574" s="2680"/>
      <c r="BI1574" s="5331"/>
      <c r="BJ1574" s="5331"/>
      <c r="BK1574" s="5331"/>
      <c r="BL1574" s="5331"/>
      <c r="BM1574" s="5331"/>
      <c r="BN1574" s="5331"/>
      <c r="BO1574" s="5331"/>
      <c r="BP1574" s="2680"/>
      <c r="BQ1574" s="5331"/>
      <c r="BR1574" s="5331"/>
      <c r="BS1574" s="5331"/>
      <c r="BT1574" s="5331"/>
      <c r="BU1574" s="5331"/>
      <c r="BV1574" s="2680"/>
      <c r="BW1574" s="5331"/>
      <c r="BX1574" s="5331"/>
      <c r="BY1574" s="5331"/>
      <c r="BZ1574" s="5331"/>
      <c r="CA1574" s="5331"/>
      <c r="CB1574" s="5331"/>
      <c r="CC1574" s="2680"/>
      <c r="CD1574" s="2680"/>
      <c r="CE1574" s="5039"/>
      <c r="CF1574" s="5039"/>
      <c r="CG1574" s="5039"/>
      <c r="CH1574" s="5039"/>
    </row>
    <row r="1575" s="4971" customFormat="1" ht="30" customHeight="1" spans="1:86">
      <c r="A1575" s="6690"/>
      <c r="B1575" s="6690"/>
      <c r="C1575" s="6690"/>
      <c r="D1575" s="6690"/>
      <c r="E1575" s="5048"/>
      <c r="F1575" s="6690"/>
      <c r="G1575" s="6690"/>
      <c r="H1575" s="6690"/>
      <c r="I1575" s="6692"/>
      <c r="J1575" s="6690"/>
      <c r="K1575" s="5048"/>
      <c r="L1575" s="5712"/>
      <c r="M1575" s="5048"/>
      <c r="N1575" s="5048"/>
      <c r="O1575" s="5048"/>
      <c r="P1575" s="5048"/>
      <c r="Q1575" s="5048"/>
      <c r="R1575" s="5048"/>
      <c r="S1575" s="5048"/>
      <c r="T1575" s="5048"/>
      <c r="U1575" s="5048"/>
      <c r="V1575" s="5048"/>
      <c r="W1575" s="5048"/>
      <c r="X1575" s="5048"/>
      <c r="Y1575" s="5048"/>
      <c r="Z1575" s="5048"/>
      <c r="AA1575" s="5048"/>
      <c r="AB1575" s="6690"/>
      <c r="AC1575" s="2680">
        <v>6</v>
      </c>
      <c r="AD1575" s="5853" t="s">
        <v>2672</v>
      </c>
      <c r="AE1575" s="2680">
        <v>0.1</v>
      </c>
      <c r="AF1575" s="2680">
        <f t="shared" si="317"/>
        <v>599640.852</v>
      </c>
      <c r="AG1575" s="2678">
        <f>SUM(BA1575:BN1575)</f>
        <v>599640.85</v>
      </c>
      <c r="AH1575" s="859" t="s">
        <v>122</v>
      </c>
      <c r="AI1575" s="2678">
        <v>44880</v>
      </c>
      <c r="AJ1575" s="2680">
        <v>599640.85</v>
      </c>
      <c r="AK1575" s="2678">
        <v>44880</v>
      </c>
      <c r="AL1575" s="2680">
        <v>569171.27</v>
      </c>
      <c r="AM1575" s="2680">
        <v>45118</v>
      </c>
      <c r="AN1575" s="2678">
        <v>569171.27</v>
      </c>
      <c r="AO1575" s="2678">
        <v>45131</v>
      </c>
      <c r="AP1575" s="2680">
        <f>AG1575-AN1575</f>
        <v>30469.58</v>
      </c>
      <c r="AQ1575" s="5331"/>
      <c r="AR1575" s="2680"/>
      <c r="AS1575" s="5079"/>
      <c r="AT1575" s="2680"/>
      <c r="AU1575" s="2680"/>
      <c r="AV1575" s="2680"/>
      <c r="AW1575" s="2680"/>
      <c r="AX1575" s="2680"/>
      <c r="AY1575" s="2680"/>
      <c r="AZ1575" s="2680"/>
      <c r="BA1575" s="5796"/>
      <c r="BB1575" s="5796">
        <v>510332.638</v>
      </c>
      <c r="BC1575" s="2678"/>
      <c r="BD1575" s="5796"/>
      <c r="BE1575" s="5796"/>
      <c r="BF1575" s="5796"/>
      <c r="BG1575" s="5796"/>
      <c r="BH1575" s="2678">
        <f>127583.16*7*0.1</f>
        <v>89308.212</v>
      </c>
      <c r="BI1575" s="5796"/>
      <c r="BJ1575" s="5796"/>
      <c r="BK1575" s="5796"/>
      <c r="BL1575" s="5796"/>
      <c r="BM1575" s="5796"/>
      <c r="BN1575" s="5796"/>
      <c r="BO1575" s="5331"/>
      <c r="BP1575" s="5796">
        <v>510332.638</v>
      </c>
      <c r="BQ1575" s="5331"/>
      <c r="BR1575" s="5331"/>
      <c r="BS1575" s="5331"/>
      <c r="BT1575" s="5331"/>
      <c r="BU1575" s="5331"/>
      <c r="BV1575" s="2678">
        <f>127583.16*7*0.1</f>
        <v>89308.212</v>
      </c>
      <c r="BW1575" s="5331"/>
      <c r="BX1575" s="5331"/>
      <c r="BY1575" s="5331"/>
      <c r="BZ1575" s="5331"/>
      <c r="CA1575" s="5331"/>
      <c r="CB1575" s="5860"/>
      <c r="CC1575" s="2680"/>
      <c r="CD1575" s="2680"/>
      <c r="CE1575" s="5039"/>
      <c r="CF1575" s="5039"/>
      <c r="CG1575" s="5039"/>
      <c r="CH1575" s="5039"/>
    </row>
    <row r="1576" s="4971" customFormat="1" ht="61" spans="1:86">
      <c r="A1576" s="6690"/>
      <c r="B1576" s="6690"/>
      <c r="C1576" s="6690"/>
      <c r="D1576" s="6690"/>
      <c r="E1576" s="5048"/>
      <c r="F1576" s="6690"/>
      <c r="G1576" s="6690"/>
      <c r="H1576" s="6690"/>
      <c r="I1576" s="6693"/>
      <c r="J1576" s="6690"/>
      <c r="K1576" s="5048"/>
      <c r="L1576" s="5712"/>
      <c r="M1576" s="5048"/>
      <c r="N1576" s="5048"/>
      <c r="O1576" s="5048"/>
      <c r="P1576" s="5048"/>
      <c r="Q1576" s="5048"/>
      <c r="R1576" s="5048"/>
      <c r="S1576" s="5048"/>
      <c r="T1576" s="5048"/>
      <c r="U1576" s="5048"/>
      <c r="V1576" s="5048"/>
      <c r="W1576" s="5048"/>
      <c r="X1576" s="5048"/>
      <c r="Y1576" s="5048"/>
      <c r="Z1576" s="5048"/>
      <c r="AA1576" s="5048"/>
      <c r="AB1576" s="6690"/>
      <c r="AC1576" s="859" t="s">
        <v>171</v>
      </c>
      <c r="AD1576" s="5853" t="s">
        <v>552</v>
      </c>
      <c r="AE1576" s="859" t="s">
        <v>171</v>
      </c>
      <c r="AF1576" s="859" t="s">
        <v>171</v>
      </c>
      <c r="AG1576" s="2678">
        <f>SUM(BA1576:BN1576)</f>
        <v>-30469.58</v>
      </c>
      <c r="AH1576" s="859" t="s">
        <v>122</v>
      </c>
      <c r="AI1576" s="2678">
        <v>45117</v>
      </c>
      <c r="AJ1576" s="2678">
        <v>-30469.58</v>
      </c>
      <c r="AK1576" s="2678">
        <v>45117</v>
      </c>
      <c r="AL1576" s="2680"/>
      <c r="AM1576" s="2680"/>
      <c r="AN1576" s="2678"/>
      <c r="AO1576" s="2678">
        <v>45131</v>
      </c>
      <c r="AP1576" s="2680"/>
      <c r="AQ1576" s="1035" t="s">
        <v>2673</v>
      </c>
      <c r="AR1576" s="1035"/>
      <c r="AS1576" s="5079"/>
      <c r="AT1576" s="2680"/>
      <c r="AU1576" s="2680"/>
      <c r="AV1576" s="2680"/>
      <c r="AW1576" s="2680"/>
      <c r="AX1576" s="2680"/>
      <c r="AY1576" s="2680"/>
      <c r="AZ1576" s="2680"/>
      <c r="BA1576" s="5796"/>
      <c r="BB1576" s="5888">
        <v>-67750.68</v>
      </c>
      <c r="BC1576" s="2678"/>
      <c r="BD1576" s="5796"/>
      <c r="BE1576" s="5796"/>
      <c r="BF1576" s="5796"/>
      <c r="BG1576" s="5796"/>
      <c r="BH1576" s="2678">
        <v>37281.1</v>
      </c>
      <c r="BI1576" s="5796"/>
      <c r="BJ1576" s="5796"/>
      <c r="BK1576" s="5796"/>
      <c r="BL1576" s="5796"/>
      <c r="BM1576" s="5796"/>
      <c r="BN1576" s="5796"/>
      <c r="BO1576" s="5331"/>
      <c r="BP1576" s="5888">
        <v>-67750.68</v>
      </c>
      <c r="BQ1576" s="2678"/>
      <c r="BR1576" s="5796"/>
      <c r="BS1576" s="5796"/>
      <c r="BT1576" s="5796"/>
      <c r="BU1576" s="5796"/>
      <c r="BV1576" s="2678">
        <v>37281.1</v>
      </c>
      <c r="BW1576" s="5331"/>
      <c r="BX1576" s="5331"/>
      <c r="BY1576" s="5331"/>
      <c r="BZ1576" s="5331"/>
      <c r="CA1576" s="5331"/>
      <c r="CB1576" s="5860"/>
      <c r="CC1576" s="2680"/>
      <c r="CD1576" s="2680"/>
      <c r="CE1576" s="5039"/>
      <c r="CF1576" s="5039"/>
      <c r="CG1576" s="5039"/>
      <c r="CH1576" s="5039"/>
    </row>
    <row r="1577" s="4971" customFormat="1" ht="20" customHeight="1" spans="1:86">
      <c r="A1577" s="6690"/>
      <c r="B1577" s="5061" t="s">
        <v>2570</v>
      </c>
      <c r="C1577" s="5061">
        <v>43355</v>
      </c>
      <c r="D1577" s="5061" t="s">
        <v>2674</v>
      </c>
      <c r="E1577" s="5061" t="s">
        <v>113</v>
      </c>
      <c r="F1577" s="5061" t="s">
        <v>2675</v>
      </c>
      <c r="G1577" s="5061" t="s">
        <v>2676</v>
      </c>
      <c r="H1577" s="5061" t="s">
        <v>2582</v>
      </c>
      <c r="I1577" s="5049" t="s">
        <v>2677</v>
      </c>
      <c r="J1577" s="5061" t="s">
        <v>2678</v>
      </c>
      <c r="K1577" s="5064">
        <v>441969</v>
      </c>
      <c r="L1577" s="5061" t="s">
        <v>2679</v>
      </c>
      <c r="M1577" s="5064">
        <f>SUM(N1577:AA1581)</f>
        <v>5303628</v>
      </c>
      <c r="N1577" s="5048">
        <v>0</v>
      </c>
      <c r="O1577" s="5048">
        <v>2209845</v>
      </c>
      <c r="P1577" s="5048">
        <v>0</v>
      </c>
      <c r="Q1577" s="5048">
        <v>0</v>
      </c>
      <c r="R1577" s="5048">
        <v>0</v>
      </c>
      <c r="S1577" s="5048">
        <v>0</v>
      </c>
      <c r="T1577" s="5048"/>
      <c r="U1577" s="5048">
        <f>441969*7</f>
        <v>3093783</v>
      </c>
      <c r="V1577" s="5048">
        <v>0</v>
      </c>
      <c r="W1577" s="5048">
        <v>0</v>
      </c>
      <c r="X1577" s="5048"/>
      <c r="Y1577" s="5048"/>
      <c r="Z1577" s="5048"/>
      <c r="AA1577" s="5048">
        <v>0</v>
      </c>
      <c r="AB1577" s="5048" t="s">
        <v>113</v>
      </c>
      <c r="AC1577" s="2680">
        <v>1</v>
      </c>
      <c r="AD1577" s="5853" t="s">
        <v>121</v>
      </c>
      <c r="AE1577" s="2680">
        <v>0.2</v>
      </c>
      <c r="AF1577" s="2680">
        <f>5303628*0.2</f>
        <v>1060725.6</v>
      </c>
      <c r="AG1577" s="3925">
        <f>SUM(BA1577:BN1577)</f>
        <v>3712539.6</v>
      </c>
      <c r="AH1577" s="3925" t="s">
        <v>206</v>
      </c>
      <c r="AI1577" s="3925">
        <v>43418</v>
      </c>
      <c r="AJ1577" s="3925" t="s">
        <v>171</v>
      </c>
      <c r="AK1577" s="3925" t="s">
        <v>171</v>
      </c>
      <c r="AL1577" s="3925">
        <v>3712539.6</v>
      </c>
      <c r="AM1577" s="3925">
        <v>43418</v>
      </c>
      <c r="AN1577" s="3925">
        <f>SUM(BO1577:CB1577)</f>
        <v>3712539.6</v>
      </c>
      <c r="AO1577" s="3925">
        <v>43432</v>
      </c>
      <c r="AP1577" s="3925">
        <f>AG1577-AN1577</f>
        <v>0</v>
      </c>
      <c r="AQ1577" s="5079" t="s">
        <v>2680</v>
      </c>
      <c r="AR1577" s="2680" t="s">
        <v>171</v>
      </c>
      <c r="AS1577" s="5079" t="s">
        <v>171</v>
      </c>
      <c r="AT1577" s="2680" t="s">
        <v>171</v>
      </c>
      <c r="AU1577" s="2680">
        <f>SUM(AG1577:AG1581)</f>
        <v>5519807.88</v>
      </c>
      <c r="AV1577" s="2680">
        <f>SUM(AL1577:AL1581)</f>
        <v>5303628</v>
      </c>
      <c r="AW1577" s="2680">
        <f>SUM(AN1577:AN1581)</f>
        <v>5303628</v>
      </c>
      <c r="AX1577" s="2680">
        <f>M1577-AU1577</f>
        <v>-216179.88</v>
      </c>
      <c r="AY1577" s="2680">
        <f>AU1577-AV1577</f>
        <v>216179.88</v>
      </c>
      <c r="AZ1577" s="2680">
        <f>AV1577-AW1577</f>
        <v>0</v>
      </c>
      <c r="BA1577" s="5796"/>
      <c r="BB1577" s="5796">
        <f>5303628*0.7-BH1577</f>
        <v>1546891.5</v>
      </c>
      <c r="BC1577" s="2678"/>
      <c r="BD1577" s="5796"/>
      <c r="BE1577" s="5796"/>
      <c r="BF1577" s="5796"/>
      <c r="BG1577" s="5796"/>
      <c r="BH1577" s="2678">
        <f>441969*7*0.7</f>
        <v>2165648.1</v>
      </c>
      <c r="BI1577" s="5796"/>
      <c r="BJ1577" s="5796"/>
      <c r="BK1577" s="5796"/>
      <c r="BL1577" s="5796"/>
      <c r="BM1577" s="5796"/>
      <c r="BN1577" s="5796"/>
      <c r="BO1577" s="5331"/>
      <c r="BP1577" s="5331">
        <v>1546891.5</v>
      </c>
      <c r="BQ1577" s="5331"/>
      <c r="BR1577" s="5331"/>
      <c r="BS1577" s="5331"/>
      <c r="BT1577" s="5331"/>
      <c r="BU1577" s="5331"/>
      <c r="BV1577" s="5331">
        <v>2165648.1</v>
      </c>
      <c r="BW1577" s="5331"/>
      <c r="BX1577" s="5331"/>
      <c r="BY1577" s="5331"/>
      <c r="BZ1577" s="5331"/>
      <c r="CA1577" s="5331"/>
      <c r="CB1577" s="5331"/>
      <c r="CC1577" s="2680"/>
      <c r="CD1577" s="2680"/>
      <c r="CE1577" s="5039"/>
      <c r="CF1577" s="5039"/>
      <c r="CG1577" s="5039"/>
      <c r="CH1577" s="5039"/>
    </row>
    <row r="1578" s="4971" customFormat="1" ht="31" spans="1:86">
      <c r="A1578" s="6690"/>
      <c r="B1578" s="6692"/>
      <c r="C1578" s="6692"/>
      <c r="D1578" s="6692"/>
      <c r="E1578" s="6692"/>
      <c r="F1578" s="6692"/>
      <c r="G1578" s="6692"/>
      <c r="H1578" s="6692"/>
      <c r="I1578" s="6692"/>
      <c r="J1578" s="6692"/>
      <c r="K1578" s="6721"/>
      <c r="L1578" s="6692"/>
      <c r="M1578" s="6721"/>
      <c r="N1578" s="5048"/>
      <c r="O1578" s="5048"/>
      <c r="P1578" s="5048"/>
      <c r="Q1578" s="5048"/>
      <c r="R1578" s="5048"/>
      <c r="S1578" s="5048"/>
      <c r="T1578" s="5048"/>
      <c r="U1578" s="5048"/>
      <c r="V1578" s="5048"/>
      <c r="W1578" s="5048"/>
      <c r="X1578" s="5048"/>
      <c r="Y1578" s="5048"/>
      <c r="Z1578" s="5048"/>
      <c r="AA1578" s="5048"/>
      <c r="AB1578" s="5048"/>
      <c r="AC1578" s="2680">
        <v>2</v>
      </c>
      <c r="AD1578" s="5853" t="s">
        <v>2681</v>
      </c>
      <c r="AE1578" s="2680">
        <v>0.2</v>
      </c>
      <c r="AF1578" s="2680">
        <f>5303628*0.2</f>
        <v>1060725.6</v>
      </c>
      <c r="AG1578" s="4026"/>
      <c r="AH1578" s="4026"/>
      <c r="AI1578" s="4026"/>
      <c r="AJ1578" s="4026"/>
      <c r="AK1578" s="4026"/>
      <c r="AL1578" s="4026"/>
      <c r="AM1578" s="4026"/>
      <c r="AN1578" s="4026"/>
      <c r="AO1578" s="4026"/>
      <c r="AP1578" s="4026"/>
      <c r="AQ1578" s="5079"/>
      <c r="AR1578" s="2680"/>
      <c r="AS1578" s="5079"/>
      <c r="AT1578" s="2680"/>
      <c r="AU1578" s="2680"/>
      <c r="AV1578" s="2680"/>
      <c r="AW1578" s="2680"/>
      <c r="AX1578" s="2680"/>
      <c r="AY1578" s="2680"/>
      <c r="AZ1578" s="2680"/>
      <c r="BA1578" s="5331"/>
      <c r="BB1578" s="2680"/>
      <c r="BC1578" s="2680"/>
      <c r="BD1578" s="5331"/>
      <c r="BE1578" s="5331"/>
      <c r="BF1578" s="5331"/>
      <c r="BG1578" s="5331"/>
      <c r="BH1578" s="2680"/>
      <c r="BI1578" s="5331"/>
      <c r="BJ1578" s="5331"/>
      <c r="BK1578" s="5331"/>
      <c r="BL1578" s="5331"/>
      <c r="BM1578" s="5331"/>
      <c r="BN1578" s="5331"/>
      <c r="BO1578" s="5331"/>
      <c r="BP1578" s="2680"/>
      <c r="BQ1578" s="5331"/>
      <c r="BR1578" s="5331"/>
      <c r="BS1578" s="5331"/>
      <c r="BT1578" s="5331"/>
      <c r="BU1578" s="5331"/>
      <c r="BV1578" s="2680"/>
      <c r="BW1578" s="5331"/>
      <c r="BX1578" s="5331"/>
      <c r="BY1578" s="5331"/>
      <c r="BZ1578" s="5331"/>
      <c r="CA1578" s="5331"/>
      <c r="CB1578" s="5331"/>
      <c r="CC1578" s="2680"/>
      <c r="CD1578" s="2680"/>
      <c r="CE1578" s="5039"/>
      <c r="CF1578" s="5039"/>
      <c r="CG1578" s="5039"/>
      <c r="CH1578" s="5039"/>
    </row>
    <row r="1579" s="4971" customFormat="1" ht="46" spans="1:86">
      <c r="A1579" s="6690"/>
      <c r="B1579" s="6692"/>
      <c r="C1579" s="6692"/>
      <c r="D1579" s="6692"/>
      <c r="E1579" s="6692"/>
      <c r="F1579" s="6692"/>
      <c r="G1579" s="6692"/>
      <c r="H1579" s="6692"/>
      <c r="I1579" s="6692"/>
      <c r="J1579" s="6692"/>
      <c r="K1579" s="6721"/>
      <c r="L1579" s="6692"/>
      <c r="M1579" s="6721"/>
      <c r="N1579" s="5048"/>
      <c r="O1579" s="5048"/>
      <c r="P1579" s="5048"/>
      <c r="Q1579" s="5048"/>
      <c r="R1579" s="5048"/>
      <c r="S1579" s="5048"/>
      <c r="T1579" s="5048"/>
      <c r="U1579" s="5048"/>
      <c r="V1579" s="5048"/>
      <c r="W1579" s="5048"/>
      <c r="X1579" s="5048"/>
      <c r="Y1579" s="5048"/>
      <c r="Z1579" s="5048"/>
      <c r="AA1579" s="5048"/>
      <c r="AB1579" s="5048"/>
      <c r="AC1579" s="2680">
        <v>3</v>
      </c>
      <c r="AD1579" s="5853" t="s">
        <v>2682</v>
      </c>
      <c r="AE1579" s="2680">
        <v>0.3</v>
      </c>
      <c r="AF1579" s="2680">
        <f>5303628*0.3</f>
        <v>1591088.4</v>
      </c>
      <c r="AG1579" s="3927"/>
      <c r="AH1579" s="3927"/>
      <c r="AI1579" s="3927"/>
      <c r="AJ1579" s="3927"/>
      <c r="AK1579" s="3927"/>
      <c r="AL1579" s="3927"/>
      <c r="AM1579" s="3927"/>
      <c r="AN1579" s="3927"/>
      <c r="AO1579" s="3927"/>
      <c r="AP1579" s="3927"/>
      <c r="AQ1579" s="5079"/>
      <c r="AR1579" s="2680"/>
      <c r="AS1579" s="5079"/>
      <c r="AT1579" s="2680"/>
      <c r="AU1579" s="2680"/>
      <c r="AV1579" s="2680"/>
      <c r="AW1579" s="2680"/>
      <c r="AX1579" s="2680"/>
      <c r="AY1579" s="2680"/>
      <c r="AZ1579" s="2680"/>
      <c r="BA1579" s="5331"/>
      <c r="BB1579" s="2680"/>
      <c r="BC1579" s="2680"/>
      <c r="BD1579" s="5331"/>
      <c r="BE1579" s="5331"/>
      <c r="BF1579" s="5331"/>
      <c r="BG1579" s="5331"/>
      <c r="BH1579" s="2680"/>
      <c r="BI1579" s="5331"/>
      <c r="BJ1579" s="5331"/>
      <c r="BK1579" s="5331"/>
      <c r="BL1579" s="5331"/>
      <c r="BM1579" s="5331"/>
      <c r="BN1579" s="5331"/>
      <c r="BO1579" s="5331"/>
      <c r="BP1579" s="2680"/>
      <c r="BQ1579" s="5331"/>
      <c r="BR1579" s="5331"/>
      <c r="BS1579" s="5331"/>
      <c r="BT1579" s="5331"/>
      <c r="BU1579" s="5331"/>
      <c r="BV1579" s="2680"/>
      <c r="BW1579" s="5331"/>
      <c r="BX1579" s="5331"/>
      <c r="BY1579" s="5331"/>
      <c r="BZ1579" s="5331"/>
      <c r="CA1579" s="5331"/>
      <c r="CB1579" s="5331"/>
      <c r="CC1579" s="2680"/>
      <c r="CD1579" s="2680"/>
      <c r="CE1579" s="5039"/>
      <c r="CF1579" s="5039"/>
      <c r="CG1579" s="5039"/>
      <c r="CH1579" s="5039"/>
    </row>
    <row r="1580" s="4971" customFormat="1" ht="61" spans="1:86">
      <c r="A1580" s="6690"/>
      <c r="B1580" s="6692"/>
      <c r="C1580" s="6692"/>
      <c r="D1580" s="6692"/>
      <c r="E1580" s="6692"/>
      <c r="F1580" s="6692"/>
      <c r="G1580" s="6692"/>
      <c r="H1580" s="6692"/>
      <c r="I1580" s="6692"/>
      <c r="J1580" s="6692"/>
      <c r="K1580" s="6721"/>
      <c r="L1580" s="6692"/>
      <c r="M1580" s="6721"/>
      <c r="N1580" s="5048"/>
      <c r="O1580" s="5048"/>
      <c r="P1580" s="5048"/>
      <c r="Q1580" s="5048"/>
      <c r="R1580" s="5048"/>
      <c r="S1580" s="5048"/>
      <c r="T1580" s="5048"/>
      <c r="U1580" s="5048"/>
      <c r="V1580" s="5048"/>
      <c r="W1580" s="5048"/>
      <c r="X1580" s="5048"/>
      <c r="Y1580" s="5048"/>
      <c r="Z1580" s="5048"/>
      <c r="AA1580" s="5048"/>
      <c r="AB1580" s="5048"/>
      <c r="AC1580" s="2680">
        <v>4</v>
      </c>
      <c r="AD1580" s="5853" t="s">
        <v>2683</v>
      </c>
      <c r="AE1580" s="2680">
        <v>0.25</v>
      </c>
      <c r="AF1580" s="2680">
        <f>5303628*0.25</f>
        <v>1325907</v>
      </c>
      <c r="AG1580" s="2680">
        <f>SUM(BA1580:BN1580)</f>
        <v>1325907</v>
      </c>
      <c r="AH1580" s="2680" t="s">
        <v>206</v>
      </c>
      <c r="AI1580" s="2680">
        <v>43803</v>
      </c>
      <c r="AJ1580" s="2680" t="s">
        <v>171</v>
      </c>
      <c r="AK1580" s="2680" t="s">
        <v>171</v>
      </c>
      <c r="AL1580" s="2680">
        <v>1325907</v>
      </c>
      <c r="AM1580" s="2680">
        <v>43803</v>
      </c>
      <c r="AN1580" s="2680">
        <f>SUM(BO1580:CB1580)</f>
        <v>1325907</v>
      </c>
      <c r="AO1580" s="2680">
        <v>43823</v>
      </c>
      <c r="AP1580" s="2680">
        <f>AG1580-AN1580</f>
        <v>0</v>
      </c>
      <c r="AQ1580" s="5331"/>
      <c r="AR1580" s="5079" t="s">
        <v>2684</v>
      </c>
      <c r="AS1580" s="5079" t="s">
        <v>171</v>
      </c>
      <c r="AT1580" s="2680"/>
      <c r="AU1580" s="2680"/>
      <c r="AV1580" s="2680"/>
      <c r="AW1580" s="2680"/>
      <c r="AX1580" s="2680"/>
      <c r="AY1580" s="2680"/>
      <c r="AZ1580" s="2680"/>
      <c r="BA1580" s="5796"/>
      <c r="BB1580" s="5796">
        <f>5303628*0.25-BH1580</f>
        <v>552461.25</v>
      </c>
      <c r="BC1580" s="2678"/>
      <c r="BD1580" s="5796"/>
      <c r="BE1580" s="5796"/>
      <c r="BF1580" s="5796"/>
      <c r="BG1580" s="5796"/>
      <c r="BH1580" s="2678">
        <f>441969*7*0.25</f>
        <v>773445.75</v>
      </c>
      <c r="BI1580" s="5796"/>
      <c r="BJ1580" s="5796"/>
      <c r="BK1580" s="5796"/>
      <c r="BL1580" s="5796"/>
      <c r="BM1580" s="5796"/>
      <c r="BN1580" s="5796"/>
      <c r="BO1580" s="5331"/>
      <c r="BP1580" s="5331">
        <v>552461.25</v>
      </c>
      <c r="BQ1580" s="5331"/>
      <c r="BR1580" s="5331"/>
      <c r="BS1580" s="5331"/>
      <c r="BT1580" s="5331"/>
      <c r="BU1580" s="5331"/>
      <c r="BV1580" s="5331">
        <v>773445.75</v>
      </c>
      <c r="BW1580" s="5331"/>
      <c r="BX1580" s="5331"/>
      <c r="BY1580" s="5331"/>
      <c r="BZ1580" s="5331"/>
      <c r="CA1580" s="5331"/>
      <c r="CB1580" s="5331"/>
      <c r="CC1580" s="2680"/>
      <c r="CD1580" s="2680"/>
      <c r="CE1580" s="5039"/>
      <c r="CF1580" s="5039"/>
      <c r="CG1580" s="5039"/>
      <c r="CH1580" s="5039"/>
    </row>
    <row r="1581" s="4965" customFormat="1" ht="46" spans="1:86">
      <c r="A1581" s="3742"/>
      <c r="B1581" s="6692"/>
      <c r="C1581" s="6692"/>
      <c r="D1581" s="6692"/>
      <c r="E1581" s="6692"/>
      <c r="F1581" s="6692"/>
      <c r="G1581" s="6692"/>
      <c r="H1581" s="6692"/>
      <c r="I1581" s="6692"/>
      <c r="J1581" s="6692"/>
      <c r="K1581" s="6721"/>
      <c r="L1581" s="6692"/>
      <c r="M1581" s="6721"/>
      <c r="N1581" s="5048"/>
      <c r="O1581" s="5048"/>
      <c r="P1581" s="5048"/>
      <c r="Q1581" s="5048"/>
      <c r="R1581" s="5048"/>
      <c r="S1581" s="5048"/>
      <c r="T1581" s="5048"/>
      <c r="U1581" s="5048"/>
      <c r="V1581" s="5048"/>
      <c r="W1581" s="5048"/>
      <c r="X1581" s="5048"/>
      <c r="Y1581" s="5048"/>
      <c r="Z1581" s="5048"/>
      <c r="AA1581" s="5048"/>
      <c r="AB1581" s="5048"/>
      <c r="AC1581" s="4087">
        <v>5</v>
      </c>
      <c r="AD1581" s="5073" t="s">
        <v>2685</v>
      </c>
      <c r="AE1581" s="4087">
        <v>0.05</v>
      </c>
      <c r="AF1581" s="4087">
        <f>5303628*0.05</f>
        <v>265181.4</v>
      </c>
      <c r="AG1581" s="3812">
        <f>SUM(BA1581:BN1581)</f>
        <v>481361.280000001</v>
      </c>
      <c r="AH1581" s="859" t="s">
        <v>122</v>
      </c>
      <c r="AI1581" s="2678">
        <v>44881</v>
      </c>
      <c r="AJ1581" s="5123"/>
      <c r="AK1581" s="5123"/>
      <c r="AL1581" s="3812">
        <v>265181.4</v>
      </c>
      <c r="AM1581" s="3812">
        <v>45540</v>
      </c>
      <c r="AN1581" s="3812">
        <f>SUM(BO1581:BZ1581)</f>
        <v>265181.4</v>
      </c>
      <c r="AO1581" s="2678">
        <v>45555</v>
      </c>
      <c r="AP1581" s="5123">
        <f>AG1581-AN1581</f>
        <v>216179.880000001</v>
      </c>
      <c r="AQ1581" s="5943" t="s">
        <v>2686</v>
      </c>
      <c r="AR1581" s="5122"/>
      <c r="AS1581" s="1032" t="s">
        <v>2687</v>
      </c>
      <c r="AT1581" s="3524"/>
      <c r="AU1581" s="3524"/>
      <c r="AV1581" s="3524"/>
      <c r="AW1581" s="3524"/>
      <c r="AX1581" s="3524"/>
      <c r="AY1581" s="3524"/>
      <c r="AZ1581" s="3524"/>
      <c r="BA1581" s="5146"/>
      <c r="BB1581" s="5146"/>
      <c r="BC1581" s="3812"/>
      <c r="BD1581" s="5146">
        <v>200567.200000001</v>
      </c>
      <c r="BE1581" s="5146"/>
      <c r="BF1581" s="5146"/>
      <c r="BG1581" s="5146"/>
      <c r="BH1581" s="3812">
        <f>459983.99*7-BH1577-BH1580</f>
        <v>280794.08</v>
      </c>
      <c r="BI1581" s="5146"/>
      <c r="BJ1581" s="5146"/>
      <c r="BK1581" s="5146"/>
      <c r="BL1581" s="5146"/>
      <c r="BM1581" s="5146"/>
      <c r="BN1581" s="3812"/>
      <c r="BO1581" s="5122"/>
      <c r="BP1581" s="5122"/>
      <c r="BQ1581" s="5122"/>
      <c r="BR1581" s="5123">
        <f>(459983.99*5-BP1577-BP1580)-90074.95</f>
        <v>110492.25</v>
      </c>
      <c r="BS1581" s="5122"/>
      <c r="BT1581" s="5122"/>
      <c r="BU1581" s="5122"/>
      <c r="BV1581" s="3812">
        <f>(459983.99*7-BV1577-BV1580)-126104.93</f>
        <v>154689.15</v>
      </c>
      <c r="BW1581" s="5160"/>
      <c r="BX1581" s="5160"/>
      <c r="BY1581" s="5160"/>
      <c r="BZ1581" s="5160"/>
      <c r="CA1581" s="5751"/>
      <c r="CB1581" s="5169"/>
      <c r="CC1581" s="3524"/>
      <c r="CD1581" s="3524"/>
      <c r="CE1581" s="5169"/>
      <c r="CF1581" s="5169"/>
      <c r="CG1581" s="5169"/>
      <c r="CH1581" s="5169"/>
    </row>
    <row r="1582" s="4965" customFormat="1" ht="25.5" customHeight="1" spans="1:86">
      <c r="A1582" s="3742"/>
      <c r="B1582" s="6693"/>
      <c r="C1582" s="6693"/>
      <c r="D1582" s="6693"/>
      <c r="E1582" s="6693"/>
      <c r="F1582" s="6693"/>
      <c r="G1582" s="6693"/>
      <c r="H1582" s="6693"/>
      <c r="I1582" s="6693"/>
      <c r="J1582" s="6693"/>
      <c r="K1582" s="6722"/>
      <c r="L1582" s="6693"/>
      <c r="M1582" s="6722"/>
      <c r="N1582" s="5048"/>
      <c r="O1582" s="5048"/>
      <c r="P1582" s="5048"/>
      <c r="Q1582" s="5048"/>
      <c r="R1582" s="5048"/>
      <c r="S1582" s="5048"/>
      <c r="T1582" s="5048"/>
      <c r="U1582" s="5048"/>
      <c r="V1582" s="5048"/>
      <c r="W1582" s="5048"/>
      <c r="X1582" s="5048"/>
      <c r="Y1582" s="5048"/>
      <c r="Z1582" s="5048"/>
      <c r="AA1582" s="5048"/>
      <c r="AB1582" s="5048"/>
      <c r="AC1582" s="4903"/>
      <c r="AD1582" s="5206"/>
      <c r="AE1582" s="4903"/>
      <c r="AF1582" s="4903"/>
      <c r="AG1582" s="5123">
        <f>SUM(BA1582:BN1582)</f>
        <v>-216179.88</v>
      </c>
      <c r="AH1582" s="5881" t="s">
        <v>349</v>
      </c>
      <c r="AI1582" s="3932"/>
      <c r="AJ1582" s="5123"/>
      <c r="AK1582" s="5123"/>
      <c r="AL1582" s="5123"/>
      <c r="AM1582" s="3812"/>
      <c r="AN1582" s="5123">
        <f>SUM(BO1582:CB1582)</f>
        <v>0</v>
      </c>
      <c r="AO1582" s="3932"/>
      <c r="AP1582" s="5123">
        <f>AG1582-AN1582</f>
        <v>-216179.88</v>
      </c>
      <c r="AQ1582" s="5256" t="s">
        <v>2688</v>
      </c>
      <c r="AR1582" s="5122"/>
      <c r="AS1582" s="1032"/>
      <c r="AT1582" s="3524"/>
      <c r="AU1582" s="3524"/>
      <c r="AV1582" s="3524"/>
      <c r="AW1582" s="3524"/>
      <c r="AX1582" s="3524"/>
      <c r="AY1582" s="3524"/>
      <c r="AZ1582" s="3524"/>
      <c r="BA1582" s="5146"/>
      <c r="BB1582" s="5146"/>
      <c r="BC1582" s="3812"/>
      <c r="BD1582" s="5160">
        <f>441969*5-BB1577-BB1580-BD1581</f>
        <v>-90074.9500000005</v>
      </c>
      <c r="BE1582" s="5146"/>
      <c r="BF1582" s="5146"/>
      <c r="BG1582" s="5146"/>
      <c r="BH1582" s="5123">
        <f>441969*7-BH1577-BH1580-BH1581</f>
        <v>-126104.93</v>
      </c>
      <c r="BI1582" s="5146"/>
      <c r="BJ1582" s="5146"/>
      <c r="BK1582" s="5146"/>
      <c r="BL1582" s="5146"/>
      <c r="BM1582" s="5146"/>
      <c r="BN1582" s="3812"/>
      <c r="BO1582" s="5122"/>
      <c r="BP1582" s="5122"/>
      <c r="BQ1582" s="5122"/>
      <c r="BR1582" s="5160"/>
      <c r="BS1582" s="5146"/>
      <c r="BT1582" s="5146"/>
      <c r="BU1582" s="5146"/>
      <c r="BV1582" s="5123"/>
      <c r="BW1582" s="5160"/>
      <c r="BX1582" s="5160"/>
      <c r="BY1582" s="5160"/>
      <c r="BZ1582" s="5160"/>
      <c r="CA1582" s="5160"/>
      <c r="CB1582" s="5123"/>
      <c r="CC1582" s="3524"/>
      <c r="CD1582" s="3524"/>
      <c r="CE1582" s="5169"/>
      <c r="CF1582" s="5169"/>
      <c r="CG1582" s="5169"/>
      <c r="CH1582" s="5169"/>
    </row>
    <row r="1583" s="4971" customFormat="1" ht="16" spans="1:86">
      <c r="A1583" s="5048">
        <v>5</v>
      </c>
      <c r="B1583" s="5048" t="s">
        <v>2570</v>
      </c>
      <c r="C1583" s="5048">
        <v>43348</v>
      </c>
      <c r="D1583" s="5712" t="s">
        <v>2689</v>
      </c>
      <c r="E1583" s="5048" t="s">
        <v>113</v>
      </c>
      <c r="F1583" s="6690" t="s">
        <v>2690</v>
      </c>
      <c r="G1583" s="6690" t="s">
        <v>2691</v>
      </c>
      <c r="H1583" s="6690" t="s">
        <v>1120</v>
      </c>
      <c r="I1583" s="6690"/>
      <c r="J1583" s="6690" t="s">
        <v>2692</v>
      </c>
      <c r="K1583" s="5048">
        <v>134806</v>
      </c>
      <c r="L1583" s="5048"/>
      <c r="M1583" s="5048">
        <f>SUM(N1583:AA1598)</f>
        <v>12632641</v>
      </c>
      <c r="N1583" s="2680">
        <v>0</v>
      </c>
      <c r="O1583" s="2680">
        <v>11688999</v>
      </c>
      <c r="P1583" s="2680">
        <v>0</v>
      </c>
      <c r="Q1583" s="2680">
        <v>0</v>
      </c>
      <c r="R1583" s="2680">
        <v>0</v>
      </c>
      <c r="S1583" s="2680">
        <v>0</v>
      </c>
      <c r="T1583" s="2680"/>
      <c r="U1583" s="2680">
        <f>K1583*7</f>
        <v>943642</v>
      </c>
      <c r="V1583" s="2680">
        <v>0</v>
      </c>
      <c r="W1583" s="2680">
        <v>0</v>
      </c>
      <c r="X1583" s="2680"/>
      <c r="Y1583" s="2680"/>
      <c r="Z1583" s="2680"/>
      <c r="AA1583" s="2680">
        <v>0</v>
      </c>
      <c r="AB1583" s="5079" t="s">
        <v>2693</v>
      </c>
      <c r="AC1583" s="2680" t="s">
        <v>1055</v>
      </c>
      <c r="AD1583" s="5853" t="s">
        <v>1278</v>
      </c>
      <c r="AE1583" s="791">
        <v>0.2</v>
      </c>
      <c r="AF1583" s="2680">
        <f>7657808*AE1583</f>
        <v>1531561.6</v>
      </c>
      <c r="AG1583" s="2680">
        <f t="shared" ref="AG1583:AG1589" si="320">SUM(BA1583:BN1583)</f>
        <v>1531561.6</v>
      </c>
      <c r="AH1583" s="2680" t="s">
        <v>206</v>
      </c>
      <c r="AI1583" s="2680">
        <v>43399</v>
      </c>
      <c r="AJ1583" s="2680" t="s">
        <v>171</v>
      </c>
      <c r="AK1583" s="2680" t="s">
        <v>171</v>
      </c>
      <c r="AL1583" s="2680">
        <v>1531561.6</v>
      </c>
      <c r="AM1583" s="2680">
        <v>43399</v>
      </c>
      <c r="AN1583" s="2680">
        <f t="shared" ref="AN1583:AN1590" si="321">SUM(BO1583:CB1583)</f>
        <v>1531561.6</v>
      </c>
      <c r="AO1583" s="2680">
        <v>43430</v>
      </c>
      <c r="AP1583" s="2680">
        <f t="shared" ref="AP1583:AP1589" si="322">AG1583-AN1583</f>
        <v>0</v>
      </c>
      <c r="AQ1583" s="2680"/>
      <c r="AR1583" s="2680" t="s">
        <v>171</v>
      </c>
      <c r="AS1583" s="5079" t="s">
        <v>171</v>
      </c>
      <c r="AT1583" s="2680" t="s">
        <v>171</v>
      </c>
      <c r="AU1583" s="2680">
        <f>SUM(AG1583:AG1598)</f>
        <v>12632641</v>
      </c>
      <c r="AV1583" s="2680">
        <f>SUM(AL1583:AL1598)</f>
        <v>12632641</v>
      </c>
      <c r="AW1583" s="2680">
        <f>SUM(AN1583:AN1598)</f>
        <v>12632641</v>
      </c>
      <c r="AX1583" s="2680">
        <f>M1583-AU1583</f>
        <v>0</v>
      </c>
      <c r="AY1583" s="2680">
        <f>AU1583-AV1583</f>
        <v>0</v>
      </c>
      <c r="AZ1583" s="2680">
        <f>AV1583-AW1583</f>
        <v>0</v>
      </c>
      <c r="BA1583" s="5796"/>
      <c r="BB1583" s="5796">
        <v>1531561.6</v>
      </c>
      <c r="BC1583" s="2678"/>
      <c r="BD1583" s="5796"/>
      <c r="BE1583" s="5796"/>
      <c r="BF1583" s="5796"/>
      <c r="BG1583" s="5796"/>
      <c r="BH1583" s="2678"/>
      <c r="BI1583" s="5796"/>
      <c r="BJ1583" s="5796"/>
      <c r="BK1583" s="5796"/>
      <c r="BL1583" s="5796"/>
      <c r="BM1583" s="5796"/>
      <c r="BN1583" s="5796"/>
      <c r="BO1583" s="5331"/>
      <c r="BP1583" s="5331">
        <v>1531561.6</v>
      </c>
      <c r="BQ1583" s="5331"/>
      <c r="BR1583" s="5331"/>
      <c r="BS1583" s="5331"/>
      <c r="BT1583" s="5331"/>
      <c r="BU1583" s="5331"/>
      <c r="BV1583" s="5331"/>
      <c r="BW1583" s="5331"/>
      <c r="BX1583" s="5331"/>
      <c r="BY1583" s="5331"/>
      <c r="BZ1583" s="5331"/>
      <c r="CA1583" s="5331"/>
      <c r="CB1583" s="5331"/>
      <c r="CC1583" s="2680"/>
      <c r="CD1583" s="2680"/>
      <c r="CE1583" s="5039"/>
      <c r="CF1583" s="5039"/>
      <c r="CG1583" s="5039"/>
      <c r="CH1583" s="5039"/>
    </row>
    <row r="1584" s="4971" customFormat="1" ht="61" spans="1:86">
      <c r="A1584" s="5048"/>
      <c r="B1584" s="5048"/>
      <c r="C1584" s="5048"/>
      <c r="D1584" s="6690"/>
      <c r="E1584" s="5048"/>
      <c r="F1584" s="6690"/>
      <c r="G1584" s="6690"/>
      <c r="H1584" s="6690"/>
      <c r="I1584" s="6690"/>
      <c r="J1584" s="6690"/>
      <c r="K1584" s="5048"/>
      <c r="L1584" s="5048"/>
      <c r="M1584" s="5048"/>
      <c r="N1584" s="2680"/>
      <c r="O1584" s="2680"/>
      <c r="P1584" s="2680"/>
      <c r="Q1584" s="2680"/>
      <c r="R1584" s="2680"/>
      <c r="S1584" s="2680"/>
      <c r="T1584" s="2680"/>
      <c r="U1584" s="2680"/>
      <c r="V1584" s="2680"/>
      <c r="W1584" s="2680"/>
      <c r="X1584" s="2680"/>
      <c r="Y1584" s="2680"/>
      <c r="Z1584" s="2680"/>
      <c r="AA1584" s="2680"/>
      <c r="AB1584" s="2680"/>
      <c r="AC1584" s="2680" t="s">
        <v>1057</v>
      </c>
      <c r="AD1584" s="5853" t="s">
        <v>2694</v>
      </c>
      <c r="AE1584" s="791">
        <v>0.5</v>
      </c>
      <c r="AF1584" s="2680">
        <f>7657808*AE1584</f>
        <v>3828904</v>
      </c>
      <c r="AG1584" s="2680">
        <f t="shared" si="320"/>
        <v>3828904</v>
      </c>
      <c r="AH1584" s="2680" t="s">
        <v>206</v>
      </c>
      <c r="AI1584" s="2680">
        <v>43656</v>
      </c>
      <c r="AJ1584" s="2680" t="s">
        <v>171</v>
      </c>
      <c r="AK1584" s="2680" t="s">
        <v>171</v>
      </c>
      <c r="AL1584" s="2680">
        <v>3828904</v>
      </c>
      <c r="AM1584" s="2680">
        <v>43656</v>
      </c>
      <c r="AN1584" s="2680">
        <f t="shared" si="321"/>
        <v>3828904</v>
      </c>
      <c r="AO1584" s="3524">
        <v>43671</v>
      </c>
      <c r="AP1584" s="2680">
        <f t="shared" si="322"/>
        <v>0</v>
      </c>
      <c r="AQ1584" s="2680"/>
      <c r="AR1584" s="2680" t="s">
        <v>171</v>
      </c>
      <c r="AS1584" s="5079" t="s">
        <v>171</v>
      </c>
      <c r="AT1584" s="2680" t="s">
        <v>171</v>
      </c>
      <c r="AU1584" s="2680"/>
      <c r="AV1584" s="2680"/>
      <c r="AW1584" s="2680"/>
      <c r="AX1584" s="2680"/>
      <c r="AY1584" s="2680"/>
      <c r="AZ1584" s="2680"/>
      <c r="BA1584" s="5796"/>
      <c r="BB1584" s="5796">
        <v>3828904</v>
      </c>
      <c r="BC1584" s="2678"/>
      <c r="BD1584" s="5796"/>
      <c r="BE1584" s="5796"/>
      <c r="BF1584" s="5796"/>
      <c r="BG1584" s="5796"/>
      <c r="BH1584" s="2678"/>
      <c r="BI1584" s="5796"/>
      <c r="BJ1584" s="5796"/>
      <c r="BK1584" s="5796"/>
      <c r="BL1584" s="5796"/>
      <c r="BM1584" s="5796"/>
      <c r="BN1584" s="5796"/>
      <c r="BO1584" s="5331"/>
      <c r="BP1584" s="5331">
        <v>3828904</v>
      </c>
      <c r="BQ1584" s="5331"/>
      <c r="BR1584" s="5331"/>
      <c r="BS1584" s="5331"/>
      <c r="BT1584" s="5331"/>
      <c r="BU1584" s="5331"/>
      <c r="BV1584" s="5331"/>
      <c r="BW1584" s="5331"/>
      <c r="BX1584" s="5331"/>
      <c r="BY1584" s="5331"/>
      <c r="BZ1584" s="5331"/>
      <c r="CA1584" s="5331"/>
      <c r="CB1584" s="5331"/>
      <c r="CC1584" s="2680"/>
      <c r="CD1584" s="2680"/>
      <c r="CE1584" s="5039"/>
      <c r="CF1584" s="5039"/>
      <c r="CG1584" s="5039"/>
      <c r="CH1584" s="5039"/>
    </row>
    <row r="1585" s="4971" customFormat="1" ht="46" spans="1:86">
      <c r="A1585" s="5048"/>
      <c r="B1585" s="5048"/>
      <c r="C1585" s="5048"/>
      <c r="D1585" s="6690"/>
      <c r="E1585" s="5048"/>
      <c r="F1585" s="6690"/>
      <c r="G1585" s="6690"/>
      <c r="H1585" s="6690"/>
      <c r="I1585" s="6690"/>
      <c r="J1585" s="6690"/>
      <c r="K1585" s="5048"/>
      <c r="L1585" s="5048"/>
      <c r="M1585" s="5048"/>
      <c r="N1585" s="2680"/>
      <c r="O1585" s="2680"/>
      <c r="P1585" s="2680"/>
      <c r="Q1585" s="2680"/>
      <c r="R1585" s="2680"/>
      <c r="S1585" s="2680"/>
      <c r="T1585" s="2680"/>
      <c r="U1585" s="2680"/>
      <c r="V1585" s="2680"/>
      <c r="W1585" s="2680"/>
      <c r="X1585" s="2680"/>
      <c r="Y1585" s="2680"/>
      <c r="Z1585" s="2680"/>
      <c r="AA1585" s="2680"/>
      <c r="AB1585" s="2680"/>
      <c r="AC1585" s="2680" t="s">
        <v>1059</v>
      </c>
      <c r="AD1585" s="5853" t="s">
        <v>1108</v>
      </c>
      <c r="AE1585" s="791">
        <v>0.25</v>
      </c>
      <c r="AF1585" s="2680">
        <f>7657808*AE1585</f>
        <v>1914452</v>
      </c>
      <c r="AG1585" s="2680">
        <f t="shared" si="320"/>
        <v>1914452</v>
      </c>
      <c r="AH1585" s="2680" t="s">
        <v>206</v>
      </c>
      <c r="AI1585" s="2680">
        <v>43832</v>
      </c>
      <c r="AJ1585" s="2680" t="s">
        <v>171</v>
      </c>
      <c r="AK1585" s="2680" t="s">
        <v>171</v>
      </c>
      <c r="AL1585" s="2680">
        <v>1914452</v>
      </c>
      <c r="AM1585" s="2680">
        <v>43832</v>
      </c>
      <c r="AN1585" s="2680">
        <f t="shared" si="321"/>
        <v>1914452</v>
      </c>
      <c r="AO1585" s="2680">
        <v>43849</v>
      </c>
      <c r="AP1585" s="2680">
        <f t="shared" si="322"/>
        <v>0</v>
      </c>
      <c r="AQ1585" s="2680"/>
      <c r="AR1585" s="2680" t="s">
        <v>171</v>
      </c>
      <c r="AS1585" s="5079" t="s">
        <v>171</v>
      </c>
      <c r="AT1585" s="2680" t="s">
        <v>171</v>
      </c>
      <c r="AU1585" s="2680"/>
      <c r="AV1585" s="2680"/>
      <c r="AW1585" s="2680"/>
      <c r="AX1585" s="2680"/>
      <c r="AY1585" s="2680"/>
      <c r="AZ1585" s="2680"/>
      <c r="BA1585" s="5796"/>
      <c r="BB1585" s="5796"/>
      <c r="BC1585" s="2678"/>
      <c r="BD1585" s="5796"/>
      <c r="BE1585" s="5796"/>
      <c r="BF1585" s="5796"/>
      <c r="BG1585" s="5796"/>
      <c r="BH1585" s="2678"/>
      <c r="BI1585" s="5796"/>
      <c r="BJ1585" s="5796"/>
      <c r="BK1585" s="5796"/>
      <c r="BL1585" s="5796"/>
      <c r="BM1585" s="5796"/>
      <c r="BN1585" s="5796">
        <v>1914452</v>
      </c>
      <c r="BO1585" s="5331"/>
      <c r="BP1585" s="5331"/>
      <c r="BQ1585" s="5331"/>
      <c r="BR1585" s="5331"/>
      <c r="BS1585" s="5331"/>
      <c r="BT1585" s="5331"/>
      <c r="BU1585" s="5331"/>
      <c r="BV1585" s="5331"/>
      <c r="BW1585" s="5331"/>
      <c r="BX1585" s="5331"/>
      <c r="BY1585" s="5331"/>
      <c r="BZ1585" s="5331"/>
      <c r="CA1585" s="5331"/>
      <c r="CB1585" s="5331">
        <v>1914452</v>
      </c>
      <c r="CC1585" s="2680"/>
      <c r="CD1585" s="2680"/>
      <c r="CE1585" s="5039"/>
      <c r="CF1585" s="5039"/>
      <c r="CG1585" s="5039"/>
      <c r="CH1585" s="5039"/>
    </row>
    <row r="1586" s="4971" customFormat="1" ht="31" spans="1:86">
      <c r="A1586" s="5048"/>
      <c r="B1586" s="5048"/>
      <c r="C1586" s="5048"/>
      <c r="D1586" s="6690"/>
      <c r="E1586" s="5048"/>
      <c r="F1586" s="6690"/>
      <c r="G1586" s="6690"/>
      <c r="H1586" s="6690"/>
      <c r="I1586" s="6690"/>
      <c r="J1586" s="6690"/>
      <c r="K1586" s="5048"/>
      <c r="L1586" s="5048"/>
      <c r="M1586" s="5048"/>
      <c r="N1586" s="2680"/>
      <c r="O1586" s="2680"/>
      <c r="P1586" s="2680"/>
      <c r="Q1586" s="2680"/>
      <c r="R1586" s="2680"/>
      <c r="S1586" s="2680"/>
      <c r="T1586" s="2680"/>
      <c r="U1586" s="2680"/>
      <c r="V1586" s="2680"/>
      <c r="W1586" s="2680"/>
      <c r="X1586" s="2680"/>
      <c r="Y1586" s="2680"/>
      <c r="Z1586" s="2680"/>
      <c r="AA1586" s="2680"/>
      <c r="AB1586" s="2680"/>
      <c r="AC1586" s="2680" t="s">
        <v>1061</v>
      </c>
      <c r="AD1586" s="5853" t="s">
        <v>1109</v>
      </c>
      <c r="AE1586" s="791">
        <v>0.05</v>
      </c>
      <c r="AF1586" s="2680">
        <f>7657808*AE1586</f>
        <v>382890.4</v>
      </c>
      <c r="AG1586" s="2678">
        <f t="shared" si="320"/>
        <v>382890.4</v>
      </c>
      <c r="AH1586" s="859" t="s">
        <v>122</v>
      </c>
      <c r="AI1586" s="2678">
        <v>44883</v>
      </c>
      <c r="AJ1586" s="2680"/>
      <c r="AK1586" s="2680"/>
      <c r="AL1586" s="2680">
        <v>382890.4</v>
      </c>
      <c r="AM1586" s="2680">
        <v>45064</v>
      </c>
      <c r="AN1586" s="2680">
        <f t="shared" si="321"/>
        <v>382890.4</v>
      </c>
      <c r="AO1586" s="2680">
        <v>45313</v>
      </c>
      <c r="AP1586" s="2680">
        <f t="shared" si="322"/>
        <v>0</v>
      </c>
      <c r="AQ1586" s="2680"/>
      <c r="AR1586" s="2680"/>
      <c r="AS1586" s="5079"/>
      <c r="AT1586" s="2680"/>
      <c r="AU1586" s="2680"/>
      <c r="AV1586" s="2680"/>
      <c r="AW1586" s="2680"/>
      <c r="AX1586" s="2680"/>
      <c r="AY1586" s="2680"/>
      <c r="AZ1586" s="2680"/>
      <c r="BA1586" s="5796"/>
      <c r="BB1586" s="5796">
        <v>382890.4</v>
      </c>
      <c r="BC1586" s="2678"/>
      <c r="BD1586" s="5796"/>
      <c r="BE1586" s="5796"/>
      <c r="BF1586" s="5796"/>
      <c r="BG1586" s="5796"/>
      <c r="BH1586" s="2678"/>
      <c r="BI1586" s="5796"/>
      <c r="BJ1586" s="5796"/>
      <c r="BK1586" s="5796"/>
      <c r="BL1586" s="5796"/>
      <c r="BM1586" s="5796"/>
      <c r="BN1586" s="5796"/>
      <c r="BO1586" s="5331"/>
      <c r="BP1586" s="5796">
        <v>382890.4</v>
      </c>
      <c r="BQ1586" s="5331"/>
      <c r="BR1586" s="5331"/>
      <c r="BS1586" s="5331"/>
      <c r="BT1586" s="5331"/>
      <c r="BU1586" s="5331"/>
      <c r="BV1586" s="5331"/>
      <c r="BW1586" s="5331"/>
      <c r="BX1586" s="5331"/>
      <c r="BY1586" s="5331"/>
      <c r="BZ1586" s="5331"/>
      <c r="CA1586" s="5331"/>
      <c r="CB1586" s="5331"/>
      <c r="CC1586" s="2680"/>
      <c r="CD1586" s="2680"/>
      <c r="CE1586" s="5039"/>
      <c r="CF1586" s="5039"/>
      <c r="CG1586" s="5039"/>
      <c r="CH1586" s="5039"/>
    </row>
    <row r="1587" s="4971" customFormat="1" ht="24.15" customHeight="1" spans="1:86">
      <c r="A1587" s="5048"/>
      <c r="B1587" s="5048"/>
      <c r="C1587" s="5048"/>
      <c r="D1587" s="6690"/>
      <c r="E1587" s="5048"/>
      <c r="F1587" s="6690"/>
      <c r="G1587" s="6690"/>
      <c r="H1587" s="6690"/>
      <c r="I1587" s="6690"/>
      <c r="J1587" s="6690"/>
      <c r="K1587" s="5048"/>
      <c r="L1587" s="5048"/>
      <c r="M1587" s="5048"/>
      <c r="N1587" s="2680"/>
      <c r="O1587" s="2680"/>
      <c r="P1587" s="2680"/>
      <c r="Q1587" s="2680"/>
      <c r="R1587" s="2680"/>
      <c r="S1587" s="2680"/>
      <c r="T1587" s="2680"/>
      <c r="U1587" s="2680"/>
      <c r="V1587" s="2680"/>
      <c r="W1587" s="2680"/>
      <c r="X1587" s="2680"/>
      <c r="Y1587" s="2680"/>
      <c r="Z1587" s="2680"/>
      <c r="AA1587" s="2680"/>
      <c r="AB1587" s="2680"/>
      <c r="AC1587" s="2680" t="s">
        <v>2695</v>
      </c>
      <c r="AD1587" s="5853" t="s">
        <v>1278</v>
      </c>
      <c r="AE1587" s="791">
        <v>0.2</v>
      </c>
      <c r="AF1587" s="2680">
        <f>1617672*AE1587</f>
        <v>323534.4</v>
      </c>
      <c r="AG1587" s="2680">
        <f t="shared" si="320"/>
        <v>323534.4</v>
      </c>
      <c r="AH1587" s="2680" t="s">
        <v>206</v>
      </c>
      <c r="AI1587" s="2680">
        <v>43399</v>
      </c>
      <c r="AJ1587" s="2680" t="s">
        <v>171</v>
      </c>
      <c r="AK1587" s="2680" t="s">
        <v>171</v>
      </c>
      <c r="AL1587" s="2680">
        <v>323534.4</v>
      </c>
      <c r="AM1587" s="2680">
        <v>43399</v>
      </c>
      <c r="AN1587" s="2680">
        <f t="shared" si="321"/>
        <v>323534.4</v>
      </c>
      <c r="AO1587" s="2680">
        <v>43430</v>
      </c>
      <c r="AP1587" s="2680">
        <f t="shared" si="322"/>
        <v>0</v>
      </c>
      <c r="AQ1587" s="2680"/>
      <c r="AR1587" s="2680" t="s">
        <v>171</v>
      </c>
      <c r="AS1587" s="5079" t="s">
        <v>171</v>
      </c>
      <c r="AT1587" s="2680" t="s">
        <v>171</v>
      </c>
      <c r="AU1587" s="2680"/>
      <c r="AV1587" s="2680"/>
      <c r="AW1587" s="2680"/>
      <c r="AX1587" s="2680"/>
      <c r="AY1587" s="2680"/>
      <c r="AZ1587" s="2680"/>
      <c r="BA1587" s="5796"/>
      <c r="BB1587" s="5796"/>
      <c r="BC1587" s="2678"/>
      <c r="BD1587" s="5796"/>
      <c r="BE1587" s="5796"/>
      <c r="BF1587" s="5796"/>
      <c r="BG1587" s="5796"/>
      <c r="BH1587" s="2678">
        <v>188728.4</v>
      </c>
      <c r="BI1587" s="5796"/>
      <c r="BJ1587" s="5796"/>
      <c r="BK1587" s="5796"/>
      <c r="BL1587" s="5796"/>
      <c r="BM1587" s="5796"/>
      <c r="BN1587" s="5796">
        <v>134806</v>
      </c>
      <c r="BO1587" s="5331"/>
      <c r="BP1587" s="5331"/>
      <c r="BQ1587" s="5331"/>
      <c r="BR1587" s="5331"/>
      <c r="BS1587" s="5331"/>
      <c r="BT1587" s="5331"/>
      <c r="BU1587" s="5331"/>
      <c r="BV1587" s="5331">
        <v>188728.4</v>
      </c>
      <c r="BW1587" s="5331"/>
      <c r="BX1587" s="5331"/>
      <c r="BY1587" s="5331"/>
      <c r="BZ1587" s="5331"/>
      <c r="CA1587" s="5331"/>
      <c r="CB1587" s="5331">
        <v>134806</v>
      </c>
      <c r="CC1587" s="2680"/>
      <c r="CD1587" s="2680"/>
      <c r="CE1587" s="5039"/>
      <c r="CF1587" s="5039"/>
      <c r="CG1587" s="5039"/>
      <c r="CH1587" s="5039"/>
    </row>
    <row r="1588" s="4971" customFormat="1" ht="50" customHeight="1" spans="1:86">
      <c r="A1588" s="5048"/>
      <c r="B1588" s="5048"/>
      <c r="C1588" s="5048"/>
      <c r="D1588" s="6690"/>
      <c r="E1588" s="5048"/>
      <c r="F1588" s="6690"/>
      <c r="G1588" s="6690"/>
      <c r="H1588" s="6690"/>
      <c r="I1588" s="6690"/>
      <c r="J1588" s="6690"/>
      <c r="K1588" s="5048"/>
      <c r="L1588" s="5048"/>
      <c r="M1588" s="5048"/>
      <c r="N1588" s="2680"/>
      <c r="O1588" s="2680"/>
      <c r="P1588" s="2680"/>
      <c r="Q1588" s="2680"/>
      <c r="R1588" s="2680"/>
      <c r="S1588" s="2680"/>
      <c r="T1588" s="2680"/>
      <c r="U1588" s="2680"/>
      <c r="V1588" s="2680"/>
      <c r="W1588" s="2680"/>
      <c r="X1588" s="2680"/>
      <c r="Y1588" s="2680"/>
      <c r="Z1588" s="2680"/>
      <c r="AA1588" s="2680"/>
      <c r="AB1588" s="2680"/>
      <c r="AC1588" s="2680" t="s">
        <v>2696</v>
      </c>
      <c r="AD1588" s="5853" t="s">
        <v>2694</v>
      </c>
      <c r="AE1588" s="791">
        <v>0.5</v>
      </c>
      <c r="AF1588" s="2680">
        <f>1617672*AE1588</f>
        <v>808836</v>
      </c>
      <c r="AG1588" s="2680">
        <f t="shared" si="320"/>
        <v>323534.4</v>
      </c>
      <c r="AH1588" s="2680" t="s">
        <v>206</v>
      </c>
      <c r="AI1588" s="2680">
        <v>43948</v>
      </c>
      <c r="AJ1588" s="2680" t="s">
        <v>171</v>
      </c>
      <c r="AK1588" s="2680" t="s">
        <v>171</v>
      </c>
      <c r="AL1588" s="2680">
        <v>323534.4</v>
      </c>
      <c r="AM1588" s="2680">
        <v>43948</v>
      </c>
      <c r="AN1588" s="2680">
        <f t="shared" si="321"/>
        <v>323534.4</v>
      </c>
      <c r="AO1588" s="2680">
        <v>43985</v>
      </c>
      <c r="AP1588" s="2680">
        <f t="shared" si="322"/>
        <v>0</v>
      </c>
      <c r="AQ1588" s="5079" t="s">
        <v>2697</v>
      </c>
      <c r="AR1588" s="2680" t="s">
        <v>171</v>
      </c>
      <c r="AS1588" s="5079" t="s">
        <v>2698</v>
      </c>
      <c r="AT1588" s="2680" t="s">
        <v>171</v>
      </c>
      <c r="AU1588" s="2680"/>
      <c r="AV1588" s="2680"/>
      <c r="AW1588" s="2680"/>
      <c r="AX1588" s="2680"/>
      <c r="AY1588" s="2680"/>
      <c r="AZ1588" s="2680"/>
      <c r="BA1588" s="5796"/>
      <c r="BB1588" s="5796"/>
      <c r="BC1588" s="5796"/>
      <c r="BD1588" s="5796"/>
      <c r="BE1588" s="5796"/>
      <c r="BF1588" s="5796"/>
      <c r="BG1588" s="5796"/>
      <c r="BH1588" s="5733">
        <v>188728.4</v>
      </c>
      <c r="BI1588" s="5796"/>
      <c r="BJ1588" s="5796"/>
      <c r="BK1588" s="5796"/>
      <c r="BL1588" s="5796"/>
      <c r="BM1588" s="5796"/>
      <c r="BN1588" s="5796">
        <v>134806</v>
      </c>
      <c r="BO1588" s="5331"/>
      <c r="BP1588" s="5331"/>
      <c r="BQ1588" s="5122"/>
      <c r="BR1588" s="5122"/>
      <c r="BS1588" s="5122"/>
      <c r="BT1588" s="5122"/>
      <c r="BU1588" s="5122"/>
      <c r="BV1588" s="5122">
        <v>188728.4</v>
      </c>
      <c r="BW1588" s="5331"/>
      <c r="BX1588" s="5331"/>
      <c r="BY1588" s="5331"/>
      <c r="BZ1588" s="5331"/>
      <c r="CA1588" s="5331"/>
      <c r="CB1588" s="5122">
        <v>134806</v>
      </c>
      <c r="CC1588" s="2680"/>
      <c r="CD1588" s="2680"/>
      <c r="CE1588" s="5039"/>
      <c r="CF1588" s="5039"/>
      <c r="CG1588" s="5039"/>
      <c r="CH1588" s="5039"/>
    </row>
    <row r="1589" s="4965" customFormat="1" ht="33" customHeight="1" spans="1:86">
      <c r="A1589" s="3524"/>
      <c r="B1589" s="3524"/>
      <c r="C1589" s="3524"/>
      <c r="D1589" s="3742"/>
      <c r="E1589" s="3524"/>
      <c r="F1589" s="3742"/>
      <c r="G1589" s="3742"/>
      <c r="H1589" s="3742"/>
      <c r="I1589" s="3742"/>
      <c r="J1589" s="3742"/>
      <c r="K1589" s="3524"/>
      <c r="L1589" s="3524"/>
      <c r="M1589" s="3524"/>
      <c r="N1589" s="2680"/>
      <c r="O1589" s="2680"/>
      <c r="P1589" s="2680"/>
      <c r="Q1589" s="2680"/>
      <c r="R1589" s="2680"/>
      <c r="S1589" s="2680"/>
      <c r="T1589" s="2680"/>
      <c r="U1589" s="2680"/>
      <c r="V1589" s="2680"/>
      <c r="W1589" s="2680"/>
      <c r="X1589" s="2680"/>
      <c r="Y1589" s="2680"/>
      <c r="Z1589" s="2680"/>
      <c r="AA1589" s="2680"/>
      <c r="AB1589" s="2680"/>
      <c r="AC1589" s="1095" t="s">
        <v>171</v>
      </c>
      <c r="AD1589" s="3524" t="s">
        <v>552</v>
      </c>
      <c r="AE1589" s="1095" t="s">
        <v>171</v>
      </c>
      <c r="AF1589" s="3524" t="s">
        <v>171</v>
      </c>
      <c r="AG1589" s="3812">
        <f t="shared" si="320"/>
        <v>485301.6</v>
      </c>
      <c r="AH1589" s="3812" t="s">
        <v>122</v>
      </c>
      <c r="AI1589" s="3812">
        <v>44181</v>
      </c>
      <c r="AJ1589" s="3812">
        <f>SUM(BD1589:BQ1589)</f>
        <v>485301.6</v>
      </c>
      <c r="AK1589" s="3812">
        <v>44181</v>
      </c>
      <c r="AL1589" s="2680">
        <f>SUM(BK1589:BX1589)</f>
        <v>485301.6</v>
      </c>
      <c r="AM1589" s="2680">
        <v>44207</v>
      </c>
      <c r="AN1589" s="2680">
        <f t="shared" si="321"/>
        <v>485301.6</v>
      </c>
      <c r="AO1589" s="2678">
        <v>44637</v>
      </c>
      <c r="AP1589" s="3812">
        <f t="shared" si="322"/>
        <v>0</v>
      </c>
      <c r="AQ1589" s="3742"/>
      <c r="AR1589" s="3524" t="s">
        <v>171</v>
      </c>
      <c r="AS1589" s="3742" t="s">
        <v>171</v>
      </c>
      <c r="AT1589" s="3524" t="s">
        <v>171</v>
      </c>
      <c r="AU1589" s="3524"/>
      <c r="AV1589" s="3524"/>
      <c r="AW1589" s="3524"/>
      <c r="AX1589" s="3524"/>
      <c r="AY1589" s="3524"/>
      <c r="AZ1589" s="3524"/>
      <c r="BA1589" s="5146"/>
      <c r="BB1589" s="5146"/>
      <c r="BC1589" s="3812"/>
      <c r="BD1589" s="5146"/>
      <c r="BE1589" s="5146"/>
      <c r="BF1589" s="5146"/>
      <c r="BG1589" s="5146"/>
      <c r="BH1589" s="5146">
        <f>808836*0.6*(7/12)</f>
        <v>283092.6</v>
      </c>
      <c r="BI1589" s="5146"/>
      <c r="BJ1589" s="5146"/>
      <c r="BK1589" s="5146"/>
      <c r="BL1589" s="5146"/>
      <c r="BM1589" s="5146"/>
      <c r="BN1589" s="5146">
        <f>808836*0.6*(5/12)</f>
        <v>202209</v>
      </c>
      <c r="BO1589" s="5122"/>
      <c r="BP1589" s="5122"/>
      <c r="BQ1589" s="5122"/>
      <c r="BR1589" s="5122"/>
      <c r="BS1589" s="5122"/>
      <c r="BT1589" s="5122"/>
      <c r="BU1589" s="5122"/>
      <c r="BV1589" s="5146">
        <f>808836*0.6*(7/12)</f>
        <v>283092.6</v>
      </c>
      <c r="BW1589" s="5146"/>
      <c r="BX1589" s="5146"/>
      <c r="BY1589" s="5146"/>
      <c r="BZ1589" s="5146"/>
      <c r="CA1589" s="5146"/>
      <c r="CB1589" s="5146">
        <f>808836*0.6*(5/12)</f>
        <v>202209</v>
      </c>
      <c r="CC1589" s="3524"/>
      <c r="CD1589" s="3524"/>
      <c r="CE1589" s="5169"/>
      <c r="CF1589" s="5169"/>
      <c r="CG1589" s="5169"/>
      <c r="CH1589" s="5169"/>
    </row>
    <row r="1590" s="4965" customFormat="1" ht="46" spans="1:86">
      <c r="A1590" s="3524"/>
      <c r="B1590" s="3524"/>
      <c r="C1590" s="3524"/>
      <c r="D1590" s="3742"/>
      <c r="E1590" s="3524"/>
      <c r="F1590" s="3742"/>
      <c r="G1590" s="3742"/>
      <c r="H1590" s="3742"/>
      <c r="I1590" s="3742"/>
      <c r="J1590" s="3742"/>
      <c r="K1590" s="3524"/>
      <c r="L1590" s="3524"/>
      <c r="M1590" s="3524"/>
      <c r="N1590" s="2680"/>
      <c r="O1590" s="2680"/>
      <c r="P1590" s="2680"/>
      <c r="Q1590" s="2680"/>
      <c r="R1590" s="2680"/>
      <c r="S1590" s="2680"/>
      <c r="T1590" s="2680"/>
      <c r="U1590" s="2680"/>
      <c r="V1590" s="2680"/>
      <c r="W1590" s="2680"/>
      <c r="X1590" s="2680"/>
      <c r="Y1590" s="2680"/>
      <c r="Z1590" s="2680"/>
      <c r="AA1590" s="2680"/>
      <c r="AB1590" s="2680"/>
      <c r="AC1590" s="3524" t="s">
        <v>2699</v>
      </c>
      <c r="AD1590" s="5256" t="s">
        <v>1108</v>
      </c>
      <c r="AE1590" s="1095">
        <v>0.25</v>
      </c>
      <c r="AF1590" s="3524">
        <f>1617672*AE1590</f>
        <v>404418</v>
      </c>
      <c r="AG1590" s="3812">
        <f t="shared" ref="AG1590:AG1600" si="323">SUM(BA1590:BN1590)</f>
        <v>404418</v>
      </c>
      <c r="AH1590" s="3812" t="s">
        <v>122</v>
      </c>
      <c r="AI1590" s="3812">
        <v>44181</v>
      </c>
      <c r="AJ1590" s="3812">
        <f>SUM(BD1590:BQ1590)</f>
        <v>404418</v>
      </c>
      <c r="AK1590" s="3812">
        <v>44181</v>
      </c>
      <c r="AL1590" s="2680">
        <f>SUM(BK1590:BX1590)</f>
        <v>404418</v>
      </c>
      <c r="AM1590" s="2680">
        <v>44207</v>
      </c>
      <c r="AN1590" s="2680">
        <f t="shared" si="321"/>
        <v>404418</v>
      </c>
      <c r="AO1590" s="2678">
        <v>44637</v>
      </c>
      <c r="AP1590" s="3812">
        <f t="shared" ref="AP1590:AP1596" si="324">AG1590-AN1590</f>
        <v>0</v>
      </c>
      <c r="AQ1590" s="3742" t="s">
        <v>2700</v>
      </c>
      <c r="AR1590" s="3742" t="s">
        <v>2701</v>
      </c>
      <c r="AS1590" s="3742"/>
      <c r="AT1590" s="3524"/>
      <c r="AU1590" s="3524"/>
      <c r="AV1590" s="3524"/>
      <c r="AW1590" s="3524"/>
      <c r="AX1590" s="3524"/>
      <c r="AY1590" s="3524"/>
      <c r="AZ1590" s="3524"/>
      <c r="BA1590" s="5146"/>
      <c r="BB1590" s="5146"/>
      <c r="BC1590" s="3812"/>
      <c r="BD1590" s="5146"/>
      <c r="BE1590" s="5146"/>
      <c r="BF1590" s="5146"/>
      <c r="BG1590" s="5146"/>
      <c r="BH1590" s="5146">
        <f>404418*7/12</f>
        <v>235910.5</v>
      </c>
      <c r="BI1590" s="5146"/>
      <c r="BJ1590" s="5146"/>
      <c r="BK1590" s="5146"/>
      <c r="BL1590" s="5146"/>
      <c r="BM1590" s="5146"/>
      <c r="BN1590" s="5146">
        <f>404418*5/12</f>
        <v>168507.5</v>
      </c>
      <c r="BO1590" s="5122"/>
      <c r="BP1590" s="5122"/>
      <c r="BQ1590" s="5122"/>
      <c r="BR1590" s="5122"/>
      <c r="BS1590" s="5122"/>
      <c r="BT1590" s="5122"/>
      <c r="BU1590" s="5122"/>
      <c r="BV1590" s="5146">
        <f>404418*7/12</f>
        <v>235910.5</v>
      </c>
      <c r="BW1590" s="5146"/>
      <c r="BX1590" s="5146"/>
      <c r="BY1590" s="5146"/>
      <c r="BZ1590" s="5146"/>
      <c r="CA1590" s="5146"/>
      <c r="CB1590" s="5146">
        <f>404418*5/12</f>
        <v>168507.5</v>
      </c>
      <c r="CC1590" s="3524"/>
      <c r="CD1590" s="3524"/>
      <c r="CE1590" s="5169"/>
      <c r="CF1590" s="5169"/>
      <c r="CG1590" s="5169"/>
      <c r="CH1590" s="5169"/>
    </row>
    <row r="1591" s="4971" customFormat="1" ht="31" spans="1:86">
      <c r="A1591" s="5048"/>
      <c r="B1591" s="5048"/>
      <c r="C1591" s="5048"/>
      <c r="D1591" s="6690"/>
      <c r="E1591" s="5048"/>
      <c r="F1591" s="6690"/>
      <c r="G1591" s="6690"/>
      <c r="H1591" s="6690"/>
      <c r="I1591" s="6690"/>
      <c r="J1591" s="6690"/>
      <c r="K1591" s="5048"/>
      <c r="L1591" s="5048"/>
      <c r="M1591" s="5048"/>
      <c r="N1591" s="2680"/>
      <c r="O1591" s="2680"/>
      <c r="P1591" s="2680"/>
      <c r="Q1591" s="2680"/>
      <c r="R1591" s="2680"/>
      <c r="S1591" s="2680"/>
      <c r="T1591" s="2680"/>
      <c r="U1591" s="2680"/>
      <c r="V1591" s="2680"/>
      <c r="W1591" s="2680"/>
      <c r="X1591" s="2680"/>
      <c r="Y1591" s="2680"/>
      <c r="Z1591" s="2680"/>
      <c r="AA1591" s="2680"/>
      <c r="AB1591" s="2680"/>
      <c r="AC1591" s="2680" t="s">
        <v>2702</v>
      </c>
      <c r="AD1591" s="5853" t="s">
        <v>1109</v>
      </c>
      <c r="AE1591" s="791">
        <v>0.05</v>
      </c>
      <c r="AF1591" s="2680">
        <f>1617672*AE1591</f>
        <v>80883.6</v>
      </c>
      <c r="AG1591" s="2678">
        <f t="shared" si="323"/>
        <v>80883.6</v>
      </c>
      <c r="AH1591" s="859" t="s">
        <v>122</v>
      </c>
      <c r="AI1591" s="2678">
        <v>44883</v>
      </c>
      <c r="AJ1591" s="2680"/>
      <c r="AK1591" s="2680"/>
      <c r="AL1591" s="2680">
        <v>80883.6</v>
      </c>
      <c r="AM1591" s="2680">
        <v>45064</v>
      </c>
      <c r="AN1591" s="2680">
        <f t="shared" ref="AN1590:AN1600" si="325">SUM(BO1591:CB1591)</f>
        <v>80883.6</v>
      </c>
      <c r="AO1591" s="2680">
        <v>45313</v>
      </c>
      <c r="AP1591" s="2680">
        <f t="shared" si="324"/>
        <v>0</v>
      </c>
      <c r="AQ1591" s="2680"/>
      <c r="AR1591" s="2680"/>
      <c r="AS1591" s="5079"/>
      <c r="AT1591" s="2680"/>
      <c r="AU1591" s="2680"/>
      <c r="AV1591" s="2680"/>
      <c r="AW1591" s="2680"/>
      <c r="AX1591" s="2680"/>
      <c r="AY1591" s="2680"/>
      <c r="AZ1591" s="2680"/>
      <c r="BA1591" s="5796"/>
      <c r="BB1591" s="5796">
        <v>33701.5</v>
      </c>
      <c r="BC1591" s="2678"/>
      <c r="BD1591" s="5796"/>
      <c r="BE1591" s="5796"/>
      <c r="BF1591" s="5796"/>
      <c r="BG1591" s="5796"/>
      <c r="BH1591" s="2678">
        <f>134806*7-BH1587-BH1588-BH1589-BH1590</f>
        <v>47182.1</v>
      </c>
      <c r="BI1591" s="5796"/>
      <c r="BJ1591" s="5796"/>
      <c r="BK1591" s="5796"/>
      <c r="BL1591" s="5796"/>
      <c r="BM1591" s="5796"/>
      <c r="BN1591" s="5796"/>
      <c r="BO1591" s="5331"/>
      <c r="BP1591" s="5796">
        <v>33701.5</v>
      </c>
      <c r="BQ1591" s="5331"/>
      <c r="BR1591" s="5331"/>
      <c r="BS1591" s="5331"/>
      <c r="BT1591" s="5331"/>
      <c r="BU1591" s="5331"/>
      <c r="BV1591" s="2678">
        <f>134806*7-BV1587-BV1588-BV1589-BV1590</f>
        <v>47182.1</v>
      </c>
      <c r="BW1591" s="5331"/>
      <c r="BX1591" s="5331"/>
      <c r="BY1591" s="5331"/>
      <c r="BZ1591" s="5331"/>
      <c r="CA1591" s="5331"/>
      <c r="CB1591" s="5331"/>
      <c r="CC1591" s="2680"/>
      <c r="CD1591" s="2680"/>
      <c r="CE1591" s="5039"/>
      <c r="CF1591" s="5039"/>
      <c r="CG1591" s="5039"/>
      <c r="CH1591" s="5039"/>
    </row>
    <row r="1592" s="4971" customFormat="1" ht="23" customHeight="1" spans="1:86">
      <c r="A1592" s="5048"/>
      <c r="B1592" s="5048"/>
      <c r="C1592" s="5048"/>
      <c r="D1592" s="6690"/>
      <c r="E1592" s="5048"/>
      <c r="F1592" s="6690"/>
      <c r="G1592" s="6690"/>
      <c r="H1592" s="6690"/>
      <c r="I1592" s="6690"/>
      <c r="J1592" s="6690"/>
      <c r="K1592" s="5048"/>
      <c r="L1592" s="5048"/>
      <c r="M1592" s="5048"/>
      <c r="N1592" s="2680"/>
      <c r="O1592" s="2680"/>
      <c r="P1592" s="2680"/>
      <c r="Q1592" s="2680"/>
      <c r="R1592" s="2680"/>
      <c r="S1592" s="2680"/>
      <c r="T1592" s="2680"/>
      <c r="U1592" s="2680"/>
      <c r="V1592" s="2680"/>
      <c r="W1592" s="2680"/>
      <c r="X1592" s="2680"/>
      <c r="Y1592" s="2680"/>
      <c r="Z1592" s="2680"/>
      <c r="AA1592" s="2680"/>
      <c r="AB1592" s="2680"/>
      <c r="AC1592" s="2680" t="s">
        <v>2703</v>
      </c>
      <c r="AD1592" s="5853" t="s">
        <v>123</v>
      </c>
      <c r="AE1592" s="6725">
        <v>0.1</v>
      </c>
      <c r="AF1592" s="2680">
        <f>3357161*AE1592</f>
        <v>335716.1</v>
      </c>
      <c r="AG1592" s="2680">
        <f t="shared" si="323"/>
        <v>335716.1</v>
      </c>
      <c r="AH1592" s="2680" t="s">
        <v>206</v>
      </c>
      <c r="AI1592" s="2680">
        <v>43399</v>
      </c>
      <c r="AJ1592" s="2680" t="s">
        <v>171</v>
      </c>
      <c r="AK1592" s="2680" t="s">
        <v>171</v>
      </c>
      <c r="AL1592" s="2680">
        <v>335716.1</v>
      </c>
      <c r="AM1592" s="2680">
        <v>43399</v>
      </c>
      <c r="AN1592" s="2680">
        <f t="shared" si="325"/>
        <v>335716.1</v>
      </c>
      <c r="AO1592" s="2678">
        <v>43430</v>
      </c>
      <c r="AP1592" s="2680">
        <f t="shared" si="324"/>
        <v>0</v>
      </c>
      <c r="AQ1592" s="2680"/>
      <c r="AR1592" s="2680" t="s">
        <v>171</v>
      </c>
      <c r="AS1592" s="5079" t="s">
        <v>171</v>
      </c>
      <c r="AT1592" s="2680" t="s">
        <v>171</v>
      </c>
      <c r="AU1592" s="2680"/>
      <c r="AV1592" s="2680"/>
      <c r="AW1592" s="2680"/>
      <c r="AX1592" s="2680"/>
      <c r="AY1592" s="2680"/>
      <c r="AZ1592" s="2680"/>
      <c r="BA1592" s="5796"/>
      <c r="BB1592" s="5796">
        <v>335716.1</v>
      </c>
      <c r="BC1592" s="2678"/>
      <c r="BD1592" s="5796"/>
      <c r="BE1592" s="5796"/>
      <c r="BF1592" s="5796"/>
      <c r="BG1592" s="5796"/>
      <c r="BH1592" s="2678"/>
      <c r="BI1592" s="5796"/>
      <c r="BJ1592" s="5796"/>
      <c r="BK1592" s="5796"/>
      <c r="BL1592" s="5796"/>
      <c r="BM1592" s="5796"/>
      <c r="BN1592" s="5796"/>
      <c r="BO1592" s="5331"/>
      <c r="BP1592" s="5331">
        <v>335716.1</v>
      </c>
      <c r="BQ1592" s="5331"/>
      <c r="BR1592" s="5331"/>
      <c r="BS1592" s="5331"/>
      <c r="BT1592" s="5331"/>
      <c r="BU1592" s="5331"/>
      <c r="BV1592" s="5331"/>
      <c r="BW1592" s="5331"/>
      <c r="BX1592" s="5331"/>
      <c r="BY1592" s="5331"/>
      <c r="BZ1592" s="5331"/>
      <c r="CA1592" s="5331"/>
      <c r="CB1592" s="5331"/>
      <c r="CC1592" s="2680"/>
      <c r="CD1592" s="2680"/>
      <c r="CE1592" s="5039"/>
      <c r="CF1592" s="5039"/>
      <c r="CG1592" s="5039"/>
      <c r="CH1592" s="5039"/>
    </row>
    <row r="1593" s="4971" customFormat="1" ht="31" spans="1:86">
      <c r="A1593" s="5048"/>
      <c r="B1593" s="5048"/>
      <c r="C1593" s="5048"/>
      <c r="D1593" s="6690"/>
      <c r="E1593" s="5048"/>
      <c r="F1593" s="6690"/>
      <c r="G1593" s="6690"/>
      <c r="H1593" s="6690"/>
      <c r="I1593" s="6690"/>
      <c r="J1593" s="6690"/>
      <c r="K1593" s="5048"/>
      <c r="L1593" s="5048"/>
      <c r="M1593" s="5048"/>
      <c r="N1593" s="2680"/>
      <c r="O1593" s="2680"/>
      <c r="P1593" s="2680"/>
      <c r="Q1593" s="2680"/>
      <c r="R1593" s="2680"/>
      <c r="S1593" s="2680"/>
      <c r="T1593" s="2680"/>
      <c r="U1593" s="2680"/>
      <c r="V1593" s="2680"/>
      <c r="W1593" s="2680"/>
      <c r="X1593" s="2680"/>
      <c r="Y1593" s="2680"/>
      <c r="Z1593" s="2680"/>
      <c r="AA1593" s="2680"/>
      <c r="AB1593" s="2680"/>
      <c r="AC1593" s="2680" t="s">
        <v>2704</v>
      </c>
      <c r="AD1593" s="5853" t="s">
        <v>2705</v>
      </c>
      <c r="AE1593" s="6725">
        <v>0.1</v>
      </c>
      <c r="AF1593" s="2680">
        <f t="shared" ref="AF1593:AF1598" si="326">3357161*AE1593</f>
        <v>335716.1</v>
      </c>
      <c r="AG1593" s="2680">
        <f t="shared" si="323"/>
        <v>335716.1</v>
      </c>
      <c r="AH1593" s="2680" t="s">
        <v>206</v>
      </c>
      <c r="AI1593" s="2680">
        <v>43482</v>
      </c>
      <c r="AJ1593" s="2680" t="s">
        <v>171</v>
      </c>
      <c r="AK1593" s="2680" t="s">
        <v>171</v>
      </c>
      <c r="AL1593" s="2680">
        <v>335716.1</v>
      </c>
      <c r="AM1593" s="2680">
        <v>43482</v>
      </c>
      <c r="AN1593" s="2680">
        <f t="shared" si="325"/>
        <v>335716.1</v>
      </c>
      <c r="AO1593" s="2678">
        <v>43546</v>
      </c>
      <c r="AP1593" s="2680">
        <f t="shared" si="324"/>
        <v>0</v>
      </c>
      <c r="AQ1593" s="5079" t="s">
        <v>2706</v>
      </c>
      <c r="AR1593" s="2680" t="s">
        <v>171</v>
      </c>
      <c r="AS1593" s="5079" t="s">
        <v>171</v>
      </c>
      <c r="AT1593" s="2680" t="s">
        <v>171</v>
      </c>
      <c r="AU1593" s="2680"/>
      <c r="AV1593" s="2680"/>
      <c r="AW1593" s="2680"/>
      <c r="AX1593" s="2680"/>
      <c r="AY1593" s="2680"/>
      <c r="AZ1593" s="2680"/>
      <c r="BA1593" s="2678"/>
      <c r="BB1593" s="6714">
        <v>335716.1</v>
      </c>
      <c r="BC1593" s="6714"/>
      <c r="BD1593" s="6714"/>
      <c r="BE1593" s="6714"/>
      <c r="BF1593" s="6714"/>
      <c r="BG1593" s="6714"/>
      <c r="BH1593" s="2678"/>
      <c r="BI1593" s="6714"/>
      <c r="BJ1593" s="6714"/>
      <c r="BK1593" s="6714"/>
      <c r="BL1593" s="6714"/>
      <c r="BM1593" s="6714"/>
      <c r="BN1593" s="6714"/>
      <c r="BO1593" s="6715"/>
      <c r="BP1593" s="6715">
        <v>335716.1</v>
      </c>
      <c r="BQ1593" s="6715"/>
      <c r="BR1593" s="6715"/>
      <c r="BS1593" s="6715"/>
      <c r="BT1593" s="6715"/>
      <c r="BU1593" s="6715"/>
      <c r="BV1593" s="6715"/>
      <c r="BW1593" s="6715"/>
      <c r="BX1593" s="6715"/>
      <c r="BY1593" s="6715"/>
      <c r="BZ1593" s="6715"/>
      <c r="CA1593" s="6715"/>
      <c r="CB1593" s="6715"/>
      <c r="CC1593" s="2680"/>
      <c r="CD1593" s="2680"/>
      <c r="CE1593" s="5039"/>
      <c r="CF1593" s="5039"/>
      <c r="CG1593" s="5039"/>
      <c r="CH1593" s="5039"/>
    </row>
    <row r="1594" s="4971" customFormat="1" ht="31" spans="1:86">
      <c r="A1594" s="5048"/>
      <c r="B1594" s="5048"/>
      <c r="C1594" s="5048"/>
      <c r="D1594" s="6690"/>
      <c r="E1594" s="5048"/>
      <c r="F1594" s="6690"/>
      <c r="G1594" s="6690"/>
      <c r="H1594" s="6690"/>
      <c r="I1594" s="6690"/>
      <c r="J1594" s="6690"/>
      <c r="K1594" s="5048"/>
      <c r="L1594" s="5048"/>
      <c r="M1594" s="5048"/>
      <c r="N1594" s="2680"/>
      <c r="O1594" s="2680"/>
      <c r="P1594" s="2680"/>
      <c r="Q1594" s="2680"/>
      <c r="R1594" s="2680"/>
      <c r="S1594" s="2680"/>
      <c r="T1594" s="2680"/>
      <c r="U1594" s="2680"/>
      <c r="V1594" s="2680"/>
      <c r="W1594" s="2680"/>
      <c r="X1594" s="2680"/>
      <c r="Y1594" s="2680"/>
      <c r="Z1594" s="2680"/>
      <c r="AA1594" s="2680"/>
      <c r="AB1594" s="2680"/>
      <c r="AC1594" s="2680" t="s">
        <v>2707</v>
      </c>
      <c r="AD1594" s="5853" t="s">
        <v>2708</v>
      </c>
      <c r="AE1594" s="6725">
        <v>0.2</v>
      </c>
      <c r="AF1594" s="2680">
        <f t="shared" si="326"/>
        <v>671432.2</v>
      </c>
      <c r="AG1594" s="2680">
        <f t="shared" si="323"/>
        <v>671432.2</v>
      </c>
      <c r="AH1594" s="2680" t="s">
        <v>206</v>
      </c>
      <c r="AI1594" s="2680">
        <v>43482</v>
      </c>
      <c r="AJ1594" s="2680"/>
      <c r="AK1594" s="2680"/>
      <c r="AL1594" s="2680">
        <v>671432.2</v>
      </c>
      <c r="AM1594" s="2680">
        <v>43482</v>
      </c>
      <c r="AN1594" s="2680">
        <f t="shared" si="325"/>
        <v>671432.2</v>
      </c>
      <c r="AO1594" s="2678">
        <v>43546</v>
      </c>
      <c r="AP1594" s="2680">
        <f t="shared" si="324"/>
        <v>0</v>
      </c>
      <c r="AQ1594" s="5079"/>
      <c r="AR1594" s="2680" t="s">
        <v>171</v>
      </c>
      <c r="AS1594" s="5079" t="s">
        <v>171</v>
      </c>
      <c r="AT1594" s="2680" t="s">
        <v>171</v>
      </c>
      <c r="AU1594" s="2680"/>
      <c r="AV1594" s="2680"/>
      <c r="AW1594" s="2680"/>
      <c r="AX1594" s="2680"/>
      <c r="AY1594" s="2680"/>
      <c r="AZ1594" s="2680"/>
      <c r="BA1594" s="2678"/>
      <c r="BB1594" s="6714">
        <v>671432.2</v>
      </c>
      <c r="BC1594" s="6714"/>
      <c r="BD1594" s="6714"/>
      <c r="BE1594" s="6714"/>
      <c r="BF1594" s="6714"/>
      <c r="BG1594" s="6714"/>
      <c r="BH1594" s="2678"/>
      <c r="BI1594" s="6714"/>
      <c r="BJ1594" s="6714"/>
      <c r="BK1594" s="6714"/>
      <c r="BL1594" s="6714"/>
      <c r="BM1594" s="6714"/>
      <c r="BN1594" s="6714"/>
      <c r="BO1594" s="6715"/>
      <c r="BP1594" s="6715">
        <v>671432.2</v>
      </c>
      <c r="BQ1594" s="6715"/>
      <c r="BR1594" s="6715"/>
      <c r="BS1594" s="6715"/>
      <c r="BT1594" s="6715"/>
      <c r="BU1594" s="6715"/>
      <c r="BV1594" s="6715"/>
      <c r="BW1594" s="6715"/>
      <c r="BX1594" s="6715"/>
      <c r="BY1594" s="6715"/>
      <c r="BZ1594" s="6715"/>
      <c r="CA1594" s="6715"/>
      <c r="CB1594" s="6715"/>
      <c r="CC1594" s="2680"/>
      <c r="CD1594" s="2680"/>
      <c r="CE1594" s="5039"/>
      <c r="CF1594" s="5039"/>
      <c r="CG1594" s="5039"/>
      <c r="CH1594" s="5039"/>
    </row>
    <row r="1595" s="4971" customFormat="1" ht="22.5" customHeight="1" spans="1:86">
      <c r="A1595" s="5048"/>
      <c r="B1595" s="5048"/>
      <c r="C1595" s="5048"/>
      <c r="D1595" s="6690"/>
      <c r="E1595" s="5048"/>
      <c r="F1595" s="6690"/>
      <c r="G1595" s="6690"/>
      <c r="H1595" s="6690"/>
      <c r="I1595" s="6690"/>
      <c r="J1595" s="6690"/>
      <c r="K1595" s="5048"/>
      <c r="L1595" s="5048"/>
      <c r="M1595" s="5048"/>
      <c r="N1595" s="2680"/>
      <c r="O1595" s="2680"/>
      <c r="P1595" s="2680"/>
      <c r="Q1595" s="2680"/>
      <c r="R1595" s="2680"/>
      <c r="S1595" s="2680"/>
      <c r="T1595" s="2680"/>
      <c r="U1595" s="2680"/>
      <c r="V1595" s="2680"/>
      <c r="W1595" s="2680"/>
      <c r="X1595" s="2680"/>
      <c r="Y1595" s="2680"/>
      <c r="Z1595" s="2680"/>
      <c r="AA1595" s="2680"/>
      <c r="AB1595" s="2680"/>
      <c r="AC1595" s="2680" t="s">
        <v>2709</v>
      </c>
      <c r="AD1595" s="5853" t="s">
        <v>2710</v>
      </c>
      <c r="AE1595" s="6726">
        <v>0.05</v>
      </c>
      <c r="AF1595" s="3524">
        <f t="shared" si="326"/>
        <v>167858.05</v>
      </c>
      <c r="AG1595" s="3524">
        <f t="shared" si="323"/>
        <v>167858.05</v>
      </c>
      <c r="AH1595" s="3524" t="s">
        <v>206</v>
      </c>
      <c r="AI1595" s="3524">
        <v>43671</v>
      </c>
      <c r="AJ1595" s="3524" t="s">
        <v>171</v>
      </c>
      <c r="AK1595" s="3524" t="s">
        <v>171</v>
      </c>
      <c r="AL1595" s="3524">
        <v>167858.05</v>
      </c>
      <c r="AM1595" s="3524">
        <v>43671</v>
      </c>
      <c r="AN1595" s="3524">
        <f t="shared" si="325"/>
        <v>167858.05</v>
      </c>
      <c r="AO1595" s="3812">
        <v>43696</v>
      </c>
      <c r="AP1595" s="3524">
        <f t="shared" si="324"/>
        <v>0</v>
      </c>
      <c r="AQ1595" s="5079" t="s">
        <v>2711</v>
      </c>
      <c r="AR1595" s="2680" t="s">
        <v>171</v>
      </c>
      <c r="AS1595" s="5079" t="s">
        <v>171</v>
      </c>
      <c r="AT1595" s="2680" t="s">
        <v>171</v>
      </c>
      <c r="AU1595" s="2680"/>
      <c r="AV1595" s="2680"/>
      <c r="AW1595" s="2680"/>
      <c r="AX1595" s="2680"/>
      <c r="AY1595" s="2680"/>
      <c r="AZ1595" s="2680"/>
      <c r="BA1595" s="2678"/>
      <c r="BB1595" s="6714">
        <v>167858.05</v>
      </c>
      <c r="BC1595" s="6714"/>
      <c r="BD1595" s="6714"/>
      <c r="BE1595" s="6714"/>
      <c r="BF1595" s="6714"/>
      <c r="BG1595" s="6714"/>
      <c r="BH1595" s="2678"/>
      <c r="BI1595" s="6714"/>
      <c r="BJ1595" s="6714"/>
      <c r="BK1595" s="6714"/>
      <c r="BL1595" s="6714"/>
      <c r="BM1595" s="6714"/>
      <c r="BN1595" s="6714"/>
      <c r="BO1595" s="6715"/>
      <c r="BP1595" s="6715">
        <v>167858.05</v>
      </c>
      <c r="BQ1595" s="6715"/>
      <c r="BR1595" s="6715"/>
      <c r="BS1595" s="6715"/>
      <c r="BT1595" s="6715"/>
      <c r="BU1595" s="6715"/>
      <c r="BV1595" s="6715"/>
      <c r="BW1595" s="6715"/>
      <c r="BX1595" s="6715"/>
      <c r="BY1595" s="6715"/>
      <c r="BZ1595" s="6715"/>
      <c r="CA1595" s="6715"/>
      <c r="CB1595" s="6715"/>
      <c r="CC1595" s="2680"/>
      <c r="CD1595" s="2680"/>
      <c r="CE1595" s="5039"/>
      <c r="CF1595" s="5039"/>
      <c r="CG1595" s="5039"/>
      <c r="CH1595" s="5039"/>
    </row>
    <row r="1596" s="4971" customFormat="1" ht="31" spans="1:86">
      <c r="A1596" s="5048"/>
      <c r="B1596" s="5048"/>
      <c r="C1596" s="5048"/>
      <c r="D1596" s="6690"/>
      <c r="E1596" s="5048"/>
      <c r="F1596" s="6690"/>
      <c r="G1596" s="6690"/>
      <c r="H1596" s="6690"/>
      <c r="I1596" s="6690"/>
      <c r="J1596" s="6690"/>
      <c r="K1596" s="5048"/>
      <c r="L1596" s="5048"/>
      <c r="M1596" s="5048"/>
      <c r="N1596" s="2680"/>
      <c r="O1596" s="2680"/>
      <c r="P1596" s="2680"/>
      <c r="Q1596" s="2680"/>
      <c r="R1596" s="2680"/>
      <c r="S1596" s="2680"/>
      <c r="T1596" s="2680"/>
      <c r="U1596" s="2680"/>
      <c r="V1596" s="2680"/>
      <c r="W1596" s="2680"/>
      <c r="X1596" s="2680"/>
      <c r="Y1596" s="2680"/>
      <c r="Z1596" s="2680"/>
      <c r="AA1596" s="2680"/>
      <c r="AB1596" s="2680"/>
      <c r="AC1596" s="2680" t="s">
        <v>2712</v>
      </c>
      <c r="AD1596" s="5853" t="s">
        <v>2713</v>
      </c>
      <c r="AE1596" s="6726">
        <v>0.25</v>
      </c>
      <c r="AF1596" s="3524">
        <f t="shared" si="326"/>
        <v>839290.25</v>
      </c>
      <c r="AG1596" s="3524">
        <f t="shared" si="323"/>
        <v>839290.25</v>
      </c>
      <c r="AH1596" s="3524" t="s">
        <v>206</v>
      </c>
      <c r="AI1596" s="3524">
        <v>43671</v>
      </c>
      <c r="AJ1596" s="3524"/>
      <c r="AK1596" s="3524"/>
      <c r="AL1596" s="3524">
        <v>839290.25</v>
      </c>
      <c r="AM1596" s="3524">
        <v>43671</v>
      </c>
      <c r="AN1596" s="3524">
        <f t="shared" si="325"/>
        <v>839290.25</v>
      </c>
      <c r="AO1596" s="3812">
        <v>43696</v>
      </c>
      <c r="AP1596" s="3524">
        <f t="shared" si="324"/>
        <v>0</v>
      </c>
      <c r="AQ1596" s="5079"/>
      <c r="AR1596" s="2680" t="s">
        <v>171</v>
      </c>
      <c r="AS1596" s="5079" t="s">
        <v>171</v>
      </c>
      <c r="AT1596" s="2680" t="s">
        <v>171</v>
      </c>
      <c r="AU1596" s="2680"/>
      <c r="AV1596" s="2680"/>
      <c r="AW1596" s="2680"/>
      <c r="AX1596" s="2680"/>
      <c r="AY1596" s="2680"/>
      <c r="AZ1596" s="2680"/>
      <c r="BA1596" s="2678"/>
      <c r="BB1596" s="6714">
        <v>839290.25</v>
      </c>
      <c r="BC1596" s="6714"/>
      <c r="BD1596" s="6714"/>
      <c r="BE1596" s="6714"/>
      <c r="BF1596" s="6714"/>
      <c r="BG1596" s="6714"/>
      <c r="BH1596" s="2678"/>
      <c r="BI1596" s="6714"/>
      <c r="BJ1596" s="6714"/>
      <c r="BK1596" s="6714"/>
      <c r="BL1596" s="6714"/>
      <c r="BM1596" s="6714"/>
      <c r="BN1596" s="6714"/>
      <c r="BO1596" s="6715"/>
      <c r="BP1596" s="6715">
        <v>839290.25</v>
      </c>
      <c r="BQ1596" s="6715"/>
      <c r="BR1596" s="6715"/>
      <c r="BS1596" s="6715"/>
      <c r="BT1596" s="6715"/>
      <c r="BU1596" s="6715"/>
      <c r="BV1596" s="6715"/>
      <c r="BW1596" s="6715"/>
      <c r="BX1596" s="6715"/>
      <c r="BY1596" s="6715"/>
      <c r="BZ1596" s="6715"/>
      <c r="CA1596" s="6715"/>
      <c r="CB1596" s="6715"/>
      <c r="CC1596" s="2680"/>
      <c r="CD1596" s="2680"/>
      <c r="CE1596" s="5039"/>
      <c r="CF1596" s="5039"/>
      <c r="CG1596" s="5039"/>
      <c r="CH1596" s="5039"/>
    </row>
    <row r="1597" s="4971" customFormat="1" ht="31" spans="1:86">
      <c r="A1597" s="5048"/>
      <c r="B1597" s="5048"/>
      <c r="C1597" s="5048"/>
      <c r="D1597" s="6690"/>
      <c r="E1597" s="5048"/>
      <c r="F1597" s="6690"/>
      <c r="G1597" s="6690"/>
      <c r="H1597" s="6690"/>
      <c r="I1597" s="6690"/>
      <c r="J1597" s="6690"/>
      <c r="K1597" s="5048"/>
      <c r="L1597" s="5048"/>
      <c r="M1597" s="5048"/>
      <c r="N1597" s="2680"/>
      <c r="O1597" s="2680"/>
      <c r="P1597" s="2680"/>
      <c r="Q1597" s="2680"/>
      <c r="R1597" s="2680"/>
      <c r="S1597" s="2680"/>
      <c r="T1597" s="2680"/>
      <c r="U1597" s="2680"/>
      <c r="V1597" s="2680"/>
      <c r="W1597" s="2680"/>
      <c r="X1597" s="2680"/>
      <c r="Y1597" s="2680"/>
      <c r="Z1597" s="2680"/>
      <c r="AA1597" s="2680"/>
      <c r="AB1597" s="2680"/>
      <c r="AC1597" s="2680" t="s">
        <v>2714</v>
      </c>
      <c r="AD1597" s="5853" t="s">
        <v>2715</v>
      </c>
      <c r="AE1597" s="6725">
        <v>0.25</v>
      </c>
      <c r="AF1597" s="2680">
        <f t="shared" si="326"/>
        <v>839290.25</v>
      </c>
      <c r="AG1597" s="2680">
        <f t="shared" si="323"/>
        <v>839290.25</v>
      </c>
      <c r="AH1597" s="2680" t="s">
        <v>206</v>
      </c>
      <c r="AI1597" s="2680">
        <v>43969</v>
      </c>
      <c r="AJ1597" s="2680" t="s">
        <v>171</v>
      </c>
      <c r="AK1597" s="2680" t="s">
        <v>171</v>
      </c>
      <c r="AL1597" s="2680">
        <v>839290.25</v>
      </c>
      <c r="AM1597" s="2680">
        <v>43969</v>
      </c>
      <c r="AN1597" s="2680">
        <f t="shared" si="325"/>
        <v>839290.25</v>
      </c>
      <c r="AO1597" s="2678">
        <v>43985</v>
      </c>
      <c r="AP1597" s="2680">
        <f t="shared" ref="AP1597:AP1625" si="327">AG1597-AN1597</f>
        <v>0</v>
      </c>
      <c r="AQ1597" s="2680"/>
      <c r="AR1597" s="2680"/>
      <c r="AS1597" s="5079"/>
      <c r="AT1597" s="2680"/>
      <c r="AU1597" s="2680"/>
      <c r="AV1597" s="2680"/>
      <c r="AW1597" s="2680"/>
      <c r="AX1597" s="2680"/>
      <c r="AY1597" s="2680"/>
      <c r="AZ1597" s="2680"/>
      <c r="BA1597" s="5796"/>
      <c r="BB1597" s="5796"/>
      <c r="BC1597" s="2678"/>
      <c r="BD1597" s="5796"/>
      <c r="BE1597" s="5796"/>
      <c r="BF1597" s="5796"/>
      <c r="BG1597" s="5796"/>
      <c r="BH1597" s="2678"/>
      <c r="BI1597" s="5796"/>
      <c r="BJ1597" s="5796"/>
      <c r="BK1597" s="5796"/>
      <c r="BL1597" s="5796"/>
      <c r="BM1597" s="5796"/>
      <c r="BN1597" s="5796">
        <v>839290.25</v>
      </c>
      <c r="BO1597" s="5331"/>
      <c r="BP1597" s="5331"/>
      <c r="BQ1597" s="6715"/>
      <c r="BR1597" s="6715"/>
      <c r="BS1597" s="6715"/>
      <c r="BT1597" s="6715"/>
      <c r="BU1597" s="6715"/>
      <c r="BV1597" s="6715"/>
      <c r="BW1597" s="6715"/>
      <c r="BX1597" s="6715"/>
      <c r="BY1597" s="6715"/>
      <c r="BZ1597" s="6715"/>
      <c r="CA1597" s="6715"/>
      <c r="CB1597" s="6732">
        <v>839290.25</v>
      </c>
      <c r="CC1597" s="2680"/>
      <c r="CD1597" s="2680"/>
      <c r="CE1597" s="5039"/>
      <c r="CF1597" s="5039"/>
      <c r="CG1597" s="5039"/>
      <c r="CH1597" s="5039"/>
    </row>
    <row r="1598" s="4971" customFormat="1" ht="25.85" customHeight="1" spans="1:86">
      <c r="A1598" s="5048"/>
      <c r="B1598" s="5048"/>
      <c r="C1598" s="5048"/>
      <c r="D1598" s="6690"/>
      <c r="E1598" s="5048"/>
      <c r="F1598" s="6690"/>
      <c r="G1598" s="6690"/>
      <c r="H1598" s="6690"/>
      <c r="I1598" s="6690"/>
      <c r="J1598" s="6690"/>
      <c r="K1598" s="5048"/>
      <c r="L1598" s="5048"/>
      <c r="M1598" s="5048"/>
      <c r="N1598" s="2680"/>
      <c r="O1598" s="2680"/>
      <c r="P1598" s="2680"/>
      <c r="Q1598" s="2680"/>
      <c r="R1598" s="2680"/>
      <c r="S1598" s="2680"/>
      <c r="T1598" s="2680"/>
      <c r="U1598" s="2680"/>
      <c r="V1598" s="2680"/>
      <c r="W1598" s="2680"/>
      <c r="X1598" s="2680"/>
      <c r="Y1598" s="2680"/>
      <c r="Z1598" s="2680"/>
      <c r="AA1598" s="2680"/>
      <c r="AB1598" s="2680"/>
      <c r="AC1598" s="2680" t="s">
        <v>2716</v>
      </c>
      <c r="AD1598" s="5853" t="s">
        <v>2717</v>
      </c>
      <c r="AE1598" s="6725">
        <v>0.05</v>
      </c>
      <c r="AF1598" s="2680">
        <f t="shared" si="326"/>
        <v>167858.05</v>
      </c>
      <c r="AG1598" s="2678">
        <f t="shared" si="323"/>
        <v>167858.05</v>
      </c>
      <c r="AH1598" s="859" t="s">
        <v>122</v>
      </c>
      <c r="AI1598" s="2678">
        <v>44883</v>
      </c>
      <c r="AJ1598" s="2680" t="s">
        <v>171</v>
      </c>
      <c r="AK1598" s="2680" t="s">
        <v>171</v>
      </c>
      <c r="AL1598" s="2680">
        <v>167858.05</v>
      </c>
      <c r="AM1598" s="2680">
        <v>45064</v>
      </c>
      <c r="AN1598" s="2680">
        <f t="shared" si="325"/>
        <v>167858.05</v>
      </c>
      <c r="AO1598" s="2680">
        <v>45313</v>
      </c>
      <c r="AP1598" s="2680">
        <f t="shared" si="327"/>
        <v>0</v>
      </c>
      <c r="AQ1598" s="2680"/>
      <c r="AR1598" s="2680"/>
      <c r="AS1598" s="5079"/>
      <c r="AT1598" s="2680"/>
      <c r="AU1598" s="2680"/>
      <c r="AV1598" s="2680"/>
      <c r="AW1598" s="2680"/>
      <c r="AX1598" s="2680"/>
      <c r="AY1598" s="2680"/>
      <c r="AZ1598" s="2680"/>
      <c r="BA1598" s="5796"/>
      <c r="BB1598" s="5796">
        <v>167858.05</v>
      </c>
      <c r="BC1598" s="2678"/>
      <c r="BD1598" s="5796"/>
      <c r="BE1598" s="5796"/>
      <c r="BF1598" s="5796"/>
      <c r="BG1598" s="5796"/>
      <c r="BH1598" s="2678"/>
      <c r="BI1598" s="5796"/>
      <c r="BJ1598" s="5796"/>
      <c r="BK1598" s="5796"/>
      <c r="BL1598" s="5796"/>
      <c r="BM1598" s="5796"/>
      <c r="BN1598" s="5796"/>
      <c r="BO1598" s="5331"/>
      <c r="BP1598" s="5796">
        <v>167858.05</v>
      </c>
      <c r="BQ1598" s="5331"/>
      <c r="BR1598" s="5331"/>
      <c r="BS1598" s="5331"/>
      <c r="BT1598" s="5331"/>
      <c r="BU1598" s="5331"/>
      <c r="BV1598" s="5331"/>
      <c r="BW1598" s="5331"/>
      <c r="BX1598" s="5331"/>
      <c r="BY1598" s="5331"/>
      <c r="BZ1598" s="5331"/>
      <c r="CA1598" s="5331"/>
      <c r="CB1598" s="5331"/>
      <c r="CC1598" s="2680"/>
      <c r="CD1598" s="2680"/>
      <c r="CE1598" s="5039"/>
      <c r="CF1598" s="5039"/>
      <c r="CG1598" s="5039"/>
      <c r="CH1598" s="5039"/>
    </row>
    <row r="1599" s="4971" customFormat="1" ht="31" spans="1:86">
      <c r="A1599" s="5048">
        <v>1</v>
      </c>
      <c r="B1599" s="2680" t="s">
        <v>2570</v>
      </c>
      <c r="C1599" s="5048">
        <v>42791</v>
      </c>
      <c r="D1599" s="5712" t="s">
        <v>2718</v>
      </c>
      <c r="E1599" s="5048" t="s">
        <v>113</v>
      </c>
      <c r="F1599" s="6690" t="s">
        <v>2719</v>
      </c>
      <c r="G1599" s="6690" t="s">
        <v>2720</v>
      </c>
      <c r="H1599" s="5048" t="s">
        <v>31</v>
      </c>
      <c r="I1599" s="5048"/>
      <c r="J1599" s="6690" t="s">
        <v>2721</v>
      </c>
      <c r="K1599" s="5048">
        <v>318115.49</v>
      </c>
      <c r="L1599" s="6690" t="s">
        <v>2722</v>
      </c>
      <c r="M1599" s="5048">
        <f>SUM(N1599:AA1601)</f>
        <v>1590577</v>
      </c>
      <c r="N1599" s="5048">
        <v>0</v>
      </c>
      <c r="O1599" s="5048">
        <v>0</v>
      </c>
      <c r="P1599" s="5048">
        <v>0</v>
      </c>
      <c r="Q1599" s="5048">
        <v>0</v>
      </c>
      <c r="R1599" s="5048">
        <v>0</v>
      </c>
      <c r="S1599" s="5048">
        <v>0</v>
      </c>
      <c r="T1599" s="5048"/>
      <c r="U1599" s="5048">
        <v>1590577</v>
      </c>
      <c r="V1599" s="5048">
        <v>0</v>
      </c>
      <c r="W1599" s="5048">
        <v>0</v>
      </c>
      <c r="X1599" s="5048"/>
      <c r="Y1599" s="5048"/>
      <c r="Z1599" s="5048"/>
      <c r="AA1599" s="5048">
        <v>0</v>
      </c>
      <c r="AB1599" s="5048" t="s">
        <v>113</v>
      </c>
      <c r="AC1599" s="2680">
        <v>1</v>
      </c>
      <c r="AD1599" s="5853" t="s">
        <v>2723</v>
      </c>
      <c r="AE1599" s="791">
        <v>0.2</v>
      </c>
      <c r="AF1599" s="2680">
        <f>1590577*AE1599</f>
        <v>318115.4</v>
      </c>
      <c r="AG1599" s="2680">
        <f t="shared" si="323"/>
        <v>318115.4</v>
      </c>
      <c r="AH1599" s="2680" t="s">
        <v>206</v>
      </c>
      <c r="AI1599" s="2680">
        <v>42802</v>
      </c>
      <c r="AJ1599" s="2680" t="s">
        <v>171</v>
      </c>
      <c r="AK1599" s="2680" t="s">
        <v>171</v>
      </c>
      <c r="AL1599" s="2680">
        <v>318115.4</v>
      </c>
      <c r="AM1599" s="2680">
        <v>42802</v>
      </c>
      <c r="AN1599" s="2680">
        <f t="shared" si="325"/>
        <v>318115.4</v>
      </c>
      <c r="AO1599" s="2678">
        <v>42844</v>
      </c>
      <c r="AP1599" s="2680">
        <f t="shared" si="327"/>
        <v>0</v>
      </c>
      <c r="AQ1599" s="5331"/>
      <c r="AR1599" s="859" t="s">
        <v>128</v>
      </c>
      <c r="AS1599" s="5079"/>
      <c r="AT1599" s="2680" t="s">
        <v>171</v>
      </c>
      <c r="AU1599" s="2680">
        <f>SUM(AG1599:AG1601)</f>
        <v>1570577.4</v>
      </c>
      <c r="AV1599" s="2680">
        <f>SUM(AL1599:AL1601)</f>
        <v>1570577.4</v>
      </c>
      <c r="AW1599" s="2680">
        <f>SUM(AN1599:AN1600)</f>
        <v>1570577.4</v>
      </c>
      <c r="AX1599" s="2680">
        <f>1570577.4-AU1599</f>
        <v>0</v>
      </c>
      <c r="AY1599" s="2680">
        <f>AU1599-AV1599</f>
        <v>0</v>
      </c>
      <c r="AZ1599" s="2680">
        <f>AV1599-AW1599</f>
        <v>0</v>
      </c>
      <c r="BA1599" s="5796"/>
      <c r="BB1599" s="5796"/>
      <c r="BC1599" s="2678"/>
      <c r="BD1599" s="5796"/>
      <c r="BE1599" s="5796"/>
      <c r="BF1599" s="5796"/>
      <c r="BG1599" s="5796"/>
      <c r="BH1599" s="2678">
        <f>1590577*0.2</f>
        <v>318115.4</v>
      </c>
      <c r="BI1599" s="5796"/>
      <c r="BJ1599" s="5796"/>
      <c r="BK1599" s="5796"/>
      <c r="BL1599" s="5796"/>
      <c r="BM1599" s="5796"/>
      <c r="BN1599" s="5796"/>
      <c r="BO1599" s="5331"/>
      <c r="BP1599" s="5331"/>
      <c r="BQ1599" s="5331"/>
      <c r="BR1599" s="5331"/>
      <c r="BS1599" s="5331"/>
      <c r="BT1599" s="5331"/>
      <c r="BU1599" s="5331"/>
      <c r="BV1599" s="5331">
        <v>318115.4</v>
      </c>
      <c r="BW1599" s="5331"/>
      <c r="BX1599" s="5331"/>
      <c r="BY1599" s="5331"/>
      <c r="BZ1599" s="5331"/>
      <c r="CA1599" s="5331"/>
      <c r="CB1599" s="5331"/>
      <c r="CC1599" s="2680"/>
      <c r="CD1599" s="2680"/>
      <c r="CE1599" s="5039"/>
      <c r="CF1599" s="5039"/>
      <c r="CG1599" s="5039"/>
      <c r="CH1599" s="5039"/>
    </row>
    <row r="1600" s="4971" customFormat="1" ht="31" spans="1:86">
      <c r="A1600" s="5048"/>
      <c r="B1600" s="2680"/>
      <c r="C1600" s="5048"/>
      <c r="D1600" s="6690"/>
      <c r="E1600" s="5048"/>
      <c r="F1600" s="6690"/>
      <c r="G1600" s="6690"/>
      <c r="H1600" s="5048"/>
      <c r="I1600" s="5048"/>
      <c r="J1600" s="6690"/>
      <c r="K1600" s="5048"/>
      <c r="L1600" s="5048"/>
      <c r="M1600" s="5048"/>
      <c r="N1600" s="5048"/>
      <c r="O1600" s="5048"/>
      <c r="P1600" s="5048"/>
      <c r="Q1600" s="5048"/>
      <c r="R1600" s="5048"/>
      <c r="S1600" s="5048"/>
      <c r="T1600" s="5048"/>
      <c r="U1600" s="5048"/>
      <c r="V1600" s="5048"/>
      <c r="W1600" s="5048"/>
      <c r="X1600" s="5048"/>
      <c r="Y1600" s="5048"/>
      <c r="Z1600" s="5048"/>
      <c r="AA1600" s="5048"/>
      <c r="AB1600" s="5048"/>
      <c r="AC1600" s="2680">
        <v>2</v>
      </c>
      <c r="AD1600" s="5853" t="s">
        <v>2724</v>
      </c>
      <c r="AE1600" s="791">
        <v>0.3</v>
      </c>
      <c r="AF1600" s="2680">
        <f>1590577*AE1600</f>
        <v>477173.1</v>
      </c>
      <c r="AG1600" s="2680">
        <f t="shared" si="323"/>
        <v>1252462</v>
      </c>
      <c r="AH1600" s="2680" t="s">
        <v>206</v>
      </c>
      <c r="AI1600" s="2680">
        <v>43077</v>
      </c>
      <c r="AJ1600" s="2680" t="s">
        <v>171</v>
      </c>
      <c r="AK1600" s="2680" t="s">
        <v>171</v>
      </c>
      <c r="AL1600" s="2680">
        <v>1252462</v>
      </c>
      <c r="AM1600" s="2680">
        <v>43077</v>
      </c>
      <c r="AN1600" s="2680">
        <f t="shared" si="325"/>
        <v>1252462</v>
      </c>
      <c r="AO1600" s="2678">
        <v>43097</v>
      </c>
      <c r="AP1600" s="2680">
        <f t="shared" si="327"/>
        <v>0</v>
      </c>
      <c r="AQ1600" s="5079" t="s">
        <v>2725</v>
      </c>
      <c r="AR1600" s="2680"/>
      <c r="AS1600" s="5079"/>
      <c r="AT1600" s="2680" t="s">
        <v>171</v>
      </c>
      <c r="AU1600" s="2680"/>
      <c r="AV1600" s="2680"/>
      <c r="AW1600" s="2680"/>
      <c r="AX1600" s="2680"/>
      <c r="AY1600" s="2680"/>
      <c r="AZ1600" s="2680"/>
      <c r="BA1600" s="5796"/>
      <c r="BB1600" s="5796"/>
      <c r="BC1600" s="2678"/>
      <c r="BD1600" s="5796"/>
      <c r="BE1600" s="5796"/>
      <c r="BF1600" s="5796"/>
      <c r="BG1600" s="5796"/>
      <c r="BH1600" s="2678">
        <v>1252462</v>
      </c>
      <c r="BI1600" s="5796"/>
      <c r="BJ1600" s="5796"/>
      <c r="BK1600" s="5796"/>
      <c r="BL1600" s="5796"/>
      <c r="BM1600" s="5796"/>
      <c r="BN1600" s="5796"/>
      <c r="BO1600" s="5331"/>
      <c r="BP1600" s="5331"/>
      <c r="BQ1600" s="5331"/>
      <c r="BR1600" s="5331"/>
      <c r="BS1600" s="5331"/>
      <c r="BT1600" s="5331"/>
      <c r="BU1600" s="5331"/>
      <c r="BV1600" s="5331">
        <v>1252462</v>
      </c>
      <c r="BW1600" s="5331"/>
      <c r="BX1600" s="5331"/>
      <c r="BY1600" s="5331"/>
      <c r="BZ1600" s="5331"/>
      <c r="CA1600" s="5331"/>
      <c r="CB1600" s="5331"/>
      <c r="CC1600" s="2680"/>
      <c r="CD1600" s="2680"/>
      <c r="CE1600" s="5039"/>
      <c r="CF1600" s="5039"/>
      <c r="CG1600" s="5039"/>
      <c r="CH1600" s="5039"/>
    </row>
    <row r="1601" s="4971" customFormat="1" ht="31" spans="1:86">
      <c r="A1601" s="5048"/>
      <c r="B1601" s="2680"/>
      <c r="C1601" s="5048"/>
      <c r="D1601" s="6690"/>
      <c r="E1601" s="5048"/>
      <c r="F1601" s="6690"/>
      <c r="G1601" s="6690"/>
      <c r="H1601" s="5048"/>
      <c r="I1601" s="5048"/>
      <c r="J1601" s="6690"/>
      <c r="K1601" s="5048"/>
      <c r="L1601" s="5048"/>
      <c r="M1601" s="5048"/>
      <c r="N1601" s="5048"/>
      <c r="O1601" s="5048"/>
      <c r="P1601" s="5048"/>
      <c r="Q1601" s="5048"/>
      <c r="R1601" s="5048"/>
      <c r="S1601" s="5048"/>
      <c r="T1601" s="5048"/>
      <c r="U1601" s="5048"/>
      <c r="V1601" s="5048"/>
      <c r="W1601" s="5048"/>
      <c r="X1601" s="5048"/>
      <c r="Y1601" s="5048"/>
      <c r="Z1601" s="5048"/>
      <c r="AA1601" s="5048"/>
      <c r="AB1601" s="5048"/>
      <c r="AC1601" s="2680">
        <v>3</v>
      </c>
      <c r="AD1601" s="5853" t="s">
        <v>2567</v>
      </c>
      <c r="AE1601" s="791">
        <v>0.5</v>
      </c>
      <c r="AF1601" s="2680">
        <f>1590577*AE1601</f>
        <v>795288.5</v>
      </c>
      <c r="AG1601" s="2680">
        <v>0</v>
      </c>
      <c r="AH1601" s="859" t="s">
        <v>171</v>
      </c>
      <c r="AI1601" s="859" t="s">
        <v>171</v>
      </c>
      <c r="AJ1601" s="2680">
        <v>0</v>
      </c>
      <c r="AK1601" s="2680"/>
      <c r="AL1601" s="859" t="s">
        <v>171</v>
      </c>
      <c r="AM1601" s="859" t="s">
        <v>171</v>
      </c>
      <c r="AN1601" s="2680">
        <v>0</v>
      </c>
      <c r="AO1601" s="2678"/>
      <c r="AP1601" s="2680"/>
      <c r="AQ1601" s="5079"/>
      <c r="AR1601" s="2680"/>
      <c r="AS1601" s="5079"/>
      <c r="AT1601" s="2680"/>
      <c r="AU1601" s="2680"/>
      <c r="AV1601" s="2680"/>
      <c r="AW1601" s="2680"/>
      <c r="AX1601" s="2680"/>
      <c r="AY1601" s="2680"/>
      <c r="AZ1601" s="2680"/>
      <c r="BA1601" s="5331"/>
      <c r="BB1601" s="5331"/>
      <c r="BC1601" s="2680"/>
      <c r="BD1601" s="5331"/>
      <c r="BE1601" s="5331"/>
      <c r="BF1601" s="5331"/>
      <c r="BG1601" s="5331"/>
      <c r="BH1601" s="2680"/>
      <c r="BI1601" s="5331"/>
      <c r="BJ1601" s="5331"/>
      <c r="BK1601" s="5331"/>
      <c r="BL1601" s="5331"/>
      <c r="BM1601" s="5331"/>
      <c r="BN1601" s="5331"/>
      <c r="BO1601" s="5331"/>
      <c r="BP1601" s="5331"/>
      <c r="BQ1601" s="5331"/>
      <c r="BR1601" s="5331"/>
      <c r="BS1601" s="5331"/>
      <c r="BT1601" s="5331"/>
      <c r="BU1601" s="5331"/>
      <c r="BV1601" s="5331"/>
      <c r="BW1601" s="5331"/>
      <c r="BX1601" s="5331"/>
      <c r="BY1601" s="5331"/>
      <c r="BZ1601" s="5331"/>
      <c r="CA1601" s="5331"/>
      <c r="CB1601" s="5331"/>
      <c r="CC1601" s="2680"/>
      <c r="CD1601" s="2680"/>
      <c r="CE1601" s="5039"/>
      <c r="CF1601" s="5039"/>
      <c r="CG1601" s="5039"/>
      <c r="CH1601" s="5039"/>
    </row>
    <row r="1602" s="4971" customFormat="1" ht="18" customHeight="1" spans="1:86">
      <c r="A1602" s="5048">
        <v>1</v>
      </c>
      <c r="B1602" s="2680" t="s">
        <v>2570</v>
      </c>
      <c r="C1602" s="5048">
        <v>42795</v>
      </c>
      <c r="D1602" s="5712" t="s">
        <v>2726</v>
      </c>
      <c r="E1602" s="5048" t="s">
        <v>113</v>
      </c>
      <c r="F1602" s="6690" t="s">
        <v>2727</v>
      </c>
      <c r="G1602" s="6690" t="s">
        <v>2728</v>
      </c>
      <c r="H1602" s="5048" t="s">
        <v>31</v>
      </c>
      <c r="I1602" s="5048"/>
      <c r="J1602" s="6690" t="s">
        <v>2729</v>
      </c>
      <c r="K1602" s="5048">
        <v>278506</v>
      </c>
      <c r="L1602" s="6690" t="s">
        <v>2722</v>
      </c>
      <c r="M1602" s="5048">
        <f>SUM(N1602:AA1603)</f>
        <v>1392530</v>
      </c>
      <c r="N1602" s="5048">
        <v>0</v>
      </c>
      <c r="O1602" s="5048">
        <v>0</v>
      </c>
      <c r="P1602" s="5048">
        <v>0</v>
      </c>
      <c r="Q1602" s="5048">
        <v>0</v>
      </c>
      <c r="R1602" s="5048">
        <v>0</v>
      </c>
      <c r="S1602" s="5048">
        <v>0</v>
      </c>
      <c r="T1602" s="5048"/>
      <c r="U1602" s="5048">
        <v>1392530</v>
      </c>
      <c r="V1602" s="5048">
        <v>0</v>
      </c>
      <c r="W1602" s="5048">
        <v>0</v>
      </c>
      <c r="X1602" s="5048"/>
      <c r="Y1602" s="5048"/>
      <c r="Z1602" s="5048"/>
      <c r="AA1602" s="5048">
        <v>0</v>
      </c>
      <c r="AB1602" s="5048" t="s">
        <v>113</v>
      </c>
      <c r="AC1602" s="2680">
        <v>1</v>
      </c>
      <c r="AD1602" s="5853" t="s">
        <v>121</v>
      </c>
      <c r="AE1602" s="791">
        <v>0.2</v>
      </c>
      <c r="AF1602" s="2680">
        <f>1392530*AE1602</f>
        <v>278506</v>
      </c>
      <c r="AG1602" s="2680">
        <f>SUM(BA1602:BN1602)</f>
        <v>278506</v>
      </c>
      <c r="AH1602" s="2680" t="s">
        <v>206</v>
      </c>
      <c r="AI1602" s="2680">
        <v>42845</v>
      </c>
      <c r="AJ1602" s="2680" t="s">
        <v>171</v>
      </c>
      <c r="AK1602" s="2680" t="s">
        <v>171</v>
      </c>
      <c r="AL1602" s="2680">
        <v>278506</v>
      </c>
      <c r="AM1602" s="2680">
        <v>42845</v>
      </c>
      <c r="AN1602" s="2680">
        <f t="shared" ref="AN1602:AN1612" si="328">SUM(BO1602:CB1602)</f>
        <v>278506</v>
      </c>
      <c r="AO1602" s="2678">
        <v>42851</v>
      </c>
      <c r="AP1602" s="2680">
        <f t="shared" si="327"/>
        <v>0</v>
      </c>
      <c r="AQ1602" s="2680" t="s">
        <v>171</v>
      </c>
      <c r="AR1602" s="859" t="s">
        <v>128</v>
      </c>
      <c r="AS1602" s="5079"/>
      <c r="AT1602" s="2680" t="s">
        <v>171</v>
      </c>
      <c r="AU1602" s="2680">
        <f>SUBTOTAL(9,AG1602:AG1603)</f>
        <v>1392530</v>
      </c>
      <c r="AV1602" s="2680">
        <f>SUBTOTAL(9,AL1602:AL1603)</f>
        <v>1392530</v>
      </c>
      <c r="AW1602" s="2680">
        <f>SUBTOTAL(9,AN1602:AN1603)</f>
        <v>1392530</v>
      </c>
      <c r="AX1602" s="2680">
        <f>M1602-AU1602</f>
        <v>0</v>
      </c>
      <c r="AY1602" s="2680">
        <f>AU1602-AV1602</f>
        <v>0</v>
      </c>
      <c r="AZ1602" s="2680">
        <f>AV1602-AW1602</f>
        <v>0</v>
      </c>
      <c r="BA1602" s="5796"/>
      <c r="BB1602" s="5796"/>
      <c r="BC1602" s="2678"/>
      <c r="BD1602" s="5796"/>
      <c r="BE1602" s="5796"/>
      <c r="BF1602" s="5796"/>
      <c r="BG1602" s="5796"/>
      <c r="BH1602" s="2678">
        <v>278506</v>
      </c>
      <c r="BI1602" s="5796"/>
      <c r="BJ1602" s="5796"/>
      <c r="BK1602" s="5796"/>
      <c r="BL1602" s="5796"/>
      <c r="BM1602" s="5796"/>
      <c r="BN1602" s="5796"/>
      <c r="BO1602" s="5331"/>
      <c r="BP1602" s="5331"/>
      <c r="BQ1602" s="5331"/>
      <c r="BR1602" s="5331"/>
      <c r="BS1602" s="5331"/>
      <c r="BT1602" s="5331"/>
      <c r="BU1602" s="5331"/>
      <c r="BV1602" s="5331">
        <v>278506</v>
      </c>
      <c r="BW1602" s="5331"/>
      <c r="BX1602" s="5331"/>
      <c r="BY1602" s="5331"/>
      <c r="BZ1602" s="5331"/>
      <c r="CA1602" s="5331"/>
      <c r="CB1602" s="5331"/>
      <c r="CC1602" s="2680"/>
      <c r="CD1602" s="2680"/>
      <c r="CE1602" s="5039"/>
      <c r="CF1602" s="5039"/>
      <c r="CG1602" s="5039"/>
      <c r="CH1602" s="5039"/>
    </row>
    <row r="1603" s="4971" customFormat="1" ht="31" spans="1:86">
      <c r="A1603" s="5048"/>
      <c r="B1603" s="2680"/>
      <c r="C1603" s="5048"/>
      <c r="D1603" s="6690"/>
      <c r="E1603" s="5048"/>
      <c r="F1603" s="6690"/>
      <c r="G1603" s="6690"/>
      <c r="H1603" s="5048"/>
      <c r="I1603" s="5048"/>
      <c r="J1603" s="6690"/>
      <c r="K1603" s="5048"/>
      <c r="L1603" s="5048"/>
      <c r="M1603" s="5048"/>
      <c r="N1603" s="5048"/>
      <c r="O1603" s="5048"/>
      <c r="P1603" s="5048"/>
      <c r="Q1603" s="5048"/>
      <c r="R1603" s="5048"/>
      <c r="S1603" s="5048"/>
      <c r="T1603" s="5048"/>
      <c r="U1603" s="5048"/>
      <c r="V1603" s="5048"/>
      <c r="W1603" s="5048"/>
      <c r="X1603" s="5048"/>
      <c r="Y1603" s="5048"/>
      <c r="Z1603" s="5048"/>
      <c r="AA1603" s="5048"/>
      <c r="AB1603" s="5048"/>
      <c r="AC1603" s="2680">
        <v>2</v>
      </c>
      <c r="AD1603" s="5853" t="s">
        <v>2730</v>
      </c>
      <c r="AE1603" s="791">
        <v>0.8</v>
      </c>
      <c r="AF1603" s="2680">
        <f>1392530*AE1603</f>
        <v>1114024</v>
      </c>
      <c r="AG1603" s="2680">
        <f>SUM(BA1603:BN1603)</f>
        <v>1114024</v>
      </c>
      <c r="AH1603" s="2680" t="s">
        <v>206</v>
      </c>
      <c r="AI1603" s="2680">
        <v>43051</v>
      </c>
      <c r="AJ1603" s="2680" t="s">
        <v>171</v>
      </c>
      <c r="AK1603" s="2680" t="s">
        <v>171</v>
      </c>
      <c r="AL1603" s="2680">
        <v>1114024</v>
      </c>
      <c r="AM1603" s="2680">
        <v>43051</v>
      </c>
      <c r="AN1603" s="2680">
        <f t="shared" si="328"/>
        <v>1114024</v>
      </c>
      <c r="AO1603" s="2678">
        <v>43091</v>
      </c>
      <c r="AP1603" s="2680">
        <f t="shared" si="327"/>
        <v>0</v>
      </c>
      <c r="AQ1603" s="2680" t="s">
        <v>171</v>
      </c>
      <c r="AR1603" s="2680"/>
      <c r="AS1603" s="5079"/>
      <c r="AT1603" s="2680" t="s">
        <v>171</v>
      </c>
      <c r="AU1603" s="2680"/>
      <c r="AV1603" s="2680"/>
      <c r="AW1603" s="2680"/>
      <c r="AX1603" s="2680"/>
      <c r="AY1603" s="2680"/>
      <c r="AZ1603" s="2680"/>
      <c r="BA1603" s="5796"/>
      <c r="BB1603" s="5796"/>
      <c r="BC1603" s="2678"/>
      <c r="BD1603" s="5796"/>
      <c r="BE1603" s="5796"/>
      <c r="BF1603" s="5796"/>
      <c r="BG1603" s="5796"/>
      <c r="BH1603" s="2678">
        <v>1114024</v>
      </c>
      <c r="BI1603" s="5796"/>
      <c r="BJ1603" s="5796"/>
      <c r="BK1603" s="5796"/>
      <c r="BL1603" s="5796"/>
      <c r="BM1603" s="5796"/>
      <c r="BN1603" s="5796"/>
      <c r="BO1603" s="5331"/>
      <c r="BP1603" s="5331"/>
      <c r="BQ1603" s="5331"/>
      <c r="BR1603" s="5331"/>
      <c r="BS1603" s="5331"/>
      <c r="BT1603" s="5331"/>
      <c r="BU1603" s="5331"/>
      <c r="BV1603" s="5331">
        <v>1114024</v>
      </c>
      <c r="BW1603" s="5331"/>
      <c r="BX1603" s="5331"/>
      <c r="BY1603" s="5331"/>
      <c r="BZ1603" s="5331"/>
      <c r="CA1603" s="5331"/>
      <c r="CB1603" s="5331"/>
      <c r="CC1603" s="2680"/>
      <c r="CD1603" s="2680"/>
      <c r="CE1603" s="5039"/>
      <c r="CF1603" s="5039"/>
      <c r="CG1603" s="5039"/>
      <c r="CH1603" s="5039"/>
    </row>
    <row r="1604" s="4971" customFormat="1" ht="31" spans="1:86">
      <c r="A1604" s="2680"/>
      <c r="B1604" s="2680" t="s">
        <v>2570</v>
      </c>
      <c r="C1604" s="2680">
        <v>43040</v>
      </c>
      <c r="D1604" s="1035" t="s">
        <v>2731</v>
      </c>
      <c r="E1604" s="2680" t="s">
        <v>113</v>
      </c>
      <c r="F1604" s="5079" t="s">
        <v>2732</v>
      </c>
      <c r="G1604" s="5079" t="s">
        <v>2733</v>
      </c>
      <c r="H1604" s="2680" t="s">
        <v>31</v>
      </c>
      <c r="I1604" s="2680"/>
      <c r="J1604" s="5079" t="s">
        <v>2734</v>
      </c>
      <c r="K1604" s="2680">
        <v>108582</v>
      </c>
      <c r="L1604" s="5667" t="s">
        <v>2564</v>
      </c>
      <c r="M1604" s="2680">
        <f>SUM(N1604:AA1606)</f>
        <v>760074</v>
      </c>
      <c r="N1604" s="2680">
        <v>0</v>
      </c>
      <c r="O1604" s="2680">
        <v>0</v>
      </c>
      <c r="P1604" s="2680">
        <v>0</v>
      </c>
      <c r="Q1604" s="2680">
        <v>0</v>
      </c>
      <c r="R1604" s="2680">
        <v>0</v>
      </c>
      <c r="S1604" s="2680">
        <v>0</v>
      </c>
      <c r="T1604" s="2680"/>
      <c r="U1604" s="2680">
        <v>760074</v>
      </c>
      <c r="V1604" s="2680">
        <v>0</v>
      </c>
      <c r="W1604" s="2680">
        <v>0</v>
      </c>
      <c r="X1604" s="2680"/>
      <c r="Y1604" s="2680"/>
      <c r="Z1604" s="2680"/>
      <c r="AA1604" s="2680">
        <v>0</v>
      </c>
      <c r="AB1604" s="2680" t="s">
        <v>113</v>
      </c>
      <c r="AC1604" s="2680">
        <v>1</v>
      </c>
      <c r="AD1604" s="5887" t="s">
        <v>2723</v>
      </c>
      <c r="AE1604" s="2680">
        <v>0.2</v>
      </c>
      <c r="AF1604" s="2680">
        <f t="shared" ref="AF1604:AF1606" si="329">760074*AE1604</f>
        <v>152014.8</v>
      </c>
      <c r="AG1604" s="2680">
        <f>SUM(BA1604:BN1604)</f>
        <v>152014.8</v>
      </c>
      <c r="AH1604" s="2680" t="s">
        <v>206</v>
      </c>
      <c r="AI1604" s="2680">
        <v>43227</v>
      </c>
      <c r="AJ1604" s="2680" t="s">
        <v>171</v>
      </c>
      <c r="AK1604" s="2680" t="s">
        <v>171</v>
      </c>
      <c r="AL1604" s="2680">
        <v>152014.8</v>
      </c>
      <c r="AM1604" s="2680">
        <v>43227</v>
      </c>
      <c r="AN1604" s="2680">
        <f t="shared" si="328"/>
        <v>152014.8</v>
      </c>
      <c r="AO1604" s="2678">
        <v>43241</v>
      </c>
      <c r="AP1604" s="2680">
        <f t="shared" si="327"/>
        <v>0</v>
      </c>
      <c r="AQ1604" s="5079" t="s">
        <v>2565</v>
      </c>
      <c r="AR1604" s="859" t="s">
        <v>128</v>
      </c>
      <c r="AS1604" s="5079"/>
      <c r="AT1604" s="2680" t="s">
        <v>171</v>
      </c>
      <c r="AU1604" s="2680">
        <f>SUBTOTAL(9,AG1604:AG1606)</f>
        <v>760074</v>
      </c>
      <c r="AV1604" s="2680">
        <f>SUBTOTAL(9,AL1604:AL1606)</f>
        <v>760074</v>
      </c>
      <c r="AW1604" s="2680">
        <f>SUBTOTAL(9,AN1604:AN1606)</f>
        <v>760074</v>
      </c>
      <c r="AX1604" s="2680">
        <f>M1604-AU1604</f>
        <v>0</v>
      </c>
      <c r="AY1604" s="2680">
        <f>AU1604-AV1604</f>
        <v>0</v>
      </c>
      <c r="AZ1604" s="2680">
        <f>AV1604-AW1604</f>
        <v>0</v>
      </c>
      <c r="BA1604" s="6714"/>
      <c r="BB1604" s="6714"/>
      <c r="BC1604" s="6714"/>
      <c r="BD1604" s="6714"/>
      <c r="BE1604" s="6714"/>
      <c r="BF1604" s="6714"/>
      <c r="BG1604" s="6714"/>
      <c r="BH1604" s="2678">
        <v>152014.8</v>
      </c>
      <c r="BI1604" s="6714"/>
      <c r="BJ1604" s="6714"/>
      <c r="BK1604" s="6714"/>
      <c r="BL1604" s="6714"/>
      <c r="BM1604" s="6714"/>
      <c r="BN1604" s="6714"/>
      <c r="BO1604" s="6715"/>
      <c r="BP1604" s="6715"/>
      <c r="BQ1604" s="6715"/>
      <c r="BR1604" s="6715"/>
      <c r="BS1604" s="6715"/>
      <c r="BT1604" s="6715"/>
      <c r="BU1604" s="6715"/>
      <c r="BV1604" s="6715">
        <v>152014.8</v>
      </c>
      <c r="BW1604" s="6715"/>
      <c r="BX1604" s="6715"/>
      <c r="BY1604" s="6715"/>
      <c r="BZ1604" s="6715"/>
      <c r="CA1604" s="6715"/>
      <c r="CB1604" s="6715"/>
      <c r="CC1604" s="2680"/>
      <c r="CD1604" s="2680"/>
      <c r="CE1604" s="5039"/>
      <c r="CF1604" s="5039"/>
      <c r="CG1604" s="5039"/>
      <c r="CH1604" s="5039"/>
    </row>
    <row r="1605" s="4971" customFormat="1" ht="31" spans="1:86">
      <c r="A1605" s="2680"/>
      <c r="B1605" s="2680"/>
      <c r="C1605" s="2680"/>
      <c r="D1605" s="5079"/>
      <c r="E1605" s="2680"/>
      <c r="F1605" s="5079"/>
      <c r="G1605" s="5079"/>
      <c r="H1605" s="2680"/>
      <c r="I1605" s="2680"/>
      <c r="J1605" s="5079"/>
      <c r="K1605" s="2680"/>
      <c r="L1605" s="5667"/>
      <c r="M1605" s="2680"/>
      <c r="N1605" s="2680"/>
      <c r="O1605" s="2680"/>
      <c r="P1605" s="2680"/>
      <c r="Q1605" s="2680"/>
      <c r="R1605" s="2680"/>
      <c r="S1605" s="2680"/>
      <c r="T1605" s="2680"/>
      <c r="U1605" s="2680"/>
      <c r="V1605" s="2680"/>
      <c r="W1605" s="2680"/>
      <c r="X1605" s="2680"/>
      <c r="Y1605" s="2680"/>
      <c r="Z1605" s="2680"/>
      <c r="AA1605" s="2680"/>
      <c r="AB1605" s="2680"/>
      <c r="AC1605" s="2680">
        <v>2</v>
      </c>
      <c r="AD1605" s="5887" t="s">
        <v>2724</v>
      </c>
      <c r="AE1605" s="2680">
        <v>0.3</v>
      </c>
      <c r="AF1605" s="2680">
        <f t="shared" si="329"/>
        <v>228022.2</v>
      </c>
      <c r="AG1605" s="2680">
        <f>SUM(BA1605:BN1605)</f>
        <v>228022.2</v>
      </c>
      <c r="AH1605" s="2680" t="s">
        <v>206</v>
      </c>
      <c r="AI1605" s="2680">
        <v>43227</v>
      </c>
      <c r="AJ1605" s="2680" t="s">
        <v>171</v>
      </c>
      <c r="AK1605" s="2680" t="s">
        <v>171</v>
      </c>
      <c r="AL1605" s="2680">
        <v>228022.2</v>
      </c>
      <c r="AM1605" s="2680">
        <v>43227</v>
      </c>
      <c r="AN1605" s="2680">
        <f t="shared" si="328"/>
        <v>228022.2</v>
      </c>
      <c r="AO1605" s="2678">
        <v>43241</v>
      </c>
      <c r="AP1605" s="2680">
        <f t="shared" si="327"/>
        <v>0</v>
      </c>
      <c r="AQ1605" s="5079"/>
      <c r="AR1605" s="2680"/>
      <c r="AS1605" s="5079"/>
      <c r="AT1605" s="2680" t="s">
        <v>171</v>
      </c>
      <c r="AU1605" s="2680"/>
      <c r="AV1605" s="2680"/>
      <c r="AW1605" s="2680"/>
      <c r="AX1605" s="2680"/>
      <c r="AY1605" s="2680"/>
      <c r="AZ1605" s="2680"/>
      <c r="BA1605" s="6714"/>
      <c r="BB1605" s="6714"/>
      <c r="BC1605" s="6714"/>
      <c r="BD1605" s="6714"/>
      <c r="BE1605" s="6714"/>
      <c r="BF1605" s="6714"/>
      <c r="BG1605" s="6714"/>
      <c r="BH1605" s="2678">
        <v>228022.2</v>
      </c>
      <c r="BI1605" s="6714"/>
      <c r="BJ1605" s="6714"/>
      <c r="BK1605" s="6714"/>
      <c r="BL1605" s="6714"/>
      <c r="BM1605" s="6714"/>
      <c r="BN1605" s="6714"/>
      <c r="BO1605" s="6715"/>
      <c r="BP1605" s="6715"/>
      <c r="BQ1605" s="6715"/>
      <c r="BR1605" s="6715"/>
      <c r="BS1605" s="6715"/>
      <c r="BT1605" s="6715"/>
      <c r="BU1605" s="6715"/>
      <c r="BV1605" s="6715">
        <v>228022.2</v>
      </c>
      <c r="BW1605" s="6715"/>
      <c r="BX1605" s="6715"/>
      <c r="BY1605" s="6715"/>
      <c r="BZ1605" s="6715"/>
      <c r="CA1605" s="6715"/>
      <c r="CB1605" s="6715"/>
      <c r="CC1605" s="2680"/>
      <c r="CD1605" s="2680"/>
      <c r="CE1605" s="5039"/>
      <c r="CF1605" s="5039"/>
      <c r="CG1605" s="5039"/>
      <c r="CH1605" s="5039"/>
    </row>
    <row r="1606" s="4971" customFormat="1" ht="43" customHeight="1" spans="1:86">
      <c r="A1606" s="2680"/>
      <c r="B1606" s="2680"/>
      <c r="C1606" s="2680"/>
      <c r="D1606" s="5079"/>
      <c r="E1606" s="2680"/>
      <c r="F1606" s="5079"/>
      <c r="G1606" s="5079"/>
      <c r="H1606" s="2680"/>
      <c r="I1606" s="2680"/>
      <c r="J1606" s="5079"/>
      <c r="K1606" s="2680"/>
      <c r="L1606" s="5667"/>
      <c r="M1606" s="2680"/>
      <c r="N1606" s="2680"/>
      <c r="O1606" s="2680"/>
      <c r="P1606" s="2680"/>
      <c r="Q1606" s="2680"/>
      <c r="R1606" s="2680"/>
      <c r="S1606" s="2680"/>
      <c r="T1606" s="2680"/>
      <c r="U1606" s="2680"/>
      <c r="V1606" s="2680"/>
      <c r="W1606" s="2680"/>
      <c r="X1606" s="2680"/>
      <c r="Y1606" s="2680"/>
      <c r="Z1606" s="2680"/>
      <c r="AA1606" s="2680"/>
      <c r="AB1606" s="2680"/>
      <c r="AC1606" s="2680">
        <v>3</v>
      </c>
      <c r="AD1606" s="6741" t="s">
        <v>2567</v>
      </c>
      <c r="AE1606" s="2680">
        <v>0.5</v>
      </c>
      <c r="AF1606" s="2680">
        <f t="shared" si="329"/>
        <v>380037</v>
      </c>
      <c r="AG1606" s="2680">
        <v>380037</v>
      </c>
      <c r="AH1606" s="2680" t="s">
        <v>122</v>
      </c>
      <c r="AI1606" s="2680">
        <v>43817</v>
      </c>
      <c r="AJ1606" s="2680">
        <v>380037</v>
      </c>
      <c r="AK1606" s="2680">
        <v>43817</v>
      </c>
      <c r="AL1606" s="2680">
        <v>380037</v>
      </c>
      <c r="AM1606" s="2680">
        <v>43970</v>
      </c>
      <c r="AN1606" s="2678">
        <f t="shared" si="328"/>
        <v>380037</v>
      </c>
      <c r="AO1606" s="2678">
        <v>44102</v>
      </c>
      <c r="AP1606" s="3524">
        <f t="shared" si="327"/>
        <v>0</v>
      </c>
      <c r="AQ1606" s="5331"/>
      <c r="AR1606" s="2680"/>
      <c r="AS1606" s="5667" t="s">
        <v>2735</v>
      </c>
      <c r="AT1606" s="2680"/>
      <c r="AU1606" s="2680"/>
      <c r="AV1606" s="2680"/>
      <c r="AW1606" s="2680"/>
      <c r="AX1606" s="2680"/>
      <c r="AY1606" s="2680"/>
      <c r="AZ1606" s="2680"/>
      <c r="BA1606" s="5796"/>
      <c r="BB1606" s="5796"/>
      <c r="BC1606" s="2678"/>
      <c r="BD1606" s="5796"/>
      <c r="BE1606" s="5796"/>
      <c r="BF1606" s="5796"/>
      <c r="BG1606" s="5796"/>
      <c r="BH1606" s="3812">
        <v>380037</v>
      </c>
      <c r="BI1606" s="5796"/>
      <c r="BJ1606" s="5796"/>
      <c r="BK1606" s="5796"/>
      <c r="BL1606" s="5796"/>
      <c r="BM1606" s="5796"/>
      <c r="BN1606" s="5796"/>
      <c r="BO1606" s="5331"/>
      <c r="BP1606" s="5331"/>
      <c r="BQ1606" s="5331"/>
      <c r="BR1606" s="5331"/>
      <c r="BS1606" s="5331"/>
      <c r="BT1606" s="5122"/>
      <c r="BU1606" s="5122"/>
      <c r="BV1606" s="5122">
        <v>380037</v>
      </c>
      <c r="BW1606" s="5331"/>
      <c r="BX1606" s="5331"/>
      <c r="BY1606" s="5331"/>
      <c r="BZ1606" s="5331"/>
      <c r="CA1606" s="5331"/>
      <c r="CB1606" s="5331"/>
      <c r="CC1606" s="2680"/>
      <c r="CD1606" s="2680"/>
      <c r="CE1606" s="5039"/>
      <c r="CF1606" s="5039"/>
      <c r="CG1606" s="5039"/>
      <c r="CH1606" s="5039"/>
    </row>
    <row r="1607" s="4987" customFormat="1" ht="44" customHeight="1" spans="1:86">
      <c r="A1607" s="2680"/>
      <c r="B1607" s="3925" t="s">
        <v>2570</v>
      </c>
      <c r="C1607" s="3925">
        <v>43444</v>
      </c>
      <c r="D1607" s="5050" t="s">
        <v>2736</v>
      </c>
      <c r="E1607" s="3925" t="s">
        <v>113</v>
      </c>
      <c r="F1607" s="5820" t="s">
        <v>2737</v>
      </c>
      <c r="G1607" s="5820" t="s">
        <v>2738</v>
      </c>
      <c r="H1607" s="3925" t="s">
        <v>193</v>
      </c>
      <c r="I1607" s="3925"/>
      <c r="J1607" s="5820" t="s">
        <v>2630</v>
      </c>
      <c r="K1607" s="3925">
        <v>77749.25</v>
      </c>
      <c r="L1607" s="5820" t="s">
        <v>2739</v>
      </c>
      <c r="M1607" s="3925">
        <f>SUM(N1607:AA1612)</f>
        <v>732519.38</v>
      </c>
      <c r="N1607" s="2680">
        <v>0</v>
      </c>
      <c r="O1607" s="2680">
        <v>0</v>
      </c>
      <c r="P1607" s="2680">
        <v>0</v>
      </c>
      <c r="Q1607" s="2680">
        <v>0</v>
      </c>
      <c r="R1607" s="2680">
        <v>0</v>
      </c>
      <c r="S1607" s="2680">
        <v>0</v>
      </c>
      <c r="T1607" s="2680"/>
      <c r="U1607" s="2680">
        <v>0</v>
      </c>
      <c r="V1607" s="2680">
        <v>732519.38</v>
      </c>
      <c r="W1607" s="2680">
        <v>0</v>
      </c>
      <c r="X1607" s="2680"/>
      <c r="Y1607" s="2680"/>
      <c r="Z1607" s="2680"/>
      <c r="AA1607" s="2680">
        <v>0</v>
      </c>
      <c r="AB1607" s="2680" t="s">
        <v>113</v>
      </c>
      <c r="AC1607" s="2680">
        <v>1</v>
      </c>
      <c r="AD1607" s="2680" t="s">
        <v>121</v>
      </c>
      <c r="AE1607" s="2680">
        <v>0.2</v>
      </c>
      <c r="AF1607" s="2680">
        <f>732519.38*AE1607</f>
        <v>146503.876</v>
      </c>
      <c r="AG1607" s="2680">
        <f>SUM(BA1607:BN1607)</f>
        <v>146503.88</v>
      </c>
      <c r="AH1607" s="2680" t="s">
        <v>122</v>
      </c>
      <c r="AI1607" s="2680">
        <v>43444</v>
      </c>
      <c r="AJ1607" s="2680">
        <v>146503.88</v>
      </c>
      <c r="AK1607" s="2680">
        <v>43444</v>
      </c>
      <c r="AL1607" s="2680">
        <v>146503.876</v>
      </c>
      <c r="AM1607" s="2680">
        <v>44046</v>
      </c>
      <c r="AN1607" s="2678">
        <f t="shared" si="328"/>
        <v>146503.88</v>
      </c>
      <c r="AO1607" s="2678">
        <v>44132</v>
      </c>
      <c r="AP1607" s="3524">
        <f t="shared" si="327"/>
        <v>0</v>
      </c>
      <c r="AQ1607" s="1035" t="s">
        <v>2740</v>
      </c>
      <c r="AR1607" s="2680"/>
      <c r="AS1607" s="5079"/>
      <c r="AT1607" s="2680"/>
      <c r="AU1607" s="2680">
        <f>SUBTOTAL(9,AG1607:AG1612)</f>
        <v>732519.38</v>
      </c>
      <c r="AV1607" s="2680">
        <f>SUBTOTAL(9,AL1607:AL1612)</f>
        <v>677397.446</v>
      </c>
      <c r="AW1607" s="2680">
        <f>SUBTOTAL(9,AN1607:AN1612)</f>
        <v>677397.448</v>
      </c>
      <c r="AX1607" s="2680">
        <f>M1607-AU1607</f>
        <v>0</v>
      </c>
      <c r="AY1607" s="2680">
        <f>AU1607-AV1607</f>
        <v>55121.934</v>
      </c>
      <c r="AZ1607" s="2680">
        <f>AV1607-AW1607</f>
        <v>-0.0020000000949949</v>
      </c>
      <c r="BA1607" s="2678"/>
      <c r="BB1607" s="2678"/>
      <c r="BC1607" s="2678"/>
      <c r="BD1607" s="2678"/>
      <c r="BE1607" s="2678"/>
      <c r="BF1607" s="2678"/>
      <c r="BG1607" s="2678"/>
      <c r="BH1607" s="2678"/>
      <c r="BI1607" s="3812">
        <v>146503.88</v>
      </c>
      <c r="BJ1607" s="3812"/>
      <c r="BK1607" s="3812"/>
      <c r="BL1607" s="3812"/>
      <c r="BM1607" s="3812"/>
      <c r="BN1607" s="2678"/>
      <c r="BO1607" s="2680"/>
      <c r="BP1607" s="2680"/>
      <c r="BQ1607" s="2680"/>
      <c r="BR1607" s="2680"/>
      <c r="BS1607" s="2680"/>
      <c r="BT1607" s="3524"/>
      <c r="BU1607" s="3524"/>
      <c r="BV1607" s="2680"/>
      <c r="BW1607" s="3812">
        <v>146503.88</v>
      </c>
      <c r="BX1607" s="3524"/>
      <c r="BY1607" s="3524"/>
      <c r="BZ1607" s="3524"/>
      <c r="CA1607" s="3524"/>
      <c r="CB1607" s="2680"/>
      <c r="CC1607" s="2680"/>
      <c r="CD1607" s="2680"/>
      <c r="CE1607" s="5031"/>
      <c r="CF1607" s="5031"/>
      <c r="CG1607" s="5031"/>
      <c r="CH1607" s="5031"/>
    </row>
    <row r="1608" s="4987" customFormat="1" ht="44" customHeight="1" spans="1:86">
      <c r="A1608" s="2680"/>
      <c r="B1608" s="4026"/>
      <c r="C1608" s="4026"/>
      <c r="D1608" s="6040"/>
      <c r="E1608" s="4026"/>
      <c r="F1608" s="5821"/>
      <c r="G1608" s="5821"/>
      <c r="H1608" s="4026"/>
      <c r="I1608" s="4026"/>
      <c r="J1608" s="5821"/>
      <c r="K1608" s="4026"/>
      <c r="L1608" s="5821"/>
      <c r="M1608" s="4026"/>
      <c r="N1608" s="2680"/>
      <c r="O1608" s="2680"/>
      <c r="P1608" s="2680"/>
      <c r="Q1608" s="2680"/>
      <c r="R1608" s="2680"/>
      <c r="S1608" s="2680"/>
      <c r="T1608" s="2680"/>
      <c r="U1608" s="2680"/>
      <c r="V1608" s="2680"/>
      <c r="W1608" s="2680"/>
      <c r="X1608" s="2680"/>
      <c r="Y1608" s="2680"/>
      <c r="Z1608" s="2680"/>
      <c r="AA1608" s="2680"/>
      <c r="AB1608" s="2680"/>
      <c r="AC1608" s="2680">
        <v>2</v>
      </c>
      <c r="AD1608" s="5079" t="s">
        <v>2741</v>
      </c>
      <c r="AE1608" s="2680">
        <v>0.4</v>
      </c>
      <c r="AF1608" s="2680">
        <f>M1607*AE1608</f>
        <v>293007.752</v>
      </c>
      <c r="AG1608" s="2680">
        <f t="shared" ref="AG1608:AG1613" si="330">SUM(BA1608:BN1608)</f>
        <v>109877.12</v>
      </c>
      <c r="AH1608" s="2680" t="s">
        <v>122</v>
      </c>
      <c r="AI1608" s="2680">
        <v>43444</v>
      </c>
      <c r="AJ1608" s="2680">
        <v>109877.12</v>
      </c>
      <c r="AK1608" s="2680">
        <v>43444</v>
      </c>
      <c r="AL1608" s="2680">
        <v>439511.63</v>
      </c>
      <c r="AM1608" s="2680">
        <v>44411</v>
      </c>
      <c r="AN1608" s="2678">
        <f t="shared" si="328"/>
        <v>109877.12</v>
      </c>
      <c r="AO1608" s="2678">
        <v>44434</v>
      </c>
      <c r="AP1608" s="3524">
        <f t="shared" si="327"/>
        <v>0</v>
      </c>
      <c r="AQ1608" s="5079"/>
      <c r="AR1608" s="2680"/>
      <c r="AS1608" s="5079"/>
      <c r="AT1608" s="2680"/>
      <c r="AU1608" s="2680"/>
      <c r="AV1608" s="2680"/>
      <c r="AW1608" s="2680"/>
      <c r="AX1608" s="2680"/>
      <c r="AY1608" s="2680"/>
      <c r="AZ1608" s="2680"/>
      <c r="BA1608" s="2678"/>
      <c r="BB1608" s="2678"/>
      <c r="BC1608" s="2678"/>
      <c r="BD1608" s="2678"/>
      <c r="BE1608" s="2678"/>
      <c r="BF1608" s="2678"/>
      <c r="BG1608" s="2678"/>
      <c r="BH1608" s="2678"/>
      <c r="BI1608" s="3812">
        <f>256381-BI1607</f>
        <v>109877.12</v>
      </c>
      <c r="BJ1608" s="3812"/>
      <c r="BK1608" s="3812"/>
      <c r="BL1608" s="3812"/>
      <c r="BM1608" s="3812"/>
      <c r="BN1608" s="2678"/>
      <c r="BO1608" s="3932"/>
      <c r="BP1608" s="3932"/>
      <c r="BQ1608" s="3932"/>
      <c r="BR1608" s="3932"/>
      <c r="BS1608" s="3932"/>
      <c r="BT1608" s="5123"/>
      <c r="BU1608" s="5123"/>
      <c r="BV1608" s="3932"/>
      <c r="BW1608" s="3812">
        <v>109877.12</v>
      </c>
      <c r="BX1608" s="5123"/>
      <c r="BY1608" s="5123"/>
      <c r="BZ1608" s="5123"/>
      <c r="CA1608" s="5123"/>
      <c r="CB1608" s="3932"/>
      <c r="CC1608" s="2680"/>
      <c r="CD1608" s="2680"/>
      <c r="CE1608" s="5031"/>
      <c r="CF1608" s="5031"/>
      <c r="CG1608" s="5031"/>
      <c r="CH1608" s="5031"/>
    </row>
    <row r="1609" s="4987" customFormat="1" ht="54" customHeight="1" spans="1:86">
      <c r="A1609" s="2680"/>
      <c r="B1609" s="4026"/>
      <c r="C1609" s="4026"/>
      <c r="D1609" s="6040"/>
      <c r="E1609" s="4026"/>
      <c r="F1609" s="5821"/>
      <c r="G1609" s="5821"/>
      <c r="H1609" s="4026"/>
      <c r="I1609" s="4026"/>
      <c r="J1609" s="5821"/>
      <c r="K1609" s="4026"/>
      <c r="L1609" s="5821"/>
      <c r="M1609" s="4026"/>
      <c r="N1609" s="2680"/>
      <c r="O1609" s="2680"/>
      <c r="P1609" s="2680"/>
      <c r="Q1609" s="2680"/>
      <c r="R1609" s="2680"/>
      <c r="S1609" s="2680"/>
      <c r="T1609" s="2680"/>
      <c r="U1609" s="2680"/>
      <c r="V1609" s="2680"/>
      <c r="W1609" s="2680"/>
      <c r="X1609" s="2680"/>
      <c r="Y1609" s="2680"/>
      <c r="Z1609" s="2680"/>
      <c r="AA1609" s="2680"/>
      <c r="AB1609" s="2680"/>
      <c r="AC1609" s="2680" t="s">
        <v>171</v>
      </c>
      <c r="AD1609" s="5079" t="s">
        <v>552</v>
      </c>
      <c r="AE1609" s="2680" t="s">
        <v>171</v>
      </c>
      <c r="AF1609" s="2680" t="s">
        <v>171</v>
      </c>
      <c r="AG1609" s="2680">
        <f t="shared" si="330"/>
        <v>183130.632</v>
      </c>
      <c r="AH1609" s="2680" t="s">
        <v>122</v>
      </c>
      <c r="AI1609" s="2680">
        <v>43444</v>
      </c>
      <c r="AJ1609" s="2680">
        <v>183130.632</v>
      </c>
      <c r="AK1609" s="2680">
        <v>43444</v>
      </c>
      <c r="AL1609" s="2680"/>
      <c r="AM1609" s="2680"/>
      <c r="AN1609" s="2678">
        <f t="shared" si="328"/>
        <v>183130.63</v>
      </c>
      <c r="AO1609" s="2678">
        <v>44434</v>
      </c>
      <c r="AP1609" s="3524">
        <f t="shared" si="327"/>
        <v>0.00200000003678724</v>
      </c>
      <c r="AQ1609" s="1035" t="s">
        <v>2742</v>
      </c>
      <c r="AR1609" s="2680"/>
      <c r="AS1609" s="5079"/>
      <c r="AT1609" s="2680"/>
      <c r="AU1609" s="2680"/>
      <c r="AV1609" s="2680"/>
      <c r="AW1609" s="2680"/>
      <c r="AX1609" s="2680"/>
      <c r="AY1609" s="2680"/>
      <c r="AZ1609" s="2680"/>
      <c r="BA1609" s="2678"/>
      <c r="BB1609" s="2678"/>
      <c r="BC1609" s="5331"/>
      <c r="BD1609" s="5331"/>
      <c r="BE1609" s="2678"/>
      <c r="BF1609" s="2678"/>
      <c r="BG1609" s="2678"/>
      <c r="BH1609" s="2678"/>
      <c r="BI1609" s="3812">
        <f>AF1608-AG1608</f>
        <v>183130.632</v>
      </c>
      <c r="BJ1609" s="3812"/>
      <c r="BK1609" s="3812"/>
      <c r="BL1609" s="3812"/>
      <c r="BM1609" s="3812"/>
      <c r="BN1609" s="2678"/>
      <c r="BO1609" s="3932"/>
      <c r="BP1609" s="3932"/>
      <c r="BQ1609" s="3932"/>
      <c r="BR1609" s="3932"/>
      <c r="BS1609" s="3932"/>
      <c r="BT1609" s="5123"/>
      <c r="BU1609" s="5123"/>
      <c r="BV1609" s="3932"/>
      <c r="BW1609" s="3812">
        <v>183130.63</v>
      </c>
      <c r="BX1609" s="5123"/>
      <c r="BY1609" s="5123"/>
      <c r="BZ1609" s="5123"/>
      <c r="CA1609" s="5123"/>
      <c r="CB1609" s="3932"/>
      <c r="CC1609" s="2680"/>
      <c r="CD1609" s="2680"/>
      <c r="CE1609" s="5031"/>
      <c r="CF1609" s="5031"/>
      <c r="CG1609" s="5031"/>
      <c r="CH1609" s="5031"/>
    </row>
    <row r="1610" s="4987" customFormat="1" ht="54" customHeight="1" spans="1:86">
      <c r="A1610" s="2680"/>
      <c r="B1610" s="4026"/>
      <c r="C1610" s="4026"/>
      <c r="D1610" s="6040"/>
      <c r="E1610" s="4026"/>
      <c r="F1610" s="5821"/>
      <c r="G1610" s="5821"/>
      <c r="H1610" s="4026"/>
      <c r="I1610" s="4026"/>
      <c r="J1610" s="5821"/>
      <c r="K1610" s="4026"/>
      <c r="L1610" s="5821"/>
      <c r="M1610" s="4026"/>
      <c r="N1610" s="2680"/>
      <c r="O1610" s="2680"/>
      <c r="P1610" s="2680"/>
      <c r="Q1610" s="2680"/>
      <c r="R1610" s="2680"/>
      <c r="S1610" s="2680"/>
      <c r="T1610" s="2680"/>
      <c r="U1610" s="2680"/>
      <c r="V1610" s="2680"/>
      <c r="W1610" s="2680"/>
      <c r="X1610" s="2680"/>
      <c r="Y1610" s="2680"/>
      <c r="Z1610" s="2680"/>
      <c r="AA1610" s="2680"/>
      <c r="AB1610" s="2680"/>
      <c r="AC1610" s="2680">
        <v>3</v>
      </c>
      <c r="AD1610" s="5079" t="s">
        <v>2743</v>
      </c>
      <c r="AE1610" s="2680">
        <v>0.2</v>
      </c>
      <c r="AF1610" s="2680">
        <f>732519.38*AE1610</f>
        <v>146503.876</v>
      </c>
      <c r="AG1610" s="2680">
        <f t="shared" si="330"/>
        <v>36625.178</v>
      </c>
      <c r="AH1610" s="2680" t="s">
        <v>122</v>
      </c>
      <c r="AI1610" s="2680">
        <v>43795</v>
      </c>
      <c r="AJ1610" s="2680">
        <v>36625.178</v>
      </c>
      <c r="AK1610" s="2680">
        <v>43795</v>
      </c>
      <c r="AL1610" s="2680"/>
      <c r="AM1610" s="2680"/>
      <c r="AN1610" s="2678">
        <f t="shared" si="328"/>
        <v>36625.178</v>
      </c>
      <c r="AO1610" s="2678">
        <v>44434</v>
      </c>
      <c r="AP1610" s="3524">
        <f t="shared" si="327"/>
        <v>0</v>
      </c>
      <c r="AQ1610" s="5079"/>
      <c r="AR1610" s="2680"/>
      <c r="AS1610" s="5079"/>
      <c r="AT1610" s="2680"/>
      <c r="AU1610" s="2680"/>
      <c r="AV1610" s="2680"/>
      <c r="AW1610" s="2680"/>
      <c r="AX1610" s="2680"/>
      <c r="AY1610" s="2680"/>
      <c r="AZ1610" s="2680"/>
      <c r="BA1610" s="2678"/>
      <c r="BB1610" s="2678"/>
      <c r="BC1610" s="2678"/>
      <c r="BD1610" s="2678"/>
      <c r="BE1610" s="2678"/>
      <c r="BF1610" s="2678"/>
      <c r="BG1610" s="2678"/>
      <c r="BH1610" s="2678"/>
      <c r="BI1610" s="3812">
        <f>219755.81-BI1609</f>
        <v>36625.178</v>
      </c>
      <c r="BJ1610" s="3812"/>
      <c r="BK1610" s="3812"/>
      <c r="BL1610" s="3812"/>
      <c r="BM1610" s="3812"/>
      <c r="BN1610" s="2678"/>
      <c r="BO1610" s="3932"/>
      <c r="BP1610" s="3932"/>
      <c r="BQ1610" s="3932"/>
      <c r="BR1610" s="3932"/>
      <c r="BS1610" s="3932"/>
      <c r="BT1610" s="5123"/>
      <c r="BU1610" s="5123"/>
      <c r="BV1610" s="3932"/>
      <c r="BW1610" s="3812">
        <v>36625.178</v>
      </c>
      <c r="BX1610" s="5123"/>
      <c r="BY1610" s="5123"/>
      <c r="BZ1610" s="5123"/>
      <c r="CA1610" s="5123"/>
      <c r="CB1610" s="3932"/>
      <c r="CC1610" s="2680"/>
      <c r="CD1610" s="2680"/>
      <c r="CE1610" s="5031"/>
      <c r="CF1610" s="5031"/>
      <c r="CG1610" s="5031"/>
      <c r="CH1610" s="5031"/>
    </row>
    <row r="1611" s="4987" customFormat="1" ht="48" customHeight="1" spans="1:86">
      <c r="A1611" s="2680"/>
      <c r="B1611" s="4026"/>
      <c r="C1611" s="4026"/>
      <c r="D1611" s="6040"/>
      <c r="E1611" s="4026"/>
      <c r="F1611" s="5821"/>
      <c r="G1611" s="5821"/>
      <c r="H1611" s="4026"/>
      <c r="I1611" s="4026"/>
      <c r="J1611" s="5821"/>
      <c r="K1611" s="4026"/>
      <c r="L1611" s="5821"/>
      <c r="M1611" s="4026"/>
      <c r="N1611" s="2680"/>
      <c r="O1611" s="2680"/>
      <c r="P1611" s="2680"/>
      <c r="Q1611" s="2680"/>
      <c r="R1611" s="2680"/>
      <c r="S1611" s="2680"/>
      <c r="T1611" s="2680"/>
      <c r="U1611" s="2680"/>
      <c r="V1611" s="2680"/>
      <c r="W1611" s="2680"/>
      <c r="X1611" s="2680"/>
      <c r="Y1611" s="2680"/>
      <c r="Z1611" s="2680"/>
      <c r="AA1611" s="2680"/>
      <c r="AB1611" s="2680"/>
      <c r="AC1611" s="2680" t="s">
        <v>171</v>
      </c>
      <c r="AD1611" s="5079" t="s">
        <v>552</v>
      </c>
      <c r="AE1611" s="2680" t="s">
        <v>171</v>
      </c>
      <c r="AF1611" s="2680" t="s">
        <v>171</v>
      </c>
      <c r="AG1611" s="2678">
        <f t="shared" si="330"/>
        <v>109878.7</v>
      </c>
      <c r="AH1611" s="859" t="s">
        <v>122</v>
      </c>
      <c r="AI1611" s="2678">
        <v>44188</v>
      </c>
      <c r="AJ1611" s="2678">
        <v>109878.7</v>
      </c>
      <c r="AK1611" s="2678">
        <v>44188</v>
      </c>
      <c r="AL1611" s="2680"/>
      <c r="AM1611" s="2680"/>
      <c r="AN1611" s="2678">
        <f t="shared" si="328"/>
        <v>109878.7</v>
      </c>
      <c r="AO1611" s="2678">
        <v>44434</v>
      </c>
      <c r="AP1611" s="3524">
        <f t="shared" si="327"/>
        <v>0</v>
      </c>
      <c r="AQ1611" s="5079"/>
      <c r="AR1611" s="2680"/>
      <c r="AS1611" s="5079"/>
      <c r="AT1611" s="2680"/>
      <c r="AU1611" s="2680"/>
      <c r="AV1611" s="2680"/>
      <c r="AW1611" s="2680"/>
      <c r="AX1611" s="2680"/>
      <c r="AY1611" s="2680"/>
      <c r="AZ1611" s="2680"/>
      <c r="BA1611" s="2678"/>
      <c r="BB1611" s="2678"/>
      <c r="BC1611" s="2678"/>
      <c r="BD1611" s="2678"/>
      <c r="BE1611" s="2678"/>
      <c r="BF1611" s="2678"/>
      <c r="BG1611" s="2678"/>
      <c r="BH1611" s="2678"/>
      <c r="BI1611" s="2678">
        <v>109878.7</v>
      </c>
      <c r="BJ1611" s="2678"/>
      <c r="BK1611" s="2678"/>
      <c r="BL1611" s="2678"/>
      <c r="BM1611" s="2678"/>
      <c r="BN1611" s="2678"/>
      <c r="BO1611" s="3932"/>
      <c r="BP1611" s="3932"/>
      <c r="BQ1611" s="3932"/>
      <c r="BR1611" s="3932"/>
      <c r="BS1611" s="3932"/>
      <c r="BT1611" s="3932"/>
      <c r="BU1611" s="3932"/>
      <c r="BV1611" s="3932"/>
      <c r="BW1611" s="2678">
        <v>109878.7</v>
      </c>
      <c r="BX1611" s="3932"/>
      <c r="BY1611" s="3932"/>
      <c r="BZ1611" s="3932"/>
      <c r="CA1611" s="3932"/>
      <c r="CB1611" s="3932"/>
      <c r="CC1611" s="2680"/>
      <c r="CD1611" s="2680"/>
      <c r="CE1611" s="5031"/>
      <c r="CF1611" s="5031"/>
      <c r="CG1611" s="5031"/>
      <c r="CH1611" s="5031"/>
    </row>
    <row r="1612" s="4987" customFormat="1" ht="45" customHeight="1" spans="1:86">
      <c r="A1612" s="2680"/>
      <c r="B1612" s="4026"/>
      <c r="C1612" s="4026"/>
      <c r="D1612" s="6040"/>
      <c r="E1612" s="4026"/>
      <c r="F1612" s="5821"/>
      <c r="G1612" s="5821"/>
      <c r="H1612" s="4026"/>
      <c r="I1612" s="4026"/>
      <c r="J1612" s="5821"/>
      <c r="K1612" s="4026"/>
      <c r="L1612" s="5821"/>
      <c r="M1612" s="4026"/>
      <c r="N1612" s="2680"/>
      <c r="O1612" s="2680"/>
      <c r="P1612" s="2680"/>
      <c r="Q1612" s="2680"/>
      <c r="R1612" s="2680"/>
      <c r="S1612" s="2680"/>
      <c r="T1612" s="2680"/>
      <c r="U1612" s="2680"/>
      <c r="V1612" s="2680"/>
      <c r="W1612" s="2680"/>
      <c r="X1612" s="2680"/>
      <c r="Y1612" s="2680"/>
      <c r="Z1612" s="2680"/>
      <c r="AA1612" s="2680"/>
      <c r="AB1612" s="2680"/>
      <c r="AC1612" s="3925">
        <v>4</v>
      </c>
      <c r="AD1612" s="5820" t="s">
        <v>2744</v>
      </c>
      <c r="AE1612" s="3925">
        <v>0.2</v>
      </c>
      <c r="AF1612" s="3925">
        <f>732519.38*AE1612</f>
        <v>146503.876</v>
      </c>
      <c r="AG1612" s="2680">
        <f t="shared" si="330"/>
        <v>146503.87</v>
      </c>
      <c r="AH1612" s="859" t="s">
        <v>122</v>
      </c>
      <c r="AI1612" s="2680">
        <v>44536</v>
      </c>
      <c r="AJ1612" s="2680">
        <v>146503.87</v>
      </c>
      <c r="AK1612" s="2680">
        <v>44536</v>
      </c>
      <c r="AL1612" s="2678">
        <f>SUM(BL1612:BY1612)</f>
        <v>91381.94</v>
      </c>
      <c r="AM1612" s="2678">
        <v>45405</v>
      </c>
      <c r="AN1612" s="2678">
        <f t="shared" si="328"/>
        <v>91381.94</v>
      </c>
      <c r="AO1612" s="2678">
        <v>45439</v>
      </c>
      <c r="AP1612" s="3524">
        <f t="shared" si="327"/>
        <v>55121.93</v>
      </c>
      <c r="AQ1612" s="5079"/>
      <c r="AR1612" s="2680"/>
      <c r="AS1612" s="5079"/>
      <c r="AT1612" s="2680"/>
      <c r="AU1612" s="2680"/>
      <c r="AV1612" s="2680"/>
      <c r="AW1612" s="2680"/>
      <c r="AX1612" s="2680"/>
      <c r="AY1612" s="2680"/>
      <c r="AZ1612" s="2680"/>
      <c r="BA1612" s="2678"/>
      <c r="BB1612" s="2678"/>
      <c r="BC1612" s="2678"/>
      <c r="BD1612" s="2678"/>
      <c r="BE1612" s="2678"/>
      <c r="BF1612" s="2678"/>
      <c r="BG1612" s="2678"/>
      <c r="BH1612" s="2678"/>
      <c r="BI1612" s="2678">
        <v>146503.87</v>
      </c>
      <c r="BJ1612" s="2678"/>
      <c r="BK1612" s="2678"/>
      <c r="BL1612" s="2678"/>
      <c r="BM1612" s="2678"/>
      <c r="BN1612" s="2678"/>
      <c r="BO1612" s="2680"/>
      <c r="BP1612" s="2680"/>
      <c r="BQ1612" s="2680"/>
      <c r="BR1612" s="2680"/>
      <c r="BS1612" s="2680"/>
      <c r="BT1612" s="2680"/>
      <c r="BU1612" s="2680"/>
      <c r="BV1612" s="2680"/>
      <c r="BW1612" s="2678">
        <f>146503.87-55121.93</f>
        <v>91381.94</v>
      </c>
      <c r="BX1612" s="2680"/>
      <c r="BY1612" s="2680"/>
      <c r="BZ1612" s="2680"/>
      <c r="CA1612" s="2680"/>
      <c r="CB1612" s="2680"/>
      <c r="CC1612" s="2680"/>
      <c r="CD1612" s="2680"/>
      <c r="CE1612" s="5031"/>
      <c r="CF1612" s="5031"/>
      <c r="CG1612" s="5031"/>
      <c r="CH1612" s="5031"/>
    </row>
    <row r="1613" s="4987" customFormat="1" ht="59.25" customHeight="1" spans="1:86">
      <c r="A1613" s="2680"/>
      <c r="B1613" s="3927"/>
      <c r="C1613" s="3927"/>
      <c r="D1613" s="5145"/>
      <c r="E1613" s="3927"/>
      <c r="F1613" s="5822"/>
      <c r="G1613" s="5822"/>
      <c r="H1613" s="3927"/>
      <c r="I1613" s="3927"/>
      <c r="J1613" s="5822"/>
      <c r="K1613" s="3927"/>
      <c r="L1613" s="5822"/>
      <c r="M1613" s="3927"/>
      <c r="N1613" s="2680"/>
      <c r="O1613" s="2680"/>
      <c r="P1613" s="2680"/>
      <c r="Q1613" s="2680"/>
      <c r="R1613" s="2680"/>
      <c r="S1613" s="2680"/>
      <c r="T1613" s="2680"/>
      <c r="U1613" s="2680"/>
      <c r="V1613" s="2680"/>
      <c r="W1613" s="2680"/>
      <c r="X1613" s="2680"/>
      <c r="Y1613" s="2680"/>
      <c r="Z1613" s="2680"/>
      <c r="AA1613" s="2680"/>
      <c r="AB1613" s="2680"/>
      <c r="AC1613" s="3927"/>
      <c r="AD1613" s="5822"/>
      <c r="AE1613" s="3927"/>
      <c r="AF1613" s="3927"/>
      <c r="AG1613" s="3932">
        <f t="shared" si="330"/>
        <v>-55121.93</v>
      </c>
      <c r="AH1613" s="5881" t="s">
        <v>349</v>
      </c>
      <c r="AI1613" s="3932"/>
      <c r="AJ1613" s="2680"/>
      <c r="AK1613" s="2680"/>
      <c r="AL1613" s="2680"/>
      <c r="AM1613" s="2680"/>
      <c r="AN1613" s="3932"/>
      <c r="AO1613" s="3932"/>
      <c r="AP1613" s="3524">
        <f t="shared" si="327"/>
        <v>-55121.93</v>
      </c>
      <c r="AQ1613" s="1035" t="s">
        <v>2745</v>
      </c>
      <c r="AR1613" s="2680"/>
      <c r="AS1613" s="5079"/>
      <c r="AT1613" s="2680"/>
      <c r="AU1613" s="2680"/>
      <c r="AV1613" s="2680"/>
      <c r="AW1613" s="2680"/>
      <c r="AX1613" s="2680"/>
      <c r="AY1613" s="2680"/>
      <c r="AZ1613" s="2680"/>
      <c r="BA1613" s="2678"/>
      <c r="BB1613" s="2678"/>
      <c r="BC1613" s="2678"/>
      <c r="BD1613" s="2678"/>
      <c r="BE1613" s="2678"/>
      <c r="BF1613" s="2678"/>
      <c r="BG1613" s="2678"/>
      <c r="BH1613" s="2678"/>
      <c r="BI1613" s="3932">
        <v>-55121.93</v>
      </c>
      <c r="BJ1613" s="2678"/>
      <c r="BK1613" s="2678"/>
      <c r="BL1613" s="2678"/>
      <c r="BM1613" s="2678"/>
      <c r="BN1613" s="2678"/>
      <c r="BO1613" s="2680"/>
      <c r="BP1613" s="2680"/>
      <c r="BQ1613" s="2680"/>
      <c r="BR1613" s="2680"/>
      <c r="BS1613" s="2680"/>
      <c r="BT1613" s="2680"/>
      <c r="BU1613" s="2680"/>
      <c r="BV1613" s="2680"/>
      <c r="BW1613" s="3932"/>
      <c r="BX1613" s="2680"/>
      <c r="BY1613" s="2680"/>
      <c r="BZ1613" s="2680"/>
      <c r="CA1613" s="2680"/>
      <c r="CB1613" s="2680"/>
      <c r="CC1613" s="2680"/>
      <c r="CD1613" s="2680"/>
      <c r="CE1613" s="5031"/>
      <c r="CF1613" s="5031"/>
      <c r="CG1613" s="5031"/>
      <c r="CH1613" s="5031"/>
    </row>
    <row r="1614" s="4987" customFormat="1" ht="22" customHeight="1" spans="1:86">
      <c r="A1614" s="2680"/>
      <c r="B1614" s="2680" t="s">
        <v>2570</v>
      </c>
      <c r="C1614" s="2680">
        <v>43040</v>
      </c>
      <c r="D1614" s="1035" t="s">
        <v>2579</v>
      </c>
      <c r="E1614" s="2680" t="s">
        <v>113</v>
      </c>
      <c r="F1614" s="5079" t="s">
        <v>2746</v>
      </c>
      <c r="G1614" s="5079" t="s">
        <v>2747</v>
      </c>
      <c r="H1614" s="2680" t="s">
        <v>193</v>
      </c>
      <c r="I1614" s="2680"/>
      <c r="J1614" s="5079" t="s">
        <v>2583</v>
      </c>
      <c r="K1614" s="2680">
        <v>52248</v>
      </c>
      <c r="L1614" s="5079" t="s">
        <v>2748</v>
      </c>
      <c r="M1614" s="2680">
        <f>SUM(N1614:AA1617)</f>
        <v>391860</v>
      </c>
      <c r="N1614" s="2680">
        <v>0</v>
      </c>
      <c r="O1614" s="2680">
        <v>0</v>
      </c>
      <c r="P1614" s="2680">
        <v>0</v>
      </c>
      <c r="Q1614" s="2680">
        <v>0</v>
      </c>
      <c r="R1614" s="2680">
        <v>0</v>
      </c>
      <c r="S1614" s="2680">
        <v>0</v>
      </c>
      <c r="T1614" s="2680"/>
      <c r="U1614" s="2680">
        <v>0</v>
      </c>
      <c r="V1614" s="2680">
        <f>K1614*7.5</f>
        <v>391860</v>
      </c>
      <c r="W1614" s="2680">
        <v>0</v>
      </c>
      <c r="X1614" s="2680"/>
      <c r="Y1614" s="2680"/>
      <c r="Z1614" s="2680"/>
      <c r="AA1614" s="2680">
        <v>0</v>
      </c>
      <c r="AB1614" s="2680" t="s">
        <v>113</v>
      </c>
      <c r="AC1614" s="2680">
        <v>1</v>
      </c>
      <c r="AD1614" s="2680" t="s">
        <v>121</v>
      </c>
      <c r="AE1614" s="2680">
        <v>0.2</v>
      </c>
      <c r="AF1614" s="2680">
        <f>391860*AE1614</f>
        <v>78372</v>
      </c>
      <c r="AG1614" s="5079">
        <f t="shared" ref="AG1614:AG1637" si="331">SUM(BA1614:BN1614)</f>
        <v>78372</v>
      </c>
      <c r="AH1614" s="2680" t="s">
        <v>206</v>
      </c>
      <c r="AI1614" s="2680">
        <v>43213</v>
      </c>
      <c r="AJ1614" s="2680" t="s">
        <v>171</v>
      </c>
      <c r="AK1614" s="2680" t="s">
        <v>171</v>
      </c>
      <c r="AL1614" s="2680">
        <v>78372</v>
      </c>
      <c r="AM1614" s="2680">
        <v>43213</v>
      </c>
      <c r="AN1614" s="2680">
        <f t="shared" ref="AN1614:AN1624" si="332">SUM(BO1614:CB1614)</f>
        <v>78372</v>
      </c>
      <c r="AO1614" s="2678">
        <v>43223</v>
      </c>
      <c r="AP1614" s="2680">
        <f t="shared" ref="AP1614:AP1623" si="333">AG1614-AN1614</f>
        <v>0</v>
      </c>
      <c r="AQ1614" s="5079" t="s">
        <v>2749</v>
      </c>
      <c r="AR1614" s="859" t="s">
        <v>128</v>
      </c>
      <c r="AS1614" s="5079"/>
      <c r="AT1614" s="2680" t="s">
        <v>171</v>
      </c>
      <c r="AU1614" s="2680">
        <f>SUM(AG1614:AG1617)</f>
        <v>391860</v>
      </c>
      <c r="AV1614" s="2680">
        <f>SUM(AL1614:AL1617)</f>
        <v>391860</v>
      </c>
      <c r="AW1614" s="2680">
        <f>SUM(AN1614:AN1617)</f>
        <v>391860</v>
      </c>
      <c r="AX1614" s="2680">
        <f>M1614-AU1614</f>
        <v>0</v>
      </c>
      <c r="AY1614" s="2680">
        <f>AU1614-AV1614</f>
        <v>0</v>
      </c>
      <c r="AZ1614" s="2680">
        <f>AV1614-AW1614</f>
        <v>0</v>
      </c>
      <c r="BA1614" s="5890"/>
      <c r="BB1614" s="5890"/>
      <c r="BC1614" s="5890"/>
      <c r="BD1614" s="5890"/>
      <c r="BE1614" s="5890"/>
      <c r="BF1614" s="5890"/>
      <c r="BG1614" s="5890"/>
      <c r="BH1614" s="5667"/>
      <c r="BI1614" s="2678">
        <v>78372</v>
      </c>
      <c r="BJ1614" s="2678"/>
      <c r="BK1614" s="2678"/>
      <c r="BL1614" s="2678"/>
      <c r="BM1614" s="2678"/>
      <c r="BN1614" s="5890"/>
      <c r="BO1614" s="5887"/>
      <c r="BP1614" s="5887"/>
      <c r="BQ1614" s="5887"/>
      <c r="BR1614" s="5887"/>
      <c r="BS1614" s="5887"/>
      <c r="BT1614" s="5887"/>
      <c r="BU1614" s="5887"/>
      <c r="BV1614" s="5887"/>
      <c r="BW1614" s="2680">
        <v>78372</v>
      </c>
      <c r="BX1614" s="2680"/>
      <c r="BY1614" s="2680"/>
      <c r="BZ1614" s="2680"/>
      <c r="CA1614" s="2680"/>
      <c r="CB1614" s="5887"/>
      <c r="CC1614" s="2680"/>
      <c r="CD1614" s="2680"/>
      <c r="CE1614" s="5031"/>
      <c r="CF1614" s="5031"/>
      <c r="CG1614" s="5031"/>
      <c r="CH1614" s="5031"/>
    </row>
    <row r="1615" ht="31" spans="1:86">
      <c r="A1615" s="2680"/>
      <c r="B1615" s="2680"/>
      <c r="C1615" s="2680"/>
      <c r="D1615" s="5079"/>
      <c r="E1615" s="2680"/>
      <c r="F1615" s="5079"/>
      <c r="G1615" s="5079"/>
      <c r="H1615" s="2680"/>
      <c r="I1615" s="2680"/>
      <c r="J1615" s="5079"/>
      <c r="K1615" s="2680"/>
      <c r="L1615" s="5079"/>
      <c r="M1615" s="2680"/>
      <c r="N1615" s="2680"/>
      <c r="O1615" s="2680"/>
      <c r="P1615" s="2680"/>
      <c r="Q1615" s="2680"/>
      <c r="R1615" s="2680"/>
      <c r="S1615" s="2680"/>
      <c r="T1615" s="2680"/>
      <c r="U1615" s="2680"/>
      <c r="V1615" s="2680"/>
      <c r="W1615" s="2680"/>
      <c r="X1615" s="2680"/>
      <c r="Y1615" s="2680"/>
      <c r="Z1615" s="2680"/>
      <c r="AA1615" s="2680"/>
      <c r="AB1615" s="2680"/>
      <c r="AC1615" s="2680">
        <v>2</v>
      </c>
      <c r="AD1615" s="5079" t="s">
        <v>2750</v>
      </c>
      <c r="AE1615" s="2680">
        <v>0.4</v>
      </c>
      <c r="AF1615" s="2680">
        <f>391860*AE1615</f>
        <v>156744</v>
      </c>
      <c r="AG1615" s="5079">
        <f t="shared" si="331"/>
        <v>156744</v>
      </c>
      <c r="AH1615" s="2680" t="s">
        <v>206</v>
      </c>
      <c r="AI1615" s="2680">
        <v>43213</v>
      </c>
      <c r="AJ1615" s="2680" t="s">
        <v>171</v>
      </c>
      <c r="AK1615" s="2680" t="s">
        <v>171</v>
      </c>
      <c r="AL1615" s="2680">
        <v>156744</v>
      </c>
      <c r="AM1615" s="2680">
        <v>43213</v>
      </c>
      <c r="AN1615" s="2680">
        <f t="shared" si="332"/>
        <v>156744</v>
      </c>
      <c r="AO1615" s="2678">
        <v>43223</v>
      </c>
      <c r="AP1615" s="2680">
        <f t="shared" si="333"/>
        <v>0</v>
      </c>
      <c r="AQ1615" s="5079"/>
      <c r="AR1615" s="2680"/>
      <c r="AS1615" s="5079"/>
      <c r="AT1615" s="2680" t="s">
        <v>171</v>
      </c>
      <c r="AU1615" s="2680"/>
      <c r="AV1615" s="2680"/>
      <c r="AW1615" s="2680"/>
      <c r="AX1615" s="2680"/>
      <c r="AY1615" s="2680"/>
      <c r="AZ1615" s="2680"/>
      <c r="BA1615" s="5890"/>
      <c r="BB1615" s="5890"/>
      <c r="BC1615" s="5890"/>
      <c r="BD1615" s="5890"/>
      <c r="BE1615" s="5890"/>
      <c r="BF1615" s="5890"/>
      <c r="BG1615" s="5890"/>
      <c r="BH1615" s="5667"/>
      <c r="BI1615" s="2678">
        <v>156744</v>
      </c>
      <c r="BJ1615" s="2678"/>
      <c r="BK1615" s="2678"/>
      <c r="BL1615" s="2678"/>
      <c r="BM1615" s="2678"/>
      <c r="BN1615" s="5890"/>
      <c r="BO1615" s="5887"/>
      <c r="BP1615" s="5887"/>
      <c r="BQ1615" s="5887"/>
      <c r="BR1615" s="5887"/>
      <c r="BS1615" s="5887"/>
      <c r="BT1615" s="5887"/>
      <c r="BU1615" s="5887"/>
      <c r="BV1615" s="5887"/>
      <c r="BW1615" s="2680">
        <v>156744</v>
      </c>
      <c r="BX1615" s="2680"/>
      <c r="BY1615" s="2680"/>
      <c r="BZ1615" s="2680"/>
      <c r="CA1615" s="2680"/>
      <c r="CB1615" s="5887"/>
      <c r="CC1615" s="2680"/>
      <c r="CD1615" s="2680"/>
      <c r="CE1615" s="5168"/>
      <c r="CF1615" s="5168"/>
      <c r="CG1615" s="5750"/>
      <c r="CH1615" s="5750"/>
    </row>
    <row r="1616" ht="88" customHeight="1" spans="1:86">
      <c r="A1616" s="2680"/>
      <c r="B1616" s="2680"/>
      <c r="C1616" s="2680"/>
      <c r="D1616" s="5079"/>
      <c r="E1616" s="2680"/>
      <c r="F1616" s="5079"/>
      <c r="G1616" s="5079"/>
      <c r="H1616" s="2680"/>
      <c r="I1616" s="2680"/>
      <c r="J1616" s="5079"/>
      <c r="K1616" s="2680"/>
      <c r="L1616" s="5079"/>
      <c r="M1616" s="2680"/>
      <c r="N1616" s="2680"/>
      <c r="O1616" s="2680"/>
      <c r="P1616" s="2680"/>
      <c r="Q1616" s="2680"/>
      <c r="R1616" s="2680"/>
      <c r="S1616" s="2680"/>
      <c r="T1616" s="2680"/>
      <c r="U1616" s="2680"/>
      <c r="V1616" s="2680"/>
      <c r="W1616" s="2680"/>
      <c r="X1616" s="2680"/>
      <c r="Y1616" s="2680"/>
      <c r="Z1616" s="2680"/>
      <c r="AA1616" s="2680"/>
      <c r="AB1616" s="2680"/>
      <c r="AC1616" s="2680">
        <v>3</v>
      </c>
      <c r="AD1616" s="5079" t="s">
        <v>2751</v>
      </c>
      <c r="AE1616" s="2680">
        <v>0.2</v>
      </c>
      <c r="AF1616" s="2680">
        <f>391860*AE1616</f>
        <v>78372</v>
      </c>
      <c r="AG1616" s="5079">
        <f t="shared" si="331"/>
        <v>78372</v>
      </c>
      <c r="AH1616" s="2680" t="s">
        <v>122</v>
      </c>
      <c r="AI1616" s="3524">
        <v>43454</v>
      </c>
      <c r="AJ1616" s="2680">
        <v>78372</v>
      </c>
      <c r="AK1616" s="3524">
        <v>43454</v>
      </c>
      <c r="AL1616" s="2680">
        <v>78372</v>
      </c>
      <c r="AM1616" s="3524">
        <v>44187</v>
      </c>
      <c r="AN1616" s="2680">
        <f t="shared" si="332"/>
        <v>78372</v>
      </c>
      <c r="AO1616" s="2678">
        <v>44231</v>
      </c>
      <c r="AP1616" s="2680">
        <f t="shared" si="333"/>
        <v>0</v>
      </c>
      <c r="AQ1616" s="5331"/>
      <c r="AR1616" s="2680"/>
      <c r="AS1616" s="1035" t="s">
        <v>2752</v>
      </c>
      <c r="AT1616" s="2680"/>
      <c r="AU1616" s="2680"/>
      <c r="AV1616" s="2680"/>
      <c r="AW1616" s="2680"/>
      <c r="AX1616" s="2680"/>
      <c r="AY1616" s="2680"/>
      <c r="AZ1616" s="2680"/>
      <c r="BA1616" s="5796"/>
      <c r="BB1616" s="5796"/>
      <c r="BC1616" s="2678"/>
      <c r="BD1616" s="5796"/>
      <c r="BE1616" s="5796"/>
      <c r="BF1616" s="5796"/>
      <c r="BG1616" s="5796"/>
      <c r="BH1616" s="2678"/>
      <c r="BI1616" s="3812">
        <v>78372</v>
      </c>
      <c r="BJ1616" s="3812"/>
      <c r="BK1616" s="3812"/>
      <c r="BL1616" s="3812"/>
      <c r="BM1616" s="3812"/>
      <c r="BN1616" s="5146"/>
      <c r="BO1616" s="5146"/>
      <c r="BP1616" s="5146"/>
      <c r="BQ1616" s="5146"/>
      <c r="BR1616" s="5146"/>
      <c r="BS1616" s="5146"/>
      <c r="BT1616" s="5146"/>
      <c r="BU1616" s="5146"/>
      <c r="BV1616" s="5146"/>
      <c r="BW1616" s="3812">
        <v>78372</v>
      </c>
      <c r="BX1616" s="5146"/>
      <c r="BY1616" s="5146"/>
      <c r="BZ1616" s="5146"/>
      <c r="CA1616" s="5146"/>
      <c r="CB1616" s="5796"/>
      <c r="CC1616" s="2680"/>
      <c r="CD1616" s="2680"/>
      <c r="CE1616" s="5168"/>
      <c r="CF1616" s="5168"/>
      <c r="CG1616" s="5750"/>
      <c r="CH1616" s="5750"/>
    </row>
    <row r="1617" ht="31" spans="1:86">
      <c r="A1617" s="2680"/>
      <c r="B1617" s="2680"/>
      <c r="C1617" s="2680"/>
      <c r="D1617" s="5079"/>
      <c r="E1617" s="2680"/>
      <c r="F1617" s="5079"/>
      <c r="G1617" s="5079"/>
      <c r="H1617" s="2680"/>
      <c r="I1617" s="2680"/>
      <c r="J1617" s="5079"/>
      <c r="K1617" s="2680"/>
      <c r="L1617" s="5079"/>
      <c r="M1617" s="2680"/>
      <c r="N1617" s="2680"/>
      <c r="O1617" s="2680"/>
      <c r="P1617" s="2680"/>
      <c r="Q1617" s="2680"/>
      <c r="R1617" s="2680"/>
      <c r="S1617" s="2680"/>
      <c r="T1617" s="2680"/>
      <c r="U1617" s="2680"/>
      <c r="V1617" s="2680"/>
      <c r="W1617" s="2680"/>
      <c r="X1617" s="2680"/>
      <c r="Y1617" s="2680"/>
      <c r="Z1617" s="2680"/>
      <c r="AA1617" s="2680"/>
      <c r="AB1617" s="2680"/>
      <c r="AC1617" s="2680">
        <v>4</v>
      </c>
      <c r="AD1617" s="5079" t="s">
        <v>2753</v>
      </c>
      <c r="AE1617" s="2680">
        <v>0.2</v>
      </c>
      <c r="AF1617" s="2680">
        <f>391860*AE1617</f>
        <v>78372</v>
      </c>
      <c r="AG1617" s="5079">
        <f t="shared" si="331"/>
        <v>78372</v>
      </c>
      <c r="AH1617" s="2680" t="s">
        <v>122</v>
      </c>
      <c r="AI1617" s="3524">
        <v>44187</v>
      </c>
      <c r="AJ1617" s="5079">
        <f>SUM(BD1617:BQ1617)</f>
        <v>78372</v>
      </c>
      <c r="AK1617" s="3524">
        <v>44187</v>
      </c>
      <c r="AL1617" s="2680">
        <v>78372</v>
      </c>
      <c r="AM1617" s="3524">
        <v>44188</v>
      </c>
      <c r="AN1617" s="2680">
        <f t="shared" si="332"/>
        <v>78372</v>
      </c>
      <c r="AO1617" s="2678">
        <v>44231</v>
      </c>
      <c r="AP1617" s="2680">
        <f t="shared" si="333"/>
        <v>0</v>
      </c>
      <c r="AQ1617" s="5331"/>
      <c r="AR1617" s="2680"/>
      <c r="AS1617" s="5079"/>
      <c r="AT1617" s="2680"/>
      <c r="AU1617" s="2680"/>
      <c r="AV1617" s="2680"/>
      <c r="AW1617" s="2680"/>
      <c r="AX1617" s="2680"/>
      <c r="AY1617" s="2680"/>
      <c r="AZ1617" s="2680"/>
      <c r="BA1617" s="5796"/>
      <c r="BB1617" s="5796"/>
      <c r="BC1617" s="2678"/>
      <c r="BD1617" s="5796"/>
      <c r="BE1617" s="5796"/>
      <c r="BF1617" s="5796"/>
      <c r="BG1617" s="5796"/>
      <c r="BH1617" s="2678"/>
      <c r="BI1617" s="3812">
        <v>78372</v>
      </c>
      <c r="BJ1617" s="5146"/>
      <c r="BK1617" s="5146"/>
      <c r="BL1617" s="5146"/>
      <c r="BM1617" s="5146"/>
      <c r="BN1617" s="5146"/>
      <c r="BO1617" s="5146"/>
      <c r="BP1617" s="5146"/>
      <c r="BQ1617" s="5146"/>
      <c r="BR1617" s="5146"/>
      <c r="BS1617" s="5146"/>
      <c r="BT1617" s="5146"/>
      <c r="BU1617" s="5146"/>
      <c r="BV1617" s="5146"/>
      <c r="BW1617" s="3812">
        <v>78372</v>
      </c>
      <c r="BX1617" s="5146"/>
      <c r="BY1617" s="5146"/>
      <c r="BZ1617" s="5146"/>
      <c r="CA1617" s="5146"/>
      <c r="CB1617" s="5796"/>
      <c r="CC1617" s="2680"/>
      <c r="CD1617" s="2680"/>
      <c r="CE1617" s="5168"/>
      <c r="CF1617" s="5168"/>
      <c r="CG1617" s="5750"/>
      <c r="CH1617" s="5750"/>
    </row>
    <row r="1618" ht="30" customHeight="1" spans="1:86">
      <c r="A1618" s="2680"/>
      <c r="B1618" s="2680" t="s">
        <v>2570</v>
      </c>
      <c r="C1618" s="3524">
        <v>43607</v>
      </c>
      <c r="D1618" s="1035" t="s">
        <v>2648</v>
      </c>
      <c r="E1618" s="2680" t="s">
        <v>113</v>
      </c>
      <c r="F1618" s="5079" t="s">
        <v>2754</v>
      </c>
      <c r="G1618" s="5079" t="s">
        <v>2755</v>
      </c>
      <c r="H1618" s="2680" t="s">
        <v>193</v>
      </c>
      <c r="I1618" s="2680"/>
      <c r="J1618" s="5079" t="s">
        <v>2756</v>
      </c>
      <c r="K1618" s="2680">
        <v>60403.58</v>
      </c>
      <c r="L1618" s="5079" t="s">
        <v>2757</v>
      </c>
      <c r="M1618" s="2680">
        <f>SUM(N1618:AA1621)</f>
        <v>453026.86</v>
      </c>
      <c r="N1618" s="2680">
        <v>0</v>
      </c>
      <c r="O1618" s="2680">
        <v>0</v>
      </c>
      <c r="P1618" s="2680">
        <v>0</v>
      </c>
      <c r="Q1618" s="2680">
        <v>0</v>
      </c>
      <c r="R1618" s="2680">
        <v>0</v>
      </c>
      <c r="S1618" s="2680">
        <v>0</v>
      </c>
      <c r="T1618" s="2680"/>
      <c r="U1618" s="2680">
        <v>0</v>
      </c>
      <c r="V1618" s="2680">
        <v>453026.86</v>
      </c>
      <c r="W1618" s="2680">
        <v>0</v>
      </c>
      <c r="X1618" s="2680"/>
      <c r="Y1618" s="2680"/>
      <c r="Z1618" s="2680"/>
      <c r="AA1618" s="2680">
        <v>0</v>
      </c>
      <c r="AB1618" s="2680" t="s">
        <v>113</v>
      </c>
      <c r="AC1618" s="2680">
        <v>1</v>
      </c>
      <c r="AD1618" s="5887" t="s">
        <v>2758</v>
      </c>
      <c r="AE1618" s="2680">
        <v>0.2</v>
      </c>
      <c r="AF1618" s="2680">
        <f>453026.86*AE1618</f>
        <v>90605.372</v>
      </c>
      <c r="AG1618" s="5079">
        <f t="shared" si="331"/>
        <v>90605.372</v>
      </c>
      <c r="AH1618" s="2680" t="s">
        <v>122</v>
      </c>
      <c r="AI1618" s="3524">
        <v>43713</v>
      </c>
      <c r="AJ1618" s="2680">
        <v>90605.372</v>
      </c>
      <c r="AK1618" s="3524">
        <v>43713</v>
      </c>
      <c r="AL1618" s="2680">
        <v>90605.372</v>
      </c>
      <c r="AM1618" s="5130">
        <v>43753</v>
      </c>
      <c r="AN1618" s="2680">
        <f t="shared" si="332"/>
        <v>90605.372</v>
      </c>
      <c r="AO1618" s="2678">
        <v>43824</v>
      </c>
      <c r="AP1618" s="2680">
        <f t="shared" si="333"/>
        <v>0</v>
      </c>
      <c r="AQ1618" s="1035" t="s">
        <v>2759</v>
      </c>
      <c r="AR1618" s="859" t="s">
        <v>128</v>
      </c>
      <c r="AS1618" s="5079"/>
      <c r="AT1618" s="2680" t="s">
        <v>171</v>
      </c>
      <c r="AU1618" s="2680">
        <f>SUM(AG1618:AG1621)</f>
        <v>453026.856</v>
      </c>
      <c r="AV1618" s="2680">
        <f>SUM(AL1618:AL1621)</f>
        <v>453027.338</v>
      </c>
      <c r="AW1618" s="2680">
        <f>SUM(AN1618:AN1621)</f>
        <v>453026.856</v>
      </c>
      <c r="AX1618" s="2680">
        <f>M1618-AU1618</f>
        <v>0.00399999995715916</v>
      </c>
      <c r="AY1618" s="2680">
        <f>AU1618-AV1618</f>
        <v>-0.481999999959953</v>
      </c>
      <c r="AZ1618" s="2680">
        <f>AV1618-AW1618</f>
        <v>0.481999999959953</v>
      </c>
      <c r="BA1618" s="5796"/>
      <c r="BB1618" s="5796"/>
      <c r="BC1618" s="2678"/>
      <c r="BD1618" s="5796"/>
      <c r="BE1618" s="5796"/>
      <c r="BF1618" s="5796"/>
      <c r="BG1618" s="5796"/>
      <c r="BH1618" s="2678"/>
      <c r="BI1618" s="3812">
        <v>90605.372</v>
      </c>
      <c r="BJ1618" s="3812"/>
      <c r="BK1618" s="3812"/>
      <c r="BL1618" s="3812"/>
      <c r="BM1618" s="3812"/>
      <c r="BN1618" s="5146"/>
      <c r="BO1618" s="5122"/>
      <c r="BP1618" s="5122"/>
      <c r="BQ1618" s="5122"/>
      <c r="BR1618" s="5122"/>
      <c r="BS1618" s="5122"/>
      <c r="BT1618" s="5122"/>
      <c r="BU1618" s="5122"/>
      <c r="BV1618" s="5122"/>
      <c r="BW1618" s="3524">
        <v>90605.372</v>
      </c>
      <c r="BX1618" s="5122"/>
      <c r="BY1618" s="5122"/>
      <c r="BZ1618" s="5122"/>
      <c r="CA1618" s="5122"/>
      <c r="CB1618" s="5331"/>
      <c r="CC1618" s="2680"/>
      <c r="CD1618" s="2680"/>
      <c r="CE1618" s="5168"/>
      <c r="CF1618" s="5168"/>
      <c r="CG1618" s="5750"/>
      <c r="CH1618" s="5750"/>
    </row>
    <row r="1619" ht="46" spans="1:86">
      <c r="A1619" s="2680"/>
      <c r="B1619" s="2680"/>
      <c r="C1619" s="3524"/>
      <c r="D1619" s="5079"/>
      <c r="E1619" s="2680"/>
      <c r="F1619" s="5079"/>
      <c r="G1619" s="5079"/>
      <c r="H1619" s="2680"/>
      <c r="I1619" s="2680"/>
      <c r="J1619" s="5079"/>
      <c r="K1619" s="2680"/>
      <c r="L1619" s="5079"/>
      <c r="M1619" s="2680"/>
      <c r="N1619" s="2680"/>
      <c r="O1619" s="2680"/>
      <c r="P1619" s="2680"/>
      <c r="Q1619" s="2680"/>
      <c r="R1619" s="2680"/>
      <c r="S1619" s="2680"/>
      <c r="T1619" s="2680"/>
      <c r="U1619" s="2680"/>
      <c r="V1619" s="2680"/>
      <c r="W1619" s="2680"/>
      <c r="X1619" s="2680"/>
      <c r="Y1619" s="2680"/>
      <c r="Z1619" s="2680"/>
      <c r="AA1619" s="2680"/>
      <c r="AB1619" s="2680"/>
      <c r="AC1619" s="2680">
        <v>2</v>
      </c>
      <c r="AD1619" s="5887" t="s">
        <v>2760</v>
      </c>
      <c r="AE1619" s="2680">
        <v>0.4</v>
      </c>
      <c r="AF1619" s="2680">
        <f>453026.86*AE1619</f>
        <v>181210.744</v>
      </c>
      <c r="AG1619" s="5079">
        <f t="shared" si="331"/>
        <v>181210.744</v>
      </c>
      <c r="AH1619" s="2680" t="s">
        <v>122</v>
      </c>
      <c r="AI1619" s="3524">
        <v>43713</v>
      </c>
      <c r="AJ1619" s="2680">
        <v>181210.744</v>
      </c>
      <c r="AK1619" s="3524">
        <v>43713</v>
      </c>
      <c r="AL1619" s="2680">
        <v>181210.744</v>
      </c>
      <c r="AM1619" s="5130">
        <v>43753</v>
      </c>
      <c r="AN1619" s="2680">
        <f t="shared" si="332"/>
        <v>181210.744</v>
      </c>
      <c r="AO1619" s="2678">
        <v>43824</v>
      </c>
      <c r="AP1619" s="2680">
        <f t="shared" si="333"/>
        <v>0</v>
      </c>
      <c r="AQ1619" s="5079"/>
      <c r="AR1619" s="2680"/>
      <c r="AS1619" s="5079"/>
      <c r="AT1619" s="2680" t="s">
        <v>171</v>
      </c>
      <c r="AU1619" s="2680"/>
      <c r="AV1619" s="2680"/>
      <c r="AW1619" s="2680"/>
      <c r="AX1619" s="2680"/>
      <c r="AY1619" s="2680"/>
      <c r="AZ1619" s="2680"/>
      <c r="BA1619" s="5796"/>
      <c r="BB1619" s="5796"/>
      <c r="BC1619" s="2678"/>
      <c r="BD1619" s="5796"/>
      <c r="BE1619" s="5796"/>
      <c r="BF1619" s="5796"/>
      <c r="BG1619" s="5796"/>
      <c r="BH1619" s="2678"/>
      <c r="BI1619" s="5796">
        <v>181210.744</v>
      </c>
      <c r="BJ1619" s="5796"/>
      <c r="BK1619" s="5796"/>
      <c r="BL1619" s="5796"/>
      <c r="BM1619" s="5796"/>
      <c r="BN1619" s="5796"/>
      <c r="BO1619" s="5331"/>
      <c r="BP1619" s="5331"/>
      <c r="BQ1619" s="5331"/>
      <c r="BR1619" s="5331"/>
      <c r="BS1619" s="5331"/>
      <c r="BT1619" s="5331"/>
      <c r="BU1619" s="5331"/>
      <c r="BV1619" s="5331"/>
      <c r="BW1619" s="2680">
        <v>181210.744</v>
      </c>
      <c r="BX1619" s="5331"/>
      <c r="BY1619" s="5331"/>
      <c r="BZ1619" s="5331"/>
      <c r="CA1619" s="5331"/>
      <c r="CB1619" s="5331"/>
      <c r="CC1619" s="2680"/>
      <c r="CD1619" s="2680"/>
      <c r="CE1619" s="5168"/>
      <c r="CF1619" s="5168"/>
      <c r="CG1619" s="5750"/>
      <c r="CH1619" s="5750"/>
    </row>
    <row r="1620" ht="36" customHeight="1" spans="1:86">
      <c r="A1620" s="2680"/>
      <c r="B1620" s="2680"/>
      <c r="C1620" s="3524"/>
      <c r="D1620" s="5079"/>
      <c r="E1620" s="2680"/>
      <c r="F1620" s="5079"/>
      <c r="G1620" s="5079"/>
      <c r="H1620" s="2680"/>
      <c r="I1620" s="2680"/>
      <c r="J1620" s="5079"/>
      <c r="K1620" s="2680"/>
      <c r="L1620" s="5079"/>
      <c r="M1620" s="2680"/>
      <c r="N1620" s="2680"/>
      <c r="O1620" s="2680"/>
      <c r="P1620" s="2680"/>
      <c r="Q1620" s="2680"/>
      <c r="R1620" s="2680"/>
      <c r="S1620" s="2680"/>
      <c r="T1620" s="2680"/>
      <c r="U1620" s="2680"/>
      <c r="V1620" s="2680"/>
      <c r="W1620" s="2680"/>
      <c r="X1620" s="2680"/>
      <c r="Y1620" s="2680"/>
      <c r="Z1620" s="2680"/>
      <c r="AA1620" s="2680"/>
      <c r="AB1620" s="2680"/>
      <c r="AC1620" s="2680">
        <v>3</v>
      </c>
      <c r="AD1620" s="5887" t="s">
        <v>2761</v>
      </c>
      <c r="AE1620" s="2680">
        <v>0.2</v>
      </c>
      <c r="AF1620" s="2680">
        <f>453026.86*AE1620</f>
        <v>90605.372</v>
      </c>
      <c r="AG1620" s="5079">
        <f t="shared" si="331"/>
        <v>90604.89</v>
      </c>
      <c r="AH1620" s="2680" t="s">
        <v>122</v>
      </c>
      <c r="AI1620" s="3524">
        <v>43713</v>
      </c>
      <c r="AJ1620" s="2680">
        <v>90605.372</v>
      </c>
      <c r="AK1620" s="3524">
        <v>43713</v>
      </c>
      <c r="AL1620" s="2680">
        <v>90605.372</v>
      </c>
      <c r="AM1620" s="5130">
        <v>43753</v>
      </c>
      <c r="AN1620" s="2680">
        <f t="shared" si="332"/>
        <v>90604.89</v>
      </c>
      <c r="AO1620" s="2678">
        <v>43824</v>
      </c>
      <c r="AP1620" s="2680">
        <f t="shared" si="333"/>
        <v>0</v>
      </c>
      <c r="AQ1620" s="5079"/>
      <c r="AR1620" s="2680"/>
      <c r="AS1620" s="5079"/>
      <c r="AT1620" s="2680" t="s">
        <v>171</v>
      </c>
      <c r="AU1620" s="2680"/>
      <c r="AV1620" s="2680"/>
      <c r="AW1620" s="2680"/>
      <c r="AX1620" s="2680"/>
      <c r="AY1620" s="2680"/>
      <c r="AZ1620" s="2680"/>
      <c r="BA1620" s="5796"/>
      <c r="BB1620" s="5796"/>
      <c r="BC1620" s="2678"/>
      <c r="BD1620" s="5796"/>
      <c r="BE1620" s="5796"/>
      <c r="BF1620" s="5796"/>
      <c r="BG1620" s="5796"/>
      <c r="BH1620" s="2678"/>
      <c r="BI1620" s="5796">
        <v>90604.89</v>
      </c>
      <c r="BJ1620" s="5796"/>
      <c r="BK1620" s="5796"/>
      <c r="BL1620" s="5796"/>
      <c r="BM1620" s="5796"/>
      <c r="BN1620" s="5796"/>
      <c r="BO1620" s="5331"/>
      <c r="BP1620" s="5331"/>
      <c r="BQ1620" s="5331"/>
      <c r="BR1620" s="5331"/>
      <c r="BS1620" s="5331"/>
      <c r="BT1620" s="5331"/>
      <c r="BU1620" s="5331"/>
      <c r="BV1620" s="5331"/>
      <c r="BW1620" s="2680">
        <v>90604.89</v>
      </c>
      <c r="BX1620" s="5331"/>
      <c r="BY1620" s="5331"/>
      <c r="BZ1620" s="5331"/>
      <c r="CA1620" s="5331"/>
      <c r="CB1620" s="5331"/>
      <c r="CC1620" s="2680"/>
      <c r="CD1620" s="2680"/>
      <c r="CE1620" s="5168"/>
      <c r="CF1620" s="5168"/>
      <c r="CG1620" s="5750"/>
      <c r="CH1620" s="5750"/>
    </row>
    <row r="1621" ht="60" customHeight="1" spans="1:86">
      <c r="A1621" s="2680"/>
      <c r="B1621" s="2680"/>
      <c r="C1621" s="3524"/>
      <c r="D1621" s="5079"/>
      <c r="E1621" s="2680"/>
      <c r="F1621" s="5079"/>
      <c r="G1621" s="5079"/>
      <c r="H1621" s="2680"/>
      <c r="I1621" s="2680"/>
      <c r="J1621" s="5079"/>
      <c r="K1621" s="2680"/>
      <c r="L1621" s="5079"/>
      <c r="M1621" s="2680"/>
      <c r="N1621" s="2680"/>
      <c r="O1621" s="2680"/>
      <c r="P1621" s="2680"/>
      <c r="Q1621" s="2680"/>
      <c r="R1621" s="2680"/>
      <c r="S1621" s="2680"/>
      <c r="T1621" s="2680"/>
      <c r="U1621" s="2680"/>
      <c r="V1621" s="2680"/>
      <c r="W1621" s="2680"/>
      <c r="X1621" s="2680"/>
      <c r="Y1621" s="2680"/>
      <c r="Z1621" s="2680"/>
      <c r="AA1621" s="2680"/>
      <c r="AB1621" s="2680"/>
      <c r="AC1621" s="2680">
        <v>4</v>
      </c>
      <c r="AD1621" s="5887" t="s">
        <v>2753</v>
      </c>
      <c r="AE1621" s="2680">
        <v>0.2</v>
      </c>
      <c r="AF1621" s="2680">
        <f>453026.86*AE1621</f>
        <v>90605.372</v>
      </c>
      <c r="AG1621" s="5667">
        <f t="shared" si="331"/>
        <v>90605.85</v>
      </c>
      <c r="AH1621" s="859" t="s">
        <v>122</v>
      </c>
      <c r="AI1621" s="3812">
        <v>44522</v>
      </c>
      <c r="AJ1621" s="2678">
        <v>90605.85</v>
      </c>
      <c r="AK1621" s="3812">
        <v>44522</v>
      </c>
      <c r="AL1621" s="2678">
        <v>90605.85</v>
      </c>
      <c r="AM1621" s="2678">
        <v>44522</v>
      </c>
      <c r="AN1621" s="2678">
        <f t="shared" si="332"/>
        <v>90605.85</v>
      </c>
      <c r="AO1621" s="2678">
        <v>44588</v>
      </c>
      <c r="AP1621" s="2680">
        <f t="shared" si="333"/>
        <v>0</v>
      </c>
      <c r="AQ1621" s="5853" t="s">
        <v>2762</v>
      </c>
      <c r="AR1621" s="2680"/>
      <c r="AS1621" s="5079"/>
      <c r="AT1621" s="2680"/>
      <c r="AU1621" s="2680"/>
      <c r="AV1621" s="2680"/>
      <c r="AW1621" s="2680"/>
      <c r="AX1621" s="2680"/>
      <c r="AY1621" s="2680"/>
      <c r="AZ1621" s="2680"/>
      <c r="BA1621" s="5796"/>
      <c r="BB1621" s="5796"/>
      <c r="BC1621" s="2678"/>
      <c r="BD1621" s="5796"/>
      <c r="BE1621" s="5796"/>
      <c r="BF1621" s="5796"/>
      <c r="BG1621" s="5796"/>
      <c r="BH1621" s="2678"/>
      <c r="BI1621" s="5796">
        <v>90605.85</v>
      </c>
      <c r="BJ1621" s="5796"/>
      <c r="BK1621" s="5796"/>
      <c r="BL1621" s="5796"/>
      <c r="BM1621" s="5796"/>
      <c r="BN1621" s="5796"/>
      <c r="BO1621" s="5331"/>
      <c r="BP1621" s="5331"/>
      <c r="BQ1621" s="5331"/>
      <c r="BR1621" s="5331"/>
      <c r="BS1621" s="5331"/>
      <c r="BT1621" s="5331"/>
      <c r="BU1621" s="5331"/>
      <c r="BV1621" s="5331"/>
      <c r="BW1621" s="2678">
        <v>90605.85</v>
      </c>
      <c r="BX1621" s="5331"/>
      <c r="BY1621" s="5331"/>
      <c r="BZ1621" s="5331"/>
      <c r="CA1621" s="5331"/>
      <c r="CB1621" s="5860"/>
      <c r="CC1621" s="2680"/>
      <c r="CD1621" s="2680"/>
      <c r="CE1621" s="5168"/>
      <c r="CF1621" s="5168"/>
      <c r="CG1621" s="5750"/>
      <c r="CH1621" s="5750"/>
    </row>
    <row r="1622" s="4987" customFormat="1" ht="61" spans="1:86">
      <c r="A1622" s="2680"/>
      <c r="B1622" s="2680" t="s">
        <v>2466</v>
      </c>
      <c r="C1622" s="2713">
        <v>43185</v>
      </c>
      <c r="D1622" s="5079" t="s">
        <v>2763</v>
      </c>
      <c r="E1622" s="2680" t="s">
        <v>113</v>
      </c>
      <c r="F1622" s="5818" t="s">
        <v>2764</v>
      </c>
      <c r="G1622" s="5818" t="s">
        <v>2765</v>
      </c>
      <c r="H1622" s="2680" t="s">
        <v>562</v>
      </c>
      <c r="I1622" s="2680"/>
      <c r="J1622" s="5079" t="s">
        <v>2490</v>
      </c>
      <c r="K1622" s="2680" t="s">
        <v>171</v>
      </c>
      <c r="L1622" s="2680" t="s">
        <v>2766</v>
      </c>
      <c r="M1622" s="2680">
        <f>SUM(N1622:AA1622)</f>
        <v>100000</v>
      </c>
      <c r="N1622" s="2680">
        <v>100000</v>
      </c>
      <c r="O1622" s="2680">
        <v>0</v>
      </c>
      <c r="P1622" s="2680">
        <v>0</v>
      </c>
      <c r="Q1622" s="2680">
        <v>0</v>
      </c>
      <c r="R1622" s="2680">
        <v>0</v>
      </c>
      <c r="S1622" s="2680">
        <v>0</v>
      </c>
      <c r="T1622" s="2680"/>
      <c r="U1622" s="2680">
        <v>0</v>
      </c>
      <c r="V1622" s="2680">
        <v>0</v>
      </c>
      <c r="W1622" s="2680">
        <v>0</v>
      </c>
      <c r="X1622" s="2680"/>
      <c r="Y1622" s="2680"/>
      <c r="Z1622" s="2680"/>
      <c r="AA1622" s="2680">
        <v>0</v>
      </c>
      <c r="AB1622" s="2680" t="s">
        <v>113</v>
      </c>
      <c r="AC1622" s="2680">
        <v>1</v>
      </c>
      <c r="AD1622" s="5079" t="s">
        <v>2767</v>
      </c>
      <c r="AE1622" s="5079">
        <v>1</v>
      </c>
      <c r="AF1622" s="2680">
        <v>100000</v>
      </c>
      <c r="AG1622" s="2680">
        <f t="shared" si="331"/>
        <v>100000</v>
      </c>
      <c r="AH1622" s="2680" t="s">
        <v>206</v>
      </c>
      <c r="AI1622" s="5307"/>
      <c r="AJ1622" s="2680" t="s">
        <v>171</v>
      </c>
      <c r="AK1622" s="2680" t="s">
        <v>171</v>
      </c>
      <c r="AL1622" s="2680">
        <v>100000</v>
      </c>
      <c r="AM1622" s="5307"/>
      <c r="AN1622" s="2680">
        <f t="shared" si="332"/>
        <v>100000</v>
      </c>
      <c r="AO1622" s="6746"/>
      <c r="AP1622" s="859">
        <f t="shared" si="333"/>
        <v>0</v>
      </c>
      <c r="AQ1622" s="2680"/>
      <c r="AR1622" s="2680" t="s">
        <v>171</v>
      </c>
      <c r="AS1622" s="5079"/>
      <c r="AT1622" s="2680" t="s">
        <v>171</v>
      </c>
      <c r="AU1622" s="2680">
        <f>SUBTOTAL(9,AG1622)</f>
        <v>100000</v>
      </c>
      <c r="AV1622" s="2680">
        <f>SUBTOTAL(9,AL1622)</f>
        <v>100000</v>
      </c>
      <c r="AW1622" s="2680">
        <f>SUBTOTAL(9,AN1622)</f>
        <v>100000</v>
      </c>
      <c r="AX1622" s="2680">
        <f t="shared" ref="AX1622:AX1624" si="334">M1622-AU1622</f>
        <v>0</v>
      </c>
      <c r="AY1622" s="2680">
        <f t="shared" ref="AY1622:AY1625" si="335">AU1622-AV1622</f>
        <v>0</v>
      </c>
      <c r="AZ1622" s="2680">
        <f t="shared" ref="AZ1622:AZ1625" si="336">AV1622-AW1622</f>
        <v>0</v>
      </c>
      <c r="BA1622" s="2680">
        <v>100000</v>
      </c>
      <c r="BB1622" s="2680"/>
      <c r="BC1622" s="2680"/>
      <c r="BD1622" s="2680"/>
      <c r="BE1622" s="2680"/>
      <c r="BF1622" s="2680"/>
      <c r="BG1622" s="2680"/>
      <c r="BH1622" s="2680"/>
      <c r="BI1622" s="2680"/>
      <c r="BJ1622" s="2680"/>
      <c r="BK1622" s="2680"/>
      <c r="BL1622" s="2680"/>
      <c r="BM1622" s="2680"/>
      <c r="BN1622" s="2680"/>
      <c r="BO1622" s="2680">
        <v>100000</v>
      </c>
      <c r="BP1622" s="2680"/>
      <c r="BQ1622" s="2680"/>
      <c r="BR1622" s="2680"/>
      <c r="BS1622" s="2680"/>
      <c r="BT1622" s="2680"/>
      <c r="BU1622" s="2680"/>
      <c r="BV1622" s="2680"/>
      <c r="BW1622" s="2680"/>
      <c r="BX1622" s="2680"/>
      <c r="BY1622" s="2680"/>
      <c r="BZ1622" s="2680"/>
      <c r="CA1622" s="2680"/>
      <c r="CB1622" s="2680"/>
      <c r="CC1622" s="2680"/>
      <c r="CD1622" s="2680"/>
      <c r="CE1622" s="5031"/>
      <c r="CF1622" s="5031"/>
      <c r="CG1622" s="5031"/>
      <c r="CH1622" s="5031"/>
    </row>
    <row r="1623" s="4987" customFormat="1" ht="74.25" customHeight="1" spans="1:86">
      <c r="A1623" s="2680"/>
      <c r="B1623" s="2680" t="s">
        <v>2466</v>
      </c>
      <c r="C1623" s="3524">
        <v>43350</v>
      </c>
      <c r="D1623" s="5079" t="s">
        <v>2768</v>
      </c>
      <c r="E1623" s="2680" t="s">
        <v>113</v>
      </c>
      <c r="F1623" s="5079" t="s">
        <v>2769</v>
      </c>
      <c r="G1623" s="5079" t="s">
        <v>2770</v>
      </c>
      <c r="H1623" s="2680" t="s">
        <v>562</v>
      </c>
      <c r="I1623" s="2680"/>
      <c r="J1623" s="5079" t="s">
        <v>2490</v>
      </c>
      <c r="K1623" s="2680" t="s">
        <v>171</v>
      </c>
      <c r="L1623" s="5079" t="s">
        <v>2771</v>
      </c>
      <c r="M1623" s="2680">
        <f>SUM(N1623:AA1624)</f>
        <v>1000000</v>
      </c>
      <c r="N1623" s="2680">
        <v>1000000</v>
      </c>
      <c r="O1623" s="2680">
        <v>0</v>
      </c>
      <c r="P1623" s="2680">
        <v>0</v>
      </c>
      <c r="Q1623" s="2680">
        <v>0</v>
      </c>
      <c r="R1623" s="2680">
        <v>0</v>
      </c>
      <c r="S1623" s="2680">
        <v>0</v>
      </c>
      <c r="T1623" s="2680"/>
      <c r="U1623" s="2680">
        <v>0</v>
      </c>
      <c r="V1623" s="2680">
        <v>0</v>
      </c>
      <c r="W1623" s="2680">
        <v>0</v>
      </c>
      <c r="X1623" s="2680"/>
      <c r="Y1623" s="2680"/>
      <c r="Z1623" s="2680"/>
      <c r="AA1623" s="2680">
        <v>0</v>
      </c>
      <c r="AB1623" s="2680" t="s">
        <v>113</v>
      </c>
      <c r="AC1623" s="2680">
        <v>1</v>
      </c>
      <c r="AD1623" s="5079" t="s">
        <v>2772</v>
      </c>
      <c r="AE1623" s="5079">
        <v>0.2</v>
      </c>
      <c r="AF1623" s="2680">
        <v>200000</v>
      </c>
      <c r="AG1623" s="2680">
        <f t="shared" si="331"/>
        <v>200000</v>
      </c>
      <c r="AH1623" s="2680" t="s">
        <v>206</v>
      </c>
      <c r="AI1623" s="5307"/>
      <c r="AJ1623" s="2680" t="s">
        <v>171</v>
      </c>
      <c r="AK1623" s="2680" t="s">
        <v>171</v>
      </c>
      <c r="AL1623" s="2680">
        <v>200000</v>
      </c>
      <c r="AM1623" s="5307"/>
      <c r="AN1623" s="2680">
        <f t="shared" si="332"/>
        <v>200000</v>
      </c>
      <c r="AO1623" s="6746"/>
      <c r="AP1623" s="859">
        <f t="shared" si="333"/>
        <v>0</v>
      </c>
      <c r="AQ1623" s="5079"/>
      <c r="AR1623" s="2680" t="s">
        <v>2773</v>
      </c>
      <c r="AS1623" s="5079"/>
      <c r="AT1623" s="2680" t="s">
        <v>171</v>
      </c>
      <c r="AU1623" s="2680">
        <f>SUM(AG1623:AG1624)</f>
        <v>260000</v>
      </c>
      <c r="AV1623" s="2680">
        <f>SUM(AL1623:AL1624)</f>
        <v>260000</v>
      </c>
      <c r="AW1623" s="2680">
        <f>SUM(AN1623:AN1624)</f>
        <v>260000</v>
      </c>
      <c r="AX1623" s="2680">
        <f t="shared" si="334"/>
        <v>740000</v>
      </c>
      <c r="AY1623" s="2680">
        <f t="shared" si="335"/>
        <v>0</v>
      </c>
      <c r="AZ1623" s="2680">
        <f t="shared" si="336"/>
        <v>0</v>
      </c>
      <c r="BA1623" s="5079">
        <f>40000+40000+60000+60000</f>
        <v>200000</v>
      </c>
      <c r="BB1623" s="2680"/>
      <c r="BC1623" s="2680"/>
      <c r="BD1623" s="2680"/>
      <c r="BE1623" s="2680"/>
      <c r="BF1623" s="2680"/>
      <c r="BG1623" s="2680"/>
      <c r="BH1623" s="2680"/>
      <c r="BI1623" s="2680"/>
      <c r="BJ1623" s="2680"/>
      <c r="BK1623" s="2680"/>
      <c r="BL1623" s="2680"/>
      <c r="BM1623" s="2680"/>
      <c r="BN1623" s="2680"/>
      <c r="BO1623" s="2680">
        <v>200000</v>
      </c>
      <c r="BP1623" s="2680"/>
      <c r="BQ1623" s="2680"/>
      <c r="BR1623" s="2680"/>
      <c r="BS1623" s="2680"/>
      <c r="BT1623" s="2680"/>
      <c r="BU1623" s="2680"/>
      <c r="BV1623" s="2680"/>
      <c r="BW1623" s="2680"/>
      <c r="BX1623" s="2680"/>
      <c r="BY1623" s="2680"/>
      <c r="BZ1623" s="2680"/>
      <c r="CA1623" s="2680"/>
      <c r="CB1623" s="2680"/>
      <c r="CC1623" s="2680"/>
      <c r="CD1623" s="2680"/>
      <c r="CE1623" s="5031"/>
      <c r="CF1623" s="5031"/>
      <c r="CG1623" s="5031"/>
      <c r="CH1623" s="5031"/>
    </row>
    <row r="1624" s="4987" customFormat="1" ht="36" customHeight="1" spans="1:86">
      <c r="A1624" s="2680"/>
      <c r="B1624" s="2680"/>
      <c r="C1624" s="3524"/>
      <c r="D1624" s="5079"/>
      <c r="E1624" s="2680"/>
      <c r="F1624" s="5079"/>
      <c r="G1624" s="5079"/>
      <c r="H1624" s="2680"/>
      <c r="I1624" s="2680"/>
      <c r="J1624" s="5079"/>
      <c r="K1624" s="2680"/>
      <c r="L1624" s="5079"/>
      <c r="M1624" s="2680"/>
      <c r="N1624" s="2680"/>
      <c r="O1624" s="2680"/>
      <c r="P1624" s="2680"/>
      <c r="Q1624" s="2680"/>
      <c r="R1624" s="2680"/>
      <c r="S1624" s="2680"/>
      <c r="T1624" s="2680"/>
      <c r="U1624" s="2680"/>
      <c r="V1624" s="2680"/>
      <c r="W1624" s="2680"/>
      <c r="X1624" s="2680"/>
      <c r="Y1624" s="2680"/>
      <c r="Z1624" s="2680"/>
      <c r="AA1624" s="2680"/>
      <c r="AB1624" s="2680"/>
      <c r="AC1624" s="2680"/>
      <c r="AD1624" s="5079" t="s">
        <v>2774</v>
      </c>
      <c r="AE1624" s="5079">
        <f>6/100</f>
        <v>0.06</v>
      </c>
      <c r="AF1624" s="2680">
        <v>60000</v>
      </c>
      <c r="AG1624" s="2678">
        <f t="shared" si="331"/>
        <v>60000</v>
      </c>
      <c r="AH1624" s="2678" t="s">
        <v>206</v>
      </c>
      <c r="AI1624" s="3812">
        <v>44126</v>
      </c>
      <c r="AJ1624" s="2680"/>
      <c r="AK1624" s="2680"/>
      <c r="AL1624" s="2678">
        <f>SUM(BF1624:BS1624)</f>
        <v>60000</v>
      </c>
      <c r="AM1624" s="3812">
        <v>44126</v>
      </c>
      <c r="AN1624" s="2678">
        <f t="shared" si="332"/>
        <v>60000</v>
      </c>
      <c r="AO1624" s="2678">
        <v>44152</v>
      </c>
      <c r="AP1624" s="859"/>
      <c r="AQ1624" s="5079"/>
      <c r="AR1624" s="2680"/>
      <c r="AS1624" s="5079"/>
      <c r="AT1624" s="2680"/>
      <c r="AU1624" s="2680"/>
      <c r="AV1624" s="2680"/>
      <c r="AW1624" s="2680"/>
      <c r="AX1624" s="2680"/>
      <c r="AY1624" s="2680"/>
      <c r="AZ1624" s="2680"/>
      <c r="BA1624" s="5667">
        <v>60000</v>
      </c>
      <c r="BB1624" s="2678"/>
      <c r="BC1624" s="2678"/>
      <c r="BD1624" s="2678"/>
      <c r="BE1624" s="2678"/>
      <c r="BF1624" s="2678"/>
      <c r="BG1624" s="2678"/>
      <c r="BH1624" s="2678"/>
      <c r="BI1624" s="2678"/>
      <c r="BJ1624" s="2678"/>
      <c r="BK1624" s="2678"/>
      <c r="BL1624" s="2678"/>
      <c r="BM1624" s="2678"/>
      <c r="BN1624" s="2678"/>
      <c r="BO1624" s="5667">
        <v>60000</v>
      </c>
      <c r="BP1624" s="2680"/>
      <c r="BQ1624" s="2680"/>
      <c r="BR1624" s="2680"/>
      <c r="BS1624" s="2680"/>
      <c r="BT1624" s="2680"/>
      <c r="BU1624" s="2680"/>
      <c r="BV1624" s="2680"/>
      <c r="BW1624" s="2680"/>
      <c r="BX1624" s="2680"/>
      <c r="BY1624" s="2680"/>
      <c r="BZ1624" s="2680"/>
      <c r="CA1624" s="2680"/>
      <c r="CB1624" s="2680"/>
      <c r="CC1624" s="2680"/>
      <c r="CD1624" s="2680"/>
      <c r="CE1624" s="5031"/>
      <c r="CF1624" s="5031"/>
      <c r="CG1624" s="5031"/>
      <c r="CH1624" s="5031"/>
    </row>
    <row r="1625" s="4987" customFormat="1" ht="16" spans="1:86">
      <c r="A1625" s="5079"/>
      <c r="B1625" s="5079" t="s">
        <v>2570</v>
      </c>
      <c r="C1625" s="5079">
        <v>43881</v>
      </c>
      <c r="D1625" s="6733" t="s">
        <v>2775</v>
      </c>
      <c r="E1625" s="6734" t="s">
        <v>2776</v>
      </c>
      <c r="F1625" s="6734" t="s">
        <v>2777</v>
      </c>
      <c r="G1625" s="6734" t="s">
        <v>2778</v>
      </c>
      <c r="H1625" s="6733" t="s">
        <v>2779</v>
      </c>
      <c r="I1625" s="6738"/>
      <c r="J1625" s="6734" t="s">
        <v>2780</v>
      </c>
      <c r="K1625" s="6734" t="s">
        <v>2781</v>
      </c>
      <c r="L1625" s="6734" t="s">
        <v>2782</v>
      </c>
      <c r="M1625" s="6734">
        <f>SUM(N1625:AA1627)</f>
        <v>3378592.79</v>
      </c>
      <c r="N1625" s="6734">
        <v>0</v>
      </c>
      <c r="O1625" s="6734">
        <v>0</v>
      </c>
      <c r="P1625" s="6734">
        <v>3338592.79</v>
      </c>
      <c r="Q1625" s="6734">
        <v>0</v>
      </c>
      <c r="R1625" s="6734">
        <v>0</v>
      </c>
      <c r="S1625" s="6734">
        <v>40000</v>
      </c>
      <c r="T1625" s="6734"/>
      <c r="U1625" s="6734">
        <v>0</v>
      </c>
      <c r="V1625" s="6734">
        <v>0</v>
      </c>
      <c r="W1625" s="6734">
        <v>0</v>
      </c>
      <c r="X1625" s="6734"/>
      <c r="Y1625" s="6734"/>
      <c r="Z1625" s="6734"/>
      <c r="AA1625" s="6734">
        <v>0</v>
      </c>
      <c r="AB1625" s="6733" t="s">
        <v>2783</v>
      </c>
      <c r="AC1625" s="6734" t="s">
        <v>1055</v>
      </c>
      <c r="AD1625" s="6742" t="s">
        <v>2784</v>
      </c>
      <c r="AE1625" s="6734">
        <v>0.2</v>
      </c>
      <c r="AF1625" s="6734">
        <f>M1625*AE1625</f>
        <v>675718.558</v>
      </c>
      <c r="AG1625" s="2697">
        <f t="shared" si="331"/>
        <v>675718.56</v>
      </c>
      <c r="AH1625" s="6744" t="s">
        <v>206</v>
      </c>
      <c r="AI1625" s="6744">
        <v>44011</v>
      </c>
      <c r="AJ1625" s="2697" t="s">
        <v>171</v>
      </c>
      <c r="AK1625" s="2697" t="s">
        <v>171</v>
      </c>
      <c r="AL1625" s="2697">
        <v>675718.56</v>
      </c>
      <c r="AM1625" s="6744">
        <v>44011</v>
      </c>
      <c r="AN1625" s="2697">
        <v>675718.56</v>
      </c>
      <c r="AO1625" s="6744">
        <v>44035</v>
      </c>
      <c r="AP1625" s="6744">
        <f>AG1625-AN1625</f>
        <v>0</v>
      </c>
      <c r="AQ1625" s="6733" t="s">
        <v>2785</v>
      </c>
      <c r="AR1625" s="2697" t="s">
        <v>128</v>
      </c>
      <c r="AS1625" s="6734"/>
      <c r="AT1625" s="2697" t="s">
        <v>171</v>
      </c>
      <c r="AU1625" s="2697">
        <f>SUM(AG1625:AG1627)</f>
        <v>3376206.557</v>
      </c>
      <c r="AV1625" s="2697">
        <f>SUM(AL1625:AL1627)</f>
        <v>3376206.56</v>
      </c>
      <c r="AW1625" s="2697">
        <f>SUM(AN1625:AN1627)</f>
        <v>3376206.56</v>
      </c>
      <c r="AX1625" s="2697">
        <f>3376206.56-AU1625</f>
        <v>0.00300000002607703</v>
      </c>
      <c r="AY1625" s="2697">
        <f t="shared" si="335"/>
        <v>-0.00299999956041574</v>
      </c>
      <c r="AZ1625" s="2697">
        <f t="shared" si="336"/>
        <v>0</v>
      </c>
      <c r="BA1625" s="6748"/>
      <c r="BB1625" s="6744"/>
      <c r="BC1625" s="6744">
        <v>635718.56</v>
      </c>
      <c r="BD1625" s="6744"/>
      <c r="BE1625" s="6744"/>
      <c r="BF1625" s="6744">
        <v>40000</v>
      </c>
      <c r="BG1625" s="6744"/>
      <c r="BH1625" s="6744"/>
      <c r="BI1625" s="6744"/>
      <c r="BJ1625" s="6744"/>
      <c r="BK1625" s="6744"/>
      <c r="BL1625" s="6744"/>
      <c r="BM1625" s="6744"/>
      <c r="BN1625" s="6744"/>
      <c r="BO1625" s="2697"/>
      <c r="BP1625" s="2697"/>
      <c r="BQ1625" s="2697">
        <v>635718.56</v>
      </c>
      <c r="BR1625" s="2697"/>
      <c r="BS1625" s="2697"/>
      <c r="BT1625" s="2697">
        <v>40000</v>
      </c>
      <c r="BU1625" s="2697"/>
      <c r="BV1625" s="2697"/>
      <c r="BW1625" s="2697"/>
      <c r="BX1625" s="2697"/>
      <c r="BY1625" s="2697"/>
      <c r="BZ1625" s="2697"/>
      <c r="CA1625" s="2697"/>
      <c r="CB1625" s="2697"/>
      <c r="CC1625" s="859" t="s">
        <v>1112</v>
      </c>
      <c r="CD1625" s="859" t="s">
        <v>154</v>
      </c>
      <c r="CE1625" s="5031"/>
      <c r="CF1625" s="5031"/>
      <c r="CG1625" s="5031"/>
      <c r="CH1625" s="5031"/>
    </row>
    <row r="1626" ht="31" spans="1:86">
      <c r="A1626" s="5079"/>
      <c r="B1626" s="5079"/>
      <c r="C1626" s="5079"/>
      <c r="D1626" s="6734"/>
      <c r="E1626" s="6734"/>
      <c r="F1626" s="6734"/>
      <c r="G1626" s="6734"/>
      <c r="H1626" s="6734"/>
      <c r="I1626" s="6739"/>
      <c r="J1626" s="6734"/>
      <c r="K1626" s="6734"/>
      <c r="L1626" s="6734"/>
      <c r="M1626" s="6734"/>
      <c r="N1626" s="6734"/>
      <c r="O1626" s="6734"/>
      <c r="P1626" s="6734"/>
      <c r="Q1626" s="6734"/>
      <c r="R1626" s="6734"/>
      <c r="S1626" s="6734"/>
      <c r="T1626" s="6734"/>
      <c r="U1626" s="6734"/>
      <c r="V1626" s="6734"/>
      <c r="W1626" s="6734"/>
      <c r="X1626" s="6734"/>
      <c r="Y1626" s="6734"/>
      <c r="Z1626" s="6734"/>
      <c r="AA1626" s="6734"/>
      <c r="AB1626" s="6734"/>
      <c r="AC1626" s="2697" t="s">
        <v>1057</v>
      </c>
      <c r="AD1626" s="6742" t="s">
        <v>2786</v>
      </c>
      <c r="AE1626" s="2697">
        <v>0.3</v>
      </c>
      <c r="AF1626" s="6734">
        <f>M1625*AE1626</f>
        <v>1013577.837</v>
      </c>
      <c r="AG1626" s="2697">
        <f t="shared" si="331"/>
        <v>1013577.837</v>
      </c>
      <c r="AH1626" s="6744" t="s">
        <v>206</v>
      </c>
      <c r="AI1626" s="6744">
        <v>44011</v>
      </c>
      <c r="AJ1626" s="2697" t="s">
        <v>171</v>
      </c>
      <c r="AK1626" s="2697" t="s">
        <v>171</v>
      </c>
      <c r="AL1626" s="2697">
        <v>1013577.84</v>
      </c>
      <c r="AM1626" s="6744">
        <v>44011</v>
      </c>
      <c r="AN1626" s="2697">
        <v>1013577.84</v>
      </c>
      <c r="AO1626" s="6744">
        <v>44035</v>
      </c>
      <c r="AP1626" s="6744">
        <f>AG1626-AN1626</f>
        <v>-0.00299999990966171</v>
      </c>
      <c r="AQ1626" s="6734"/>
      <c r="AR1626" s="2697" t="s">
        <v>128</v>
      </c>
      <c r="AS1626" s="6734"/>
      <c r="AT1626" s="2697"/>
      <c r="AU1626" s="2697"/>
      <c r="AV1626" s="2697"/>
      <c r="AW1626" s="2697"/>
      <c r="AX1626" s="2697"/>
      <c r="AY1626" s="2697"/>
      <c r="AZ1626" s="2697"/>
      <c r="BA1626" s="6749"/>
      <c r="BB1626" s="6749"/>
      <c r="BC1626" s="6744">
        <v>1013577.837</v>
      </c>
      <c r="BD1626" s="6749"/>
      <c r="BE1626" s="6749"/>
      <c r="BF1626" s="6749"/>
      <c r="BG1626" s="6749"/>
      <c r="BH1626" s="6744"/>
      <c r="BI1626" s="6749"/>
      <c r="BJ1626" s="6749"/>
      <c r="BK1626" s="6749"/>
      <c r="BL1626" s="6749"/>
      <c r="BM1626" s="6749"/>
      <c r="BN1626" s="6749"/>
      <c r="BO1626" s="6751"/>
      <c r="BP1626" s="6751"/>
      <c r="BQ1626" s="2697">
        <v>1013577.837</v>
      </c>
      <c r="BR1626" s="6751"/>
      <c r="BS1626" s="6751"/>
      <c r="BT1626" s="6751"/>
      <c r="BU1626" s="6751"/>
      <c r="BV1626" s="6751"/>
      <c r="BW1626" s="6751"/>
      <c r="BX1626" s="6751"/>
      <c r="BY1626" s="6751"/>
      <c r="BZ1626" s="6751"/>
      <c r="CA1626" s="6751"/>
      <c r="CB1626" s="6751"/>
      <c r="CC1626" s="2680"/>
      <c r="CD1626" s="2680"/>
      <c r="CE1626" s="5168"/>
      <c r="CF1626" s="5168"/>
      <c r="CG1626" s="5750"/>
      <c r="CH1626" s="5750"/>
    </row>
    <row r="1627" ht="59.15" customHeight="1" spans="1:86">
      <c r="A1627" s="5079"/>
      <c r="B1627" s="5079"/>
      <c r="C1627" s="5079"/>
      <c r="D1627" s="6734"/>
      <c r="E1627" s="6734"/>
      <c r="F1627" s="6734"/>
      <c r="G1627" s="6734"/>
      <c r="H1627" s="6734"/>
      <c r="I1627" s="6740"/>
      <c r="J1627" s="6734"/>
      <c r="K1627" s="6734"/>
      <c r="L1627" s="6734"/>
      <c r="M1627" s="6734"/>
      <c r="N1627" s="6734"/>
      <c r="O1627" s="6734"/>
      <c r="P1627" s="6734"/>
      <c r="Q1627" s="6734"/>
      <c r="R1627" s="6734"/>
      <c r="S1627" s="6734"/>
      <c r="T1627" s="6734"/>
      <c r="U1627" s="6734"/>
      <c r="V1627" s="6734"/>
      <c r="W1627" s="6734"/>
      <c r="X1627" s="6734"/>
      <c r="Y1627" s="6734"/>
      <c r="Z1627" s="6734"/>
      <c r="AA1627" s="6734"/>
      <c r="AB1627" s="6734"/>
      <c r="AC1627" s="2697" t="s">
        <v>1059</v>
      </c>
      <c r="AD1627" s="6742" t="s">
        <v>2787</v>
      </c>
      <c r="AE1627" s="2697">
        <v>0.5</v>
      </c>
      <c r="AF1627" s="6734">
        <f>M1625*AE1627</f>
        <v>1689296.395</v>
      </c>
      <c r="AG1627" s="2697">
        <f t="shared" si="331"/>
        <v>1686910.16</v>
      </c>
      <c r="AH1627" s="6744" t="s">
        <v>206</v>
      </c>
      <c r="AI1627" s="6744">
        <v>44011</v>
      </c>
      <c r="AJ1627" s="2697" t="s">
        <v>171</v>
      </c>
      <c r="AK1627" s="2697" t="s">
        <v>171</v>
      </c>
      <c r="AL1627" s="2697">
        <v>1686910.16</v>
      </c>
      <c r="AM1627" s="6744">
        <v>44011</v>
      </c>
      <c r="AN1627" s="2697">
        <v>1686910.16</v>
      </c>
      <c r="AO1627" s="6744">
        <v>44035</v>
      </c>
      <c r="AP1627" s="6744">
        <f>AG1627-AN1627</f>
        <v>0</v>
      </c>
      <c r="AQ1627" s="6734"/>
      <c r="AR1627" s="2697" t="s">
        <v>128</v>
      </c>
      <c r="AS1627" s="6734"/>
      <c r="AT1627" s="2697"/>
      <c r="AU1627" s="2697"/>
      <c r="AV1627" s="2697"/>
      <c r="AW1627" s="2697"/>
      <c r="AX1627" s="2697"/>
      <c r="AY1627" s="2697"/>
      <c r="AZ1627" s="2697"/>
      <c r="BA1627" s="6749"/>
      <c r="BB1627" s="6749"/>
      <c r="BC1627" s="6744">
        <v>1686910.16</v>
      </c>
      <c r="BD1627" s="6749"/>
      <c r="BE1627" s="6749"/>
      <c r="BF1627" s="6749"/>
      <c r="BG1627" s="6749"/>
      <c r="BH1627" s="6744"/>
      <c r="BI1627" s="6749"/>
      <c r="BJ1627" s="6749"/>
      <c r="BK1627" s="6749"/>
      <c r="BL1627" s="6749"/>
      <c r="BM1627" s="6749"/>
      <c r="BN1627" s="6749"/>
      <c r="BO1627" s="6751"/>
      <c r="BP1627" s="6751"/>
      <c r="BQ1627" s="2697">
        <v>1686910.16</v>
      </c>
      <c r="BR1627" s="6751"/>
      <c r="BS1627" s="6751"/>
      <c r="BT1627" s="6751"/>
      <c r="BU1627" s="6751"/>
      <c r="BV1627" s="6751"/>
      <c r="BW1627" s="6751"/>
      <c r="BX1627" s="6751"/>
      <c r="BY1627" s="6751"/>
      <c r="BZ1627" s="6751"/>
      <c r="CA1627" s="6751"/>
      <c r="CB1627" s="6751"/>
      <c r="CC1627" s="2680"/>
      <c r="CD1627" s="2680"/>
      <c r="CE1627" s="5168"/>
      <c r="CF1627" s="5168"/>
      <c r="CG1627" s="5750"/>
      <c r="CH1627" s="5750"/>
    </row>
    <row r="1628" ht="31" spans="1:86">
      <c r="A1628" s="5079"/>
      <c r="B1628" s="5079"/>
      <c r="C1628" s="5079">
        <v>43881</v>
      </c>
      <c r="D1628" s="6388" t="s">
        <v>2788</v>
      </c>
      <c r="E1628" s="6522" t="s">
        <v>2776</v>
      </c>
      <c r="F1628" s="6522" t="s">
        <v>2777</v>
      </c>
      <c r="G1628" s="6522" t="s">
        <v>2778</v>
      </c>
      <c r="H1628" s="6522" t="s">
        <v>2536</v>
      </c>
      <c r="I1628" s="6522"/>
      <c r="J1628" s="6522" t="s">
        <v>2780</v>
      </c>
      <c r="K1628" s="6522" t="s">
        <v>2789</v>
      </c>
      <c r="L1628" s="6522" t="s">
        <v>2790</v>
      </c>
      <c r="M1628" s="6522">
        <f>SUM(N1628:AA1632)</f>
        <v>4424501.74</v>
      </c>
      <c r="N1628" s="6522">
        <v>0</v>
      </c>
      <c r="O1628" s="6522">
        <v>0</v>
      </c>
      <c r="P1628" s="6522">
        <v>0</v>
      </c>
      <c r="Q1628" s="6522">
        <v>0</v>
      </c>
      <c r="R1628" s="6522">
        <v>0</v>
      </c>
      <c r="S1628" s="6522">
        <v>0</v>
      </c>
      <c r="T1628" s="6522"/>
      <c r="U1628" s="6522">
        <v>0</v>
      </c>
      <c r="V1628" s="6522">
        <v>0</v>
      </c>
      <c r="W1628" s="6522">
        <v>0</v>
      </c>
      <c r="X1628" s="6522"/>
      <c r="Y1628" s="6522"/>
      <c r="Z1628" s="6522"/>
      <c r="AA1628" s="6522">
        <v>4424501.74</v>
      </c>
      <c r="AB1628" s="6522" t="s">
        <v>2791</v>
      </c>
      <c r="AC1628" s="6522" t="s">
        <v>2792</v>
      </c>
      <c r="AD1628" s="6743" t="s">
        <v>2793</v>
      </c>
      <c r="AE1628" s="3066">
        <v>0.2</v>
      </c>
      <c r="AF1628" s="3066">
        <f>M1628*AE1628</f>
        <v>884900.348</v>
      </c>
      <c r="AG1628" s="3066">
        <f t="shared" si="331"/>
        <v>884900.35</v>
      </c>
      <c r="AH1628" s="3065" t="s">
        <v>206</v>
      </c>
      <c r="AI1628" s="3065">
        <v>44014</v>
      </c>
      <c r="AJ1628" s="3066" t="s">
        <v>171</v>
      </c>
      <c r="AK1628" s="3066" t="s">
        <v>171</v>
      </c>
      <c r="AL1628" s="3065">
        <v>884900.35</v>
      </c>
      <c r="AM1628" s="3065">
        <v>44014</v>
      </c>
      <c r="AN1628" s="3065">
        <v>884900.35</v>
      </c>
      <c r="AO1628" s="3065">
        <v>44040</v>
      </c>
      <c r="AP1628" s="3065">
        <f t="shared" ref="AP1628:AP1668" si="337">AG1628-AN1628</f>
        <v>0</v>
      </c>
      <c r="AQ1628" s="6424"/>
      <c r="AR1628" s="3066"/>
      <c r="AS1628" s="6522"/>
      <c r="AT1628" s="3066"/>
      <c r="AU1628" s="3066">
        <f>SUM(AG1628:AG1632)</f>
        <v>4291766.688</v>
      </c>
      <c r="AV1628" s="3066">
        <f>SUM(AL1628:AL1632)</f>
        <v>4291766.6918</v>
      </c>
      <c r="AW1628" s="3066">
        <f>SUM(AN1628:AN1632)</f>
        <v>4291766.6918</v>
      </c>
      <c r="AX1628" s="3066">
        <f>M1628-AU1628</f>
        <v>132735.052</v>
      </c>
      <c r="AY1628" s="3066">
        <f>AU1628-AV1628</f>
        <v>-0.00380000006407499</v>
      </c>
      <c r="AZ1628" s="3066">
        <f>AV1628-AW1628</f>
        <v>0</v>
      </c>
      <c r="BA1628" s="6556"/>
      <c r="BB1628" s="6556"/>
      <c r="BC1628" s="3065"/>
      <c r="BD1628" s="6556"/>
      <c r="BE1628" s="6556"/>
      <c r="BF1628" s="6556"/>
      <c r="BG1628" s="6556"/>
      <c r="BH1628" s="3065"/>
      <c r="BI1628" s="6556"/>
      <c r="BJ1628" s="6556"/>
      <c r="BK1628" s="6556"/>
      <c r="BL1628" s="6556"/>
      <c r="BM1628" s="6556"/>
      <c r="BN1628" s="6556">
        <v>884900.35</v>
      </c>
      <c r="BO1628" s="6424"/>
      <c r="BP1628" s="6424"/>
      <c r="BQ1628" s="6424"/>
      <c r="BR1628" s="6424"/>
      <c r="BS1628" s="6424"/>
      <c r="BT1628" s="6424"/>
      <c r="BU1628" s="6424"/>
      <c r="BV1628" s="6424"/>
      <c r="BW1628" s="6424"/>
      <c r="BX1628" s="6424"/>
      <c r="BY1628" s="6424"/>
      <c r="BZ1628" s="6424"/>
      <c r="CA1628" s="6424"/>
      <c r="CB1628" s="3065">
        <v>884900.35</v>
      </c>
      <c r="CC1628" s="2680"/>
      <c r="CD1628" s="2680"/>
      <c r="CE1628" s="5168"/>
      <c r="CF1628" s="5168"/>
      <c r="CG1628" s="5750"/>
      <c r="CH1628" s="5750"/>
    </row>
    <row r="1629" ht="46" spans="1:86">
      <c r="A1629" s="5079"/>
      <c r="B1629" s="5079"/>
      <c r="C1629" s="5079"/>
      <c r="D1629" s="6522"/>
      <c r="E1629" s="6522"/>
      <c r="F1629" s="6522"/>
      <c r="G1629" s="6522"/>
      <c r="H1629" s="6522"/>
      <c r="I1629" s="6522"/>
      <c r="J1629" s="6522"/>
      <c r="K1629" s="6522"/>
      <c r="L1629" s="6522"/>
      <c r="M1629" s="6522"/>
      <c r="N1629" s="6522"/>
      <c r="O1629" s="6522"/>
      <c r="P1629" s="6522"/>
      <c r="Q1629" s="6522"/>
      <c r="R1629" s="6522"/>
      <c r="S1629" s="6522"/>
      <c r="T1629" s="6522"/>
      <c r="U1629" s="6522"/>
      <c r="V1629" s="6522"/>
      <c r="W1629" s="6522"/>
      <c r="X1629" s="6522"/>
      <c r="Y1629" s="6522"/>
      <c r="Z1629" s="6522"/>
      <c r="AA1629" s="6522"/>
      <c r="AB1629" s="6522"/>
      <c r="AC1629" s="6522" t="s">
        <v>2794</v>
      </c>
      <c r="AD1629" s="6743" t="s">
        <v>2795</v>
      </c>
      <c r="AE1629" s="3066">
        <v>0.25</v>
      </c>
      <c r="AF1629" s="3066">
        <f>M1628*AE1629</f>
        <v>1106125.435</v>
      </c>
      <c r="AG1629" s="3066">
        <f t="shared" si="331"/>
        <v>1106125.435</v>
      </c>
      <c r="AH1629" s="3065" t="s">
        <v>206</v>
      </c>
      <c r="AI1629" s="3065">
        <v>44014</v>
      </c>
      <c r="AJ1629" s="3066" t="s">
        <v>171</v>
      </c>
      <c r="AK1629" s="3066" t="s">
        <v>171</v>
      </c>
      <c r="AL1629" s="3065">
        <v>1106125.44</v>
      </c>
      <c r="AM1629" s="3065">
        <v>44014</v>
      </c>
      <c r="AN1629" s="3065">
        <v>1106125.44</v>
      </c>
      <c r="AO1629" s="3065">
        <v>44040</v>
      </c>
      <c r="AP1629" s="3065">
        <f t="shared" si="337"/>
        <v>-0.00499999988824129</v>
      </c>
      <c r="AQ1629" s="6424"/>
      <c r="AR1629" s="3066"/>
      <c r="AS1629" s="6522"/>
      <c r="AT1629" s="3066"/>
      <c r="AU1629" s="3066"/>
      <c r="AV1629" s="3066"/>
      <c r="AW1629" s="3066"/>
      <c r="AX1629" s="3066"/>
      <c r="AY1629" s="3066"/>
      <c r="AZ1629" s="3066"/>
      <c r="BA1629" s="6556"/>
      <c r="BB1629" s="6556"/>
      <c r="BC1629" s="3065"/>
      <c r="BD1629" s="6556"/>
      <c r="BE1629" s="6556"/>
      <c r="BF1629" s="6556"/>
      <c r="BG1629" s="6556"/>
      <c r="BH1629" s="3065"/>
      <c r="BI1629" s="6556"/>
      <c r="BJ1629" s="6556"/>
      <c r="BK1629" s="6556"/>
      <c r="BL1629" s="6556"/>
      <c r="BM1629" s="6556"/>
      <c r="BN1629" s="6556">
        <v>1106125.435</v>
      </c>
      <c r="BO1629" s="6424"/>
      <c r="BP1629" s="6424"/>
      <c r="BQ1629" s="6424"/>
      <c r="BR1629" s="6424"/>
      <c r="BS1629" s="6424"/>
      <c r="BT1629" s="6424"/>
      <c r="BU1629" s="6424"/>
      <c r="BV1629" s="6424"/>
      <c r="BW1629" s="6424"/>
      <c r="BX1629" s="6424"/>
      <c r="BY1629" s="6424"/>
      <c r="BZ1629" s="6424"/>
      <c r="CA1629" s="6424"/>
      <c r="CB1629" s="6424">
        <v>1106125.435</v>
      </c>
      <c r="CC1629" s="2680"/>
      <c r="CD1629" s="2680"/>
      <c r="CE1629" s="5168"/>
      <c r="CF1629" s="5168"/>
      <c r="CG1629" s="5750"/>
      <c r="CH1629" s="5750"/>
    </row>
    <row r="1630" ht="61" spans="1:86">
      <c r="A1630" s="5079"/>
      <c r="B1630" s="5079"/>
      <c r="C1630" s="5079"/>
      <c r="D1630" s="6522"/>
      <c r="E1630" s="6522"/>
      <c r="F1630" s="6522"/>
      <c r="G1630" s="6522"/>
      <c r="H1630" s="6522"/>
      <c r="I1630" s="6522"/>
      <c r="J1630" s="6522"/>
      <c r="K1630" s="6522"/>
      <c r="L1630" s="6522"/>
      <c r="M1630" s="6522"/>
      <c r="N1630" s="6522"/>
      <c r="O1630" s="6522"/>
      <c r="P1630" s="6522"/>
      <c r="Q1630" s="6522"/>
      <c r="R1630" s="6522"/>
      <c r="S1630" s="6522"/>
      <c r="T1630" s="6522"/>
      <c r="U1630" s="6522"/>
      <c r="V1630" s="6522"/>
      <c r="W1630" s="6522"/>
      <c r="X1630" s="6522"/>
      <c r="Y1630" s="6522"/>
      <c r="Z1630" s="6522"/>
      <c r="AA1630" s="6522"/>
      <c r="AB1630" s="6522"/>
      <c r="AC1630" s="6522" t="s">
        <v>2796</v>
      </c>
      <c r="AD1630" s="6743" t="s">
        <v>2797</v>
      </c>
      <c r="AE1630" s="3066">
        <v>0.45</v>
      </c>
      <c r="AF1630" s="3066">
        <f>M1628*AE1630</f>
        <v>1991025.783</v>
      </c>
      <c r="AG1630" s="3066">
        <f t="shared" si="331"/>
        <v>1991025.783</v>
      </c>
      <c r="AH1630" s="3065" t="s">
        <v>206</v>
      </c>
      <c r="AI1630" s="3065">
        <v>44014</v>
      </c>
      <c r="AJ1630" s="3066" t="s">
        <v>171</v>
      </c>
      <c r="AK1630" s="3066" t="s">
        <v>171</v>
      </c>
      <c r="AL1630" s="3065">
        <v>1991025.78</v>
      </c>
      <c r="AM1630" s="3065">
        <v>44014</v>
      </c>
      <c r="AN1630" s="3065">
        <v>1991025.78</v>
      </c>
      <c r="AO1630" s="3065">
        <v>44040</v>
      </c>
      <c r="AP1630" s="3065">
        <f t="shared" si="337"/>
        <v>0.00300000002607703</v>
      </c>
      <c r="AQ1630" s="6424"/>
      <c r="AR1630" s="3066"/>
      <c r="AS1630" s="6522"/>
      <c r="AT1630" s="3066"/>
      <c r="AU1630" s="3066"/>
      <c r="AV1630" s="3066"/>
      <c r="AW1630" s="3066"/>
      <c r="AX1630" s="3066"/>
      <c r="AY1630" s="3066"/>
      <c r="AZ1630" s="3066"/>
      <c r="BA1630" s="6556"/>
      <c r="BB1630" s="6556"/>
      <c r="BC1630" s="3065"/>
      <c r="BD1630" s="6556"/>
      <c r="BE1630" s="6556"/>
      <c r="BF1630" s="6556"/>
      <c r="BG1630" s="6556"/>
      <c r="BH1630" s="3065"/>
      <c r="BI1630" s="6556"/>
      <c r="BJ1630" s="6556"/>
      <c r="BK1630" s="6556"/>
      <c r="BL1630" s="6556"/>
      <c r="BM1630" s="6556"/>
      <c r="BN1630" s="6556">
        <v>1991025.783</v>
      </c>
      <c r="BO1630" s="6424"/>
      <c r="BP1630" s="6424"/>
      <c r="BQ1630" s="6424"/>
      <c r="BR1630" s="6424"/>
      <c r="BS1630" s="6424"/>
      <c r="BT1630" s="6424"/>
      <c r="BU1630" s="6424"/>
      <c r="BV1630" s="6424"/>
      <c r="BW1630" s="6424"/>
      <c r="BX1630" s="6424"/>
      <c r="BY1630" s="6424"/>
      <c r="BZ1630" s="6424"/>
      <c r="CA1630" s="6424"/>
      <c r="CB1630" s="6424">
        <v>1991025.783</v>
      </c>
      <c r="CC1630" s="2680"/>
      <c r="CD1630" s="2680"/>
      <c r="CE1630" s="5168"/>
      <c r="CF1630" s="5168"/>
      <c r="CG1630" s="5750"/>
      <c r="CH1630" s="5750"/>
    </row>
    <row r="1631" ht="31" spans="1:86">
      <c r="A1631" s="5079"/>
      <c r="B1631" s="5079"/>
      <c r="C1631" s="5079"/>
      <c r="D1631" s="6522"/>
      <c r="E1631" s="6522"/>
      <c r="F1631" s="6522"/>
      <c r="G1631" s="6522"/>
      <c r="H1631" s="6522"/>
      <c r="I1631" s="6522"/>
      <c r="J1631" s="6522"/>
      <c r="K1631" s="6522"/>
      <c r="L1631" s="6522"/>
      <c r="M1631" s="6522"/>
      <c r="N1631" s="6522"/>
      <c r="O1631" s="6522"/>
      <c r="P1631" s="6522"/>
      <c r="Q1631" s="6522"/>
      <c r="R1631" s="6522"/>
      <c r="S1631" s="6522"/>
      <c r="T1631" s="6522"/>
      <c r="U1631" s="6522"/>
      <c r="V1631" s="6522"/>
      <c r="W1631" s="6522"/>
      <c r="X1631" s="6522"/>
      <c r="Y1631" s="6522"/>
      <c r="Z1631" s="6522"/>
      <c r="AA1631" s="6522"/>
      <c r="AB1631" s="6522"/>
      <c r="AC1631" s="6522" t="s">
        <v>2798</v>
      </c>
      <c r="AD1631" s="6424" t="s">
        <v>2799</v>
      </c>
      <c r="AE1631" s="3066">
        <v>0.07</v>
      </c>
      <c r="AF1631" s="3066">
        <f>M1628*AE1631</f>
        <v>309715.1218</v>
      </c>
      <c r="AG1631" s="3065">
        <f t="shared" si="331"/>
        <v>309715.12</v>
      </c>
      <c r="AH1631" s="6444" t="s">
        <v>122</v>
      </c>
      <c r="AI1631" s="3065">
        <v>45279</v>
      </c>
      <c r="AJ1631" s="3065">
        <v>309715.1218</v>
      </c>
      <c r="AK1631" s="3065">
        <v>45279</v>
      </c>
      <c r="AL1631" s="3065">
        <v>309715.1218</v>
      </c>
      <c r="AM1631" s="3066">
        <v>45315</v>
      </c>
      <c r="AN1631" s="3065">
        <f t="shared" ref="AN1625:AN1662" si="338">SUM(BO1631:CB1631)</f>
        <v>309715.1218</v>
      </c>
      <c r="AO1631" s="3065">
        <v>45321</v>
      </c>
      <c r="AP1631" s="3066">
        <f t="shared" si="337"/>
        <v>-0.00180000002728775</v>
      </c>
      <c r="AQ1631" s="6424"/>
      <c r="AR1631" s="3066"/>
      <c r="AS1631" s="6522"/>
      <c r="AT1631" s="3066"/>
      <c r="AU1631" s="3066"/>
      <c r="AV1631" s="3066"/>
      <c r="AW1631" s="3066"/>
      <c r="AX1631" s="3066"/>
      <c r="AY1631" s="3066"/>
      <c r="AZ1631" s="3066"/>
      <c r="BA1631" s="6424"/>
      <c r="BB1631" s="6424"/>
      <c r="BC1631" s="3066"/>
      <c r="BD1631" s="6424"/>
      <c r="BE1631" s="6424"/>
      <c r="BF1631" s="6424"/>
      <c r="BG1631" s="6424"/>
      <c r="BH1631" s="3066"/>
      <c r="BI1631" s="6424"/>
      <c r="BJ1631" s="6424"/>
      <c r="BK1631" s="6424"/>
      <c r="BL1631" s="6424"/>
      <c r="BM1631" s="6424"/>
      <c r="BN1631" s="6556">
        <v>309715.12</v>
      </c>
      <c r="BO1631" s="6424"/>
      <c r="BP1631" s="6424"/>
      <c r="BQ1631" s="6556"/>
      <c r="BR1631" s="6556"/>
      <c r="BS1631" s="6556"/>
      <c r="BT1631" s="6556"/>
      <c r="BU1631" s="6556"/>
      <c r="BV1631" s="6556"/>
      <c r="BW1631" s="6556"/>
      <c r="BX1631" s="6556"/>
      <c r="BY1631" s="6556"/>
      <c r="BZ1631" s="6556"/>
      <c r="CA1631" s="6556"/>
      <c r="CB1631" s="6556">
        <v>309715.1218</v>
      </c>
      <c r="CC1631" s="2680"/>
      <c r="CD1631" s="2680"/>
      <c r="CE1631" s="5168"/>
      <c r="CF1631" s="5168"/>
      <c r="CG1631" s="5750"/>
      <c r="CH1631" s="5750"/>
    </row>
    <row r="1632" ht="36.95" customHeight="1" spans="1:86">
      <c r="A1632" s="5079"/>
      <c r="B1632" s="5079"/>
      <c r="C1632" s="5079"/>
      <c r="D1632" s="6522"/>
      <c r="E1632" s="6522"/>
      <c r="F1632" s="6522"/>
      <c r="G1632" s="6522"/>
      <c r="H1632" s="6522"/>
      <c r="I1632" s="6522"/>
      <c r="J1632" s="6522"/>
      <c r="K1632" s="6522"/>
      <c r="L1632" s="6522"/>
      <c r="M1632" s="6522"/>
      <c r="N1632" s="6522"/>
      <c r="O1632" s="6522"/>
      <c r="P1632" s="6522"/>
      <c r="Q1632" s="6522"/>
      <c r="R1632" s="6522"/>
      <c r="S1632" s="6522"/>
      <c r="T1632" s="6522"/>
      <c r="U1632" s="6522"/>
      <c r="V1632" s="6522"/>
      <c r="W1632" s="6522"/>
      <c r="X1632" s="6522"/>
      <c r="Y1632" s="6522"/>
      <c r="Z1632" s="6522"/>
      <c r="AA1632" s="6522"/>
      <c r="AB1632" s="6522"/>
      <c r="AC1632" s="6522" t="s">
        <v>2800</v>
      </c>
      <c r="AD1632" s="6743" t="s">
        <v>2801</v>
      </c>
      <c r="AE1632" s="3066">
        <v>0.03</v>
      </c>
      <c r="AF1632" s="3066">
        <f>AE1632*M1628</f>
        <v>132735.0522</v>
      </c>
      <c r="AG1632" s="3066">
        <f t="shared" si="331"/>
        <v>0</v>
      </c>
      <c r="AH1632" s="3066"/>
      <c r="AI1632" s="3066"/>
      <c r="AJ1632" s="3066"/>
      <c r="AK1632" s="3066"/>
      <c r="AL1632" s="3066"/>
      <c r="AM1632" s="3066"/>
      <c r="AN1632" s="3066">
        <f t="shared" si="338"/>
        <v>0</v>
      </c>
      <c r="AO1632" s="6747"/>
      <c r="AP1632" s="3066">
        <f t="shared" si="337"/>
        <v>0</v>
      </c>
      <c r="AQ1632" s="6424"/>
      <c r="AR1632" s="3066"/>
      <c r="AS1632" s="6522"/>
      <c r="AT1632" s="3066"/>
      <c r="AU1632" s="3066"/>
      <c r="AV1632" s="3066"/>
      <c r="AW1632" s="3066"/>
      <c r="AX1632" s="3066"/>
      <c r="AY1632" s="3066"/>
      <c r="AZ1632" s="3066"/>
      <c r="BA1632" s="6424"/>
      <c r="BB1632" s="6424"/>
      <c r="BC1632" s="3066"/>
      <c r="BD1632" s="6424"/>
      <c r="BE1632" s="6424"/>
      <c r="BF1632" s="6424"/>
      <c r="BG1632" s="6424"/>
      <c r="BH1632" s="3066"/>
      <c r="BI1632" s="6424"/>
      <c r="BJ1632" s="6424"/>
      <c r="BK1632" s="6424"/>
      <c r="BL1632" s="6424"/>
      <c r="BM1632" s="6424"/>
      <c r="BN1632" s="6424"/>
      <c r="BO1632" s="6424"/>
      <c r="BP1632" s="6424"/>
      <c r="BQ1632" s="6424"/>
      <c r="BR1632" s="6424"/>
      <c r="BS1632" s="6424"/>
      <c r="BT1632" s="6424"/>
      <c r="BU1632" s="6424"/>
      <c r="BV1632" s="6424"/>
      <c r="BW1632" s="6424"/>
      <c r="BX1632" s="6424"/>
      <c r="BY1632" s="6424"/>
      <c r="BZ1632" s="6424"/>
      <c r="CA1632" s="6424"/>
      <c r="CB1632" s="6424"/>
      <c r="CC1632" s="2680"/>
      <c r="CD1632" s="2680"/>
      <c r="CE1632" s="5168"/>
      <c r="CF1632" s="5168"/>
      <c r="CG1632" s="5750"/>
      <c r="CH1632" s="5750"/>
    </row>
    <row r="1633" spans="1:86">
      <c r="A1633" s="5079"/>
      <c r="B1633" s="5079"/>
      <c r="C1633" s="5079">
        <v>43881</v>
      </c>
      <c r="D1633" s="6735" t="s">
        <v>2802</v>
      </c>
      <c r="E1633" s="6736" t="s">
        <v>2776</v>
      </c>
      <c r="F1633" s="6736" t="s">
        <v>2777</v>
      </c>
      <c r="G1633" s="6736" t="s">
        <v>2778</v>
      </c>
      <c r="H1633" s="6736" t="s">
        <v>2803</v>
      </c>
      <c r="I1633" s="6736"/>
      <c r="J1633" s="6736" t="s">
        <v>2780</v>
      </c>
      <c r="K1633" s="6736" t="s">
        <v>2804</v>
      </c>
      <c r="L1633" s="6736" t="s">
        <v>2805</v>
      </c>
      <c r="M1633" s="6736">
        <f>SUM(N1633:AA1636)</f>
        <v>2349762.75</v>
      </c>
      <c r="N1633" s="6736">
        <v>0</v>
      </c>
      <c r="O1633" s="6736">
        <v>0</v>
      </c>
      <c r="P1633" s="6736">
        <v>0</v>
      </c>
      <c r="Q1633" s="6736">
        <v>0</v>
      </c>
      <c r="R1633" s="6736">
        <v>0</v>
      </c>
      <c r="S1633" s="6736">
        <v>0</v>
      </c>
      <c r="T1633" s="6736"/>
      <c r="U1633" s="6736">
        <v>0</v>
      </c>
      <c r="V1633" s="6736">
        <v>0</v>
      </c>
      <c r="W1633" s="6736">
        <v>0</v>
      </c>
      <c r="X1633" s="6736"/>
      <c r="Y1633" s="6736"/>
      <c r="Z1633" s="6736"/>
      <c r="AA1633" s="6736">
        <v>2349762.75</v>
      </c>
      <c r="AB1633" s="6736" t="s">
        <v>2806</v>
      </c>
      <c r="AC1633" s="6736" t="s">
        <v>2807</v>
      </c>
      <c r="AD1633" s="5784" t="s">
        <v>2793</v>
      </c>
      <c r="AE1633" s="6736">
        <v>0.2</v>
      </c>
      <c r="AF1633" s="2978">
        <f>M1633*AE1633</f>
        <v>469952.55</v>
      </c>
      <c r="AG1633" s="2978">
        <f t="shared" si="331"/>
        <v>469952.55</v>
      </c>
      <c r="AH1633" s="2977" t="s">
        <v>206</v>
      </c>
      <c r="AI1633" s="2977">
        <v>44014</v>
      </c>
      <c r="AJ1633" s="2978" t="s">
        <v>171</v>
      </c>
      <c r="AK1633" s="2978" t="s">
        <v>171</v>
      </c>
      <c r="AL1633" s="2978">
        <f t="shared" ref="AL1633:AL1635" si="339">SUM(BF1633:BS1633)</f>
        <v>469952.55</v>
      </c>
      <c r="AM1633" s="2977">
        <v>44014</v>
      </c>
      <c r="AN1633" s="2977">
        <v>469952.55</v>
      </c>
      <c r="AO1633" s="2977">
        <v>44040</v>
      </c>
      <c r="AP1633" s="2977">
        <f t="shared" si="337"/>
        <v>0</v>
      </c>
      <c r="AQ1633" s="5785"/>
      <c r="AR1633" s="2978"/>
      <c r="AS1633" s="6736"/>
      <c r="AT1633" s="2978"/>
      <c r="AU1633" s="2978">
        <f>SUM(AG1633:AG1636)</f>
        <v>2349762.75</v>
      </c>
      <c r="AV1633" s="2978">
        <f>SUM(AL1633:AL1636)</f>
        <v>2349762.75</v>
      </c>
      <c r="AW1633" s="2978">
        <f>SUM(AN1633:AN1636)</f>
        <v>2349762.755</v>
      </c>
      <c r="AX1633" s="2978">
        <f>M1633-AU1633</f>
        <v>0</v>
      </c>
      <c r="AY1633" s="2978">
        <f>AU1633-AV1633</f>
        <v>0</v>
      </c>
      <c r="AZ1633" s="2978">
        <f>AV1633-AW1633</f>
        <v>-0.00499999988824129</v>
      </c>
      <c r="BA1633" s="6750"/>
      <c r="BB1633" s="6750"/>
      <c r="BC1633" s="2977"/>
      <c r="BD1633" s="6750"/>
      <c r="BE1633" s="6750"/>
      <c r="BF1633" s="6750"/>
      <c r="BG1633" s="6750"/>
      <c r="BH1633" s="2977"/>
      <c r="BI1633" s="6750"/>
      <c r="BJ1633" s="6750"/>
      <c r="BK1633" s="6750"/>
      <c r="BL1633" s="6750"/>
      <c r="BM1633" s="6750"/>
      <c r="BN1633" s="6750">
        <v>469952.55</v>
      </c>
      <c r="BO1633" s="5785"/>
      <c r="BP1633" s="5785"/>
      <c r="BQ1633" s="5785"/>
      <c r="BR1633" s="5785"/>
      <c r="BS1633" s="5785"/>
      <c r="BT1633" s="5785"/>
      <c r="BU1633" s="5785"/>
      <c r="BV1633" s="5785"/>
      <c r="BW1633" s="5785"/>
      <c r="BX1633" s="5785"/>
      <c r="BY1633" s="5785"/>
      <c r="BZ1633" s="5785"/>
      <c r="CA1633" s="5785"/>
      <c r="CB1633" s="5785">
        <v>469952.55</v>
      </c>
      <c r="CC1633" s="2680"/>
      <c r="CD1633" s="2680"/>
      <c r="CE1633" s="5168"/>
      <c r="CF1633" s="5168"/>
      <c r="CG1633" s="5750"/>
      <c r="CH1633" s="5750"/>
    </row>
    <row r="1634" ht="46" spans="1:86">
      <c r="A1634" s="5079"/>
      <c r="B1634" s="5079"/>
      <c r="C1634" s="5079"/>
      <c r="D1634" s="6736"/>
      <c r="E1634" s="6736"/>
      <c r="F1634" s="6736"/>
      <c r="G1634" s="6736"/>
      <c r="H1634" s="6736"/>
      <c r="I1634" s="6736"/>
      <c r="J1634" s="6736"/>
      <c r="K1634" s="6736"/>
      <c r="L1634" s="6736"/>
      <c r="M1634" s="6736"/>
      <c r="N1634" s="6736"/>
      <c r="O1634" s="6736"/>
      <c r="P1634" s="6736"/>
      <c r="Q1634" s="6736"/>
      <c r="R1634" s="6736"/>
      <c r="S1634" s="6736"/>
      <c r="T1634" s="6736"/>
      <c r="U1634" s="6736"/>
      <c r="V1634" s="6736"/>
      <c r="W1634" s="6736"/>
      <c r="X1634" s="6736"/>
      <c r="Y1634" s="6736"/>
      <c r="Z1634" s="6736"/>
      <c r="AA1634" s="6736"/>
      <c r="AB1634" s="6736"/>
      <c r="AC1634" s="6736" t="s">
        <v>2808</v>
      </c>
      <c r="AD1634" s="5784" t="s">
        <v>2795</v>
      </c>
      <c r="AE1634" s="6736">
        <v>0.25</v>
      </c>
      <c r="AF1634" s="2978">
        <f>M1633*AE1634</f>
        <v>587440.6875</v>
      </c>
      <c r="AG1634" s="2978">
        <f t="shared" si="331"/>
        <v>587440.6875</v>
      </c>
      <c r="AH1634" s="2977" t="s">
        <v>206</v>
      </c>
      <c r="AI1634" s="2977">
        <v>44014</v>
      </c>
      <c r="AJ1634" s="2978" t="s">
        <v>171</v>
      </c>
      <c r="AK1634" s="2978" t="s">
        <v>171</v>
      </c>
      <c r="AL1634" s="2978">
        <f t="shared" si="339"/>
        <v>587440.6875</v>
      </c>
      <c r="AM1634" s="2977">
        <v>44014</v>
      </c>
      <c r="AN1634" s="2977">
        <v>587440.69</v>
      </c>
      <c r="AO1634" s="2977">
        <v>44040</v>
      </c>
      <c r="AP1634" s="2977">
        <f t="shared" si="337"/>
        <v>-0.00249999994412065</v>
      </c>
      <c r="AQ1634" s="5785"/>
      <c r="AR1634" s="2978"/>
      <c r="AS1634" s="6736"/>
      <c r="AT1634" s="2978"/>
      <c r="AU1634" s="2978"/>
      <c r="AV1634" s="2978"/>
      <c r="AW1634" s="2978"/>
      <c r="AX1634" s="2978"/>
      <c r="AY1634" s="2978"/>
      <c r="AZ1634" s="2978"/>
      <c r="BA1634" s="6750"/>
      <c r="BB1634" s="6750"/>
      <c r="BC1634" s="2977"/>
      <c r="BD1634" s="6750"/>
      <c r="BE1634" s="6750"/>
      <c r="BF1634" s="6750"/>
      <c r="BG1634" s="6750"/>
      <c r="BH1634" s="2977"/>
      <c r="BI1634" s="6750"/>
      <c r="BJ1634" s="6750"/>
      <c r="BK1634" s="6750"/>
      <c r="BL1634" s="6750"/>
      <c r="BM1634" s="6750"/>
      <c r="BN1634" s="6750">
        <v>587440.6875</v>
      </c>
      <c r="BO1634" s="5785"/>
      <c r="BP1634" s="5785"/>
      <c r="BQ1634" s="5785"/>
      <c r="BR1634" s="5785"/>
      <c r="BS1634" s="5785"/>
      <c r="BT1634" s="5785"/>
      <c r="BU1634" s="5785"/>
      <c r="BV1634" s="5785"/>
      <c r="BW1634" s="5785"/>
      <c r="BX1634" s="5785"/>
      <c r="BY1634" s="5785"/>
      <c r="BZ1634" s="5785"/>
      <c r="CA1634" s="5785"/>
      <c r="CB1634" s="5785">
        <v>587440.6875</v>
      </c>
      <c r="CC1634" s="2680"/>
      <c r="CD1634" s="2680"/>
      <c r="CE1634" s="5168"/>
      <c r="CF1634" s="5168"/>
      <c r="CG1634" s="5750"/>
      <c r="CH1634" s="5750"/>
    </row>
    <row r="1635" ht="61" spans="1:86">
      <c r="A1635" s="5079"/>
      <c r="B1635" s="5079"/>
      <c r="C1635" s="5079"/>
      <c r="D1635" s="6736"/>
      <c r="E1635" s="6736"/>
      <c r="F1635" s="6736"/>
      <c r="G1635" s="6736"/>
      <c r="H1635" s="6736"/>
      <c r="I1635" s="6736"/>
      <c r="J1635" s="6736"/>
      <c r="K1635" s="6736"/>
      <c r="L1635" s="6736"/>
      <c r="M1635" s="6736"/>
      <c r="N1635" s="6736"/>
      <c r="O1635" s="6736"/>
      <c r="P1635" s="6736"/>
      <c r="Q1635" s="6736"/>
      <c r="R1635" s="6736"/>
      <c r="S1635" s="6736"/>
      <c r="T1635" s="6736"/>
      <c r="U1635" s="6736"/>
      <c r="V1635" s="6736"/>
      <c r="W1635" s="6736"/>
      <c r="X1635" s="6736"/>
      <c r="Y1635" s="6736"/>
      <c r="Z1635" s="6736"/>
      <c r="AA1635" s="6736"/>
      <c r="AB1635" s="6736"/>
      <c r="AC1635" s="6736" t="s">
        <v>2809</v>
      </c>
      <c r="AD1635" s="5784" t="s">
        <v>2797</v>
      </c>
      <c r="AE1635" s="6736">
        <v>0.45</v>
      </c>
      <c r="AF1635" s="2978">
        <f>M1633*AE1635</f>
        <v>1057393.2375</v>
      </c>
      <c r="AG1635" s="2978">
        <f t="shared" si="331"/>
        <v>1057393.2375</v>
      </c>
      <c r="AH1635" s="2977" t="s">
        <v>206</v>
      </c>
      <c r="AI1635" s="2977">
        <v>44014</v>
      </c>
      <c r="AJ1635" s="2978" t="s">
        <v>171</v>
      </c>
      <c r="AK1635" s="2978" t="s">
        <v>171</v>
      </c>
      <c r="AL1635" s="2978">
        <f t="shared" si="339"/>
        <v>1057393.2375</v>
      </c>
      <c r="AM1635" s="2977">
        <v>44014</v>
      </c>
      <c r="AN1635" s="2977">
        <v>1057393.24</v>
      </c>
      <c r="AO1635" s="2977">
        <v>44040</v>
      </c>
      <c r="AP1635" s="2977">
        <f t="shared" si="337"/>
        <v>-0.00249999994412065</v>
      </c>
      <c r="AQ1635" s="5785"/>
      <c r="AR1635" s="2978"/>
      <c r="AS1635" s="6736"/>
      <c r="AT1635" s="2978"/>
      <c r="AU1635" s="2978"/>
      <c r="AV1635" s="2978"/>
      <c r="AW1635" s="2978"/>
      <c r="AX1635" s="2978"/>
      <c r="AY1635" s="2978"/>
      <c r="AZ1635" s="2978"/>
      <c r="BA1635" s="6750"/>
      <c r="BB1635" s="6750"/>
      <c r="BC1635" s="2977"/>
      <c r="BD1635" s="6750"/>
      <c r="BE1635" s="6750"/>
      <c r="BF1635" s="6750"/>
      <c r="BG1635" s="6750"/>
      <c r="BH1635" s="2977"/>
      <c r="BI1635" s="6750"/>
      <c r="BJ1635" s="6750"/>
      <c r="BK1635" s="6750"/>
      <c r="BL1635" s="6750"/>
      <c r="BM1635" s="6750"/>
      <c r="BN1635" s="6750">
        <v>1057393.2375</v>
      </c>
      <c r="BO1635" s="5785"/>
      <c r="BP1635" s="5785"/>
      <c r="BQ1635" s="5785"/>
      <c r="BR1635" s="5785"/>
      <c r="BS1635" s="5785"/>
      <c r="BT1635" s="5785"/>
      <c r="BU1635" s="5785"/>
      <c r="BV1635" s="5785"/>
      <c r="BW1635" s="5785"/>
      <c r="BX1635" s="5785"/>
      <c r="BY1635" s="5785"/>
      <c r="BZ1635" s="5785"/>
      <c r="CA1635" s="5785"/>
      <c r="CB1635" s="5785">
        <v>1057393.2375</v>
      </c>
      <c r="CC1635" s="2680"/>
      <c r="CD1635" s="2680"/>
      <c r="CE1635" s="5168"/>
      <c r="CF1635" s="5168"/>
      <c r="CG1635" s="5750"/>
      <c r="CH1635" s="5750"/>
    </row>
    <row r="1636" ht="61" spans="1:86">
      <c r="A1636" s="5079"/>
      <c r="B1636" s="5079"/>
      <c r="C1636" s="5079"/>
      <c r="D1636" s="6736"/>
      <c r="E1636" s="6736"/>
      <c r="F1636" s="6736"/>
      <c r="G1636" s="6736"/>
      <c r="H1636" s="6736"/>
      <c r="I1636" s="6736"/>
      <c r="J1636" s="6736"/>
      <c r="K1636" s="6736"/>
      <c r="L1636" s="6736"/>
      <c r="M1636" s="6736"/>
      <c r="N1636" s="6736"/>
      <c r="O1636" s="6736"/>
      <c r="P1636" s="6736"/>
      <c r="Q1636" s="6736"/>
      <c r="R1636" s="6736"/>
      <c r="S1636" s="6736"/>
      <c r="T1636" s="6736"/>
      <c r="U1636" s="6736"/>
      <c r="V1636" s="6736"/>
      <c r="W1636" s="6736"/>
      <c r="X1636" s="6736"/>
      <c r="Y1636" s="6736"/>
      <c r="Z1636" s="6736"/>
      <c r="AA1636" s="6736"/>
      <c r="AB1636" s="6736"/>
      <c r="AC1636" s="6736" t="s">
        <v>2810</v>
      </c>
      <c r="AD1636" s="5784" t="s">
        <v>2811</v>
      </c>
      <c r="AE1636" s="6736">
        <v>0.1</v>
      </c>
      <c r="AF1636" s="2978">
        <f>M1633*AE1636</f>
        <v>234976.275</v>
      </c>
      <c r="AG1636" s="2977">
        <f t="shared" si="331"/>
        <v>234976.275</v>
      </c>
      <c r="AH1636" s="6745" t="s">
        <v>122</v>
      </c>
      <c r="AI1636" s="2977">
        <v>45279</v>
      </c>
      <c r="AJ1636" s="2977">
        <v>234976.275</v>
      </c>
      <c r="AK1636" s="2977">
        <v>45279</v>
      </c>
      <c r="AL1636" s="2977">
        <v>234976.275</v>
      </c>
      <c r="AM1636" s="2978">
        <v>45315</v>
      </c>
      <c r="AN1636" s="2977">
        <f t="shared" si="338"/>
        <v>234976.275</v>
      </c>
      <c r="AO1636" s="2977">
        <v>45321</v>
      </c>
      <c r="AP1636" s="2978">
        <f t="shared" si="337"/>
        <v>0</v>
      </c>
      <c r="AQ1636" s="5785"/>
      <c r="AR1636" s="2978"/>
      <c r="AS1636" s="6736"/>
      <c r="AT1636" s="2978"/>
      <c r="AU1636" s="2978"/>
      <c r="AV1636" s="2978"/>
      <c r="AW1636" s="2978"/>
      <c r="AX1636" s="2978"/>
      <c r="AY1636" s="2978"/>
      <c r="AZ1636" s="2978"/>
      <c r="BA1636" s="5785"/>
      <c r="BB1636" s="5785"/>
      <c r="BC1636" s="2978"/>
      <c r="BD1636" s="5785"/>
      <c r="BE1636" s="5785"/>
      <c r="BF1636" s="5785"/>
      <c r="BG1636" s="5785"/>
      <c r="BH1636" s="2978"/>
      <c r="BI1636" s="5785"/>
      <c r="BJ1636" s="5785"/>
      <c r="BK1636" s="5785"/>
      <c r="BL1636" s="5785"/>
      <c r="BM1636" s="5785"/>
      <c r="BN1636" s="6750">
        <v>234976.275</v>
      </c>
      <c r="BO1636" s="5785"/>
      <c r="BP1636" s="5785"/>
      <c r="BQ1636" s="6750"/>
      <c r="BR1636" s="6750"/>
      <c r="BS1636" s="6750"/>
      <c r="BT1636" s="6750"/>
      <c r="BU1636" s="6750"/>
      <c r="BV1636" s="6750"/>
      <c r="BW1636" s="6750"/>
      <c r="BX1636" s="6750"/>
      <c r="BY1636" s="6750"/>
      <c r="BZ1636" s="6750"/>
      <c r="CA1636" s="6750"/>
      <c r="CB1636" s="6750">
        <v>234976.275</v>
      </c>
      <c r="CC1636" s="2680"/>
      <c r="CD1636" s="2680"/>
      <c r="CE1636" s="5168"/>
      <c r="CF1636" s="5168"/>
      <c r="CG1636" s="5750"/>
      <c r="CH1636" s="5750"/>
    </row>
    <row r="1637" spans="1:86">
      <c r="A1637" s="5079"/>
      <c r="B1637" s="5079"/>
      <c r="C1637" s="5079">
        <v>43881</v>
      </c>
      <c r="D1637" s="1125" t="s">
        <v>2812</v>
      </c>
      <c r="E1637" s="5054" t="s">
        <v>2776</v>
      </c>
      <c r="F1637" s="5054" t="s">
        <v>2777</v>
      </c>
      <c r="G1637" s="5054" t="s">
        <v>2778</v>
      </c>
      <c r="H1637" s="5054" t="s">
        <v>2813</v>
      </c>
      <c r="I1637" s="5054"/>
      <c r="J1637" s="5054" t="s">
        <v>2780</v>
      </c>
      <c r="K1637" s="5054" t="s">
        <v>2814</v>
      </c>
      <c r="L1637" s="5054" t="s">
        <v>2815</v>
      </c>
      <c r="M1637" s="5054">
        <f>SUM(N1637:AA1645)</f>
        <v>1685346.25</v>
      </c>
      <c r="N1637" s="5054">
        <v>0</v>
      </c>
      <c r="O1637" s="5054">
        <v>0</v>
      </c>
      <c r="P1637" s="5054">
        <v>0</v>
      </c>
      <c r="Q1637" s="5054">
        <v>0</v>
      </c>
      <c r="R1637" s="5054">
        <v>0</v>
      </c>
      <c r="S1637" s="5054">
        <v>0</v>
      </c>
      <c r="T1637" s="5054"/>
      <c r="U1637" s="5054">
        <v>0</v>
      </c>
      <c r="V1637" s="5054">
        <v>0</v>
      </c>
      <c r="W1637" s="5054">
        <v>0</v>
      </c>
      <c r="X1637" s="5054"/>
      <c r="Y1637" s="5054"/>
      <c r="Z1637" s="5054"/>
      <c r="AA1637" s="5054">
        <v>1685346.25</v>
      </c>
      <c r="AB1637" s="5054" t="s">
        <v>2816</v>
      </c>
      <c r="AC1637" s="5054" t="s">
        <v>2703</v>
      </c>
      <c r="AD1637" s="5131" t="s">
        <v>2793</v>
      </c>
      <c r="AE1637" s="5054">
        <v>0.15</v>
      </c>
      <c r="AF1637" s="3058">
        <f>M1637*AE1637</f>
        <v>252801.9375</v>
      </c>
      <c r="AG1637" s="3058">
        <f t="shared" si="331"/>
        <v>252801.9375</v>
      </c>
      <c r="AH1637" s="3057" t="s">
        <v>206</v>
      </c>
      <c r="AI1637" s="3057">
        <v>44014</v>
      </c>
      <c r="AJ1637" s="3058" t="s">
        <v>171</v>
      </c>
      <c r="AK1637" s="3058" t="s">
        <v>171</v>
      </c>
      <c r="AL1637" s="3058">
        <f t="shared" ref="AL1637:AL1644" si="340">SUM(BF1637:BS1637)</f>
        <v>252801.9375</v>
      </c>
      <c r="AM1637" s="3057">
        <v>44014</v>
      </c>
      <c r="AN1637" s="3058">
        <f t="shared" si="338"/>
        <v>252801.9375</v>
      </c>
      <c r="AO1637" s="3057">
        <v>44040</v>
      </c>
      <c r="AP1637" s="3057">
        <f t="shared" si="337"/>
        <v>0</v>
      </c>
      <c r="AQ1637" s="5138"/>
      <c r="AR1637" s="3058"/>
      <c r="AS1637" s="5054"/>
      <c r="AT1637" s="3058"/>
      <c r="AU1637" s="3058">
        <f>SUM(AG1637:AG1645)</f>
        <v>1685346.26</v>
      </c>
      <c r="AV1637" s="3058">
        <f>SUM(AL1637:AL1645)</f>
        <v>1685346.26</v>
      </c>
      <c r="AW1637" s="3058">
        <f>SUM(AN1637:AN1645)</f>
        <v>1685346.2625</v>
      </c>
      <c r="AX1637" s="3058">
        <f>M1637-AU1637</f>
        <v>-0.00999999977648258</v>
      </c>
      <c r="AY1637" s="3058">
        <f>AU1637-AV1637</f>
        <v>0</v>
      </c>
      <c r="AZ1637" s="3058">
        <f>AV1637-AW1637</f>
        <v>-0.00249999994412065</v>
      </c>
      <c r="BA1637" s="5150"/>
      <c r="BB1637" s="5150"/>
      <c r="BC1637" s="3057"/>
      <c r="BD1637" s="5150"/>
      <c r="BE1637" s="5150"/>
      <c r="BF1637" s="5150"/>
      <c r="BG1637" s="5150"/>
      <c r="BH1637" s="3057"/>
      <c r="BI1637" s="5150"/>
      <c r="BJ1637" s="5150"/>
      <c r="BK1637" s="5150"/>
      <c r="BL1637" s="5150"/>
      <c r="BM1637" s="5150"/>
      <c r="BN1637" s="5150">
        <v>252801.9375</v>
      </c>
      <c r="BO1637" s="5138"/>
      <c r="BP1637" s="5138"/>
      <c r="BQ1637" s="5138"/>
      <c r="BR1637" s="5138"/>
      <c r="BS1637" s="5138"/>
      <c r="BT1637" s="5138"/>
      <c r="BU1637" s="5138"/>
      <c r="BV1637" s="5138"/>
      <c r="BW1637" s="5138"/>
      <c r="BX1637" s="5138"/>
      <c r="BY1637" s="5138"/>
      <c r="BZ1637" s="5138"/>
      <c r="CA1637" s="5138"/>
      <c r="CB1637" s="5138">
        <v>252801.9375</v>
      </c>
      <c r="CC1637" s="2680"/>
      <c r="CD1637" s="2680"/>
      <c r="CE1637" s="5168"/>
      <c r="CF1637" s="5168"/>
      <c r="CG1637" s="5750"/>
      <c r="CH1637" s="5750"/>
    </row>
    <row r="1638" ht="31" spans="1:86">
      <c r="A1638" s="5079"/>
      <c r="B1638" s="5079"/>
      <c r="C1638" s="5079"/>
      <c r="D1638" s="5054"/>
      <c r="E1638" s="5054"/>
      <c r="F1638" s="5054"/>
      <c r="G1638" s="5054"/>
      <c r="H1638" s="5054"/>
      <c r="I1638" s="5054"/>
      <c r="J1638" s="5054"/>
      <c r="K1638" s="5054"/>
      <c r="L1638" s="5054"/>
      <c r="M1638" s="5054"/>
      <c r="N1638" s="5054"/>
      <c r="O1638" s="5054"/>
      <c r="P1638" s="5054"/>
      <c r="Q1638" s="5054"/>
      <c r="R1638" s="5054"/>
      <c r="S1638" s="5054"/>
      <c r="T1638" s="5054"/>
      <c r="U1638" s="5054"/>
      <c r="V1638" s="5054"/>
      <c r="W1638" s="5054"/>
      <c r="X1638" s="5054"/>
      <c r="Y1638" s="5054"/>
      <c r="Z1638" s="5054"/>
      <c r="AA1638" s="5054"/>
      <c r="AB1638" s="5054"/>
      <c r="AC1638" s="5054" t="s">
        <v>2704</v>
      </c>
      <c r="AD1638" s="5131" t="s">
        <v>2817</v>
      </c>
      <c r="AE1638" s="5054">
        <v>0.1</v>
      </c>
      <c r="AF1638" s="3058">
        <f>M1637*AE1638</f>
        <v>168534.625</v>
      </c>
      <c r="AG1638" s="3058">
        <v>168534.63</v>
      </c>
      <c r="AH1638" s="3057" t="s">
        <v>206</v>
      </c>
      <c r="AI1638" s="3057">
        <v>44014</v>
      </c>
      <c r="AJ1638" s="3058" t="s">
        <v>171</v>
      </c>
      <c r="AK1638" s="3058" t="s">
        <v>171</v>
      </c>
      <c r="AL1638" s="3058">
        <v>168534.63</v>
      </c>
      <c r="AM1638" s="3057">
        <v>44014</v>
      </c>
      <c r="AN1638" s="3058">
        <f t="shared" si="338"/>
        <v>168534.63</v>
      </c>
      <c r="AO1638" s="3057">
        <v>44040</v>
      </c>
      <c r="AP1638" s="3057">
        <f t="shared" si="337"/>
        <v>0</v>
      </c>
      <c r="AQ1638" s="5138"/>
      <c r="AR1638" s="3058"/>
      <c r="AS1638" s="5054"/>
      <c r="AT1638" s="3058"/>
      <c r="AU1638" s="3058"/>
      <c r="AV1638" s="3058"/>
      <c r="AW1638" s="3058"/>
      <c r="AX1638" s="3058"/>
      <c r="AY1638" s="3058"/>
      <c r="AZ1638" s="3058"/>
      <c r="BA1638" s="5150"/>
      <c r="BB1638" s="5150"/>
      <c r="BC1638" s="3057"/>
      <c r="BD1638" s="5150"/>
      <c r="BE1638" s="5150"/>
      <c r="BF1638" s="5150"/>
      <c r="BG1638" s="5150"/>
      <c r="BH1638" s="3057"/>
      <c r="BI1638" s="5150"/>
      <c r="BJ1638" s="5150"/>
      <c r="BK1638" s="5150"/>
      <c r="BL1638" s="5150"/>
      <c r="BM1638" s="5150"/>
      <c r="BN1638" s="5150">
        <v>168534.625</v>
      </c>
      <c r="BO1638" s="5138"/>
      <c r="BP1638" s="5138"/>
      <c r="BQ1638" s="5138"/>
      <c r="BR1638" s="5138"/>
      <c r="BS1638" s="5138"/>
      <c r="BT1638" s="5138"/>
      <c r="BU1638" s="5138"/>
      <c r="BV1638" s="5138"/>
      <c r="BW1638" s="5138"/>
      <c r="BX1638" s="5138"/>
      <c r="BY1638" s="5138"/>
      <c r="BZ1638" s="5138"/>
      <c r="CA1638" s="5138"/>
      <c r="CB1638" s="5138">
        <v>168534.63</v>
      </c>
      <c r="CC1638" s="2680"/>
      <c r="CD1638" s="2680"/>
      <c r="CE1638" s="5168"/>
      <c r="CF1638" s="5168"/>
      <c r="CG1638" s="5750"/>
      <c r="CH1638" s="5750"/>
    </row>
    <row r="1639" ht="31" spans="1:86">
      <c r="A1639" s="5079"/>
      <c r="B1639" s="5079"/>
      <c r="C1639" s="5079"/>
      <c r="D1639" s="5054"/>
      <c r="E1639" s="5054"/>
      <c r="F1639" s="5054"/>
      <c r="G1639" s="5054"/>
      <c r="H1639" s="5054"/>
      <c r="I1639" s="5054"/>
      <c r="J1639" s="5054"/>
      <c r="K1639" s="5054"/>
      <c r="L1639" s="5054"/>
      <c r="M1639" s="5054"/>
      <c r="N1639" s="5054"/>
      <c r="O1639" s="5054"/>
      <c r="P1639" s="5054"/>
      <c r="Q1639" s="5054"/>
      <c r="R1639" s="5054"/>
      <c r="S1639" s="5054"/>
      <c r="T1639" s="5054"/>
      <c r="U1639" s="5054"/>
      <c r="V1639" s="5054"/>
      <c r="W1639" s="5054"/>
      <c r="X1639" s="5054"/>
      <c r="Y1639" s="5054"/>
      <c r="Z1639" s="5054"/>
      <c r="AA1639" s="5054"/>
      <c r="AB1639" s="5054"/>
      <c r="AC1639" s="5054" t="s">
        <v>2707</v>
      </c>
      <c r="AD1639" s="5131" t="s">
        <v>2818</v>
      </c>
      <c r="AE1639" s="5054">
        <v>0.1</v>
      </c>
      <c r="AF1639" s="3058">
        <v>168534.62</v>
      </c>
      <c r="AG1639" s="3058">
        <v>168534.62</v>
      </c>
      <c r="AH1639" s="3057" t="s">
        <v>206</v>
      </c>
      <c r="AI1639" s="3057">
        <v>44014</v>
      </c>
      <c r="AJ1639" s="3058" t="s">
        <v>171</v>
      </c>
      <c r="AK1639" s="3058" t="s">
        <v>171</v>
      </c>
      <c r="AL1639" s="3058">
        <v>168534.62</v>
      </c>
      <c r="AM1639" s="3057">
        <v>44014</v>
      </c>
      <c r="AN1639" s="3058">
        <f t="shared" si="338"/>
        <v>168534.62</v>
      </c>
      <c r="AO1639" s="3057">
        <v>44040</v>
      </c>
      <c r="AP1639" s="3057">
        <f t="shared" si="337"/>
        <v>0</v>
      </c>
      <c r="AQ1639" s="5138"/>
      <c r="AR1639" s="3058"/>
      <c r="AS1639" s="5054"/>
      <c r="AT1639" s="3058"/>
      <c r="AU1639" s="3058"/>
      <c r="AV1639" s="3058"/>
      <c r="AW1639" s="3058"/>
      <c r="AX1639" s="3058"/>
      <c r="AY1639" s="3058"/>
      <c r="AZ1639" s="3058"/>
      <c r="BA1639" s="5150"/>
      <c r="BB1639" s="5150"/>
      <c r="BC1639" s="3057"/>
      <c r="BD1639" s="5150"/>
      <c r="BE1639" s="5150"/>
      <c r="BF1639" s="5150"/>
      <c r="BG1639" s="5150"/>
      <c r="BH1639" s="3057"/>
      <c r="BI1639" s="5150"/>
      <c r="BJ1639" s="5150"/>
      <c r="BK1639" s="5150"/>
      <c r="BL1639" s="5150"/>
      <c r="BM1639" s="5150"/>
      <c r="BN1639" s="5150">
        <v>168534.625</v>
      </c>
      <c r="BO1639" s="5138"/>
      <c r="BP1639" s="5138"/>
      <c r="BQ1639" s="5138"/>
      <c r="BR1639" s="5138"/>
      <c r="BS1639" s="5138"/>
      <c r="BT1639" s="5138"/>
      <c r="BU1639" s="5138"/>
      <c r="BV1639" s="5138"/>
      <c r="BW1639" s="5138"/>
      <c r="BX1639" s="5138"/>
      <c r="BY1639" s="5138"/>
      <c r="BZ1639" s="5138"/>
      <c r="CA1639" s="5138"/>
      <c r="CB1639" s="5138">
        <v>168534.62</v>
      </c>
      <c r="CC1639" s="2680"/>
      <c r="CD1639" s="2680"/>
      <c r="CE1639" s="5168"/>
      <c r="CF1639" s="5168"/>
      <c r="CG1639" s="5750"/>
      <c r="CH1639" s="5750"/>
    </row>
    <row r="1640" spans="1:86">
      <c r="A1640" s="5079"/>
      <c r="B1640" s="5079"/>
      <c r="C1640" s="5079"/>
      <c r="D1640" s="5054"/>
      <c r="E1640" s="5054"/>
      <c r="F1640" s="5054"/>
      <c r="G1640" s="5054"/>
      <c r="H1640" s="5054"/>
      <c r="I1640" s="5054"/>
      <c r="J1640" s="5054"/>
      <c r="K1640" s="5054"/>
      <c r="L1640" s="5054"/>
      <c r="M1640" s="5054"/>
      <c r="N1640" s="5054"/>
      <c r="O1640" s="5054"/>
      <c r="P1640" s="5054"/>
      <c r="Q1640" s="5054"/>
      <c r="R1640" s="5054"/>
      <c r="S1640" s="5054"/>
      <c r="T1640" s="5054"/>
      <c r="U1640" s="5054"/>
      <c r="V1640" s="5054"/>
      <c r="W1640" s="5054"/>
      <c r="X1640" s="5054"/>
      <c r="Y1640" s="5054"/>
      <c r="Z1640" s="5054"/>
      <c r="AA1640" s="5054"/>
      <c r="AB1640" s="5054"/>
      <c r="AC1640" s="5054" t="s">
        <v>2709</v>
      </c>
      <c r="AD1640" s="5131" t="s">
        <v>2819</v>
      </c>
      <c r="AE1640" s="5054">
        <v>0.1</v>
      </c>
      <c r="AF1640" s="3058">
        <f>M1637*AE1640</f>
        <v>168534.625</v>
      </c>
      <c r="AG1640" s="3057">
        <f t="shared" ref="AG1638:AG1650" si="341">SUM(BA1640:BN1640)</f>
        <v>168534.63</v>
      </c>
      <c r="AH1640" s="3057" t="s">
        <v>122</v>
      </c>
      <c r="AI1640" s="3057">
        <v>44200</v>
      </c>
      <c r="AJ1640" s="3058">
        <v>168534.63</v>
      </c>
      <c r="AK1640" s="3058">
        <v>44200</v>
      </c>
      <c r="AL1640" s="3057">
        <f t="shared" si="340"/>
        <v>168534.63</v>
      </c>
      <c r="AM1640" s="3058">
        <v>44200</v>
      </c>
      <c r="AN1640" s="3058">
        <f t="shared" si="338"/>
        <v>168534.63</v>
      </c>
      <c r="AO1640" s="3057">
        <v>44215</v>
      </c>
      <c r="AP1640" s="3058">
        <f t="shared" si="337"/>
        <v>0</v>
      </c>
      <c r="AQ1640" s="5138"/>
      <c r="AR1640" s="3058"/>
      <c r="AS1640" s="5054"/>
      <c r="AT1640" s="3058"/>
      <c r="AU1640" s="3058"/>
      <c r="AV1640" s="3058"/>
      <c r="AW1640" s="3058"/>
      <c r="AX1640" s="3058"/>
      <c r="AY1640" s="3058"/>
      <c r="AZ1640" s="3058"/>
      <c r="BA1640" s="5150"/>
      <c r="BB1640" s="5150"/>
      <c r="BC1640" s="3057"/>
      <c r="BD1640" s="5150"/>
      <c r="BE1640" s="5150"/>
      <c r="BF1640" s="5150"/>
      <c r="BG1640" s="5150"/>
      <c r="BH1640" s="3057"/>
      <c r="BI1640" s="5150"/>
      <c r="BJ1640" s="5150"/>
      <c r="BK1640" s="5150"/>
      <c r="BL1640" s="5150"/>
      <c r="BM1640" s="5150"/>
      <c r="BN1640" s="5150">
        <v>168534.63</v>
      </c>
      <c r="BO1640" s="5150"/>
      <c r="BP1640" s="5150"/>
      <c r="BQ1640" s="5150"/>
      <c r="BR1640" s="5150"/>
      <c r="BS1640" s="5150"/>
      <c r="BT1640" s="5150"/>
      <c r="BU1640" s="5150"/>
      <c r="BV1640" s="5150"/>
      <c r="BW1640" s="5150"/>
      <c r="BX1640" s="5150"/>
      <c r="BY1640" s="5150"/>
      <c r="BZ1640" s="5150"/>
      <c r="CA1640" s="5150"/>
      <c r="CB1640" s="5150">
        <v>168534.63</v>
      </c>
      <c r="CC1640" s="2680"/>
      <c r="CD1640" s="2680"/>
      <c r="CE1640" s="5168"/>
      <c r="CF1640" s="5168"/>
      <c r="CG1640" s="5750"/>
      <c r="CH1640" s="5750"/>
    </row>
    <row r="1641" ht="31" spans="1:86">
      <c r="A1641" s="5079"/>
      <c r="B1641" s="5079"/>
      <c r="C1641" s="5079"/>
      <c r="D1641" s="5054"/>
      <c r="E1641" s="5054"/>
      <c r="F1641" s="5054"/>
      <c r="G1641" s="5054"/>
      <c r="H1641" s="5054"/>
      <c r="I1641" s="5054"/>
      <c r="J1641" s="5054"/>
      <c r="K1641" s="5054"/>
      <c r="L1641" s="5054"/>
      <c r="M1641" s="5054"/>
      <c r="N1641" s="5054"/>
      <c r="O1641" s="5054"/>
      <c r="P1641" s="5054"/>
      <c r="Q1641" s="5054"/>
      <c r="R1641" s="5054"/>
      <c r="S1641" s="5054"/>
      <c r="T1641" s="5054"/>
      <c r="U1641" s="5054"/>
      <c r="V1641" s="5054"/>
      <c r="W1641" s="5054"/>
      <c r="X1641" s="5054"/>
      <c r="Y1641" s="5054"/>
      <c r="Z1641" s="5054"/>
      <c r="AA1641" s="5054"/>
      <c r="AB1641" s="5054"/>
      <c r="AC1641" s="5054" t="s">
        <v>2712</v>
      </c>
      <c r="AD1641" s="5131" t="s">
        <v>2820</v>
      </c>
      <c r="AE1641" s="5054">
        <v>0.15</v>
      </c>
      <c r="AF1641" s="3058">
        <f>M1637*AE1641</f>
        <v>252801.9375</v>
      </c>
      <c r="AG1641" s="3057">
        <f t="shared" si="341"/>
        <v>252801.9375</v>
      </c>
      <c r="AH1641" s="3057" t="s">
        <v>206</v>
      </c>
      <c r="AI1641" s="3057">
        <v>44050</v>
      </c>
      <c r="AJ1641" s="3058" t="s">
        <v>171</v>
      </c>
      <c r="AK1641" s="3058" t="s">
        <v>171</v>
      </c>
      <c r="AL1641" s="3057">
        <f t="shared" si="340"/>
        <v>252801.9375</v>
      </c>
      <c r="AM1641" s="3057">
        <v>44050</v>
      </c>
      <c r="AN1641" s="3058">
        <f t="shared" si="338"/>
        <v>252801.9375</v>
      </c>
      <c r="AO1641" s="3057">
        <v>44134</v>
      </c>
      <c r="AP1641" s="3058">
        <f t="shared" si="337"/>
        <v>0</v>
      </c>
      <c r="AQ1641" s="5138"/>
      <c r="AR1641" s="3058"/>
      <c r="AS1641" s="5054"/>
      <c r="AT1641" s="3058"/>
      <c r="AU1641" s="3058"/>
      <c r="AV1641" s="3058"/>
      <c r="AW1641" s="3058"/>
      <c r="AX1641" s="3058"/>
      <c r="AY1641" s="3058"/>
      <c r="AZ1641" s="3058"/>
      <c r="BA1641" s="5150"/>
      <c r="BB1641" s="5150"/>
      <c r="BC1641" s="3057"/>
      <c r="BD1641" s="5150"/>
      <c r="BE1641" s="5150"/>
      <c r="BF1641" s="5150"/>
      <c r="BG1641" s="5150"/>
      <c r="BH1641" s="3057"/>
      <c r="BI1641" s="5150"/>
      <c r="BJ1641" s="5150"/>
      <c r="BK1641" s="5150"/>
      <c r="BL1641" s="5150"/>
      <c r="BM1641" s="5150"/>
      <c r="BN1641" s="5150">
        <v>252801.9375</v>
      </c>
      <c r="BO1641" s="5138"/>
      <c r="BP1641" s="5138"/>
      <c r="BQ1641" s="5138"/>
      <c r="BR1641" s="5138"/>
      <c r="BS1641" s="5138"/>
      <c r="BT1641" s="5138"/>
      <c r="BU1641" s="5138"/>
      <c r="BV1641" s="5138"/>
      <c r="BW1641" s="5138"/>
      <c r="BX1641" s="5138"/>
      <c r="BY1641" s="5138"/>
      <c r="BZ1641" s="5138"/>
      <c r="CA1641" s="5138"/>
      <c r="CB1641" s="5138">
        <v>252801.9375</v>
      </c>
      <c r="CC1641" s="2680"/>
      <c r="CD1641" s="2680"/>
      <c r="CE1641" s="5168"/>
      <c r="CF1641" s="5168"/>
      <c r="CG1641" s="5750"/>
      <c r="CH1641" s="5750"/>
    </row>
    <row r="1642" ht="31" spans="1:86">
      <c r="A1642" s="5079"/>
      <c r="B1642" s="5079"/>
      <c r="C1642" s="5079"/>
      <c r="D1642" s="5054"/>
      <c r="E1642" s="5054"/>
      <c r="F1642" s="5054"/>
      <c r="G1642" s="5054"/>
      <c r="H1642" s="5054"/>
      <c r="I1642" s="5054"/>
      <c r="J1642" s="5054"/>
      <c r="K1642" s="5054"/>
      <c r="L1642" s="5054"/>
      <c r="M1642" s="5054"/>
      <c r="N1642" s="5054"/>
      <c r="O1642" s="5054"/>
      <c r="P1642" s="5054"/>
      <c r="Q1642" s="5054"/>
      <c r="R1642" s="5054"/>
      <c r="S1642" s="5054"/>
      <c r="T1642" s="5054"/>
      <c r="U1642" s="5054"/>
      <c r="V1642" s="5054"/>
      <c r="W1642" s="5054"/>
      <c r="X1642" s="5054"/>
      <c r="Y1642" s="5054"/>
      <c r="Z1642" s="5054"/>
      <c r="AA1642" s="5054"/>
      <c r="AB1642" s="5054"/>
      <c r="AC1642" s="5054" t="s">
        <v>2714</v>
      </c>
      <c r="AD1642" s="5131" t="s">
        <v>2821</v>
      </c>
      <c r="AE1642" s="5054">
        <v>0.15</v>
      </c>
      <c r="AF1642" s="3058">
        <f>M1637*AE1642</f>
        <v>252801.9375</v>
      </c>
      <c r="AG1642" s="3057">
        <f t="shared" si="341"/>
        <v>252801.9375</v>
      </c>
      <c r="AH1642" s="3057" t="s">
        <v>122</v>
      </c>
      <c r="AI1642" s="3057">
        <v>44092</v>
      </c>
      <c r="AJ1642" s="3058">
        <v>252801.9375</v>
      </c>
      <c r="AK1642" s="3057">
        <v>44089</v>
      </c>
      <c r="AL1642" s="3057">
        <f t="shared" si="340"/>
        <v>252801.9375</v>
      </c>
      <c r="AM1642" s="3057">
        <v>44132</v>
      </c>
      <c r="AN1642" s="3058">
        <f t="shared" si="338"/>
        <v>252801.9375</v>
      </c>
      <c r="AO1642" s="3057">
        <v>44180</v>
      </c>
      <c r="AP1642" s="3058">
        <f t="shared" si="337"/>
        <v>0</v>
      </c>
      <c r="AQ1642" s="5138"/>
      <c r="AR1642" s="3058"/>
      <c r="AS1642" s="5054"/>
      <c r="AT1642" s="3058"/>
      <c r="AU1642" s="3058"/>
      <c r="AV1642" s="3058"/>
      <c r="AW1642" s="3058"/>
      <c r="AX1642" s="3058"/>
      <c r="AY1642" s="3058"/>
      <c r="AZ1642" s="3058"/>
      <c r="BA1642" s="5150"/>
      <c r="BB1642" s="5150"/>
      <c r="BC1642" s="3057"/>
      <c r="BD1642" s="5150"/>
      <c r="BE1642" s="5150"/>
      <c r="BF1642" s="5150"/>
      <c r="BG1642" s="5150"/>
      <c r="BH1642" s="3057"/>
      <c r="BI1642" s="5150"/>
      <c r="BJ1642" s="5150"/>
      <c r="BK1642" s="5150"/>
      <c r="BL1642" s="5150"/>
      <c r="BM1642" s="5150"/>
      <c r="BN1642" s="5150">
        <v>252801.9375</v>
      </c>
      <c r="BO1642" s="5138"/>
      <c r="BP1642" s="5138"/>
      <c r="BQ1642" s="5138"/>
      <c r="BR1642" s="5138"/>
      <c r="BS1642" s="5138"/>
      <c r="BT1642" s="5138"/>
      <c r="BU1642" s="5138"/>
      <c r="BV1642" s="5138"/>
      <c r="BW1642" s="5138"/>
      <c r="BX1642" s="5138"/>
      <c r="BY1642" s="5138"/>
      <c r="BZ1642" s="5138"/>
      <c r="CA1642" s="5138"/>
      <c r="CB1642" s="5138">
        <v>252801.9375</v>
      </c>
      <c r="CC1642" s="2680"/>
      <c r="CD1642" s="2680"/>
      <c r="CE1642" s="5168"/>
      <c r="CF1642" s="5168"/>
      <c r="CG1642" s="5750"/>
      <c r="CH1642" s="5750"/>
    </row>
    <row r="1643" ht="31" spans="1:86">
      <c r="A1643" s="5079"/>
      <c r="B1643" s="5079"/>
      <c r="C1643" s="5079"/>
      <c r="D1643" s="5054"/>
      <c r="E1643" s="5054"/>
      <c r="F1643" s="5054"/>
      <c r="G1643" s="5054"/>
      <c r="H1643" s="5054"/>
      <c r="I1643" s="5054"/>
      <c r="J1643" s="5054"/>
      <c r="K1643" s="5054"/>
      <c r="L1643" s="5054"/>
      <c r="M1643" s="5054"/>
      <c r="N1643" s="5054"/>
      <c r="O1643" s="5054"/>
      <c r="P1643" s="5054"/>
      <c r="Q1643" s="5054"/>
      <c r="R1643" s="5054"/>
      <c r="S1643" s="5054"/>
      <c r="T1643" s="5054"/>
      <c r="U1643" s="5054"/>
      <c r="V1643" s="5054"/>
      <c r="W1643" s="5054"/>
      <c r="X1643" s="5054"/>
      <c r="Y1643" s="5054"/>
      <c r="Z1643" s="5054"/>
      <c r="AA1643" s="5054"/>
      <c r="AB1643" s="5054"/>
      <c r="AC1643" s="5054" t="s">
        <v>2716</v>
      </c>
      <c r="AD1643" s="5131" t="s">
        <v>2822</v>
      </c>
      <c r="AE1643" s="5054">
        <v>0.1</v>
      </c>
      <c r="AF1643" s="3058">
        <f>M1637*AE1643</f>
        <v>168534.625</v>
      </c>
      <c r="AG1643" s="3057">
        <f t="shared" si="341"/>
        <v>168534.63</v>
      </c>
      <c r="AH1643" s="3057" t="s">
        <v>122</v>
      </c>
      <c r="AI1643" s="3057">
        <v>44257</v>
      </c>
      <c r="AJ1643" s="3057">
        <f>SUM(BD1643:BQ1643)</f>
        <v>168534.63</v>
      </c>
      <c r="AK1643" s="3057">
        <v>44257</v>
      </c>
      <c r="AL1643" s="3057">
        <f t="shared" si="340"/>
        <v>168534.63</v>
      </c>
      <c r="AM1643" s="3057">
        <v>44257</v>
      </c>
      <c r="AN1643" s="3057">
        <f t="shared" si="338"/>
        <v>168534.63</v>
      </c>
      <c r="AO1643" s="3057">
        <v>44294</v>
      </c>
      <c r="AP1643" s="3058">
        <f t="shared" si="337"/>
        <v>0</v>
      </c>
      <c r="AQ1643" s="5138"/>
      <c r="AR1643" s="3058"/>
      <c r="AS1643" s="5054"/>
      <c r="AT1643" s="3058"/>
      <c r="AU1643" s="3058"/>
      <c r="AV1643" s="3058"/>
      <c r="AW1643" s="3058"/>
      <c r="AX1643" s="3058"/>
      <c r="AY1643" s="3058"/>
      <c r="AZ1643" s="3058"/>
      <c r="BA1643" s="5150"/>
      <c r="BB1643" s="5150"/>
      <c r="BC1643" s="3057"/>
      <c r="BD1643" s="5150"/>
      <c r="BE1643" s="5150"/>
      <c r="BF1643" s="5150"/>
      <c r="BG1643" s="5150"/>
      <c r="BH1643" s="3057"/>
      <c r="BI1643" s="5150"/>
      <c r="BJ1643" s="5150"/>
      <c r="BK1643" s="5150"/>
      <c r="BL1643" s="5150"/>
      <c r="BM1643" s="5150"/>
      <c r="BN1643" s="5150">
        <v>168534.63</v>
      </c>
      <c r="BO1643" s="5150"/>
      <c r="BP1643" s="5150"/>
      <c r="BQ1643" s="5150"/>
      <c r="BR1643" s="5150"/>
      <c r="BS1643" s="5150"/>
      <c r="BT1643" s="5150"/>
      <c r="BU1643" s="5150"/>
      <c r="BV1643" s="5150"/>
      <c r="BW1643" s="5150"/>
      <c r="BX1643" s="5150"/>
      <c r="BY1643" s="5150"/>
      <c r="BZ1643" s="5150"/>
      <c r="CA1643" s="5150"/>
      <c r="CB1643" s="5150">
        <v>168534.63</v>
      </c>
      <c r="CC1643" s="2680"/>
      <c r="CD1643" s="2680"/>
      <c r="CE1643" s="5168"/>
      <c r="CF1643" s="5168"/>
      <c r="CG1643" s="5750"/>
      <c r="CH1643" s="5750"/>
    </row>
    <row r="1644" s="4988" customFormat="1" ht="31" spans="1:86">
      <c r="A1644" s="6737"/>
      <c r="B1644" s="6737"/>
      <c r="C1644" s="3742"/>
      <c r="D1644" s="6737"/>
      <c r="E1644" s="6737"/>
      <c r="F1644" s="6737"/>
      <c r="G1644" s="6737"/>
      <c r="H1644" s="6737"/>
      <c r="I1644" s="6737"/>
      <c r="J1644" s="6737"/>
      <c r="K1644" s="6737"/>
      <c r="L1644" s="6737"/>
      <c r="M1644" s="6737"/>
      <c r="N1644" s="5054"/>
      <c r="O1644" s="5054"/>
      <c r="P1644" s="5054"/>
      <c r="Q1644" s="5054"/>
      <c r="R1644" s="5054"/>
      <c r="S1644" s="5054"/>
      <c r="T1644" s="5054"/>
      <c r="U1644" s="5054"/>
      <c r="V1644" s="5054"/>
      <c r="W1644" s="5054"/>
      <c r="X1644" s="5054"/>
      <c r="Y1644" s="5054"/>
      <c r="Z1644" s="5054"/>
      <c r="AA1644" s="5054"/>
      <c r="AB1644" s="5054"/>
      <c r="AC1644" s="5054" t="s">
        <v>2823</v>
      </c>
      <c r="AD1644" s="5131" t="s">
        <v>2824</v>
      </c>
      <c r="AE1644" s="5056">
        <v>0.12</v>
      </c>
      <c r="AF1644" s="3057">
        <f>M1637*AE1644</f>
        <v>202241.55</v>
      </c>
      <c r="AG1644" s="3057">
        <f t="shared" si="341"/>
        <v>202241.55</v>
      </c>
      <c r="AH1644" s="584" t="s">
        <v>122</v>
      </c>
      <c r="AI1644" s="3057">
        <v>44551</v>
      </c>
      <c r="AJ1644" s="3058">
        <v>202241.55</v>
      </c>
      <c r="AK1644" s="3058">
        <v>44551</v>
      </c>
      <c r="AL1644" s="3057">
        <f t="shared" si="340"/>
        <v>202241.55</v>
      </c>
      <c r="AM1644" s="3058">
        <v>44568</v>
      </c>
      <c r="AN1644" s="3057">
        <f t="shared" si="338"/>
        <v>202241.55</v>
      </c>
      <c r="AO1644" s="3057">
        <v>44585</v>
      </c>
      <c r="AP1644" s="3058">
        <f t="shared" si="337"/>
        <v>0</v>
      </c>
      <c r="AQ1644" s="5132" t="s">
        <v>2825</v>
      </c>
      <c r="AR1644" s="3058"/>
      <c r="AS1644" s="5054"/>
      <c r="AT1644" s="3058"/>
      <c r="AU1644" s="5748"/>
      <c r="AV1644" s="5748"/>
      <c r="AW1644" s="5748"/>
      <c r="AX1644" s="5748"/>
      <c r="AY1644" s="5748"/>
      <c r="AZ1644" s="5748"/>
      <c r="BA1644" s="5797"/>
      <c r="BB1644" s="5797"/>
      <c r="BC1644" s="5201"/>
      <c r="BD1644" s="5797"/>
      <c r="BE1644" s="5797"/>
      <c r="BF1644" s="5797"/>
      <c r="BG1644" s="5797"/>
      <c r="BH1644" s="5201"/>
      <c r="BI1644" s="5797"/>
      <c r="BJ1644" s="5797"/>
      <c r="BK1644" s="5797"/>
      <c r="BL1644" s="5797"/>
      <c r="BM1644" s="5797"/>
      <c r="BN1644" s="5797">
        <v>202241.55</v>
      </c>
      <c r="BO1644" s="5797"/>
      <c r="BP1644" s="5797"/>
      <c r="BQ1644" s="5797"/>
      <c r="BR1644" s="5797"/>
      <c r="BS1644" s="5797"/>
      <c r="BT1644" s="5797"/>
      <c r="BU1644" s="5797"/>
      <c r="BV1644" s="5797"/>
      <c r="BW1644" s="5797"/>
      <c r="BX1644" s="5797"/>
      <c r="BY1644" s="5797"/>
      <c r="BZ1644" s="5797"/>
      <c r="CA1644" s="5797"/>
      <c r="CB1644" s="5797">
        <v>202241.55</v>
      </c>
      <c r="CC1644" s="5748"/>
      <c r="CD1644" s="5748"/>
      <c r="CE1644" s="6752"/>
      <c r="CF1644" s="6752"/>
      <c r="CG1644" s="6752"/>
      <c r="CH1644" s="6752"/>
    </row>
    <row r="1645" ht="61" spans="1:86">
      <c r="A1645" s="5079"/>
      <c r="B1645" s="5079"/>
      <c r="C1645" s="5079"/>
      <c r="D1645" s="5054"/>
      <c r="E1645" s="5054"/>
      <c r="F1645" s="5054"/>
      <c r="G1645" s="5054"/>
      <c r="H1645" s="5054"/>
      <c r="I1645" s="5054"/>
      <c r="J1645" s="5054"/>
      <c r="K1645" s="5054"/>
      <c r="L1645" s="5054"/>
      <c r="M1645" s="5054"/>
      <c r="N1645" s="5054"/>
      <c r="O1645" s="5054"/>
      <c r="P1645" s="5054"/>
      <c r="Q1645" s="5054"/>
      <c r="R1645" s="5054"/>
      <c r="S1645" s="5054"/>
      <c r="T1645" s="5054"/>
      <c r="U1645" s="5054"/>
      <c r="V1645" s="5054"/>
      <c r="W1645" s="5054"/>
      <c r="X1645" s="5054"/>
      <c r="Y1645" s="5054"/>
      <c r="Z1645" s="5054"/>
      <c r="AA1645" s="5054"/>
      <c r="AB1645" s="5054"/>
      <c r="AC1645" s="5054" t="s">
        <v>2826</v>
      </c>
      <c r="AD1645" s="5131" t="s">
        <v>2811</v>
      </c>
      <c r="AE1645" s="5056">
        <v>0.03</v>
      </c>
      <c r="AF1645" s="3057">
        <f>M1637*AE1645</f>
        <v>50560.3875</v>
      </c>
      <c r="AG1645" s="3057">
        <f t="shared" si="341"/>
        <v>50560.3875</v>
      </c>
      <c r="AH1645" s="584" t="s">
        <v>122</v>
      </c>
      <c r="AI1645" s="3057">
        <v>45279</v>
      </c>
      <c r="AJ1645" s="3057">
        <v>50560.3875</v>
      </c>
      <c r="AK1645" s="3057">
        <v>45279</v>
      </c>
      <c r="AL1645" s="3057">
        <v>50560.3875</v>
      </c>
      <c r="AM1645" s="3058">
        <v>45315</v>
      </c>
      <c r="AN1645" s="3057">
        <f t="shared" si="338"/>
        <v>50560.39</v>
      </c>
      <c r="AO1645" s="3057">
        <v>45321</v>
      </c>
      <c r="AP1645" s="3058">
        <f t="shared" si="337"/>
        <v>-0.00250000000232831</v>
      </c>
      <c r="AQ1645" s="5138"/>
      <c r="AR1645" s="3058"/>
      <c r="AS1645" s="5054"/>
      <c r="AT1645" s="3058"/>
      <c r="AU1645" s="3058"/>
      <c r="AV1645" s="3058"/>
      <c r="AW1645" s="3058"/>
      <c r="AX1645" s="3058"/>
      <c r="AY1645" s="3058"/>
      <c r="AZ1645" s="3058"/>
      <c r="BA1645" s="5138"/>
      <c r="BB1645" s="5138"/>
      <c r="BC1645" s="3058"/>
      <c r="BD1645" s="5138"/>
      <c r="BE1645" s="5138"/>
      <c r="BF1645" s="5138"/>
      <c r="BG1645" s="5138"/>
      <c r="BH1645" s="3058"/>
      <c r="BI1645" s="5138"/>
      <c r="BJ1645" s="5138"/>
      <c r="BK1645" s="5138"/>
      <c r="BL1645" s="5138"/>
      <c r="BM1645" s="5138"/>
      <c r="BN1645" s="5150">
        <v>50560.3875</v>
      </c>
      <c r="BO1645" s="5138"/>
      <c r="BP1645" s="5138"/>
      <c r="BQ1645" s="5150"/>
      <c r="BR1645" s="5150"/>
      <c r="BS1645" s="5150"/>
      <c r="BT1645" s="5150"/>
      <c r="BU1645" s="5150"/>
      <c r="BV1645" s="5150"/>
      <c r="BW1645" s="5150"/>
      <c r="BX1645" s="5150"/>
      <c r="BY1645" s="5150"/>
      <c r="BZ1645" s="5150"/>
      <c r="CA1645" s="5150"/>
      <c r="CB1645" s="5150">
        <v>50560.39</v>
      </c>
      <c r="CC1645" s="2680"/>
      <c r="CD1645" s="2680"/>
      <c r="CE1645" s="5168"/>
      <c r="CF1645" s="5168"/>
      <c r="CG1645" s="5750"/>
      <c r="CH1645" s="5750"/>
    </row>
    <row r="1646" ht="22" customHeight="1" spans="1:86">
      <c r="A1646" s="5079"/>
      <c r="B1646" s="5079"/>
      <c r="C1646" s="5079">
        <v>43881</v>
      </c>
      <c r="D1646" s="440" t="s">
        <v>2827</v>
      </c>
      <c r="E1646" s="3181" t="s">
        <v>2776</v>
      </c>
      <c r="F1646" s="3181" t="s">
        <v>2777</v>
      </c>
      <c r="G1646" s="3181" t="s">
        <v>2778</v>
      </c>
      <c r="H1646" s="3181" t="s">
        <v>2828</v>
      </c>
      <c r="I1646" s="3181"/>
      <c r="J1646" s="3181" t="s">
        <v>2780</v>
      </c>
      <c r="K1646" s="3181" t="s">
        <v>2829</v>
      </c>
      <c r="L1646" s="3181" t="s">
        <v>2830</v>
      </c>
      <c r="M1646" s="3181">
        <f>SUM(N1646:AA1650)</f>
        <v>1138917</v>
      </c>
      <c r="N1646" s="3181">
        <v>0</v>
      </c>
      <c r="O1646" s="3181">
        <v>0</v>
      </c>
      <c r="P1646" s="3181">
        <v>0</v>
      </c>
      <c r="Q1646" s="3181">
        <v>0</v>
      </c>
      <c r="R1646" s="3181">
        <v>0</v>
      </c>
      <c r="S1646" s="3181">
        <v>0</v>
      </c>
      <c r="T1646" s="3181"/>
      <c r="U1646" s="3181">
        <v>0</v>
      </c>
      <c r="V1646" s="3181">
        <v>0</v>
      </c>
      <c r="W1646" s="3181">
        <v>0</v>
      </c>
      <c r="X1646" s="3181"/>
      <c r="Y1646" s="3181"/>
      <c r="Z1646" s="3181"/>
      <c r="AA1646" s="3181">
        <v>1138917</v>
      </c>
      <c r="AB1646" s="3181" t="s">
        <v>2831</v>
      </c>
      <c r="AC1646" s="3181" t="s">
        <v>2832</v>
      </c>
      <c r="AD1646" s="5496" t="s">
        <v>2833</v>
      </c>
      <c r="AE1646" s="3181">
        <v>0.2</v>
      </c>
      <c r="AF1646" s="2682">
        <f>M1646*AE1646</f>
        <v>227783.4</v>
      </c>
      <c r="AG1646" s="2682">
        <f t="shared" si="341"/>
        <v>227783.4</v>
      </c>
      <c r="AH1646" s="2957" t="s">
        <v>206</v>
      </c>
      <c r="AI1646" s="2957">
        <v>44014</v>
      </c>
      <c r="AJ1646" s="2682" t="s">
        <v>171</v>
      </c>
      <c r="AK1646" s="2682" t="s">
        <v>171</v>
      </c>
      <c r="AL1646" s="2682">
        <f>SUM(BF1646:BS1646)</f>
        <v>227783.4</v>
      </c>
      <c r="AM1646" s="2957">
        <v>44014</v>
      </c>
      <c r="AN1646" s="2682">
        <f t="shared" si="338"/>
        <v>227783.4</v>
      </c>
      <c r="AO1646" s="2957">
        <v>44040</v>
      </c>
      <c r="AP1646" s="2682">
        <f t="shared" si="337"/>
        <v>0</v>
      </c>
      <c r="AQ1646" s="5410"/>
      <c r="AR1646" s="2682"/>
      <c r="AS1646" s="3181"/>
      <c r="AT1646" s="2682"/>
      <c r="AU1646" s="2682">
        <f>SUM(AG1645:AG1650)</f>
        <v>1189477.3875</v>
      </c>
      <c r="AV1646" s="2682">
        <f>SUM(AL1646:AL1650)</f>
        <v>1138917</v>
      </c>
      <c r="AW1646" s="2682">
        <f>SUM(AN1646:AN1650)</f>
        <v>1138917</v>
      </c>
      <c r="AX1646" s="2682">
        <f>M1646-AU1646</f>
        <v>-50560.3875</v>
      </c>
      <c r="AY1646" s="2682">
        <f>AU1646-AV1646</f>
        <v>50560.3875</v>
      </c>
      <c r="AZ1646" s="2682">
        <f>AV1646-AW1646</f>
        <v>0</v>
      </c>
      <c r="BA1646" s="5401"/>
      <c r="BB1646" s="5401"/>
      <c r="BC1646" s="2957"/>
      <c r="BD1646" s="5401"/>
      <c r="BE1646" s="5401"/>
      <c r="BF1646" s="5401"/>
      <c r="BG1646" s="5401"/>
      <c r="BH1646" s="2957"/>
      <c r="BI1646" s="5401"/>
      <c r="BJ1646" s="5401"/>
      <c r="BK1646" s="5401"/>
      <c r="BL1646" s="5401"/>
      <c r="BM1646" s="5401"/>
      <c r="BN1646" s="5401">
        <v>227783.4</v>
      </c>
      <c r="BO1646" s="5410"/>
      <c r="BP1646" s="5410"/>
      <c r="BQ1646" s="5410"/>
      <c r="BR1646" s="5410"/>
      <c r="BS1646" s="5410"/>
      <c r="BT1646" s="5410"/>
      <c r="BU1646" s="5410"/>
      <c r="BV1646" s="5410"/>
      <c r="BW1646" s="5410"/>
      <c r="BX1646" s="5410"/>
      <c r="BY1646" s="5410"/>
      <c r="BZ1646" s="5410"/>
      <c r="CA1646" s="5410"/>
      <c r="CB1646" s="5410">
        <v>227783.4</v>
      </c>
      <c r="CC1646" s="2680"/>
      <c r="CD1646" s="2680"/>
      <c r="CE1646" s="5168"/>
      <c r="CF1646" s="5168"/>
      <c r="CG1646" s="5750"/>
      <c r="CH1646" s="5750"/>
    </row>
    <row r="1647" ht="46" spans="1:86">
      <c r="A1647" s="5079"/>
      <c r="B1647" s="5079"/>
      <c r="C1647" s="5079"/>
      <c r="D1647" s="3181"/>
      <c r="E1647" s="3181"/>
      <c r="F1647" s="3181"/>
      <c r="G1647" s="3181"/>
      <c r="H1647" s="3181"/>
      <c r="I1647" s="3181"/>
      <c r="J1647" s="3181"/>
      <c r="K1647" s="3181"/>
      <c r="L1647" s="3181"/>
      <c r="M1647" s="3181"/>
      <c r="N1647" s="3181"/>
      <c r="O1647" s="3181"/>
      <c r="P1647" s="3181"/>
      <c r="Q1647" s="3181"/>
      <c r="R1647" s="3181"/>
      <c r="S1647" s="3181"/>
      <c r="T1647" s="3181"/>
      <c r="U1647" s="3181"/>
      <c r="V1647" s="3181"/>
      <c r="W1647" s="3181"/>
      <c r="X1647" s="3181"/>
      <c r="Y1647" s="3181"/>
      <c r="Z1647" s="3181"/>
      <c r="AA1647" s="3181"/>
      <c r="AB1647" s="3181"/>
      <c r="AC1647" s="3181" t="s">
        <v>2834</v>
      </c>
      <c r="AD1647" s="5496" t="s">
        <v>2835</v>
      </c>
      <c r="AE1647" s="3181">
        <v>0.35</v>
      </c>
      <c r="AF1647" s="2682">
        <f>M1646*AE1647</f>
        <v>398620.95</v>
      </c>
      <c r="AG1647" s="2682">
        <f t="shared" si="341"/>
        <v>398620.95</v>
      </c>
      <c r="AH1647" s="2957" t="s">
        <v>206</v>
      </c>
      <c r="AI1647" s="2957">
        <v>44014</v>
      </c>
      <c r="AJ1647" s="2682" t="s">
        <v>171</v>
      </c>
      <c r="AK1647" s="2682" t="s">
        <v>171</v>
      </c>
      <c r="AL1647" s="2682">
        <f>SUM(BF1647:BS1647)</f>
        <v>398620.95</v>
      </c>
      <c r="AM1647" s="2957">
        <v>44014</v>
      </c>
      <c r="AN1647" s="2682">
        <f t="shared" si="338"/>
        <v>398620.95</v>
      </c>
      <c r="AO1647" s="2957">
        <v>44040</v>
      </c>
      <c r="AP1647" s="2682">
        <f t="shared" si="337"/>
        <v>0</v>
      </c>
      <c r="AQ1647" s="5410"/>
      <c r="AR1647" s="2682"/>
      <c r="AS1647" s="3181"/>
      <c r="AT1647" s="2682"/>
      <c r="AU1647" s="2682"/>
      <c r="AV1647" s="2682"/>
      <c r="AW1647" s="2682"/>
      <c r="AX1647" s="2682"/>
      <c r="AY1647" s="2682"/>
      <c r="AZ1647" s="2682"/>
      <c r="BA1647" s="5401"/>
      <c r="BB1647" s="5401"/>
      <c r="BC1647" s="2957"/>
      <c r="BD1647" s="5401"/>
      <c r="BE1647" s="5401"/>
      <c r="BF1647" s="5401"/>
      <c r="BG1647" s="5401"/>
      <c r="BH1647" s="2957"/>
      <c r="BI1647" s="5401"/>
      <c r="BJ1647" s="5401"/>
      <c r="BK1647" s="5401"/>
      <c r="BL1647" s="5401"/>
      <c r="BM1647" s="5401"/>
      <c r="BN1647" s="5401">
        <v>398620.95</v>
      </c>
      <c r="BO1647" s="5410"/>
      <c r="BP1647" s="5410"/>
      <c r="BQ1647" s="5410"/>
      <c r="BR1647" s="5410"/>
      <c r="BS1647" s="5410"/>
      <c r="BT1647" s="5410"/>
      <c r="BU1647" s="5410"/>
      <c r="BV1647" s="5410"/>
      <c r="BW1647" s="5410"/>
      <c r="BX1647" s="5410"/>
      <c r="BY1647" s="5410"/>
      <c r="BZ1647" s="5410"/>
      <c r="CA1647" s="5410"/>
      <c r="CB1647" s="5410">
        <v>398620.95</v>
      </c>
      <c r="CC1647" s="2680"/>
      <c r="CD1647" s="2680"/>
      <c r="CE1647" s="5168"/>
      <c r="CF1647" s="5168"/>
      <c r="CG1647" s="5750"/>
      <c r="CH1647" s="5750"/>
    </row>
    <row r="1648" ht="46" spans="1:86">
      <c r="A1648" s="5079"/>
      <c r="B1648" s="5079"/>
      <c r="C1648" s="5079"/>
      <c r="D1648" s="3181"/>
      <c r="E1648" s="3181"/>
      <c r="F1648" s="3181"/>
      <c r="G1648" s="3181"/>
      <c r="H1648" s="3181"/>
      <c r="I1648" s="3181"/>
      <c r="J1648" s="3181"/>
      <c r="K1648" s="3181"/>
      <c r="L1648" s="3181"/>
      <c r="M1648" s="3181"/>
      <c r="N1648" s="3181"/>
      <c r="O1648" s="3181"/>
      <c r="P1648" s="3181"/>
      <c r="Q1648" s="3181"/>
      <c r="R1648" s="3181"/>
      <c r="S1648" s="3181"/>
      <c r="T1648" s="3181"/>
      <c r="U1648" s="3181"/>
      <c r="V1648" s="3181"/>
      <c r="W1648" s="3181"/>
      <c r="X1648" s="3181"/>
      <c r="Y1648" s="3181"/>
      <c r="Z1648" s="3181"/>
      <c r="AA1648" s="3181"/>
      <c r="AB1648" s="3181"/>
      <c r="AC1648" s="3181" t="s">
        <v>2836</v>
      </c>
      <c r="AD1648" s="5496" t="s">
        <v>2837</v>
      </c>
      <c r="AE1648" s="3181">
        <v>0.2</v>
      </c>
      <c r="AF1648" s="2682">
        <f>M1646*AE1648</f>
        <v>227783.4</v>
      </c>
      <c r="AG1648" s="2957">
        <f t="shared" si="341"/>
        <v>227783.4</v>
      </c>
      <c r="AH1648" s="2957" t="s">
        <v>206</v>
      </c>
      <c r="AI1648" s="2957">
        <v>44050</v>
      </c>
      <c r="AJ1648" s="2682" t="s">
        <v>171</v>
      </c>
      <c r="AK1648" s="2682" t="s">
        <v>171</v>
      </c>
      <c r="AL1648" s="2957">
        <f>SUM(BF1648:BS1648)</f>
        <v>227783.4</v>
      </c>
      <c r="AM1648" s="2957">
        <v>44050</v>
      </c>
      <c r="AN1648" s="2957">
        <f t="shared" si="338"/>
        <v>227783.4</v>
      </c>
      <c r="AO1648" s="2957">
        <v>44134</v>
      </c>
      <c r="AP1648" s="2682">
        <f t="shared" si="337"/>
        <v>0</v>
      </c>
      <c r="AQ1648" s="5410"/>
      <c r="AR1648" s="2682"/>
      <c r="AS1648" s="3181"/>
      <c r="AT1648" s="2682"/>
      <c r="AU1648" s="2682"/>
      <c r="AV1648" s="2682"/>
      <c r="AW1648" s="2682"/>
      <c r="AX1648" s="2682"/>
      <c r="AY1648" s="2682"/>
      <c r="AZ1648" s="2682"/>
      <c r="BA1648" s="5401"/>
      <c r="BB1648" s="5401"/>
      <c r="BC1648" s="2957"/>
      <c r="BD1648" s="5401"/>
      <c r="BE1648" s="5401"/>
      <c r="BF1648" s="5401"/>
      <c r="BG1648" s="5401"/>
      <c r="BH1648" s="2957"/>
      <c r="BI1648" s="5401"/>
      <c r="BJ1648" s="5401"/>
      <c r="BK1648" s="5401"/>
      <c r="BL1648" s="5401"/>
      <c r="BM1648" s="5401"/>
      <c r="BN1648" s="5401">
        <v>227783.4</v>
      </c>
      <c r="BO1648" s="5410"/>
      <c r="BP1648" s="5410"/>
      <c r="BQ1648" s="5410"/>
      <c r="BR1648" s="5410"/>
      <c r="BS1648" s="5410"/>
      <c r="BT1648" s="5410"/>
      <c r="BU1648" s="5410"/>
      <c r="BV1648" s="5410"/>
      <c r="BW1648" s="5410"/>
      <c r="BX1648" s="5410"/>
      <c r="BY1648" s="5410"/>
      <c r="BZ1648" s="5410"/>
      <c r="CA1648" s="5410"/>
      <c r="CB1648" s="5410">
        <v>227783.4</v>
      </c>
      <c r="CC1648" s="2680"/>
      <c r="CD1648" s="2680"/>
      <c r="CE1648" s="5168"/>
      <c r="CF1648" s="5168"/>
      <c r="CG1648" s="5750"/>
      <c r="CH1648" s="5750"/>
    </row>
    <row r="1649" ht="46" spans="1:86">
      <c r="A1649" s="5079"/>
      <c r="B1649" s="5079"/>
      <c r="C1649" s="5079"/>
      <c r="D1649" s="3181"/>
      <c r="E1649" s="3181"/>
      <c r="F1649" s="3181"/>
      <c r="G1649" s="3181"/>
      <c r="H1649" s="3181"/>
      <c r="I1649" s="3181"/>
      <c r="J1649" s="3181"/>
      <c r="K1649" s="3181"/>
      <c r="L1649" s="3181"/>
      <c r="M1649" s="3181"/>
      <c r="N1649" s="3181"/>
      <c r="O1649" s="3181"/>
      <c r="P1649" s="3181"/>
      <c r="Q1649" s="3181"/>
      <c r="R1649" s="3181"/>
      <c r="S1649" s="3181"/>
      <c r="T1649" s="3181"/>
      <c r="U1649" s="3181"/>
      <c r="V1649" s="3181"/>
      <c r="W1649" s="3181"/>
      <c r="X1649" s="3181"/>
      <c r="Y1649" s="3181"/>
      <c r="Z1649" s="3181"/>
      <c r="AA1649" s="3181"/>
      <c r="AB1649" s="3181"/>
      <c r="AC1649" s="3181" t="s">
        <v>2838</v>
      </c>
      <c r="AD1649" s="5496" t="s">
        <v>2839</v>
      </c>
      <c r="AE1649" s="3181">
        <v>0.22</v>
      </c>
      <c r="AF1649" s="2682">
        <f>M1646*AE1649</f>
        <v>250561.74</v>
      </c>
      <c r="AG1649" s="2957">
        <f t="shared" si="341"/>
        <v>250561.74</v>
      </c>
      <c r="AH1649" s="2957" t="s">
        <v>122</v>
      </c>
      <c r="AI1649" s="2957">
        <v>44130</v>
      </c>
      <c r="AJ1649" s="2682"/>
      <c r="AK1649" s="2682"/>
      <c r="AL1649" s="2957">
        <v>250561.74</v>
      </c>
      <c r="AM1649" s="2957">
        <v>44132</v>
      </c>
      <c r="AN1649" s="2957">
        <f t="shared" si="338"/>
        <v>250561.74</v>
      </c>
      <c r="AO1649" s="2957">
        <v>44180</v>
      </c>
      <c r="AP1649" s="2682">
        <f t="shared" si="337"/>
        <v>0</v>
      </c>
      <c r="AQ1649" s="5410"/>
      <c r="AR1649" s="2682"/>
      <c r="AS1649" s="3181"/>
      <c r="AT1649" s="2682"/>
      <c r="AU1649" s="2682"/>
      <c r="AV1649" s="2682"/>
      <c r="AW1649" s="2682"/>
      <c r="AX1649" s="2682"/>
      <c r="AY1649" s="2682"/>
      <c r="AZ1649" s="2682"/>
      <c r="BA1649" s="5401"/>
      <c r="BB1649" s="5401"/>
      <c r="BC1649" s="2957"/>
      <c r="BD1649" s="5401"/>
      <c r="BE1649" s="5401"/>
      <c r="BF1649" s="5401"/>
      <c r="BG1649" s="5401"/>
      <c r="BH1649" s="2957"/>
      <c r="BI1649" s="5401"/>
      <c r="BJ1649" s="5401"/>
      <c r="BK1649" s="5401"/>
      <c r="BL1649" s="5401"/>
      <c r="BM1649" s="5401"/>
      <c r="BN1649" s="5401">
        <v>250561.74</v>
      </c>
      <c r="BO1649" s="5410"/>
      <c r="BP1649" s="5410"/>
      <c r="BQ1649" s="5410"/>
      <c r="BR1649" s="5410"/>
      <c r="BS1649" s="5410"/>
      <c r="BT1649" s="5410"/>
      <c r="BU1649" s="5410"/>
      <c r="BV1649" s="5410"/>
      <c r="BW1649" s="5410"/>
      <c r="BX1649" s="5410"/>
      <c r="BY1649" s="5410"/>
      <c r="BZ1649" s="5410"/>
      <c r="CA1649" s="5410"/>
      <c r="CB1649" s="5410">
        <v>250561.74</v>
      </c>
      <c r="CC1649" s="2680"/>
      <c r="CD1649" s="2680"/>
      <c r="CE1649" s="5168"/>
      <c r="CF1649" s="5168"/>
      <c r="CG1649" s="5750"/>
      <c r="CH1649" s="5750"/>
    </row>
    <row r="1650" ht="61" spans="1:86">
      <c r="A1650" s="5079"/>
      <c r="B1650" s="5079"/>
      <c r="C1650" s="5079"/>
      <c r="D1650" s="3181"/>
      <c r="E1650" s="3181"/>
      <c r="F1650" s="3181"/>
      <c r="G1650" s="3181"/>
      <c r="H1650" s="3181"/>
      <c r="I1650" s="3181"/>
      <c r="J1650" s="3181"/>
      <c r="K1650" s="3181"/>
      <c r="L1650" s="3181"/>
      <c r="M1650" s="3181"/>
      <c r="N1650" s="3181"/>
      <c r="O1650" s="3181"/>
      <c r="P1650" s="3181"/>
      <c r="Q1650" s="3181"/>
      <c r="R1650" s="3181"/>
      <c r="S1650" s="3181"/>
      <c r="T1650" s="3181"/>
      <c r="U1650" s="3181"/>
      <c r="V1650" s="3181"/>
      <c r="W1650" s="3181"/>
      <c r="X1650" s="3181"/>
      <c r="Y1650" s="3181"/>
      <c r="Z1650" s="3181"/>
      <c r="AA1650" s="3181"/>
      <c r="AB1650" s="3181"/>
      <c r="AC1650" s="3181" t="s">
        <v>2840</v>
      </c>
      <c r="AD1650" s="5496" t="s">
        <v>2811</v>
      </c>
      <c r="AE1650" s="3181">
        <v>0.03</v>
      </c>
      <c r="AF1650" s="2957">
        <f>M1646*AE1650</f>
        <v>34167.51</v>
      </c>
      <c r="AG1650" s="2957">
        <f t="shared" si="341"/>
        <v>34167.51</v>
      </c>
      <c r="AH1650" s="600" t="s">
        <v>122</v>
      </c>
      <c r="AI1650" s="2957">
        <v>45279</v>
      </c>
      <c r="AJ1650" s="2957">
        <v>34167.51</v>
      </c>
      <c r="AK1650" s="2957">
        <v>45279</v>
      </c>
      <c r="AL1650" s="2957">
        <v>34167.51</v>
      </c>
      <c r="AM1650" s="2682">
        <v>45315</v>
      </c>
      <c r="AN1650" s="2957">
        <f t="shared" si="338"/>
        <v>34167.51</v>
      </c>
      <c r="AO1650" s="2957">
        <v>45321</v>
      </c>
      <c r="AP1650" s="2682">
        <f t="shared" si="337"/>
        <v>0</v>
      </c>
      <c r="AQ1650" s="5410"/>
      <c r="AR1650" s="2682"/>
      <c r="AS1650" s="3181"/>
      <c r="AT1650" s="2682"/>
      <c r="AU1650" s="2682"/>
      <c r="AV1650" s="2682"/>
      <c r="AW1650" s="2682"/>
      <c r="AX1650" s="2682"/>
      <c r="AY1650" s="2682"/>
      <c r="AZ1650" s="2682"/>
      <c r="BA1650" s="5410"/>
      <c r="BB1650" s="5410"/>
      <c r="BC1650" s="2682"/>
      <c r="BD1650" s="5410"/>
      <c r="BE1650" s="5410"/>
      <c r="BF1650" s="5410"/>
      <c r="BG1650" s="5410"/>
      <c r="BH1650" s="2682"/>
      <c r="BI1650" s="5410"/>
      <c r="BJ1650" s="5410"/>
      <c r="BK1650" s="5410"/>
      <c r="BL1650" s="5410"/>
      <c r="BM1650" s="5410"/>
      <c r="BN1650" s="5401">
        <v>34167.51</v>
      </c>
      <c r="BO1650" s="5410"/>
      <c r="BP1650" s="5410"/>
      <c r="BQ1650" s="5401"/>
      <c r="BR1650" s="5401"/>
      <c r="BS1650" s="5401"/>
      <c r="BT1650" s="5401"/>
      <c r="BU1650" s="5401"/>
      <c r="BV1650" s="5401"/>
      <c r="BW1650" s="5401"/>
      <c r="BX1650" s="5401"/>
      <c r="BY1650" s="5401"/>
      <c r="BZ1650" s="5401"/>
      <c r="CA1650" s="5401"/>
      <c r="CB1650" s="5401">
        <v>34167.51</v>
      </c>
      <c r="CC1650" s="2680"/>
      <c r="CD1650" s="2680"/>
      <c r="CE1650" s="5168"/>
      <c r="CF1650" s="5168"/>
      <c r="CG1650" s="5750"/>
      <c r="CH1650" s="5750"/>
    </row>
    <row r="1651" ht="31" spans="1:86">
      <c r="A1651" s="5079"/>
      <c r="B1651" s="5079"/>
      <c r="C1651" s="5079">
        <v>43881</v>
      </c>
      <c r="D1651" s="1035" t="s">
        <v>2841</v>
      </c>
      <c r="E1651" s="5079" t="s">
        <v>2776</v>
      </c>
      <c r="F1651" s="5079" t="s">
        <v>2777</v>
      </c>
      <c r="G1651" s="5079" t="s">
        <v>2778</v>
      </c>
      <c r="H1651" s="5079" t="s">
        <v>2842</v>
      </c>
      <c r="I1651" s="5079"/>
      <c r="J1651" s="5079" t="s">
        <v>2780</v>
      </c>
      <c r="K1651" s="5079" t="s">
        <v>2843</v>
      </c>
      <c r="L1651" s="5079" t="s">
        <v>2844</v>
      </c>
      <c r="M1651" s="5079">
        <f>SUM(N1651:AA1652)</f>
        <v>1002623.99</v>
      </c>
      <c r="N1651" s="5079">
        <v>0</v>
      </c>
      <c r="O1651" s="5079">
        <v>0</v>
      </c>
      <c r="P1651" s="5079">
        <v>0</v>
      </c>
      <c r="Q1651" s="5079">
        <v>0</v>
      </c>
      <c r="R1651" s="5079">
        <v>0</v>
      </c>
      <c r="S1651" s="5079">
        <v>0</v>
      </c>
      <c r="T1651" s="5079"/>
      <c r="U1651" s="5079">
        <v>0</v>
      </c>
      <c r="V1651" s="5079">
        <v>0</v>
      </c>
      <c r="W1651" s="5079">
        <v>0</v>
      </c>
      <c r="X1651" s="5079"/>
      <c r="Y1651" s="5079"/>
      <c r="Z1651" s="5079"/>
      <c r="AA1651" s="5079">
        <v>1002623.99</v>
      </c>
      <c r="AB1651" s="5079" t="s">
        <v>2845</v>
      </c>
      <c r="AC1651" s="5079" t="s">
        <v>1144</v>
      </c>
      <c r="AD1651" s="5887" t="s">
        <v>2846</v>
      </c>
      <c r="AE1651" s="5079">
        <v>0.9</v>
      </c>
      <c r="AF1651" s="2680">
        <f>M1651*AE1651</f>
        <v>902361.591</v>
      </c>
      <c r="AG1651" s="3812">
        <f t="shared" ref="AG1651:AG1666" si="342">SUM(BA1651:BN1651)</f>
        <v>902361.59</v>
      </c>
      <c r="AH1651" s="859" t="s">
        <v>122</v>
      </c>
      <c r="AI1651" s="2678">
        <v>44551</v>
      </c>
      <c r="AJ1651" s="2680">
        <v>902361.59</v>
      </c>
      <c r="AK1651" s="2680">
        <v>44551</v>
      </c>
      <c r="AL1651" s="2680">
        <v>902361.59</v>
      </c>
      <c r="AM1651" s="2680">
        <v>44568</v>
      </c>
      <c r="AN1651" s="2678">
        <f t="shared" si="338"/>
        <v>902361.59</v>
      </c>
      <c r="AO1651" s="2678">
        <v>44585</v>
      </c>
      <c r="AP1651" s="2680">
        <f t="shared" si="337"/>
        <v>0</v>
      </c>
      <c r="AQ1651" s="5853" t="s">
        <v>2847</v>
      </c>
      <c r="AR1651" s="2680"/>
      <c r="AS1651" s="5079"/>
      <c r="AT1651" s="2680"/>
      <c r="AU1651" s="2680">
        <f t="shared" ref="AU1651:AU1655" si="343">SUM(AG1651:AG1652)</f>
        <v>1002623.99</v>
      </c>
      <c r="AV1651" s="2680">
        <f t="shared" ref="AV1651:AV1655" si="344">SUBTOTAL(9,AL1651:AL1652)</f>
        <v>1002623.99</v>
      </c>
      <c r="AW1651" s="2680">
        <f t="shared" ref="AW1651:AW1655" si="345">SUM(AN1651:AN1652)</f>
        <v>1002623.99</v>
      </c>
      <c r="AX1651" s="2680">
        <f t="shared" ref="AX1651:AX1655" si="346">M1651-AU1651</f>
        <v>0</v>
      </c>
      <c r="AY1651" s="2680">
        <f t="shared" ref="AY1651:AY1655" si="347">AU1651-AV1651</f>
        <v>0</v>
      </c>
      <c r="AZ1651" s="2680">
        <f t="shared" ref="AZ1651:AZ1655" si="348">AV1651-AW1651</f>
        <v>0</v>
      </c>
      <c r="BA1651" s="5796"/>
      <c r="BB1651" s="5796"/>
      <c r="BC1651" s="2678">
        <v>50478.73</v>
      </c>
      <c r="BD1651" s="5796"/>
      <c r="BE1651" s="5796"/>
      <c r="BF1651" s="5796"/>
      <c r="BG1651" s="5796"/>
      <c r="BH1651" s="2678"/>
      <c r="BI1651" s="5796"/>
      <c r="BJ1651" s="5796"/>
      <c r="BK1651" s="5796"/>
      <c r="BL1651" s="5796"/>
      <c r="BM1651" s="5796"/>
      <c r="BN1651" s="2678">
        <v>851882.86</v>
      </c>
      <c r="BO1651" s="5860"/>
      <c r="BP1651" s="5860"/>
      <c r="BQ1651" s="2678">
        <v>50478.73</v>
      </c>
      <c r="BR1651" s="5796"/>
      <c r="BS1651" s="5796"/>
      <c r="BT1651" s="5796"/>
      <c r="BU1651" s="5796"/>
      <c r="BV1651" s="2678"/>
      <c r="BW1651" s="5796"/>
      <c r="BX1651" s="5796"/>
      <c r="BY1651" s="5796"/>
      <c r="BZ1651" s="5796"/>
      <c r="CA1651" s="5796"/>
      <c r="CB1651" s="2678">
        <v>851882.86</v>
      </c>
      <c r="CC1651" s="2680"/>
      <c r="CD1651" s="2680"/>
      <c r="CE1651" s="5168"/>
      <c r="CF1651" s="5168"/>
      <c r="CG1651" s="5750"/>
      <c r="CH1651" s="5750"/>
    </row>
    <row r="1652" ht="61" spans="1:86">
      <c r="A1652" s="5079"/>
      <c r="B1652" s="5079"/>
      <c r="C1652" s="5079"/>
      <c r="D1652" s="5079"/>
      <c r="E1652" s="5079"/>
      <c r="F1652" s="5079"/>
      <c r="G1652" s="5079"/>
      <c r="H1652" s="5079"/>
      <c r="I1652" s="5079"/>
      <c r="J1652" s="5079"/>
      <c r="K1652" s="5079"/>
      <c r="L1652" s="5079"/>
      <c r="M1652" s="5079"/>
      <c r="N1652" s="5079"/>
      <c r="O1652" s="5079"/>
      <c r="P1652" s="5079"/>
      <c r="Q1652" s="5079"/>
      <c r="R1652" s="5079"/>
      <c r="S1652" s="5079"/>
      <c r="T1652" s="5079"/>
      <c r="U1652" s="5079"/>
      <c r="V1652" s="5079"/>
      <c r="W1652" s="5079"/>
      <c r="X1652" s="5079"/>
      <c r="Y1652" s="5079"/>
      <c r="Z1652" s="5079"/>
      <c r="AA1652" s="5079"/>
      <c r="AB1652" s="5079"/>
      <c r="AC1652" s="5079" t="s">
        <v>1146</v>
      </c>
      <c r="AD1652" s="5887" t="s">
        <v>2811</v>
      </c>
      <c r="AE1652" s="5079">
        <v>0.1</v>
      </c>
      <c r="AF1652" s="2680">
        <f>AE1652*M1651</f>
        <v>100262.399</v>
      </c>
      <c r="AG1652" s="3812">
        <f t="shared" si="342"/>
        <v>100262.4</v>
      </c>
      <c r="AH1652" s="859" t="s">
        <v>122</v>
      </c>
      <c r="AI1652" s="2678">
        <v>45279</v>
      </c>
      <c r="AJ1652" s="3812">
        <v>100262.4</v>
      </c>
      <c r="AK1652" s="2678">
        <v>45279</v>
      </c>
      <c r="AL1652" s="3812">
        <v>100262.4</v>
      </c>
      <c r="AM1652" s="2680">
        <v>45315</v>
      </c>
      <c r="AN1652" s="2678">
        <f t="shared" si="338"/>
        <v>100262.4</v>
      </c>
      <c r="AO1652" s="2678">
        <v>45321</v>
      </c>
      <c r="AP1652" s="2680">
        <f t="shared" si="337"/>
        <v>0</v>
      </c>
      <c r="AQ1652" s="5331"/>
      <c r="AR1652" s="2680"/>
      <c r="AS1652" s="5079"/>
      <c r="AT1652" s="2680"/>
      <c r="AU1652" s="2680"/>
      <c r="AV1652" s="2680"/>
      <c r="AW1652" s="2680"/>
      <c r="AX1652" s="2680"/>
      <c r="AY1652" s="2680"/>
      <c r="AZ1652" s="2680"/>
      <c r="BA1652" s="5331"/>
      <c r="BB1652" s="5331"/>
      <c r="BC1652" s="2680"/>
      <c r="BD1652" s="5331"/>
      <c r="BE1652" s="5331"/>
      <c r="BF1652" s="5331"/>
      <c r="BG1652" s="5331"/>
      <c r="BH1652" s="2680"/>
      <c r="BI1652" s="5331"/>
      <c r="BJ1652" s="5331"/>
      <c r="BK1652" s="5331"/>
      <c r="BL1652" s="5331"/>
      <c r="BM1652" s="5331"/>
      <c r="BN1652" s="2678">
        <v>100262.4</v>
      </c>
      <c r="BO1652" s="5331"/>
      <c r="BP1652" s="5331"/>
      <c r="BQ1652" s="5796"/>
      <c r="BR1652" s="5796"/>
      <c r="BS1652" s="5796"/>
      <c r="BT1652" s="5796"/>
      <c r="BU1652" s="5796"/>
      <c r="BV1652" s="5796"/>
      <c r="BW1652" s="5796"/>
      <c r="BX1652" s="5796"/>
      <c r="BY1652" s="5796"/>
      <c r="BZ1652" s="5796"/>
      <c r="CA1652" s="5796"/>
      <c r="CB1652" s="2678">
        <v>100262.4</v>
      </c>
      <c r="CC1652" s="2680"/>
      <c r="CD1652" s="2680"/>
      <c r="CE1652" s="5168"/>
      <c r="CF1652" s="5168"/>
      <c r="CG1652" s="5750"/>
      <c r="CH1652" s="5750"/>
    </row>
    <row r="1653" ht="31" spans="1:86">
      <c r="A1653" s="5079"/>
      <c r="B1653" s="5079"/>
      <c r="C1653" s="5079">
        <v>43881</v>
      </c>
      <c r="D1653" s="5079"/>
      <c r="E1653" s="5079"/>
      <c r="F1653" s="5079"/>
      <c r="G1653" s="5079"/>
      <c r="H1653" s="5079"/>
      <c r="I1653" s="5079"/>
      <c r="J1653" s="5079"/>
      <c r="K1653" s="5079"/>
      <c r="L1653" s="5079" t="s">
        <v>2848</v>
      </c>
      <c r="M1653" s="5079">
        <f>SUM(N1653:AA1654)</f>
        <v>330772.4</v>
      </c>
      <c r="N1653" s="5079">
        <v>0</v>
      </c>
      <c r="O1653" s="5079">
        <v>0</v>
      </c>
      <c r="P1653" s="5079">
        <v>0</v>
      </c>
      <c r="Q1653" s="5079">
        <v>0</v>
      </c>
      <c r="R1653" s="5079">
        <v>0</v>
      </c>
      <c r="S1653" s="5079">
        <v>0</v>
      </c>
      <c r="T1653" s="5079"/>
      <c r="U1653" s="5079">
        <v>0</v>
      </c>
      <c r="V1653" s="5079">
        <v>0</v>
      </c>
      <c r="W1653" s="5079">
        <v>0</v>
      </c>
      <c r="X1653" s="5079"/>
      <c r="Y1653" s="5079"/>
      <c r="Z1653" s="5079"/>
      <c r="AA1653" s="5079">
        <v>330772.4</v>
      </c>
      <c r="AB1653" s="5079" t="s">
        <v>2849</v>
      </c>
      <c r="AC1653" s="5079" t="s">
        <v>2850</v>
      </c>
      <c r="AD1653" s="5887" t="s">
        <v>2846</v>
      </c>
      <c r="AE1653" s="5079">
        <v>0.9</v>
      </c>
      <c r="AF1653" s="2680">
        <f>AE1653*M1653</f>
        <v>297695.16</v>
      </c>
      <c r="AG1653" s="3812">
        <f t="shared" si="342"/>
        <v>297695.16</v>
      </c>
      <c r="AH1653" s="2678" t="s">
        <v>122</v>
      </c>
      <c r="AI1653" s="2678">
        <v>44454</v>
      </c>
      <c r="AJ1653" s="3812">
        <f>SUM(BD1653:BQ1653)</f>
        <v>297695.16</v>
      </c>
      <c r="AK1653" s="2678">
        <v>44454</v>
      </c>
      <c r="AL1653" s="3812">
        <f>SUM(BF1653:BS1653)</f>
        <v>297695.16</v>
      </c>
      <c r="AM1653" s="2678">
        <v>44454</v>
      </c>
      <c r="AN1653" s="2678">
        <f t="shared" si="338"/>
        <v>297695.16</v>
      </c>
      <c r="AO1653" s="2678">
        <v>44488</v>
      </c>
      <c r="AP1653" s="2680">
        <f t="shared" si="337"/>
        <v>0</v>
      </c>
      <c r="AQ1653" s="5331"/>
      <c r="AR1653" s="2680"/>
      <c r="AS1653" s="5079"/>
      <c r="AT1653" s="2680"/>
      <c r="AU1653" s="2680">
        <f t="shared" si="343"/>
        <v>330772.4</v>
      </c>
      <c r="AV1653" s="2680">
        <f t="shared" si="344"/>
        <v>330772.4</v>
      </c>
      <c r="AW1653" s="2680">
        <f t="shared" si="345"/>
        <v>330772.4</v>
      </c>
      <c r="AX1653" s="2680">
        <f t="shared" si="346"/>
        <v>0</v>
      </c>
      <c r="AY1653" s="2680">
        <f t="shared" si="347"/>
        <v>0</v>
      </c>
      <c r="AZ1653" s="2680">
        <f t="shared" si="348"/>
        <v>0</v>
      </c>
      <c r="BA1653" s="5796"/>
      <c r="BB1653" s="5796"/>
      <c r="BC1653" s="2678"/>
      <c r="BD1653" s="5796"/>
      <c r="BE1653" s="5796"/>
      <c r="BF1653" s="5796"/>
      <c r="BG1653" s="5796"/>
      <c r="BH1653" s="2678"/>
      <c r="BI1653" s="5796"/>
      <c r="BJ1653" s="5796"/>
      <c r="BK1653" s="5796"/>
      <c r="BL1653" s="5796"/>
      <c r="BM1653" s="5796"/>
      <c r="BN1653" s="2678">
        <v>297695.16</v>
      </c>
      <c r="BO1653" s="5796"/>
      <c r="BP1653" s="5796"/>
      <c r="BQ1653" s="5796"/>
      <c r="BR1653" s="5796"/>
      <c r="BS1653" s="5796"/>
      <c r="BT1653" s="5796"/>
      <c r="BU1653" s="5796"/>
      <c r="BV1653" s="5796"/>
      <c r="BW1653" s="5796"/>
      <c r="BX1653" s="5796"/>
      <c r="BY1653" s="5796"/>
      <c r="BZ1653" s="5796"/>
      <c r="CA1653" s="5796"/>
      <c r="CB1653" s="5796">
        <v>297695.16</v>
      </c>
      <c r="CC1653" s="2680"/>
      <c r="CD1653" s="2680"/>
      <c r="CE1653" s="5168"/>
      <c r="CF1653" s="5168"/>
      <c r="CG1653" s="5750"/>
      <c r="CH1653" s="5750"/>
    </row>
    <row r="1654" ht="61" spans="1:86">
      <c r="A1654" s="5079"/>
      <c r="B1654" s="5079"/>
      <c r="C1654" s="5079"/>
      <c r="D1654" s="5079"/>
      <c r="E1654" s="5079"/>
      <c r="F1654" s="5079"/>
      <c r="G1654" s="5079"/>
      <c r="H1654" s="5079"/>
      <c r="I1654" s="5079"/>
      <c r="J1654" s="5079"/>
      <c r="K1654" s="5079"/>
      <c r="L1654" s="5079"/>
      <c r="M1654" s="5079"/>
      <c r="N1654" s="5079"/>
      <c r="O1654" s="5079"/>
      <c r="P1654" s="5079"/>
      <c r="Q1654" s="5079"/>
      <c r="R1654" s="5079"/>
      <c r="S1654" s="5079"/>
      <c r="T1654" s="5079"/>
      <c r="U1654" s="5079"/>
      <c r="V1654" s="5079"/>
      <c r="W1654" s="5079"/>
      <c r="X1654" s="5079"/>
      <c r="Y1654" s="5079"/>
      <c r="Z1654" s="5079"/>
      <c r="AA1654" s="5079"/>
      <c r="AB1654" s="5079"/>
      <c r="AC1654" s="5079" t="s">
        <v>2851</v>
      </c>
      <c r="AD1654" s="5887" t="s">
        <v>2811</v>
      </c>
      <c r="AE1654" s="5079">
        <v>0.1</v>
      </c>
      <c r="AF1654" s="2680">
        <f>AE1654*M1653</f>
        <v>33077.24</v>
      </c>
      <c r="AG1654" s="3812">
        <f t="shared" si="342"/>
        <v>33077.24</v>
      </c>
      <c r="AH1654" s="859" t="s">
        <v>122</v>
      </c>
      <c r="AI1654" s="2678">
        <v>45279</v>
      </c>
      <c r="AJ1654" s="3812">
        <v>33077.24</v>
      </c>
      <c r="AK1654" s="2678">
        <v>45279</v>
      </c>
      <c r="AL1654" s="3812">
        <v>33077.24</v>
      </c>
      <c r="AM1654" s="2680">
        <v>45315</v>
      </c>
      <c r="AN1654" s="2678">
        <f t="shared" si="338"/>
        <v>33077.24</v>
      </c>
      <c r="AO1654" s="2678">
        <v>45321</v>
      </c>
      <c r="AP1654" s="2680">
        <f t="shared" si="337"/>
        <v>0</v>
      </c>
      <c r="AQ1654" s="5331"/>
      <c r="AR1654" s="2680"/>
      <c r="AS1654" s="5079"/>
      <c r="AT1654" s="2680"/>
      <c r="AU1654" s="2680"/>
      <c r="AV1654" s="2680"/>
      <c r="AW1654" s="2680"/>
      <c r="AX1654" s="2680"/>
      <c r="AY1654" s="2680"/>
      <c r="AZ1654" s="2680"/>
      <c r="BA1654" s="5331"/>
      <c r="BB1654" s="5331"/>
      <c r="BC1654" s="2680"/>
      <c r="BD1654" s="5331"/>
      <c r="BE1654" s="5331"/>
      <c r="BF1654" s="5331"/>
      <c r="BG1654" s="5331"/>
      <c r="BH1654" s="2680"/>
      <c r="BI1654" s="5331"/>
      <c r="BJ1654" s="5331"/>
      <c r="BK1654" s="5331"/>
      <c r="BL1654" s="5331"/>
      <c r="BM1654" s="5331"/>
      <c r="BN1654" s="5796">
        <v>33077.24</v>
      </c>
      <c r="BO1654" s="5331"/>
      <c r="BP1654" s="5331"/>
      <c r="BQ1654" s="5796"/>
      <c r="BR1654" s="5796"/>
      <c r="BS1654" s="5796"/>
      <c r="BT1654" s="5796"/>
      <c r="BU1654" s="5796"/>
      <c r="BV1654" s="5796"/>
      <c r="BW1654" s="5796"/>
      <c r="BX1654" s="5796"/>
      <c r="BY1654" s="5796"/>
      <c r="BZ1654" s="5796"/>
      <c r="CA1654" s="5796"/>
      <c r="CB1654" s="5796">
        <v>33077.24</v>
      </c>
      <c r="CC1654" s="2680"/>
      <c r="CD1654" s="2680"/>
      <c r="CE1654" s="5168"/>
      <c r="CF1654" s="5168"/>
      <c r="CG1654" s="5750"/>
      <c r="CH1654" s="5750"/>
    </row>
    <row r="1655" ht="46" spans="1:86">
      <c r="A1655" s="5079"/>
      <c r="B1655" s="5079"/>
      <c r="C1655" s="5079">
        <v>43881</v>
      </c>
      <c r="D1655" s="5079"/>
      <c r="E1655" s="5079"/>
      <c r="F1655" s="5079"/>
      <c r="G1655" s="5079"/>
      <c r="H1655" s="5079"/>
      <c r="I1655" s="5079"/>
      <c r="J1655" s="5079"/>
      <c r="K1655" s="5079"/>
      <c r="L1655" s="5079" t="s">
        <v>2852</v>
      </c>
      <c r="M1655" s="5079">
        <f>SUM(N1655:AA1656)</f>
        <v>200000</v>
      </c>
      <c r="N1655" s="5079">
        <v>0</v>
      </c>
      <c r="O1655" s="5079">
        <v>0</v>
      </c>
      <c r="P1655" s="5079">
        <v>0</v>
      </c>
      <c r="Q1655" s="5079">
        <v>0</v>
      </c>
      <c r="R1655" s="5079">
        <v>0</v>
      </c>
      <c r="S1655" s="5079">
        <v>0</v>
      </c>
      <c r="T1655" s="5079"/>
      <c r="U1655" s="5079">
        <v>0</v>
      </c>
      <c r="V1655" s="5079">
        <v>0</v>
      </c>
      <c r="W1655" s="5079">
        <v>0</v>
      </c>
      <c r="X1655" s="5079"/>
      <c r="Y1655" s="5079"/>
      <c r="Z1655" s="5079"/>
      <c r="AA1655" s="5079">
        <v>200000</v>
      </c>
      <c r="AB1655" s="5079" t="s">
        <v>2853</v>
      </c>
      <c r="AC1655" s="5079" t="s">
        <v>2854</v>
      </c>
      <c r="AD1655" s="5887" t="s">
        <v>2846</v>
      </c>
      <c r="AE1655" s="5079">
        <v>0.9</v>
      </c>
      <c r="AF1655" s="2680">
        <f>AE1655*M1655</f>
        <v>180000</v>
      </c>
      <c r="AG1655" s="3812">
        <f t="shared" si="342"/>
        <v>180000</v>
      </c>
      <c r="AH1655" s="859" t="s">
        <v>122</v>
      </c>
      <c r="AI1655" s="2678">
        <v>44903</v>
      </c>
      <c r="AJ1655" s="3812">
        <f>SUM(BD1655:BQ1655)</f>
        <v>180000</v>
      </c>
      <c r="AK1655" s="2678">
        <v>44903</v>
      </c>
      <c r="AL1655" s="2680">
        <v>180000</v>
      </c>
      <c r="AM1655" s="2678">
        <v>45093</v>
      </c>
      <c r="AN1655" s="2680">
        <f t="shared" si="338"/>
        <v>180000</v>
      </c>
      <c r="AO1655" s="2678">
        <v>45114</v>
      </c>
      <c r="AP1655" s="2680">
        <f t="shared" si="337"/>
        <v>0</v>
      </c>
      <c r="AQ1655" s="5331"/>
      <c r="AR1655" s="2680"/>
      <c r="AS1655" s="5079"/>
      <c r="AT1655" s="2680"/>
      <c r="AU1655" s="2680">
        <f t="shared" si="343"/>
        <v>200000</v>
      </c>
      <c r="AV1655" s="2680">
        <f t="shared" si="344"/>
        <v>200000</v>
      </c>
      <c r="AW1655" s="2680">
        <f t="shared" si="345"/>
        <v>200000</v>
      </c>
      <c r="AX1655" s="2680">
        <f t="shared" si="346"/>
        <v>0</v>
      </c>
      <c r="AY1655" s="2680">
        <f t="shared" si="347"/>
        <v>0</v>
      </c>
      <c r="AZ1655" s="2680">
        <f t="shared" si="348"/>
        <v>0</v>
      </c>
      <c r="BA1655" s="5796"/>
      <c r="BB1655" s="5796"/>
      <c r="BC1655" s="2678"/>
      <c r="BD1655" s="5796"/>
      <c r="BE1655" s="5796"/>
      <c r="BF1655" s="5796"/>
      <c r="BG1655" s="5796"/>
      <c r="BH1655" s="2678"/>
      <c r="BI1655" s="5796"/>
      <c r="BJ1655" s="5796"/>
      <c r="BK1655" s="5796"/>
      <c r="BL1655" s="5796"/>
      <c r="BM1655" s="5796"/>
      <c r="BN1655" s="2678">
        <v>180000</v>
      </c>
      <c r="BO1655" s="5331"/>
      <c r="BP1655" s="5331"/>
      <c r="BQ1655" s="5331"/>
      <c r="BR1655" s="5331"/>
      <c r="BS1655" s="5331"/>
      <c r="BT1655" s="5331"/>
      <c r="BU1655" s="5331"/>
      <c r="BV1655" s="5331"/>
      <c r="BW1655" s="5331"/>
      <c r="BX1655" s="5331"/>
      <c r="BY1655" s="5331"/>
      <c r="BZ1655" s="5331"/>
      <c r="CA1655" s="5331"/>
      <c r="CB1655" s="2678">
        <v>180000</v>
      </c>
      <c r="CC1655" s="2680"/>
      <c r="CD1655" s="2680"/>
      <c r="CE1655" s="5168"/>
      <c r="CF1655" s="5168"/>
      <c r="CG1655" s="5750"/>
      <c r="CH1655" s="5750"/>
    </row>
    <row r="1656" ht="61" spans="1:86">
      <c r="A1656" s="5079"/>
      <c r="B1656" s="5079"/>
      <c r="C1656" s="5079"/>
      <c r="D1656" s="5079"/>
      <c r="E1656" s="5079"/>
      <c r="F1656" s="5079"/>
      <c r="G1656" s="5079"/>
      <c r="H1656" s="5079"/>
      <c r="I1656" s="5079"/>
      <c r="J1656" s="5079"/>
      <c r="K1656" s="5079"/>
      <c r="L1656" s="5079"/>
      <c r="M1656" s="5079"/>
      <c r="N1656" s="5079"/>
      <c r="O1656" s="5079"/>
      <c r="P1656" s="5079"/>
      <c r="Q1656" s="5079"/>
      <c r="R1656" s="5079"/>
      <c r="S1656" s="5079"/>
      <c r="T1656" s="5079"/>
      <c r="U1656" s="5079"/>
      <c r="V1656" s="5079"/>
      <c r="W1656" s="5079"/>
      <c r="X1656" s="5079"/>
      <c r="Y1656" s="5079"/>
      <c r="Z1656" s="5079"/>
      <c r="AA1656" s="5079"/>
      <c r="AB1656" s="5079"/>
      <c r="AC1656" s="5079" t="s">
        <v>2855</v>
      </c>
      <c r="AD1656" s="5887" t="s">
        <v>2811</v>
      </c>
      <c r="AE1656" s="5079">
        <v>0.1</v>
      </c>
      <c r="AF1656" s="2680">
        <f>AE1656*M1655</f>
        <v>20000</v>
      </c>
      <c r="AG1656" s="3812">
        <f t="shared" si="342"/>
        <v>20000</v>
      </c>
      <c r="AH1656" s="1035" t="s">
        <v>122</v>
      </c>
      <c r="AI1656" s="2678">
        <v>45279</v>
      </c>
      <c r="AJ1656" s="3812">
        <v>20000</v>
      </c>
      <c r="AK1656" s="2678">
        <v>45279</v>
      </c>
      <c r="AL1656" s="3812">
        <v>20000</v>
      </c>
      <c r="AM1656" s="2680">
        <v>45315</v>
      </c>
      <c r="AN1656" s="2678">
        <f t="shared" si="338"/>
        <v>20000</v>
      </c>
      <c r="AO1656" s="2678">
        <v>45321</v>
      </c>
      <c r="AP1656" s="2680">
        <f t="shared" si="337"/>
        <v>0</v>
      </c>
      <c r="AQ1656" s="5331"/>
      <c r="AR1656" s="2680"/>
      <c r="AS1656" s="5079"/>
      <c r="AT1656" s="2680"/>
      <c r="AU1656" s="2680"/>
      <c r="AV1656" s="2680"/>
      <c r="AW1656" s="2680"/>
      <c r="AX1656" s="2680"/>
      <c r="AY1656" s="2680"/>
      <c r="AZ1656" s="2680"/>
      <c r="BA1656" s="5331"/>
      <c r="BB1656" s="5331"/>
      <c r="BC1656" s="2680"/>
      <c r="BD1656" s="5331"/>
      <c r="BE1656" s="5331"/>
      <c r="BF1656" s="5331"/>
      <c r="BG1656" s="5331"/>
      <c r="BH1656" s="2680"/>
      <c r="BI1656" s="5331"/>
      <c r="BJ1656" s="5331"/>
      <c r="BK1656" s="5331"/>
      <c r="BL1656" s="5331"/>
      <c r="BM1656" s="5331"/>
      <c r="BN1656" s="5796">
        <v>20000</v>
      </c>
      <c r="BO1656" s="5331"/>
      <c r="BP1656" s="5331"/>
      <c r="BQ1656" s="5796"/>
      <c r="BR1656" s="5796"/>
      <c r="BS1656" s="5796"/>
      <c r="BT1656" s="5796"/>
      <c r="BU1656" s="5796"/>
      <c r="BV1656" s="5796"/>
      <c r="BW1656" s="5796"/>
      <c r="BX1656" s="5796"/>
      <c r="BY1656" s="5796"/>
      <c r="BZ1656" s="5796"/>
      <c r="CA1656" s="5796"/>
      <c r="CB1656" s="5796">
        <v>20000</v>
      </c>
      <c r="CC1656" s="2680"/>
      <c r="CD1656" s="2680"/>
      <c r="CE1656" s="5168"/>
      <c r="CF1656" s="5168"/>
      <c r="CG1656" s="5750"/>
      <c r="CH1656" s="5750"/>
    </row>
    <row r="1657" ht="46" spans="1:86">
      <c r="A1657" s="5079"/>
      <c r="B1657" s="5079"/>
      <c r="C1657" s="5079">
        <v>43881</v>
      </c>
      <c r="D1657" s="5079"/>
      <c r="E1657" s="5079"/>
      <c r="F1657" s="5079"/>
      <c r="G1657" s="5079"/>
      <c r="H1657" s="5079"/>
      <c r="I1657" s="5079"/>
      <c r="J1657" s="5079"/>
      <c r="K1657" s="5079"/>
      <c r="L1657" s="5079" t="s">
        <v>2856</v>
      </c>
      <c r="M1657" s="5079">
        <f>SUM(N1657:AA1658)</f>
        <v>100000</v>
      </c>
      <c r="N1657" s="5079">
        <v>0</v>
      </c>
      <c r="O1657" s="5079">
        <v>0</v>
      </c>
      <c r="P1657" s="5079">
        <v>0</v>
      </c>
      <c r="Q1657" s="5079">
        <v>0</v>
      </c>
      <c r="R1657" s="5079">
        <v>0</v>
      </c>
      <c r="S1657" s="5079">
        <v>0</v>
      </c>
      <c r="T1657" s="5079"/>
      <c r="U1657" s="5079">
        <v>0</v>
      </c>
      <c r="V1657" s="5079">
        <v>0</v>
      </c>
      <c r="W1657" s="5079">
        <v>0</v>
      </c>
      <c r="X1657" s="5079"/>
      <c r="Y1657" s="5079"/>
      <c r="Z1657" s="5079"/>
      <c r="AA1657" s="5079">
        <v>100000</v>
      </c>
      <c r="AB1657" s="5079"/>
      <c r="AC1657" s="5079" t="s">
        <v>2857</v>
      </c>
      <c r="AD1657" s="5887" t="s">
        <v>2846</v>
      </c>
      <c r="AE1657" s="5079">
        <v>0.9</v>
      </c>
      <c r="AF1657" s="2680">
        <f>AE1657*M1657</f>
        <v>90000</v>
      </c>
      <c r="AG1657" s="3812">
        <f t="shared" si="342"/>
        <v>0</v>
      </c>
      <c r="AH1657" s="3932"/>
      <c r="AI1657" s="3932"/>
      <c r="AJ1657" s="2680"/>
      <c r="AK1657" s="2680"/>
      <c r="AL1657" s="2680"/>
      <c r="AM1657" s="2680"/>
      <c r="AN1657" s="2680">
        <f t="shared" si="338"/>
        <v>0</v>
      </c>
      <c r="AO1657" s="3932"/>
      <c r="AP1657" s="2680">
        <f t="shared" si="337"/>
        <v>0</v>
      </c>
      <c r="AQ1657" s="5331"/>
      <c r="AR1657" s="2680"/>
      <c r="AS1657" s="5079"/>
      <c r="AT1657" s="2680"/>
      <c r="AU1657" s="2680">
        <f t="shared" ref="AU1657:AU1661" si="349">SUM(AG1657:AG1658)</f>
        <v>0</v>
      </c>
      <c r="AV1657" s="2680">
        <f t="shared" ref="AV1657:AV1661" si="350">SUBTOTAL(9,AL1657:AL1658)</f>
        <v>0</v>
      </c>
      <c r="AW1657" s="2680">
        <f t="shared" ref="AW1657:AW1661" si="351">SUM(AN1657:AN1658)</f>
        <v>0</v>
      </c>
      <c r="AX1657" s="2680">
        <f t="shared" ref="AX1657:AX1661" si="352">M1657-AU1657</f>
        <v>100000</v>
      </c>
      <c r="AY1657" s="2680">
        <f t="shared" ref="AY1657:AY1661" si="353">AU1657-AV1657</f>
        <v>0</v>
      </c>
      <c r="AZ1657" s="2680">
        <f t="shared" ref="AZ1657:AZ1661" si="354">AV1657-AW1657</f>
        <v>0</v>
      </c>
      <c r="BA1657" s="5331"/>
      <c r="BB1657" s="5331"/>
      <c r="BC1657" s="2680"/>
      <c r="BD1657" s="5331"/>
      <c r="BE1657" s="5331"/>
      <c r="BF1657" s="5331"/>
      <c r="BG1657" s="5331"/>
      <c r="BH1657" s="2680"/>
      <c r="BI1657" s="5331"/>
      <c r="BJ1657" s="5331"/>
      <c r="BK1657" s="5331"/>
      <c r="BL1657" s="5331"/>
      <c r="BM1657" s="5331"/>
      <c r="BN1657" s="5331"/>
      <c r="BO1657" s="5331"/>
      <c r="BP1657" s="5331"/>
      <c r="BQ1657" s="5331"/>
      <c r="BR1657" s="5331"/>
      <c r="BS1657" s="5331"/>
      <c r="BT1657" s="5331"/>
      <c r="BU1657" s="5331"/>
      <c r="BV1657" s="5331"/>
      <c r="BW1657" s="5331"/>
      <c r="BX1657" s="5331"/>
      <c r="BY1657" s="5331"/>
      <c r="BZ1657" s="5331"/>
      <c r="CA1657" s="5331"/>
      <c r="CB1657" s="5331"/>
      <c r="CC1657" s="2680"/>
      <c r="CD1657" s="2680"/>
      <c r="CE1657" s="5168"/>
      <c r="CF1657" s="5168"/>
      <c r="CG1657" s="5750"/>
      <c r="CH1657" s="5750"/>
    </row>
    <row r="1658" ht="61" spans="1:86">
      <c r="A1658" s="5079"/>
      <c r="B1658" s="5079"/>
      <c r="C1658" s="5079"/>
      <c r="D1658" s="5079"/>
      <c r="E1658" s="5079"/>
      <c r="F1658" s="5079"/>
      <c r="G1658" s="5079"/>
      <c r="H1658" s="5079"/>
      <c r="I1658" s="5079"/>
      <c r="J1658" s="5079"/>
      <c r="K1658" s="5079"/>
      <c r="L1658" s="5079"/>
      <c r="M1658" s="5079"/>
      <c r="N1658" s="5079"/>
      <c r="O1658" s="5079"/>
      <c r="P1658" s="5079"/>
      <c r="Q1658" s="5079"/>
      <c r="R1658" s="5079"/>
      <c r="S1658" s="5079"/>
      <c r="T1658" s="5079"/>
      <c r="U1658" s="5079"/>
      <c r="V1658" s="5079"/>
      <c r="W1658" s="5079"/>
      <c r="X1658" s="5079"/>
      <c r="Y1658" s="5079"/>
      <c r="Z1658" s="5079"/>
      <c r="AA1658" s="5079"/>
      <c r="AB1658" s="5079"/>
      <c r="AC1658" s="5079" t="s">
        <v>2858</v>
      </c>
      <c r="AD1658" s="5887" t="s">
        <v>2811</v>
      </c>
      <c r="AE1658" s="5079">
        <v>0.1</v>
      </c>
      <c r="AF1658" s="2680">
        <f>AE1658*M1657</f>
        <v>10000</v>
      </c>
      <c r="AG1658" s="3524">
        <f t="shared" si="342"/>
        <v>0</v>
      </c>
      <c r="AH1658" s="2680"/>
      <c r="AI1658" s="2680"/>
      <c r="AJ1658" s="2680"/>
      <c r="AK1658" s="2680"/>
      <c r="AL1658" s="2680"/>
      <c r="AM1658" s="2680"/>
      <c r="AN1658" s="2680">
        <f t="shared" si="338"/>
        <v>0</v>
      </c>
      <c r="AO1658" s="2680"/>
      <c r="AP1658" s="2680">
        <f t="shared" si="337"/>
        <v>0</v>
      </c>
      <c r="AQ1658" s="5331"/>
      <c r="AR1658" s="2680"/>
      <c r="AS1658" s="5079"/>
      <c r="AT1658" s="2680"/>
      <c r="AU1658" s="2680"/>
      <c r="AV1658" s="2680"/>
      <c r="AW1658" s="2680"/>
      <c r="AX1658" s="2680"/>
      <c r="AY1658" s="2680"/>
      <c r="AZ1658" s="2680"/>
      <c r="BA1658" s="5331"/>
      <c r="BB1658" s="5331"/>
      <c r="BC1658" s="2680"/>
      <c r="BD1658" s="5331"/>
      <c r="BE1658" s="5331"/>
      <c r="BF1658" s="5331"/>
      <c r="BG1658" s="5331"/>
      <c r="BH1658" s="2680"/>
      <c r="BI1658" s="5331"/>
      <c r="BJ1658" s="5331"/>
      <c r="BK1658" s="5331"/>
      <c r="BL1658" s="5331"/>
      <c r="BM1658" s="5331"/>
      <c r="BN1658" s="5331"/>
      <c r="BO1658" s="5331"/>
      <c r="BP1658" s="5331"/>
      <c r="BQ1658" s="5331"/>
      <c r="BR1658" s="5331"/>
      <c r="BS1658" s="5331"/>
      <c r="BT1658" s="5331"/>
      <c r="BU1658" s="5331"/>
      <c r="BV1658" s="5331"/>
      <c r="BW1658" s="5331"/>
      <c r="BX1658" s="5331"/>
      <c r="BY1658" s="5331"/>
      <c r="BZ1658" s="5331"/>
      <c r="CA1658" s="5331"/>
      <c r="CB1658" s="5331"/>
      <c r="CC1658" s="2680"/>
      <c r="CD1658" s="2680"/>
      <c r="CE1658" s="5168"/>
      <c r="CF1658" s="5168"/>
      <c r="CG1658" s="5750"/>
      <c r="CH1658" s="5750"/>
    </row>
    <row r="1659" ht="46" spans="1:86">
      <c r="A1659" s="5079"/>
      <c r="B1659" s="5079"/>
      <c r="C1659" s="5079">
        <v>43881</v>
      </c>
      <c r="D1659" s="5079"/>
      <c r="E1659" s="5079"/>
      <c r="F1659" s="5079"/>
      <c r="G1659" s="5079"/>
      <c r="H1659" s="5079"/>
      <c r="I1659" s="5079"/>
      <c r="J1659" s="5079"/>
      <c r="K1659" s="5079"/>
      <c r="L1659" s="5079" t="s">
        <v>2859</v>
      </c>
      <c r="M1659" s="5079">
        <f>SUM(N1659:AA1660)</f>
        <v>78325.44</v>
      </c>
      <c r="N1659" s="5079">
        <v>0</v>
      </c>
      <c r="O1659" s="5079">
        <v>0</v>
      </c>
      <c r="P1659" s="5079">
        <v>0</v>
      </c>
      <c r="Q1659" s="5079">
        <v>0</v>
      </c>
      <c r="R1659" s="5079">
        <v>0</v>
      </c>
      <c r="S1659" s="5079">
        <v>0</v>
      </c>
      <c r="T1659" s="5079"/>
      <c r="U1659" s="5079">
        <v>0</v>
      </c>
      <c r="V1659" s="5079">
        <v>0</v>
      </c>
      <c r="W1659" s="5079">
        <v>0</v>
      </c>
      <c r="X1659" s="5079"/>
      <c r="Y1659" s="5079"/>
      <c r="Z1659" s="5079"/>
      <c r="AA1659" s="5079">
        <v>78325.44</v>
      </c>
      <c r="AB1659" s="5079" t="s">
        <v>2860</v>
      </c>
      <c r="AC1659" s="5079" t="s">
        <v>2861</v>
      </c>
      <c r="AD1659" s="5887" t="s">
        <v>2846</v>
      </c>
      <c r="AE1659" s="5079">
        <v>0.9</v>
      </c>
      <c r="AF1659" s="2680">
        <f>AE1659*M1659</f>
        <v>70492.896</v>
      </c>
      <c r="AG1659" s="3812">
        <f t="shared" si="342"/>
        <v>70492.896</v>
      </c>
      <c r="AH1659" s="859" t="s">
        <v>122</v>
      </c>
      <c r="AI1659" s="2678">
        <v>44551</v>
      </c>
      <c r="AJ1659" s="2680">
        <v>70492.9</v>
      </c>
      <c r="AK1659" s="2680">
        <v>44551</v>
      </c>
      <c r="AL1659" s="2680">
        <v>70492.9</v>
      </c>
      <c r="AM1659" s="2680">
        <v>44568</v>
      </c>
      <c r="AN1659" s="2678">
        <f t="shared" si="338"/>
        <v>70492.896</v>
      </c>
      <c r="AO1659" s="2678">
        <v>44585</v>
      </c>
      <c r="AP1659" s="2680">
        <f t="shared" si="337"/>
        <v>0</v>
      </c>
      <c r="AQ1659" s="5331"/>
      <c r="AR1659" s="2680"/>
      <c r="AS1659" s="5079"/>
      <c r="AT1659" s="2680"/>
      <c r="AU1659" s="2680">
        <f t="shared" si="349"/>
        <v>78325.436</v>
      </c>
      <c r="AV1659" s="2680">
        <f t="shared" si="350"/>
        <v>78325.44</v>
      </c>
      <c r="AW1659" s="2680">
        <f t="shared" si="351"/>
        <v>78325.436</v>
      </c>
      <c r="AX1659" s="2680">
        <f t="shared" si="352"/>
        <v>0.00400000001536682</v>
      </c>
      <c r="AY1659" s="2680">
        <f t="shared" si="353"/>
        <v>-0.00399999998626299</v>
      </c>
      <c r="AZ1659" s="2680">
        <f t="shared" si="354"/>
        <v>0.00399999998626299</v>
      </c>
      <c r="BA1659" s="5796"/>
      <c r="BB1659" s="5796"/>
      <c r="BC1659" s="2678"/>
      <c r="BD1659" s="5796"/>
      <c r="BE1659" s="5796"/>
      <c r="BF1659" s="5796"/>
      <c r="BG1659" s="5796"/>
      <c r="BH1659" s="2678"/>
      <c r="BI1659" s="5796"/>
      <c r="BJ1659" s="5796"/>
      <c r="BK1659" s="5796"/>
      <c r="BL1659" s="5796"/>
      <c r="BM1659" s="5796"/>
      <c r="BN1659" s="2678">
        <v>70492.896</v>
      </c>
      <c r="BO1659" s="5331"/>
      <c r="BP1659" s="5331"/>
      <c r="BQ1659" s="5331"/>
      <c r="BR1659" s="5331"/>
      <c r="BS1659" s="5331"/>
      <c r="BT1659" s="5331"/>
      <c r="BU1659" s="5331"/>
      <c r="BV1659" s="5331"/>
      <c r="BW1659" s="5331"/>
      <c r="BX1659" s="5331"/>
      <c r="BY1659" s="5331"/>
      <c r="BZ1659" s="5331"/>
      <c r="CA1659" s="5331"/>
      <c r="CB1659" s="3932">
        <v>70492.896</v>
      </c>
      <c r="CC1659" s="2680"/>
      <c r="CD1659" s="2680"/>
      <c r="CE1659" s="5168"/>
      <c r="CF1659" s="5168"/>
      <c r="CG1659" s="5750"/>
      <c r="CH1659" s="5750"/>
    </row>
    <row r="1660" ht="61" spans="1:86">
      <c r="A1660" s="5079"/>
      <c r="B1660" s="5079"/>
      <c r="C1660" s="5079"/>
      <c r="D1660" s="5079"/>
      <c r="E1660" s="5079"/>
      <c r="F1660" s="5079"/>
      <c r="G1660" s="5079"/>
      <c r="H1660" s="5079"/>
      <c r="I1660" s="5079"/>
      <c r="J1660" s="5079"/>
      <c r="K1660" s="5079"/>
      <c r="L1660" s="5079"/>
      <c r="M1660" s="5079"/>
      <c r="N1660" s="5079"/>
      <c r="O1660" s="5079"/>
      <c r="P1660" s="5079"/>
      <c r="Q1660" s="5079"/>
      <c r="R1660" s="5079"/>
      <c r="S1660" s="5079"/>
      <c r="T1660" s="5079"/>
      <c r="U1660" s="5079"/>
      <c r="V1660" s="5079"/>
      <c r="W1660" s="5079"/>
      <c r="X1660" s="5079"/>
      <c r="Y1660" s="5079"/>
      <c r="Z1660" s="5079"/>
      <c r="AA1660" s="5079"/>
      <c r="AB1660" s="5079"/>
      <c r="AC1660" s="5079" t="s">
        <v>2862</v>
      </c>
      <c r="AD1660" s="5887" t="s">
        <v>2811</v>
      </c>
      <c r="AE1660" s="5079">
        <v>0.1</v>
      </c>
      <c r="AF1660" s="2680">
        <f>AE1660*M1659</f>
        <v>7832.544</v>
      </c>
      <c r="AG1660" s="3812">
        <f t="shared" si="342"/>
        <v>7832.54</v>
      </c>
      <c r="AH1660" s="859" t="s">
        <v>122</v>
      </c>
      <c r="AI1660" s="2678">
        <v>45279</v>
      </c>
      <c r="AJ1660" s="3812">
        <v>7832.54</v>
      </c>
      <c r="AK1660" s="2678">
        <v>45279</v>
      </c>
      <c r="AL1660" s="3812">
        <v>7832.54</v>
      </c>
      <c r="AM1660" s="2680">
        <v>45315</v>
      </c>
      <c r="AN1660" s="2678">
        <f t="shared" si="338"/>
        <v>7832.54</v>
      </c>
      <c r="AO1660" s="2678">
        <v>45321</v>
      </c>
      <c r="AP1660" s="2680">
        <f t="shared" si="337"/>
        <v>0</v>
      </c>
      <c r="AQ1660" s="5331"/>
      <c r="AR1660" s="2680"/>
      <c r="AS1660" s="5079"/>
      <c r="AT1660" s="2680"/>
      <c r="AU1660" s="2680"/>
      <c r="AV1660" s="2680"/>
      <c r="AW1660" s="2680"/>
      <c r="AX1660" s="2680"/>
      <c r="AY1660" s="2680"/>
      <c r="AZ1660" s="2680"/>
      <c r="BA1660" s="5331"/>
      <c r="BB1660" s="5331"/>
      <c r="BC1660" s="2680"/>
      <c r="BD1660" s="5331"/>
      <c r="BE1660" s="5331"/>
      <c r="BF1660" s="5331"/>
      <c r="BG1660" s="5331"/>
      <c r="BH1660" s="2680"/>
      <c r="BI1660" s="5331"/>
      <c r="BJ1660" s="5331"/>
      <c r="BK1660" s="5331"/>
      <c r="BL1660" s="5331"/>
      <c r="BM1660" s="5331"/>
      <c r="BN1660" s="5796">
        <v>7832.54</v>
      </c>
      <c r="BO1660" s="5331"/>
      <c r="BP1660" s="5331"/>
      <c r="BQ1660" s="5796"/>
      <c r="BR1660" s="5796"/>
      <c r="BS1660" s="5796"/>
      <c r="BT1660" s="5796"/>
      <c r="BU1660" s="5796"/>
      <c r="BV1660" s="5796"/>
      <c r="BW1660" s="5796"/>
      <c r="BX1660" s="5796"/>
      <c r="BY1660" s="5796"/>
      <c r="BZ1660" s="5796"/>
      <c r="CA1660" s="5796"/>
      <c r="CB1660" s="5796">
        <v>7832.54</v>
      </c>
      <c r="CC1660" s="2680"/>
      <c r="CD1660" s="2680"/>
      <c r="CE1660" s="5168"/>
      <c r="CF1660" s="5168"/>
      <c r="CG1660" s="5750"/>
      <c r="CH1660" s="5750"/>
    </row>
    <row r="1661" ht="46" spans="1:86">
      <c r="A1661" s="5079"/>
      <c r="B1661" s="5079"/>
      <c r="C1661" s="5079">
        <v>43881</v>
      </c>
      <c r="D1661" s="5079"/>
      <c r="E1661" s="5079"/>
      <c r="F1661" s="5079"/>
      <c r="G1661" s="5079"/>
      <c r="H1661" s="5079"/>
      <c r="I1661" s="5079"/>
      <c r="J1661" s="5079"/>
      <c r="K1661" s="5079"/>
      <c r="L1661" s="1035" t="s">
        <v>2863</v>
      </c>
      <c r="M1661" s="5079">
        <f>SUM(N1661:AA1662)</f>
        <v>313301.7</v>
      </c>
      <c r="N1661" s="5079">
        <v>0</v>
      </c>
      <c r="O1661" s="5079">
        <v>0</v>
      </c>
      <c r="P1661" s="5079">
        <v>0</v>
      </c>
      <c r="Q1661" s="5079">
        <v>0</v>
      </c>
      <c r="R1661" s="5079">
        <v>0</v>
      </c>
      <c r="S1661" s="5079">
        <v>0</v>
      </c>
      <c r="T1661" s="5079"/>
      <c r="U1661" s="5079">
        <v>0</v>
      </c>
      <c r="V1661" s="5079">
        <v>0</v>
      </c>
      <c r="W1661" s="5079">
        <v>0</v>
      </c>
      <c r="X1661" s="5079"/>
      <c r="Y1661" s="5079"/>
      <c r="Z1661" s="5079"/>
      <c r="AA1661" s="5079">
        <v>313301.7</v>
      </c>
      <c r="AB1661" s="5079" t="s">
        <v>2864</v>
      </c>
      <c r="AC1661" s="5079" t="s">
        <v>2865</v>
      </c>
      <c r="AD1661" s="5887" t="s">
        <v>2846</v>
      </c>
      <c r="AE1661" s="5079">
        <v>0.9</v>
      </c>
      <c r="AF1661" s="2680">
        <f>AE1661*M1661</f>
        <v>281971.53</v>
      </c>
      <c r="AG1661" s="3812">
        <f t="shared" si="342"/>
        <v>281971.53</v>
      </c>
      <c r="AH1661" s="859" t="s">
        <v>122</v>
      </c>
      <c r="AI1661" s="2678">
        <v>44551</v>
      </c>
      <c r="AJ1661" s="2680">
        <v>281971.53</v>
      </c>
      <c r="AK1661" s="2680">
        <v>44551</v>
      </c>
      <c r="AL1661" s="2680">
        <v>281971.53</v>
      </c>
      <c r="AM1661" s="2680">
        <v>44886</v>
      </c>
      <c r="AN1661" s="2678">
        <f t="shared" si="338"/>
        <v>281971.53</v>
      </c>
      <c r="AO1661" s="2678">
        <v>44894</v>
      </c>
      <c r="AP1661" s="3932">
        <f t="shared" si="337"/>
        <v>0</v>
      </c>
      <c r="AQ1661" s="5331"/>
      <c r="AR1661" s="2680"/>
      <c r="AS1661" s="5079"/>
      <c r="AT1661" s="2680"/>
      <c r="AU1661" s="2680">
        <f t="shared" si="349"/>
        <v>313301.7</v>
      </c>
      <c r="AV1661" s="2680">
        <f t="shared" si="350"/>
        <v>313301.7</v>
      </c>
      <c r="AW1661" s="2680">
        <f t="shared" si="351"/>
        <v>313301.7</v>
      </c>
      <c r="AX1661" s="2680">
        <f t="shared" si="352"/>
        <v>0</v>
      </c>
      <c r="AY1661" s="2680">
        <f t="shared" si="353"/>
        <v>0</v>
      </c>
      <c r="AZ1661" s="2680">
        <f t="shared" si="354"/>
        <v>0</v>
      </c>
      <c r="BA1661" s="5796"/>
      <c r="BB1661" s="5796"/>
      <c r="BC1661" s="2678"/>
      <c r="BD1661" s="5796"/>
      <c r="BE1661" s="5796"/>
      <c r="BF1661" s="5796"/>
      <c r="BG1661" s="5796"/>
      <c r="BH1661" s="2678"/>
      <c r="BI1661" s="5796"/>
      <c r="BJ1661" s="5796"/>
      <c r="BK1661" s="5796"/>
      <c r="BL1661" s="5796"/>
      <c r="BM1661" s="5796"/>
      <c r="BN1661" s="2678">
        <v>281971.53</v>
      </c>
      <c r="BO1661" s="5331"/>
      <c r="BP1661" s="5331"/>
      <c r="BQ1661" s="5331"/>
      <c r="BR1661" s="5331"/>
      <c r="BS1661" s="5331"/>
      <c r="BT1661" s="5331"/>
      <c r="BU1661" s="5331"/>
      <c r="BV1661" s="5331"/>
      <c r="BW1661" s="5331"/>
      <c r="BX1661" s="5331"/>
      <c r="BY1661" s="5331"/>
      <c r="BZ1661" s="5331"/>
      <c r="CA1661" s="5331"/>
      <c r="CB1661" s="2678">
        <v>281971.53</v>
      </c>
      <c r="CC1661" s="2680"/>
      <c r="CD1661" s="2680"/>
      <c r="CE1661" s="5168"/>
      <c r="CF1661" s="5168"/>
      <c r="CG1661" s="5750"/>
      <c r="CH1661" s="5750"/>
    </row>
    <row r="1662" ht="61" spans="1:86">
      <c r="A1662" s="5079"/>
      <c r="B1662" s="5079"/>
      <c r="C1662" s="5079"/>
      <c r="D1662" s="5079"/>
      <c r="E1662" s="5079"/>
      <c r="F1662" s="5079"/>
      <c r="G1662" s="5079"/>
      <c r="H1662" s="5079"/>
      <c r="I1662" s="5079"/>
      <c r="J1662" s="5079"/>
      <c r="K1662" s="5079"/>
      <c r="L1662" s="5079"/>
      <c r="M1662" s="5079"/>
      <c r="N1662" s="5079"/>
      <c r="O1662" s="5079"/>
      <c r="P1662" s="5079"/>
      <c r="Q1662" s="5079"/>
      <c r="R1662" s="5079"/>
      <c r="S1662" s="5079"/>
      <c r="T1662" s="5079"/>
      <c r="U1662" s="5079"/>
      <c r="V1662" s="5079"/>
      <c r="W1662" s="5079"/>
      <c r="X1662" s="5079"/>
      <c r="Y1662" s="5079"/>
      <c r="Z1662" s="5079"/>
      <c r="AA1662" s="5079"/>
      <c r="AB1662" s="5079"/>
      <c r="AC1662" s="5079" t="s">
        <v>2866</v>
      </c>
      <c r="AD1662" s="5887" t="s">
        <v>2811</v>
      </c>
      <c r="AE1662" s="5079">
        <v>0.1</v>
      </c>
      <c r="AF1662" s="2680">
        <f>AE1662*M1661</f>
        <v>31330.17</v>
      </c>
      <c r="AG1662" s="3812">
        <f t="shared" si="342"/>
        <v>31330.17</v>
      </c>
      <c r="AH1662" s="859" t="s">
        <v>122</v>
      </c>
      <c r="AI1662" s="2678">
        <v>45279</v>
      </c>
      <c r="AJ1662" s="3812">
        <v>31330.17</v>
      </c>
      <c r="AK1662" s="2678">
        <v>45279</v>
      </c>
      <c r="AL1662" s="3812">
        <v>31330.17</v>
      </c>
      <c r="AM1662" s="2680">
        <v>45315</v>
      </c>
      <c r="AN1662" s="2678">
        <f t="shared" si="338"/>
        <v>31330.17</v>
      </c>
      <c r="AO1662" s="2678">
        <v>45321</v>
      </c>
      <c r="AP1662" s="3932">
        <f t="shared" si="337"/>
        <v>0</v>
      </c>
      <c r="AQ1662" s="5331"/>
      <c r="AR1662" s="2680"/>
      <c r="AS1662" s="5079"/>
      <c r="AT1662" s="2680"/>
      <c r="AU1662" s="2680"/>
      <c r="AV1662" s="2680"/>
      <c r="AW1662" s="2680"/>
      <c r="AX1662" s="2680"/>
      <c r="AY1662" s="2680"/>
      <c r="AZ1662" s="2680"/>
      <c r="BA1662" s="5331"/>
      <c r="BB1662" s="5331"/>
      <c r="BC1662" s="2680"/>
      <c r="BD1662" s="5331"/>
      <c r="BE1662" s="5331"/>
      <c r="BF1662" s="5331"/>
      <c r="BG1662" s="5331"/>
      <c r="BH1662" s="2680"/>
      <c r="BI1662" s="5331"/>
      <c r="BJ1662" s="5331"/>
      <c r="BK1662" s="5331"/>
      <c r="BL1662" s="5331"/>
      <c r="BM1662" s="5331"/>
      <c r="BN1662" s="5796">
        <v>31330.17</v>
      </c>
      <c r="BO1662" s="5331"/>
      <c r="BP1662" s="5331"/>
      <c r="BQ1662" s="5796"/>
      <c r="BR1662" s="5796"/>
      <c r="BS1662" s="5796"/>
      <c r="BT1662" s="5796"/>
      <c r="BU1662" s="5796"/>
      <c r="BV1662" s="5796"/>
      <c r="BW1662" s="5796"/>
      <c r="BX1662" s="5796"/>
      <c r="BY1662" s="5796"/>
      <c r="BZ1662" s="5796"/>
      <c r="CA1662" s="5796"/>
      <c r="CB1662" s="5796">
        <v>31330.17</v>
      </c>
      <c r="CC1662" s="2680"/>
      <c r="CD1662" s="2680"/>
      <c r="CE1662" s="5168"/>
      <c r="CF1662" s="5168"/>
      <c r="CG1662" s="5750"/>
      <c r="CH1662" s="5750"/>
    </row>
    <row r="1663" ht="31" spans="1:86">
      <c r="A1663" s="5079"/>
      <c r="B1663" s="5079"/>
      <c r="C1663" s="5079">
        <v>43881</v>
      </c>
      <c r="D1663" s="5079"/>
      <c r="E1663" s="5079"/>
      <c r="F1663" s="5079"/>
      <c r="G1663" s="5079"/>
      <c r="H1663" s="5079"/>
      <c r="I1663" s="5079"/>
      <c r="J1663" s="5079"/>
      <c r="K1663" s="5079"/>
      <c r="L1663" s="5079" t="s">
        <v>2867</v>
      </c>
      <c r="M1663" s="5079">
        <f>SUM(N1663:AA1664)</f>
        <v>78325.43</v>
      </c>
      <c r="N1663" s="5079">
        <v>0</v>
      </c>
      <c r="O1663" s="5079">
        <v>0</v>
      </c>
      <c r="P1663" s="5079">
        <v>78325.43</v>
      </c>
      <c r="Q1663" s="5079">
        <v>0</v>
      </c>
      <c r="R1663" s="5079">
        <v>0</v>
      </c>
      <c r="S1663" s="5079">
        <v>0</v>
      </c>
      <c r="T1663" s="5079"/>
      <c r="U1663" s="5079">
        <v>0</v>
      </c>
      <c r="V1663" s="5079">
        <v>0</v>
      </c>
      <c r="W1663" s="5079">
        <v>0</v>
      </c>
      <c r="X1663" s="5079"/>
      <c r="Y1663" s="5079"/>
      <c r="Z1663" s="5079"/>
      <c r="AA1663" s="5079">
        <v>0</v>
      </c>
      <c r="AB1663" s="5079">
        <v>0</v>
      </c>
      <c r="AC1663" s="5079" t="s">
        <v>2868</v>
      </c>
      <c r="AD1663" s="5887" t="s">
        <v>2846</v>
      </c>
      <c r="AE1663" s="5079">
        <v>0.9</v>
      </c>
      <c r="AF1663" s="2680">
        <f>AE1663*M1663</f>
        <v>70492.887</v>
      </c>
      <c r="AG1663" s="3812">
        <f>SUM(BA1663:BJ1663)</f>
        <v>70492.887</v>
      </c>
      <c r="AH1663" s="2678" t="s">
        <v>122</v>
      </c>
      <c r="AI1663" s="2678">
        <v>44454</v>
      </c>
      <c r="AJ1663" s="3812">
        <v>70492.887</v>
      </c>
      <c r="AK1663" s="2678">
        <v>44454</v>
      </c>
      <c r="AL1663" s="3812">
        <f>SUM(BF1663:BR1663)</f>
        <v>70492.887</v>
      </c>
      <c r="AM1663" s="2678">
        <v>44454</v>
      </c>
      <c r="AN1663" s="2678">
        <f>SUM(BO1663:BX1663)</f>
        <v>70492.887</v>
      </c>
      <c r="AO1663" s="2678">
        <v>44488</v>
      </c>
      <c r="AP1663" s="2678">
        <f t="shared" si="337"/>
        <v>0</v>
      </c>
      <c r="AQ1663" s="5887"/>
      <c r="AR1663" s="2680"/>
      <c r="AS1663" s="5079"/>
      <c r="AT1663" s="2680"/>
      <c r="AU1663" s="2680">
        <f>SUM(AG1663:AG1664)</f>
        <v>78325.43</v>
      </c>
      <c r="AV1663" s="2680">
        <f>SUBTOTAL(9,AL1663:AL1664)</f>
        <v>78325.43</v>
      </c>
      <c r="AW1663" s="2680">
        <f>SUM(AN1663:AN1664)</f>
        <v>78325.427</v>
      </c>
      <c r="AX1663" s="2680">
        <f>M1663-AU1663</f>
        <v>0</v>
      </c>
      <c r="AY1663" s="2680">
        <f>AU1663-AV1663</f>
        <v>0</v>
      </c>
      <c r="AZ1663" s="2680">
        <f>AV1663-AW1663</f>
        <v>0.00300000001152512</v>
      </c>
      <c r="BA1663" s="5796"/>
      <c r="BB1663" s="5796"/>
      <c r="BC1663" s="5796">
        <v>70492.887</v>
      </c>
      <c r="BD1663" s="5796"/>
      <c r="BE1663" s="5796"/>
      <c r="BF1663" s="5796"/>
      <c r="BG1663" s="5796"/>
      <c r="BH1663" s="2678"/>
      <c r="BI1663" s="5796"/>
      <c r="BJ1663" s="5796"/>
      <c r="BK1663" s="5796"/>
      <c r="BL1663" s="5796"/>
      <c r="BM1663" s="5796"/>
      <c r="BN1663" s="5796"/>
      <c r="BO1663" s="5796"/>
      <c r="BP1663" s="5796"/>
      <c r="BQ1663" s="2678">
        <v>70492.887</v>
      </c>
      <c r="BR1663" s="5796"/>
      <c r="BS1663" s="5796"/>
      <c r="BT1663" s="5796"/>
      <c r="BU1663" s="5796"/>
      <c r="BV1663" s="5796"/>
      <c r="BW1663" s="5796"/>
      <c r="BX1663" s="5796"/>
      <c r="BY1663" s="5796"/>
      <c r="BZ1663" s="5796"/>
      <c r="CA1663" s="5796"/>
      <c r="CB1663" s="5796"/>
      <c r="CC1663" s="2680"/>
      <c r="CD1663" s="2680"/>
      <c r="CE1663" s="5168"/>
      <c r="CF1663" s="5168"/>
      <c r="CG1663" s="5750"/>
      <c r="CH1663" s="5750"/>
    </row>
    <row r="1664" ht="61" spans="1:86">
      <c r="A1664" s="5079"/>
      <c r="B1664" s="5079"/>
      <c r="C1664" s="5079"/>
      <c r="D1664" s="5079"/>
      <c r="E1664" s="5079"/>
      <c r="F1664" s="5079"/>
      <c r="G1664" s="5079"/>
      <c r="H1664" s="5079"/>
      <c r="I1664" s="5079"/>
      <c r="J1664" s="5079"/>
      <c r="K1664" s="5079"/>
      <c r="L1664" s="5079"/>
      <c r="M1664" s="5079"/>
      <c r="N1664" s="5079"/>
      <c r="O1664" s="5079"/>
      <c r="P1664" s="5079"/>
      <c r="Q1664" s="5079"/>
      <c r="R1664" s="5079"/>
      <c r="S1664" s="5079"/>
      <c r="T1664" s="5079"/>
      <c r="U1664" s="5079"/>
      <c r="V1664" s="5079"/>
      <c r="W1664" s="5079"/>
      <c r="X1664" s="5079"/>
      <c r="Y1664" s="5079"/>
      <c r="Z1664" s="5079"/>
      <c r="AA1664" s="5079"/>
      <c r="AB1664" s="5079"/>
      <c r="AC1664" s="5079" t="s">
        <v>2869</v>
      </c>
      <c r="AD1664" s="5887" t="s">
        <v>2811</v>
      </c>
      <c r="AE1664" s="5079">
        <v>0.1</v>
      </c>
      <c r="AF1664" s="2680">
        <f>AE1664*M1663</f>
        <v>7832.543</v>
      </c>
      <c r="AG1664" s="3812">
        <f t="shared" si="342"/>
        <v>7832.543</v>
      </c>
      <c r="AH1664" s="859" t="s">
        <v>122</v>
      </c>
      <c r="AI1664" s="2678">
        <v>45279</v>
      </c>
      <c r="AJ1664" s="3812">
        <v>7832.543</v>
      </c>
      <c r="AK1664" s="2678">
        <v>45279</v>
      </c>
      <c r="AL1664" s="3812">
        <v>7832.543</v>
      </c>
      <c r="AM1664" s="2680">
        <v>45315</v>
      </c>
      <c r="AN1664" s="2678">
        <f t="shared" ref="AN1664:AN1671" si="355">SUM(BO1664:CB1664)</f>
        <v>7832.54</v>
      </c>
      <c r="AO1664" s="2678">
        <v>45321</v>
      </c>
      <c r="AP1664" s="2680">
        <f t="shared" si="337"/>
        <v>0.00299999999970169</v>
      </c>
      <c r="AQ1664" s="5331"/>
      <c r="AR1664" s="2680"/>
      <c r="AS1664" s="5079"/>
      <c r="AT1664" s="2680"/>
      <c r="AU1664" s="2680"/>
      <c r="AV1664" s="2680"/>
      <c r="AW1664" s="2680"/>
      <c r="AX1664" s="2680"/>
      <c r="AY1664" s="2680"/>
      <c r="AZ1664" s="2680"/>
      <c r="BA1664" s="5331"/>
      <c r="BB1664" s="5331"/>
      <c r="BC1664" s="2678">
        <v>7832.543</v>
      </c>
      <c r="BD1664" s="5331"/>
      <c r="BE1664" s="5331"/>
      <c r="BF1664" s="5331"/>
      <c r="BG1664" s="5331"/>
      <c r="BH1664" s="2680"/>
      <c r="BI1664" s="5331"/>
      <c r="BJ1664" s="5331"/>
      <c r="BK1664" s="5331"/>
      <c r="BL1664" s="5331"/>
      <c r="BM1664" s="5331"/>
      <c r="BN1664" s="3932"/>
      <c r="BO1664" s="5331"/>
      <c r="BP1664" s="5331"/>
      <c r="BQ1664" s="2678">
        <v>7832.54</v>
      </c>
      <c r="BR1664" s="5796"/>
      <c r="BS1664" s="5796"/>
      <c r="BT1664" s="5796"/>
      <c r="BU1664" s="5796"/>
      <c r="BV1664" s="5796"/>
      <c r="BW1664" s="5796"/>
      <c r="BX1664" s="5796"/>
      <c r="BY1664" s="5796"/>
      <c r="BZ1664" s="5796"/>
      <c r="CA1664" s="5796"/>
      <c r="CB1664" s="5796"/>
      <c r="CC1664" s="2680"/>
      <c r="CD1664" s="2680"/>
      <c r="CE1664" s="5168"/>
      <c r="CF1664" s="5168"/>
      <c r="CG1664" s="5750"/>
      <c r="CH1664" s="5750"/>
    </row>
    <row r="1665" s="13" customFormat="1" ht="23" customHeight="1" spans="1:86">
      <c r="A1665" s="3742"/>
      <c r="B1665" s="3742"/>
      <c r="C1665" s="3742">
        <v>43881</v>
      </c>
      <c r="D1665" s="1032" t="s">
        <v>2870</v>
      </c>
      <c r="E1665" s="3742" t="s">
        <v>2776</v>
      </c>
      <c r="F1665" s="3742" t="s">
        <v>2777</v>
      </c>
      <c r="G1665" s="3742" t="s">
        <v>2778</v>
      </c>
      <c r="H1665" s="3742" t="s">
        <v>2871</v>
      </c>
      <c r="I1665" s="3742"/>
      <c r="J1665" s="3742" t="s">
        <v>2780</v>
      </c>
      <c r="K1665" s="3742">
        <v>222805.33</v>
      </c>
      <c r="L1665" s="3742" t="s">
        <v>2872</v>
      </c>
      <c r="M1665" s="3742">
        <v>1559637.31</v>
      </c>
      <c r="N1665" s="3742">
        <v>0</v>
      </c>
      <c r="O1665" s="3742">
        <v>0</v>
      </c>
      <c r="P1665" s="3742">
        <v>0</v>
      </c>
      <c r="Q1665" s="3742">
        <v>0</v>
      </c>
      <c r="R1665" s="3742">
        <v>0</v>
      </c>
      <c r="S1665" s="3742">
        <v>0</v>
      </c>
      <c r="T1665" s="3742"/>
      <c r="U1665" s="3742">
        <f>M1665/7*5</f>
        <v>1114026.65</v>
      </c>
      <c r="V1665" s="3742">
        <v>0</v>
      </c>
      <c r="W1665" s="3742">
        <v>0</v>
      </c>
      <c r="X1665" s="3742"/>
      <c r="Y1665" s="3742"/>
      <c r="Z1665" s="3742"/>
      <c r="AA1665" s="3742">
        <f>M1665/7*2</f>
        <v>445610.66</v>
      </c>
      <c r="AB1665" s="3742">
        <v>0</v>
      </c>
      <c r="AC1665" s="3742" t="s">
        <v>1110</v>
      </c>
      <c r="AD1665" s="5137" t="s">
        <v>2784</v>
      </c>
      <c r="AE1665" s="3742">
        <v>0.2</v>
      </c>
      <c r="AF1665" s="3524">
        <f>M1665*AE1665</f>
        <v>311927.462</v>
      </c>
      <c r="AG1665" s="3812">
        <f t="shared" si="342"/>
        <v>311927.462</v>
      </c>
      <c r="AH1665" s="3812" t="s">
        <v>206</v>
      </c>
      <c r="AI1665" s="3812">
        <v>44011</v>
      </c>
      <c r="AJ1665" s="3524" t="s">
        <v>171</v>
      </c>
      <c r="AK1665" s="3524" t="s">
        <v>171</v>
      </c>
      <c r="AL1665" s="3524">
        <v>311927.46</v>
      </c>
      <c r="AM1665" s="3812">
        <v>44011</v>
      </c>
      <c r="AN1665" s="3524">
        <f t="shared" si="355"/>
        <v>311927.46</v>
      </c>
      <c r="AO1665" s="3812">
        <v>44035</v>
      </c>
      <c r="AP1665" s="3812">
        <f t="shared" si="337"/>
        <v>0.00200000003678724</v>
      </c>
      <c r="AQ1665" s="5122"/>
      <c r="AR1665" s="3524"/>
      <c r="AS1665" s="3742"/>
      <c r="AT1665" s="3524"/>
      <c r="AU1665" s="3524">
        <f>SUM(AG1665:AG1668)</f>
        <v>1559637.3153</v>
      </c>
      <c r="AV1665" s="3524">
        <f>SUBTOTAL(9,AL1665:AL1668)</f>
        <v>1559637.3093</v>
      </c>
      <c r="AW1665" s="3524">
        <f>SUM(AN1665:AN1668)</f>
        <v>1559637.3093</v>
      </c>
      <c r="AX1665" s="3524">
        <f>M1665-AU1665</f>
        <v>-0.00529999984428287</v>
      </c>
      <c r="AY1665" s="3524">
        <f>AU1665-AV1665</f>
        <v>0.00599999981932342</v>
      </c>
      <c r="AZ1665" s="3524">
        <f>AV1665-AW1665</f>
        <v>0</v>
      </c>
      <c r="BA1665" s="5146"/>
      <c r="BB1665" s="5146"/>
      <c r="BC1665" s="3812"/>
      <c r="BD1665" s="5146"/>
      <c r="BE1665" s="5146"/>
      <c r="BF1665" s="5146"/>
      <c r="BG1665" s="5146"/>
      <c r="BH1665" s="3812">
        <f>222805.33*5*0.2</f>
        <v>222805.33</v>
      </c>
      <c r="BI1665" s="5146"/>
      <c r="BJ1665" s="5146"/>
      <c r="BK1665" s="5146"/>
      <c r="BL1665" s="5146"/>
      <c r="BM1665" s="5146"/>
      <c r="BN1665" s="3812">
        <f>222805.33*2*0.2</f>
        <v>89122.132</v>
      </c>
      <c r="BO1665" s="5122"/>
      <c r="BP1665" s="5122"/>
      <c r="BQ1665" s="5122"/>
      <c r="BR1665" s="5122"/>
      <c r="BS1665" s="5122"/>
      <c r="BT1665" s="5122"/>
      <c r="BU1665" s="5122"/>
      <c r="BV1665" s="3524">
        <v>222805.33</v>
      </c>
      <c r="BW1665" s="5122"/>
      <c r="BX1665" s="5122"/>
      <c r="BY1665" s="5122"/>
      <c r="BZ1665" s="5122"/>
      <c r="CA1665" s="5122"/>
      <c r="CB1665" s="3524">
        <v>89122.13</v>
      </c>
      <c r="CC1665" s="3524"/>
      <c r="CD1665" s="3524"/>
      <c r="CE1665" s="6780"/>
      <c r="CF1665" s="6780"/>
      <c r="CG1665" s="5920"/>
      <c r="CH1665" s="5920"/>
    </row>
    <row r="1666" s="13" customFormat="1" ht="46" spans="1:86">
      <c r="A1666" s="3742"/>
      <c r="B1666" s="3742"/>
      <c r="C1666" s="3742"/>
      <c r="D1666" s="3742"/>
      <c r="E1666" s="3742"/>
      <c r="F1666" s="3742"/>
      <c r="G1666" s="3742"/>
      <c r="H1666" s="3742"/>
      <c r="I1666" s="3742"/>
      <c r="J1666" s="3742"/>
      <c r="K1666" s="3742"/>
      <c r="L1666" s="3742"/>
      <c r="M1666" s="3742"/>
      <c r="N1666" s="3742"/>
      <c r="O1666" s="3742"/>
      <c r="P1666" s="3742"/>
      <c r="Q1666" s="3742"/>
      <c r="R1666" s="3742"/>
      <c r="S1666" s="3742"/>
      <c r="T1666" s="3742"/>
      <c r="U1666" s="3742"/>
      <c r="V1666" s="3742"/>
      <c r="W1666" s="3742"/>
      <c r="X1666" s="3742"/>
      <c r="Y1666" s="3742"/>
      <c r="Z1666" s="3742"/>
      <c r="AA1666" s="3742"/>
      <c r="AB1666" s="3742"/>
      <c r="AC1666" s="3742" t="s">
        <v>1113</v>
      </c>
      <c r="AD1666" s="5137" t="s">
        <v>2873</v>
      </c>
      <c r="AE1666" s="3742">
        <v>0.4</v>
      </c>
      <c r="AF1666" s="3524">
        <v>623854.92</v>
      </c>
      <c r="AG1666" s="3812">
        <f t="shared" si="342"/>
        <v>623854.924</v>
      </c>
      <c r="AH1666" s="3812" t="s">
        <v>206</v>
      </c>
      <c r="AI1666" s="3812">
        <v>44011</v>
      </c>
      <c r="AJ1666" s="3524" t="s">
        <v>171</v>
      </c>
      <c r="AK1666" s="3524" t="s">
        <v>171</v>
      </c>
      <c r="AL1666" s="3524">
        <v>623854.92</v>
      </c>
      <c r="AM1666" s="3812">
        <v>44011</v>
      </c>
      <c r="AN1666" s="3524">
        <f t="shared" si="355"/>
        <v>623854.92</v>
      </c>
      <c r="AO1666" s="3812">
        <v>44035</v>
      </c>
      <c r="AP1666" s="3812">
        <f t="shared" si="337"/>
        <v>0.00400000007357448</v>
      </c>
      <c r="AQ1666" s="5122"/>
      <c r="AR1666" s="3524"/>
      <c r="AS1666" s="3742"/>
      <c r="AT1666" s="3524"/>
      <c r="AU1666" s="3524"/>
      <c r="AV1666" s="3524"/>
      <c r="AW1666" s="3524"/>
      <c r="AX1666" s="3524"/>
      <c r="AY1666" s="3524"/>
      <c r="AZ1666" s="3524"/>
      <c r="BA1666" s="5146"/>
      <c r="BB1666" s="5146"/>
      <c r="BC1666" s="3812"/>
      <c r="BD1666" s="5146"/>
      <c r="BE1666" s="5146"/>
      <c r="BF1666" s="5146"/>
      <c r="BG1666" s="5146"/>
      <c r="BH1666" s="3812">
        <f>222805.33*5*0.4</f>
        <v>445610.66</v>
      </c>
      <c r="BI1666" s="5146"/>
      <c r="BJ1666" s="5146"/>
      <c r="BK1666" s="5146"/>
      <c r="BL1666" s="5146"/>
      <c r="BM1666" s="5146"/>
      <c r="BN1666" s="3812">
        <f>222805.33*2*0.4</f>
        <v>178244.264</v>
      </c>
      <c r="BO1666" s="5122"/>
      <c r="BP1666" s="5122"/>
      <c r="BQ1666" s="5122"/>
      <c r="BR1666" s="5122"/>
      <c r="BS1666" s="5122"/>
      <c r="BT1666" s="5122"/>
      <c r="BU1666" s="5122"/>
      <c r="BV1666" s="3524">
        <v>445610.66</v>
      </c>
      <c r="BW1666" s="5122"/>
      <c r="BX1666" s="5122"/>
      <c r="BY1666" s="5122"/>
      <c r="BZ1666" s="5122"/>
      <c r="CA1666" s="5122"/>
      <c r="CB1666" s="3524">
        <v>178244.26</v>
      </c>
      <c r="CC1666" s="3524"/>
      <c r="CD1666" s="3524"/>
      <c r="CE1666" s="6780"/>
      <c r="CF1666" s="6780"/>
      <c r="CG1666" s="5920"/>
      <c r="CH1666" s="5920"/>
    </row>
    <row r="1667" s="13" customFormat="1" ht="31" spans="1:86">
      <c r="A1667" s="3742"/>
      <c r="B1667" s="3742"/>
      <c r="C1667" s="3742"/>
      <c r="D1667" s="3742"/>
      <c r="E1667" s="3742"/>
      <c r="F1667" s="3742"/>
      <c r="G1667" s="3742"/>
      <c r="H1667" s="3742"/>
      <c r="I1667" s="3742"/>
      <c r="J1667" s="3742"/>
      <c r="K1667" s="3742"/>
      <c r="L1667" s="3742"/>
      <c r="M1667" s="3742"/>
      <c r="N1667" s="3742"/>
      <c r="O1667" s="3742"/>
      <c r="P1667" s="3742"/>
      <c r="Q1667" s="3742"/>
      <c r="R1667" s="3742"/>
      <c r="S1667" s="3742"/>
      <c r="T1667" s="3742"/>
      <c r="U1667" s="3742"/>
      <c r="V1667" s="3742"/>
      <c r="W1667" s="3742"/>
      <c r="X1667" s="3742"/>
      <c r="Y1667" s="3742"/>
      <c r="Z1667" s="3742"/>
      <c r="AA1667" s="3742"/>
      <c r="AB1667" s="3742"/>
      <c r="AC1667" s="3742" t="s">
        <v>1115</v>
      </c>
      <c r="AD1667" s="5137" t="s">
        <v>2874</v>
      </c>
      <c r="AE1667" s="3742">
        <v>0.37</v>
      </c>
      <c r="AF1667" s="3524">
        <v>577065.81</v>
      </c>
      <c r="AG1667" s="3812">
        <v>577065.81</v>
      </c>
      <c r="AH1667" s="3812" t="s">
        <v>206</v>
      </c>
      <c r="AI1667" s="3812">
        <v>44011</v>
      </c>
      <c r="AJ1667" s="3524" t="s">
        <v>171</v>
      </c>
      <c r="AK1667" s="3524" t="s">
        <v>171</v>
      </c>
      <c r="AL1667" s="3524">
        <v>577065.81</v>
      </c>
      <c r="AM1667" s="3812">
        <v>44011</v>
      </c>
      <c r="AN1667" s="3524">
        <f t="shared" si="355"/>
        <v>577065.81</v>
      </c>
      <c r="AO1667" s="3812">
        <v>44035</v>
      </c>
      <c r="AP1667" s="3812">
        <f t="shared" si="337"/>
        <v>0</v>
      </c>
      <c r="AQ1667" s="5122"/>
      <c r="AR1667" s="3524"/>
      <c r="AS1667" s="3742"/>
      <c r="AT1667" s="3524"/>
      <c r="AU1667" s="3524"/>
      <c r="AV1667" s="3524"/>
      <c r="AW1667" s="3524"/>
      <c r="AX1667" s="3524"/>
      <c r="AY1667" s="3524"/>
      <c r="AZ1667" s="3524"/>
      <c r="BA1667" s="5146"/>
      <c r="BB1667" s="5146"/>
      <c r="BC1667" s="3812"/>
      <c r="BD1667" s="5146"/>
      <c r="BE1667" s="5146"/>
      <c r="BF1667" s="5146"/>
      <c r="BG1667" s="5146"/>
      <c r="BH1667" s="3812">
        <f>222805.33*5*0.37</f>
        <v>412189.8605</v>
      </c>
      <c r="BI1667" s="5146"/>
      <c r="BJ1667" s="5146"/>
      <c r="BK1667" s="5146"/>
      <c r="BL1667" s="5146"/>
      <c r="BM1667" s="5146"/>
      <c r="BN1667" s="3812">
        <f>222805.33*2*0.37</f>
        <v>164875.9442</v>
      </c>
      <c r="BO1667" s="5122"/>
      <c r="BP1667" s="5122"/>
      <c r="BQ1667" s="5122"/>
      <c r="BR1667" s="5122"/>
      <c r="BS1667" s="5122"/>
      <c r="BT1667" s="5122"/>
      <c r="BU1667" s="5122"/>
      <c r="BV1667" s="3524">
        <v>412189.86</v>
      </c>
      <c r="BW1667" s="5122"/>
      <c r="BX1667" s="5122"/>
      <c r="BY1667" s="5122"/>
      <c r="BZ1667" s="5122"/>
      <c r="CA1667" s="5122"/>
      <c r="CB1667" s="3524">
        <v>164875.95</v>
      </c>
      <c r="CC1667" s="3524"/>
      <c r="CD1667" s="3524"/>
      <c r="CE1667" s="6780"/>
      <c r="CF1667" s="6780"/>
      <c r="CG1667" s="5920"/>
      <c r="CH1667" s="5920"/>
    </row>
    <row r="1668" s="13" customFormat="1" ht="61" spans="1:86">
      <c r="A1668" s="3742"/>
      <c r="B1668" s="3742"/>
      <c r="C1668" s="3742"/>
      <c r="D1668" s="3742"/>
      <c r="E1668" s="3742"/>
      <c r="F1668" s="3742"/>
      <c r="G1668" s="3742"/>
      <c r="H1668" s="3742"/>
      <c r="I1668" s="3742"/>
      <c r="J1668" s="3742"/>
      <c r="K1668" s="3742"/>
      <c r="L1668" s="3742"/>
      <c r="M1668" s="3742"/>
      <c r="N1668" s="3742"/>
      <c r="O1668" s="3742"/>
      <c r="P1668" s="3742"/>
      <c r="Q1668" s="3742"/>
      <c r="R1668" s="3742"/>
      <c r="S1668" s="3742"/>
      <c r="T1668" s="3742"/>
      <c r="U1668" s="3742"/>
      <c r="V1668" s="3742"/>
      <c r="W1668" s="3742"/>
      <c r="X1668" s="3742"/>
      <c r="Y1668" s="3742"/>
      <c r="Z1668" s="3742"/>
      <c r="AA1668" s="3742"/>
      <c r="AB1668" s="3742"/>
      <c r="AC1668" s="3742" t="s">
        <v>1594</v>
      </c>
      <c r="AD1668" s="5137" t="s">
        <v>2811</v>
      </c>
      <c r="AE1668" s="3742">
        <v>0.03</v>
      </c>
      <c r="AF1668" s="3524">
        <f>M1665*AE1668</f>
        <v>46789.1193</v>
      </c>
      <c r="AG1668" s="3812">
        <f t="shared" ref="AG1668:AG1674" si="356">SUM(BA1668:BN1668)</f>
        <v>46789.1193</v>
      </c>
      <c r="AH1668" s="859" t="s">
        <v>122</v>
      </c>
      <c r="AI1668" s="2678">
        <v>45279</v>
      </c>
      <c r="AJ1668" s="3812">
        <v>46789.1193</v>
      </c>
      <c r="AK1668" s="2678">
        <v>45279</v>
      </c>
      <c r="AL1668" s="3812">
        <v>46789.1193</v>
      </c>
      <c r="AM1668" s="3524">
        <v>45315</v>
      </c>
      <c r="AN1668" s="3812">
        <f t="shared" si="355"/>
        <v>46789.1193</v>
      </c>
      <c r="AO1668" s="3812">
        <v>45321</v>
      </c>
      <c r="AP1668" s="3812">
        <f t="shared" si="337"/>
        <v>0</v>
      </c>
      <c r="AQ1668" s="5122"/>
      <c r="AR1668" s="3524"/>
      <c r="AS1668" s="3742"/>
      <c r="AT1668" s="3524"/>
      <c r="AU1668" s="3524"/>
      <c r="AV1668" s="3524"/>
      <c r="AW1668" s="3524"/>
      <c r="AX1668" s="3524"/>
      <c r="AY1668" s="3524"/>
      <c r="AZ1668" s="3524"/>
      <c r="BA1668" s="5122"/>
      <c r="BB1668" s="5122"/>
      <c r="BC1668" s="3524"/>
      <c r="BD1668" s="5122"/>
      <c r="BE1668" s="5122"/>
      <c r="BF1668" s="5122"/>
      <c r="BG1668" s="5122"/>
      <c r="BH1668" s="3812">
        <f>1114026.65-BH1665-BH1666-BH1667</f>
        <v>33420.7995</v>
      </c>
      <c r="BI1668" s="5122"/>
      <c r="BJ1668" s="5122"/>
      <c r="BK1668" s="5122"/>
      <c r="BL1668" s="5122"/>
      <c r="BM1668" s="5122"/>
      <c r="BN1668" s="5146">
        <f>445610.66-BN1665-BN1666-BN1667</f>
        <v>13368.3198</v>
      </c>
      <c r="BO1668" s="5122"/>
      <c r="BP1668" s="5122"/>
      <c r="BQ1668" s="5146"/>
      <c r="BR1668" s="5146"/>
      <c r="BS1668" s="5146"/>
      <c r="BT1668" s="5146"/>
      <c r="BU1668" s="5146"/>
      <c r="BV1668" s="5146">
        <v>33420.7995</v>
      </c>
      <c r="BW1668" s="5146"/>
      <c r="BX1668" s="5146"/>
      <c r="BY1668" s="5146"/>
      <c r="BZ1668" s="5146"/>
      <c r="CA1668" s="5146"/>
      <c r="CB1668" s="5146">
        <v>13368.3198</v>
      </c>
      <c r="CC1668" s="3524"/>
      <c r="CD1668" s="3524"/>
      <c r="CE1668" s="6780"/>
      <c r="CF1668" s="6780"/>
      <c r="CG1668" s="5920"/>
      <c r="CH1668" s="5920"/>
    </row>
    <row r="1669" s="4978" customFormat="1" ht="35" customHeight="1" spans="1:86">
      <c r="A1669" s="5079"/>
      <c r="B1669" s="1035" t="s">
        <v>2570</v>
      </c>
      <c r="C1669" s="5079">
        <v>44456</v>
      </c>
      <c r="D1669" s="6753" t="s">
        <v>2875</v>
      </c>
      <c r="E1669" s="6754"/>
      <c r="F1669" s="6753" t="s">
        <v>2876</v>
      </c>
      <c r="G1669" s="6753" t="s">
        <v>2877</v>
      </c>
      <c r="H1669" s="6753" t="s">
        <v>2506</v>
      </c>
      <c r="I1669" s="6753"/>
      <c r="J1669" s="6754" t="s">
        <v>2780</v>
      </c>
      <c r="K1669" s="6753" t="s">
        <v>171</v>
      </c>
      <c r="L1669" s="6754"/>
      <c r="M1669" s="6754">
        <f>SUM(N1669:AA1671)</f>
        <v>76000</v>
      </c>
      <c r="N1669" s="6754">
        <v>0</v>
      </c>
      <c r="O1669" s="6754">
        <v>0</v>
      </c>
      <c r="P1669" s="6754">
        <v>0</v>
      </c>
      <c r="Q1669" s="6754">
        <v>0</v>
      </c>
      <c r="R1669" s="6754">
        <v>0</v>
      </c>
      <c r="S1669" s="6754">
        <v>0</v>
      </c>
      <c r="T1669" s="6756">
        <v>0</v>
      </c>
      <c r="U1669" s="6754">
        <v>0</v>
      </c>
      <c r="V1669" s="6754">
        <v>0</v>
      </c>
      <c r="W1669" s="6754">
        <v>0</v>
      </c>
      <c r="X1669" s="6754">
        <v>0</v>
      </c>
      <c r="Y1669" s="6754"/>
      <c r="Z1669" s="6754"/>
      <c r="AA1669" s="6754">
        <v>76000</v>
      </c>
      <c r="AB1669" s="6753" t="s">
        <v>2878</v>
      </c>
      <c r="AC1669" s="6753">
        <v>1</v>
      </c>
      <c r="AD1669" s="6753" t="s">
        <v>2879</v>
      </c>
      <c r="AE1669" s="6754">
        <v>0.5</v>
      </c>
      <c r="AF1669" s="6760">
        <f>76000*AE1669</f>
        <v>38000</v>
      </c>
      <c r="AG1669" s="6762">
        <f t="shared" si="356"/>
        <v>38000</v>
      </c>
      <c r="AH1669" s="6763" t="s">
        <v>122</v>
      </c>
      <c r="AI1669" s="6762">
        <v>44523</v>
      </c>
      <c r="AJ1669" s="6760">
        <v>38000</v>
      </c>
      <c r="AK1669" s="6760">
        <v>44523</v>
      </c>
      <c r="AL1669" s="6760">
        <v>38000</v>
      </c>
      <c r="AM1669" s="6760">
        <v>44568</v>
      </c>
      <c r="AN1669" s="6760">
        <f t="shared" si="355"/>
        <v>38000</v>
      </c>
      <c r="AO1669" s="6760">
        <v>44585</v>
      </c>
      <c r="AP1669" s="6762"/>
      <c r="AQ1669" s="6760"/>
      <c r="AR1669" s="6760"/>
      <c r="AS1669" s="6754"/>
      <c r="AT1669" s="6760"/>
      <c r="AU1669" s="6760"/>
      <c r="AV1669" s="6760"/>
      <c r="AW1669" s="6760"/>
      <c r="AX1669" s="6760"/>
      <c r="AY1669" s="6760"/>
      <c r="AZ1669" s="6760"/>
      <c r="BA1669" s="6771"/>
      <c r="BB1669" s="6771"/>
      <c r="BC1669" s="6762"/>
      <c r="BD1669" s="6771"/>
      <c r="BE1669" s="6771"/>
      <c r="BF1669" s="6771"/>
      <c r="BG1669" s="6771"/>
      <c r="BH1669" s="6762"/>
      <c r="BI1669" s="6771"/>
      <c r="BJ1669" s="6771"/>
      <c r="BK1669" s="6771"/>
      <c r="BL1669" s="6771"/>
      <c r="BM1669" s="6771"/>
      <c r="BN1669" s="6771">
        <v>38000</v>
      </c>
      <c r="BO1669" s="6772"/>
      <c r="BP1669" s="6772"/>
      <c r="BQ1669" s="6772"/>
      <c r="BR1669" s="6772"/>
      <c r="BS1669" s="6772"/>
      <c r="BT1669" s="6772"/>
      <c r="BU1669" s="6772"/>
      <c r="BV1669" s="6772"/>
      <c r="BW1669" s="6772"/>
      <c r="BX1669" s="6772"/>
      <c r="BY1669" s="6772"/>
      <c r="BZ1669" s="6772"/>
      <c r="CA1669" s="6772"/>
      <c r="CB1669" s="6771">
        <v>38000</v>
      </c>
      <c r="CC1669" s="2680"/>
      <c r="CD1669" s="2680"/>
      <c r="CE1669" s="5750"/>
      <c r="CF1669" s="5750"/>
      <c r="CG1669" s="5750"/>
      <c r="CH1669" s="5750"/>
    </row>
    <row r="1670" s="4978" customFormat="1" ht="35" customHeight="1" spans="1:86">
      <c r="A1670" s="5079"/>
      <c r="B1670" s="5079"/>
      <c r="C1670" s="5079"/>
      <c r="D1670" s="6754"/>
      <c r="E1670" s="6754"/>
      <c r="F1670" s="6754"/>
      <c r="G1670" s="6754"/>
      <c r="H1670" s="6754"/>
      <c r="I1670" s="6754"/>
      <c r="J1670" s="6754"/>
      <c r="K1670" s="6754"/>
      <c r="L1670" s="6754"/>
      <c r="M1670" s="6754"/>
      <c r="N1670" s="6754"/>
      <c r="O1670" s="6754"/>
      <c r="P1670" s="6754"/>
      <c r="Q1670" s="6754"/>
      <c r="R1670" s="6754"/>
      <c r="S1670" s="6754"/>
      <c r="T1670" s="6754"/>
      <c r="U1670" s="6754"/>
      <c r="V1670" s="6754"/>
      <c r="W1670" s="6754"/>
      <c r="X1670" s="6754"/>
      <c r="Y1670" s="6754"/>
      <c r="Z1670" s="6754"/>
      <c r="AA1670" s="6754"/>
      <c r="AB1670" s="6754"/>
      <c r="AC1670" s="6754">
        <v>2</v>
      </c>
      <c r="AD1670" s="6753" t="s">
        <v>2880</v>
      </c>
      <c r="AE1670" s="6754">
        <v>0.45</v>
      </c>
      <c r="AF1670" s="6760">
        <f>76000*AE1670</f>
        <v>34200</v>
      </c>
      <c r="AG1670" s="6762">
        <f t="shared" si="356"/>
        <v>34200</v>
      </c>
      <c r="AH1670" s="6763" t="s">
        <v>122</v>
      </c>
      <c r="AI1670" s="6762">
        <v>44734</v>
      </c>
      <c r="AJ1670" s="6762">
        <v>34200</v>
      </c>
      <c r="AK1670" s="6762">
        <v>44734</v>
      </c>
      <c r="AL1670" s="6762">
        <f>SUM(BF1670:BS1670)</f>
        <v>34200</v>
      </c>
      <c r="AM1670" s="6762">
        <v>44734</v>
      </c>
      <c r="AN1670" s="6762">
        <f t="shared" si="355"/>
        <v>34200</v>
      </c>
      <c r="AO1670" s="6762">
        <v>44802</v>
      </c>
      <c r="AP1670" s="6762"/>
      <c r="AQ1670" s="6760"/>
      <c r="AR1670" s="6760"/>
      <c r="AS1670" s="6754"/>
      <c r="AT1670" s="6760"/>
      <c r="AU1670" s="6760"/>
      <c r="AV1670" s="6760"/>
      <c r="AW1670" s="6760"/>
      <c r="AX1670" s="6760"/>
      <c r="AY1670" s="6760"/>
      <c r="AZ1670" s="6760"/>
      <c r="BA1670" s="6771"/>
      <c r="BB1670" s="6771"/>
      <c r="BC1670" s="6762"/>
      <c r="BD1670" s="6771"/>
      <c r="BE1670" s="6771"/>
      <c r="BF1670" s="6771"/>
      <c r="BG1670" s="6771"/>
      <c r="BH1670" s="6762"/>
      <c r="BI1670" s="6771"/>
      <c r="BJ1670" s="6771"/>
      <c r="BK1670" s="6771"/>
      <c r="BL1670" s="6771"/>
      <c r="BM1670" s="6771"/>
      <c r="BN1670" s="6771">
        <v>34200</v>
      </c>
      <c r="BO1670" s="6772"/>
      <c r="BP1670" s="6772"/>
      <c r="BQ1670" s="6772"/>
      <c r="BR1670" s="6772"/>
      <c r="BS1670" s="6772"/>
      <c r="BT1670" s="6772"/>
      <c r="BU1670" s="6772"/>
      <c r="BV1670" s="6772"/>
      <c r="BW1670" s="6772"/>
      <c r="BX1670" s="6772"/>
      <c r="BY1670" s="6772"/>
      <c r="BZ1670" s="6772"/>
      <c r="CA1670" s="6772"/>
      <c r="CB1670" s="6771">
        <v>34200</v>
      </c>
      <c r="CC1670" s="2680"/>
      <c r="CD1670" s="2680"/>
      <c r="CE1670" s="5750"/>
      <c r="CF1670" s="5750"/>
      <c r="CG1670" s="5750"/>
      <c r="CH1670" s="5750"/>
    </row>
    <row r="1671" s="4978" customFormat="1" ht="35" customHeight="1" spans="1:86">
      <c r="A1671" s="5079"/>
      <c r="B1671" s="5079"/>
      <c r="C1671" s="5079"/>
      <c r="D1671" s="6754"/>
      <c r="E1671" s="6754"/>
      <c r="F1671" s="6754"/>
      <c r="G1671" s="6754"/>
      <c r="H1671" s="6754"/>
      <c r="I1671" s="6754"/>
      <c r="J1671" s="6754"/>
      <c r="K1671" s="6754"/>
      <c r="L1671" s="6754"/>
      <c r="M1671" s="6754"/>
      <c r="N1671" s="6754"/>
      <c r="O1671" s="6754"/>
      <c r="P1671" s="6754"/>
      <c r="Q1671" s="6754"/>
      <c r="R1671" s="6754"/>
      <c r="S1671" s="6754"/>
      <c r="T1671" s="6754"/>
      <c r="U1671" s="6754"/>
      <c r="V1671" s="6754"/>
      <c r="W1671" s="6754"/>
      <c r="X1671" s="6754"/>
      <c r="Y1671" s="6754"/>
      <c r="Z1671" s="6754"/>
      <c r="AA1671" s="6754"/>
      <c r="AB1671" s="6754"/>
      <c r="AC1671" s="6754">
        <v>3</v>
      </c>
      <c r="AD1671" s="6753" t="s">
        <v>2881</v>
      </c>
      <c r="AE1671" s="6754">
        <v>0.05</v>
      </c>
      <c r="AF1671" s="6760">
        <f>76000*AE1671</f>
        <v>3800</v>
      </c>
      <c r="AG1671" s="6762">
        <f t="shared" si="356"/>
        <v>3800</v>
      </c>
      <c r="AH1671" s="6763" t="s">
        <v>122</v>
      </c>
      <c r="AI1671" s="6762">
        <v>45279</v>
      </c>
      <c r="AJ1671" s="6762">
        <v>3800</v>
      </c>
      <c r="AK1671" s="6762">
        <v>45279</v>
      </c>
      <c r="AL1671" s="6762">
        <v>3800</v>
      </c>
      <c r="AM1671" s="6760">
        <v>45315</v>
      </c>
      <c r="AN1671" s="6762">
        <f t="shared" si="355"/>
        <v>3800</v>
      </c>
      <c r="AO1671" s="6762">
        <v>45321</v>
      </c>
      <c r="AP1671" s="6762">
        <f>AG1671-AN1671</f>
        <v>0</v>
      </c>
      <c r="AQ1671" s="6760"/>
      <c r="AR1671" s="6760"/>
      <c r="AS1671" s="6754"/>
      <c r="AT1671" s="6760"/>
      <c r="AU1671" s="6760"/>
      <c r="AV1671" s="6760"/>
      <c r="AW1671" s="6760"/>
      <c r="AX1671" s="6760"/>
      <c r="AY1671" s="6760"/>
      <c r="AZ1671" s="6760"/>
      <c r="BA1671" s="6772"/>
      <c r="BB1671" s="6772"/>
      <c r="BC1671" s="6760"/>
      <c r="BD1671" s="6772"/>
      <c r="BE1671" s="6772"/>
      <c r="BF1671" s="6772"/>
      <c r="BG1671" s="6772"/>
      <c r="BH1671" s="6760"/>
      <c r="BI1671" s="6772"/>
      <c r="BJ1671" s="6772"/>
      <c r="BK1671" s="6772"/>
      <c r="BL1671" s="6772"/>
      <c r="BM1671" s="6772"/>
      <c r="BN1671" s="6771">
        <v>3800</v>
      </c>
      <c r="BO1671" s="6772"/>
      <c r="BP1671" s="6772"/>
      <c r="BQ1671" s="6771"/>
      <c r="BR1671" s="6771"/>
      <c r="BS1671" s="6771"/>
      <c r="BT1671" s="6771"/>
      <c r="BU1671" s="6771"/>
      <c r="BV1671" s="6771"/>
      <c r="BW1671" s="6771"/>
      <c r="BX1671" s="6771"/>
      <c r="BY1671" s="6771"/>
      <c r="BZ1671" s="6771"/>
      <c r="CA1671" s="6771"/>
      <c r="CB1671" s="6771">
        <v>3800</v>
      </c>
      <c r="CC1671" s="2680"/>
      <c r="CD1671" s="2680"/>
      <c r="CE1671" s="5750"/>
      <c r="CF1671" s="5750"/>
      <c r="CG1671" s="5750"/>
      <c r="CH1671" s="5750"/>
    </row>
    <row r="1672" s="4981" customFormat="1" ht="60" customHeight="1" spans="1:86">
      <c r="A1672" s="5079"/>
      <c r="B1672" s="1032" t="s">
        <v>2570</v>
      </c>
      <c r="C1672" s="5059">
        <v>44918</v>
      </c>
      <c r="D1672" s="1032" t="s">
        <v>2882</v>
      </c>
      <c r="E1672" s="1032" t="s">
        <v>2883</v>
      </c>
      <c r="F1672" s="1032" t="s">
        <v>2884</v>
      </c>
      <c r="G1672" s="1032" t="s">
        <v>2885</v>
      </c>
      <c r="H1672" s="1032" t="s">
        <v>31</v>
      </c>
      <c r="I1672" s="1032"/>
      <c r="J1672" s="1032" t="s">
        <v>2886</v>
      </c>
      <c r="K1672" s="5059">
        <v>215000</v>
      </c>
      <c r="L1672" s="1032" t="s">
        <v>2887</v>
      </c>
      <c r="M1672" s="5059">
        <f>SUBTOTAL(9,N1672:AA1678)</f>
        <v>430000</v>
      </c>
      <c r="N1672" s="6754">
        <v>0</v>
      </c>
      <c r="O1672" s="6754">
        <v>0</v>
      </c>
      <c r="P1672" s="6754">
        <v>0</v>
      </c>
      <c r="Q1672" s="6754">
        <v>0</v>
      </c>
      <c r="R1672" s="6754">
        <v>0</v>
      </c>
      <c r="S1672" s="6754">
        <v>0</v>
      </c>
      <c r="T1672" s="6756">
        <v>0</v>
      </c>
      <c r="U1672" s="6754">
        <v>430000</v>
      </c>
      <c r="V1672" s="6754">
        <v>0</v>
      </c>
      <c r="W1672" s="6754">
        <v>0</v>
      </c>
      <c r="X1672" s="6754">
        <v>0</v>
      </c>
      <c r="Y1672" s="6754">
        <v>0</v>
      </c>
      <c r="Z1672" s="6754"/>
      <c r="AA1672" s="6754">
        <v>0</v>
      </c>
      <c r="AB1672" s="6753" t="s">
        <v>113</v>
      </c>
      <c r="AC1672" s="1032">
        <v>1</v>
      </c>
      <c r="AD1672" s="5890" t="s">
        <v>2888</v>
      </c>
      <c r="AE1672" s="5059">
        <v>0.2</v>
      </c>
      <c r="AF1672" s="3812">
        <f>430000*AE1672</f>
        <v>86000</v>
      </c>
      <c r="AG1672" s="3812">
        <f t="shared" si="356"/>
        <v>69660</v>
      </c>
      <c r="AH1672" s="857" t="s">
        <v>122</v>
      </c>
      <c r="AI1672" s="3812">
        <v>44921</v>
      </c>
      <c r="AJ1672" s="3812">
        <f>SUM(BD1672:BQ1672)</f>
        <v>69660</v>
      </c>
      <c r="AK1672" s="3812">
        <v>44921</v>
      </c>
      <c r="AL1672" s="3524">
        <v>69660</v>
      </c>
      <c r="AM1672" s="3524">
        <v>45089</v>
      </c>
      <c r="AN1672" s="3812">
        <f t="shared" ref="AN1672:AN1678" si="357">SUBTOTAL(9,BO1672:CB1672)</f>
        <v>69660</v>
      </c>
      <c r="AO1672" s="3812">
        <v>45366</v>
      </c>
      <c r="AP1672" s="3812"/>
      <c r="AQ1672" s="1032" t="s">
        <v>2889</v>
      </c>
      <c r="AR1672" s="6760"/>
      <c r="AS1672" s="6754"/>
      <c r="AT1672" s="6760"/>
      <c r="AU1672" s="6760"/>
      <c r="AV1672" s="6760"/>
      <c r="AW1672" s="6760"/>
      <c r="AX1672" s="6760"/>
      <c r="AY1672" s="6760"/>
      <c r="AZ1672" s="6760"/>
      <c r="BA1672" s="5146"/>
      <c r="BB1672" s="5146"/>
      <c r="BC1672" s="3812"/>
      <c r="BD1672" s="5146"/>
      <c r="BE1672" s="5146"/>
      <c r="BF1672" s="5146"/>
      <c r="BG1672" s="5146"/>
      <c r="BH1672" s="5123">
        <f>16.3%*430000*0.2+64.7%*430000*0.2</f>
        <v>69660</v>
      </c>
      <c r="BI1672" s="5160"/>
      <c r="BJ1672" s="5146"/>
      <c r="BK1672" s="5146"/>
      <c r="BL1672" s="5146"/>
      <c r="BM1672" s="5146"/>
      <c r="BN1672" s="5146"/>
      <c r="BO1672" s="5122"/>
      <c r="BP1672" s="5122"/>
      <c r="BQ1672" s="5122"/>
      <c r="BR1672" s="5122"/>
      <c r="BS1672" s="5122"/>
      <c r="BT1672" s="5122"/>
      <c r="BU1672" s="5122"/>
      <c r="BV1672" s="5160">
        <v>69660</v>
      </c>
      <c r="BW1672" s="5122"/>
      <c r="BX1672" s="5122"/>
      <c r="BY1672" s="5122"/>
      <c r="BZ1672" s="5122"/>
      <c r="CA1672" s="5122"/>
      <c r="CB1672" s="5122"/>
      <c r="CC1672" s="3524"/>
      <c r="CD1672" s="3524"/>
      <c r="CE1672" s="5920"/>
      <c r="CF1672" s="5920"/>
      <c r="CG1672" s="5920"/>
      <c r="CH1672" s="5920"/>
    </row>
    <row r="1673" s="4981" customFormat="1" ht="35" customHeight="1" spans="1:86">
      <c r="A1673" s="5079"/>
      <c r="B1673" s="1032"/>
      <c r="C1673" s="5059"/>
      <c r="D1673" s="5059"/>
      <c r="E1673" s="1032"/>
      <c r="F1673" s="1032"/>
      <c r="G1673" s="1032"/>
      <c r="H1673" s="1032"/>
      <c r="I1673" s="1032"/>
      <c r="J1673" s="1032"/>
      <c r="K1673" s="5059"/>
      <c r="L1673" s="1032"/>
      <c r="M1673" s="5059"/>
      <c r="N1673" s="6754"/>
      <c r="O1673" s="6754"/>
      <c r="P1673" s="6754"/>
      <c r="Q1673" s="6754"/>
      <c r="R1673" s="6754"/>
      <c r="S1673" s="6754"/>
      <c r="T1673" s="6754"/>
      <c r="U1673" s="6754"/>
      <c r="V1673" s="6754"/>
      <c r="W1673" s="6754"/>
      <c r="X1673" s="6754"/>
      <c r="Y1673" s="6754"/>
      <c r="Z1673" s="6754"/>
      <c r="AA1673" s="6754"/>
      <c r="AB1673" s="6753"/>
      <c r="AC1673" s="1032"/>
      <c r="AD1673" s="5853" t="s">
        <v>552</v>
      </c>
      <c r="AE1673" s="1032" t="s">
        <v>171</v>
      </c>
      <c r="AF1673" s="857" t="s">
        <v>171</v>
      </c>
      <c r="AG1673" s="3812">
        <f t="shared" si="356"/>
        <v>16340</v>
      </c>
      <c r="AH1673" s="857" t="s">
        <v>122</v>
      </c>
      <c r="AI1673" s="857">
        <v>45267</v>
      </c>
      <c r="AJ1673" s="857" t="s">
        <v>171</v>
      </c>
      <c r="AK1673" s="857" t="s">
        <v>171</v>
      </c>
      <c r="AL1673" s="3524">
        <f>86000-AL1672</f>
        <v>16340</v>
      </c>
      <c r="AM1673" s="3524">
        <v>45089</v>
      </c>
      <c r="AN1673" s="3812">
        <f t="shared" si="357"/>
        <v>16340</v>
      </c>
      <c r="AO1673" s="3812">
        <v>45366</v>
      </c>
      <c r="AP1673" s="3812"/>
      <c r="AQ1673" s="3524"/>
      <c r="AR1673" s="6760"/>
      <c r="AS1673" s="6754"/>
      <c r="AT1673" s="6760"/>
      <c r="AU1673" s="6760"/>
      <c r="AV1673" s="6760"/>
      <c r="AW1673" s="6760"/>
      <c r="AX1673" s="6760"/>
      <c r="AY1673" s="6760"/>
      <c r="AZ1673" s="6760"/>
      <c r="BA1673" s="5146"/>
      <c r="BB1673" s="5146"/>
      <c r="BC1673" s="3812"/>
      <c r="BD1673" s="5146"/>
      <c r="BE1673" s="5146"/>
      <c r="BF1673" s="5146"/>
      <c r="BG1673" s="5146"/>
      <c r="BH1673" s="3812">
        <v>16340</v>
      </c>
      <c r="BI1673" s="5160"/>
      <c r="BJ1673" s="5146"/>
      <c r="BK1673" s="5146"/>
      <c r="BL1673" s="5146"/>
      <c r="BM1673" s="5146"/>
      <c r="BN1673" s="5146"/>
      <c r="BO1673" s="5122"/>
      <c r="BP1673" s="5122"/>
      <c r="BQ1673" s="5122"/>
      <c r="BR1673" s="5122"/>
      <c r="BS1673" s="5122"/>
      <c r="BT1673" s="5122"/>
      <c r="BU1673" s="5122"/>
      <c r="BV1673" s="5146">
        <v>16340</v>
      </c>
      <c r="BW1673" s="5122"/>
      <c r="BX1673" s="5122"/>
      <c r="BY1673" s="5122"/>
      <c r="BZ1673" s="5122"/>
      <c r="CA1673" s="5122"/>
      <c r="CB1673" s="5122"/>
      <c r="CC1673" s="3524"/>
      <c r="CD1673" s="3524"/>
      <c r="CE1673" s="5920"/>
      <c r="CF1673" s="5920"/>
      <c r="CG1673" s="5920"/>
      <c r="CH1673" s="5920"/>
    </row>
    <row r="1674" s="4981" customFormat="1" ht="48" customHeight="1" spans="1:86">
      <c r="A1674" s="5079"/>
      <c r="B1674" s="5059"/>
      <c r="C1674" s="5059"/>
      <c r="D1674" s="5059"/>
      <c r="E1674" s="1032"/>
      <c r="F1674" s="1032"/>
      <c r="G1674" s="5059"/>
      <c r="H1674" s="5059"/>
      <c r="I1674" s="5059"/>
      <c r="J1674" s="5059"/>
      <c r="K1674" s="5059"/>
      <c r="L1674" s="5059"/>
      <c r="M1674" s="5059"/>
      <c r="N1674" s="6754"/>
      <c r="O1674" s="6754"/>
      <c r="P1674" s="6754"/>
      <c r="Q1674" s="6754"/>
      <c r="R1674" s="6754"/>
      <c r="S1674" s="6754"/>
      <c r="T1674" s="6754"/>
      <c r="U1674" s="6754"/>
      <c r="V1674" s="6754"/>
      <c r="W1674" s="6754"/>
      <c r="X1674" s="6754"/>
      <c r="Y1674" s="6754"/>
      <c r="Z1674" s="6754"/>
      <c r="AA1674" s="6754"/>
      <c r="AB1674" s="6754"/>
      <c r="AC1674" s="5059">
        <v>2</v>
      </c>
      <c r="AD1674" s="5890" t="s">
        <v>2890</v>
      </c>
      <c r="AE1674" s="5059">
        <v>0.4</v>
      </c>
      <c r="AF1674" s="3812">
        <f>430000*AE1674</f>
        <v>172000</v>
      </c>
      <c r="AG1674" s="3812">
        <f t="shared" si="356"/>
        <v>28036</v>
      </c>
      <c r="AH1674" s="857" t="s">
        <v>122</v>
      </c>
      <c r="AI1674" s="3812">
        <v>44921</v>
      </c>
      <c r="AJ1674" s="3812">
        <f>SUM(BD1674:BQ1674)</f>
        <v>28036</v>
      </c>
      <c r="AK1674" s="3812">
        <v>44921</v>
      </c>
      <c r="AL1674" s="3812">
        <f>SUM(BF1674:BS1674)</f>
        <v>28036</v>
      </c>
      <c r="AM1674" s="3812">
        <v>45551</v>
      </c>
      <c r="AN1674" s="3812">
        <f t="shared" si="357"/>
        <v>28036</v>
      </c>
      <c r="AO1674" s="3812">
        <v>45590</v>
      </c>
      <c r="AP1674" s="3812"/>
      <c r="AQ1674" s="1032" t="s">
        <v>2891</v>
      </c>
      <c r="AR1674" s="6760"/>
      <c r="AS1674" s="6754"/>
      <c r="AT1674" s="6760"/>
      <c r="AU1674" s="6760"/>
      <c r="AV1674" s="6760"/>
      <c r="AW1674" s="6760"/>
      <c r="AX1674" s="6760"/>
      <c r="AY1674" s="6760"/>
      <c r="AZ1674" s="6760"/>
      <c r="BA1674" s="5146"/>
      <c r="BB1674" s="5146"/>
      <c r="BC1674" s="3812"/>
      <c r="BD1674" s="5146"/>
      <c r="BE1674" s="5146"/>
      <c r="BF1674" s="5146"/>
      <c r="BG1674" s="5146"/>
      <c r="BH1674" s="3812">
        <f>16.3%*430000*0.4</f>
        <v>28036</v>
      </c>
      <c r="BI1674" s="5146"/>
      <c r="BJ1674" s="5146"/>
      <c r="BK1674" s="5146"/>
      <c r="BL1674" s="5146"/>
      <c r="BM1674" s="5146"/>
      <c r="BN1674" s="5146"/>
      <c r="BO1674" s="5122"/>
      <c r="BP1674" s="5122"/>
      <c r="BQ1674" s="5122"/>
      <c r="BR1674" s="5122"/>
      <c r="BS1674" s="5122"/>
      <c r="BT1674" s="5122"/>
      <c r="BU1674" s="5122"/>
      <c r="BV1674" s="5146">
        <v>28036</v>
      </c>
      <c r="BW1674" s="5122"/>
      <c r="BX1674" s="5122"/>
      <c r="BY1674" s="5122"/>
      <c r="BZ1674" s="5122"/>
      <c r="CA1674" s="5122"/>
      <c r="CB1674" s="5122"/>
      <c r="CC1674" s="3524"/>
      <c r="CD1674" s="3524"/>
      <c r="CE1674" s="5169">
        <f>SUBTOTAL(9,BO1674:CB1674)</f>
        <v>28036</v>
      </c>
      <c r="CF1674" s="5169">
        <f>AN1674-CE1674</f>
        <v>0</v>
      </c>
      <c r="CG1674" s="5920"/>
      <c r="CH1674" s="5920"/>
    </row>
    <row r="1675" s="4981" customFormat="1" ht="35" customHeight="1" spans="1:86">
      <c r="A1675" s="5079"/>
      <c r="B1675" s="5059"/>
      <c r="C1675" s="5059"/>
      <c r="D1675" s="5059"/>
      <c r="E1675" s="1032"/>
      <c r="F1675" s="1032"/>
      <c r="G1675" s="5059"/>
      <c r="H1675" s="5059"/>
      <c r="I1675" s="5059"/>
      <c r="J1675" s="5059"/>
      <c r="K1675" s="5059"/>
      <c r="L1675" s="5059"/>
      <c r="M1675" s="5059"/>
      <c r="N1675" s="6754"/>
      <c r="O1675" s="6754"/>
      <c r="P1675" s="6754"/>
      <c r="Q1675" s="6754"/>
      <c r="R1675" s="6754"/>
      <c r="S1675" s="6754"/>
      <c r="T1675" s="6754"/>
      <c r="U1675" s="6754"/>
      <c r="V1675" s="6754"/>
      <c r="W1675" s="6754"/>
      <c r="X1675" s="6754"/>
      <c r="Y1675" s="6754"/>
      <c r="Z1675" s="6754"/>
      <c r="AA1675" s="6754"/>
      <c r="AB1675" s="6754"/>
      <c r="AC1675" s="5059"/>
      <c r="AD1675" s="5853" t="s">
        <v>552</v>
      </c>
      <c r="AE1675" s="1032" t="s">
        <v>171</v>
      </c>
      <c r="AF1675" s="857" t="s">
        <v>171</v>
      </c>
      <c r="AG1675" s="3812">
        <f t="shared" ref="AG1675:AG1682" si="358">SUM(BA1675:BN1675)</f>
        <v>143964</v>
      </c>
      <c r="AH1675" s="857" t="s">
        <v>122</v>
      </c>
      <c r="AI1675" s="857">
        <v>45267</v>
      </c>
      <c r="AJ1675" s="3812">
        <f>SUM(BD1675:BQ1675)</f>
        <v>143964</v>
      </c>
      <c r="AK1675" s="857">
        <v>45267</v>
      </c>
      <c r="AL1675" s="3812">
        <f>SUM(BF1675:BS1675)</f>
        <v>143964</v>
      </c>
      <c r="AM1675" s="3812">
        <v>45551</v>
      </c>
      <c r="AN1675" s="3812">
        <f t="shared" si="357"/>
        <v>143964</v>
      </c>
      <c r="AO1675" s="3812">
        <v>45590</v>
      </c>
      <c r="AP1675" s="3812"/>
      <c r="AQ1675" s="857" t="s">
        <v>2892</v>
      </c>
      <c r="AR1675" s="6760"/>
      <c r="AS1675" s="6754"/>
      <c r="AT1675" s="6760"/>
      <c r="AU1675" s="6760"/>
      <c r="AV1675" s="6760"/>
      <c r="AW1675" s="6760"/>
      <c r="AX1675" s="6760"/>
      <c r="AY1675" s="6760"/>
      <c r="AZ1675" s="6760"/>
      <c r="BA1675" s="5146"/>
      <c r="BB1675" s="5146"/>
      <c r="BC1675" s="3812"/>
      <c r="BD1675" s="5146"/>
      <c r="BE1675" s="5146"/>
      <c r="BF1675" s="5146"/>
      <c r="BG1675" s="5146"/>
      <c r="BH1675" s="3812">
        <f>172000-BH1674</f>
        <v>143964</v>
      </c>
      <c r="BI1675" s="5146"/>
      <c r="BJ1675" s="5146"/>
      <c r="BK1675" s="5146"/>
      <c r="BL1675" s="5146"/>
      <c r="BM1675" s="5146"/>
      <c r="BN1675" s="5146"/>
      <c r="BO1675" s="5122"/>
      <c r="BP1675" s="5122"/>
      <c r="BQ1675" s="5122"/>
      <c r="BR1675" s="5122"/>
      <c r="BS1675" s="5122"/>
      <c r="BT1675" s="5122"/>
      <c r="BU1675" s="5122"/>
      <c r="BV1675" s="5146">
        <v>143964</v>
      </c>
      <c r="BW1675" s="5122"/>
      <c r="BX1675" s="5122"/>
      <c r="BY1675" s="5122"/>
      <c r="BZ1675" s="5122"/>
      <c r="CA1675" s="5122"/>
      <c r="CB1675" s="5122"/>
      <c r="CC1675" s="3524"/>
      <c r="CD1675" s="3524"/>
      <c r="CE1675" s="5169">
        <f>SUBTOTAL(9,BO1675:CB1675)</f>
        <v>143964</v>
      </c>
      <c r="CF1675" s="5169">
        <f>AN1675-CE1675</f>
        <v>0</v>
      </c>
      <c r="CG1675" s="5920"/>
      <c r="CH1675" s="5920"/>
    </row>
    <row r="1676" s="4981" customFormat="1" ht="35" customHeight="1" spans="1:86">
      <c r="A1676" s="5079"/>
      <c r="B1676" s="5059"/>
      <c r="C1676" s="5059"/>
      <c r="D1676" s="5059"/>
      <c r="E1676" s="1032"/>
      <c r="F1676" s="1032"/>
      <c r="G1676" s="5059"/>
      <c r="H1676" s="5059"/>
      <c r="I1676" s="5059"/>
      <c r="J1676" s="5059"/>
      <c r="K1676" s="5059"/>
      <c r="L1676" s="5059"/>
      <c r="M1676" s="5059"/>
      <c r="N1676" s="6754"/>
      <c r="O1676" s="6754"/>
      <c r="P1676" s="6754"/>
      <c r="Q1676" s="6754"/>
      <c r="R1676" s="6754"/>
      <c r="S1676" s="6754"/>
      <c r="T1676" s="6754"/>
      <c r="U1676" s="6754"/>
      <c r="V1676" s="6754"/>
      <c r="W1676" s="6754"/>
      <c r="X1676" s="6754"/>
      <c r="Y1676" s="6754"/>
      <c r="Z1676" s="6754"/>
      <c r="AA1676" s="6754"/>
      <c r="AB1676" s="6754"/>
      <c r="AC1676" s="5059">
        <v>3</v>
      </c>
      <c r="AD1676" s="5890" t="s">
        <v>2893</v>
      </c>
      <c r="AE1676" s="5059">
        <v>0.37</v>
      </c>
      <c r="AF1676" s="3812">
        <f>430000*AE1676</f>
        <v>159100</v>
      </c>
      <c r="AG1676" s="3812">
        <f t="shared" si="358"/>
        <v>25933.3</v>
      </c>
      <c r="AH1676" s="857" t="s">
        <v>122</v>
      </c>
      <c r="AI1676" s="3812">
        <v>44921</v>
      </c>
      <c r="AJ1676" s="3524"/>
      <c r="AK1676" s="3524"/>
      <c r="AL1676" s="3524"/>
      <c r="AM1676" s="3524"/>
      <c r="AN1676" s="5123">
        <f t="shared" si="357"/>
        <v>25933.3</v>
      </c>
      <c r="AO1676" s="6769"/>
      <c r="AP1676" s="3812"/>
      <c r="AQ1676" s="1032" t="s">
        <v>2894</v>
      </c>
      <c r="AR1676" s="6760"/>
      <c r="AS1676" s="6754"/>
      <c r="AT1676" s="6760"/>
      <c r="AU1676" s="6760"/>
      <c r="AV1676" s="6760"/>
      <c r="AW1676" s="6760"/>
      <c r="AX1676" s="6760"/>
      <c r="AY1676" s="6760"/>
      <c r="AZ1676" s="6760"/>
      <c r="BA1676" s="5146"/>
      <c r="BB1676" s="5146"/>
      <c r="BC1676" s="3812"/>
      <c r="BD1676" s="5146"/>
      <c r="BE1676" s="5146"/>
      <c r="BF1676" s="5146"/>
      <c r="BG1676" s="5146"/>
      <c r="BH1676" s="3812">
        <f>16.3%*430000*0.37</f>
        <v>25933.3</v>
      </c>
      <c r="BI1676" s="5146"/>
      <c r="BJ1676" s="5146"/>
      <c r="BK1676" s="5146"/>
      <c r="BL1676" s="5146"/>
      <c r="BM1676" s="5146"/>
      <c r="BN1676" s="5146"/>
      <c r="BO1676" s="5122"/>
      <c r="BP1676" s="5122"/>
      <c r="BQ1676" s="5122"/>
      <c r="BR1676" s="5122"/>
      <c r="BS1676" s="5122"/>
      <c r="BT1676" s="5122"/>
      <c r="BU1676" s="5122"/>
      <c r="BV1676" s="5160">
        <v>25933.3</v>
      </c>
      <c r="BW1676" s="5122"/>
      <c r="BX1676" s="5122"/>
      <c r="BY1676" s="5122"/>
      <c r="BZ1676" s="5122"/>
      <c r="CA1676" s="5122"/>
      <c r="CB1676" s="5122"/>
      <c r="CC1676" s="3524"/>
      <c r="CD1676" s="3524"/>
      <c r="CE1676" s="5920"/>
      <c r="CF1676" s="5920"/>
      <c r="CG1676" s="5920"/>
      <c r="CH1676" s="5920"/>
    </row>
    <row r="1677" s="4981" customFormat="1" ht="35" customHeight="1" spans="1:86">
      <c r="A1677" s="5079"/>
      <c r="B1677" s="5059"/>
      <c r="C1677" s="5059"/>
      <c r="D1677" s="5059"/>
      <c r="E1677" s="1032"/>
      <c r="F1677" s="1032"/>
      <c r="G1677" s="5059"/>
      <c r="H1677" s="5059"/>
      <c r="I1677" s="5059"/>
      <c r="J1677" s="5059"/>
      <c r="K1677" s="5059"/>
      <c r="L1677" s="5059"/>
      <c r="M1677" s="5059"/>
      <c r="N1677" s="6754"/>
      <c r="O1677" s="6754"/>
      <c r="P1677" s="6754"/>
      <c r="Q1677" s="6754"/>
      <c r="R1677" s="6754"/>
      <c r="S1677" s="6754"/>
      <c r="T1677" s="6754"/>
      <c r="U1677" s="6754"/>
      <c r="V1677" s="6754"/>
      <c r="W1677" s="6754"/>
      <c r="X1677" s="6754"/>
      <c r="Y1677" s="6754"/>
      <c r="Z1677" s="6754"/>
      <c r="AA1677" s="6754"/>
      <c r="AB1677" s="6754"/>
      <c r="AC1677" s="5059"/>
      <c r="AD1677" s="5853" t="s">
        <v>552</v>
      </c>
      <c r="AE1677" s="1032" t="s">
        <v>171</v>
      </c>
      <c r="AF1677" s="857" t="s">
        <v>171</v>
      </c>
      <c r="AG1677" s="3812">
        <f t="shared" si="358"/>
        <v>133166.7</v>
      </c>
      <c r="AH1677" s="857" t="s">
        <v>122</v>
      </c>
      <c r="AI1677" s="857">
        <v>45267</v>
      </c>
      <c r="AJ1677" s="3524"/>
      <c r="AK1677" s="3524"/>
      <c r="AL1677" s="3524"/>
      <c r="AM1677" s="3524"/>
      <c r="AN1677" s="5123">
        <f t="shared" si="357"/>
        <v>133166.7</v>
      </c>
      <c r="AO1677" s="5123"/>
      <c r="AP1677" s="3812"/>
      <c r="AQ1677" s="3524"/>
      <c r="AR1677" s="6760"/>
      <c r="AS1677" s="6754"/>
      <c r="AT1677" s="6760"/>
      <c r="AU1677" s="6760"/>
      <c r="AV1677" s="6760"/>
      <c r="AW1677" s="6760"/>
      <c r="AX1677" s="6760"/>
      <c r="AY1677" s="6760"/>
      <c r="AZ1677" s="6760"/>
      <c r="BA1677" s="5146"/>
      <c r="BB1677" s="5146"/>
      <c r="BC1677" s="3812"/>
      <c r="BD1677" s="5146"/>
      <c r="BE1677" s="5146"/>
      <c r="BF1677" s="5146"/>
      <c r="BG1677" s="5146"/>
      <c r="BH1677" s="3812">
        <f>159100-BH1676</f>
        <v>133166.7</v>
      </c>
      <c r="BI1677" s="5146"/>
      <c r="BJ1677" s="5146"/>
      <c r="BK1677" s="5146"/>
      <c r="BL1677" s="5146"/>
      <c r="BM1677" s="5146"/>
      <c r="BN1677" s="5146"/>
      <c r="BO1677" s="5122"/>
      <c r="BP1677" s="5122"/>
      <c r="BQ1677" s="5122"/>
      <c r="BR1677" s="5122"/>
      <c r="BS1677" s="5122"/>
      <c r="BT1677" s="5122"/>
      <c r="BU1677" s="5122"/>
      <c r="BV1677" s="5160">
        <v>133166.7</v>
      </c>
      <c r="BW1677" s="5122"/>
      <c r="BX1677" s="5122"/>
      <c r="BY1677" s="5122"/>
      <c r="BZ1677" s="5122"/>
      <c r="CA1677" s="5122"/>
      <c r="CB1677" s="5122"/>
      <c r="CC1677" s="3524"/>
      <c r="CD1677" s="3524"/>
      <c r="CE1677" s="5920"/>
      <c r="CF1677" s="5920"/>
      <c r="CG1677" s="5920"/>
      <c r="CH1677" s="5920"/>
    </row>
    <row r="1678" s="4981" customFormat="1" ht="45" customHeight="1" spans="1:86">
      <c r="A1678" s="5079"/>
      <c r="B1678" s="5059"/>
      <c r="C1678" s="5059"/>
      <c r="D1678" s="5059"/>
      <c r="E1678" s="1032"/>
      <c r="F1678" s="1032"/>
      <c r="G1678" s="5059"/>
      <c r="H1678" s="5059"/>
      <c r="I1678" s="5059"/>
      <c r="J1678" s="5059"/>
      <c r="K1678" s="5059"/>
      <c r="L1678" s="5059"/>
      <c r="M1678" s="5059"/>
      <c r="N1678" s="6754"/>
      <c r="O1678" s="6754"/>
      <c r="P1678" s="6754"/>
      <c r="Q1678" s="6754"/>
      <c r="R1678" s="6754"/>
      <c r="S1678" s="6754"/>
      <c r="T1678" s="6754"/>
      <c r="U1678" s="6754"/>
      <c r="V1678" s="6754"/>
      <c r="W1678" s="6754"/>
      <c r="X1678" s="6754"/>
      <c r="Y1678" s="6754"/>
      <c r="Z1678" s="6754"/>
      <c r="AA1678" s="6754"/>
      <c r="AB1678" s="6754"/>
      <c r="AC1678" s="5059">
        <v>4</v>
      </c>
      <c r="AD1678" s="5890" t="s">
        <v>2895</v>
      </c>
      <c r="AE1678" s="5059">
        <v>0.03</v>
      </c>
      <c r="AF1678" s="3812">
        <f>430000*AE1678</f>
        <v>12900</v>
      </c>
      <c r="AG1678" s="5123">
        <f t="shared" si="358"/>
        <v>0</v>
      </c>
      <c r="AH1678" s="3524"/>
      <c r="AI1678" s="3524"/>
      <c r="AJ1678" s="3524"/>
      <c r="AK1678" s="3524"/>
      <c r="AL1678" s="3524"/>
      <c r="AM1678" s="3524"/>
      <c r="AN1678" s="5123">
        <f t="shared" si="357"/>
        <v>0</v>
      </c>
      <c r="AO1678" s="3524"/>
      <c r="AP1678" s="3812"/>
      <c r="AQ1678" s="3524"/>
      <c r="AR1678" s="6760"/>
      <c r="AS1678" s="6754"/>
      <c r="AT1678" s="6760"/>
      <c r="AU1678" s="6760"/>
      <c r="AV1678" s="6760"/>
      <c r="AW1678" s="6760"/>
      <c r="AX1678" s="6760"/>
      <c r="AY1678" s="6760"/>
      <c r="AZ1678" s="6760"/>
      <c r="BA1678" s="5146"/>
      <c r="BB1678" s="5146"/>
      <c r="BC1678" s="3812"/>
      <c r="BD1678" s="5146"/>
      <c r="BE1678" s="5146"/>
      <c r="BF1678" s="5146"/>
      <c r="BG1678" s="5146"/>
      <c r="BH1678" s="3812"/>
      <c r="BI1678" s="5146"/>
      <c r="BJ1678" s="5146"/>
      <c r="BK1678" s="5146"/>
      <c r="BL1678" s="5146"/>
      <c r="BM1678" s="5146"/>
      <c r="BN1678" s="5146"/>
      <c r="BO1678" s="5122"/>
      <c r="BP1678" s="5122"/>
      <c r="BQ1678" s="5122"/>
      <c r="BR1678" s="5122"/>
      <c r="BS1678" s="5122"/>
      <c r="BT1678" s="5122"/>
      <c r="BU1678" s="5122"/>
      <c r="BV1678" s="5122"/>
      <c r="BW1678" s="5122"/>
      <c r="BX1678" s="5122"/>
      <c r="BY1678" s="5122"/>
      <c r="BZ1678" s="5122"/>
      <c r="CA1678" s="5122"/>
      <c r="CB1678" s="5122"/>
      <c r="CC1678" s="3524"/>
      <c r="CD1678" s="3524"/>
      <c r="CE1678" s="5920"/>
      <c r="CF1678" s="5920"/>
      <c r="CG1678" s="5920"/>
      <c r="CH1678" s="5920"/>
    </row>
    <row r="1679" s="4981" customFormat="1" ht="121.3" customHeight="1" spans="1:86">
      <c r="A1679" s="6522"/>
      <c r="B1679" s="6522" t="s">
        <v>2570</v>
      </c>
      <c r="C1679" s="6522">
        <v>44210</v>
      </c>
      <c r="D1679" s="6388" t="s">
        <v>2896</v>
      </c>
      <c r="E1679" s="6522" t="s">
        <v>171</v>
      </c>
      <c r="F1679" s="6522" t="s">
        <v>2897</v>
      </c>
      <c r="G1679" s="6522" t="s">
        <v>2898</v>
      </c>
      <c r="H1679" s="6522" t="s">
        <v>286</v>
      </c>
      <c r="I1679" s="6522"/>
      <c r="J1679" s="6522" t="s">
        <v>2899</v>
      </c>
      <c r="K1679" s="6522" t="s">
        <v>171</v>
      </c>
      <c r="L1679" s="6522" t="s">
        <v>2900</v>
      </c>
      <c r="M1679" s="6522">
        <f>SUM(N1679:AA1680)</f>
        <v>440000</v>
      </c>
      <c r="N1679" s="6522"/>
      <c r="O1679" s="6522"/>
      <c r="P1679" s="6522">
        <v>440000</v>
      </c>
      <c r="Q1679" s="6522"/>
      <c r="R1679" s="6522"/>
      <c r="S1679" s="6522"/>
      <c r="T1679" s="6522"/>
      <c r="U1679" s="6522"/>
      <c r="V1679" s="6522"/>
      <c r="W1679" s="6522"/>
      <c r="X1679" s="6522"/>
      <c r="Y1679" s="6522"/>
      <c r="Z1679" s="6522"/>
      <c r="AA1679" s="6522"/>
      <c r="AB1679" s="6522" t="s">
        <v>2901</v>
      </c>
      <c r="AC1679" s="6522">
        <v>1</v>
      </c>
      <c r="AD1679" s="6743" t="s">
        <v>2902</v>
      </c>
      <c r="AE1679" s="6522">
        <f>AF1679/M1679</f>
        <v>0.795454545454545</v>
      </c>
      <c r="AF1679" s="3065">
        <v>350000</v>
      </c>
      <c r="AG1679" s="3065">
        <f t="shared" si="358"/>
        <v>350000</v>
      </c>
      <c r="AH1679" s="3065" t="s">
        <v>206</v>
      </c>
      <c r="AI1679" s="3065">
        <v>44349</v>
      </c>
      <c r="AJ1679" s="3066" t="s">
        <v>171</v>
      </c>
      <c r="AK1679" s="3065" t="s">
        <v>171</v>
      </c>
      <c r="AL1679" s="3066">
        <v>350000</v>
      </c>
      <c r="AM1679" s="3065">
        <v>44349</v>
      </c>
      <c r="AN1679" s="3065">
        <f>SUM(BO1679:CB1679)</f>
        <v>350000</v>
      </c>
      <c r="AO1679" s="3065">
        <v>44364</v>
      </c>
      <c r="AP1679" s="3065">
        <f>AG1679-AN1679</f>
        <v>0</v>
      </c>
      <c r="AQ1679" s="6743" t="s">
        <v>2903</v>
      </c>
      <c r="AR1679" s="6444" t="s">
        <v>128</v>
      </c>
      <c r="AS1679" s="6522"/>
      <c r="AT1679" s="3066"/>
      <c r="AU1679" s="3066">
        <f>SUM(AG1679:AG1680)</f>
        <v>640000</v>
      </c>
      <c r="AV1679" s="3066">
        <f>SUM(AL1679:AL1680)</f>
        <v>640000</v>
      </c>
      <c r="AW1679" s="3066">
        <f>SUM(AN1679:AN1680)</f>
        <v>640000</v>
      </c>
      <c r="AX1679" s="3066">
        <f>P1679-AU1679</f>
        <v>-200000</v>
      </c>
      <c r="AY1679" s="3066">
        <f>AU1679-AV1679</f>
        <v>0</v>
      </c>
      <c r="AZ1679" s="3066">
        <f>AV1679-AW1679</f>
        <v>0</v>
      </c>
      <c r="BA1679" s="6556"/>
      <c r="BB1679" s="6556"/>
      <c r="BC1679" s="3065">
        <v>350000</v>
      </c>
      <c r="BD1679" s="6556"/>
      <c r="BE1679" s="6556"/>
      <c r="BF1679" s="6556"/>
      <c r="BG1679" s="6556"/>
      <c r="BH1679" s="3065"/>
      <c r="BI1679" s="6556"/>
      <c r="BJ1679" s="6556"/>
      <c r="BK1679" s="6556"/>
      <c r="BL1679" s="6556"/>
      <c r="BM1679" s="6556"/>
      <c r="BN1679" s="6556"/>
      <c r="BO1679" s="6556"/>
      <c r="BP1679" s="6556"/>
      <c r="BQ1679" s="3065">
        <v>350000</v>
      </c>
      <c r="BR1679" s="6556"/>
      <c r="BS1679" s="6556"/>
      <c r="BT1679" s="6556"/>
      <c r="BU1679" s="6556"/>
      <c r="BV1679" s="6556"/>
      <c r="BW1679" s="6556"/>
      <c r="BX1679" s="6556"/>
      <c r="BY1679" s="6556"/>
      <c r="BZ1679" s="6556"/>
      <c r="CA1679" s="6556"/>
      <c r="CB1679" s="6556"/>
      <c r="CC1679" s="3066"/>
      <c r="CD1679" s="3066"/>
      <c r="CE1679" s="5920"/>
      <c r="CF1679" s="5920"/>
      <c r="CG1679" s="5920"/>
      <c r="CH1679" s="5920"/>
    </row>
    <row r="1680" s="4981" customFormat="1" ht="47.25" customHeight="1" spans="1:86">
      <c r="A1680" s="6522"/>
      <c r="B1680" s="6522"/>
      <c r="C1680" s="6522"/>
      <c r="D1680" s="6522"/>
      <c r="E1680" s="6522"/>
      <c r="F1680" s="6522"/>
      <c r="G1680" s="6522"/>
      <c r="H1680" s="6522"/>
      <c r="I1680" s="6522"/>
      <c r="J1680" s="6522"/>
      <c r="K1680" s="6522"/>
      <c r="L1680" s="6522"/>
      <c r="M1680" s="6522"/>
      <c r="N1680" s="6522"/>
      <c r="O1680" s="6522"/>
      <c r="P1680" s="6522"/>
      <c r="Q1680" s="6522"/>
      <c r="R1680" s="6522"/>
      <c r="S1680" s="6522"/>
      <c r="T1680" s="6522"/>
      <c r="U1680" s="6522"/>
      <c r="V1680" s="6522"/>
      <c r="W1680" s="6522"/>
      <c r="X1680" s="6522"/>
      <c r="Y1680" s="6522"/>
      <c r="Z1680" s="6522"/>
      <c r="AA1680" s="6522"/>
      <c r="AB1680" s="6522"/>
      <c r="AC1680" s="6522">
        <v>2</v>
      </c>
      <c r="AD1680" s="6522" t="s">
        <v>552</v>
      </c>
      <c r="AE1680" s="6522"/>
      <c r="AF1680" s="3066"/>
      <c r="AG1680" s="3065">
        <f t="shared" si="358"/>
        <v>290000</v>
      </c>
      <c r="AH1680" s="6444" t="s">
        <v>206</v>
      </c>
      <c r="AI1680" s="3065">
        <v>44522</v>
      </c>
      <c r="AJ1680" s="6444" t="s">
        <v>171</v>
      </c>
      <c r="AK1680" s="6444" t="s">
        <v>171</v>
      </c>
      <c r="AL1680" s="3065">
        <f>SUM(BF1680:BS1680)</f>
        <v>290000</v>
      </c>
      <c r="AM1680" s="3065">
        <v>44522</v>
      </c>
      <c r="AN1680" s="3065">
        <f>SUM(BO1680:CB1680)</f>
        <v>290000</v>
      </c>
      <c r="AO1680" s="3065">
        <v>44547</v>
      </c>
      <c r="AP1680" s="3065">
        <f>AG1680-AN1680</f>
        <v>0</v>
      </c>
      <c r="AQ1680" s="6770" t="s">
        <v>2904</v>
      </c>
      <c r="AR1680" s="3066"/>
      <c r="AS1680" s="6522"/>
      <c r="AT1680" s="3066"/>
      <c r="AU1680" s="3066"/>
      <c r="AV1680" s="3066"/>
      <c r="AW1680" s="3066"/>
      <c r="AX1680" s="3066"/>
      <c r="AY1680" s="3066"/>
      <c r="AZ1680" s="3066"/>
      <c r="BA1680" s="6556"/>
      <c r="BB1680" s="6556"/>
      <c r="BC1680" s="3065">
        <v>290000</v>
      </c>
      <c r="BD1680" s="6556"/>
      <c r="BE1680" s="6556"/>
      <c r="BF1680" s="6556"/>
      <c r="BG1680" s="6556"/>
      <c r="BH1680" s="3065"/>
      <c r="BI1680" s="6556"/>
      <c r="BJ1680" s="6556"/>
      <c r="BK1680" s="6556"/>
      <c r="BL1680" s="6556"/>
      <c r="BM1680" s="6556"/>
      <c r="BN1680" s="6556"/>
      <c r="BO1680" s="6776"/>
      <c r="BP1680" s="6776"/>
      <c r="BQ1680" s="3065">
        <v>290000</v>
      </c>
      <c r="BR1680" s="6776"/>
      <c r="BS1680" s="6776"/>
      <c r="BT1680" s="6776"/>
      <c r="BU1680" s="6776"/>
      <c r="BV1680" s="6776"/>
      <c r="BW1680" s="6776"/>
      <c r="BX1680" s="6776"/>
      <c r="BY1680" s="6776"/>
      <c r="BZ1680" s="6776"/>
      <c r="CA1680" s="6776"/>
      <c r="CB1680" s="6776"/>
      <c r="CC1680" s="3066"/>
      <c r="CD1680" s="3066"/>
      <c r="CE1680" s="5920"/>
      <c r="CF1680" s="5920"/>
      <c r="CG1680" s="5920"/>
      <c r="CH1680" s="5920"/>
    </row>
    <row r="1681" ht="24" customHeight="1" spans="1:86">
      <c r="A1681" s="2680"/>
      <c r="B1681" s="2680" t="s">
        <v>2570</v>
      </c>
      <c r="C1681" s="859">
        <v>44019</v>
      </c>
      <c r="D1681" s="1035" t="s">
        <v>2905</v>
      </c>
      <c r="E1681" s="5079" t="s">
        <v>2906</v>
      </c>
      <c r="F1681" s="5079" t="s">
        <v>2907</v>
      </c>
      <c r="G1681" s="5079" t="s">
        <v>2908</v>
      </c>
      <c r="H1681" s="2680" t="s">
        <v>193</v>
      </c>
      <c r="I1681" s="2680"/>
      <c r="J1681" s="5079" t="s">
        <v>2909</v>
      </c>
      <c r="K1681" s="5079" t="s">
        <v>2910</v>
      </c>
      <c r="L1681" s="1035" t="s">
        <v>2911</v>
      </c>
      <c r="M1681" s="2680">
        <v>1358811.75</v>
      </c>
      <c r="N1681" s="2680">
        <v>0</v>
      </c>
      <c r="O1681" s="2680">
        <v>0</v>
      </c>
      <c r="P1681" s="2680">
        <v>0</v>
      </c>
      <c r="Q1681" s="2680">
        <v>0</v>
      </c>
      <c r="R1681" s="2680">
        <v>0</v>
      </c>
      <c r="S1681" s="2680">
        <v>0</v>
      </c>
      <c r="T1681" s="2680"/>
      <c r="U1681" s="2680">
        <v>0</v>
      </c>
      <c r="V1681" s="2680">
        <v>1358811.75</v>
      </c>
      <c r="W1681" s="2680">
        <v>0</v>
      </c>
      <c r="X1681" s="2680"/>
      <c r="Y1681" s="2680"/>
      <c r="Z1681" s="2680"/>
      <c r="AA1681" s="2680">
        <v>0</v>
      </c>
      <c r="AB1681" s="5079" t="s">
        <v>2912</v>
      </c>
      <c r="AC1681" s="2680">
        <v>1</v>
      </c>
      <c r="AD1681" s="5887" t="s">
        <v>2913</v>
      </c>
      <c r="AE1681" s="2680">
        <v>0.2</v>
      </c>
      <c r="AF1681" s="2680">
        <f>M1681*AE1681</f>
        <v>271762.35</v>
      </c>
      <c r="AG1681" s="2678">
        <f t="shared" si="358"/>
        <v>271762.35</v>
      </c>
      <c r="AH1681" s="2678" t="s">
        <v>206</v>
      </c>
      <c r="AI1681" s="2678">
        <v>44067</v>
      </c>
      <c r="AJ1681" s="2678"/>
      <c r="AK1681" s="2678"/>
      <c r="AL1681" s="2678">
        <v>271762.35</v>
      </c>
      <c r="AM1681" s="2678">
        <v>44067</v>
      </c>
      <c r="AN1681" s="2678">
        <f>SUM(BO1681:CB1681)</f>
        <v>271762.35</v>
      </c>
      <c r="AO1681" s="2678">
        <v>44118</v>
      </c>
      <c r="AP1681" s="2678">
        <f>AG1681-AN1681</f>
        <v>0</v>
      </c>
      <c r="AQ1681" s="5331"/>
      <c r="AR1681" s="2680"/>
      <c r="AS1681" s="5079"/>
      <c r="AT1681" s="2680"/>
      <c r="AU1681" s="2680">
        <f>SUM(AG1681:AG1684)</f>
        <v>1358811.75</v>
      </c>
      <c r="AV1681" s="2680">
        <f>SUBTOTAL(9,AL1681:AL1684)</f>
        <v>1358811.75</v>
      </c>
      <c r="AW1681" s="2680">
        <f>SUM(AN1681:AN1684)</f>
        <v>1358811.75</v>
      </c>
      <c r="AX1681" s="2680">
        <f>M1681-AU1681</f>
        <v>0</v>
      </c>
      <c r="AY1681" s="2680">
        <f>AU1681-AV1681</f>
        <v>0</v>
      </c>
      <c r="AZ1681" s="2680">
        <f>AV1681-AW1681</f>
        <v>0</v>
      </c>
      <c r="BA1681" s="5796"/>
      <c r="BB1681" s="5796"/>
      <c r="BC1681" s="2678"/>
      <c r="BD1681" s="5796"/>
      <c r="BE1681" s="5796"/>
      <c r="BF1681" s="5796"/>
      <c r="BG1681" s="5796"/>
      <c r="BH1681" s="2678"/>
      <c r="BI1681" s="5146">
        <v>271762.35</v>
      </c>
      <c r="BJ1681" s="5796"/>
      <c r="BK1681" s="5796"/>
      <c r="BL1681" s="5796"/>
      <c r="BM1681" s="5796"/>
      <c r="BN1681" s="5796"/>
      <c r="BO1681" s="5331"/>
      <c r="BP1681" s="5331"/>
      <c r="BQ1681" s="5331"/>
      <c r="BR1681" s="5331"/>
      <c r="BS1681" s="5331"/>
      <c r="BT1681" s="5331"/>
      <c r="BU1681" s="5331"/>
      <c r="BV1681" s="5331"/>
      <c r="BW1681" s="5122">
        <v>271762.35</v>
      </c>
      <c r="BX1681" s="5331"/>
      <c r="BY1681" s="5331"/>
      <c r="BZ1681" s="5331"/>
      <c r="CA1681" s="5331"/>
      <c r="CB1681" s="5331"/>
      <c r="CC1681" s="2680" t="s">
        <v>247</v>
      </c>
      <c r="CD1681" s="2680" t="s">
        <v>154</v>
      </c>
      <c r="CE1681" s="5168"/>
      <c r="CF1681" s="5168"/>
      <c r="CG1681" s="5750"/>
      <c r="CH1681" s="5750"/>
    </row>
    <row r="1682" ht="31" spans="1:86">
      <c r="A1682" s="2680"/>
      <c r="B1682" s="2680"/>
      <c r="C1682" s="2678"/>
      <c r="D1682" s="5079"/>
      <c r="E1682" s="5079"/>
      <c r="F1682" s="5079"/>
      <c r="G1682" s="5079"/>
      <c r="H1682" s="2680"/>
      <c r="I1682" s="2680"/>
      <c r="J1682" s="5079"/>
      <c r="K1682" s="5079"/>
      <c r="L1682" s="5079"/>
      <c r="M1682" s="2680"/>
      <c r="N1682" s="2680"/>
      <c r="O1682" s="2680"/>
      <c r="P1682" s="2680"/>
      <c r="Q1682" s="2680"/>
      <c r="R1682" s="2680"/>
      <c r="S1682" s="2680"/>
      <c r="T1682" s="2680"/>
      <c r="U1682" s="2680"/>
      <c r="V1682" s="2680"/>
      <c r="W1682" s="2680"/>
      <c r="X1682" s="2680"/>
      <c r="Y1682" s="2680"/>
      <c r="Z1682" s="2680"/>
      <c r="AA1682" s="2680"/>
      <c r="AB1682" s="2680"/>
      <c r="AC1682" s="2680">
        <v>2</v>
      </c>
      <c r="AD1682" s="5887" t="s">
        <v>2914</v>
      </c>
      <c r="AE1682" s="2680">
        <v>0.3</v>
      </c>
      <c r="AF1682" s="2680">
        <f>M1681*AE1682</f>
        <v>407643.525</v>
      </c>
      <c r="AG1682" s="2678">
        <f t="shared" si="358"/>
        <v>407643.53</v>
      </c>
      <c r="AH1682" s="2678" t="s">
        <v>206</v>
      </c>
      <c r="AI1682" s="2678">
        <v>44067</v>
      </c>
      <c r="AJ1682" s="2678"/>
      <c r="AK1682" s="2678"/>
      <c r="AL1682" s="2678">
        <v>407643.53</v>
      </c>
      <c r="AM1682" s="2678">
        <v>44067</v>
      </c>
      <c r="AN1682" s="2678">
        <f>SUM(BO1682:CB1682)</f>
        <v>407643.53</v>
      </c>
      <c r="AO1682" s="2678">
        <v>44118</v>
      </c>
      <c r="AP1682" s="2678">
        <f>AG1682-AN1682</f>
        <v>0</v>
      </c>
      <c r="AQ1682" s="5331"/>
      <c r="AR1682" s="2680"/>
      <c r="AS1682" s="5079"/>
      <c r="AT1682" s="2680"/>
      <c r="AU1682" s="2680"/>
      <c r="AV1682" s="2680"/>
      <c r="AW1682" s="2680"/>
      <c r="AX1682" s="2680"/>
      <c r="AY1682" s="2680"/>
      <c r="AZ1682" s="2680"/>
      <c r="BA1682" s="5796"/>
      <c r="BB1682" s="5796"/>
      <c r="BC1682" s="2678"/>
      <c r="BD1682" s="5796"/>
      <c r="BE1682" s="5796"/>
      <c r="BF1682" s="5796"/>
      <c r="BG1682" s="5796"/>
      <c r="BH1682" s="2678"/>
      <c r="BI1682" s="5796">
        <v>407643.53</v>
      </c>
      <c r="BJ1682" s="5796"/>
      <c r="BK1682" s="5796"/>
      <c r="BL1682" s="5796"/>
      <c r="BM1682" s="5796"/>
      <c r="BN1682" s="5796"/>
      <c r="BO1682" s="5331"/>
      <c r="BP1682" s="5331"/>
      <c r="BQ1682" s="5331"/>
      <c r="BR1682" s="5331"/>
      <c r="BS1682" s="5331"/>
      <c r="BT1682" s="5331"/>
      <c r="BU1682" s="5331"/>
      <c r="BV1682" s="5331"/>
      <c r="BW1682" s="5331">
        <v>407643.53</v>
      </c>
      <c r="BX1682" s="5331"/>
      <c r="BY1682" s="5331"/>
      <c r="BZ1682" s="5331"/>
      <c r="CA1682" s="5331"/>
      <c r="CB1682" s="5331"/>
      <c r="CC1682" s="2680"/>
      <c r="CD1682" s="2680"/>
      <c r="CE1682" s="5168"/>
      <c r="CF1682" s="5168"/>
      <c r="CG1682" s="5750"/>
      <c r="CH1682" s="5750"/>
    </row>
    <row r="1683" ht="61" spans="1:86">
      <c r="A1683" s="2680"/>
      <c r="B1683" s="2680"/>
      <c r="C1683" s="2678"/>
      <c r="D1683" s="5079"/>
      <c r="E1683" s="5079"/>
      <c r="F1683" s="5079"/>
      <c r="G1683" s="5079"/>
      <c r="H1683" s="2680"/>
      <c r="I1683" s="2680"/>
      <c r="J1683" s="5079"/>
      <c r="K1683" s="5079"/>
      <c r="L1683" s="5079"/>
      <c r="M1683" s="2680"/>
      <c r="N1683" s="2680"/>
      <c r="O1683" s="2680"/>
      <c r="P1683" s="2680"/>
      <c r="Q1683" s="2680"/>
      <c r="R1683" s="2680"/>
      <c r="S1683" s="2680"/>
      <c r="T1683" s="2680"/>
      <c r="U1683" s="2680"/>
      <c r="V1683" s="2680"/>
      <c r="W1683" s="2680"/>
      <c r="X1683" s="2680"/>
      <c r="Y1683" s="2680"/>
      <c r="Z1683" s="2680"/>
      <c r="AA1683" s="2680"/>
      <c r="AB1683" s="2680"/>
      <c r="AC1683" s="2680">
        <v>3</v>
      </c>
      <c r="AD1683" s="5887" t="s">
        <v>2915</v>
      </c>
      <c r="AE1683" s="2680">
        <v>0.4</v>
      </c>
      <c r="AF1683" s="2680">
        <f>AE1683*M1681</f>
        <v>543524.7</v>
      </c>
      <c r="AG1683" s="2678">
        <f t="shared" ref="AG1683:AG1706" si="359">SUM(BA1683:BN1683)</f>
        <v>543524.7</v>
      </c>
      <c r="AH1683" s="2678" t="s">
        <v>122</v>
      </c>
      <c r="AI1683" s="2678">
        <v>44370</v>
      </c>
      <c r="AJ1683" s="2680">
        <v>543524.7</v>
      </c>
      <c r="AK1683" s="2680">
        <v>44370</v>
      </c>
      <c r="AL1683" s="2680">
        <v>543524.7</v>
      </c>
      <c r="AM1683" s="2680">
        <v>44370</v>
      </c>
      <c r="AN1683" s="2678">
        <f t="shared" ref="AN1683:AN1691" si="360">SUM(BO1683:CB1683)</f>
        <v>543524.7</v>
      </c>
      <c r="AO1683" s="2678">
        <v>44400</v>
      </c>
      <c r="AP1683" s="2678">
        <f t="shared" ref="AP1683:AP1692" si="361">AG1683-AN1683</f>
        <v>0</v>
      </c>
      <c r="AQ1683" s="5331"/>
      <c r="AR1683" s="2680"/>
      <c r="AS1683" s="5079"/>
      <c r="AT1683" s="2680"/>
      <c r="AU1683" s="2680"/>
      <c r="AV1683" s="2680"/>
      <c r="AW1683" s="2680"/>
      <c r="AX1683" s="2680"/>
      <c r="AY1683" s="2680"/>
      <c r="AZ1683" s="2680"/>
      <c r="BA1683" s="5796"/>
      <c r="BB1683" s="5796"/>
      <c r="BC1683" s="2678"/>
      <c r="BD1683" s="5796"/>
      <c r="BE1683" s="5796"/>
      <c r="BF1683" s="5796"/>
      <c r="BG1683" s="5796"/>
      <c r="BH1683" s="2678"/>
      <c r="BI1683" s="5796">
        <v>543524.7</v>
      </c>
      <c r="BJ1683" s="5796"/>
      <c r="BK1683" s="5796"/>
      <c r="BL1683" s="5796"/>
      <c r="BM1683" s="5796"/>
      <c r="BN1683" s="5796"/>
      <c r="BO1683" s="5860"/>
      <c r="BP1683" s="5860"/>
      <c r="BQ1683" s="5860"/>
      <c r="BR1683" s="5860"/>
      <c r="BS1683" s="5860"/>
      <c r="BT1683" s="5860"/>
      <c r="BU1683" s="5860"/>
      <c r="BV1683" s="5860"/>
      <c r="BW1683" s="5796">
        <v>543524.7</v>
      </c>
      <c r="BX1683" s="5860"/>
      <c r="BY1683" s="5860"/>
      <c r="BZ1683" s="5860"/>
      <c r="CA1683" s="5860"/>
      <c r="CB1683" s="5860"/>
      <c r="CC1683" s="2680"/>
      <c r="CD1683" s="2680"/>
      <c r="CE1683" s="5168"/>
      <c r="CF1683" s="5168"/>
      <c r="CG1683" s="5750"/>
      <c r="CH1683" s="5750"/>
    </row>
    <row r="1684" ht="38.35" customHeight="1" spans="1:86">
      <c r="A1684" s="2680"/>
      <c r="B1684" s="2680"/>
      <c r="C1684" s="2678"/>
      <c r="D1684" s="5079"/>
      <c r="E1684" s="5079"/>
      <c r="F1684" s="5079"/>
      <c r="G1684" s="5079"/>
      <c r="H1684" s="2680"/>
      <c r="I1684" s="2680"/>
      <c r="J1684" s="5079"/>
      <c r="K1684" s="5079"/>
      <c r="L1684" s="5079"/>
      <c r="M1684" s="2680"/>
      <c r="N1684" s="2680"/>
      <c r="O1684" s="2680"/>
      <c r="P1684" s="2680"/>
      <c r="Q1684" s="2680"/>
      <c r="R1684" s="2680"/>
      <c r="S1684" s="2680"/>
      <c r="T1684" s="2680"/>
      <c r="U1684" s="2680"/>
      <c r="V1684" s="2680"/>
      <c r="W1684" s="2680"/>
      <c r="X1684" s="2680"/>
      <c r="Y1684" s="2680"/>
      <c r="Z1684" s="2680"/>
      <c r="AA1684" s="2680"/>
      <c r="AB1684" s="2680"/>
      <c r="AC1684" s="2680">
        <v>4</v>
      </c>
      <c r="AD1684" s="5887" t="s">
        <v>2916</v>
      </c>
      <c r="AE1684" s="2680">
        <v>0.1</v>
      </c>
      <c r="AF1684" s="2680">
        <f>AE1684*M1681</f>
        <v>135881.175</v>
      </c>
      <c r="AG1684" s="2678">
        <f t="shared" si="359"/>
        <v>135881.17</v>
      </c>
      <c r="AH1684" s="859" t="s">
        <v>122</v>
      </c>
      <c r="AI1684" s="2678">
        <v>44533</v>
      </c>
      <c r="AJ1684" s="2680">
        <v>135881.17</v>
      </c>
      <c r="AK1684" s="2680">
        <v>44533</v>
      </c>
      <c r="AL1684" s="2680">
        <v>135881.17</v>
      </c>
      <c r="AM1684" s="2680">
        <v>45029</v>
      </c>
      <c r="AN1684" s="2680">
        <f t="shared" si="360"/>
        <v>135881.17</v>
      </c>
      <c r="AO1684" s="2680">
        <v>45285</v>
      </c>
      <c r="AP1684" s="2678">
        <f t="shared" si="361"/>
        <v>0</v>
      </c>
      <c r="AQ1684" s="5331"/>
      <c r="AR1684" s="2680"/>
      <c r="AS1684" s="5079"/>
      <c r="AT1684" s="2680"/>
      <c r="AU1684" s="2680"/>
      <c r="AV1684" s="2680"/>
      <c r="AW1684" s="2680"/>
      <c r="AX1684" s="2680"/>
      <c r="AY1684" s="2680"/>
      <c r="AZ1684" s="2680"/>
      <c r="BA1684" s="5796"/>
      <c r="BB1684" s="5796"/>
      <c r="BC1684" s="2678"/>
      <c r="BD1684" s="5796"/>
      <c r="BE1684" s="5796"/>
      <c r="BF1684" s="5796"/>
      <c r="BG1684" s="5796"/>
      <c r="BH1684" s="2678"/>
      <c r="BI1684" s="5796">
        <v>135881.17</v>
      </c>
      <c r="BJ1684" s="5796"/>
      <c r="BK1684" s="5796"/>
      <c r="BL1684" s="5796"/>
      <c r="BM1684" s="5796"/>
      <c r="BN1684" s="5796"/>
      <c r="BO1684" s="5331"/>
      <c r="BP1684" s="5331"/>
      <c r="BQ1684" s="5331"/>
      <c r="BR1684" s="5331"/>
      <c r="BS1684" s="5331"/>
      <c r="BT1684" s="5331"/>
      <c r="BU1684" s="5331"/>
      <c r="BV1684" s="5331"/>
      <c r="BW1684" s="5796">
        <v>135881.17</v>
      </c>
      <c r="BX1684" s="5331"/>
      <c r="BY1684" s="5331"/>
      <c r="BZ1684" s="5331"/>
      <c r="CA1684" s="5331"/>
      <c r="CB1684" s="5331"/>
      <c r="CC1684" s="2680"/>
      <c r="CD1684" s="2680"/>
      <c r="CE1684" s="5168"/>
      <c r="CF1684" s="5168"/>
      <c r="CG1684" s="5750"/>
      <c r="CH1684" s="5750"/>
    </row>
    <row r="1685" s="4989" customFormat="1" ht="21.65" customHeight="1" spans="1:86">
      <c r="A1685" s="3742"/>
      <c r="B1685" s="1032" t="s">
        <v>2570</v>
      </c>
      <c r="C1685" s="5059">
        <v>44113</v>
      </c>
      <c r="D1685" s="1125" t="s">
        <v>2917</v>
      </c>
      <c r="E1685" s="5054" t="s">
        <v>2918</v>
      </c>
      <c r="F1685" s="5054" t="s">
        <v>2919</v>
      </c>
      <c r="G1685" s="5054" t="s">
        <v>2920</v>
      </c>
      <c r="H1685" s="1125" t="s">
        <v>31</v>
      </c>
      <c r="I1685" s="1125"/>
      <c r="J1685" s="1125" t="s">
        <v>2921</v>
      </c>
      <c r="K1685" s="1125" t="s">
        <v>2922</v>
      </c>
      <c r="L1685" s="1125" t="s">
        <v>2923</v>
      </c>
      <c r="M1685" s="5054">
        <f>SUBTOTAL(9,N1685:AA1687)</f>
        <v>1234828</v>
      </c>
      <c r="N1685" s="6754">
        <v>0</v>
      </c>
      <c r="O1685" s="6754">
        <v>0</v>
      </c>
      <c r="P1685" s="6754">
        <v>0</v>
      </c>
      <c r="Q1685" s="6754">
        <v>0</v>
      </c>
      <c r="R1685" s="6754">
        <v>0</v>
      </c>
      <c r="S1685" s="6754">
        <v>0</v>
      </c>
      <c r="T1685" s="6754"/>
      <c r="U1685" s="6754">
        <v>1234828</v>
      </c>
      <c r="V1685" s="6754">
        <v>0</v>
      </c>
      <c r="W1685" s="6754">
        <v>0</v>
      </c>
      <c r="X1685" s="6754"/>
      <c r="Y1685" s="6754"/>
      <c r="Z1685" s="6754"/>
      <c r="AA1685" s="6754">
        <v>0</v>
      </c>
      <c r="AB1685" s="6753" t="s">
        <v>113</v>
      </c>
      <c r="AC1685" s="5054">
        <v>1</v>
      </c>
      <c r="AD1685" s="5132" t="s">
        <v>2924</v>
      </c>
      <c r="AE1685" s="5054">
        <v>0.2</v>
      </c>
      <c r="AF1685" s="5054">
        <f>AE1685*M1685</f>
        <v>246965.6</v>
      </c>
      <c r="AG1685" s="5056">
        <f t="shared" si="359"/>
        <v>246965.6</v>
      </c>
      <c r="AH1685" s="5056" t="s">
        <v>122</v>
      </c>
      <c r="AI1685" s="5056">
        <v>44166</v>
      </c>
      <c r="AJ1685" s="5054">
        <v>246965.6</v>
      </c>
      <c r="AK1685" s="5054">
        <v>44166</v>
      </c>
      <c r="AL1685" s="5054">
        <v>246965.6</v>
      </c>
      <c r="AM1685" s="5054">
        <v>44166</v>
      </c>
      <c r="AN1685" s="5054">
        <f t="shared" si="360"/>
        <v>246965.6</v>
      </c>
      <c r="AO1685" s="5054">
        <v>44231</v>
      </c>
      <c r="AP1685" s="3057">
        <f t="shared" si="361"/>
        <v>0</v>
      </c>
      <c r="AQ1685" s="5131"/>
      <c r="AR1685" s="1125" t="s">
        <v>128</v>
      </c>
      <c r="AS1685" s="5054"/>
      <c r="AT1685" s="5054"/>
      <c r="AU1685" s="5054">
        <f>SUM(AG1685:AG1687)</f>
        <v>1230251.05</v>
      </c>
      <c r="AV1685" s="5054">
        <f>SUBTOTAL(9,AL1685:AL1687)</f>
        <v>1230251.05</v>
      </c>
      <c r="AW1685" s="5054">
        <f>SUM(AN1685:AN1687)</f>
        <v>1230251.05</v>
      </c>
      <c r="AX1685" s="5054">
        <f>M1685-AU1685</f>
        <v>4576.94999999995</v>
      </c>
      <c r="AY1685" s="5054">
        <f>AU1685-AV1685</f>
        <v>0</v>
      </c>
      <c r="AZ1685" s="5054">
        <f>AV1685-AW1685</f>
        <v>0</v>
      </c>
      <c r="BA1685" s="6773"/>
      <c r="BB1685" s="6773"/>
      <c r="BC1685" s="5056"/>
      <c r="BD1685" s="6773"/>
      <c r="BE1685" s="6773"/>
      <c r="BF1685" s="6773"/>
      <c r="BG1685" s="6773"/>
      <c r="BH1685" s="5056">
        <v>246965.6</v>
      </c>
      <c r="BI1685" s="6773"/>
      <c r="BJ1685" s="6773"/>
      <c r="BK1685" s="6773"/>
      <c r="BL1685" s="6773"/>
      <c r="BM1685" s="6773"/>
      <c r="BN1685" s="6773"/>
      <c r="BO1685" s="6773"/>
      <c r="BP1685" s="6773"/>
      <c r="BQ1685" s="6773"/>
      <c r="BR1685" s="6773"/>
      <c r="BS1685" s="6773"/>
      <c r="BT1685" s="6773"/>
      <c r="BU1685" s="6773"/>
      <c r="BV1685" s="6773">
        <v>246965.6</v>
      </c>
      <c r="BW1685" s="6773"/>
      <c r="BX1685" s="6773"/>
      <c r="BY1685" s="6773"/>
      <c r="BZ1685" s="6773"/>
      <c r="CA1685" s="6773"/>
      <c r="CB1685" s="6773"/>
      <c r="CC1685" s="5054" t="s">
        <v>1112</v>
      </c>
      <c r="CD1685" s="5054" t="s">
        <v>154</v>
      </c>
      <c r="CE1685" s="6775"/>
      <c r="CF1685" s="6775"/>
      <c r="CG1685" s="6775"/>
      <c r="CH1685" s="6775"/>
    </row>
    <row r="1686" s="4989" customFormat="1" ht="92" spans="1:86">
      <c r="A1686" s="3742"/>
      <c r="B1686" s="3742"/>
      <c r="C1686" s="5059"/>
      <c r="D1686" s="5054"/>
      <c r="E1686" s="5054"/>
      <c r="F1686" s="5054"/>
      <c r="G1686" s="5054"/>
      <c r="H1686" s="5054"/>
      <c r="I1686" s="5054"/>
      <c r="J1686" s="5054"/>
      <c r="K1686" s="5054"/>
      <c r="L1686" s="5054"/>
      <c r="M1686" s="5054"/>
      <c r="N1686" s="6754"/>
      <c r="O1686" s="6754"/>
      <c r="P1686" s="6754"/>
      <c r="Q1686" s="6754"/>
      <c r="R1686" s="6754"/>
      <c r="S1686" s="6754"/>
      <c r="T1686" s="6754"/>
      <c r="U1686" s="6754"/>
      <c r="V1686" s="6754"/>
      <c r="W1686" s="6754"/>
      <c r="X1686" s="6754"/>
      <c r="Y1686" s="6754"/>
      <c r="Z1686" s="6754"/>
      <c r="AA1686" s="6754"/>
      <c r="AB1686" s="6754"/>
      <c r="AC1686" s="5054">
        <v>2</v>
      </c>
      <c r="AD1686" s="5132" t="s">
        <v>2925</v>
      </c>
      <c r="AE1686" s="5054">
        <v>0.4</v>
      </c>
      <c r="AF1686" s="5054">
        <f>AE1686*M1685</f>
        <v>493931.2</v>
      </c>
      <c r="AG1686" s="5056">
        <f t="shared" si="359"/>
        <v>493931.2</v>
      </c>
      <c r="AH1686" s="5056" t="s">
        <v>122</v>
      </c>
      <c r="AI1686" s="5056">
        <v>44166</v>
      </c>
      <c r="AJ1686" s="5054">
        <v>493931.2</v>
      </c>
      <c r="AK1686" s="5054"/>
      <c r="AL1686" s="5054">
        <v>493931.2</v>
      </c>
      <c r="AM1686" s="5054"/>
      <c r="AN1686" s="5054">
        <f t="shared" si="360"/>
        <v>493931.2</v>
      </c>
      <c r="AO1686" s="5054"/>
      <c r="AP1686" s="3057">
        <f t="shared" si="361"/>
        <v>0</v>
      </c>
      <c r="AQ1686" s="5131"/>
      <c r="AR1686" s="5054"/>
      <c r="AS1686" s="5054"/>
      <c r="AT1686" s="5054"/>
      <c r="AU1686" s="5054"/>
      <c r="AV1686" s="5054"/>
      <c r="AW1686" s="5054"/>
      <c r="AX1686" s="5054"/>
      <c r="AY1686" s="5054"/>
      <c r="AZ1686" s="5054"/>
      <c r="BA1686" s="6773"/>
      <c r="BB1686" s="6773"/>
      <c r="BC1686" s="5056"/>
      <c r="BD1686" s="6773"/>
      <c r="BE1686" s="6773"/>
      <c r="BF1686" s="6773"/>
      <c r="BG1686" s="6773"/>
      <c r="BH1686" s="5056">
        <v>493931.2</v>
      </c>
      <c r="BI1686" s="6773"/>
      <c r="BJ1686" s="6773"/>
      <c r="BK1686" s="6773"/>
      <c r="BL1686" s="6773"/>
      <c r="BM1686" s="6773"/>
      <c r="BN1686" s="6773"/>
      <c r="BO1686" s="6773"/>
      <c r="BP1686" s="6773"/>
      <c r="BQ1686" s="6773"/>
      <c r="BR1686" s="6773"/>
      <c r="BS1686" s="6773"/>
      <c r="BT1686" s="6773"/>
      <c r="BU1686" s="6773"/>
      <c r="BV1686" s="6773">
        <v>493931.2</v>
      </c>
      <c r="BW1686" s="6773"/>
      <c r="BX1686" s="6773"/>
      <c r="BY1686" s="6773"/>
      <c r="BZ1686" s="6773"/>
      <c r="CA1686" s="6773"/>
      <c r="CB1686" s="6773"/>
      <c r="CC1686" s="5054"/>
      <c r="CD1686" s="5054"/>
      <c r="CE1686" s="6775"/>
      <c r="CF1686" s="6775"/>
      <c r="CG1686" s="6775"/>
      <c r="CH1686" s="6775"/>
    </row>
    <row r="1687" s="4989" customFormat="1" ht="92" spans="1:86">
      <c r="A1687" s="3742"/>
      <c r="B1687" s="3742"/>
      <c r="C1687" s="5059"/>
      <c r="D1687" s="5054"/>
      <c r="E1687" s="5054"/>
      <c r="F1687" s="5054"/>
      <c r="G1687" s="5054"/>
      <c r="H1687" s="5054"/>
      <c r="I1687" s="5054"/>
      <c r="J1687" s="5054"/>
      <c r="K1687" s="5054"/>
      <c r="L1687" s="5054"/>
      <c r="M1687" s="5054"/>
      <c r="N1687" s="6754"/>
      <c r="O1687" s="6754"/>
      <c r="P1687" s="6754"/>
      <c r="Q1687" s="6754"/>
      <c r="R1687" s="6754"/>
      <c r="S1687" s="6754"/>
      <c r="T1687" s="6754"/>
      <c r="U1687" s="6754"/>
      <c r="V1687" s="6754"/>
      <c r="W1687" s="6754"/>
      <c r="X1687" s="6754"/>
      <c r="Y1687" s="6754"/>
      <c r="Z1687" s="6754"/>
      <c r="AA1687" s="6754"/>
      <c r="AB1687" s="6754"/>
      <c r="AC1687" s="5054">
        <v>3</v>
      </c>
      <c r="AD1687" s="5132" t="s">
        <v>2926</v>
      </c>
      <c r="AE1687" s="5054">
        <v>0.4</v>
      </c>
      <c r="AF1687" s="5054">
        <f>AE1687*M1685</f>
        <v>493931.2</v>
      </c>
      <c r="AG1687" s="5056">
        <f t="shared" si="359"/>
        <v>489354.25</v>
      </c>
      <c r="AH1687" s="5056" t="s">
        <v>122</v>
      </c>
      <c r="AI1687" s="5056">
        <v>44185</v>
      </c>
      <c r="AJ1687" s="5056">
        <f>SUM(BD1687:BQ1687)</f>
        <v>489354.25</v>
      </c>
      <c r="AK1687" s="5056">
        <v>44185</v>
      </c>
      <c r="AL1687" s="5054">
        <v>489354.25</v>
      </c>
      <c r="AM1687" s="5054">
        <v>44396</v>
      </c>
      <c r="AN1687" s="5056">
        <f t="shared" si="360"/>
        <v>489354.25</v>
      </c>
      <c r="AO1687" s="5056">
        <v>44419</v>
      </c>
      <c r="AP1687" s="3057">
        <f t="shared" si="361"/>
        <v>0</v>
      </c>
      <c r="AQ1687" s="5131" t="s">
        <v>2927</v>
      </c>
      <c r="AR1687" s="5054"/>
      <c r="AS1687" s="5054"/>
      <c r="AT1687" s="5054"/>
      <c r="AU1687" s="5054"/>
      <c r="AV1687" s="5054"/>
      <c r="AW1687" s="5054"/>
      <c r="AX1687" s="5054"/>
      <c r="AY1687" s="5054"/>
      <c r="AZ1687" s="5054"/>
      <c r="BA1687" s="6773"/>
      <c r="BB1687" s="6773"/>
      <c r="BC1687" s="5056"/>
      <c r="BD1687" s="6773"/>
      <c r="BE1687" s="6773"/>
      <c r="BF1687" s="6773"/>
      <c r="BG1687" s="6773"/>
      <c r="BH1687" s="5056">
        <v>489354.25</v>
      </c>
      <c r="BI1687" s="6773"/>
      <c r="BJ1687" s="6773"/>
      <c r="BK1687" s="6773"/>
      <c r="BL1687" s="6773"/>
      <c r="BM1687" s="6773"/>
      <c r="BN1687" s="6773"/>
      <c r="BO1687" s="6777"/>
      <c r="BP1687" s="6777"/>
      <c r="BQ1687" s="6777"/>
      <c r="BR1687" s="6777"/>
      <c r="BS1687" s="6777"/>
      <c r="BT1687" s="6777"/>
      <c r="BU1687" s="6777"/>
      <c r="BV1687" s="5056">
        <v>489354.25</v>
      </c>
      <c r="BW1687" s="6777"/>
      <c r="BX1687" s="6777"/>
      <c r="BY1687" s="6777"/>
      <c r="BZ1687" s="6777"/>
      <c r="CA1687" s="6777"/>
      <c r="CB1687" s="6777"/>
      <c r="CC1687" s="5054"/>
      <c r="CD1687" s="5054"/>
      <c r="CE1687" s="6775"/>
      <c r="CF1687" s="6775"/>
      <c r="CG1687" s="6775"/>
      <c r="CH1687" s="6775"/>
    </row>
    <row r="1688" s="4989" customFormat="1" ht="155.25" customHeight="1" spans="1:86">
      <c r="A1688" s="3742"/>
      <c r="B1688" s="3742" t="s">
        <v>2570</v>
      </c>
      <c r="C1688" s="5059">
        <v>44407</v>
      </c>
      <c r="D1688" s="1032" t="s">
        <v>2928</v>
      </c>
      <c r="E1688" s="3742" t="s">
        <v>171</v>
      </c>
      <c r="F1688" s="3742" t="s">
        <v>2929</v>
      </c>
      <c r="G1688" s="3742" t="s">
        <v>2930</v>
      </c>
      <c r="H1688" s="3742" t="s">
        <v>286</v>
      </c>
      <c r="I1688" s="3742"/>
      <c r="J1688" s="3742" t="s">
        <v>2721</v>
      </c>
      <c r="K1688" s="3742" t="s">
        <v>171</v>
      </c>
      <c r="L1688" s="3742" t="s">
        <v>2931</v>
      </c>
      <c r="M1688" s="3742">
        <f>SUM(N1688:AA1689)</f>
        <v>500000</v>
      </c>
      <c r="N1688" s="3742"/>
      <c r="O1688" s="3742"/>
      <c r="P1688" s="6755">
        <f>500000-15000</f>
        <v>485000</v>
      </c>
      <c r="Q1688" s="3742"/>
      <c r="R1688" s="3742"/>
      <c r="S1688" s="3742"/>
      <c r="T1688" s="3742"/>
      <c r="U1688" s="3742">
        <v>15000</v>
      </c>
      <c r="V1688" s="3742"/>
      <c r="W1688" s="3742"/>
      <c r="X1688" s="3742"/>
      <c r="Y1688" s="3742"/>
      <c r="Z1688" s="3742"/>
      <c r="AA1688" s="3742"/>
      <c r="AB1688" s="3742" t="s">
        <v>113</v>
      </c>
      <c r="AC1688" s="3742">
        <v>1</v>
      </c>
      <c r="AD1688" s="5256" t="s">
        <v>2932</v>
      </c>
      <c r="AE1688" s="3742"/>
      <c r="AF1688" s="3742"/>
      <c r="AG1688" s="5059">
        <f t="shared" si="359"/>
        <v>200000</v>
      </c>
      <c r="AH1688" s="5059" t="s">
        <v>206</v>
      </c>
      <c r="AI1688" s="5059">
        <v>44491</v>
      </c>
      <c r="AJ1688" s="5059" t="s">
        <v>171</v>
      </c>
      <c r="AK1688" s="5059" t="s">
        <v>171</v>
      </c>
      <c r="AL1688" s="3742">
        <v>200000</v>
      </c>
      <c r="AM1688" s="5059">
        <v>44491</v>
      </c>
      <c r="AN1688" s="5059">
        <f t="shared" si="360"/>
        <v>200000</v>
      </c>
      <c r="AO1688" s="5059">
        <v>44518</v>
      </c>
      <c r="AP1688" s="3812">
        <f t="shared" si="361"/>
        <v>0</v>
      </c>
      <c r="AQ1688" s="1032" t="s">
        <v>2933</v>
      </c>
      <c r="AR1688" s="3742"/>
      <c r="AS1688" s="3742"/>
      <c r="AT1688" s="3742"/>
      <c r="AU1688" s="3742">
        <f>SUM(AG1688:AG1689)</f>
        <v>500000</v>
      </c>
      <c r="AV1688" s="3742">
        <f>SUBTOTAL(9,AL1688:AL1689)</f>
        <v>500000</v>
      </c>
      <c r="AW1688" s="3742">
        <f>SUM(AN1688:AN1689)</f>
        <v>500000</v>
      </c>
      <c r="AX1688" s="3742">
        <f>M1688-AU1688</f>
        <v>0</v>
      </c>
      <c r="AY1688" s="3742">
        <f>AU1688-AV1688</f>
        <v>0</v>
      </c>
      <c r="AZ1688" s="3742">
        <f>AV1688-AW1688</f>
        <v>0</v>
      </c>
      <c r="BA1688" s="5059"/>
      <c r="BB1688" s="5059"/>
      <c r="BC1688" s="5059">
        <f>50000*70%+50000*3</f>
        <v>185000</v>
      </c>
      <c r="BD1688" s="5059"/>
      <c r="BE1688" s="5059"/>
      <c r="BF1688" s="5059"/>
      <c r="BG1688" s="5059"/>
      <c r="BH1688" s="5059">
        <f>50000*30%</f>
        <v>15000</v>
      </c>
      <c r="BI1688" s="5059"/>
      <c r="BJ1688" s="5059"/>
      <c r="BK1688" s="5059"/>
      <c r="BL1688" s="5059"/>
      <c r="BM1688" s="5059"/>
      <c r="BN1688" s="5059"/>
      <c r="BO1688" s="5346"/>
      <c r="BP1688" s="5346"/>
      <c r="BQ1688" s="5059">
        <f>50000*70%+50000*3</f>
        <v>185000</v>
      </c>
      <c r="BR1688" s="5059"/>
      <c r="BS1688" s="5059"/>
      <c r="BT1688" s="5059"/>
      <c r="BU1688" s="5059"/>
      <c r="BV1688" s="5059">
        <f>50000*30%</f>
        <v>15000</v>
      </c>
      <c r="BW1688" s="5346"/>
      <c r="BX1688" s="5346"/>
      <c r="BY1688" s="5346"/>
      <c r="BZ1688" s="5346"/>
      <c r="CA1688" s="5346"/>
      <c r="CB1688" s="5346"/>
      <c r="CC1688" s="3742"/>
      <c r="CD1688" s="3742"/>
      <c r="CE1688" s="6775"/>
      <c r="CF1688" s="6775"/>
      <c r="CG1688" s="6775"/>
      <c r="CH1688" s="6775"/>
    </row>
    <row r="1689" s="4989" customFormat="1" ht="85.8" customHeight="1" spans="1:86">
      <c r="A1689" s="3742"/>
      <c r="B1689" s="3742"/>
      <c r="C1689" s="5059"/>
      <c r="D1689" s="3742"/>
      <c r="E1689" s="3742"/>
      <c r="F1689" s="3742"/>
      <c r="G1689" s="3742"/>
      <c r="H1689" s="3742"/>
      <c r="I1689" s="3742"/>
      <c r="J1689" s="3742"/>
      <c r="K1689" s="3742"/>
      <c r="L1689" s="3742"/>
      <c r="M1689" s="3742"/>
      <c r="N1689" s="3742"/>
      <c r="O1689" s="3742"/>
      <c r="P1689" s="6755"/>
      <c r="Q1689" s="3742"/>
      <c r="R1689" s="3742"/>
      <c r="S1689" s="3742"/>
      <c r="T1689" s="3742"/>
      <c r="U1689" s="3742"/>
      <c r="V1689" s="3742"/>
      <c r="W1689" s="3742"/>
      <c r="X1689" s="3742"/>
      <c r="Y1689" s="3742"/>
      <c r="Z1689" s="3742"/>
      <c r="AA1689" s="3742"/>
      <c r="AB1689" s="3742"/>
      <c r="AC1689" s="3742">
        <v>2</v>
      </c>
      <c r="AD1689" s="5256" t="s">
        <v>2934</v>
      </c>
      <c r="AE1689" s="3742"/>
      <c r="AF1689" s="3742"/>
      <c r="AG1689" s="5059">
        <f t="shared" si="359"/>
        <v>300000</v>
      </c>
      <c r="AH1689" s="1032" t="s">
        <v>122</v>
      </c>
      <c r="AI1689" s="1032">
        <v>44915</v>
      </c>
      <c r="AJ1689" s="5059">
        <f>SUM(BD1689:BQ1689)</f>
        <v>300000</v>
      </c>
      <c r="AK1689" s="1032">
        <v>44914</v>
      </c>
      <c r="AL1689" s="3742">
        <v>300000</v>
      </c>
      <c r="AM1689" s="3742">
        <v>45159</v>
      </c>
      <c r="AN1689" s="5059">
        <f t="shared" si="360"/>
        <v>300000</v>
      </c>
      <c r="AO1689" s="1032">
        <v>45196</v>
      </c>
      <c r="AP1689" s="3812">
        <f t="shared" si="361"/>
        <v>0</v>
      </c>
      <c r="AQ1689" s="5981" t="s">
        <v>2935</v>
      </c>
      <c r="AR1689" s="5981"/>
      <c r="AS1689" s="3742"/>
      <c r="AT1689" s="3742"/>
      <c r="AU1689" s="3742"/>
      <c r="AV1689" s="3742"/>
      <c r="AW1689" s="3742"/>
      <c r="AX1689" s="3742"/>
      <c r="AY1689" s="3742"/>
      <c r="AZ1689" s="3742"/>
      <c r="BA1689" s="5059"/>
      <c r="BB1689" s="5059"/>
      <c r="BC1689" s="5059">
        <v>300000</v>
      </c>
      <c r="BD1689" s="5059"/>
      <c r="BE1689" s="5059"/>
      <c r="BF1689" s="5059"/>
      <c r="BG1689" s="5059"/>
      <c r="BH1689" s="5059"/>
      <c r="BI1689" s="5059"/>
      <c r="BJ1689" s="5059"/>
      <c r="BK1689" s="5059"/>
      <c r="BL1689" s="5059"/>
      <c r="BM1689" s="5059"/>
      <c r="BN1689" s="5059"/>
      <c r="BO1689" s="5346"/>
      <c r="BP1689" s="5346"/>
      <c r="BQ1689" s="5059">
        <v>300000</v>
      </c>
      <c r="BR1689" s="5346"/>
      <c r="BS1689" s="5346"/>
      <c r="BT1689" s="5346"/>
      <c r="BU1689" s="5346"/>
      <c r="BV1689" s="5346"/>
      <c r="BW1689" s="5346"/>
      <c r="BX1689" s="5346"/>
      <c r="BY1689" s="5346"/>
      <c r="BZ1689" s="5346"/>
      <c r="CA1689" s="5346"/>
      <c r="CB1689" s="5346"/>
      <c r="CC1689" s="3742"/>
      <c r="CD1689" s="3742"/>
      <c r="CE1689" s="6775"/>
      <c r="CF1689" s="6775"/>
      <c r="CG1689" s="6775"/>
      <c r="CH1689" s="6775"/>
    </row>
    <row r="1690" s="4989" customFormat="1" ht="31" spans="1:86">
      <c r="A1690" s="3742"/>
      <c r="B1690" s="3742" t="s">
        <v>2570</v>
      </c>
      <c r="C1690" s="5059">
        <v>44484</v>
      </c>
      <c r="D1690" s="1032" t="s">
        <v>2936</v>
      </c>
      <c r="E1690" s="1032" t="s">
        <v>2937</v>
      </c>
      <c r="F1690" s="5059" t="s">
        <v>2938</v>
      </c>
      <c r="G1690" s="5059" t="s">
        <v>2939</v>
      </c>
      <c r="H1690" s="1032" t="s">
        <v>2940</v>
      </c>
      <c r="I1690" s="5073"/>
      <c r="J1690" s="5059" t="s">
        <v>2941</v>
      </c>
      <c r="K1690" s="5059">
        <v>158811.36</v>
      </c>
      <c r="L1690" s="5059" t="s">
        <v>2942</v>
      </c>
      <c r="M1690" s="5059">
        <f>SUM(N1690:AA1697)</f>
        <v>17680940.89</v>
      </c>
      <c r="N1690" s="5059"/>
      <c r="O1690" s="5059"/>
      <c r="P1690" s="5059">
        <v>2422847.22</v>
      </c>
      <c r="Q1690" s="5059"/>
      <c r="R1690" s="5059"/>
      <c r="S1690" s="5059"/>
      <c r="T1690" s="5059"/>
      <c r="U1690" s="5059">
        <v>787625.65</v>
      </c>
      <c r="V1690" s="5059">
        <v>2302764.72</v>
      </c>
      <c r="W1690" s="5059"/>
      <c r="X1690" s="5059"/>
      <c r="Y1690" s="5214"/>
      <c r="Z1690" s="5214"/>
      <c r="AA1690" s="5059">
        <f>745671.58+11422031.72</f>
        <v>12167703.3</v>
      </c>
      <c r="AB1690" s="5059" t="s">
        <v>126</v>
      </c>
      <c r="AC1690" s="3742">
        <v>1</v>
      </c>
      <c r="AD1690" s="5256" t="s">
        <v>2943</v>
      </c>
      <c r="AE1690" s="3742">
        <v>0.1</v>
      </c>
      <c r="AF1690" s="3742">
        <f t="shared" ref="AF1690:AF1695" si="362">17680940.89*AE1690</f>
        <v>1768094.089</v>
      </c>
      <c r="AG1690" s="3812">
        <f t="shared" si="359"/>
        <v>1768094.09</v>
      </c>
      <c r="AH1690" s="5059" t="s">
        <v>122</v>
      </c>
      <c r="AI1690" s="5059">
        <v>44490</v>
      </c>
      <c r="AJ1690" s="3742">
        <v>1768094.089</v>
      </c>
      <c r="AK1690" s="5059">
        <v>44490</v>
      </c>
      <c r="AL1690" s="3742">
        <v>1768094.09</v>
      </c>
      <c r="AM1690" s="5059">
        <v>44491</v>
      </c>
      <c r="AN1690" s="5059">
        <f t="shared" si="360"/>
        <v>1768094.09</v>
      </c>
      <c r="AO1690" s="5059">
        <v>44524</v>
      </c>
      <c r="AP1690" s="3812">
        <f t="shared" si="361"/>
        <v>0</v>
      </c>
      <c r="AQ1690" s="3742"/>
      <c r="AR1690" s="3742"/>
      <c r="AS1690" s="3742"/>
      <c r="AT1690" s="3742"/>
      <c r="AU1690" s="3742"/>
      <c r="AV1690" s="3742"/>
      <c r="AW1690" s="3742"/>
      <c r="AX1690" s="3742"/>
      <c r="AY1690" s="3742"/>
      <c r="AZ1690" s="3742"/>
      <c r="BA1690" s="5059"/>
      <c r="BB1690" s="5059"/>
      <c r="BC1690" s="5059">
        <v>1453708.33</v>
      </c>
      <c r="BD1690" s="5059"/>
      <c r="BE1690" s="5059"/>
      <c r="BF1690" s="5059"/>
      <c r="BG1690" s="5059"/>
      <c r="BH1690" s="5059">
        <v>78762.56</v>
      </c>
      <c r="BI1690" s="5059">
        <v>0</v>
      </c>
      <c r="BJ1690" s="5059"/>
      <c r="BK1690" s="5059"/>
      <c r="BL1690" s="5059"/>
      <c r="BM1690" s="5059"/>
      <c r="BN1690" s="5059">
        <f>1768094.09-BC1690-BH1690-BI1690</f>
        <v>235623.2</v>
      </c>
      <c r="BO1690" s="5346"/>
      <c r="BP1690" s="5346"/>
      <c r="BQ1690" s="5059">
        <v>1453708.33</v>
      </c>
      <c r="BR1690" s="5346"/>
      <c r="BS1690" s="5346"/>
      <c r="BT1690" s="5059"/>
      <c r="BU1690" s="5346"/>
      <c r="BV1690" s="5059">
        <v>78762.56</v>
      </c>
      <c r="BW1690" s="5059">
        <v>0</v>
      </c>
      <c r="BX1690" s="5346"/>
      <c r="BY1690" s="5346"/>
      <c r="BZ1690" s="5346"/>
      <c r="CA1690" s="5346"/>
      <c r="CB1690" s="5059">
        <v>235623.2</v>
      </c>
      <c r="CC1690" s="3742"/>
      <c r="CD1690" s="3742"/>
      <c r="CE1690" s="6775"/>
      <c r="CF1690" s="6775"/>
      <c r="CG1690" s="6775"/>
      <c r="CH1690" s="6775"/>
    </row>
    <row r="1691" s="4989" customFormat="1" ht="31" spans="1:86">
      <c r="A1691" s="3742"/>
      <c r="B1691" s="3742"/>
      <c r="C1691" s="5059"/>
      <c r="D1691" s="5059"/>
      <c r="E1691" s="5059"/>
      <c r="F1691" s="5059"/>
      <c r="G1691" s="5059"/>
      <c r="H1691" s="5059"/>
      <c r="I1691" s="5205"/>
      <c r="J1691" s="5059"/>
      <c r="K1691" s="5059"/>
      <c r="L1691" s="5059"/>
      <c r="M1691" s="5059"/>
      <c r="N1691" s="5059"/>
      <c r="O1691" s="5059"/>
      <c r="P1691" s="5059"/>
      <c r="Q1691" s="5059"/>
      <c r="R1691" s="5059"/>
      <c r="S1691" s="5059"/>
      <c r="T1691" s="5059"/>
      <c r="U1691" s="5059"/>
      <c r="V1691" s="5059"/>
      <c r="W1691" s="5059"/>
      <c r="X1691" s="5059"/>
      <c r="Y1691" s="5074"/>
      <c r="Z1691" s="5074"/>
      <c r="AA1691" s="5059"/>
      <c r="AB1691" s="5059"/>
      <c r="AC1691" s="3742">
        <v>2</v>
      </c>
      <c r="AD1691" s="5256" t="s">
        <v>2944</v>
      </c>
      <c r="AE1691" s="3742">
        <v>0.4</v>
      </c>
      <c r="AF1691" s="3742">
        <f t="shared" si="362"/>
        <v>7072376.356</v>
      </c>
      <c r="AG1691" s="3812">
        <f t="shared" si="359"/>
        <v>7072376.36</v>
      </c>
      <c r="AH1691" s="5059" t="s">
        <v>122</v>
      </c>
      <c r="AI1691" s="5059">
        <v>44490</v>
      </c>
      <c r="AJ1691" s="5059">
        <v>7072376.36</v>
      </c>
      <c r="AK1691" s="5059">
        <v>44490</v>
      </c>
      <c r="AL1691" s="3742">
        <v>7072376.36</v>
      </c>
      <c r="AM1691" s="5059">
        <v>44491</v>
      </c>
      <c r="AN1691" s="5059">
        <f t="shared" si="360"/>
        <v>7072376.36</v>
      </c>
      <c r="AO1691" s="5059">
        <v>44524</v>
      </c>
      <c r="AP1691" s="3812">
        <f t="shared" si="361"/>
        <v>0</v>
      </c>
      <c r="AQ1691" s="3742"/>
      <c r="AR1691" s="3742"/>
      <c r="AS1691" s="3742"/>
      <c r="AT1691" s="3742"/>
      <c r="AU1691" s="3742"/>
      <c r="AV1691" s="3742"/>
      <c r="AW1691" s="3742"/>
      <c r="AX1691" s="3742"/>
      <c r="AY1691" s="3742"/>
      <c r="AZ1691" s="3742"/>
      <c r="BA1691" s="5059"/>
      <c r="BB1691" s="5059"/>
      <c r="BC1691" s="5059">
        <v>726854.17</v>
      </c>
      <c r="BD1691" s="5059"/>
      <c r="BE1691" s="5059"/>
      <c r="BF1691" s="5059"/>
      <c r="BG1691" s="5059"/>
      <c r="BH1691" s="5059">
        <v>472575.39</v>
      </c>
      <c r="BI1691" s="5059">
        <v>460552.94</v>
      </c>
      <c r="BJ1691" s="5059"/>
      <c r="BK1691" s="5059"/>
      <c r="BL1691" s="5059"/>
      <c r="BM1691" s="5059"/>
      <c r="BN1691" s="5059">
        <f>7072376.36-1659982.5</f>
        <v>5412393.86</v>
      </c>
      <c r="BO1691" s="5346"/>
      <c r="BP1691" s="5346"/>
      <c r="BQ1691" s="5059">
        <v>726854.17</v>
      </c>
      <c r="BR1691" s="5346"/>
      <c r="BS1691" s="5346"/>
      <c r="BT1691" s="5059"/>
      <c r="BU1691" s="5346"/>
      <c r="BV1691" s="5059">
        <v>472575.39</v>
      </c>
      <c r="BW1691" s="5059">
        <v>460552.94</v>
      </c>
      <c r="BX1691" s="5346"/>
      <c r="BY1691" s="5346"/>
      <c r="BZ1691" s="5346"/>
      <c r="CA1691" s="5346"/>
      <c r="CB1691" s="5059">
        <f>7072376.36-1659982.5</f>
        <v>5412393.86</v>
      </c>
      <c r="CC1691" s="3742"/>
      <c r="CD1691" s="3742"/>
      <c r="CE1691" s="6775"/>
      <c r="CF1691" s="6775"/>
      <c r="CG1691" s="6775"/>
      <c r="CH1691" s="6775"/>
    </row>
    <row r="1692" s="4989" customFormat="1" ht="46" spans="1:86">
      <c r="A1692" s="3742"/>
      <c r="B1692" s="3742"/>
      <c r="C1692" s="5059"/>
      <c r="D1692" s="5059"/>
      <c r="E1692" s="5059"/>
      <c r="F1692" s="5059"/>
      <c r="G1692" s="5059"/>
      <c r="H1692" s="5059"/>
      <c r="I1692" s="5205"/>
      <c r="J1692" s="5059"/>
      <c r="K1692" s="5059"/>
      <c r="L1692" s="5059"/>
      <c r="M1692" s="5059"/>
      <c r="N1692" s="5059"/>
      <c r="O1692" s="5059"/>
      <c r="P1692" s="5059"/>
      <c r="Q1692" s="5059"/>
      <c r="R1692" s="5059"/>
      <c r="S1692" s="5059"/>
      <c r="T1692" s="5059"/>
      <c r="U1692" s="5059"/>
      <c r="V1692" s="5059"/>
      <c r="W1692" s="5059"/>
      <c r="X1692" s="5059"/>
      <c r="Y1692" s="5074"/>
      <c r="Z1692" s="5074"/>
      <c r="AA1692" s="5059"/>
      <c r="AB1692" s="5059"/>
      <c r="AC1692" s="3742">
        <v>3</v>
      </c>
      <c r="AD1692" s="5256" t="s">
        <v>2945</v>
      </c>
      <c r="AE1692" s="3742">
        <v>0.15</v>
      </c>
      <c r="AF1692" s="3742">
        <f t="shared" si="362"/>
        <v>2652141.1335</v>
      </c>
      <c r="AG1692" s="3812">
        <f t="shared" si="359"/>
        <v>5304282.26</v>
      </c>
      <c r="AH1692" s="1032" t="s">
        <v>122</v>
      </c>
      <c r="AI1692" s="5059">
        <v>44508</v>
      </c>
      <c r="AJ1692" s="5059">
        <v>5304282.26</v>
      </c>
      <c r="AK1692" s="5059">
        <v>44508</v>
      </c>
      <c r="AL1692" s="3742">
        <v>5304282.26</v>
      </c>
      <c r="AM1692" s="3742">
        <v>44526</v>
      </c>
      <c r="AN1692" s="5059">
        <f>SUM(BO1692:CB1693)</f>
        <v>5304282.26</v>
      </c>
      <c r="AO1692" s="5059">
        <v>44582</v>
      </c>
      <c r="AP1692" s="3812">
        <f t="shared" si="361"/>
        <v>0</v>
      </c>
      <c r="AQ1692" s="1032" t="s">
        <v>2946</v>
      </c>
      <c r="AR1692" s="3742"/>
      <c r="AS1692" s="3742"/>
      <c r="AT1692" s="3742"/>
      <c r="AU1692" s="3742"/>
      <c r="AV1692" s="3742"/>
      <c r="AW1692" s="3742"/>
      <c r="AX1692" s="3742"/>
      <c r="AY1692" s="3742"/>
      <c r="AZ1692" s="3742"/>
      <c r="BA1692" s="5059"/>
      <c r="BB1692" s="5059"/>
      <c r="BC1692" s="5059"/>
      <c r="BD1692" s="5059"/>
      <c r="BE1692" s="5059"/>
      <c r="BF1692" s="5059"/>
      <c r="BG1692" s="5059"/>
      <c r="BH1692" s="5059">
        <v>78762.56</v>
      </c>
      <c r="BI1692" s="5059">
        <v>921105.89</v>
      </c>
      <c r="BJ1692" s="5059"/>
      <c r="BK1692" s="5059"/>
      <c r="BL1692" s="5059"/>
      <c r="BM1692" s="5059"/>
      <c r="BN1692" s="5059">
        <v>4304413.81</v>
      </c>
      <c r="BO1692" s="5346"/>
      <c r="BP1692" s="5346"/>
      <c r="BQ1692" s="5346"/>
      <c r="BR1692" s="5346"/>
      <c r="BS1692" s="5346"/>
      <c r="BT1692" s="5346"/>
      <c r="BU1692" s="5346"/>
      <c r="BV1692" s="5059">
        <v>78762.56</v>
      </c>
      <c r="BW1692" s="5059">
        <v>921105.89</v>
      </c>
      <c r="BX1692" s="5059"/>
      <c r="BY1692" s="5059"/>
      <c r="BZ1692" s="5059"/>
      <c r="CA1692" s="5059"/>
      <c r="CB1692" s="5059">
        <v>4304413.81</v>
      </c>
      <c r="CC1692" s="3742"/>
      <c r="CD1692" s="3742"/>
      <c r="CE1692" s="6775"/>
      <c r="CF1692" s="6775"/>
      <c r="CG1692" s="6775"/>
      <c r="CH1692" s="6775"/>
    </row>
    <row r="1693" s="4989" customFormat="1" ht="61" spans="1:86">
      <c r="A1693" s="3742"/>
      <c r="B1693" s="3742"/>
      <c r="C1693" s="5059"/>
      <c r="D1693" s="5059"/>
      <c r="E1693" s="5059"/>
      <c r="F1693" s="5059"/>
      <c r="G1693" s="5059"/>
      <c r="H1693" s="5059"/>
      <c r="I1693" s="5205"/>
      <c r="J1693" s="5059"/>
      <c r="K1693" s="5059"/>
      <c r="L1693" s="5059"/>
      <c r="M1693" s="5059"/>
      <c r="N1693" s="5059"/>
      <c r="O1693" s="5059"/>
      <c r="P1693" s="5059"/>
      <c r="Q1693" s="5059"/>
      <c r="R1693" s="5059"/>
      <c r="S1693" s="5059"/>
      <c r="T1693" s="5059"/>
      <c r="U1693" s="5059"/>
      <c r="V1693" s="5059"/>
      <c r="W1693" s="5059"/>
      <c r="X1693" s="5059"/>
      <c r="Y1693" s="5074"/>
      <c r="Z1693" s="5074"/>
      <c r="AA1693" s="5059"/>
      <c r="AB1693" s="5059"/>
      <c r="AC1693" s="3742">
        <v>4</v>
      </c>
      <c r="AD1693" s="5256" t="s">
        <v>2947</v>
      </c>
      <c r="AE1693" s="3742">
        <v>0.15</v>
      </c>
      <c r="AF1693" s="3742">
        <f t="shared" si="362"/>
        <v>2652141.1335</v>
      </c>
      <c r="AG1693" s="3812"/>
      <c r="AH1693" s="1032"/>
      <c r="AI1693" s="5059"/>
      <c r="AJ1693" s="5059"/>
      <c r="AK1693" s="5059"/>
      <c r="AL1693" s="3742"/>
      <c r="AM1693" s="3742"/>
      <c r="AN1693" s="5059"/>
      <c r="AO1693" s="5059"/>
      <c r="AP1693" s="3812"/>
      <c r="AQ1693" s="3742"/>
      <c r="AR1693" s="3742"/>
      <c r="AS1693" s="3742"/>
      <c r="AT1693" s="3742"/>
      <c r="AU1693" s="3742"/>
      <c r="AV1693" s="3742"/>
      <c r="AW1693" s="3742"/>
      <c r="AX1693" s="3742"/>
      <c r="AY1693" s="3742"/>
      <c r="AZ1693" s="3742"/>
      <c r="BA1693" s="5059"/>
      <c r="BB1693" s="5059"/>
      <c r="BC1693" s="5059"/>
      <c r="BD1693" s="5059"/>
      <c r="BE1693" s="5059"/>
      <c r="BF1693" s="5059"/>
      <c r="BG1693" s="5059"/>
      <c r="BH1693" s="5059"/>
      <c r="BI1693" s="5059"/>
      <c r="BJ1693" s="5059"/>
      <c r="BK1693" s="5059"/>
      <c r="BL1693" s="5059"/>
      <c r="BM1693" s="5059"/>
      <c r="BN1693" s="5059"/>
      <c r="BO1693" s="5346"/>
      <c r="BP1693" s="5346"/>
      <c r="BQ1693" s="5346"/>
      <c r="BR1693" s="5346"/>
      <c r="BS1693" s="5346"/>
      <c r="BT1693" s="5346"/>
      <c r="BU1693" s="5346"/>
      <c r="BV1693" s="5059"/>
      <c r="BW1693" s="5059"/>
      <c r="BX1693" s="5059"/>
      <c r="BY1693" s="5059"/>
      <c r="BZ1693" s="5059"/>
      <c r="CA1693" s="5059"/>
      <c r="CB1693" s="5059"/>
      <c r="CC1693" s="3742"/>
      <c r="CD1693" s="3742"/>
      <c r="CE1693" s="6775"/>
      <c r="CF1693" s="6775"/>
      <c r="CG1693" s="6775"/>
      <c r="CH1693" s="6775"/>
    </row>
    <row r="1694" s="4989" customFormat="1" ht="31" spans="1:86">
      <c r="A1694" s="3742"/>
      <c r="B1694" s="3742"/>
      <c r="C1694" s="5059"/>
      <c r="D1694" s="5059"/>
      <c r="E1694" s="5059"/>
      <c r="F1694" s="5059"/>
      <c r="G1694" s="5059"/>
      <c r="H1694" s="5059"/>
      <c r="I1694" s="5205"/>
      <c r="J1694" s="5059"/>
      <c r="K1694" s="5059"/>
      <c r="L1694" s="5059"/>
      <c r="M1694" s="5059"/>
      <c r="N1694" s="5059"/>
      <c r="O1694" s="5059"/>
      <c r="P1694" s="5059"/>
      <c r="Q1694" s="5059"/>
      <c r="R1694" s="5059"/>
      <c r="S1694" s="5059"/>
      <c r="T1694" s="5059"/>
      <c r="U1694" s="5059"/>
      <c r="V1694" s="5059"/>
      <c r="W1694" s="5059"/>
      <c r="X1694" s="5059"/>
      <c r="Y1694" s="5074"/>
      <c r="Z1694" s="5074"/>
      <c r="AA1694" s="5059"/>
      <c r="AB1694" s="5059"/>
      <c r="AC1694" s="3742">
        <v>5</v>
      </c>
      <c r="AD1694" s="5256" t="s">
        <v>2948</v>
      </c>
      <c r="AE1694" s="3742">
        <v>0.1</v>
      </c>
      <c r="AF1694" s="3742">
        <f t="shared" si="362"/>
        <v>1768094.089</v>
      </c>
      <c r="AG1694" s="3812">
        <f t="shared" si="359"/>
        <v>1768094.09</v>
      </c>
      <c r="AH1694" s="859" t="s">
        <v>122</v>
      </c>
      <c r="AI1694" s="5059">
        <v>44915</v>
      </c>
      <c r="AJ1694" s="5059">
        <f>AF1694</f>
        <v>1768094.089</v>
      </c>
      <c r="AK1694" s="5059">
        <v>44915</v>
      </c>
      <c r="AL1694" s="3742">
        <v>1768094.09</v>
      </c>
      <c r="AM1694" s="3742">
        <v>45042</v>
      </c>
      <c r="AN1694" s="5059">
        <f>SUM(BO1694:CB1694)</f>
        <v>1768094.09</v>
      </c>
      <c r="AO1694" s="5059">
        <v>45076</v>
      </c>
      <c r="AP1694" s="3812">
        <f>AG1694-AN1694</f>
        <v>0</v>
      </c>
      <c r="AQ1694" s="3742"/>
      <c r="AR1694" s="3742"/>
      <c r="AS1694" s="3742"/>
      <c r="AT1694" s="3742"/>
      <c r="AU1694" s="3742"/>
      <c r="AV1694" s="3742"/>
      <c r="AW1694" s="3742"/>
      <c r="AX1694" s="3742"/>
      <c r="AY1694" s="3742"/>
      <c r="AZ1694" s="3742"/>
      <c r="BA1694" s="5059"/>
      <c r="BB1694" s="5059"/>
      <c r="BC1694" s="5059">
        <v>168471.79</v>
      </c>
      <c r="BD1694" s="5059"/>
      <c r="BE1694" s="5059"/>
      <c r="BF1694" s="5059"/>
      <c r="BG1694" s="5059"/>
      <c r="BH1694" s="5059">
        <v>81122.48</v>
      </c>
      <c r="BI1694" s="5059">
        <v>690829.42</v>
      </c>
      <c r="BJ1694" s="5059"/>
      <c r="BK1694" s="5059"/>
      <c r="BL1694" s="5059"/>
      <c r="BM1694" s="5059"/>
      <c r="BN1694" s="5059">
        <v>827670.4</v>
      </c>
      <c r="BO1694" s="5059"/>
      <c r="BP1694" s="5059"/>
      <c r="BQ1694" s="5059">
        <v>168471.79</v>
      </c>
      <c r="BR1694" s="5059"/>
      <c r="BS1694" s="5059"/>
      <c r="BT1694" s="5059"/>
      <c r="BU1694" s="5059"/>
      <c r="BV1694" s="5059">
        <v>81122.48</v>
      </c>
      <c r="BW1694" s="5059">
        <v>690829.42</v>
      </c>
      <c r="BX1694" s="5059"/>
      <c r="BY1694" s="5059"/>
      <c r="BZ1694" s="5059"/>
      <c r="CA1694" s="5059"/>
      <c r="CB1694" s="5059">
        <v>827670.4</v>
      </c>
      <c r="CC1694" s="3742"/>
      <c r="CD1694" s="3742"/>
      <c r="CE1694" s="6775"/>
      <c r="CF1694" s="6775"/>
      <c r="CG1694" s="6775"/>
      <c r="CH1694" s="6775"/>
    </row>
    <row r="1695" s="4989" customFormat="1" spans="1:86">
      <c r="A1695" s="3742"/>
      <c r="B1695" s="3742"/>
      <c r="C1695" s="5059"/>
      <c r="D1695" s="5059"/>
      <c r="E1695" s="5059"/>
      <c r="F1695" s="5059"/>
      <c r="G1695" s="5059"/>
      <c r="H1695" s="5059"/>
      <c r="I1695" s="5205"/>
      <c r="J1695" s="5059"/>
      <c r="K1695" s="5059"/>
      <c r="L1695" s="5059"/>
      <c r="M1695" s="5059"/>
      <c r="N1695" s="5059"/>
      <c r="O1695" s="5059"/>
      <c r="P1695" s="5059"/>
      <c r="Q1695" s="5059"/>
      <c r="R1695" s="5059"/>
      <c r="S1695" s="5059"/>
      <c r="T1695" s="5059"/>
      <c r="U1695" s="5059"/>
      <c r="V1695" s="5059"/>
      <c r="W1695" s="5059"/>
      <c r="X1695" s="5059"/>
      <c r="Y1695" s="5074"/>
      <c r="Z1695" s="5074"/>
      <c r="AA1695" s="5059"/>
      <c r="AB1695" s="5059"/>
      <c r="AC1695" s="3740">
        <v>6</v>
      </c>
      <c r="AD1695" s="5073" t="s">
        <v>2949</v>
      </c>
      <c r="AE1695" s="3740">
        <v>0.1</v>
      </c>
      <c r="AF1695" s="3740">
        <v>1757282.73</v>
      </c>
      <c r="AG1695" s="6764">
        <f>SUBTOTAL(9,BC1695:BN1695)</f>
        <v>1768094.09</v>
      </c>
      <c r="AH1695" s="859" t="s">
        <v>122</v>
      </c>
      <c r="AI1695" s="5059">
        <v>45275</v>
      </c>
      <c r="AJ1695" s="3812">
        <f>SUBTOTAL(9,BC1695:BN1695)</f>
        <v>1768094.09</v>
      </c>
      <c r="AK1695" s="3812">
        <v>45275</v>
      </c>
      <c r="AL1695" s="3742">
        <v>1768094.089</v>
      </c>
      <c r="AM1695" s="5059">
        <v>45412</v>
      </c>
      <c r="AN1695" s="5346">
        <f>SUM(BO1695:CB1695)</f>
        <v>0</v>
      </c>
      <c r="AO1695" s="5059"/>
      <c r="AP1695" s="3812">
        <f>AF1695-AN1695</f>
        <v>1757282.73</v>
      </c>
      <c r="AQ1695" s="3742"/>
      <c r="AR1695" s="3742"/>
      <c r="AS1695" s="3742"/>
      <c r="AT1695" s="3742"/>
      <c r="AU1695" s="3742"/>
      <c r="AV1695" s="3742"/>
      <c r="AW1695" s="3742"/>
      <c r="AX1695" s="3742"/>
      <c r="AY1695" s="3742"/>
      <c r="AZ1695" s="3742"/>
      <c r="BA1695" s="5059"/>
      <c r="BB1695" s="5059"/>
      <c r="BC1695" s="5059">
        <v>123633.38</v>
      </c>
      <c r="BD1695" s="5059"/>
      <c r="BE1695" s="5059"/>
      <c r="BF1695" s="5059"/>
      <c r="BG1695" s="5059"/>
      <c r="BH1695" s="5059">
        <v>79024.78</v>
      </c>
      <c r="BI1695" s="5059">
        <v>365276.47</v>
      </c>
      <c r="BJ1695" s="5059"/>
      <c r="BK1695" s="5059"/>
      <c r="BL1695" s="5059"/>
      <c r="BM1695" s="5059"/>
      <c r="BN1695" s="5059">
        <v>1200159.46</v>
      </c>
      <c r="BO1695" s="5059"/>
      <c r="BP1695" s="5059"/>
      <c r="BQ1695" s="5059"/>
      <c r="BR1695" s="5059"/>
      <c r="BS1695" s="5059"/>
      <c r="BT1695" s="5059"/>
      <c r="BU1695" s="5059"/>
      <c r="BV1695" s="5059"/>
      <c r="BW1695" s="5059"/>
      <c r="BX1695" s="5059"/>
      <c r="BY1695" s="5059"/>
      <c r="BZ1695" s="5059"/>
      <c r="CA1695" s="5059"/>
      <c r="CB1695" s="5059"/>
      <c r="CC1695" s="3742"/>
      <c r="CD1695" s="3742"/>
      <c r="CE1695" s="6775"/>
      <c r="CF1695" s="6775"/>
      <c r="CG1695" s="6775"/>
      <c r="CH1695" s="6775"/>
    </row>
    <row r="1696" s="4989" customFormat="1" spans="1:86">
      <c r="A1696" s="3742"/>
      <c r="B1696" s="3742"/>
      <c r="C1696" s="5059"/>
      <c r="D1696" s="5059"/>
      <c r="E1696" s="5059"/>
      <c r="F1696" s="5059"/>
      <c r="G1696" s="5059"/>
      <c r="H1696" s="5059"/>
      <c r="I1696" s="5205"/>
      <c r="J1696" s="5059"/>
      <c r="K1696" s="5059"/>
      <c r="L1696" s="5059"/>
      <c r="M1696" s="5059"/>
      <c r="N1696" s="5059"/>
      <c r="O1696" s="5059"/>
      <c r="P1696" s="5059"/>
      <c r="Q1696" s="5059"/>
      <c r="R1696" s="5059"/>
      <c r="S1696" s="5059"/>
      <c r="T1696" s="5059"/>
      <c r="U1696" s="5059"/>
      <c r="V1696" s="5059"/>
      <c r="W1696" s="5059"/>
      <c r="X1696" s="5059"/>
      <c r="Y1696" s="5074"/>
      <c r="Z1696" s="5074"/>
      <c r="AA1696" s="5059"/>
      <c r="AB1696" s="5059"/>
      <c r="AC1696" s="3669"/>
      <c r="AD1696" s="5205"/>
      <c r="AE1696" s="3669"/>
      <c r="AF1696" s="3669"/>
      <c r="AG1696" s="6764"/>
      <c r="AH1696" s="859"/>
      <c r="AI1696" s="5059"/>
      <c r="AJ1696" s="3812"/>
      <c r="AK1696" s="3812"/>
      <c r="AL1696" s="3742">
        <v>-1768094.09</v>
      </c>
      <c r="AM1696" s="5059">
        <v>45860</v>
      </c>
      <c r="AN1696" s="5346">
        <f>SUM(BO1696:CB1696)</f>
        <v>0</v>
      </c>
      <c r="AO1696" s="5059"/>
      <c r="AP1696" s="3812">
        <f>AF1696-AN1696</f>
        <v>0</v>
      </c>
      <c r="AQ1696" s="3742"/>
      <c r="AR1696" s="3742"/>
      <c r="AS1696" s="3742"/>
      <c r="AT1696" s="3742"/>
      <c r="AU1696" s="3742"/>
      <c r="AV1696" s="3742"/>
      <c r="AW1696" s="3742"/>
      <c r="AX1696" s="3742"/>
      <c r="AY1696" s="3742"/>
      <c r="AZ1696" s="3742"/>
      <c r="BA1696" s="5059"/>
      <c r="BB1696" s="5059"/>
      <c r="BC1696" s="6774"/>
      <c r="BD1696" s="6774"/>
      <c r="BE1696" s="6774"/>
      <c r="BF1696" s="6774"/>
      <c r="BG1696" s="6774"/>
      <c r="BH1696" s="6774"/>
      <c r="BI1696" s="6774"/>
      <c r="BJ1696" s="6774"/>
      <c r="BK1696" s="6774"/>
      <c r="BL1696" s="6774"/>
      <c r="BM1696" s="6774"/>
      <c r="BN1696" s="5059"/>
      <c r="BO1696" s="5059"/>
      <c r="BP1696" s="5059"/>
      <c r="BQ1696" s="5059"/>
      <c r="BR1696" s="5059"/>
      <c r="BS1696" s="5059"/>
      <c r="BT1696" s="5059"/>
      <c r="BU1696" s="5059"/>
      <c r="BV1696" s="5059"/>
      <c r="BW1696" s="5059"/>
      <c r="BX1696" s="5059"/>
      <c r="BY1696" s="5059"/>
      <c r="BZ1696" s="5059"/>
      <c r="CA1696" s="5059"/>
      <c r="CB1696" s="5059"/>
      <c r="CC1696" s="3742"/>
      <c r="CD1696" s="3742"/>
      <c r="CE1696" s="6775"/>
      <c r="CF1696" s="6775"/>
      <c r="CG1696" s="6775"/>
      <c r="CH1696" s="6775"/>
    </row>
    <row r="1697" s="4989" customFormat="1" ht="27.75" customHeight="1" spans="1:86">
      <c r="A1697" s="3742"/>
      <c r="B1697" s="3742"/>
      <c r="C1697" s="5059"/>
      <c r="D1697" s="5059"/>
      <c r="E1697" s="5059"/>
      <c r="F1697" s="5059"/>
      <c r="G1697" s="5059"/>
      <c r="H1697" s="5059"/>
      <c r="I1697" s="5206"/>
      <c r="J1697" s="5059"/>
      <c r="K1697" s="5059"/>
      <c r="L1697" s="5059"/>
      <c r="M1697" s="5059"/>
      <c r="N1697" s="5059"/>
      <c r="O1697" s="5059"/>
      <c r="P1697" s="5059"/>
      <c r="Q1697" s="5059"/>
      <c r="R1697" s="5059"/>
      <c r="S1697" s="5059"/>
      <c r="T1697" s="5059"/>
      <c r="U1697" s="5059"/>
      <c r="V1697" s="5059"/>
      <c r="W1697" s="5059"/>
      <c r="X1697" s="5059"/>
      <c r="Y1697" s="5075"/>
      <c r="Z1697" s="5075"/>
      <c r="AA1697" s="5059"/>
      <c r="AB1697" s="5059"/>
      <c r="AC1697" s="3741"/>
      <c r="AD1697" s="6761"/>
      <c r="AE1697" s="3741"/>
      <c r="AF1697" s="3741"/>
      <c r="AG1697" s="4840">
        <f>SUM(BA1697:BN1697)</f>
        <v>-10811.36</v>
      </c>
      <c r="AH1697" s="859" t="s">
        <v>122</v>
      </c>
      <c r="AI1697" s="3812">
        <v>45855</v>
      </c>
      <c r="AJ1697" s="3812">
        <f>SUBTOTAL(9,BC1697:BN1697)</f>
        <v>-10811.36</v>
      </c>
      <c r="AK1697" s="3812">
        <v>45855</v>
      </c>
      <c r="AL1697" s="5059">
        <v>1757282.73</v>
      </c>
      <c r="AM1697" s="5059">
        <v>45861</v>
      </c>
      <c r="AN1697" s="6292">
        <f t="shared" ref="AN1697:AN1711" si="363">SUM(BO1697:CB1697)</f>
        <v>1757282.73</v>
      </c>
      <c r="AO1697" s="5059">
        <v>45960</v>
      </c>
      <c r="AP1697" s="3812">
        <f>AF1697-AN1697</f>
        <v>-1757282.73</v>
      </c>
      <c r="AQ1697" s="3742"/>
      <c r="AR1697" s="3742"/>
      <c r="AS1697" s="3742"/>
      <c r="AT1697" s="3742"/>
      <c r="AU1697" s="3742"/>
      <c r="AV1697" s="3742"/>
      <c r="AW1697" s="3742"/>
      <c r="AX1697" s="3742"/>
      <c r="AY1697" s="3742"/>
      <c r="AZ1697" s="3742"/>
      <c r="BA1697" s="5059"/>
      <c r="BB1697" s="5059"/>
      <c r="BC1697" s="6775"/>
      <c r="BD1697" s="6775"/>
      <c r="BE1697" s="6775"/>
      <c r="BF1697" s="6775"/>
      <c r="BG1697" s="6775"/>
      <c r="BH1697" s="6775"/>
      <c r="BI1697" s="6775"/>
      <c r="BJ1697" s="6775"/>
      <c r="BK1697" s="6775"/>
      <c r="BL1697" s="6775"/>
      <c r="BM1697" s="6775"/>
      <c r="BN1697" s="5059">
        <v>-10811.36</v>
      </c>
      <c r="BO1697" s="5346"/>
      <c r="BP1697" s="5346"/>
      <c r="BQ1697" s="5059">
        <v>123633.38</v>
      </c>
      <c r="BR1697" s="5059"/>
      <c r="BS1697" s="5059"/>
      <c r="BT1697" s="5059"/>
      <c r="BU1697" s="5059"/>
      <c r="BV1697" s="5059">
        <v>79024.78</v>
      </c>
      <c r="BW1697" s="5059">
        <v>365276.47</v>
      </c>
      <c r="BX1697" s="5059"/>
      <c r="BY1697" s="5059"/>
      <c r="BZ1697" s="5059"/>
      <c r="CA1697" s="5059"/>
      <c r="CB1697" s="5059">
        <f>1190159.46-811.36</f>
        <v>1189348.1</v>
      </c>
      <c r="CC1697" s="3742"/>
      <c r="CD1697" s="3742"/>
      <c r="CE1697" s="6775"/>
      <c r="CF1697" s="6775"/>
      <c r="CG1697" s="6775"/>
      <c r="CH1697" s="6775"/>
    </row>
    <row r="1698" s="4989" customFormat="1" ht="27.75" customHeight="1" spans="1:86">
      <c r="A1698" s="3742"/>
      <c r="B1698" s="5073" t="s">
        <v>173</v>
      </c>
      <c r="C1698" s="5214">
        <v>45611</v>
      </c>
      <c r="D1698" s="5073" t="s">
        <v>201</v>
      </c>
      <c r="E1698" s="5214"/>
      <c r="F1698" s="5073" t="s">
        <v>2950</v>
      </c>
      <c r="G1698" s="5073" t="s">
        <v>2951</v>
      </c>
      <c r="H1698" s="5073" t="s">
        <v>813</v>
      </c>
      <c r="I1698" s="5073" t="s">
        <v>2952</v>
      </c>
      <c r="J1698" s="1032" t="s">
        <v>194</v>
      </c>
      <c r="K1698" s="5214">
        <f>M1698/L1698</f>
        <v>4361.60975609756</v>
      </c>
      <c r="L1698" s="5059">
        <v>82</v>
      </c>
      <c r="M1698" s="5059">
        <f>SUBTOTAL(9,N1698:AA1700)</f>
        <v>357652</v>
      </c>
      <c r="N1698" s="5214"/>
      <c r="O1698" s="5214"/>
      <c r="P1698" s="5214"/>
      <c r="Q1698" s="5214"/>
      <c r="R1698" s="5214"/>
      <c r="S1698" s="6757">
        <v>118026</v>
      </c>
      <c r="T1698" s="6757"/>
      <c r="U1698" s="5214"/>
      <c r="V1698" s="5214"/>
      <c r="W1698" s="5214"/>
      <c r="X1698" s="5214"/>
      <c r="Y1698" s="6757">
        <v>239626</v>
      </c>
      <c r="Z1698" s="6757"/>
      <c r="AA1698" s="5214"/>
      <c r="AB1698" s="5214"/>
      <c r="AC1698" s="3742">
        <v>1</v>
      </c>
      <c r="AD1698" s="5256" t="s">
        <v>1262</v>
      </c>
      <c r="AE1698" s="3742">
        <v>0.2</v>
      </c>
      <c r="AF1698" s="3742">
        <f>M1698*AE1698</f>
        <v>71530.4</v>
      </c>
      <c r="AG1698" s="4813">
        <f>SUBTOTAL(9,BA1698:BN1698)</f>
        <v>71530.4</v>
      </c>
      <c r="AH1698" s="5199" t="s">
        <v>122</v>
      </c>
      <c r="AI1698" s="3812">
        <v>45653</v>
      </c>
      <c r="AJ1698" s="3812">
        <v>71530.4</v>
      </c>
      <c r="AK1698" s="3812">
        <v>45653</v>
      </c>
      <c r="AL1698" s="4813">
        <v>71530.4</v>
      </c>
      <c r="AM1698" s="5777">
        <v>45799</v>
      </c>
      <c r="AN1698" s="4813">
        <f t="shared" si="363"/>
        <v>71530.4</v>
      </c>
      <c r="AO1698" s="4813">
        <v>46021</v>
      </c>
      <c r="AP1698" s="3812"/>
      <c r="AQ1698" s="5252" t="s">
        <v>209</v>
      </c>
      <c r="AR1698" s="3742"/>
      <c r="AS1698" s="3742"/>
      <c r="AT1698" s="3742"/>
      <c r="AU1698" s="3742"/>
      <c r="AV1698" s="3742"/>
      <c r="AW1698" s="3742"/>
      <c r="AX1698" s="3742"/>
      <c r="AY1698" s="3742"/>
      <c r="AZ1698" s="3742"/>
      <c r="BA1698" s="5059"/>
      <c r="BB1698" s="5059"/>
      <c r="BC1698" s="5059"/>
      <c r="BD1698" s="5059"/>
      <c r="BE1698" s="5059"/>
      <c r="BF1698" s="5059">
        <v>23843.4666666667</v>
      </c>
      <c r="BG1698" s="5059"/>
      <c r="BH1698" s="5059"/>
      <c r="BI1698" s="5059"/>
      <c r="BJ1698" s="5059"/>
      <c r="BK1698" s="5059"/>
      <c r="BL1698" s="5059">
        <v>47686.9333333333</v>
      </c>
      <c r="BM1698" s="5346"/>
      <c r="BN1698" s="5059"/>
      <c r="BO1698" s="5346"/>
      <c r="BP1698" s="5346"/>
      <c r="BQ1698" s="5346"/>
      <c r="BR1698" s="5346"/>
      <c r="BS1698" s="5346"/>
      <c r="BT1698" s="5059">
        <v>23843.4666666667</v>
      </c>
      <c r="BU1698" s="5059"/>
      <c r="BV1698" s="5059"/>
      <c r="BW1698" s="5059"/>
      <c r="BX1698" s="5059"/>
      <c r="BY1698" s="5059"/>
      <c r="BZ1698" s="5059">
        <v>47686.9333333333</v>
      </c>
      <c r="CA1698" s="5059"/>
      <c r="CB1698" s="5346"/>
      <c r="CC1698" s="3740"/>
      <c r="CD1698" s="3740"/>
      <c r="CE1698" s="6775"/>
      <c r="CF1698" s="6775"/>
      <c r="CG1698" s="6775"/>
      <c r="CH1698" s="6775"/>
    </row>
    <row r="1699" s="4989" customFormat="1" ht="27.75" customHeight="1" spans="1:86">
      <c r="A1699" s="3742"/>
      <c r="B1699" s="3669"/>
      <c r="C1699" s="5074"/>
      <c r="D1699" s="5074"/>
      <c r="E1699" s="5074"/>
      <c r="F1699" s="5074"/>
      <c r="G1699" s="5074"/>
      <c r="H1699" s="5074"/>
      <c r="I1699" s="5074"/>
      <c r="J1699" s="5059"/>
      <c r="K1699" s="5074"/>
      <c r="L1699" s="5059"/>
      <c r="M1699" s="5059"/>
      <c r="N1699" s="5074"/>
      <c r="O1699" s="5074"/>
      <c r="P1699" s="5074"/>
      <c r="Q1699" s="5074"/>
      <c r="R1699" s="5074"/>
      <c r="S1699" s="6758"/>
      <c r="T1699" s="6758"/>
      <c r="U1699" s="5074"/>
      <c r="V1699" s="5074"/>
      <c r="W1699" s="5074"/>
      <c r="X1699" s="5074"/>
      <c r="Y1699" s="6758"/>
      <c r="Z1699" s="6758"/>
      <c r="AA1699" s="5074"/>
      <c r="AB1699" s="5074"/>
      <c r="AC1699" s="3742">
        <v>2</v>
      </c>
      <c r="AD1699" s="5256" t="s">
        <v>1235</v>
      </c>
      <c r="AE1699" s="3742">
        <v>0.7</v>
      </c>
      <c r="AF1699" s="3742">
        <f>M1698*AE1699</f>
        <v>250356.4</v>
      </c>
      <c r="AG1699" s="4813">
        <f>SUBTOTAL(9,BA1699:BN1699)</f>
        <v>250356.4</v>
      </c>
      <c r="AH1699" s="5199" t="s">
        <v>122</v>
      </c>
      <c r="AI1699" s="3812">
        <v>45653</v>
      </c>
      <c r="AJ1699" s="3812">
        <v>250356.4</v>
      </c>
      <c r="AK1699" s="3812">
        <v>45653</v>
      </c>
      <c r="AL1699" s="4813">
        <v>250356.4</v>
      </c>
      <c r="AM1699" s="5777">
        <v>45799</v>
      </c>
      <c r="AN1699" s="4813">
        <f t="shared" si="363"/>
        <v>250356.4</v>
      </c>
      <c r="AO1699" s="4813">
        <v>46021</v>
      </c>
      <c r="AP1699" s="3812"/>
      <c r="AQ1699" s="5252" t="s">
        <v>209</v>
      </c>
      <c r="AR1699" s="3742"/>
      <c r="AS1699" s="3742"/>
      <c r="AT1699" s="3742"/>
      <c r="AU1699" s="3742"/>
      <c r="AV1699" s="3742"/>
      <c r="AW1699" s="3742"/>
      <c r="AX1699" s="3742"/>
      <c r="AY1699" s="3742"/>
      <c r="AZ1699" s="3742"/>
      <c r="BA1699" s="5059"/>
      <c r="BB1699" s="5059"/>
      <c r="BC1699" s="5059"/>
      <c r="BD1699" s="5059"/>
      <c r="BE1699" s="5059"/>
      <c r="BF1699" s="5059">
        <v>83452.1333333333</v>
      </c>
      <c r="BG1699" s="5059"/>
      <c r="BH1699" s="5059"/>
      <c r="BI1699" s="5059"/>
      <c r="BJ1699" s="5059"/>
      <c r="BK1699" s="5059"/>
      <c r="BL1699" s="5059">
        <v>166904.266666667</v>
      </c>
      <c r="BM1699" s="5346"/>
      <c r="BN1699" s="5059"/>
      <c r="BO1699" s="5346"/>
      <c r="BP1699" s="5346"/>
      <c r="BQ1699" s="5346"/>
      <c r="BR1699" s="5346"/>
      <c r="BS1699" s="5346"/>
      <c r="BT1699" s="5059">
        <v>83452.1333333333</v>
      </c>
      <c r="BU1699" s="5059"/>
      <c r="BV1699" s="5059"/>
      <c r="BW1699" s="5059"/>
      <c r="BX1699" s="5059"/>
      <c r="BY1699" s="5059"/>
      <c r="BZ1699" s="5059">
        <v>166904.266666667</v>
      </c>
      <c r="CA1699" s="5059"/>
      <c r="CB1699" s="5346"/>
      <c r="CC1699" s="3740"/>
      <c r="CD1699" s="3740"/>
      <c r="CE1699" s="6775"/>
      <c r="CF1699" s="6775"/>
      <c r="CG1699" s="6775"/>
      <c r="CH1699" s="6775"/>
    </row>
    <row r="1700" s="4989" customFormat="1" ht="27.75" customHeight="1" spans="1:86">
      <c r="A1700" s="3742"/>
      <c r="B1700" s="3669"/>
      <c r="C1700" s="5074"/>
      <c r="D1700" s="5074"/>
      <c r="E1700" s="5074"/>
      <c r="F1700" s="5074"/>
      <c r="G1700" s="5074"/>
      <c r="H1700" s="5074"/>
      <c r="I1700" s="5074"/>
      <c r="J1700" s="5214"/>
      <c r="K1700" s="5074"/>
      <c r="L1700" s="5059"/>
      <c r="M1700" s="5059"/>
      <c r="N1700" s="5074"/>
      <c r="O1700" s="5074"/>
      <c r="P1700" s="5074"/>
      <c r="Q1700" s="5074"/>
      <c r="R1700" s="5074"/>
      <c r="S1700" s="6758"/>
      <c r="T1700" s="6758"/>
      <c r="U1700" s="5074"/>
      <c r="V1700" s="5074"/>
      <c r="W1700" s="5074"/>
      <c r="X1700" s="5074"/>
      <c r="Y1700" s="6759"/>
      <c r="Z1700" s="6758"/>
      <c r="AA1700" s="5074"/>
      <c r="AB1700" s="5074"/>
      <c r="AC1700" s="3742">
        <v>3</v>
      </c>
      <c r="AD1700" s="5256" t="s">
        <v>2953</v>
      </c>
      <c r="AE1700" s="3742">
        <v>0.1</v>
      </c>
      <c r="AF1700" s="3742">
        <f>M1698*AE1700</f>
        <v>35765.2</v>
      </c>
      <c r="AG1700" s="4813">
        <f>SUBTOTAL(9,BA1700:BN1700)</f>
        <v>35765.2</v>
      </c>
      <c r="AH1700" s="5199" t="s">
        <v>122</v>
      </c>
      <c r="AI1700" s="3812">
        <v>45653</v>
      </c>
      <c r="AJ1700" s="3812">
        <v>35765.2</v>
      </c>
      <c r="AK1700" s="3812">
        <v>45653</v>
      </c>
      <c r="AL1700" s="4813">
        <v>35765.2</v>
      </c>
      <c r="AM1700" s="5777">
        <v>45799</v>
      </c>
      <c r="AN1700" s="4813">
        <f t="shared" si="363"/>
        <v>35765.2</v>
      </c>
      <c r="AO1700" s="4813">
        <v>46021</v>
      </c>
      <c r="AP1700" s="3812"/>
      <c r="AQ1700" s="5252" t="s">
        <v>209</v>
      </c>
      <c r="AR1700" s="3742"/>
      <c r="AS1700" s="3742"/>
      <c r="AT1700" s="3742"/>
      <c r="AU1700" s="3742"/>
      <c r="AV1700" s="3742"/>
      <c r="AW1700" s="3742"/>
      <c r="AX1700" s="3742"/>
      <c r="AY1700" s="3742"/>
      <c r="AZ1700" s="3742"/>
      <c r="BA1700" s="5059"/>
      <c r="BB1700" s="5059"/>
      <c r="BC1700" s="5059"/>
      <c r="BD1700" s="5059"/>
      <c r="BE1700" s="5059"/>
      <c r="BF1700" s="5059">
        <v>11921.7333333333</v>
      </c>
      <c r="BG1700" s="5059"/>
      <c r="BH1700" s="5059"/>
      <c r="BI1700" s="5059"/>
      <c r="BJ1700" s="5059"/>
      <c r="BK1700" s="5059"/>
      <c r="BL1700" s="5059">
        <v>23843.4666666667</v>
      </c>
      <c r="BM1700" s="5346"/>
      <c r="BN1700" s="5059"/>
      <c r="BO1700" s="5346"/>
      <c r="BP1700" s="5346"/>
      <c r="BQ1700" s="5346"/>
      <c r="BR1700" s="5346"/>
      <c r="BS1700" s="5346"/>
      <c r="BT1700" s="5059">
        <v>11921.7333333333</v>
      </c>
      <c r="BU1700" s="5059"/>
      <c r="BV1700" s="5059"/>
      <c r="BW1700" s="5059"/>
      <c r="BX1700" s="5059"/>
      <c r="BY1700" s="5059"/>
      <c r="BZ1700" s="5059">
        <v>23843.4666666667</v>
      </c>
      <c r="CA1700" s="5059"/>
      <c r="CB1700" s="5346"/>
      <c r="CC1700" s="3740"/>
      <c r="CD1700" s="3740"/>
      <c r="CE1700" s="6775"/>
      <c r="CF1700" s="6775"/>
      <c r="CG1700" s="6775"/>
      <c r="CH1700" s="6775"/>
    </row>
    <row r="1701" s="4989" customFormat="1" ht="60.7" customHeight="1" spans="1:86">
      <c r="A1701" s="3742"/>
      <c r="B1701" s="5205" t="s">
        <v>2379</v>
      </c>
      <c r="C1701" s="5214">
        <v>45636</v>
      </c>
      <c r="D1701" s="5205" t="s">
        <v>2954</v>
      </c>
      <c r="E1701" s="5214"/>
      <c r="F1701" s="5205" t="s">
        <v>2955</v>
      </c>
      <c r="G1701" s="1032" t="s">
        <v>2956</v>
      </c>
      <c r="H1701" s="1032" t="s">
        <v>813</v>
      </c>
      <c r="I1701" s="1032" t="s">
        <v>2957</v>
      </c>
      <c r="J1701" s="1032" t="s">
        <v>2958</v>
      </c>
      <c r="K1701" s="1032" t="s">
        <v>2959</v>
      </c>
      <c r="L1701" s="1032" t="s">
        <v>2960</v>
      </c>
      <c r="M1701" s="5074">
        <v>620000</v>
      </c>
      <c r="N1701" s="5074"/>
      <c r="O1701" s="5074"/>
      <c r="P1701" s="5074"/>
      <c r="Q1701" s="5074"/>
      <c r="R1701" s="5074"/>
      <c r="S1701" s="5074">
        <v>20000</v>
      </c>
      <c r="T1701" s="6758"/>
      <c r="U1701" s="5074">
        <v>132000</v>
      </c>
      <c r="V1701" s="5074"/>
      <c r="W1701" s="5074"/>
      <c r="X1701" s="5074"/>
      <c r="Y1701" s="5074">
        <v>468000</v>
      </c>
      <c r="Z1701" s="5074"/>
      <c r="AA1701" s="5074"/>
      <c r="AB1701" s="5074"/>
      <c r="AC1701" s="3740">
        <v>1</v>
      </c>
      <c r="AD1701" s="5073" t="s">
        <v>2961</v>
      </c>
      <c r="AE1701" s="3740">
        <v>0.3</v>
      </c>
      <c r="AF1701" s="3740">
        <f>AE1701*M1701</f>
        <v>186000</v>
      </c>
      <c r="AG1701" s="5248">
        <f>SUBTOTAL(9,BA1701:BN1702)</f>
        <v>186000</v>
      </c>
      <c r="AH1701" s="6765" t="s">
        <v>122</v>
      </c>
      <c r="AI1701" s="5248">
        <v>45649</v>
      </c>
      <c r="AJ1701" s="4840">
        <f t="shared" ref="AJ1701:AJ1706" si="364">SUBTOTAL(9,BD1701:BQ1701)</f>
        <v>57660</v>
      </c>
      <c r="AK1701" s="4840">
        <v>45649</v>
      </c>
      <c r="AL1701" s="4840">
        <f>SUBTOTAL(9,BF1701:BS1701)</f>
        <v>57660</v>
      </c>
      <c r="AM1701" s="4840">
        <v>45649</v>
      </c>
      <c r="AN1701" s="2713">
        <f t="shared" si="363"/>
        <v>57660</v>
      </c>
      <c r="AO1701" s="5059">
        <v>45656</v>
      </c>
      <c r="AP1701" s="3812"/>
      <c r="AQ1701" s="1032" t="s">
        <v>2962</v>
      </c>
      <c r="AR1701" s="3742"/>
      <c r="AS1701" s="3742"/>
      <c r="AT1701" s="3742"/>
      <c r="AU1701" s="3742"/>
      <c r="AV1701" s="3742"/>
      <c r="AW1701" s="3742"/>
      <c r="AX1701" s="3742"/>
      <c r="AY1701" s="3742"/>
      <c r="AZ1701" s="3742"/>
      <c r="BA1701" s="5059"/>
      <c r="BB1701" s="5059"/>
      <c r="BC1701" s="5059"/>
      <c r="BD1701" s="5059"/>
      <c r="BE1701" s="5059"/>
      <c r="BF1701" s="1032">
        <v>1860</v>
      </c>
      <c r="BG1701" s="5059"/>
      <c r="BH1701" s="5059">
        <v>12276</v>
      </c>
      <c r="BI1701" s="5059"/>
      <c r="BJ1701" s="5059"/>
      <c r="BK1701" s="5059"/>
      <c r="BL1701" s="5059">
        <v>43524</v>
      </c>
      <c r="BM1701" s="5059"/>
      <c r="BN1701" s="5059"/>
      <c r="BO1701" s="5346"/>
      <c r="BP1701" s="5346"/>
      <c r="BQ1701" s="5346"/>
      <c r="BR1701" s="5346"/>
      <c r="BS1701" s="5346"/>
      <c r="BT1701" s="1032">
        <v>1860</v>
      </c>
      <c r="BU1701" s="5059"/>
      <c r="BV1701" s="5059">
        <v>12276</v>
      </c>
      <c r="BW1701" s="5059"/>
      <c r="BX1701" s="5059"/>
      <c r="BY1701" s="5059"/>
      <c r="BZ1701" s="5059">
        <v>43524</v>
      </c>
      <c r="CA1701" s="5059"/>
      <c r="CB1701" s="5346"/>
      <c r="CC1701" s="3740"/>
      <c r="CD1701" s="3740"/>
      <c r="CE1701" s="6775"/>
      <c r="CF1701" s="6775"/>
      <c r="CG1701" s="6775"/>
      <c r="CH1701" s="6775"/>
    </row>
    <row r="1702" s="4989" customFormat="1" ht="60.7" customHeight="1" spans="1:86">
      <c r="A1702" s="3742"/>
      <c r="B1702" s="5205"/>
      <c r="C1702" s="5074"/>
      <c r="D1702" s="5205"/>
      <c r="E1702" s="5074"/>
      <c r="F1702" s="5205"/>
      <c r="G1702" s="1032"/>
      <c r="H1702" s="1032"/>
      <c r="I1702" s="1032"/>
      <c r="J1702" s="1032"/>
      <c r="K1702" s="1032"/>
      <c r="L1702" s="1032"/>
      <c r="M1702" s="5074"/>
      <c r="N1702" s="5074"/>
      <c r="O1702" s="5074"/>
      <c r="P1702" s="5074"/>
      <c r="Q1702" s="5074"/>
      <c r="R1702" s="5074"/>
      <c r="S1702" s="5074"/>
      <c r="T1702" s="6758"/>
      <c r="U1702" s="5074"/>
      <c r="V1702" s="5074"/>
      <c r="W1702" s="5074"/>
      <c r="X1702" s="5074"/>
      <c r="Y1702" s="5074"/>
      <c r="Z1702" s="5074"/>
      <c r="AA1702" s="5074"/>
      <c r="AB1702" s="5074"/>
      <c r="AC1702" s="3741"/>
      <c r="AD1702" s="5206"/>
      <c r="AE1702" s="3741"/>
      <c r="AF1702" s="3741"/>
      <c r="AG1702" s="5350"/>
      <c r="AH1702" s="6766"/>
      <c r="AI1702" s="5350"/>
      <c r="AJ1702" s="4840">
        <f t="shared" si="364"/>
        <v>128340</v>
      </c>
      <c r="AK1702" s="4842"/>
      <c r="AL1702" s="4840">
        <f>SUBTOTAL(9,BF1702:BS1702)</f>
        <v>128340</v>
      </c>
      <c r="AM1702" s="4842"/>
      <c r="AN1702" s="2713">
        <f t="shared" si="363"/>
        <v>128340</v>
      </c>
      <c r="AO1702" s="5059">
        <v>45673</v>
      </c>
      <c r="AP1702" s="3812"/>
      <c r="AQ1702" s="1032" t="s">
        <v>2963</v>
      </c>
      <c r="AR1702" s="3742"/>
      <c r="AS1702" s="3742"/>
      <c r="AT1702" s="3742"/>
      <c r="AU1702" s="3742"/>
      <c r="AV1702" s="3742"/>
      <c r="AW1702" s="3742"/>
      <c r="AX1702" s="3742"/>
      <c r="AY1702" s="3742"/>
      <c r="AZ1702" s="3742"/>
      <c r="BA1702" s="5059"/>
      <c r="BB1702" s="5059"/>
      <c r="BC1702" s="5059"/>
      <c r="BD1702" s="5059"/>
      <c r="BE1702" s="5059"/>
      <c r="BF1702" s="1032">
        <v>4140</v>
      </c>
      <c r="BG1702" s="5059"/>
      <c r="BH1702" s="5059">
        <v>27324</v>
      </c>
      <c r="BI1702" s="5059"/>
      <c r="BJ1702" s="5059"/>
      <c r="BK1702" s="5059"/>
      <c r="BL1702" s="5059">
        <v>96876</v>
      </c>
      <c r="BM1702" s="5059"/>
      <c r="BN1702" s="5059"/>
      <c r="BO1702" s="5346"/>
      <c r="BP1702" s="5346"/>
      <c r="BQ1702" s="5346"/>
      <c r="BR1702" s="5346"/>
      <c r="BS1702" s="5346"/>
      <c r="BT1702" s="1032">
        <v>4140</v>
      </c>
      <c r="BU1702" s="5059"/>
      <c r="BV1702" s="5059">
        <v>27324</v>
      </c>
      <c r="BW1702" s="5059"/>
      <c r="BX1702" s="5059"/>
      <c r="BY1702" s="5059"/>
      <c r="BZ1702" s="5059">
        <v>96876</v>
      </c>
      <c r="CA1702" s="5059"/>
      <c r="CB1702" s="5346"/>
      <c r="CC1702" s="3740"/>
      <c r="CD1702" s="3740"/>
      <c r="CE1702" s="6775"/>
      <c r="CF1702" s="6775"/>
      <c r="CG1702" s="6775"/>
      <c r="CH1702" s="6775"/>
    </row>
    <row r="1703" s="4989" customFormat="1" ht="64.75" customHeight="1" spans="1:86">
      <c r="A1703" s="3742"/>
      <c r="B1703" s="3669"/>
      <c r="C1703" s="5074"/>
      <c r="D1703" s="5074"/>
      <c r="E1703" s="5074"/>
      <c r="F1703" s="5074"/>
      <c r="G1703" s="5059"/>
      <c r="H1703" s="5059"/>
      <c r="I1703" s="5059"/>
      <c r="J1703" s="5059"/>
      <c r="K1703" s="5059"/>
      <c r="L1703" s="5059"/>
      <c r="M1703" s="5074"/>
      <c r="N1703" s="5074"/>
      <c r="O1703" s="5074"/>
      <c r="P1703" s="5074"/>
      <c r="Q1703" s="5074"/>
      <c r="R1703" s="5074"/>
      <c r="S1703" s="5074"/>
      <c r="T1703" s="6758"/>
      <c r="U1703" s="5074"/>
      <c r="V1703" s="5074"/>
      <c r="W1703" s="5074"/>
      <c r="X1703" s="5074"/>
      <c r="Y1703" s="5074"/>
      <c r="Z1703" s="5074"/>
      <c r="AA1703" s="5074"/>
      <c r="AB1703" s="5074"/>
      <c r="AC1703" s="3740">
        <v>2</v>
      </c>
      <c r="AD1703" s="5073" t="s">
        <v>2964</v>
      </c>
      <c r="AE1703" s="3740">
        <v>0.5</v>
      </c>
      <c r="AF1703" s="3740">
        <f>AE1703*M1701</f>
        <v>310000</v>
      </c>
      <c r="AG1703" s="5248">
        <f>SUBTOTAL(9,BA1703:BN1704)</f>
        <v>310000</v>
      </c>
      <c r="AH1703" s="6765" t="s">
        <v>122</v>
      </c>
      <c r="AI1703" s="5248">
        <v>45649</v>
      </c>
      <c r="AJ1703" s="4840">
        <f t="shared" si="364"/>
        <v>96100</v>
      </c>
      <c r="AK1703" s="4840">
        <v>45649</v>
      </c>
      <c r="AL1703" s="4840">
        <f>SUBTOTAL(9,BF1703:BS1703)</f>
        <v>96100</v>
      </c>
      <c r="AM1703" s="4840">
        <v>45649</v>
      </c>
      <c r="AN1703" s="2713">
        <f t="shared" si="363"/>
        <v>96100</v>
      </c>
      <c r="AO1703" s="5059">
        <v>45656</v>
      </c>
      <c r="AP1703" s="3812"/>
      <c r="AQ1703" s="1032" t="s">
        <v>2965</v>
      </c>
      <c r="AR1703" s="3742"/>
      <c r="AS1703" s="3742"/>
      <c r="AT1703" s="3742"/>
      <c r="AU1703" s="3742"/>
      <c r="AV1703" s="3742"/>
      <c r="AW1703" s="3742"/>
      <c r="AX1703" s="3742"/>
      <c r="AY1703" s="3742"/>
      <c r="AZ1703" s="3742"/>
      <c r="BA1703" s="5059"/>
      <c r="BB1703" s="5059"/>
      <c r="BC1703" s="5059"/>
      <c r="BD1703" s="5059"/>
      <c r="BE1703" s="5059"/>
      <c r="BF1703" s="5059">
        <v>3100</v>
      </c>
      <c r="BG1703" s="5059"/>
      <c r="BH1703" s="5059">
        <v>20460</v>
      </c>
      <c r="BI1703" s="5059"/>
      <c r="BJ1703" s="5059"/>
      <c r="BK1703" s="5059"/>
      <c r="BL1703" s="5059">
        <v>72540</v>
      </c>
      <c r="BM1703" s="5059"/>
      <c r="BN1703" s="5059"/>
      <c r="BO1703" s="5346"/>
      <c r="BP1703" s="5346"/>
      <c r="BQ1703" s="5346"/>
      <c r="BR1703" s="5346"/>
      <c r="BS1703" s="5346"/>
      <c r="BT1703" s="5059">
        <v>3100</v>
      </c>
      <c r="BU1703" s="5059"/>
      <c r="BV1703" s="5059">
        <v>20460</v>
      </c>
      <c r="BW1703" s="5059"/>
      <c r="BX1703" s="5059"/>
      <c r="BY1703" s="5059"/>
      <c r="BZ1703" s="5059">
        <v>72540</v>
      </c>
      <c r="CA1703" s="5059"/>
      <c r="CB1703" s="5346"/>
      <c r="CC1703" s="3740"/>
      <c r="CD1703" s="3740"/>
      <c r="CE1703" s="6775"/>
      <c r="CF1703" s="6775"/>
      <c r="CG1703" s="6775"/>
      <c r="CH1703" s="6775"/>
    </row>
    <row r="1704" s="4989" customFormat="1" ht="64.75" customHeight="1" spans="1:86">
      <c r="A1704" s="3742"/>
      <c r="B1704" s="3669"/>
      <c r="C1704" s="5074"/>
      <c r="D1704" s="5074"/>
      <c r="E1704" s="5074"/>
      <c r="F1704" s="5074"/>
      <c r="G1704" s="5059"/>
      <c r="H1704" s="5059"/>
      <c r="I1704" s="5059"/>
      <c r="J1704" s="5059"/>
      <c r="K1704" s="5059"/>
      <c r="L1704" s="5059"/>
      <c r="M1704" s="5074"/>
      <c r="N1704" s="5074"/>
      <c r="O1704" s="5074"/>
      <c r="P1704" s="5074"/>
      <c r="Q1704" s="5074"/>
      <c r="R1704" s="5074"/>
      <c r="S1704" s="5074"/>
      <c r="T1704" s="6758"/>
      <c r="U1704" s="5074"/>
      <c r="V1704" s="5074"/>
      <c r="W1704" s="5074"/>
      <c r="X1704" s="5074"/>
      <c r="Y1704" s="5074"/>
      <c r="Z1704" s="5074"/>
      <c r="AA1704" s="5074"/>
      <c r="AB1704" s="5074"/>
      <c r="AC1704" s="3741"/>
      <c r="AD1704" s="5206"/>
      <c r="AE1704" s="3741"/>
      <c r="AF1704" s="3741"/>
      <c r="AG1704" s="5350"/>
      <c r="AH1704" s="6766"/>
      <c r="AI1704" s="5350"/>
      <c r="AJ1704" s="3812">
        <f t="shared" si="364"/>
        <v>213900</v>
      </c>
      <c r="AK1704" s="4842"/>
      <c r="AL1704" s="4840">
        <f>SUBTOTAL(9,BF1704:BS1704)</f>
        <v>213900</v>
      </c>
      <c r="AM1704" s="4842"/>
      <c r="AN1704" s="2713">
        <f t="shared" si="363"/>
        <v>213900</v>
      </c>
      <c r="AO1704" s="1032">
        <v>45673</v>
      </c>
      <c r="AP1704" s="3812"/>
      <c r="AQ1704" s="1032" t="s">
        <v>2966</v>
      </c>
      <c r="AR1704" s="3742"/>
      <c r="AS1704" s="3742"/>
      <c r="AT1704" s="3742"/>
      <c r="AU1704" s="3742"/>
      <c r="AV1704" s="3742"/>
      <c r="AW1704" s="3742"/>
      <c r="AX1704" s="3742"/>
      <c r="AY1704" s="3742"/>
      <c r="AZ1704" s="3742"/>
      <c r="BA1704" s="5059"/>
      <c r="BB1704" s="5059"/>
      <c r="BC1704" s="5059"/>
      <c r="BD1704" s="5059"/>
      <c r="BE1704" s="5059"/>
      <c r="BF1704" s="5059">
        <v>6900</v>
      </c>
      <c r="BG1704" s="5059"/>
      <c r="BH1704" s="5059">
        <v>45540</v>
      </c>
      <c r="BI1704" s="5059"/>
      <c r="BJ1704" s="5059"/>
      <c r="BK1704" s="5059"/>
      <c r="BL1704" s="5059">
        <v>161460</v>
      </c>
      <c r="BM1704" s="5059"/>
      <c r="BN1704" s="5059"/>
      <c r="BO1704" s="5346"/>
      <c r="BP1704" s="5346"/>
      <c r="BQ1704" s="5346"/>
      <c r="BR1704" s="5346"/>
      <c r="BS1704" s="5346"/>
      <c r="BT1704" s="5059">
        <v>6900</v>
      </c>
      <c r="BU1704" s="5059"/>
      <c r="BV1704" s="5059">
        <v>45540</v>
      </c>
      <c r="BW1704" s="5059"/>
      <c r="BX1704" s="5059"/>
      <c r="BY1704" s="5059"/>
      <c r="BZ1704" s="5059">
        <v>161460</v>
      </c>
      <c r="CA1704" s="5059"/>
      <c r="CB1704" s="5346"/>
      <c r="CC1704" s="3740"/>
      <c r="CD1704" s="3740"/>
      <c r="CE1704" s="6775"/>
      <c r="CF1704" s="6775"/>
      <c r="CG1704" s="6775"/>
      <c r="CH1704" s="6775"/>
    </row>
    <row r="1705" s="4989" customFormat="1" ht="64.75" customHeight="1" spans="1:86">
      <c r="A1705" s="3742"/>
      <c r="B1705" s="3669"/>
      <c r="C1705" s="5074"/>
      <c r="D1705" s="5074"/>
      <c r="E1705" s="5074"/>
      <c r="F1705" s="5074"/>
      <c r="G1705" s="5059"/>
      <c r="H1705" s="5059"/>
      <c r="I1705" s="5059"/>
      <c r="J1705" s="5059"/>
      <c r="K1705" s="5059"/>
      <c r="L1705" s="5059"/>
      <c r="M1705" s="5074"/>
      <c r="N1705" s="5074"/>
      <c r="O1705" s="5074"/>
      <c r="P1705" s="5074"/>
      <c r="Q1705" s="5074"/>
      <c r="R1705" s="5074"/>
      <c r="S1705" s="5074"/>
      <c r="T1705" s="6758"/>
      <c r="U1705" s="5074"/>
      <c r="V1705" s="5074"/>
      <c r="W1705" s="5074"/>
      <c r="X1705" s="5074"/>
      <c r="Y1705" s="5074"/>
      <c r="Z1705" s="5074"/>
      <c r="AA1705" s="5074"/>
      <c r="AB1705" s="5074"/>
      <c r="AC1705" s="3669">
        <v>3</v>
      </c>
      <c r="AD1705" s="5205" t="s">
        <v>2967</v>
      </c>
      <c r="AE1705" s="3669">
        <v>0.2</v>
      </c>
      <c r="AF1705" s="3669">
        <f>AE1705*M1701</f>
        <v>124000</v>
      </c>
      <c r="AG1705" s="5978">
        <v>124000</v>
      </c>
      <c r="AH1705" s="6767" t="s">
        <v>122</v>
      </c>
      <c r="AI1705" s="4841">
        <v>45859</v>
      </c>
      <c r="AJ1705" s="4840">
        <f t="shared" si="364"/>
        <v>38440</v>
      </c>
      <c r="AK1705" s="4841">
        <v>45859</v>
      </c>
      <c r="AL1705" s="3742">
        <v>38440</v>
      </c>
      <c r="AM1705" s="4842">
        <v>45945</v>
      </c>
      <c r="AN1705" s="857">
        <f t="shared" si="363"/>
        <v>38440</v>
      </c>
      <c r="AO1705" s="1032">
        <v>45989</v>
      </c>
      <c r="AP1705" s="3812"/>
      <c r="AQ1705" s="1032" t="s">
        <v>2968</v>
      </c>
      <c r="AR1705" s="3742"/>
      <c r="AS1705" s="3742"/>
      <c r="AT1705" s="3742"/>
      <c r="AU1705" s="3742"/>
      <c r="AV1705" s="3742"/>
      <c r="AW1705" s="3742"/>
      <c r="AX1705" s="3742"/>
      <c r="AY1705" s="3742"/>
      <c r="AZ1705" s="3742"/>
      <c r="BA1705" s="5059"/>
      <c r="BB1705" s="5059"/>
      <c r="BC1705" s="5059"/>
      <c r="BD1705" s="5059"/>
      <c r="BE1705" s="5059"/>
      <c r="BF1705" s="5059">
        <v>1240</v>
      </c>
      <c r="BG1705" s="5059"/>
      <c r="BH1705" s="5059">
        <v>8184</v>
      </c>
      <c r="BI1705" s="5059"/>
      <c r="BJ1705" s="5059"/>
      <c r="BK1705" s="5059"/>
      <c r="BL1705" s="5059">
        <v>29016</v>
      </c>
      <c r="BM1705" s="5059"/>
      <c r="BN1705" s="5059"/>
      <c r="BO1705" s="5346"/>
      <c r="BP1705" s="5346"/>
      <c r="BQ1705" s="5346"/>
      <c r="BR1705" s="5346"/>
      <c r="BS1705" s="5346"/>
      <c r="BT1705" s="5059">
        <v>1240</v>
      </c>
      <c r="BU1705" s="5059"/>
      <c r="BV1705" s="5059">
        <v>8184</v>
      </c>
      <c r="BW1705" s="5059"/>
      <c r="BX1705" s="5059"/>
      <c r="BY1705" s="5059"/>
      <c r="BZ1705" s="5059">
        <v>29016</v>
      </c>
      <c r="CA1705" s="5059"/>
      <c r="CB1705" s="5346"/>
      <c r="CC1705" s="3740"/>
      <c r="CD1705" s="3740"/>
      <c r="CE1705" s="6775"/>
      <c r="CF1705" s="6775"/>
      <c r="CG1705" s="6775"/>
      <c r="CH1705" s="6775"/>
    </row>
    <row r="1706" s="4989" customFormat="1" ht="36" customHeight="1" spans="1:86">
      <c r="A1706" s="3742"/>
      <c r="B1706" s="3669"/>
      <c r="C1706" s="5074"/>
      <c r="D1706" s="5074"/>
      <c r="E1706" s="5074"/>
      <c r="F1706" s="5074"/>
      <c r="G1706" s="5059"/>
      <c r="H1706" s="5059"/>
      <c r="I1706" s="5059"/>
      <c r="J1706" s="5059"/>
      <c r="K1706" s="5059"/>
      <c r="L1706" s="5059"/>
      <c r="M1706" s="5074"/>
      <c r="N1706" s="5074"/>
      <c r="O1706" s="5074"/>
      <c r="P1706" s="5074"/>
      <c r="Q1706" s="5074"/>
      <c r="R1706" s="5074"/>
      <c r="S1706" s="5074"/>
      <c r="T1706" s="6758"/>
      <c r="U1706" s="5074"/>
      <c r="V1706" s="5074"/>
      <c r="W1706" s="5074"/>
      <c r="X1706" s="5074"/>
      <c r="Y1706" s="5074"/>
      <c r="Z1706" s="5074"/>
      <c r="AA1706" s="5074"/>
      <c r="AB1706" s="5074"/>
      <c r="AC1706" s="3741"/>
      <c r="AD1706" s="6761"/>
      <c r="AE1706" s="3741"/>
      <c r="AF1706" s="3741"/>
      <c r="AG1706" s="5350"/>
      <c r="AH1706" s="6766"/>
      <c r="AI1706" s="4842"/>
      <c r="AJ1706" s="4840">
        <f t="shared" si="364"/>
        <v>85560</v>
      </c>
      <c r="AK1706" s="4842"/>
      <c r="AL1706" s="3742">
        <v>85560</v>
      </c>
      <c r="AM1706" s="5059">
        <v>45862</v>
      </c>
      <c r="AN1706" s="857">
        <f t="shared" ref="AN1706:AN1713" si="365">SUM(BO1706:CB1706)</f>
        <v>85560</v>
      </c>
      <c r="AO1706" s="5059">
        <v>45974</v>
      </c>
      <c r="AP1706" s="3812"/>
      <c r="AQ1706" s="1032" t="s">
        <v>2969</v>
      </c>
      <c r="AR1706" s="3742"/>
      <c r="AS1706" s="3742"/>
      <c r="AT1706" s="3742"/>
      <c r="AU1706" s="3742"/>
      <c r="AV1706" s="3742"/>
      <c r="AW1706" s="3742"/>
      <c r="AX1706" s="3742"/>
      <c r="AY1706" s="3742"/>
      <c r="AZ1706" s="3742"/>
      <c r="BA1706" s="5059"/>
      <c r="BB1706" s="5059"/>
      <c r="BC1706" s="5059"/>
      <c r="BD1706" s="5059"/>
      <c r="BE1706" s="5059"/>
      <c r="BF1706" s="5059">
        <v>2760</v>
      </c>
      <c r="BG1706" s="5059"/>
      <c r="BH1706" s="5059">
        <v>18216</v>
      </c>
      <c r="BI1706" s="5059"/>
      <c r="BJ1706" s="5059"/>
      <c r="BK1706" s="5059"/>
      <c r="BL1706" s="5059">
        <v>64584</v>
      </c>
      <c r="BM1706" s="5059"/>
      <c r="BN1706" s="5059"/>
      <c r="BO1706" s="5346"/>
      <c r="BP1706" s="5346"/>
      <c r="BQ1706" s="5346"/>
      <c r="BR1706" s="5346"/>
      <c r="BS1706" s="5346"/>
      <c r="BT1706" s="5059">
        <v>2760</v>
      </c>
      <c r="BU1706" s="5059"/>
      <c r="BV1706" s="5059">
        <v>18216</v>
      </c>
      <c r="BW1706" s="5059"/>
      <c r="BX1706" s="5059"/>
      <c r="BY1706" s="5059"/>
      <c r="BZ1706" s="5059">
        <v>64584</v>
      </c>
      <c r="CA1706" s="5059"/>
      <c r="CB1706" s="5346"/>
      <c r="CC1706" s="3740"/>
      <c r="CD1706" s="3740"/>
      <c r="CE1706" s="6775"/>
      <c r="CF1706" s="6775"/>
      <c r="CG1706" s="6775"/>
      <c r="CH1706" s="6775"/>
    </row>
    <row r="1707" s="4989" customFormat="1" ht="107" spans="1:86">
      <c r="A1707" s="3742"/>
      <c r="B1707" s="5205" t="s">
        <v>2970</v>
      </c>
      <c r="C1707" s="5074">
        <v>45839</v>
      </c>
      <c r="D1707" s="5205" t="s">
        <v>2971</v>
      </c>
      <c r="E1707" s="5074"/>
      <c r="F1707" s="5205" t="s">
        <v>2972</v>
      </c>
      <c r="G1707" s="1032" t="s">
        <v>2973</v>
      </c>
      <c r="H1707" s="1032" t="s">
        <v>813</v>
      </c>
      <c r="I1707" s="5073" t="s">
        <v>2974</v>
      </c>
      <c r="J1707" s="1032" t="s">
        <v>2975</v>
      </c>
      <c r="K1707" s="5059">
        <v>1378</v>
      </c>
      <c r="L1707" s="5205" t="s">
        <v>2976</v>
      </c>
      <c r="M1707" s="5059">
        <v>201188</v>
      </c>
      <c r="N1707" s="5074"/>
      <c r="O1707" s="5074"/>
      <c r="P1707" s="5074"/>
      <c r="Q1707" s="5074"/>
      <c r="R1707" s="5074"/>
      <c r="S1707" s="5074">
        <v>44261.36</v>
      </c>
      <c r="T1707" s="6758"/>
      <c r="U1707" s="5074"/>
      <c r="V1707" s="5074"/>
      <c r="W1707" s="5074"/>
      <c r="X1707" s="5074"/>
      <c r="Y1707" s="5074">
        <v>156926.64</v>
      </c>
      <c r="Z1707" s="5074"/>
      <c r="AA1707" s="5074"/>
      <c r="AB1707" s="5074"/>
      <c r="AC1707" s="3742">
        <v>1</v>
      </c>
      <c r="AD1707" s="5256" t="s">
        <v>2977</v>
      </c>
      <c r="AE1707" s="3742">
        <v>1</v>
      </c>
      <c r="AF1707" s="3742">
        <v>201188</v>
      </c>
      <c r="AG1707" s="4813">
        <f>AF1707</f>
        <v>201188</v>
      </c>
      <c r="AH1707" s="1032" t="s">
        <v>122</v>
      </c>
      <c r="AI1707" s="857">
        <v>45845</v>
      </c>
      <c r="AJ1707" s="3812">
        <v>201188</v>
      </c>
      <c r="AK1707" s="3812">
        <v>45845</v>
      </c>
      <c r="AL1707" s="3742">
        <v>201188</v>
      </c>
      <c r="AM1707" s="5059">
        <v>45848</v>
      </c>
      <c r="AN1707" s="5059">
        <f t="shared" si="365"/>
        <v>201188</v>
      </c>
      <c r="AO1707" s="5059">
        <v>45883</v>
      </c>
      <c r="AP1707" s="3812"/>
      <c r="AQ1707" s="3742"/>
      <c r="AR1707" s="3742"/>
      <c r="AS1707" s="3742"/>
      <c r="AT1707" s="3742"/>
      <c r="AU1707" s="3742"/>
      <c r="AV1707" s="3742"/>
      <c r="AW1707" s="3742"/>
      <c r="AX1707" s="3742"/>
      <c r="AY1707" s="3742"/>
      <c r="AZ1707" s="3742"/>
      <c r="BA1707" s="5059"/>
      <c r="BB1707" s="5059"/>
      <c r="BC1707" s="5059"/>
      <c r="BD1707" s="5059"/>
      <c r="BE1707" s="5059"/>
      <c r="BF1707" s="5059">
        <v>44261.36</v>
      </c>
      <c r="BG1707" s="5059"/>
      <c r="BH1707" s="5059"/>
      <c r="BI1707" s="5059"/>
      <c r="BJ1707" s="5059"/>
      <c r="BK1707" s="5059"/>
      <c r="BL1707" s="5059">
        <v>156926.64</v>
      </c>
      <c r="BM1707" s="5059"/>
      <c r="BN1707" s="5059"/>
      <c r="BO1707" s="5346"/>
      <c r="BP1707" s="5346"/>
      <c r="BQ1707" s="5346"/>
      <c r="BR1707" s="5346"/>
      <c r="BS1707" s="5346"/>
      <c r="BT1707" s="5059">
        <v>44261.36</v>
      </c>
      <c r="BU1707" s="5059"/>
      <c r="BV1707" s="5059"/>
      <c r="BW1707" s="5059"/>
      <c r="BX1707" s="5059"/>
      <c r="BY1707" s="5059"/>
      <c r="BZ1707" s="5059">
        <v>156926.64</v>
      </c>
      <c r="CA1707" s="5059"/>
      <c r="CB1707" s="5346"/>
      <c r="CC1707" s="3740"/>
      <c r="CD1707" s="3740"/>
      <c r="CE1707" s="6775"/>
      <c r="CF1707" s="6775"/>
      <c r="CG1707" s="6775"/>
      <c r="CH1707" s="6775"/>
    </row>
    <row r="1708" s="4989" customFormat="1" ht="36.75" customHeight="1" spans="1:86">
      <c r="A1708" s="3742"/>
      <c r="B1708" s="5073" t="s">
        <v>2978</v>
      </c>
      <c r="C1708" s="5214">
        <v>45596</v>
      </c>
      <c r="D1708" s="5073" t="s">
        <v>2979</v>
      </c>
      <c r="E1708" s="5214"/>
      <c r="F1708" s="5073" t="s">
        <v>2980</v>
      </c>
      <c r="G1708" s="5073" t="s">
        <v>2981</v>
      </c>
      <c r="H1708" s="5073" t="s">
        <v>813</v>
      </c>
      <c r="I1708" s="5073" t="s">
        <v>2982</v>
      </c>
      <c r="J1708" s="5073" t="s">
        <v>2983</v>
      </c>
      <c r="K1708" s="5073">
        <v>786</v>
      </c>
      <c r="L1708" s="5073" t="s">
        <v>2976</v>
      </c>
      <c r="M1708" s="5214">
        <f>SUBTOTAL(9,N1708:AA1709)</f>
        <v>102000</v>
      </c>
      <c r="N1708" s="5214"/>
      <c r="O1708" s="5214"/>
      <c r="P1708" s="5214"/>
      <c r="Q1708" s="5214"/>
      <c r="R1708" s="5214"/>
      <c r="S1708" s="5214"/>
      <c r="T1708" s="5214"/>
      <c r="U1708" s="5214">
        <f>102000*0.22</f>
        <v>22440</v>
      </c>
      <c r="V1708" s="5214"/>
      <c r="W1708" s="5214"/>
      <c r="X1708" s="5214"/>
      <c r="Y1708" s="5214">
        <f>102000*0.78</f>
        <v>79560</v>
      </c>
      <c r="Z1708" s="5214"/>
      <c r="AA1708" s="5214"/>
      <c r="AB1708" s="5214"/>
      <c r="AC1708" s="3742">
        <v>1</v>
      </c>
      <c r="AD1708" s="5256" t="s">
        <v>2984</v>
      </c>
      <c r="AE1708" s="3742">
        <v>0.4</v>
      </c>
      <c r="AF1708" s="3742">
        <v>40800</v>
      </c>
      <c r="AG1708" s="3812">
        <f t="shared" ref="AG1708:AG1713" si="366">SUM(BA1708:BN1708)</f>
        <v>40800</v>
      </c>
      <c r="AH1708" s="1032" t="s">
        <v>122</v>
      </c>
      <c r="AI1708" s="3812">
        <v>45652</v>
      </c>
      <c r="AJ1708" s="3812">
        <v>40800</v>
      </c>
      <c r="AK1708" s="3812">
        <v>45652</v>
      </c>
      <c r="AL1708" s="3742">
        <v>40800</v>
      </c>
      <c r="AM1708" s="5059">
        <v>45854</v>
      </c>
      <c r="AN1708" s="5059">
        <f t="shared" si="365"/>
        <v>40800</v>
      </c>
      <c r="AO1708" s="5059">
        <v>45910</v>
      </c>
      <c r="AP1708" s="3812"/>
      <c r="AQ1708" s="3742"/>
      <c r="AR1708" s="3742"/>
      <c r="AS1708" s="3742"/>
      <c r="AT1708" s="3742"/>
      <c r="AU1708" s="3742"/>
      <c r="AV1708" s="3742"/>
      <c r="AW1708" s="3742"/>
      <c r="AX1708" s="3742"/>
      <c r="AY1708" s="3742"/>
      <c r="AZ1708" s="3742"/>
      <c r="BA1708" s="5059"/>
      <c r="BB1708" s="5059"/>
      <c r="BC1708" s="5059"/>
      <c r="BD1708" s="5059"/>
      <c r="BE1708" s="5059"/>
      <c r="BF1708" s="5059"/>
      <c r="BG1708" s="5059"/>
      <c r="BH1708" s="5059">
        <v>8976</v>
      </c>
      <c r="BI1708" s="5059"/>
      <c r="BJ1708" s="5059"/>
      <c r="BK1708" s="5059"/>
      <c r="BL1708" s="5059">
        <v>31824</v>
      </c>
      <c r="BM1708" s="5059"/>
      <c r="BN1708" s="5059"/>
      <c r="BO1708" s="5346"/>
      <c r="BP1708" s="5346"/>
      <c r="BQ1708" s="5346"/>
      <c r="BR1708" s="5346"/>
      <c r="BS1708" s="5346"/>
      <c r="BT1708" s="5346"/>
      <c r="BU1708" s="5346"/>
      <c r="BV1708" s="5346">
        <v>8976</v>
      </c>
      <c r="BW1708" s="5346"/>
      <c r="BX1708" s="5346"/>
      <c r="BY1708" s="5346"/>
      <c r="BZ1708" s="5346">
        <v>31824</v>
      </c>
      <c r="CA1708" s="5346"/>
      <c r="CB1708" s="5346"/>
      <c r="CC1708" s="5073" t="s">
        <v>166</v>
      </c>
      <c r="CD1708" s="5073" t="s">
        <v>154</v>
      </c>
      <c r="CE1708" s="6775"/>
      <c r="CF1708" s="6775"/>
      <c r="CG1708" s="6775"/>
      <c r="CH1708" s="6775"/>
    </row>
    <row r="1709" s="4989" customFormat="1" ht="41.25" customHeight="1" spans="1:86">
      <c r="A1709" s="3742"/>
      <c r="B1709" s="3741"/>
      <c r="C1709" s="5075"/>
      <c r="D1709" s="5075"/>
      <c r="E1709" s="5075"/>
      <c r="F1709" s="5075"/>
      <c r="G1709" s="5075"/>
      <c r="H1709" s="5075"/>
      <c r="I1709" s="5074"/>
      <c r="J1709" s="5075"/>
      <c r="K1709" s="5075"/>
      <c r="L1709" s="5075"/>
      <c r="M1709" s="5075"/>
      <c r="N1709" s="5075"/>
      <c r="O1709" s="5075"/>
      <c r="P1709" s="5075"/>
      <c r="Q1709" s="5075"/>
      <c r="R1709" s="5075"/>
      <c r="S1709" s="5075"/>
      <c r="T1709" s="5075"/>
      <c r="U1709" s="5075"/>
      <c r="V1709" s="5075"/>
      <c r="W1709" s="5075"/>
      <c r="X1709" s="5075"/>
      <c r="Y1709" s="5075"/>
      <c r="Z1709" s="5075"/>
      <c r="AA1709" s="5075"/>
      <c r="AB1709" s="5075"/>
      <c r="AC1709" s="3742">
        <v>2</v>
      </c>
      <c r="AD1709" s="5256" t="s">
        <v>2985</v>
      </c>
      <c r="AE1709" s="3742">
        <v>0.6</v>
      </c>
      <c r="AF1709" s="3742">
        <v>61200</v>
      </c>
      <c r="AG1709" s="3812">
        <f t="shared" si="366"/>
        <v>61200</v>
      </c>
      <c r="AH1709" s="1032" t="s">
        <v>122</v>
      </c>
      <c r="AI1709" s="3812">
        <v>45652</v>
      </c>
      <c r="AJ1709" s="3812">
        <v>61200</v>
      </c>
      <c r="AK1709" s="3812">
        <v>45652</v>
      </c>
      <c r="AL1709" s="3742">
        <v>61200</v>
      </c>
      <c r="AM1709" s="5059">
        <v>45854</v>
      </c>
      <c r="AN1709" s="5059">
        <f t="shared" si="365"/>
        <v>61200</v>
      </c>
      <c r="AO1709" s="5059">
        <v>45910</v>
      </c>
      <c r="AP1709" s="3812"/>
      <c r="AQ1709" s="3742"/>
      <c r="AR1709" s="3742"/>
      <c r="AS1709" s="3742"/>
      <c r="AT1709" s="3742"/>
      <c r="AU1709" s="3742"/>
      <c r="AV1709" s="3742"/>
      <c r="AW1709" s="3742"/>
      <c r="AX1709" s="3742"/>
      <c r="AY1709" s="3742"/>
      <c r="AZ1709" s="3742"/>
      <c r="BA1709" s="5059"/>
      <c r="BB1709" s="5059"/>
      <c r="BC1709" s="5059"/>
      <c r="BD1709" s="5059"/>
      <c r="BE1709" s="5059"/>
      <c r="BF1709" s="5059"/>
      <c r="BG1709" s="5059"/>
      <c r="BH1709" s="5059">
        <v>13464</v>
      </c>
      <c r="BI1709" s="5059"/>
      <c r="BJ1709" s="5059"/>
      <c r="BK1709" s="5059"/>
      <c r="BL1709" s="5059">
        <v>47736</v>
      </c>
      <c r="BM1709" s="5059"/>
      <c r="BN1709" s="5059"/>
      <c r="BO1709" s="5346"/>
      <c r="BP1709" s="5346"/>
      <c r="BQ1709" s="5346"/>
      <c r="BR1709" s="5346"/>
      <c r="BS1709" s="5346"/>
      <c r="BT1709" s="5346"/>
      <c r="BU1709" s="5346"/>
      <c r="BV1709" s="5346">
        <v>13464</v>
      </c>
      <c r="BW1709" s="5346"/>
      <c r="BX1709" s="5346"/>
      <c r="BY1709" s="5346"/>
      <c r="BZ1709" s="5346">
        <v>47736</v>
      </c>
      <c r="CA1709" s="5346"/>
      <c r="CB1709" s="5346"/>
      <c r="CC1709" s="3741"/>
      <c r="CD1709" s="3741"/>
      <c r="CE1709" s="6775"/>
      <c r="CF1709" s="6775"/>
      <c r="CG1709" s="6775"/>
      <c r="CH1709" s="6775"/>
    </row>
    <row r="1710" s="4965" customFormat="1" ht="61" customHeight="1" spans="1:86">
      <c r="A1710" s="2680">
        <v>25</v>
      </c>
      <c r="B1710" s="5813" t="s">
        <v>690</v>
      </c>
      <c r="C1710" s="2713">
        <v>44317</v>
      </c>
      <c r="D1710" s="1032" t="s">
        <v>2986</v>
      </c>
      <c r="E1710" s="1032" t="s">
        <v>2987</v>
      </c>
      <c r="F1710" s="1032" t="s">
        <v>2988</v>
      </c>
      <c r="G1710" s="5818" t="s">
        <v>2989</v>
      </c>
      <c r="H1710" s="3524" t="s">
        <v>193</v>
      </c>
      <c r="I1710" s="5073" t="s">
        <v>2990</v>
      </c>
      <c r="J1710" s="3742" t="s">
        <v>2460</v>
      </c>
      <c r="K1710" s="1032" t="s">
        <v>2991</v>
      </c>
      <c r="L1710" s="1032" t="s">
        <v>2992</v>
      </c>
      <c r="M1710" s="3742">
        <f>SUM(N1710:AA1714)</f>
        <v>2164845</v>
      </c>
      <c r="N1710" s="2680">
        <v>0</v>
      </c>
      <c r="O1710" s="2680">
        <v>0</v>
      </c>
      <c r="P1710" s="2680">
        <v>0</v>
      </c>
      <c r="Q1710" s="2680">
        <v>0</v>
      </c>
      <c r="R1710" s="2680">
        <v>0</v>
      </c>
      <c r="S1710" s="2680">
        <v>0</v>
      </c>
      <c r="T1710" s="5823">
        <v>0</v>
      </c>
      <c r="U1710" s="2680">
        <v>0</v>
      </c>
      <c r="V1710" s="2680">
        <v>2164845</v>
      </c>
      <c r="W1710" s="2680">
        <v>0</v>
      </c>
      <c r="X1710" s="2680">
        <v>0</v>
      </c>
      <c r="Y1710" s="2680"/>
      <c r="Z1710" s="2680"/>
      <c r="AA1710" s="2680">
        <v>0</v>
      </c>
      <c r="AB1710" s="2680">
        <v>0</v>
      </c>
      <c r="AC1710" s="3524">
        <v>1</v>
      </c>
      <c r="AD1710" s="5842" t="s">
        <v>2993</v>
      </c>
      <c r="AE1710" s="5870">
        <v>0.3</v>
      </c>
      <c r="AF1710" s="2713">
        <f>M1710*AE1710</f>
        <v>649453.5</v>
      </c>
      <c r="AG1710" s="3812">
        <f t="shared" si="366"/>
        <v>649453.5</v>
      </c>
      <c r="AH1710" s="3812" t="s">
        <v>122</v>
      </c>
      <c r="AI1710" s="3812">
        <v>44390</v>
      </c>
      <c r="AJ1710" s="3812">
        <v>649453.5</v>
      </c>
      <c r="AK1710" s="3812">
        <v>44390</v>
      </c>
      <c r="AL1710" s="857">
        <v>649453.5</v>
      </c>
      <c r="AM1710" s="3812">
        <v>44390</v>
      </c>
      <c r="AN1710" s="3812">
        <f t="shared" si="365"/>
        <v>649453.5</v>
      </c>
      <c r="AO1710" s="3812">
        <v>44467</v>
      </c>
      <c r="AP1710" s="3812">
        <f t="shared" ref="AP1710:AP1713" si="367">AG1710-AN1710</f>
        <v>0</v>
      </c>
      <c r="AQ1710" s="5256" t="s">
        <v>2994</v>
      </c>
      <c r="AR1710" s="3524"/>
      <c r="AS1710" s="5129"/>
      <c r="AT1710" s="5122"/>
      <c r="AU1710" s="2680">
        <f>SUM(AG1710:AG1714)</f>
        <v>2111988.63</v>
      </c>
      <c r="AV1710" s="2680">
        <f>SUM(AL1710:AL1714)</f>
        <v>2124987.106</v>
      </c>
      <c r="AW1710" s="2680">
        <f>SUM(AN1710:AN1714)</f>
        <v>2124987.106</v>
      </c>
      <c r="AX1710" s="2680">
        <f>M1710-AU1710</f>
        <v>52856.3700000001</v>
      </c>
      <c r="AY1710" s="2680">
        <f>AU1710-AV1710</f>
        <v>-12998.4759999998</v>
      </c>
      <c r="AZ1710" s="2680">
        <f>AV1710-AW1710</f>
        <v>0</v>
      </c>
      <c r="BA1710" s="5146"/>
      <c r="BB1710" s="5146"/>
      <c r="BC1710" s="3812"/>
      <c r="BD1710" s="5146"/>
      <c r="BE1710" s="5146"/>
      <c r="BF1710" s="5146"/>
      <c r="BG1710" s="5146"/>
      <c r="BH1710" s="5152"/>
      <c r="BI1710" s="3812">
        <v>649453.5</v>
      </c>
      <c r="BJ1710" s="5146"/>
      <c r="BK1710" s="5146"/>
      <c r="BL1710" s="5146"/>
      <c r="BM1710" s="5146"/>
      <c r="BN1710" s="5146"/>
      <c r="BO1710" s="5122"/>
      <c r="BP1710" s="5122"/>
      <c r="BQ1710" s="5122"/>
      <c r="BR1710" s="5122"/>
      <c r="BS1710" s="5122"/>
      <c r="BT1710" s="5160"/>
      <c r="BU1710" s="5160"/>
      <c r="BV1710" s="5862"/>
      <c r="BW1710" s="5122">
        <v>649453.5</v>
      </c>
      <c r="BX1710" s="5122"/>
      <c r="BY1710" s="5122"/>
      <c r="BZ1710" s="5122"/>
      <c r="CA1710" s="5122"/>
      <c r="CB1710" s="5122"/>
      <c r="CC1710" s="3524"/>
      <c r="CD1710" s="3524"/>
      <c r="CE1710" s="5169"/>
      <c r="CF1710" s="5169"/>
      <c r="CG1710" s="5169"/>
      <c r="CH1710" s="5169"/>
    </row>
    <row r="1711" s="4965" customFormat="1" ht="61" customHeight="1" spans="1:86">
      <c r="A1711" s="2680"/>
      <c r="B1711" s="5813"/>
      <c r="C1711" s="2713"/>
      <c r="D1711" s="3742"/>
      <c r="E1711" s="3742"/>
      <c r="F1711" s="3742"/>
      <c r="G1711" s="5818"/>
      <c r="H1711" s="3524"/>
      <c r="I1711" s="3669"/>
      <c r="J1711" s="3742"/>
      <c r="K1711" s="5818"/>
      <c r="L1711" s="3742"/>
      <c r="M1711" s="3742"/>
      <c r="N1711" s="2680"/>
      <c r="O1711" s="2680"/>
      <c r="P1711" s="2680"/>
      <c r="Q1711" s="2680"/>
      <c r="R1711" s="2680"/>
      <c r="S1711" s="2680"/>
      <c r="T1711" s="2680"/>
      <c r="U1711" s="2680"/>
      <c r="V1711" s="2680"/>
      <c r="W1711" s="2680"/>
      <c r="X1711" s="2680"/>
      <c r="Y1711" s="2680"/>
      <c r="Z1711" s="2680"/>
      <c r="AA1711" s="2680"/>
      <c r="AB1711" s="2680"/>
      <c r="AC1711" s="4087">
        <v>2</v>
      </c>
      <c r="AD1711" s="5242" t="s">
        <v>2995</v>
      </c>
      <c r="AE1711" s="6001">
        <v>0.3</v>
      </c>
      <c r="AF1711" s="5874">
        <f>M1710*AE1711</f>
        <v>649453.5</v>
      </c>
      <c r="AG1711" s="4840">
        <f t="shared" si="366"/>
        <v>649453.5</v>
      </c>
      <c r="AH1711" s="4840" t="s">
        <v>122</v>
      </c>
      <c r="AI1711" s="4840">
        <v>44628</v>
      </c>
      <c r="AJ1711" s="4840">
        <v>649453.5</v>
      </c>
      <c r="AK1711" s="4840">
        <v>44628</v>
      </c>
      <c r="AL1711" s="3812">
        <v>471262.5</v>
      </c>
      <c r="AM1711" s="3812">
        <v>45218</v>
      </c>
      <c r="AN1711" s="3812">
        <f t="shared" si="365"/>
        <v>471262.5</v>
      </c>
      <c r="AO1711" s="3812">
        <v>45258</v>
      </c>
      <c r="AP1711" s="3812">
        <f t="shared" si="367"/>
        <v>178191</v>
      </c>
      <c r="AQ1711" s="5122"/>
      <c r="AR1711" s="3524"/>
      <c r="AS1711" s="5129"/>
      <c r="AT1711" s="5122"/>
      <c r="AU1711" s="2680"/>
      <c r="AV1711" s="2680"/>
      <c r="AW1711" s="2680"/>
      <c r="AX1711" s="2680"/>
      <c r="AY1711" s="2680"/>
      <c r="AZ1711" s="2680"/>
      <c r="BA1711" s="5146"/>
      <c r="BB1711" s="5146"/>
      <c r="BC1711" s="3812"/>
      <c r="BD1711" s="5146"/>
      <c r="BE1711" s="5146"/>
      <c r="BF1711" s="5146"/>
      <c r="BG1711" s="5146"/>
      <c r="BH1711" s="5152"/>
      <c r="BI1711" s="4840">
        <v>649453.5</v>
      </c>
      <c r="BJ1711" s="5146"/>
      <c r="BK1711" s="5146"/>
      <c r="BL1711" s="5146"/>
      <c r="BM1711" s="5146"/>
      <c r="BN1711" s="5146"/>
      <c r="BO1711" s="5122"/>
      <c r="BP1711" s="5122"/>
      <c r="BQ1711" s="5122"/>
      <c r="BR1711" s="5122"/>
      <c r="BS1711" s="5122"/>
      <c r="BT1711" s="5160"/>
      <c r="BU1711" s="5160"/>
      <c r="BV1711" s="5862"/>
      <c r="BW1711" s="3812">
        <v>471262.5</v>
      </c>
      <c r="BX1711" s="5122"/>
      <c r="BY1711" s="5122"/>
      <c r="BZ1711" s="5122"/>
      <c r="CA1711" s="5122"/>
      <c r="CB1711" s="5122"/>
      <c r="CC1711" s="3524"/>
      <c r="CD1711" s="3524"/>
      <c r="CE1711" s="5169"/>
      <c r="CF1711" s="5169"/>
      <c r="CG1711" s="5169"/>
      <c r="CH1711" s="5169"/>
    </row>
    <row r="1712" s="4965" customFormat="1" ht="50.85" customHeight="1" spans="1:86">
      <c r="A1712" s="3524"/>
      <c r="B1712" s="5813"/>
      <c r="C1712" s="2713"/>
      <c r="D1712" s="3742"/>
      <c r="E1712" s="3742"/>
      <c r="F1712" s="3742"/>
      <c r="G1712" s="5818"/>
      <c r="H1712" s="3524"/>
      <c r="I1712" s="3669"/>
      <c r="J1712" s="3742"/>
      <c r="K1712" s="5818"/>
      <c r="L1712" s="3742"/>
      <c r="M1712" s="3742"/>
      <c r="N1712" s="2680"/>
      <c r="O1712" s="2680"/>
      <c r="P1712" s="2680"/>
      <c r="Q1712" s="2680"/>
      <c r="R1712" s="2680"/>
      <c r="S1712" s="2680"/>
      <c r="T1712" s="2680"/>
      <c r="U1712" s="2680"/>
      <c r="V1712" s="2680"/>
      <c r="W1712" s="2680"/>
      <c r="X1712" s="2680"/>
      <c r="Y1712" s="2680"/>
      <c r="Z1712" s="2680"/>
      <c r="AA1712" s="2680"/>
      <c r="AB1712" s="2680"/>
      <c r="AC1712" s="4903"/>
      <c r="AD1712" s="5942"/>
      <c r="AE1712" s="6004"/>
      <c r="AF1712" s="5877"/>
      <c r="AG1712" s="4842"/>
      <c r="AH1712" s="4842"/>
      <c r="AI1712" s="4842"/>
      <c r="AJ1712" s="4842"/>
      <c r="AK1712" s="4842"/>
      <c r="AL1712" s="4815">
        <v>169281.45</v>
      </c>
      <c r="AM1712" s="5123"/>
      <c r="AN1712" s="4815">
        <f t="shared" si="365"/>
        <v>169281.45</v>
      </c>
      <c r="AO1712" s="4815">
        <v>46172</v>
      </c>
      <c r="AP1712" s="3812"/>
      <c r="AQ1712" s="5122"/>
      <c r="AR1712" s="3524"/>
      <c r="AS1712" s="5129"/>
      <c r="AT1712" s="5122"/>
      <c r="AU1712" s="3524"/>
      <c r="AV1712" s="3524"/>
      <c r="AW1712" s="3524"/>
      <c r="AX1712" s="3524"/>
      <c r="AY1712" s="3524"/>
      <c r="AZ1712" s="3524"/>
      <c r="BA1712" s="5146"/>
      <c r="BB1712" s="5146"/>
      <c r="BC1712" s="3812"/>
      <c r="BD1712" s="5146"/>
      <c r="BE1712" s="5146"/>
      <c r="BF1712" s="5146"/>
      <c r="BG1712" s="5146"/>
      <c r="BH1712" s="5152"/>
      <c r="BI1712" s="4842"/>
      <c r="BJ1712" s="5146"/>
      <c r="BK1712" s="5146"/>
      <c r="BL1712" s="5146"/>
      <c r="BM1712" s="5146"/>
      <c r="BN1712" s="5146"/>
      <c r="BO1712" s="5160"/>
      <c r="BP1712" s="5160"/>
      <c r="BQ1712" s="5160"/>
      <c r="BR1712" s="5160"/>
      <c r="BS1712" s="5160"/>
      <c r="BT1712" s="5160"/>
      <c r="BU1712" s="5160"/>
      <c r="BV1712" s="5948"/>
      <c r="BW1712" s="3812">
        <f>178191*0.95</f>
        <v>169281.45</v>
      </c>
      <c r="BX1712" s="5122"/>
      <c r="BY1712" s="5122"/>
      <c r="BZ1712" s="5122"/>
      <c r="CA1712" s="5122"/>
      <c r="CB1712" s="5122"/>
      <c r="CC1712" s="3524"/>
      <c r="CD1712" s="3524"/>
      <c r="CE1712" s="5169"/>
      <c r="CF1712" s="5169"/>
      <c r="CG1712" s="5169"/>
      <c r="CH1712" s="5169"/>
    </row>
    <row r="1713" s="4965" customFormat="1" ht="50.85" customHeight="1" spans="1:86">
      <c r="A1713" s="3524"/>
      <c r="B1713" s="5813"/>
      <c r="C1713" s="2713"/>
      <c r="D1713" s="3742"/>
      <c r="E1713" s="3742"/>
      <c r="F1713" s="3742"/>
      <c r="G1713" s="5818"/>
      <c r="H1713" s="3524"/>
      <c r="I1713" s="3741"/>
      <c r="J1713" s="3742"/>
      <c r="K1713" s="5818"/>
      <c r="L1713" s="3742"/>
      <c r="M1713" s="3742"/>
      <c r="N1713" s="2680"/>
      <c r="O1713" s="2680"/>
      <c r="P1713" s="2680"/>
      <c r="Q1713" s="2680"/>
      <c r="R1713" s="2680"/>
      <c r="S1713" s="2680"/>
      <c r="T1713" s="2680"/>
      <c r="U1713" s="2680"/>
      <c r="V1713" s="2680"/>
      <c r="W1713" s="2680"/>
      <c r="X1713" s="2680"/>
      <c r="Y1713" s="2680"/>
      <c r="Z1713" s="2680"/>
      <c r="AA1713" s="2680"/>
      <c r="AB1713" s="2680"/>
      <c r="AC1713" s="4087">
        <v>3</v>
      </c>
      <c r="AD1713" s="5873" t="s">
        <v>2996</v>
      </c>
      <c r="AE1713" s="6001">
        <v>0.4</v>
      </c>
      <c r="AF1713" s="5874">
        <f>M1710*AE1713</f>
        <v>865938</v>
      </c>
      <c r="AG1713" s="3812">
        <f t="shared" si="366"/>
        <v>865938</v>
      </c>
      <c r="AH1713" s="3812" t="s">
        <v>122</v>
      </c>
      <c r="AI1713" s="3812">
        <v>44885</v>
      </c>
      <c r="AJ1713" s="3812">
        <v>865938</v>
      </c>
      <c r="AK1713" s="3812">
        <v>44885</v>
      </c>
      <c r="AL1713" s="4815">
        <v>834989.656</v>
      </c>
      <c r="AM1713" s="5123"/>
      <c r="AN1713" s="4815">
        <f t="shared" si="365"/>
        <v>834989.656</v>
      </c>
      <c r="AO1713" s="4815">
        <v>46172</v>
      </c>
      <c r="AP1713" s="3812">
        <f t="shared" si="367"/>
        <v>30948.344</v>
      </c>
      <c r="AQ1713" s="5122"/>
      <c r="AR1713" s="3524"/>
      <c r="AS1713" s="5129"/>
      <c r="AT1713" s="5122"/>
      <c r="AU1713" s="3524"/>
      <c r="AV1713" s="3524"/>
      <c r="AW1713" s="3524"/>
      <c r="AX1713" s="3524"/>
      <c r="AY1713" s="3524"/>
      <c r="AZ1713" s="3524"/>
      <c r="BA1713" s="5146"/>
      <c r="BB1713" s="5146"/>
      <c r="BC1713" s="3812"/>
      <c r="BD1713" s="5146"/>
      <c r="BE1713" s="5146"/>
      <c r="BF1713" s="5146"/>
      <c r="BG1713" s="5146"/>
      <c r="BH1713" s="5152"/>
      <c r="BI1713" s="3812">
        <v>865938</v>
      </c>
      <c r="BJ1713" s="5146"/>
      <c r="BK1713" s="5146"/>
      <c r="BL1713" s="5146"/>
      <c r="BM1713" s="5146"/>
      <c r="BN1713" s="5146"/>
      <c r="BO1713" s="5160"/>
      <c r="BP1713" s="5160"/>
      <c r="BQ1713" s="5160"/>
      <c r="BR1713" s="5160"/>
      <c r="BS1713" s="5160"/>
      <c r="BT1713" s="5160"/>
      <c r="BU1713" s="5160"/>
      <c r="BV1713" s="5948"/>
      <c r="BW1713" s="3812">
        <f>878936.48*0.95</f>
        <v>834989.656</v>
      </c>
      <c r="BX1713" s="5122"/>
      <c r="BY1713" s="5122"/>
      <c r="BZ1713" s="5122"/>
      <c r="CA1713" s="5122"/>
      <c r="CB1713" s="5122"/>
      <c r="CC1713" s="3524"/>
      <c r="CD1713" s="3524"/>
      <c r="CE1713" s="5169"/>
      <c r="CF1713" s="5169"/>
      <c r="CG1713" s="5169"/>
      <c r="CH1713" s="5169"/>
    </row>
    <row r="1714" s="4965" customFormat="1" ht="50.85" customHeight="1" spans="1:86">
      <c r="A1714" s="3524"/>
      <c r="B1714" s="5813"/>
      <c r="C1714" s="2713"/>
      <c r="D1714" s="3742"/>
      <c r="E1714" s="3742"/>
      <c r="F1714" s="3742"/>
      <c r="G1714" s="5818"/>
      <c r="H1714" s="3524"/>
      <c r="I1714" s="3741"/>
      <c r="J1714" s="3742"/>
      <c r="K1714" s="5818"/>
      <c r="L1714" s="3742"/>
      <c r="M1714" s="3742"/>
      <c r="N1714" s="2680"/>
      <c r="O1714" s="2680"/>
      <c r="P1714" s="2680"/>
      <c r="Q1714" s="2680"/>
      <c r="R1714" s="2680"/>
      <c r="S1714" s="2680"/>
      <c r="T1714" s="2680"/>
      <c r="U1714" s="2680"/>
      <c r="V1714" s="2680"/>
      <c r="W1714" s="2680"/>
      <c r="X1714" s="2680"/>
      <c r="Y1714" s="2680"/>
      <c r="Z1714" s="2680"/>
      <c r="AA1714" s="2680"/>
      <c r="AB1714" s="2680"/>
      <c r="AC1714" s="4903"/>
      <c r="AD1714" s="5876"/>
      <c r="AE1714" s="6004"/>
      <c r="AF1714" s="5877"/>
      <c r="AG1714" s="4815">
        <f t="shared" ref="AG1714:AG1719" si="368">SUM(BA1714:BN1714)</f>
        <v>-52856.37</v>
      </c>
      <c r="AH1714" s="5345" t="s">
        <v>349</v>
      </c>
      <c r="AI1714" s="4815">
        <v>46019</v>
      </c>
      <c r="AJ1714" s="4815">
        <v>-52856.37</v>
      </c>
      <c r="AK1714" s="4815">
        <v>46019</v>
      </c>
      <c r="AL1714" s="5123"/>
      <c r="AM1714" s="5123"/>
      <c r="AN1714" s="5258">
        <f t="shared" ref="AN1714:AN1723" si="369">SUM(BO1714:CB1714)</f>
        <v>0</v>
      </c>
      <c r="AO1714" s="5258"/>
      <c r="AP1714" s="3812">
        <f t="shared" ref="AP1714:AP1723" si="370">AG1714-AN1714</f>
        <v>-52856.37</v>
      </c>
      <c r="AQ1714" s="5122"/>
      <c r="AR1714" s="3524"/>
      <c r="AS1714" s="5129"/>
      <c r="AT1714" s="5122"/>
      <c r="AU1714" s="3524"/>
      <c r="AV1714" s="3524"/>
      <c r="AW1714" s="3524"/>
      <c r="AX1714" s="3524"/>
      <c r="AY1714" s="3524"/>
      <c r="AZ1714" s="3524"/>
      <c r="BA1714" s="5146"/>
      <c r="BB1714" s="5146"/>
      <c r="BC1714" s="3812"/>
      <c r="BD1714" s="5146"/>
      <c r="BE1714" s="5146"/>
      <c r="BF1714" s="5146"/>
      <c r="BG1714" s="5146"/>
      <c r="BH1714" s="5152"/>
      <c r="BI1714" s="4815">
        <v>-52856.37</v>
      </c>
      <c r="BJ1714" s="5146"/>
      <c r="BK1714" s="5146"/>
      <c r="BL1714" s="5146"/>
      <c r="BM1714" s="5146"/>
      <c r="BN1714" s="5146"/>
      <c r="BO1714" s="5160"/>
      <c r="BP1714" s="5160"/>
      <c r="BQ1714" s="5160"/>
      <c r="BR1714" s="5160"/>
      <c r="BS1714" s="5160"/>
      <c r="BT1714" s="5160"/>
      <c r="BU1714" s="5160"/>
      <c r="BV1714" s="5948"/>
      <c r="BW1714" s="5123"/>
      <c r="BX1714" s="5122"/>
      <c r="BY1714" s="5122"/>
      <c r="BZ1714" s="5122"/>
      <c r="CA1714" s="5122"/>
      <c r="CB1714" s="5122"/>
      <c r="CC1714" s="3524"/>
      <c r="CD1714" s="3524"/>
      <c r="CE1714" s="5169"/>
      <c r="CF1714" s="5169"/>
      <c r="CG1714" s="5169"/>
      <c r="CH1714" s="5169"/>
    </row>
    <row r="1715" s="4965" customFormat="1" ht="131.65" customHeight="1" spans="1:86">
      <c r="A1715" s="2680">
        <v>25</v>
      </c>
      <c r="B1715" s="5813" t="s">
        <v>690</v>
      </c>
      <c r="C1715" s="2713">
        <v>44384</v>
      </c>
      <c r="D1715" s="1032" t="s">
        <v>2997</v>
      </c>
      <c r="E1715" s="3742"/>
      <c r="F1715" s="1032" t="s">
        <v>2998</v>
      </c>
      <c r="G1715" s="1032" t="s">
        <v>2999</v>
      </c>
      <c r="H1715" s="3524" t="s">
        <v>193</v>
      </c>
      <c r="I1715" s="3524"/>
      <c r="J1715" s="3742" t="s">
        <v>2460</v>
      </c>
      <c r="K1715" s="5818">
        <v>84821</v>
      </c>
      <c r="L1715" s="3742" t="s">
        <v>3000</v>
      </c>
      <c r="M1715" s="3742">
        <f>SUM(N1715:AA1715)</f>
        <v>140000</v>
      </c>
      <c r="N1715" s="2680">
        <v>0</v>
      </c>
      <c r="O1715" s="2680">
        <v>0</v>
      </c>
      <c r="P1715" s="2680">
        <v>0</v>
      </c>
      <c r="Q1715" s="2680">
        <v>0</v>
      </c>
      <c r="R1715" s="2680">
        <v>0</v>
      </c>
      <c r="S1715" s="2680">
        <v>0</v>
      </c>
      <c r="T1715" s="5823">
        <v>0</v>
      </c>
      <c r="U1715" s="2680">
        <v>0</v>
      </c>
      <c r="V1715" s="2680">
        <v>140000</v>
      </c>
      <c r="W1715" s="2680">
        <v>0</v>
      </c>
      <c r="X1715" s="2680">
        <v>0</v>
      </c>
      <c r="Y1715" s="2680"/>
      <c r="Z1715" s="2680"/>
      <c r="AA1715" s="2680">
        <v>0</v>
      </c>
      <c r="AB1715" s="2680">
        <v>0</v>
      </c>
      <c r="AC1715" s="3524">
        <v>1</v>
      </c>
      <c r="AD1715" s="5241" t="s">
        <v>3001</v>
      </c>
      <c r="AE1715" s="5870">
        <v>1</v>
      </c>
      <c r="AF1715" s="2713">
        <f>M1715*AE1715</f>
        <v>140000</v>
      </c>
      <c r="AG1715" s="5123">
        <f t="shared" si="368"/>
        <v>140000</v>
      </c>
      <c r="AH1715" s="3406"/>
      <c r="AI1715" s="5123"/>
      <c r="AJ1715" s="3812"/>
      <c r="AK1715" s="3812"/>
      <c r="AL1715" s="857"/>
      <c r="AM1715" s="3812"/>
      <c r="AN1715" s="3812">
        <f t="shared" si="369"/>
        <v>140000</v>
      </c>
      <c r="AO1715" s="3812"/>
      <c r="AP1715" s="3812">
        <f t="shared" si="370"/>
        <v>0</v>
      </c>
      <c r="AQ1715" s="5122"/>
      <c r="AR1715" s="3524"/>
      <c r="AS1715" s="5129"/>
      <c r="AT1715" s="5122"/>
      <c r="AU1715" s="2680">
        <f>SUM(AG1715:AG1715)</f>
        <v>140000</v>
      </c>
      <c r="AV1715" s="2680">
        <f>SUM(AL1715:AL1715)</f>
        <v>0</v>
      </c>
      <c r="AW1715" s="2680">
        <f>SUM(AN1715:AN1715)</f>
        <v>140000</v>
      </c>
      <c r="AX1715" s="2680">
        <f>M1715-AU1715</f>
        <v>0</v>
      </c>
      <c r="AY1715" s="2680">
        <f>AU1715-AV1715</f>
        <v>140000</v>
      </c>
      <c r="AZ1715" s="2680">
        <f>AV1715-AW1715</f>
        <v>-140000</v>
      </c>
      <c r="BA1715" s="5146"/>
      <c r="BB1715" s="5146"/>
      <c r="BC1715" s="3812"/>
      <c r="BD1715" s="5146"/>
      <c r="BE1715" s="5146"/>
      <c r="BF1715" s="5146"/>
      <c r="BG1715" s="5146"/>
      <c r="BH1715" s="5152"/>
      <c r="BI1715" s="5123">
        <v>140000</v>
      </c>
      <c r="BJ1715" s="5146"/>
      <c r="BK1715" s="5146"/>
      <c r="BL1715" s="5146"/>
      <c r="BM1715" s="5146"/>
      <c r="BN1715" s="5146"/>
      <c r="BO1715" s="5122"/>
      <c r="BP1715" s="5122"/>
      <c r="BQ1715" s="5122"/>
      <c r="BR1715" s="5122"/>
      <c r="BS1715" s="5122"/>
      <c r="BT1715" s="5160"/>
      <c r="BU1715" s="5160"/>
      <c r="BV1715" s="5862"/>
      <c r="BW1715" s="5122">
        <v>140000</v>
      </c>
      <c r="BX1715" s="5122"/>
      <c r="BY1715" s="5122"/>
      <c r="BZ1715" s="5122"/>
      <c r="CA1715" s="5122"/>
      <c r="CB1715" s="5122"/>
      <c r="CC1715" s="3524"/>
      <c r="CD1715" s="3524"/>
      <c r="CE1715" s="5169"/>
      <c r="CF1715" s="5169"/>
      <c r="CG1715" s="5169"/>
      <c r="CH1715" s="5169"/>
    </row>
    <row r="1716" s="4979" customFormat="1" ht="61" customHeight="1" spans="1:86">
      <c r="A1716" s="2680">
        <v>25</v>
      </c>
      <c r="B1716" s="857" t="s">
        <v>690</v>
      </c>
      <c r="C1716" s="857">
        <v>44875</v>
      </c>
      <c r="D1716" s="1032" t="s">
        <v>3002</v>
      </c>
      <c r="E1716" s="1032" t="s">
        <v>3003</v>
      </c>
      <c r="F1716" s="1032" t="s">
        <v>3004</v>
      </c>
      <c r="G1716" s="1032" t="s">
        <v>3005</v>
      </c>
      <c r="H1716" s="3812" t="s">
        <v>193</v>
      </c>
      <c r="I1716" s="5073" t="s">
        <v>3006</v>
      </c>
      <c r="J1716" s="5059" t="s">
        <v>2460</v>
      </c>
      <c r="K1716" s="1032">
        <v>27186.5</v>
      </c>
      <c r="L1716" s="1032" t="s">
        <v>2244</v>
      </c>
      <c r="M1716" s="5059">
        <f>SUM(N1716:AA1719)</f>
        <v>271865</v>
      </c>
      <c r="N1716" s="2680">
        <v>0</v>
      </c>
      <c r="O1716" s="2680">
        <v>0</v>
      </c>
      <c r="P1716" s="2680">
        <v>0</v>
      </c>
      <c r="Q1716" s="2680">
        <v>0</v>
      </c>
      <c r="R1716" s="2680">
        <v>0</v>
      </c>
      <c r="S1716" s="2680">
        <v>0</v>
      </c>
      <c r="T1716" s="5823">
        <v>0</v>
      </c>
      <c r="U1716" s="2680">
        <v>0</v>
      </c>
      <c r="V1716" s="2680">
        <v>271865</v>
      </c>
      <c r="W1716" s="2680">
        <v>0</v>
      </c>
      <c r="X1716" s="2680">
        <v>0</v>
      </c>
      <c r="Y1716" s="2680">
        <v>0</v>
      </c>
      <c r="Z1716" s="2680"/>
      <c r="AA1716" s="2680">
        <v>0</v>
      </c>
      <c r="AB1716" s="2680">
        <v>0</v>
      </c>
      <c r="AC1716" s="3812">
        <v>1</v>
      </c>
      <c r="AD1716" s="5241" t="s">
        <v>2993</v>
      </c>
      <c r="AE1716" s="5878">
        <v>0.3</v>
      </c>
      <c r="AF1716" s="857">
        <f>M1716*AE1716</f>
        <v>81559.5</v>
      </c>
      <c r="AG1716" s="3812">
        <f t="shared" si="368"/>
        <v>48935.7</v>
      </c>
      <c r="AH1716" s="3812" t="s">
        <v>122</v>
      </c>
      <c r="AI1716" s="3812">
        <v>45056</v>
      </c>
      <c r="AJ1716" s="3812">
        <v>48935.7</v>
      </c>
      <c r="AK1716" s="3812">
        <v>45056</v>
      </c>
      <c r="AL1716" s="857">
        <v>48935.7</v>
      </c>
      <c r="AM1716" s="3812">
        <v>45056</v>
      </c>
      <c r="AN1716" s="3812">
        <f t="shared" si="369"/>
        <v>48935.7</v>
      </c>
      <c r="AO1716" s="3812">
        <v>45253</v>
      </c>
      <c r="AP1716" s="5123">
        <f t="shared" si="370"/>
        <v>0</v>
      </c>
      <c r="AQ1716" s="5160"/>
      <c r="AR1716" s="5123"/>
      <c r="AS1716" s="5855"/>
      <c r="AT1716" s="5160"/>
      <c r="AU1716" s="2680">
        <f>SUM(AG1716:AG1719)</f>
        <v>266315.6</v>
      </c>
      <c r="AV1716" s="2680">
        <f>SUM(AL1716:AL1719)</f>
        <v>266315.6</v>
      </c>
      <c r="AW1716" s="2680">
        <f>SUM(AN1716:AN1719)</f>
        <v>266315.6</v>
      </c>
      <c r="AX1716" s="2680">
        <f>M1716-AU1716</f>
        <v>5549.40000000002</v>
      </c>
      <c r="AY1716" s="2680">
        <f>AU1716-AV1716</f>
        <v>0</v>
      </c>
      <c r="AZ1716" s="2680">
        <f>AV1716-AW1716</f>
        <v>0</v>
      </c>
      <c r="BA1716" s="5146"/>
      <c r="BB1716" s="5146"/>
      <c r="BC1716" s="3812"/>
      <c r="BD1716" s="5146"/>
      <c r="BE1716" s="5146"/>
      <c r="BF1716" s="5146"/>
      <c r="BG1716" s="5146"/>
      <c r="BH1716" s="5948"/>
      <c r="BI1716" s="3812">
        <v>48935.7</v>
      </c>
      <c r="BJ1716" s="5146"/>
      <c r="BK1716" s="5146"/>
      <c r="BL1716" s="5146"/>
      <c r="BM1716" s="5146"/>
      <c r="BN1716" s="5146"/>
      <c r="BO1716" s="5160"/>
      <c r="BP1716" s="5160"/>
      <c r="BQ1716" s="5160"/>
      <c r="BR1716" s="5160"/>
      <c r="BS1716" s="5160"/>
      <c r="BT1716" s="5160"/>
      <c r="BU1716" s="5160"/>
      <c r="BV1716" s="5948"/>
      <c r="BW1716" s="3812">
        <v>48935.7</v>
      </c>
      <c r="BX1716" s="5160"/>
      <c r="BY1716" s="5160"/>
      <c r="BZ1716" s="5160"/>
      <c r="CA1716" s="5160"/>
      <c r="CB1716" s="5160"/>
      <c r="CC1716" s="5123"/>
      <c r="CD1716" s="5123"/>
      <c r="CE1716" s="5751"/>
      <c r="CF1716" s="5751"/>
      <c r="CG1716" s="5751"/>
      <c r="CH1716" s="5751"/>
    </row>
    <row r="1717" s="4979" customFormat="1" ht="61" customHeight="1" spans="1:86">
      <c r="A1717" s="2680"/>
      <c r="B1717" s="857"/>
      <c r="C1717" s="857"/>
      <c r="D1717" s="5059"/>
      <c r="E1717" s="5059"/>
      <c r="F1717" s="5059"/>
      <c r="G1717" s="1032"/>
      <c r="H1717" s="3812"/>
      <c r="I1717" s="5074"/>
      <c r="J1717" s="5059"/>
      <c r="K1717" s="1032"/>
      <c r="L1717" s="5059"/>
      <c r="M1717" s="5059"/>
      <c r="N1717" s="2680"/>
      <c r="O1717" s="2680"/>
      <c r="P1717" s="2680"/>
      <c r="Q1717" s="2680"/>
      <c r="R1717" s="2680"/>
      <c r="S1717" s="2680"/>
      <c r="T1717" s="2680"/>
      <c r="U1717" s="2680"/>
      <c r="V1717" s="2680"/>
      <c r="W1717" s="2680"/>
      <c r="X1717" s="2680"/>
      <c r="Y1717" s="2680"/>
      <c r="Z1717" s="2680"/>
      <c r="AA1717" s="2680"/>
      <c r="AB1717" s="2680"/>
      <c r="AC1717" s="3812">
        <v>2</v>
      </c>
      <c r="AD1717" s="1032" t="s">
        <v>2995</v>
      </c>
      <c r="AE1717" s="5878">
        <v>0.3</v>
      </c>
      <c r="AF1717" s="857">
        <f>M1716*AE1717</f>
        <v>81559.5</v>
      </c>
      <c r="AG1717" s="3812">
        <f t="shared" si="368"/>
        <v>114183.3</v>
      </c>
      <c r="AH1717" s="3812" t="s">
        <v>122</v>
      </c>
      <c r="AI1717" s="3812">
        <v>44914</v>
      </c>
      <c r="AJ1717" s="3812">
        <v>114183.3</v>
      </c>
      <c r="AK1717" s="3812">
        <v>44914</v>
      </c>
      <c r="AL1717" s="857">
        <v>114183.3</v>
      </c>
      <c r="AM1717" s="3812">
        <v>45042</v>
      </c>
      <c r="AN1717" s="3812">
        <f t="shared" si="369"/>
        <v>114183.3</v>
      </c>
      <c r="AO1717" s="3812">
        <v>45253</v>
      </c>
      <c r="AP1717" s="5123"/>
      <c r="AQ1717" s="5160"/>
      <c r="AR1717" s="5123"/>
      <c r="AS1717" s="5855"/>
      <c r="AT1717" s="5160"/>
      <c r="AU1717" s="2680"/>
      <c r="AV1717" s="2680"/>
      <c r="AW1717" s="2680"/>
      <c r="AX1717" s="2680"/>
      <c r="AY1717" s="2680"/>
      <c r="AZ1717" s="2680"/>
      <c r="BA1717" s="5146"/>
      <c r="BB1717" s="5146"/>
      <c r="BC1717" s="3812"/>
      <c r="BD1717" s="5146"/>
      <c r="BE1717" s="5146"/>
      <c r="BF1717" s="5146"/>
      <c r="BG1717" s="5146"/>
      <c r="BH1717" s="5948"/>
      <c r="BI1717" s="5123">
        <v>114183.3</v>
      </c>
      <c r="BJ1717" s="5146"/>
      <c r="BK1717" s="5146"/>
      <c r="BL1717" s="5146"/>
      <c r="BM1717" s="5146"/>
      <c r="BN1717" s="5146"/>
      <c r="BO1717" s="5160"/>
      <c r="BP1717" s="5160"/>
      <c r="BQ1717" s="5160"/>
      <c r="BR1717" s="5160"/>
      <c r="BS1717" s="5160"/>
      <c r="BT1717" s="5160"/>
      <c r="BU1717" s="5160"/>
      <c r="BV1717" s="5948"/>
      <c r="BW1717" s="3812">
        <v>114183.3</v>
      </c>
      <c r="BX1717" s="5160"/>
      <c r="BY1717" s="5160"/>
      <c r="BZ1717" s="5160"/>
      <c r="CA1717" s="5160"/>
      <c r="CB1717" s="5160"/>
      <c r="CC1717" s="5123"/>
      <c r="CD1717" s="5123"/>
      <c r="CE1717" s="5751"/>
      <c r="CF1717" s="5751"/>
      <c r="CG1717" s="5751"/>
      <c r="CH1717" s="5751"/>
    </row>
    <row r="1718" s="4979" customFormat="1" ht="50.85" customHeight="1" spans="1:86">
      <c r="A1718" s="3524"/>
      <c r="B1718" s="857"/>
      <c r="C1718" s="857"/>
      <c r="D1718" s="5059"/>
      <c r="E1718" s="5059"/>
      <c r="F1718" s="5059"/>
      <c r="G1718" s="1032"/>
      <c r="H1718" s="3812"/>
      <c r="I1718" s="5075"/>
      <c r="J1718" s="5059"/>
      <c r="K1718" s="1032"/>
      <c r="L1718" s="5059"/>
      <c r="M1718" s="5059"/>
      <c r="N1718" s="2680"/>
      <c r="O1718" s="2680"/>
      <c r="P1718" s="2680"/>
      <c r="Q1718" s="2680"/>
      <c r="R1718" s="2680"/>
      <c r="S1718" s="2680"/>
      <c r="T1718" s="2680"/>
      <c r="U1718" s="2680"/>
      <c r="V1718" s="2680"/>
      <c r="W1718" s="2680"/>
      <c r="X1718" s="2680"/>
      <c r="Y1718" s="2680"/>
      <c r="Z1718" s="2680"/>
      <c r="AA1718" s="2680"/>
      <c r="AB1718" s="2680"/>
      <c r="AC1718" s="4840">
        <v>3</v>
      </c>
      <c r="AD1718" s="5073" t="s">
        <v>2996</v>
      </c>
      <c r="AE1718" s="5921">
        <v>0.4</v>
      </c>
      <c r="AF1718" s="3366">
        <f>M1716*AE1718</f>
        <v>108746</v>
      </c>
      <c r="AG1718" s="3812">
        <f t="shared" si="368"/>
        <v>108746</v>
      </c>
      <c r="AH1718" s="3812" t="s">
        <v>122</v>
      </c>
      <c r="AI1718" s="3812">
        <v>45273</v>
      </c>
      <c r="AJ1718" s="3812">
        <v>108746</v>
      </c>
      <c r="AK1718" s="3812">
        <v>45273</v>
      </c>
      <c r="AL1718" s="4815">
        <v>103196.6</v>
      </c>
      <c r="AM1718" s="5123"/>
      <c r="AN1718" s="4815">
        <f t="shared" si="369"/>
        <v>103196.6</v>
      </c>
      <c r="AO1718" s="4815">
        <v>46172</v>
      </c>
      <c r="AP1718" s="5123">
        <f t="shared" si="370"/>
        <v>5549.40000000001</v>
      </c>
      <c r="AQ1718" s="5160"/>
      <c r="AR1718" s="5123"/>
      <c r="AS1718" s="5855"/>
      <c r="AT1718" s="5160"/>
      <c r="AU1718" s="3524"/>
      <c r="AV1718" s="3524"/>
      <c r="AW1718" s="3524"/>
      <c r="AX1718" s="3524"/>
      <c r="AY1718" s="3524"/>
      <c r="AZ1718" s="3524"/>
      <c r="BA1718" s="5160"/>
      <c r="BB1718" s="5160"/>
      <c r="BC1718" s="5123"/>
      <c r="BD1718" s="5160"/>
      <c r="BE1718" s="5160"/>
      <c r="BF1718" s="5160"/>
      <c r="BG1718" s="5160"/>
      <c r="BH1718" s="5948"/>
      <c r="BI1718" s="3812">
        <v>108746</v>
      </c>
      <c r="BJ1718" s="5160"/>
      <c r="BK1718" s="5160"/>
      <c r="BL1718" s="5160"/>
      <c r="BM1718" s="5160"/>
      <c r="BN1718" s="5160"/>
      <c r="BO1718" s="5160"/>
      <c r="BP1718" s="5160"/>
      <c r="BQ1718" s="5160"/>
      <c r="BR1718" s="5160"/>
      <c r="BS1718" s="5160"/>
      <c r="BT1718" s="5160"/>
      <c r="BU1718" s="5160"/>
      <c r="BV1718" s="5948"/>
      <c r="BW1718" s="5123">
        <f>108628*0.95</f>
        <v>103196.6</v>
      </c>
      <c r="BX1718" s="5160"/>
      <c r="BY1718" s="5160"/>
      <c r="BZ1718" s="5160"/>
      <c r="CA1718" s="5160"/>
      <c r="CB1718" s="5160"/>
      <c r="CC1718" s="5123"/>
      <c r="CD1718" s="5123"/>
      <c r="CE1718" s="5751"/>
      <c r="CF1718" s="5751"/>
      <c r="CG1718" s="5751"/>
      <c r="CH1718" s="5751"/>
    </row>
    <row r="1719" s="4979" customFormat="1" ht="50.85" customHeight="1" spans="1:86">
      <c r="A1719" s="3524"/>
      <c r="B1719" s="857"/>
      <c r="C1719" s="857"/>
      <c r="D1719" s="5059"/>
      <c r="E1719" s="5059"/>
      <c r="F1719" s="5059"/>
      <c r="G1719" s="1032"/>
      <c r="H1719" s="3812"/>
      <c r="I1719" s="5075"/>
      <c r="J1719" s="5059"/>
      <c r="K1719" s="1032"/>
      <c r="L1719" s="5059"/>
      <c r="M1719" s="5059"/>
      <c r="N1719" s="2680"/>
      <c r="O1719" s="2680"/>
      <c r="P1719" s="2680"/>
      <c r="Q1719" s="2680"/>
      <c r="R1719" s="2680"/>
      <c r="S1719" s="2680"/>
      <c r="T1719" s="2680"/>
      <c r="U1719" s="2680"/>
      <c r="V1719" s="2680"/>
      <c r="W1719" s="2680"/>
      <c r="X1719" s="2680"/>
      <c r="Y1719" s="2680"/>
      <c r="Z1719" s="2680"/>
      <c r="AA1719" s="2680"/>
      <c r="AB1719" s="2680"/>
      <c r="AC1719" s="4842"/>
      <c r="AD1719" s="5206"/>
      <c r="AE1719" s="5922"/>
      <c r="AF1719" s="3409"/>
      <c r="AG1719" s="4815">
        <f t="shared" si="368"/>
        <v>-5549.40000000001</v>
      </c>
      <c r="AH1719" s="5345" t="s">
        <v>349</v>
      </c>
      <c r="AI1719" s="4815">
        <v>46019</v>
      </c>
      <c r="AJ1719" s="4815">
        <v>-5549.40000000001</v>
      </c>
      <c r="AK1719" s="4815">
        <v>46019</v>
      </c>
      <c r="AL1719" s="5123"/>
      <c r="AM1719" s="5123"/>
      <c r="AN1719" s="5258">
        <f t="shared" si="369"/>
        <v>0</v>
      </c>
      <c r="AO1719" s="5258"/>
      <c r="AP1719" s="5123">
        <f t="shared" si="370"/>
        <v>-5549.40000000001</v>
      </c>
      <c r="AQ1719" s="5160"/>
      <c r="AR1719" s="5123"/>
      <c r="AS1719" s="5855"/>
      <c r="AT1719" s="5160"/>
      <c r="AU1719" s="3524"/>
      <c r="AV1719" s="3524"/>
      <c r="AW1719" s="3524"/>
      <c r="AX1719" s="3524"/>
      <c r="AY1719" s="3524"/>
      <c r="AZ1719" s="3524"/>
      <c r="BA1719" s="5160"/>
      <c r="BB1719" s="5160"/>
      <c r="BC1719" s="5123"/>
      <c r="BD1719" s="5160"/>
      <c r="BE1719" s="5160"/>
      <c r="BF1719" s="5160"/>
      <c r="BG1719" s="5160"/>
      <c r="BH1719" s="5948"/>
      <c r="BI1719" s="3812">
        <v>-5549.40000000001</v>
      </c>
      <c r="BJ1719" s="5160"/>
      <c r="BK1719" s="5160"/>
      <c r="BL1719" s="5160"/>
      <c r="BM1719" s="5160"/>
      <c r="BN1719" s="5160"/>
      <c r="BO1719" s="5160"/>
      <c r="BP1719" s="5160"/>
      <c r="BQ1719" s="5160"/>
      <c r="BR1719" s="5160"/>
      <c r="BS1719" s="5160"/>
      <c r="BT1719" s="5160"/>
      <c r="BU1719" s="5160"/>
      <c r="BV1719" s="5948"/>
      <c r="BW1719" s="5123"/>
      <c r="BX1719" s="5160"/>
      <c r="BY1719" s="5160"/>
      <c r="BZ1719" s="5160"/>
      <c r="CA1719" s="5160"/>
      <c r="CB1719" s="5160"/>
      <c r="CC1719" s="5123"/>
      <c r="CD1719" s="5123"/>
      <c r="CE1719" s="5751"/>
      <c r="CF1719" s="5751"/>
      <c r="CG1719" s="5751"/>
      <c r="CH1719" s="5751"/>
    </row>
    <row r="1720" s="4965" customFormat="1" ht="61" spans="1:86">
      <c r="A1720" s="2680">
        <v>25</v>
      </c>
      <c r="B1720" s="5813" t="s">
        <v>690</v>
      </c>
      <c r="C1720" s="2713">
        <v>44672</v>
      </c>
      <c r="D1720" s="1032" t="s">
        <v>3007</v>
      </c>
      <c r="E1720" s="1032" t="s">
        <v>3008</v>
      </c>
      <c r="F1720" s="1032" t="s">
        <v>3009</v>
      </c>
      <c r="G1720" s="1032" t="s">
        <v>3010</v>
      </c>
      <c r="H1720" s="857" t="s">
        <v>1241</v>
      </c>
      <c r="I1720" s="3366"/>
      <c r="J1720" s="1032" t="s">
        <v>3011</v>
      </c>
      <c r="K1720" s="5818">
        <v>2500</v>
      </c>
      <c r="L1720" s="1032" t="s">
        <v>2303</v>
      </c>
      <c r="M1720" s="3742">
        <f>SUM(N1720:AA1723)</f>
        <v>150000</v>
      </c>
      <c r="N1720" s="2680">
        <v>0</v>
      </c>
      <c r="O1720" s="2680">
        <v>0</v>
      </c>
      <c r="P1720" s="2680">
        <v>0</v>
      </c>
      <c r="Q1720" s="2680">
        <v>30000</v>
      </c>
      <c r="R1720" s="2680">
        <v>0</v>
      </c>
      <c r="S1720" s="2680">
        <v>60000</v>
      </c>
      <c r="T1720" s="5823">
        <v>0</v>
      </c>
      <c r="U1720" s="2680">
        <v>0</v>
      </c>
      <c r="V1720" s="2680">
        <v>0</v>
      </c>
      <c r="W1720" s="2680">
        <v>60000</v>
      </c>
      <c r="X1720" s="2680">
        <v>0</v>
      </c>
      <c r="Y1720" s="2680">
        <v>0</v>
      </c>
      <c r="Z1720" s="2680"/>
      <c r="AA1720" s="2680">
        <v>0</v>
      </c>
      <c r="AB1720" s="2680">
        <v>0</v>
      </c>
      <c r="AC1720" s="3524">
        <v>1</v>
      </c>
      <c r="AD1720" s="5241" t="s">
        <v>3012</v>
      </c>
      <c r="AE1720" s="5870">
        <v>0.2</v>
      </c>
      <c r="AF1720" s="2713">
        <f>M1720*AE1720</f>
        <v>30000</v>
      </c>
      <c r="AG1720" s="3812">
        <v>30000</v>
      </c>
      <c r="AH1720" s="857" t="s">
        <v>122</v>
      </c>
      <c r="AI1720" s="3812">
        <v>45180</v>
      </c>
      <c r="AJ1720" s="3812">
        <v>30000</v>
      </c>
      <c r="AK1720" s="3812">
        <v>45180</v>
      </c>
      <c r="AL1720" s="3812">
        <v>30000</v>
      </c>
      <c r="AM1720" s="3812">
        <v>45180</v>
      </c>
      <c r="AN1720" s="3812">
        <f t="shared" si="369"/>
        <v>30000</v>
      </c>
      <c r="AO1720" s="3812">
        <v>45219</v>
      </c>
      <c r="AP1720" s="3812">
        <f t="shared" si="370"/>
        <v>0</v>
      </c>
      <c r="AQ1720" s="5122"/>
      <c r="AR1720" s="3524"/>
      <c r="AS1720" s="5129"/>
      <c r="AT1720" s="5122"/>
      <c r="AU1720" s="2680">
        <f>SUM(AG1720:AG1723)</f>
        <v>82500</v>
      </c>
      <c r="AV1720" s="2680">
        <f>SUM(AL1720:AL1723)</f>
        <v>82500</v>
      </c>
      <c r="AW1720" s="2680">
        <f>SUM(AN1720:AN1723)</f>
        <v>82500</v>
      </c>
      <c r="AX1720" s="2680">
        <f>M1720-AU1720</f>
        <v>67500</v>
      </c>
      <c r="AY1720" s="2680">
        <f>AU1720-AV1720</f>
        <v>0</v>
      </c>
      <c r="AZ1720" s="2680">
        <f>AV1720-AW1720</f>
        <v>0</v>
      </c>
      <c r="BA1720" s="5146"/>
      <c r="BB1720" s="5146"/>
      <c r="BC1720" s="3812"/>
      <c r="BD1720" s="5146"/>
      <c r="BE1720" s="5146"/>
      <c r="BF1720" s="5146"/>
      <c r="BG1720" s="5146"/>
      <c r="BH1720" s="5152"/>
      <c r="BI1720" s="3812"/>
      <c r="BJ1720" s="3812">
        <v>30000</v>
      </c>
      <c r="BK1720" s="5146"/>
      <c r="BL1720" s="5146"/>
      <c r="BM1720" s="5146"/>
      <c r="BN1720" s="5146"/>
      <c r="BO1720" s="5122"/>
      <c r="BP1720" s="5122"/>
      <c r="BQ1720" s="5122"/>
      <c r="BR1720" s="5122"/>
      <c r="BS1720" s="5122"/>
      <c r="BT1720" s="5160"/>
      <c r="BU1720" s="5160"/>
      <c r="BV1720" s="5862"/>
      <c r="BW1720" s="6779"/>
      <c r="BX1720" s="3812">
        <v>30000</v>
      </c>
      <c r="BY1720" s="5122"/>
      <c r="BZ1720" s="5122"/>
      <c r="CA1720" s="5122"/>
      <c r="CB1720" s="5122"/>
      <c r="CC1720" s="3524"/>
      <c r="CD1720" s="3524"/>
      <c r="CE1720" s="5169"/>
      <c r="CF1720" s="5169"/>
      <c r="CG1720" s="5169"/>
      <c r="CH1720" s="5169"/>
    </row>
    <row r="1721" s="4965" customFormat="1" ht="61" customHeight="1" spans="1:86">
      <c r="A1721" s="2680"/>
      <c r="B1721" s="5813"/>
      <c r="C1721" s="2713"/>
      <c r="D1721" s="3742"/>
      <c r="E1721" s="3742"/>
      <c r="F1721" s="3742"/>
      <c r="G1721" s="5818"/>
      <c r="H1721" s="3524"/>
      <c r="I1721" s="3408"/>
      <c r="J1721" s="3742"/>
      <c r="K1721" s="5818"/>
      <c r="L1721" s="3742"/>
      <c r="M1721" s="3742"/>
      <c r="N1721" s="2680"/>
      <c r="O1721" s="2680"/>
      <c r="P1721" s="2680"/>
      <c r="Q1721" s="2680"/>
      <c r="R1721" s="2680"/>
      <c r="S1721" s="2680"/>
      <c r="T1721" s="2680"/>
      <c r="U1721" s="2680"/>
      <c r="V1721" s="2680"/>
      <c r="W1721" s="2680"/>
      <c r="X1721" s="2680"/>
      <c r="Y1721" s="2680"/>
      <c r="Z1721" s="2680"/>
      <c r="AA1721" s="2680"/>
      <c r="AB1721" s="2680"/>
      <c r="AC1721" s="3524">
        <v>2</v>
      </c>
      <c r="AD1721" s="5241" t="s">
        <v>3013</v>
      </c>
      <c r="AE1721" s="5870">
        <v>0.35</v>
      </c>
      <c r="AF1721" s="2713">
        <f>M1720*AE1721</f>
        <v>52500</v>
      </c>
      <c r="AG1721" s="3812">
        <v>52500</v>
      </c>
      <c r="AH1721" s="857" t="s">
        <v>122</v>
      </c>
      <c r="AI1721" s="3812">
        <v>45180</v>
      </c>
      <c r="AJ1721" s="3812">
        <v>52500</v>
      </c>
      <c r="AK1721" s="3812">
        <v>45180</v>
      </c>
      <c r="AL1721" s="3812">
        <v>52500</v>
      </c>
      <c r="AM1721" s="3812">
        <v>45180</v>
      </c>
      <c r="AN1721" s="3812">
        <f t="shared" si="369"/>
        <v>52500</v>
      </c>
      <c r="AO1721" s="3812">
        <v>45219</v>
      </c>
      <c r="AP1721" s="3812">
        <f t="shared" si="370"/>
        <v>0</v>
      </c>
      <c r="AQ1721" s="5122"/>
      <c r="AR1721" s="3524"/>
      <c r="AS1721" s="5129"/>
      <c r="AT1721" s="5122"/>
      <c r="AU1721" s="2680"/>
      <c r="AV1721" s="2680"/>
      <c r="AW1721" s="2680"/>
      <c r="AX1721" s="2680"/>
      <c r="AY1721" s="2680"/>
      <c r="AZ1721" s="2680"/>
      <c r="BA1721" s="5160"/>
      <c r="BB1721" s="5160"/>
      <c r="BC1721" s="5123"/>
      <c r="BD1721" s="5146"/>
      <c r="BE1721" s="5146"/>
      <c r="BF1721" s="5146"/>
      <c r="BG1721" s="5146"/>
      <c r="BH1721" s="5152"/>
      <c r="BI1721" s="3812"/>
      <c r="BJ1721" s="3812">
        <v>52500</v>
      </c>
      <c r="BK1721" s="5146"/>
      <c r="BL1721" s="5146"/>
      <c r="BM1721" s="5146"/>
      <c r="BN1721" s="5146"/>
      <c r="BO1721" s="5122"/>
      <c r="BP1721" s="5122"/>
      <c r="BQ1721" s="5122"/>
      <c r="BR1721" s="5122"/>
      <c r="BS1721" s="5122"/>
      <c r="BT1721" s="5160"/>
      <c r="BU1721" s="5160"/>
      <c r="BV1721" s="5862"/>
      <c r="BW1721" s="3812"/>
      <c r="BX1721" s="3812">
        <v>52500</v>
      </c>
      <c r="BY1721" s="5122"/>
      <c r="BZ1721" s="5122"/>
      <c r="CA1721" s="5122"/>
      <c r="CB1721" s="5122"/>
      <c r="CC1721" s="3524"/>
      <c r="CD1721" s="3524"/>
      <c r="CE1721" s="5169"/>
      <c r="CF1721" s="5169"/>
      <c r="CG1721" s="5169"/>
      <c r="CH1721" s="5169"/>
    </row>
    <row r="1722" s="4965" customFormat="1" ht="61" spans="1:86">
      <c r="A1722" s="3524"/>
      <c r="B1722" s="5813"/>
      <c r="C1722" s="2713"/>
      <c r="D1722" s="3742"/>
      <c r="E1722" s="3742"/>
      <c r="F1722" s="3742"/>
      <c r="G1722" s="5818"/>
      <c r="H1722" s="3524"/>
      <c r="I1722" s="3408"/>
      <c r="J1722" s="3742"/>
      <c r="K1722" s="5818"/>
      <c r="L1722" s="3742"/>
      <c r="M1722" s="3742"/>
      <c r="N1722" s="2680"/>
      <c r="O1722" s="2680"/>
      <c r="P1722" s="2680"/>
      <c r="Q1722" s="2680"/>
      <c r="R1722" s="2680"/>
      <c r="S1722" s="2680"/>
      <c r="T1722" s="2680"/>
      <c r="U1722" s="2680"/>
      <c r="V1722" s="2680"/>
      <c r="W1722" s="2680"/>
      <c r="X1722" s="2680"/>
      <c r="Y1722" s="2680"/>
      <c r="Z1722" s="2680"/>
      <c r="AA1722" s="2680"/>
      <c r="AB1722" s="2680"/>
      <c r="AC1722" s="3524">
        <v>3</v>
      </c>
      <c r="AD1722" s="5241" t="s">
        <v>3014</v>
      </c>
      <c r="AE1722" s="5870">
        <v>0.35</v>
      </c>
      <c r="AF1722" s="2713">
        <f>M1715*AE1722</f>
        <v>49000</v>
      </c>
      <c r="AG1722" s="5485">
        <f>SUM(BA1722:BN1722)</f>
        <v>0</v>
      </c>
      <c r="AH1722" s="6768"/>
      <c r="AI1722" s="5485"/>
      <c r="AJ1722" s="5123"/>
      <c r="AK1722" s="5123"/>
      <c r="AL1722" s="5123"/>
      <c r="AM1722" s="5123"/>
      <c r="AN1722" s="5123">
        <f t="shared" si="369"/>
        <v>0</v>
      </c>
      <c r="AO1722" s="5123"/>
      <c r="AP1722" s="3812">
        <f t="shared" si="370"/>
        <v>0</v>
      </c>
      <c r="AQ1722" s="5122"/>
      <c r="AR1722" s="3524"/>
      <c r="AS1722" s="5129"/>
      <c r="AT1722" s="5122"/>
      <c r="AU1722" s="3524"/>
      <c r="AV1722" s="3524"/>
      <c r="AW1722" s="3524"/>
      <c r="AX1722" s="3524"/>
      <c r="AY1722" s="3524"/>
      <c r="AZ1722" s="3524"/>
      <c r="BA1722" s="5122"/>
      <c r="BB1722" s="5122"/>
      <c r="BC1722" s="3524"/>
      <c r="BD1722" s="5122"/>
      <c r="BE1722" s="5122"/>
      <c r="BF1722" s="5122"/>
      <c r="BG1722" s="5160"/>
      <c r="BH1722" s="5862"/>
      <c r="BI1722" s="5123"/>
      <c r="BJ1722" s="5123"/>
      <c r="BK1722" s="5160"/>
      <c r="BL1722" s="5160"/>
      <c r="BM1722" s="5160"/>
      <c r="BN1722" s="5160"/>
      <c r="BO1722" s="5160"/>
      <c r="BP1722" s="5160"/>
      <c r="BQ1722" s="5160"/>
      <c r="BR1722" s="5160"/>
      <c r="BS1722" s="5160"/>
      <c r="BT1722" s="5160"/>
      <c r="BU1722" s="5160"/>
      <c r="BV1722" s="5948"/>
      <c r="BW1722" s="5160"/>
      <c r="BX1722" s="5122"/>
      <c r="BY1722" s="5122"/>
      <c r="BZ1722" s="5122"/>
      <c r="CA1722" s="5122"/>
      <c r="CB1722" s="5122"/>
      <c r="CC1722" s="3524"/>
      <c r="CD1722" s="3524"/>
      <c r="CE1722" s="5169"/>
      <c r="CF1722" s="5169"/>
      <c r="CG1722" s="5169"/>
      <c r="CH1722" s="5169"/>
    </row>
    <row r="1723" s="4965" customFormat="1" ht="46" spans="1:86">
      <c r="A1723" s="3524"/>
      <c r="B1723" s="5813"/>
      <c r="C1723" s="2713"/>
      <c r="D1723" s="3742"/>
      <c r="E1723" s="3742"/>
      <c r="F1723" s="3742"/>
      <c r="G1723" s="5818"/>
      <c r="H1723" s="3524"/>
      <c r="I1723" s="3409"/>
      <c r="J1723" s="3742"/>
      <c r="K1723" s="5818"/>
      <c r="L1723" s="3742"/>
      <c r="M1723" s="3742"/>
      <c r="N1723" s="2680"/>
      <c r="O1723" s="2680"/>
      <c r="P1723" s="2680"/>
      <c r="Q1723" s="2680"/>
      <c r="R1723" s="2680"/>
      <c r="S1723" s="2680"/>
      <c r="T1723" s="2680"/>
      <c r="U1723" s="2680"/>
      <c r="V1723" s="2680"/>
      <c r="W1723" s="2680"/>
      <c r="X1723" s="2680"/>
      <c r="Y1723" s="2680"/>
      <c r="Z1723" s="2680"/>
      <c r="AA1723" s="2680"/>
      <c r="AB1723" s="2680"/>
      <c r="AC1723" s="3524">
        <v>4</v>
      </c>
      <c r="AD1723" s="5241" t="s">
        <v>3015</v>
      </c>
      <c r="AE1723" s="5870">
        <v>0.1</v>
      </c>
      <c r="AF1723" s="2713">
        <f>M1720*AE1723</f>
        <v>15000</v>
      </c>
      <c r="AG1723" s="3812">
        <f>SUM(BA1723:BN1723)</f>
        <v>0</v>
      </c>
      <c r="AH1723" s="3406"/>
      <c r="AI1723" s="5123"/>
      <c r="AJ1723" s="5123"/>
      <c r="AK1723" s="5123"/>
      <c r="AL1723" s="5123"/>
      <c r="AM1723" s="5123"/>
      <c r="AN1723" s="5123">
        <f t="shared" si="369"/>
        <v>0</v>
      </c>
      <c r="AO1723" s="5123"/>
      <c r="AP1723" s="3812">
        <f t="shared" si="370"/>
        <v>0</v>
      </c>
      <c r="AQ1723" s="5122"/>
      <c r="AR1723" s="3524"/>
      <c r="AS1723" s="5129"/>
      <c r="AT1723" s="5122"/>
      <c r="AU1723" s="3524"/>
      <c r="AV1723" s="3524"/>
      <c r="AW1723" s="3524"/>
      <c r="AX1723" s="3524"/>
      <c r="AY1723" s="3524"/>
      <c r="AZ1723" s="3524"/>
      <c r="BA1723" s="5122"/>
      <c r="BB1723" s="5122"/>
      <c r="BC1723" s="3524"/>
      <c r="BD1723" s="5122"/>
      <c r="BE1723" s="5122"/>
      <c r="BF1723" s="5122"/>
      <c r="BG1723" s="5160"/>
      <c r="BH1723" s="5862"/>
      <c r="BI1723" s="5123"/>
      <c r="BJ1723" s="5160"/>
      <c r="BK1723" s="5160"/>
      <c r="BL1723" s="5160"/>
      <c r="BM1723" s="5160"/>
      <c r="BN1723" s="5160"/>
      <c r="BO1723" s="5160"/>
      <c r="BP1723" s="5160"/>
      <c r="BQ1723" s="5160"/>
      <c r="BR1723" s="5160"/>
      <c r="BS1723" s="5160"/>
      <c r="BT1723" s="5160"/>
      <c r="BU1723" s="5160"/>
      <c r="BV1723" s="5948"/>
      <c r="BW1723" s="5160"/>
      <c r="BX1723" s="5122"/>
      <c r="BY1723" s="5122"/>
      <c r="BZ1723" s="5122"/>
      <c r="CA1723" s="5122"/>
      <c r="CB1723" s="5122"/>
      <c r="CC1723" s="3524"/>
      <c r="CD1723" s="3524"/>
      <c r="CE1723" s="5169"/>
      <c r="CF1723" s="5169"/>
      <c r="CG1723" s="5169"/>
      <c r="CH1723" s="5169"/>
    </row>
    <row r="1724" s="4990" customFormat="1" ht="61" spans="1:86">
      <c r="A1724" s="2678">
        <v>1</v>
      </c>
      <c r="B1724" s="3057" t="s">
        <v>3016</v>
      </c>
      <c r="C1724" s="3057">
        <v>43368</v>
      </c>
      <c r="D1724" s="1125" t="s">
        <v>3017</v>
      </c>
      <c r="E1724" s="3057" t="s">
        <v>113</v>
      </c>
      <c r="F1724" s="5056" t="s">
        <v>3018</v>
      </c>
      <c r="G1724" s="5056" t="s">
        <v>3019</v>
      </c>
      <c r="H1724" s="3057" t="s">
        <v>813</v>
      </c>
      <c r="I1724" s="2099" t="s">
        <v>3020</v>
      </c>
      <c r="J1724" s="5056" t="s">
        <v>571</v>
      </c>
      <c r="K1724" s="3057" t="s">
        <v>171</v>
      </c>
      <c r="L1724" s="5056" t="s">
        <v>171</v>
      </c>
      <c r="M1724" s="3057">
        <f>Q1724+Q1726+Q1727</f>
        <v>1075233.7</v>
      </c>
      <c r="N1724" s="2678">
        <v>0</v>
      </c>
      <c r="O1724" s="2678">
        <v>0</v>
      </c>
      <c r="P1724" s="2678">
        <v>0</v>
      </c>
      <c r="Q1724" s="2678">
        <f>102877.85+434739</f>
        <v>537616.85</v>
      </c>
      <c r="R1724" s="2678">
        <v>0</v>
      </c>
      <c r="S1724" s="2678">
        <v>0</v>
      </c>
      <c r="T1724" s="5823">
        <v>0</v>
      </c>
      <c r="U1724" s="2678">
        <v>0</v>
      </c>
      <c r="V1724" s="2678">
        <v>0</v>
      </c>
      <c r="W1724" s="2678">
        <v>0</v>
      </c>
      <c r="X1724" s="2678"/>
      <c r="Y1724" s="2678"/>
      <c r="Z1724" s="2678"/>
      <c r="AA1724" s="2678">
        <v>0</v>
      </c>
      <c r="AB1724" s="5667" t="s">
        <v>3021</v>
      </c>
      <c r="AC1724" s="3057" t="s">
        <v>2832</v>
      </c>
      <c r="AD1724" s="5056" t="s">
        <v>3022</v>
      </c>
      <c r="AE1724" s="5056">
        <v>1</v>
      </c>
      <c r="AF1724" s="3057">
        <v>1075233.7</v>
      </c>
      <c r="AG1724" s="3057">
        <f>SUM(BA1724:BN1725)</f>
        <v>537616.85</v>
      </c>
      <c r="AH1724" s="3057" t="s">
        <v>206</v>
      </c>
      <c r="AI1724" s="3057">
        <v>43525</v>
      </c>
      <c r="AJ1724" s="3057">
        <v>537616.85</v>
      </c>
      <c r="AK1724" s="3057">
        <v>43525</v>
      </c>
      <c r="AL1724" s="3057">
        <v>537616.85</v>
      </c>
      <c r="AM1724" s="3057">
        <v>43525</v>
      </c>
      <c r="AN1724" s="3057">
        <f>SUM(BO1724:CB1725)</f>
        <v>537616.85</v>
      </c>
      <c r="AO1724" s="3057">
        <v>43556</v>
      </c>
      <c r="AP1724" s="3057">
        <f t="shared" ref="AP1724:AP1735" si="371">AG1724-AN1724</f>
        <v>0</v>
      </c>
      <c r="AQ1724" s="584" t="s">
        <v>1463</v>
      </c>
      <c r="AR1724" s="2678" t="s">
        <v>1037</v>
      </c>
      <c r="AS1724" s="5667" t="s">
        <v>3023</v>
      </c>
      <c r="AT1724" s="2678" t="s">
        <v>171</v>
      </c>
      <c r="AU1724" s="2678"/>
      <c r="AV1724" s="2678"/>
      <c r="AW1724" s="2678"/>
      <c r="AX1724" s="2678"/>
      <c r="AY1724" s="2678"/>
      <c r="AZ1724" s="2678"/>
      <c r="BA1724" s="5150"/>
      <c r="BB1724" s="3057"/>
      <c r="BC1724" s="3057"/>
      <c r="BD1724" s="3057">
        <v>537616.85</v>
      </c>
      <c r="BE1724" s="3057"/>
      <c r="BF1724" s="3057"/>
      <c r="BG1724" s="3057"/>
      <c r="BH1724" s="3057"/>
      <c r="BI1724" s="3057"/>
      <c r="BJ1724" s="3057"/>
      <c r="BK1724" s="3057"/>
      <c r="BL1724" s="3057"/>
      <c r="BM1724" s="3057"/>
      <c r="BN1724" s="3057"/>
      <c r="BO1724" s="5159"/>
      <c r="BP1724" s="3057"/>
      <c r="BQ1724" s="3057"/>
      <c r="BR1724" s="3057">
        <v>537616.85</v>
      </c>
      <c r="BS1724" s="3057"/>
      <c r="BT1724" s="3057"/>
      <c r="BU1724" s="3057"/>
      <c r="BV1724" s="3057"/>
      <c r="BW1724" s="3057"/>
      <c r="BX1724" s="3057"/>
      <c r="BY1724" s="3057"/>
      <c r="BZ1724" s="3057"/>
      <c r="CA1724" s="3057"/>
      <c r="CB1724" s="3057"/>
      <c r="CC1724" s="3058" t="s">
        <v>1112</v>
      </c>
      <c r="CD1724" s="3058" t="s">
        <v>154</v>
      </c>
      <c r="CE1724" s="6781"/>
      <c r="CF1724" s="6781"/>
      <c r="CG1724" s="6781"/>
      <c r="CH1724" s="6781"/>
    </row>
    <row r="1725" s="4990" customFormat="1" ht="76" spans="1:86">
      <c r="A1725" s="2678"/>
      <c r="B1725" s="3057"/>
      <c r="C1725" s="3057">
        <v>43549</v>
      </c>
      <c r="D1725" s="5056"/>
      <c r="E1725" s="3057" t="s">
        <v>113</v>
      </c>
      <c r="F1725" s="5056" t="s">
        <v>3024</v>
      </c>
      <c r="G1725" s="5056" t="s">
        <v>3019</v>
      </c>
      <c r="H1725" s="3057"/>
      <c r="I1725" s="5071"/>
      <c r="J1725" s="5056" t="s">
        <v>3025</v>
      </c>
      <c r="K1725" s="3057" t="s">
        <v>171</v>
      </c>
      <c r="L1725" s="5056" t="s">
        <v>171</v>
      </c>
      <c r="M1725" s="3057"/>
      <c r="N1725" s="2678">
        <v>0</v>
      </c>
      <c r="O1725" s="2678">
        <v>0</v>
      </c>
      <c r="P1725" s="2678">
        <v>0</v>
      </c>
      <c r="Q1725" s="2678"/>
      <c r="R1725" s="2678">
        <v>0</v>
      </c>
      <c r="S1725" s="2678">
        <v>0</v>
      </c>
      <c r="T1725" s="5823">
        <v>0</v>
      </c>
      <c r="U1725" s="2678">
        <v>0</v>
      </c>
      <c r="V1725" s="2678">
        <v>0</v>
      </c>
      <c r="W1725" s="2678">
        <v>0</v>
      </c>
      <c r="X1725" s="2678"/>
      <c r="Y1725" s="2678"/>
      <c r="Z1725" s="2678"/>
      <c r="AA1725" s="2678">
        <v>0</v>
      </c>
      <c r="AB1725" s="5667"/>
      <c r="AC1725" s="3057" t="s">
        <v>2832</v>
      </c>
      <c r="AD1725" s="5056" t="s">
        <v>3026</v>
      </c>
      <c r="AE1725" s="5056">
        <v>0.5</v>
      </c>
      <c r="AF1725" s="3057">
        <v>537616.85</v>
      </c>
      <c r="AG1725" s="3057"/>
      <c r="AH1725" s="3057"/>
      <c r="AI1725" s="3057"/>
      <c r="AJ1725" s="3057"/>
      <c r="AK1725" s="3057"/>
      <c r="AL1725" s="3057"/>
      <c r="AM1725" s="3057"/>
      <c r="AN1725" s="3057"/>
      <c r="AO1725" s="3057"/>
      <c r="AP1725" s="3057"/>
      <c r="AQ1725" s="3057"/>
      <c r="AR1725" s="2678"/>
      <c r="AS1725" s="5667"/>
      <c r="AT1725" s="2678" t="s">
        <v>171</v>
      </c>
      <c r="AU1725" s="2678"/>
      <c r="AV1725" s="2678"/>
      <c r="AW1725" s="2678"/>
      <c r="AX1725" s="2678"/>
      <c r="AY1725" s="2678"/>
      <c r="AZ1725" s="2678"/>
      <c r="BA1725" s="5150"/>
      <c r="BB1725" s="3057"/>
      <c r="BC1725" s="3057"/>
      <c r="BD1725" s="3057"/>
      <c r="BE1725" s="3057"/>
      <c r="BF1725" s="3057"/>
      <c r="BG1725" s="3057"/>
      <c r="BH1725" s="3057"/>
      <c r="BI1725" s="3057"/>
      <c r="BJ1725" s="3057"/>
      <c r="BK1725" s="3057"/>
      <c r="BL1725" s="3057"/>
      <c r="BM1725" s="3057"/>
      <c r="BN1725" s="3057"/>
      <c r="BO1725" s="5159"/>
      <c r="BP1725" s="3057"/>
      <c r="BQ1725" s="3057"/>
      <c r="BR1725" s="3057"/>
      <c r="BS1725" s="3057"/>
      <c r="BT1725" s="3057"/>
      <c r="BU1725" s="3057"/>
      <c r="BV1725" s="3057"/>
      <c r="BW1725" s="3057"/>
      <c r="BX1725" s="3057"/>
      <c r="BY1725" s="3057"/>
      <c r="BZ1725" s="3057"/>
      <c r="CA1725" s="3057"/>
      <c r="CB1725" s="3057"/>
      <c r="CC1725" s="3058" t="s">
        <v>1112</v>
      </c>
      <c r="CD1725" s="3058" t="s">
        <v>154</v>
      </c>
      <c r="CE1725" s="6781"/>
      <c r="CF1725" s="6781"/>
      <c r="CG1725" s="6781"/>
      <c r="CH1725" s="6781"/>
    </row>
    <row r="1726" s="4990" customFormat="1" ht="76" spans="1:86">
      <c r="A1726" s="2678"/>
      <c r="B1726" s="3057"/>
      <c r="C1726" s="3057">
        <v>43770</v>
      </c>
      <c r="D1726" s="5056"/>
      <c r="E1726" s="3057" t="s">
        <v>113</v>
      </c>
      <c r="F1726" s="5056" t="s">
        <v>3027</v>
      </c>
      <c r="G1726" s="5056" t="s">
        <v>3019</v>
      </c>
      <c r="H1726" s="3057"/>
      <c r="I1726" s="5071"/>
      <c r="J1726" s="5056" t="s">
        <v>3025</v>
      </c>
      <c r="K1726" s="3057" t="s">
        <v>171</v>
      </c>
      <c r="L1726" s="5056" t="s">
        <v>171</v>
      </c>
      <c r="M1726" s="3057"/>
      <c r="N1726" s="2678">
        <v>0</v>
      </c>
      <c r="O1726" s="2678">
        <v>0</v>
      </c>
      <c r="P1726" s="2678">
        <v>0</v>
      </c>
      <c r="Q1726" s="5349">
        <f>82302.28+347791.2</f>
        <v>430093.48</v>
      </c>
      <c r="R1726" s="2678">
        <v>0</v>
      </c>
      <c r="S1726" s="2678">
        <v>0</v>
      </c>
      <c r="T1726" s="5823">
        <v>0</v>
      </c>
      <c r="U1726" s="2678">
        <v>0</v>
      </c>
      <c r="V1726" s="2678">
        <v>0</v>
      </c>
      <c r="W1726" s="2678">
        <v>0</v>
      </c>
      <c r="X1726" s="2678"/>
      <c r="Y1726" s="2678"/>
      <c r="Z1726" s="2678"/>
      <c r="AA1726" s="2678">
        <v>0</v>
      </c>
      <c r="AB1726" s="5667">
        <v>347791.2</v>
      </c>
      <c r="AC1726" s="3057" t="s">
        <v>2832</v>
      </c>
      <c r="AD1726" s="5056" t="s">
        <v>3028</v>
      </c>
      <c r="AE1726" s="5056">
        <v>0.4</v>
      </c>
      <c r="AF1726" s="3057">
        <f>M1724*AE1726</f>
        <v>430093.48</v>
      </c>
      <c r="AG1726" s="3057">
        <f t="shared" ref="AG1724:AG1732" si="372">SUM(BA1726:BN1726)</f>
        <v>430093.48</v>
      </c>
      <c r="AH1726" s="3057" t="s">
        <v>206</v>
      </c>
      <c r="AI1726" s="3057">
        <v>43770</v>
      </c>
      <c r="AJ1726" s="3057">
        <v>430093.48</v>
      </c>
      <c r="AK1726" s="3057">
        <v>43770</v>
      </c>
      <c r="AL1726" s="3057">
        <v>430093.48</v>
      </c>
      <c r="AM1726" s="3057">
        <v>43770</v>
      </c>
      <c r="AN1726" s="3057">
        <f t="shared" ref="AN1726:AN1732" si="373">SUM(BO1726:CB1726)</f>
        <v>430093.48</v>
      </c>
      <c r="AO1726" s="3057">
        <v>43800</v>
      </c>
      <c r="AP1726" s="3057">
        <f t="shared" si="371"/>
        <v>0</v>
      </c>
      <c r="AQ1726" s="3057"/>
      <c r="AR1726" s="2678" t="s">
        <v>1037</v>
      </c>
      <c r="AS1726" s="5667"/>
      <c r="AT1726" s="2678" t="s">
        <v>171</v>
      </c>
      <c r="AU1726" s="2678"/>
      <c r="AV1726" s="2678"/>
      <c r="AW1726" s="2678"/>
      <c r="AX1726" s="2678"/>
      <c r="AY1726" s="2678"/>
      <c r="AZ1726" s="2678"/>
      <c r="BA1726" s="5150"/>
      <c r="BB1726" s="3057"/>
      <c r="BC1726" s="3057"/>
      <c r="BD1726" s="3057">
        <v>430093.48</v>
      </c>
      <c r="BE1726" s="3057"/>
      <c r="BF1726" s="3057"/>
      <c r="BG1726" s="3057"/>
      <c r="BH1726" s="3057"/>
      <c r="BI1726" s="3057"/>
      <c r="BJ1726" s="3057"/>
      <c r="BK1726" s="3057"/>
      <c r="BL1726" s="3057"/>
      <c r="BM1726" s="3057"/>
      <c r="BN1726" s="3057"/>
      <c r="BO1726" s="5159"/>
      <c r="BP1726" s="3057"/>
      <c r="BQ1726" s="3057"/>
      <c r="BR1726" s="3057">
        <v>430093.48</v>
      </c>
      <c r="BS1726" s="3057"/>
      <c r="BT1726" s="3057"/>
      <c r="BU1726" s="3057"/>
      <c r="BV1726" s="3057"/>
      <c r="BW1726" s="3057"/>
      <c r="BX1726" s="3057"/>
      <c r="BY1726" s="3057"/>
      <c r="BZ1726" s="3057"/>
      <c r="CA1726" s="3057"/>
      <c r="CB1726" s="3057"/>
      <c r="CC1726" s="3058" t="s">
        <v>1112</v>
      </c>
      <c r="CD1726" s="3058" t="s">
        <v>154</v>
      </c>
      <c r="CE1726" s="6781"/>
      <c r="CF1726" s="6781"/>
      <c r="CG1726" s="6781"/>
      <c r="CH1726" s="6781"/>
    </row>
    <row r="1727" s="4990" customFormat="1" ht="76" spans="1:86">
      <c r="A1727" s="2678"/>
      <c r="B1727" s="3057"/>
      <c r="C1727" s="3057">
        <v>43770</v>
      </c>
      <c r="D1727" s="5056"/>
      <c r="E1727" s="3057" t="s">
        <v>113</v>
      </c>
      <c r="F1727" s="5056" t="s">
        <v>3027</v>
      </c>
      <c r="G1727" s="5056" t="s">
        <v>3019</v>
      </c>
      <c r="H1727" s="3057"/>
      <c r="I1727" s="5071"/>
      <c r="J1727" s="5056" t="s">
        <v>3025</v>
      </c>
      <c r="K1727" s="3057" t="s">
        <v>171</v>
      </c>
      <c r="L1727" s="5056" t="s">
        <v>171</v>
      </c>
      <c r="M1727" s="3057"/>
      <c r="N1727" s="2678">
        <v>0</v>
      </c>
      <c r="O1727" s="2678">
        <v>0</v>
      </c>
      <c r="P1727" s="2678">
        <v>0</v>
      </c>
      <c r="Q1727" s="5349">
        <f>20575.57+86947.8</f>
        <v>107523.37</v>
      </c>
      <c r="R1727" s="2678">
        <v>0</v>
      </c>
      <c r="S1727" s="2678">
        <v>0</v>
      </c>
      <c r="T1727" s="5823">
        <v>0</v>
      </c>
      <c r="U1727" s="2678">
        <v>0</v>
      </c>
      <c r="V1727" s="2678">
        <v>0</v>
      </c>
      <c r="W1727" s="2678">
        <v>0</v>
      </c>
      <c r="X1727" s="2678"/>
      <c r="Y1727" s="2678"/>
      <c r="Z1727" s="2678"/>
      <c r="AA1727" s="2678">
        <v>0</v>
      </c>
      <c r="AB1727" s="5667">
        <v>86947.8</v>
      </c>
      <c r="AC1727" s="3057" t="s">
        <v>2832</v>
      </c>
      <c r="AD1727" s="5056" t="s">
        <v>3028</v>
      </c>
      <c r="AE1727" s="5056">
        <v>0.1</v>
      </c>
      <c r="AF1727" s="3057">
        <f>M1724*AE1727</f>
        <v>107523.37</v>
      </c>
      <c r="AG1727" s="3057">
        <f t="shared" si="372"/>
        <v>107523.37</v>
      </c>
      <c r="AH1727" s="3057" t="s">
        <v>206</v>
      </c>
      <c r="AI1727" s="3057">
        <v>44214</v>
      </c>
      <c r="AJ1727" s="3057">
        <v>107523.37</v>
      </c>
      <c r="AK1727" s="3057">
        <v>44214</v>
      </c>
      <c r="AL1727" s="3057">
        <v>107523.37</v>
      </c>
      <c r="AM1727" s="3057">
        <v>44215</v>
      </c>
      <c r="AN1727" s="3057">
        <f t="shared" si="373"/>
        <v>107523.37</v>
      </c>
      <c r="AO1727" s="3057">
        <v>44250</v>
      </c>
      <c r="AP1727" s="3057">
        <f t="shared" si="371"/>
        <v>0</v>
      </c>
      <c r="AQ1727" s="3057"/>
      <c r="AR1727" s="2678" t="s">
        <v>1037</v>
      </c>
      <c r="AS1727" s="5667" t="s">
        <v>3029</v>
      </c>
      <c r="AT1727" s="2678" t="s">
        <v>171</v>
      </c>
      <c r="AU1727" s="2678"/>
      <c r="AV1727" s="2678"/>
      <c r="AW1727" s="2678"/>
      <c r="AX1727" s="2678"/>
      <c r="AY1727" s="2678"/>
      <c r="AZ1727" s="2678"/>
      <c r="BA1727" s="5150"/>
      <c r="BB1727" s="3057"/>
      <c r="BC1727" s="3057"/>
      <c r="BD1727" s="3057">
        <v>107523.37</v>
      </c>
      <c r="BE1727" s="3057"/>
      <c r="BF1727" s="3057"/>
      <c r="BG1727" s="3057"/>
      <c r="BH1727" s="3057"/>
      <c r="BI1727" s="3057"/>
      <c r="BJ1727" s="3057"/>
      <c r="BK1727" s="3057"/>
      <c r="BL1727" s="3057"/>
      <c r="BM1727" s="3057"/>
      <c r="BN1727" s="3057"/>
      <c r="BO1727" s="5150"/>
      <c r="BP1727" s="3057"/>
      <c r="BQ1727" s="3057"/>
      <c r="BR1727" s="3057">
        <v>107523.37</v>
      </c>
      <c r="BS1727" s="3057"/>
      <c r="BT1727" s="3057"/>
      <c r="BU1727" s="3057"/>
      <c r="BV1727" s="3057"/>
      <c r="BW1727" s="3057"/>
      <c r="BX1727" s="3057"/>
      <c r="BY1727" s="3057"/>
      <c r="BZ1727" s="3057"/>
      <c r="CA1727" s="3057"/>
      <c r="CB1727" s="3057"/>
      <c r="CC1727" s="3058" t="s">
        <v>1112</v>
      </c>
      <c r="CD1727" s="3058" t="s">
        <v>154</v>
      </c>
      <c r="CE1727" s="6781"/>
      <c r="CF1727" s="6781"/>
      <c r="CG1727" s="6781"/>
      <c r="CH1727" s="6781"/>
    </row>
    <row r="1728" s="4990" customFormat="1" ht="76" spans="1:86">
      <c r="A1728" s="2678"/>
      <c r="B1728" s="3057"/>
      <c r="C1728" s="3057">
        <v>43831</v>
      </c>
      <c r="D1728" s="5056"/>
      <c r="E1728" s="3057" t="s">
        <v>113</v>
      </c>
      <c r="F1728" s="5056" t="s">
        <v>3030</v>
      </c>
      <c r="G1728" s="5056" t="s">
        <v>3019</v>
      </c>
      <c r="H1728" s="3057"/>
      <c r="I1728" s="5072"/>
      <c r="J1728" s="1125" t="s">
        <v>3031</v>
      </c>
      <c r="K1728" s="3057" t="s">
        <v>171</v>
      </c>
      <c r="L1728" s="5056" t="s">
        <v>171</v>
      </c>
      <c r="M1728" s="3057">
        <f>SUM(N1728:AA1728)</f>
        <v>43460</v>
      </c>
      <c r="N1728" s="3812">
        <v>0</v>
      </c>
      <c r="O1728" s="3812">
        <v>0</v>
      </c>
      <c r="P1728" s="3812">
        <v>0</v>
      </c>
      <c r="Q1728" s="3812">
        <v>43460</v>
      </c>
      <c r="R1728" s="3812">
        <v>0</v>
      </c>
      <c r="S1728" s="3812">
        <v>0</v>
      </c>
      <c r="T1728" s="5089">
        <v>0</v>
      </c>
      <c r="U1728" s="3812">
        <v>0</v>
      </c>
      <c r="V1728" s="3812">
        <v>0</v>
      </c>
      <c r="W1728" s="3812">
        <v>0</v>
      </c>
      <c r="X1728" s="3812"/>
      <c r="Y1728" s="3812"/>
      <c r="Z1728" s="3812"/>
      <c r="AA1728" s="3812">
        <v>0</v>
      </c>
      <c r="AB1728" s="5059">
        <v>43460</v>
      </c>
      <c r="AC1728" s="3057" t="s">
        <v>2832</v>
      </c>
      <c r="AD1728" s="5056" t="s">
        <v>3032</v>
      </c>
      <c r="AE1728" s="5056">
        <v>1</v>
      </c>
      <c r="AF1728" s="3057">
        <v>43460</v>
      </c>
      <c r="AG1728" s="3057">
        <f t="shared" si="372"/>
        <v>43460</v>
      </c>
      <c r="AH1728" s="584" t="s">
        <v>122</v>
      </c>
      <c r="AI1728" s="3057">
        <v>44576</v>
      </c>
      <c r="AJ1728" s="3057">
        <v>43460</v>
      </c>
      <c r="AK1728" s="3057">
        <v>44576</v>
      </c>
      <c r="AL1728" s="3057">
        <v>43460</v>
      </c>
      <c r="AM1728" s="3057">
        <v>44576</v>
      </c>
      <c r="AN1728" s="3057">
        <f t="shared" si="373"/>
        <v>43460</v>
      </c>
      <c r="AO1728" s="3057">
        <v>44741</v>
      </c>
      <c r="AP1728" s="3057">
        <f t="shared" si="371"/>
        <v>0</v>
      </c>
      <c r="AQ1728" s="3057"/>
      <c r="AR1728" s="5201" t="s">
        <v>1037</v>
      </c>
      <c r="AS1728" s="5708" t="s">
        <v>3033</v>
      </c>
      <c r="AT1728" s="5201" t="s">
        <v>171</v>
      </c>
      <c r="AU1728" s="3812"/>
      <c r="AV1728" s="3812"/>
      <c r="AW1728" s="3812"/>
      <c r="AX1728" s="3812"/>
      <c r="AY1728" s="3812"/>
      <c r="AZ1728" s="3812"/>
      <c r="BA1728" s="5150"/>
      <c r="BB1728" s="3057"/>
      <c r="BC1728" s="3057"/>
      <c r="BD1728" s="3057">
        <v>43460</v>
      </c>
      <c r="BE1728" s="3057"/>
      <c r="BF1728" s="3057"/>
      <c r="BG1728" s="3057"/>
      <c r="BH1728" s="3057"/>
      <c r="BI1728" s="3057"/>
      <c r="BJ1728" s="3057"/>
      <c r="BK1728" s="3057"/>
      <c r="BL1728" s="3057"/>
      <c r="BM1728" s="3057"/>
      <c r="BN1728" s="3057"/>
      <c r="BO1728" s="5159"/>
      <c r="BP1728" s="3057"/>
      <c r="BQ1728" s="3057"/>
      <c r="BR1728" s="6778">
        <v>43460</v>
      </c>
      <c r="BS1728" s="3057"/>
      <c r="BT1728" s="3057"/>
      <c r="BU1728" s="3057"/>
      <c r="BV1728" s="3057"/>
      <c r="BW1728" s="3057"/>
      <c r="BX1728" s="3057"/>
      <c r="BY1728" s="3057"/>
      <c r="BZ1728" s="3057"/>
      <c r="CA1728" s="3057"/>
      <c r="CB1728" s="3057"/>
      <c r="CC1728" s="3058" t="s">
        <v>1112</v>
      </c>
      <c r="CD1728" s="3058" t="s">
        <v>154</v>
      </c>
      <c r="CE1728" s="6781"/>
      <c r="CF1728" s="6781"/>
      <c r="CG1728" s="6781"/>
      <c r="CH1728" s="6781"/>
    </row>
    <row r="1729" ht="46" spans="1:86">
      <c r="A1729" s="2678">
        <v>2</v>
      </c>
      <c r="B1729" s="859" t="s">
        <v>111</v>
      </c>
      <c r="C1729" s="2678">
        <v>43831</v>
      </c>
      <c r="D1729" s="5667" t="s">
        <v>1041</v>
      </c>
      <c r="E1729" s="2678" t="s">
        <v>113</v>
      </c>
      <c r="F1729" s="5667" t="s">
        <v>3034</v>
      </c>
      <c r="G1729" s="5667" t="s">
        <v>3035</v>
      </c>
      <c r="H1729" s="2678" t="s">
        <v>562</v>
      </c>
      <c r="I1729" s="5667"/>
      <c r="J1729" s="5667" t="s">
        <v>1580</v>
      </c>
      <c r="K1729" s="2678" t="s">
        <v>171</v>
      </c>
      <c r="L1729" s="5667" t="s">
        <v>3036</v>
      </c>
      <c r="M1729" s="2678">
        <f>SUM(N1729:AA1729)</f>
        <v>490000</v>
      </c>
      <c r="N1729" s="2678">
        <v>490000</v>
      </c>
      <c r="O1729" s="2678">
        <v>0</v>
      </c>
      <c r="P1729" s="2678">
        <v>0</v>
      </c>
      <c r="Q1729" s="2678">
        <v>0</v>
      </c>
      <c r="R1729" s="2678">
        <v>0</v>
      </c>
      <c r="S1729" s="2678">
        <v>0</v>
      </c>
      <c r="T1729" s="5823">
        <v>0</v>
      </c>
      <c r="U1729" s="2678">
        <v>0</v>
      </c>
      <c r="V1729" s="2678">
        <v>0</v>
      </c>
      <c r="W1729" s="2678">
        <v>0</v>
      </c>
      <c r="X1729" s="2678"/>
      <c r="Y1729" s="2678"/>
      <c r="Z1729" s="2678"/>
      <c r="AA1729" s="2678">
        <v>0</v>
      </c>
      <c r="AB1729" s="2678" t="s">
        <v>171</v>
      </c>
      <c r="AC1729" s="2678" t="s">
        <v>1070</v>
      </c>
      <c r="AD1729" s="5667" t="s">
        <v>3037</v>
      </c>
      <c r="AE1729" s="5717">
        <v>1</v>
      </c>
      <c r="AF1729" s="2678">
        <v>490000</v>
      </c>
      <c r="AG1729" s="5349">
        <f t="shared" si="372"/>
        <v>0</v>
      </c>
      <c r="AH1729" s="2678"/>
      <c r="AI1729" s="2678"/>
      <c r="AJ1729" s="2678">
        <v>0</v>
      </c>
      <c r="AK1729" s="2678"/>
      <c r="AL1729" s="2678"/>
      <c r="AM1729" s="2678"/>
      <c r="AN1729" s="5349">
        <f t="shared" si="373"/>
        <v>0</v>
      </c>
      <c r="AO1729" s="2678"/>
      <c r="AP1729" s="2678">
        <f t="shared" si="371"/>
        <v>0</v>
      </c>
      <c r="AQ1729" s="2678"/>
      <c r="AR1729" s="2678" t="s">
        <v>3038</v>
      </c>
      <c r="AS1729" s="5667"/>
      <c r="AT1729" s="2678" t="s">
        <v>171</v>
      </c>
      <c r="AU1729" s="2678">
        <f>SUM(AG1729:AG1729)</f>
        <v>0</v>
      </c>
      <c r="AV1729" s="2678">
        <f>SUBTOTAL(9,AL1729:AL1729)</f>
        <v>0</v>
      </c>
      <c r="AW1729" s="2678">
        <f>SUM(AN1729:AN1729)</f>
        <v>0</v>
      </c>
      <c r="AX1729" s="2678">
        <f>M1729-AU1729</f>
        <v>490000</v>
      </c>
      <c r="AY1729" s="2678">
        <f>AU1729-AV1729</f>
        <v>0</v>
      </c>
      <c r="AZ1729" s="2678">
        <f>AV1729-AW1729</f>
        <v>0</v>
      </c>
      <c r="BA1729" s="2678"/>
      <c r="BB1729" s="2678"/>
      <c r="BC1729" s="2678"/>
      <c r="BD1729" s="2678">
        <v>0</v>
      </c>
      <c r="BE1729" s="2678"/>
      <c r="BF1729" s="2678"/>
      <c r="BG1729" s="2678"/>
      <c r="BH1729" s="2678"/>
      <c r="BI1729" s="2678"/>
      <c r="BJ1729" s="2678"/>
      <c r="BK1729" s="2678"/>
      <c r="BL1729" s="2678"/>
      <c r="BM1729" s="2678"/>
      <c r="BN1729" s="2678"/>
      <c r="BO1729" s="2678">
        <v>0</v>
      </c>
      <c r="BP1729" s="2678"/>
      <c r="BQ1729" s="2678"/>
      <c r="BR1729" s="2678"/>
      <c r="BS1729" s="2678"/>
      <c r="BT1729" s="2678"/>
      <c r="BU1729" s="2678"/>
      <c r="BV1729" s="2678"/>
      <c r="BW1729" s="2678"/>
      <c r="BX1729" s="2678"/>
      <c r="BY1729" s="2678"/>
      <c r="BZ1729" s="2678"/>
      <c r="CA1729" s="2678"/>
      <c r="CB1729" s="2678"/>
      <c r="CC1729" s="2680" t="s">
        <v>3039</v>
      </c>
      <c r="CD1729" s="2680" t="s">
        <v>154</v>
      </c>
      <c r="CE1729" s="5168"/>
      <c r="CF1729" s="5168"/>
      <c r="CG1729" s="5750"/>
      <c r="CH1729" s="5750"/>
    </row>
    <row r="1730" s="4990" customFormat="1" ht="274" spans="1:86">
      <c r="A1730" s="2678">
        <v>3</v>
      </c>
      <c r="B1730" s="584" t="s">
        <v>111</v>
      </c>
      <c r="C1730" s="3057">
        <v>43831</v>
      </c>
      <c r="D1730" s="1125" t="s">
        <v>3040</v>
      </c>
      <c r="E1730" s="3057" t="s">
        <v>113</v>
      </c>
      <c r="F1730" s="5056" t="s">
        <v>3041</v>
      </c>
      <c r="G1730" s="5056" t="s">
        <v>3042</v>
      </c>
      <c r="H1730" s="3057" t="s">
        <v>286</v>
      </c>
      <c r="I1730" s="3057"/>
      <c r="J1730" s="5056" t="s">
        <v>3043</v>
      </c>
      <c r="K1730" s="3057" t="s">
        <v>171</v>
      </c>
      <c r="L1730" s="5056" t="s">
        <v>3044</v>
      </c>
      <c r="M1730" s="3057">
        <f>SUM(N1730:AA1730)</f>
        <v>500000</v>
      </c>
      <c r="N1730" s="2678">
        <v>0</v>
      </c>
      <c r="O1730" s="2678">
        <v>0</v>
      </c>
      <c r="P1730" s="2678">
        <v>166000</v>
      </c>
      <c r="Q1730" s="2678">
        <v>167000</v>
      </c>
      <c r="R1730" s="2678">
        <v>167000</v>
      </c>
      <c r="S1730" s="2678">
        <v>0</v>
      </c>
      <c r="T1730" s="2678"/>
      <c r="U1730" s="2678">
        <v>0</v>
      </c>
      <c r="V1730" s="2678">
        <v>0</v>
      </c>
      <c r="W1730" s="2678">
        <v>0</v>
      </c>
      <c r="X1730" s="2678"/>
      <c r="Y1730" s="2678"/>
      <c r="Z1730" s="2678"/>
      <c r="AA1730" s="2678">
        <v>0</v>
      </c>
      <c r="AB1730" s="2678" t="s">
        <v>171</v>
      </c>
      <c r="AC1730" s="3057" t="s">
        <v>1055</v>
      </c>
      <c r="AD1730" s="5056" t="s">
        <v>3045</v>
      </c>
      <c r="AE1730" s="5056">
        <v>1</v>
      </c>
      <c r="AF1730" s="3057">
        <v>500000</v>
      </c>
      <c r="AG1730" s="3057">
        <f t="shared" si="372"/>
        <v>0</v>
      </c>
      <c r="AH1730" s="3057"/>
      <c r="AI1730" s="3057"/>
      <c r="AJ1730" s="3057">
        <v>0</v>
      </c>
      <c r="AK1730" s="3057"/>
      <c r="AL1730" s="3057"/>
      <c r="AM1730" s="3057"/>
      <c r="AN1730" s="3057">
        <f t="shared" si="373"/>
        <v>0</v>
      </c>
      <c r="AO1730" s="3057"/>
      <c r="AP1730" s="3057">
        <f t="shared" si="371"/>
        <v>0</v>
      </c>
      <c r="AQ1730" s="3057"/>
      <c r="AR1730" s="3057" t="s">
        <v>1037</v>
      </c>
      <c r="AS1730" s="5056"/>
      <c r="AT1730" s="3057" t="s">
        <v>171</v>
      </c>
      <c r="AU1730" s="2678">
        <f>SUM(AG1730:AG1730)</f>
        <v>0</v>
      </c>
      <c r="AV1730" s="2678">
        <f>SUBTOTAL(9,AL1730:AL1730)</f>
        <v>0</v>
      </c>
      <c r="AW1730" s="2678">
        <f>SUM(AN1730:AN1730)</f>
        <v>0</v>
      </c>
      <c r="AX1730" s="2678">
        <f>M1730-AU1730</f>
        <v>500000</v>
      </c>
      <c r="AY1730" s="2678">
        <f>AU1730-AV1730</f>
        <v>0</v>
      </c>
      <c r="AZ1730" s="2678">
        <f>AV1730-AW1730</f>
        <v>0</v>
      </c>
      <c r="BA1730" s="3057"/>
      <c r="BB1730" s="3057"/>
      <c r="BC1730" s="3057">
        <v>0</v>
      </c>
      <c r="BD1730" s="3057">
        <v>0</v>
      </c>
      <c r="BE1730" s="3057">
        <v>0</v>
      </c>
      <c r="BF1730" s="3057"/>
      <c r="BG1730" s="3057"/>
      <c r="BH1730" s="3057"/>
      <c r="BI1730" s="3057"/>
      <c r="BJ1730" s="3057"/>
      <c r="BK1730" s="3057"/>
      <c r="BL1730" s="3057"/>
      <c r="BM1730" s="3057"/>
      <c r="BN1730" s="3057"/>
      <c r="BO1730" s="3057"/>
      <c r="BP1730" s="3057"/>
      <c r="BQ1730" s="3057">
        <v>0</v>
      </c>
      <c r="BR1730" s="3057">
        <v>0</v>
      </c>
      <c r="BS1730" s="3057">
        <v>0</v>
      </c>
      <c r="BT1730" s="3057"/>
      <c r="BU1730" s="3057"/>
      <c r="BV1730" s="3057"/>
      <c r="BW1730" s="3057"/>
      <c r="BX1730" s="3057"/>
      <c r="BY1730" s="3057"/>
      <c r="BZ1730" s="3057"/>
      <c r="CA1730" s="3057"/>
      <c r="CB1730" s="3057"/>
      <c r="CC1730" s="3058" t="s">
        <v>1038</v>
      </c>
      <c r="CD1730" s="3058" t="s">
        <v>154</v>
      </c>
      <c r="CE1730" s="6781"/>
      <c r="CF1730" s="6781"/>
      <c r="CG1730" s="6781"/>
      <c r="CH1730" s="6781"/>
    </row>
    <row r="1731" s="4990" customFormat="1" ht="183" spans="1:86">
      <c r="A1731" s="2678">
        <v>10</v>
      </c>
      <c r="B1731" s="3057" t="s">
        <v>3016</v>
      </c>
      <c r="C1731" s="3057">
        <v>43644</v>
      </c>
      <c r="D1731" s="1125" t="s">
        <v>3046</v>
      </c>
      <c r="E1731" s="3057" t="s">
        <v>113</v>
      </c>
      <c r="F1731" s="5056" t="s">
        <v>2769</v>
      </c>
      <c r="G1731" s="5056" t="s">
        <v>3047</v>
      </c>
      <c r="H1731" s="3057" t="s">
        <v>562</v>
      </c>
      <c r="I1731" s="5070"/>
      <c r="J1731" s="5056" t="s">
        <v>3048</v>
      </c>
      <c r="K1731" s="3057" t="s">
        <v>171</v>
      </c>
      <c r="L1731" s="5056" t="s">
        <v>3049</v>
      </c>
      <c r="M1731" s="3057">
        <f>SUM(N1731:AA1733)</f>
        <v>1000000</v>
      </c>
      <c r="N1731" s="2678">
        <v>1000000</v>
      </c>
      <c r="O1731" s="2678">
        <v>0</v>
      </c>
      <c r="P1731" s="2678">
        <v>0</v>
      </c>
      <c r="Q1731" s="2678">
        <v>0</v>
      </c>
      <c r="R1731" s="2678">
        <v>0</v>
      </c>
      <c r="S1731" s="2678">
        <v>0</v>
      </c>
      <c r="T1731" s="2678"/>
      <c r="U1731" s="2678">
        <v>0</v>
      </c>
      <c r="V1731" s="2678">
        <v>0</v>
      </c>
      <c r="W1731" s="2678">
        <v>0</v>
      </c>
      <c r="X1731" s="2678"/>
      <c r="Y1731" s="2678"/>
      <c r="Z1731" s="2678"/>
      <c r="AA1731" s="2678">
        <v>0</v>
      </c>
      <c r="AB1731" s="5667" t="s">
        <v>3050</v>
      </c>
      <c r="AC1731" s="3057" t="s">
        <v>1070</v>
      </c>
      <c r="AD1731" s="5056" t="s">
        <v>3051</v>
      </c>
      <c r="AE1731" s="6790">
        <v>0.63</v>
      </c>
      <c r="AF1731" s="3057">
        <f>AE1731*N1731</f>
        <v>630000</v>
      </c>
      <c r="AG1731" s="3057">
        <f t="shared" si="372"/>
        <v>630000</v>
      </c>
      <c r="AH1731" s="5056" t="s">
        <v>206</v>
      </c>
      <c r="AI1731" s="3057">
        <v>43556</v>
      </c>
      <c r="AJ1731" s="3057" t="s">
        <v>171</v>
      </c>
      <c r="AK1731" s="3057" t="s">
        <v>171</v>
      </c>
      <c r="AL1731" s="3057">
        <v>630000</v>
      </c>
      <c r="AM1731" s="3057">
        <v>43556</v>
      </c>
      <c r="AN1731" s="3057">
        <f t="shared" si="373"/>
        <v>630000</v>
      </c>
      <c r="AO1731" s="3057">
        <v>43586</v>
      </c>
      <c r="AP1731" s="3057">
        <f t="shared" si="371"/>
        <v>0</v>
      </c>
      <c r="AQ1731" s="6798"/>
      <c r="AR1731" s="2678" t="s">
        <v>1037</v>
      </c>
      <c r="AS1731" s="5667"/>
      <c r="AT1731" s="2678" t="s">
        <v>171</v>
      </c>
      <c r="AU1731" s="2678">
        <f>SUM(AG1731:AG1733)</f>
        <v>1020000</v>
      </c>
      <c r="AV1731" s="2678">
        <f>SUM(AL1731:AL1733)</f>
        <v>1020000</v>
      </c>
      <c r="AW1731" s="2678">
        <f>SUBTOTAL(9,AN1731:AN1733)</f>
        <v>1020000</v>
      </c>
      <c r="AX1731" s="2678">
        <f>M1731-AU1731</f>
        <v>-20000</v>
      </c>
      <c r="AY1731" s="2678">
        <f>AU1731-AV1731</f>
        <v>0</v>
      </c>
      <c r="AZ1731" s="2678">
        <f>AV1731-AW1731</f>
        <v>0</v>
      </c>
      <c r="BA1731" s="3057">
        <v>630000</v>
      </c>
      <c r="BB1731" s="3057"/>
      <c r="BC1731" s="3057"/>
      <c r="BD1731" s="3057"/>
      <c r="BE1731" s="3057"/>
      <c r="BF1731" s="3057"/>
      <c r="BG1731" s="3057"/>
      <c r="BH1731" s="3057"/>
      <c r="BI1731" s="3057"/>
      <c r="BJ1731" s="3057"/>
      <c r="BK1731" s="3057"/>
      <c r="BL1731" s="3057"/>
      <c r="BM1731" s="3057"/>
      <c r="BN1731" s="3057"/>
      <c r="BO1731" s="3057">
        <v>630000</v>
      </c>
      <c r="BP1731" s="3057"/>
      <c r="BQ1731" s="3057"/>
      <c r="BR1731" s="3057"/>
      <c r="BS1731" s="3057"/>
      <c r="BT1731" s="3057"/>
      <c r="BU1731" s="3057"/>
      <c r="BV1731" s="3057"/>
      <c r="BW1731" s="3057"/>
      <c r="BX1731" s="3057"/>
      <c r="BY1731" s="3057"/>
      <c r="BZ1731" s="3057"/>
      <c r="CA1731" s="3057"/>
      <c r="CB1731" s="3057"/>
      <c r="CC1731" s="5054" t="s">
        <v>3052</v>
      </c>
      <c r="CD1731" s="3058" t="s">
        <v>154</v>
      </c>
      <c r="CE1731" s="6781"/>
      <c r="CF1731" s="6781"/>
      <c r="CG1731" s="6781"/>
      <c r="CH1731" s="6781"/>
    </row>
    <row r="1732" s="4990" customFormat="1" ht="92" spans="1:86">
      <c r="A1732" s="2678"/>
      <c r="B1732" s="3057"/>
      <c r="C1732" s="3057"/>
      <c r="D1732" s="5056"/>
      <c r="E1732" s="3057"/>
      <c r="F1732" s="5056"/>
      <c r="G1732" s="5056"/>
      <c r="H1732" s="3057"/>
      <c r="I1732" s="5071"/>
      <c r="J1732" s="5056"/>
      <c r="K1732" s="3057"/>
      <c r="L1732" s="5056"/>
      <c r="M1732" s="3057"/>
      <c r="N1732" s="2678"/>
      <c r="O1732" s="2678"/>
      <c r="P1732" s="2678"/>
      <c r="Q1732" s="2678"/>
      <c r="R1732" s="2678"/>
      <c r="S1732" s="2678"/>
      <c r="T1732" s="2678"/>
      <c r="U1732" s="2678"/>
      <c r="V1732" s="2678"/>
      <c r="W1732" s="2678"/>
      <c r="X1732" s="2678"/>
      <c r="Y1732" s="2678"/>
      <c r="Z1732" s="2678"/>
      <c r="AA1732" s="2678"/>
      <c r="AB1732" s="5667"/>
      <c r="AC1732" s="3057" t="s">
        <v>1072</v>
      </c>
      <c r="AD1732" s="5056" t="s">
        <v>3053</v>
      </c>
      <c r="AE1732" s="6790">
        <v>0.27</v>
      </c>
      <c r="AF1732" s="3057">
        <v>270000</v>
      </c>
      <c r="AG1732" s="3057">
        <f t="shared" si="372"/>
        <v>270000</v>
      </c>
      <c r="AH1732" s="3057" t="s">
        <v>122</v>
      </c>
      <c r="AI1732" s="3057">
        <v>43556</v>
      </c>
      <c r="AJ1732" s="3057">
        <v>270000</v>
      </c>
      <c r="AK1732" s="3057">
        <v>43824</v>
      </c>
      <c r="AL1732" s="3057">
        <v>270000</v>
      </c>
      <c r="AM1732" s="3057">
        <v>43915</v>
      </c>
      <c r="AN1732" s="3057">
        <f t="shared" si="373"/>
        <v>270000</v>
      </c>
      <c r="AO1732" s="3057">
        <v>43971</v>
      </c>
      <c r="AP1732" s="3057">
        <f t="shared" si="371"/>
        <v>0</v>
      </c>
      <c r="AQ1732" s="5056"/>
      <c r="AR1732" s="2678" t="s">
        <v>1037</v>
      </c>
      <c r="AS1732" s="5667"/>
      <c r="AT1732" s="2678">
        <v>43824</v>
      </c>
      <c r="AU1732" s="2678"/>
      <c r="AV1732" s="2678"/>
      <c r="AW1732" s="2678"/>
      <c r="AX1732" s="2678"/>
      <c r="AY1732" s="2678"/>
      <c r="AZ1732" s="2678"/>
      <c r="BA1732" s="3057">
        <v>270000</v>
      </c>
      <c r="BB1732" s="3057"/>
      <c r="BC1732" s="3057"/>
      <c r="BD1732" s="3057"/>
      <c r="BE1732" s="3057"/>
      <c r="BF1732" s="3057"/>
      <c r="BG1732" s="3057"/>
      <c r="BH1732" s="3057"/>
      <c r="BI1732" s="3057"/>
      <c r="BJ1732" s="3057"/>
      <c r="BK1732" s="3057"/>
      <c r="BL1732" s="3057"/>
      <c r="BM1732" s="3057"/>
      <c r="BN1732" s="3057"/>
      <c r="BO1732" s="3057">
        <v>270000</v>
      </c>
      <c r="BP1732" s="3057"/>
      <c r="BQ1732" s="3057"/>
      <c r="BR1732" s="3057"/>
      <c r="BS1732" s="3057"/>
      <c r="BT1732" s="3057"/>
      <c r="BU1732" s="3057"/>
      <c r="BV1732" s="3057"/>
      <c r="BW1732" s="3057"/>
      <c r="BX1732" s="3057"/>
      <c r="BY1732" s="3057"/>
      <c r="BZ1732" s="3057"/>
      <c r="CA1732" s="3057"/>
      <c r="CB1732" s="3057"/>
      <c r="CC1732" s="5054"/>
      <c r="CD1732" s="3058"/>
      <c r="CE1732" s="6781"/>
      <c r="CF1732" s="6781"/>
      <c r="CG1732" s="6781"/>
      <c r="CH1732" s="6781"/>
    </row>
    <row r="1733" s="4990" customFormat="1" ht="60" customHeight="1" spans="1:86">
      <c r="A1733" s="2678"/>
      <c r="B1733" s="3057"/>
      <c r="C1733" s="3057"/>
      <c r="D1733" s="5056"/>
      <c r="E1733" s="3057"/>
      <c r="F1733" s="5056"/>
      <c r="G1733" s="5056"/>
      <c r="H1733" s="3057"/>
      <c r="I1733" s="5072"/>
      <c r="J1733" s="5056"/>
      <c r="K1733" s="3057"/>
      <c r="L1733" s="5056"/>
      <c r="M1733" s="3057"/>
      <c r="N1733" s="2678"/>
      <c r="O1733" s="2678"/>
      <c r="P1733" s="2678"/>
      <c r="Q1733" s="2678"/>
      <c r="R1733" s="2678"/>
      <c r="S1733" s="2678"/>
      <c r="T1733" s="2678"/>
      <c r="U1733" s="2678"/>
      <c r="V1733" s="2678"/>
      <c r="W1733" s="2678"/>
      <c r="X1733" s="2678"/>
      <c r="Y1733" s="2678"/>
      <c r="Z1733" s="2678"/>
      <c r="AA1733" s="2678"/>
      <c r="AB1733" s="5667"/>
      <c r="AC1733" s="3057" t="s">
        <v>3054</v>
      </c>
      <c r="AD1733" s="5056" t="s">
        <v>3055</v>
      </c>
      <c r="AE1733" s="6790">
        <v>0.1</v>
      </c>
      <c r="AF1733" s="3057">
        <v>120000</v>
      </c>
      <c r="AG1733" s="3057">
        <v>120000</v>
      </c>
      <c r="AH1733" s="5056" t="s">
        <v>206</v>
      </c>
      <c r="AI1733" s="3057">
        <v>44044</v>
      </c>
      <c r="AJ1733" s="3057">
        <v>120000</v>
      </c>
      <c r="AK1733" s="3057" t="s">
        <v>171</v>
      </c>
      <c r="AL1733" s="3057">
        <v>120000</v>
      </c>
      <c r="AM1733" s="3057">
        <v>44044</v>
      </c>
      <c r="AN1733" s="3057">
        <v>120000</v>
      </c>
      <c r="AO1733" s="3057">
        <v>44101</v>
      </c>
      <c r="AP1733" s="3057">
        <f t="shared" si="371"/>
        <v>0</v>
      </c>
      <c r="AQ1733" s="5056" t="s">
        <v>3056</v>
      </c>
      <c r="AR1733" s="2678"/>
      <c r="AS1733" s="5667" t="s">
        <v>3057</v>
      </c>
      <c r="AT1733" s="2678"/>
      <c r="AU1733" s="2678"/>
      <c r="AV1733" s="2678"/>
      <c r="AW1733" s="2678"/>
      <c r="AX1733" s="2678"/>
      <c r="AY1733" s="2678"/>
      <c r="AZ1733" s="2678"/>
      <c r="BA1733" s="3057">
        <v>120000</v>
      </c>
      <c r="BB1733" s="3057"/>
      <c r="BC1733" s="3057"/>
      <c r="BD1733" s="3057"/>
      <c r="BE1733" s="3057"/>
      <c r="BF1733" s="3057"/>
      <c r="BG1733" s="3057"/>
      <c r="BH1733" s="3057"/>
      <c r="BI1733" s="3057"/>
      <c r="BJ1733" s="3057"/>
      <c r="BK1733" s="3057"/>
      <c r="BL1733" s="3057"/>
      <c r="BM1733" s="3057"/>
      <c r="BN1733" s="3057"/>
      <c r="BO1733" s="3057">
        <v>120000</v>
      </c>
      <c r="BP1733" s="3057"/>
      <c r="BQ1733" s="3057"/>
      <c r="BR1733" s="3057"/>
      <c r="BS1733" s="3057"/>
      <c r="BT1733" s="3057"/>
      <c r="BU1733" s="3057"/>
      <c r="BV1733" s="3057"/>
      <c r="BW1733" s="3057"/>
      <c r="BX1733" s="3057"/>
      <c r="BY1733" s="3057"/>
      <c r="BZ1733" s="3057"/>
      <c r="CA1733" s="3057"/>
      <c r="CB1733" s="3057"/>
      <c r="CC1733" s="5054"/>
      <c r="CD1733" s="3058"/>
      <c r="CE1733" s="6781"/>
      <c r="CF1733" s="6781"/>
      <c r="CG1733" s="6781"/>
      <c r="CH1733" s="6781"/>
    </row>
    <row r="1734" s="4990" customFormat="1" ht="213" spans="1:86">
      <c r="A1734" s="2678">
        <v>12</v>
      </c>
      <c r="B1734" s="584" t="s">
        <v>3016</v>
      </c>
      <c r="C1734" s="3091">
        <v>43733</v>
      </c>
      <c r="D1734" s="1125" t="s">
        <v>3058</v>
      </c>
      <c r="E1734" s="3057" t="s">
        <v>113</v>
      </c>
      <c r="F1734" s="5056" t="s">
        <v>3059</v>
      </c>
      <c r="G1734" s="5338" t="s">
        <v>3060</v>
      </c>
      <c r="H1734" s="3057" t="s">
        <v>562</v>
      </c>
      <c r="I1734" s="5056"/>
      <c r="J1734" s="6786" t="s">
        <v>3048</v>
      </c>
      <c r="K1734" s="3057" t="s">
        <v>171</v>
      </c>
      <c r="L1734" s="6786" t="s">
        <v>3049</v>
      </c>
      <c r="M1734" s="3057">
        <f>SUM(N1734:AA1734)</f>
        <v>940000</v>
      </c>
      <c r="N1734" s="2678">
        <v>220000</v>
      </c>
      <c r="O1734" s="2678">
        <v>0</v>
      </c>
      <c r="P1734" s="2678">
        <v>720000</v>
      </c>
      <c r="Q1734" s="2678">
        <v>0</v>
      </c>
      <c r="R1734" s="2678">
        <v>0</v>
      </c>
      <c r="S1734" s="2678">
        <v>0</v>
      </c>
      <c r="T1734" s="2678"/>
      <c r="U1734" s="2678">
        <v>0</v>
      </c>
      <c r="V1734" s="2678">
        <v>0</v>
      </c>
      <c r="W1734" s="2678">
        <v>0</v>
      </c>
      <c r="X1734" s="2678"/>
      <c r="Y1734" s="2678"/>
      <c r="Z1734" s="2678"/>
      <c r="AA1734" s="2678">
        <v>0</v>
      </c>
      <c r="AB1734" s="2678" t="s">
        <v>171</v>
      </c>
      <c r="AC1734" s="5056" t="s">
        <v>1093</v>
      </c>
      <c r="AD1734" s="5056" t="s">
        <v>3061</v>
      </c>
      <c r="AE1734" s="6790">
        <v>1</v>
      </c>
      <c r="AF1734" s="3057">
        <f>AE1734*M1734</f>
        <v>940000</v>
      </c>
      <c r="AG1734" s="3057">
        <f t="shared" ref="AG1734:AG1739" si="374">SUM(BA1734:BN1734)</f>
        <v>940000</v>
      </c>
      <c r="AH1734" s="5056" t="s">
        <v>206</v>
      </c>
      <c r="AI1734" s="3057">
        <v>43770</v>
      </c>
      <c r="AJ1734" s="3057">
        <v>940000</v>
      </c>
      <c r="AK1734" s="3057">
        <v>43770</v>
      </c>
      <c r="AL1734" s="3057">
        <v>940000</v>
      </c>
      <c r="AM1734" s="3057">
        <v>43791</v>
      </c>
      <c r="AN1734" s="3057">
        <f>SUM(BO1734:CB1734)</f>
        <v>940000</v>
      </c>
      <c r="AO1734" s="3057">
        <v>43800</v>
      </c>
      <c r="AP1734" s="3057">
        <f t="shared" si="371"/>
        <v>0</v>
      </c>
      <c r="AQ1734" s="5056"/>
      <c r="AR1734" s="2678" t="s">
        <v>1037</v>
      </c>
      <c r="AS1734" s="5667"/>
      <c r="AT1734" s="2678" t="s">
        <v>171</v>
      </c>
      <c r="AU1734" s="2678">
        <f>AG1734</f>
        <v>940000</v>
      </c>
      <c r="AV1734" s="2678">
        <f>AL1734</f>
        <v>940000</v>
      </c>
      <c r="AW1734" s="2678">
        <f>SUBTOTAL(9,AN1734)</f>
        <v>940000</v>
      </c>
      <c r="AX1734" s="2678">
        <f>M1734-AU1734</f>
        <v>0</v>
      </c>
      <c r="AY1734" s="2678">
        <f>AU1734-AV1734</f>
        <v>0</v>
      </c>
      <c r="AZ1734" s="2678">
        <f>AU1734-AW1734</f>
        <v>0</v>
      </c>
      <c r="BA1734" s="3057">
        <v>220000</v>
      </c>
      <c r="BB1734" s="3057"/>
      <c r="BC1734" s="3057">
        <v>720000</v>
      </c>
      <c r="BD1734" s="3057"/>
      <c r="BE1734" s="3057"/>
      <c r="BF1734" s="3057"/>
      <c r="BG1734" s="3057"/>
      <c r="BH1734" s="3057"/>
      <c r="BI1734" s="3057"/>
      <c r="BJ1734" s="3057"/>
      <c r="BK1734" s="3057"/>
      <c r="BL1734" s="3057"/>
      <c r="BM1734" s="3057"/>
      <c r="BN1734" s="3057"/>
      <c r="BO1734" s="3057">
        <v>220000</v>
      </c>
      <c r="BP1734" s="3057"/>
      <c r="BQ1734" s="3057">
        <v>720000</v>
      </c>
      <c r="BR1734" s="3057"/>
      <c r="BS1734" s="3057"/>
      <c r="BT1734" s="3057"/>
      <c r="BU1734" s="3057"/>
      <c r="BV1734" s="3057"/>
      <c r="BW1734" s="3057"/>
      <c r="BX1734" s="3057"/>
      <c r="BY1734" s="3057"/>
      <c r="BZ1734" s="3057"/>
      <c r="CA1734" s="3057"/>
      <c r="CB1734" s="3057"/>
      <c r="CC1734" s="3058" t="s">
        <v>247</v>
      </c>
      <c r="CD1734" s="3058" t="s">
        <v>154</v>
      </c>
      <c r="CE1734" s="6781"/>
      <c r="CF1734" s="6781"/>
      <c r="CG1734" s="6781"/>
      <c r="CH1734" s="6781"/>
    </row>
    <row r="1735" s="4990" customFormat="1" ht="213" spans="1:86">
      <c r="A1735" s="2678">
        <v>13</v>
      </c>
      <c r="B1735" s="584" t="s">
        <v>3016</v>
      </c>
      <c r="C1735" s="3091">
        <v>43733</v>
      </c>
      <c r="D1735" s="1125" t="s">
        <v>3062</v>
      </c>
      <c r="E1735" s="3057" t="s">
        <v>113</v>
      </c>
      <c r="F1735" s="5056" t="s">
        <v>3063</v>
      </c>
      <c r="G1735" s="5338" t="s">
        <v>3064</v>
      </c>
      <c r="H1735" s="3057" t="s">
        <v>562</v>
      </c>
      <c r="I1735" s="5056"/>
      <c r="J1735" s="5056" t="s">
        <v>3048</v>
      </c>
      <c r="K1735" s="3057" t="s">
        <v>171</v>
      </c>
      <c r="L1735" s="5056" t="s">
        <v>3049</v>
      </c>
      <c r="M1735" s="3057">
        <f>SUM(N1735:AA1735)</f>
        <v>100000</v>
      </c>
      <c r="N1735" s="2678">
        <v>100000</v>
      </c>
      <c r="O1735" s="2678">
        <v>0</v>
      </c>
      <c r="P1735" s="2678">
        <v>0</v>
      </c>
      <c r="Q1735" s="2678">
        <v>0</v>
      </c>
      <c r="R1735" s="2678">
        <v>0</v>
      </c>
      <c r="S1735" s="2678">
        <v>0</v>
      </c>
      <c r="T1735" s="2678"/>
      <c r="U1735" s="2678">
        <v>0</v>
      </c>
      <c r="V1735" s="2678">
        <v>0</v>
      </c>
      <c r="W1735" s="2678">
        <v>0</v>
      </c>
      <c r="X1735" s="2678"/>
      <c r="Y1735" s="2678"/>
      <c r="Z1735" s="2678"/>
      <c r="AA1735" s="2678">
        <v>0</v>
      </c>
      <c r="AB1735" s="2678" t="s">
        <v>171</v>
      </c>
      <c r="AC1735" s="3057" t="s">
        <v>1070</v>
      </c>
      <c r="AD1735" s="5056" t="s">
        <v>3065</v>
      </c>
      <c r="AE1735" s="6790">
        <v>1</v>
      </c>
      <c r="AF1735" s="3057">
        <f>AE1735*M1735</f>
        <v>100000</v>
      </c>
      <c r="AG1735" s="3057">
        <f t="shared" si="374"/>
        <v>100000</v>
      </c>
      <c r="AH1735" s="5056" t="s">
        <v>206</v>
      </c>
      <c r="AI1735" s="3057">
        <v>43770</v>
      </c>
      <c r="AJ1735" s="3057">
        <v>100000</v>
      </c>
      <c r="AK1735" s="3057" t="s">
        <v>171</v>
      </c>
      <c r="AL1735" s="3057">
        <v>100000</v>
      </c>
      <c r="AM1735" s="3057">
        <v>43791</v>
      </c>
      <c r="AN1735" s="3057">
        <f>SUM(BO1735:CB1735)</f>
        <v>100000</v>
      </c>
      <c r="AO1735" s="3057">
        <v>43800</v>
      </c>
      <c r="AP1735" s="3057">
        <f t="shared" si="371"/>
        <v>0</v>
      </c>
      <c r="AQ1735" s="5056"/>
      <c r="AR1735" s="2678" t="s">
        <v>1037</v>
      </c>
      <c r="AS1735" s="5667"/>
      <c r="AT1735" s="2678" t="s">
        <v>171</v>
      </c>
      <c r="AU1735" s="2678">
        <f>AG1735</f>
        <v>100000</v>
      </c>
      <c r="AV1735" s="2678">
        <f>AL1735</f>
        <v>100000</v>
      </c>
      <c r="AW1735" s="2678">
        <f>SUBTOTAL(9,AN1735)</f>
        <v>100000</v>
      </c>
      <c r="AX1735" s="2678">
        <f>M1735-AU1735</f>
        <v>0</v>
      </c>
      <c r="AY1735" s="2678">
        <f>AU1735-AV1735</f>
        <v>0</v>
      </c>
      <c r="AZ1735" s="2678">
        <f>AV1735-AW1735</f>
        <v>0</v>
      </c>
      <c r="BA1735" s="3057">
        <v>100000</v>
      </c>
      <c r="BB1735" s="3057"/>
      <c r="BC1735" s="3057"/>
      <c r="BD1735" s="3057"/>
      <c r="BE1735" s="3057"/>
      <c r="BF1735" s="3057"/>
      <c r="BG1735" s="3057"/>
      <c r="BH1735" s="3057"/>
      <c r="BI1735" s="3057"/>
      <c r="BJ1735" s="3057"/>
      <c r="BK1735" s="3057"/>
      <c r="BL1735" s="3057"/>
      <c r="BM1735" s="3057"/>
      <c r="BN1735" s="3057"/>
      <c r="BO1735" s="3057">
        <v>100000</v>
      </c>
      <c r="BP1735" s="3057"/>
      <c r="BQ1735" s="3057"/>
      <c r="BR1735" s="3057"/>
      <c r="BS1735" s="3057"/>
      <c r="BT1735" s="3057"/>
      <c r="BU1735" s="3057"/>
      <c r="BV1735" s="3057"/>
      <c r="BW1735" s="3057"/>
      <c r="BX1735" s="3057"/>
      <c r="BY1735" s="3057"/>
      <c r="BZ1735" s="3057"/>
      <c r="CA1735" s="3057"/>
      <c r="CB1735" s="3057"/>
      <c r="CC1735" s="3058" t="s">
        <v>1112</v>
      </c>
      <c r="CD1735" s="3058" t="s">
        <v>154</v>
      </c>
      <c r="CE1735" s="6781"/>
      <c r="CF1735" s="6781"/>
      <c r="CG1735" s="6781"/>
      <c r="CH1735" s="6781"/>
    </row>
    <row r="1736" s="4978" customFormat="1" ht="35" customHeight="1" spans="1:86">
      <c r="A1736" s="2678"/>
      <c r="B1736" s="2678" t="s">
        <v>3016</v>
      </c>
      <c r="C1736" s="2678">
        <v>44158</v>
      </c>
      <c r="D1736" s="5667" t="s">
        <v>3066</v>
      </c>
      <c r="E1736" s="2678" t="s">
        <v>113</v>
      </c>
      <c r="F1736" s="5667" t="s">
        <v>2769</v>
      </c>
      <c r="G1736" s="5714" t="s">
        <v>3067</v>
      </c>
      <c r="H1736" s="2678" t="s">
        <v>562</v>
      </c>
      <c r="I1736" s="5816"/>
      <c r="J1736" s="1035" t="s">
        <v>3068</v>
      </c>
      <c r="K1736" s="2678" t="s">
        <v>171</v>
      </c>
      <c r="L1736" s="5667" t="s">
        <v>3069</v>
      </c>
      <c r="M1736" s="2678">
        <f>SUM(N1736:AA1738)</f>
        <v>900000</v>
      </c>
      <c r="N1736" s="2678">
        <v>900000</v>
      </c>
      <c r="O1736" s="2678">
        <v>0</v>
      </c>
      <c r="P1736" s="2678">
        <v>0</v>
      </c>
      <c r="Q1736" s="2678">
        <v>0</v>
      </c>
      <c r="R1736" s="2678">
        <v>0</v>
      </c>
      <c r="S1736" s="2678">
        <v>0</v>
      </c>
      <c r="T1736" s="5823">
        <v>0</v>
      </c>
      <c r="U1736" s="2678">
        <v>0</v>
      </c>
      <c r="V1736" s="2678">
        <v>0</v>
      </c>
      <c r="W1736" s="2678">
        <v>0</v>
      </c>
      <c r="X1736" s="2678"/>
      <c r="Y1736" s="2678"/>
      <c r="Z1736" s="2678"/>
      <c r="AA1736" s="2678">
        <v>0</v>
      </c>
      <c r="AB1736" s="2678" t="s">
        <v>3070</v>
      </c>
      <c r="AC1736" s="2678" t="s">
        <v>1070</v>
      </c>
      <c r="AD1736" s="5667" t="s">
        <v>3071</v>
      </c>
      <c r="AE1736" s="5717">
        <v>1</v>
      </c>
      <c r="AF1736" s="2678">
        <f>AE1736*M1736</f>
        <v>900000</v>
      </c>
      <c r="AG1736" s="5349">
        <f t="shared" si="374"/>
        <v>60000</v>
      </c>
      <c r="AH1736" s="5667" t="s">
        <v>206</v>
      </c>
      <c r="AI1736" s="2678">
        <v>44228</v>
      </c>
      <c r="AJ1736" s="2678">
        <v>60000</v>
      </c>
      <c r="AK1736" s="2678">
        <v>44228</v>
      </c>
      <c r="AL1736" s="2678">
        <v>60000</v>
      </c>
      <c r="AM1736" s="2678">
        <v>44228</v>
      </c>
      <c r="AN1736" s="5349">
        <f>SUM(BO1736:CB1736)</f>
        <v>60000</v>
      </c>
      <c r="AO1736" s="2678">
        <v>44299</v>
      </c>
      <c r="AP1736" s="2678"/>
      <c r="AQ1736" s="5667" t="s">
        <v>3072</v>
      </c>
      <c r="AR1736" s="2678"/>
      <c r="AS1736" s="5667"/>
      <c r="AT1736" s="2678"/>
      <c r="AU1736" s="2678">
        <f>AG1738</f>
        <v>0</v>
      </c>
      <c r="AV1736" s="2678">
        <f>AL1738</f>
        <v>0</v>
      </c>
      <c r="AW1736" s="2678">
        <f>SUBTOTAL(9,AN1738)</f>
        <v>0</v>
      </c>
      <c r="AX1736" s="2678">
        <f>M1736-AU1736</f>
        <v>900000</v>
      </c>
      <c r="AY1736" s="2678">
        <f>AU1736-AV1736</f>
        <v>0</v>
      </c>
      <c r="AZ1736" s="2678">
        <f>AV1736-AW1736</f>
        <v>0</v>
      </c>
      <c r="BA1736" s="5349">
        <v>60000</v>
      </c>
      <c r="BB1736" s="2678"/>
      <c r="BC1736" s="2678"/>
      <c r="BD1736" s="2678">
        <v>0</v>
      </c>
      <c r="BE1736" s="2678"/>
      <c r="BF1736" s="2678"/>
      <c r="BG1736" s="2678"/>
      <c r="BH1736" s="2678"/>
      <c r="BI1736" s="2678"/>
      <c r="BJ1736" s="2678"/>
      <c r="BK1736" s="2678"/>
      <c r="BL1736" s="2678"/>
      <c r="BM1736" s="2678"/>
      <c r="BN1736" s="2678"/>
      <c r="BO1736" s="2678">
        <v>60000</v>
      </c>
      <c r="BP1736" s="2678"/>
      <c r="BQ1736" s="2678"/>
      <c r="BR1736" s="2678"/>
      <c r="BS1736" s="2678"/>
      <c r="BT1736" s="2678"/>
      <c r="BU1736" s="2678"/>
      <c r="BV1736" s="2678"/>
      <c r="BW1736" s="2678"/>
      <c r="BX1736" s="2678"/>
      <c r="BY1736" s="2678"/>
      <c r="BZ1736" s="2678"/>
      <c r="CA1736" s="2678"/>
      <c r="CB1736" s="2678"/>
      <c r="CC1736" s="2680"/>
      <c r="CD1736" s="2680" t="s">
        <v>154</v>
      </c>
      <c r="CE1736" s="5750"/>
      <c r="CF1736" s="5750"/>
      <c r="CG1736" s="5750"/>
      <c r="CH1736" s="5750"/>
    </row>
    <row r="1737" s="4978" customFormat="1" ht="35" customHeight="1" spans="1:86">
      <c r="A1737" s="2678"/>
      <c r="B1737" s="2678"/>
      <c r="C1737" s="2678"/>
      <c r="D1737" s="5667"/>
      <c r="E1737" s="2678"/>
      <c r="F1737" s="5667"/>
      <c r="G1737" s="5714"/>
      <c r="H1737" s="2678"/>
      <c r="I1737" s="5868"/>
      <c r="J1737" s="5667"/>
      <c r="K1737" s="2678"/>
      <c r="L1737" s="5667"/>
      <c r="M1737" s="2678"/>
      <c r="N1737" s="2678"/>
      <c r="O1737" s="2678"/>
      <c r="P1737" s="2678"/>
      <c r="Q1737" s="2678"/>
      <c r="R1737" s="2678"/>
      <c r="S1737" s="2678"/>
      <c r="T1737" s="2678"/>
      <c r="U1737" s="2678"/>
      <c r="V1737" s="2678"/>
      <c r="W1737" s="2678"/>
      <c r="X1737" s="2678"/>
      <c r="Y1737" s="2678"/>
      <c r="Z1737" s="2678"/>
      <c r="AA1737" s="2678"/>
      <c r="AB1737" s="2678"/>
      <c r="AC1737" s="2678"/>
      <c r="AD1737" s="5667"/>
      <c r="AE1737" s="5717"/>
      <c r="AF1737" s="2678"/>
      <c r="AG1737" s="5349">
        <f t="shared" si="374"/>
        <v>60000</v>
      </c>
      <c r="AH1737" s="5667" t="s">
        <v>122</v>
      </c>
      <c r="AI1737" s="2678">
        <v>44342</v>
      </c>
      <c r="AJ1737" s="2678">
        <v>60000</v>
      </c>
      <c r="AK1737" s="2678">
        <v>44342</v>
      </c>
      <c r="AL1737" s="2678">
        <v>60000</v>
      </c>
      <c r="AM1737" s="2678">
        <v>44350</v>
      </c>
      <c r="AN1737" s="5349">
        <f>SUM(BO1737:CB1737)</f>
        <v>60000</v>
      </c>
      <c r="AO1737" s="2678">
        <v>44530</v>
      </c>
      <c r="AP1737" s="2678"/>
      <c r="AQ1737" s="5667" t="s">
        <v>3073</v>
      </c>
      <c r="AR1737" s="2678"/>
      <c r="AS1737" s="5667"/>
      <c r="AT1737" s="2678"/>
      <c r="AU1737" s="2678"/>
      <c r="AV1737" s="2678"/>
      <c r="AW1737" s="2678"/>
      <c r="AX1737" s="2678"/>
      <c r="AY1737" s="2678"/>
      <c r="AZ1737" s="2678"/>
      <c r="BA1737" s="5349">
        <v>60000</v>
      </c>
      <c r="BB1737" s="2678"/>
      <c r="BC1737" s="2678"/>
      <c r="BD1737" s="5349">
        <v>0</v>
      </c>
      <c r="BE1737" s="2678"/>
      <c r="BF1737" s="2678"/>
      <c r="BG1737" s="2678"/>
      <c r="BH1737" s="2678"/>
      <c r="BI1737" s="2678"/>
      <c r="BJ1737" s="2678"/>
      <c r="BK1737" s="2678"/>
      <c r="BL1737" s="2678"/>
      <c r="BM1737" s="2678"/>
      <c r="BN1737" s="2678"/>
      <c r="BO1737" s="3932">
        <v>60000</v>
      </c>
      <c r="BP1737" s="3932"/>
      <c r="BQ1737" s="3932"/>
      <c r="BR1737" s="3932"/>
      <c r="BS1737" s="3932"/>
      <c r="BT1737" s="3932"/>
      <c r="BU1737" s="3932"/>
      <c r="BV1737" s="3932"/>
      <c r="BW1737" s="3932"/>
      <c r="BX1737" s="3932"/>
      <c r="BY1737" s="3932"/>
      <c r="BZ1737" s="3932"/>
      <c r="CA1737" s="3932"/>
      <c r="CB1737" s="3932"/>
      <c r="CC1737" s="2680"/>
      <c r="CD1737" s="2680"/>
      <c r="CE1737" s="5750"/>
      <c r="CF1737" s="5750"/>
      <c r="CG1737" s="5750"/>
      <c r="CH1737" s="5750"/>
    </row>
    <row r="1738" s="4991" customFormat="1" spans="1:86">
      <c r="A1738" s="2678"/>
      <c r="B1738" s="2678"/>
      <c r="C1738" s="2678"/>
      <c r="D1738" s="5667"/>
      <c r="E1738" s="2678"/>
      <c r="F1738" s="5667"/>
      <c r="G1738" s="5714"/>
      <c r="H1738" s="2678"/>
      <c r="I1738" s="5817"/>
      <c r="J1738" s="5667"/>
      <c r="K1738" s="2678"/>
      <c r="L1738" s="5896"/>
      <c r="M1738" s="2678"/>
      <c r="N1738" s="2678"/>
      <c r="O1738" s="2678"/>
      <c r="P1738" s="2678"/>
      <c r="Q1738" s="2678"/>
      <c r="R1738" s="2678"/>
      <c r="S1738" s="2678"/>
      <c r="T1738" s="2678"/>
      <c r="U1738" s="2678"/>
      <c r="V1738" s="2678"/>
      <c r="W1738" s="2678"/>
      <c r="X1738" s="2678"/>
      <c r="Y1738" s="2678"/>
      <c r="Z1738" s="2678"/>
      <c r="AA1738" s="2678"/>
      <c r="AB1738" s="2678"/>
      <c r="AC1738" s="2678"/>
      <c r="AD1738" s="5667"/>
      <c r="AE1738" s="5717"/>
      <c r="AF1738" s="2678"/>
      <c r="AG1738" s="5349">
        <f t="shared" si="374"/>
        <v>0</v>
      </c>
      <c r="AH1738" s="5667"/>
      <c r="AI1738" s="2678"/>
      <c r="AJ1738" s="2678"/>
      <c r="AK1738" s="2678"/>
      <c r="AL1738" s="2678"/>
      <c r="AM1738" s="2678"/>
      <c r="AN1738" s="5349">
        <f>SUM(BO1738:CB1738)</f>
        <v>0</v>
      </c>
      <c r="AO1738" s="2678"/>
      <c r="AP1738" s="2678"/>
      <c r="AQ1738" s="5667"/>
      <c r="AR1738" s="2678"/>
      <c r="AS1738" s="5667"/>
      <c r="AT1738" s="2678"/>
      <c r="AU1738" s="2678"/>
      <c r="AV1738" s="2678"/>
      <c r="AW1738" s="2678"/>
      <c r="AX1738" s="2678"/>
      <c r="AY1738" s="2678"/>
      <c r="AZ1738" s="2678"/>
      <c r="BA1738" s="2678"/>
      <c r="BB1738" s="2678"/>
      <c r="BC1738" s="2678"/>
      <c r="BD1738" s="2678"/>
      <c r="BE1738" s="2678"/>
      <c r="BF1738" s="2678"/>
      <c r="BG1738" s="2678"/>
      <c r="BH1738" s="2678"/>
      <c r="BI1738" s="2678"/>
      <c r="BJ1738" s="2678"/>
      <c r="BK1738" s="2678"/>
      <c r="BL1738" s="2678"/>
      <c r="BM1738" s="2678"/>
      <c r="BN1738" s="2678"/>
      <c r="BO1738" s="2678"/>
      <c r="BP1738" s="2678"/>
      <c r="BQ1738" s="2678"/>
      <c r="BR1738" s="2678"/>
      <c r="BS1738" s="2678"/>
      <c r="BT1738" s="2678"/>
      <c r="BU1738" s="2678"/>
      <c r="BV1738" s="2678"/>
      <c r="BW1738" s="2678"/>
      <c r="BX1738" s="2678"/>
      <c r="BY1738" s="2678"/>
      <c r="BZ1738" s="2678"/>
      <c r="CA1738" s="2678"/>
      <c r="CB1738" s="2678"/>
      <c r="CC1738" s="2680"/>
      <c r="CD1738" s="2680"/>
      <c r="CE1738" s="6801"/>
      <c r="CF1738" s="6801"/>
      <c r="CG1738" s="6801"/>
      <c r="CH1738" s="6801"/>
    </row>
    <row r="1739" s="4990" customFormat="1" ht="213" spans="1:86">
      <c r="A1739" s="2678">
        <v>44</v>
      </c>
      <c r="B1739" s="3057" t="s">
        <v>3016</v>
      </c>
      <c r="C1739" s="3057">
        <v>43067</v>
      </c>
      <c r="D1739" s="1125" t="s">
        <v>3046</v>
      </c>
      <c r="E1739" s="3057" t="s">
        <v>113</v>
      </c>
      <c r="F1739" s="5056" t="s">
        <v>2769</v>
      </c>
      <c r="G1739" s="5056" t="s">
        <v>3047</v>
      </c>
      <c r="H1739" s="3057" t="s">
        <v>562</v>
      </c>
      <c r="I1739" s="5056"/>
      <c r="J1739" s="5056" t="s">
        <v>3048</v>
      </c>
      <c r="K1739" s="3057" t="s">
        <v>171</v>
      </c>
      <c r="L1739" s="5056" t="s">
        <v>3074</v>
      </c>
      <c r="M1739" s="3057">
        <f>SUM(N1739:AA1739)</f>
        <v>1000000</v>
      </c>
      <c r="N1739" s="2678">
        <v>1000000</v>
      </c>
      <c r="O1739" s="2678">
        <v>0</v>
      </c>
      <c r="P1739" s="2678">
        <v>0</v>
      </c>
      <c r="Q1739" s="2678">
        <v>0</v>
      </c>
      <c r="R1739" s="2678">
        <v>0</v>
      </c>
      <c r="S1739" s="2678">
        <v>0</v>
      </c>
      <c r="T1739" s="5823">
        <v>0</v>
      </c>
      <c r="U1739" s="2678">
        <v>0</v>
      </c>
      <c r="V1739" s="2678">
        <v>0</v>
      </c>
      <c r="W1739" s="2678">
        <v>0</v>
      </c>
      <c r="X1739" s="2678">
        <v>0</v>
      </c>
      <c r="Y1739" s="2678"/>
      <c r="Z1739" s="2678"/>
      <c r="AA1739" s="2678">
        <v>0</v>
      </c>
      <c r="AB1739" s="2678" t="s">
        <v>3070</v>
      </c>
      <c r="AC1739" s="3057" t="s">
        <v>1070</v>
      </c>
      <c r="AD1739" s="5056" t="s">
        <v>3075</v>
      </c>
      <c r="AE1739" s="6790">
        <v>0.6</v>
      </c>
      <c r="AF1739" s="3057">
        <f>AE1739*N1739</f>
        <v>600000</v>
      </c>
      <c r="AG1739" s="3057">
        <f t="shared" si="374"/>
        <v>600000</v>
      </c>
      <c r="AH1739" s="5056" t="s">
        <v>206</v>
      </c>
      <c r="AI1739" s="3057">
        <v>43191</v>
      </c>
      <c r="AJ1739" s="3057">
        <v>600000</v>
      </c>
      <c r="AK1739" s="3057" t="s">
        <v>171</v>
      </c>
      <c r="AL1739" s="3057">
        <v>600000</v>
      </c>
      <c r="AM1739" s="3057">
        <v>43556</v>
      </c>
      <c r="AN1739" s="3057">
        <f t="shared" ref="AN1739:AN1761" si="375">SUM(BO1739:CB1739)</f>
        <v>600000</v>
      </c>
      <c r="AO1739" s="3057">
        <v>43617</v>
      </c>
      <c r="AP1739" s="3057">
        <f t="shared" ref="AP1739:AP1752" si="376">AG1739-AN1739</f>
        <v>0</v>
      </c>
      <c r="AQ1739" s="6798"/>
      <c r="AR1739" s="5667"/>
      <c r="AS1739" s="5667"/>
      <c r="AT1739" s="2678" t="s">
        <v>171</v>
      </c>
      <c r="AU1739" s="2678">
        <f>AG1739</f>
        <v>600000</v>
      </c>
      <c r="AV1739" s="2678">
        <f>AL1739</f>
        <v>600000</v>
      </c>
      <c r="AW1739" s="2678">
        <f>AN1739</f>
        <v>600000</v>
      </c>
      <c r="AX1739" s="2678">
        <f>M1739-AU1739</f>
        <v>400000</v>
      </c>
      <c r="AY1739" s="2678">
        <f>AU1739-AV1739</f>
        <v>0</v>
      </c>
      <c r="AZ1739" s="2678">
        <f>AV1739-AW1739</f>
        <v>0</v>
      </c>
      <c r="BA1739" s="3057">
        <v>600000</v>
      </c>
      <c r="BB1739" s="3057"/>
      <c r="BC1739" s="3057"/>
      <c r="BD1739" s="3057"/>
      <c r="BE1739" s="3057"/>
      <c r="BF1739" s="3057"/>
      <c r="BG1739" s="3057"/>
      <c r="BH1739" s="3057"/>
      <c r="BI1739" s="3057"/>
      <c r="BJ1739" s="3057"/>
      <c r="BK1739" s="3057"/>
      <c r="BL1739" s="3057"/>
      <c r="BM1739" s="3057"/>
      <c r="BN1739" s="3057"/>
      <c r="BO1739" s="3057">
        <v>600000</v>
      </c>
      <c r="BP1739" s="3057"/>
      <c r="BQ1739" s="3057"/>
      <c r="BR1739" s="3057"/>
      <c r="BS1739" s="3057"/>
      <c r="BT1739" s="3057"/>
      <c r="BU1739" s="3057"/>
      <c r="BV1739" s="3057"/>
      <c r="BW1739" s="3057"/>
      <c r="BX1739" s="3057"/>
      <c r="BY1739" s="3057"/>
      <c r="BZ1739" s="3057"/>
      <c r="CA1739" s="3057"/>
      <c r="CB1739" s="3057"/>
      <c r="CC1739" s="3058"/>
      <c r="CD1739" s="3058"/>
      <c r="CE1739" s="6781"/>
      <c r="CF1739" s="6781"/>
      <c r="CG1739" s="6781"/>
      <c r="CH1739" s="6781"/>
    </row>
    <row r="1740" s="4990" customFormat="1" ht="76" spans="1:86">
      <c r="A1740" s="2678">
        <v>14</v>
      </c>
      <c r="B1740" s="584" t="s">
        <v>3016</v>
      </c>
      <c r="C1740" s="3091">
        <v>43558</v>
      </c>
      <c r="D1740" s="1125" t="s">
        <v>3076</v>
      </c>
      <c r="E1740" s="3057" t="s">
        <v>113</v>
      </c>
      <c r="F1740" s="5056" t="s">
        <v>3077</v>
      </c>
      <c r="G1740" s="5338" t="s">
        <v>3078</v>
      </c>
      <c r="H1740" s="3057" t="s">
        <v>562</v>
      </c>
      <c r="I1740" s="5056"/>
      <c r="J1740" s="5056" t="s">
        <v>3048</v>
      </c>
      <c r="K1740" s="3057" t="s">
        <v>171</v>
      </c>
      <c r="L1740" s="5056"/>
      <c r="M1740" s="3057">
        <f>SUM(N1740:AA1740)</f>
        <v>1000000</v>
      </c>
      <c r="N1740" s="2678">
        <v>1000000</v>
      </c>
      <c r="O1740" s="2678">
        <v>0</v>
      </c>
      <c r="P1740" s="2678">
        <v>0</v>
      </c>
      <c r="Q1740" s="2678">
        <v>0</v>
      </c>
      <c r="R1740" s="2678">
        <v>0</v>
      </c>
      <c r="S1740" s="2678">
        <v>0</v>
      </c>
      <c r="T1740" s="2678"/>
      <c r="U1740" s="2678">
        <v>0</v>
      </c>
      <c r="V1740" s="2678">
        <v>0</v>
      </c>
      <c r="W1740" s="2678">
        <v>0</v>
      </c>
      <c r="X1740" s="2678"/>
      <c r="Y1740" s="2678"/>
      <c r="Z1740" s="2678"/>
      <c r="AA1740" s="2678">
        <v>0</v>
      </c>
      <c r="AB1740" s="2678" t="s">
        <v>171</v>
      </c>
      <c r="AC1740" s="3057" t="s">
        <v>1070</v>
      </c>
      <c r="AD1740" s="5056" t="s">
        <v>3065</v>
      </c>
      <c r="AE1740" s="6790">
        <v>1</v>
      </c>
      <c r="AF1740" s="3057">
        <f>AE1740*M1740</f>
        <v>1000000</v>
      </c>
      <c r="AG1740" s="3057">
        <f t="shared" ref="AG1740:AG1756" si="377">SUM(BA1740:BN1740)</f>
        <v>1000000</v>
      </c>
      <c r="AH1740" s="5056" t="s">
        <v>206</v>
      </c>
      <c r="AI1740" s="3057">
        <v>43770</v>
      </c>
      <c r="AJ1740" s="3057">
        <v>1000000</v>
      </c>
      <c r="AK1740" s="3057" t="s">
        <v>171</v>
      </c>
      <c r="AL1740" s="3057">
        <v>1000000</v>
      </c>
      <c r="AM1740" s="3057">
        <v>43774</v>
      </c>
      <c r="AN1740" s="3057">
        <f t="shared" si="375"/>
        <v>1000000</v>
      </c>
      <c r="AO1740" s="3057">
        <v>43814</v>
      </c>
      <c r="AP1740" s="3057">
        <f t="shared" si="376"/>
        <v>0</v>
      </c>
      <c r="AQ1740" s="5056"/>
      <c r="AR1740" s="2678" t="s">
        <v>1037</v>
      </c>
      <c r="AS1740" s="5667"/>
      <c r="AT1740" s="2678" t="s">
        <v>171</v>
      </c>
      <c r="AU1740" s="2678">
        <f>AG1740</f>
        <v>1000000</v>
      </c>
      <c r="AV1740" s="2678">
        <f>AL1740</f>
        <v>1000000</v>
      </c>
      <c r="AW1740" s="2678">
        <f>SUBTOTAL(9,AN1740)</f>
        <v>1000000</v>
      </c>
      <c r="AX1740" s="2678">
        <f>M1740-AU1740</f>
        <v>0</v>
      </c>
      <c r="AY1740" s="2678">
        <f>AU1740-AV1740</f>
        <v>0</v>
      </c>
      <c r="AZ1740" s="2678">
        <f>AV1740-AW1740</f>
        <v>0</v>
      </c>
      <c r="BA1740" s="3057">
        <v>1000000</v>
      </c>
      <c r="BB1740" s="3057"/>
      <c r="BC1740" s="3057"/>
      <c r="BD1740" s="3057"/>
      <c r="BE1740" s="3057"/>
      <c r="BF1740" s="3057"/>
      <c r="BG1740" s="3057"/>
      <c r="BH1740" s="3057"/>
      <c r="BI1740" s="3057"/>
      <c r="BJ1740" s="3057"/>
      <c r="BK1740" s="3057"/>
      <c r="BL1740" s="3057"/>
      <c r="BM1740" s="3057"/>
      <c r="BN1740" s="3057"/>
      <c r="BO1740" s="3057">
        <v>1000000</v>
      </c>
      <c r="BP1740" s="3057"/>
      <c r="BQ1740" s="3057"/>
      <c r="BR1740" s="3057"/>
      <c r="BS1740" s="3057"/>
      <c r="BT1740" s="3057"/>
      <c r="BU1740" s="3057"/>
      <c r="BV1740" s="3057"/>
      <c r="BW1740" s="3057"/>
      <c r="BX1740" s="3057"/>
      <c r="BY1740" s="3057"/>
      <c r="BZ1740" s="3057"/>
      <c r="CA1740" s="3057"/>
      <c r="CB1740" s="3057"/>
      <c r="CC1740" s="3058" t="s">
        <v>1112</v>
      </c>
      <c r="CD1740" s="3058" t="s">
        <v>154</v>
      </c>
      <c r="CE1740" s="6781"/>
      <c r="CF1740" s="6781"/>
      <c r="CG1740" s="6781"/>
      <c r="CH1740" s="6781"/>
    </row>
    <row r="1741" s="4992" customFormat="1" ht="76" spans="1:86">
      <c r="A1741" s="2678">
        <v>15</v>
      </c>
      <c r="B1741" s="3814" t="s">
        <v>3079</v>
      </c>
      <c r="C1741" s="5815">
        <v>43733</v>
      </c>
      <c r="D1741" s="5055" t="s">
        <v>3080</v>
      </c>
      <c r="E1741" s="3684" t="s">
        <v>113</v>
      </c>
      <c r="F1741" s="5060" t="s">
        <v>1089</v>
      </c>
      <c r="G1741" s="5055" t="s">
        <v>3081</v>
      </c>
      <c r="H1741" s="3684" t="s">
        <v>562</v>
      </c>
      <c r="I1741" s="3684"/>
      <c r="J1741" s="5060" t="s">
        <v>3082</v>
      </c>
      <c r="K1741" s="3684" t="s">
        <v>171</v>
      </c>
      <c r="L1741" s="6785" t="s">
        <v>3083</v>
      </c>
      <c r="M1741" s="3684">
        <f>SUM(N1741:AA1741)</f>
        <v>160000</v>
      </c>
      <c r="N1741" s="2678">
        <v>160000</v>
      </c>
      <c r="O1741" s="2678">
        <v>0</v>
      </c>
      <c r="P1741" s="2678">
        <v>0</v>
      </c>
      <c r="Q1741" s="2678">
        <v>0</v>
      </c>
      <c r="R1741" s="2678">
        <v>0</v>
      </c>
      <c r="S1741" s="2678">
        <v>0</v>
      </c>
      <c r="T1741" s="5823">
        <v>0</v>
      </c>
      <c r="U1741" s="2678">
        <v>0</v>
      </c>
      <c r="V1741" s="2678">
        <v>0</v>
      </c>
      <c r="W1741" s="2678">
        <v>0</v>
      </c>
      <c r="X1741" s="2678">
        <v>0</v>
      </c>
      <c r="Y1741" s="2678">
        <v>0</v>
      </c>
      <c r="Z1741" s="2678"/>
      <c r="AA1741" s="2678">
        <v>0</v>
      </c>
      <c r="AB1741" s="2678" t="s">
        <v>171</v>
      </c>
      <c r="AC1741" s="3684" t="s">
        <v>1070</v>
      </c>
      <c r="AD1741" s="5060" t="s">
        <v>3065</v>
      </c>
      <c r="AE1741" s="6791">
        <v>1</v>
      </c>
      <c r="AF1741" s="3684">
        <f>AE1741*M1741</f>
        <v>160000</v>
      </c>
      <c r="AG1741" s="3684">
        <f t="shared" si="377"/>
        <v>160000</v>
      </c>
      <c r="AH1741" s="5060" t="s">
        <v>206</v>
      </c>
      <c r="AI1741" s="3684">
        <v>43796</v>
      </c>
      <c r="AJ1741" s="3684">
        <v>160000</v>
      </c>
      <c r="AK1741" s="3684" t="s">
        <v>171</v>
      </c>
      <c r="AL1741" s="3684">
        <v>160000</v>
      </c>
      <c r="AM1741" s="3684">
        <v>43796</v>
      </c>
      <c r="AN1741" s="3684">
        <f t="shared" si="375"/>
        <v>160000</v>
      </c>
      <c r="AO1741" s="3684">
        <v>43809</v>
      </c>
      <c r="AP1741" s="3684">
        <f t="shared" si="376"/>
        <v>0</v>
      </c>
      <c r="AQ1741" s="5060"/>
      <c r="AR1741" s="3684" t="s">
        <v>1037</v>
      </c>
      <c r="AS1741" s="5060"/>
      <c r="AT1741" s="3684">
        <v>43796</v>
      </c>
      <c r="AU1741" s="2678">
        <f>AG1741</f>
        <v>160000</v>
      </c>
      <c r="AV1741" s="2678">
        <f>AL1741</f>
        <v>160000</v>
      </c>
      <c r="AW1741" s="2678">
        <f>SUBTOTAL(9,AN1741)</f>
        <v>160000</v>
      </c>
      <c r="AX1741" s="2678">
        <f>M1741-AU1741</f>
        <v>0</v>
      </c>
      <c r="AY1741" s="2678">
        <f>AU1741-AV1741</f>
        <v>0</v>
      </c>
      <c r="AZ1741" s="2678">
        <f>AV1741-AW1741</f>
        <v>0</v>
      </c>
      <c r="BA1741" s="3684">
        <v>160000</v>
      </c>
      <c r="BB1741" s="3684"/>
      <c r="BC1741" s="3684"/>
      <c r="BD1741" s="3684"/>
      <c r="BE1741" s="3684"/>
      <c r="BF1741" s="3684"/>
      <c r="BG1741" s="3684"/>
      <c r="BH1741" s="3684"/>
      <c r="BI1741" s="3684"/>
      <c r="BJ1741" s="3684"/>
      <c r="BK1741" s="3684"/>
      <c r="BL1741" s="3684"/>
      <c r="BM1741" s="3684"/>
      <c r="BN1741" s="3684"/>
      <c r="BO1741" s="3684">
        <v>160000</v>
      </c>
      <c r="BP1741" s="3684"/>
      <c r="BQ1741" s="3684"/>
      <c r="BR1741" s="3684"/>
      <c r="BS1741" s="3684"/>
      <c r="BT1741" s="3684"/>
      <c r="BU1741" s="3684"/>
      <c r="BV1741" s="3684"/>
      <c r="BW1741" s="3684"/>
      <c r="BX1741" s="3684"/>
      <c r="BY1741" s="3684"/>
      <c r="BZ1741" s="3684"/>
      <c r="CA1741" s="3684"/>
      <c r="CB1741" s="3684"/>
      <c r="CC1741" s="3662" t="s">
        <v>1112</v>
      </c>
      <c r="CD1741" s="3662" t="s">
        <v>154</v>
      </c>
      <c r="CE1741" s="6802"/>
      <c r="CF1741" s="6802"/>
      <c r="CG1741" s="6802"/>
      <c r="CH1741" s="6802"/>
    </row>
    <row r="1742" s="4992" customFormat="1" ht="152" spans="1:86">
      <c r="A1742" s="2678">
        <v>16</v>
      </c>
      <c r="B1742" s="3684" t="s">
        <v>3079</v>
      </c>
      <c r="C1742" s="3814">
        <v>43703</v>
      </c>
      <c r="D1742" s="5055" t="s">
        <v>3084</v>
      </c>
      <c r="E1742" s="3684" t="s">
        <v>113</v>
      </c>
      <c r="F1742" s="5060" t="s">
        <v>3085</v>
      </c>
      <c r="G1742" s="5149" t="s">
        <v>3086</v>
      </c>
      <c r="H1742" s="3684" t="s">
        <v>286</v>
      </c>
      <c r="I1742" s="3684"/>
      <c r="J1742" s="5060" t="s">
        <v>3087</v>
      </c>
      <c r="K1742" s="3684" t="s">
        <v>171</v>
      </c>
      <c r="L1742" s="5060" t="s">
        <v>3088</v>
      </c>
      <c r="M1742" s="3684">
        <f>SUM(N1742:AA1742)</f>
        <v>1000000</v>
      </c>
      <c r="N1742" s="2678">
        <v>0</v>
      </c>
      <c r="O1742" s="2678">
        <v>0</v>
      </c>
      <c r="P1742" s="2678">
        <v>500000</v>
      </c>
      <c r="Q1742" s="2678">
        <v>500000</v>
      </c>
      <c r="R1742" s="2678">
        <v>0</v>
      </c>
      <c r="S1742" s="2678">
        <v>0</v>
      </c>
      <c r="T1742" s="5823">
        <v>0</v>
      </c>
      <c r="U1742" s="2678">
        <v>0</v>
      </c>
      <c r="V1742" s="2678">
        <v>0</v>
      </c>
      <c r="W1742" s="2678">
        <v>0</v>
      </c>
      <c r="X1742" s="2678">
        <v>0</v>
      </c>
      <c r="Y1742" s="2678">
        <v>0</v>
      </c>
      <c r="Z1742" s="2678"/>
      <c r="AA1742" s="2678">
        <v>0</v>
      </c>
      <c r="AB1742" s="2678" t="s">
        <v>171</v>
      </c>
      <c r="AC1742" s="3684" t="s">
        <v>1034</v>
      </c>
      <c r="AD1742" s="5060" t="s">
        <v>3089</v>
      </c>
      <c r="AE1742" s="6791">
        <v>1</v>
      </c>
      <c r="AF1742" s="3684">
        <f>AE1742*M1742</f>
        <v>1000000</v>
      </c>
      <c r="AG1742" s="3684">
        <f t="shared" si="377"/>
        <v>200000</v>
      </c>
      <c r="AH1742" s="5060" t="s">
        <v>206</v>
      </c>
      <c r="AI1742" s="3684">
        <v>43678</v>
      </c>
      <c r="AJ1742" s="3684">
        <v>200000</v>
      </c>
      <c r="AK1742" s="3684" t="s">
        <v>171</v>
      </c>
      <c r="AL1742" s="3684">
        <v>200000</v>
      </c>
      <c r="AM1742" s="3684">
        <v>43678</v>
      </c>
      <c r="AN1742" s="3684">
        <f t="shared" si="375"/>
        <v>200000</v>
      </c>
      <c r="AO1742" s="3684">
        <v>43720</v>
      </c>
      <c r="AP1742" s="3684">
        <f t="shared" si="376"/>
        <v>0</v>
      </c>
      <c r="AQ1742" s="5060" t="s">
        <v>3090</v>
      </c>
      <c r="AR1742" s="3684" t="s">
        <v>1037</v>
      </c>
      <c r="AS1742" s="5060"/>
      <c r="AT1742" s="3684">
        <v>2019</v>
      </c>
      <c r="AU1742" s="2678">
        <f>AG1742</f>
        <v>200000</v>
      </c>
      <c r="AV1742" s="2678">
        <f>AL1742</f>
        <v>200000</v>
      </c>
      <c r="AW1742" s="2678">
        <f>SUBTOTAL(9,AN1742)</f>
        <v>200000</v>
      </c>
      <c r="AX1742" s="2678">
        <f>M1742-AU1742</f>
        <v>800000</v>
      </c>
      <c r="AY1742" s="2678">
        <f>AU1742-AV1742</f>
        <v>0</v>
      </c>
      <c r="AZ1742" s="2678">
        <f>AV1742-AW1742</f>
        <v>0</v>
      </c>
      <c r="BA1742" s="3684"/>
      <c r="BB1742" s="3684"/>
      <c r="BC1742" s="3684">
        <v>200000</v>
      </c>
      <c r="BD1742" s="3684"/>
      <c r="BE1742" s="3684"/>
      <c r="BF1742" s="3684"/>
      <c r="BG1742" s="3684"/>
      <c r="BH1742" s="3684"/>
      <c r="BI1742" s="3684"/>
      <c r="BJ1742" s="3684"/>
      <c r="BK1742" s="3684"/>
      <c r="BL1742" s="3684"/>
      <c r="BM1742" s="3684"/>
      <c r="BN1742" s="3684"/>
      <c r="BO1742" s="3684"/>
      <c r="BP1742" s="3684"/>
      <c r="BQ1742" s="3684">
        <v>200000</v>
      </c>
      <c r="BR1742" s="3684"/>
      <c r="BS1742" s="3684"/>
      <c r="BT1742" s="3684"/>
      <c r="BU1742" s="3684"/>
      <c r="BV1742" s="3684"/>
      <c r="BW1742" s="3684"/>
      <c r="BX1742" s="3684"/>
      <c r="BY1742" s="3684"/>
      <c r="BZ1742" s="3684"/>
      <c r="CA1742" s="3684"/>
      <c r="CB1742" s="3684"/>
      <c r="CC1742" s="3662" t="s">
        <v>1112</v>
      </c>
      <c r="CD1742" s="3662" t="s">
        <v>154</v>
      </c>
      <c r="CE1742" s="6802"/>
      <c r="CF1742" s="6802"/>
      <c r="CG1742" s="6802"/>
      <c r="CH1742" s="6802"/>
    </row>
    <row r="1743" spans="1:86">
      <c r="A1743" s="2678">
        <v>17</v>
      </c>
      <c r="B1743" s="2678" t="s">
        <v>1003</v>
      </c>
      <c r="C1743" s="2678">
        <v>43617</v>
      </c>
      <c r="D1743" s="5667" t="s">
        <v>3091</v>
      </c>
      <c r="E1743" s="2678" t="s">
        <v>113</v>
      </c>
      <c r="F1743" s="5667" t="s">
        <v>3092</v>
      </c>
      <c r="G1743" s="5667" t="s">
        <v>3093</v>
      </c>
      <c r="H1743" s="2678" t="s">
        <v>31</v>
      </c>
      <c r="I1743" s="2678"/>
      <c r="J1743" s="5667" t="s">
        <v>3094</v>
      </c>
      <c r="K1743" s="2678">
        <v>167844</v>
      </c>
      <c r="L1743" s="5667" t="s">
        <v>3095</v>
      </c>
      <c r="M1743" s="2678">
        <f>SUM(N1743:AA1745)</f>
        <v>1174908</v>
      </c>
      <c r="N1743" s="2678">
        <v>0</v>
      </c>
      <c r="O1743" s="2678">
        <v>0</v>
      </c>
      <c r="P1743" s="2678">
        <v>0</v>
      </c>
      <c r="Q1743" s="2678">
        <v>0</v>
      </c>
      <c r="R1743" s="2678">
        <v>0</v>
      </c>
      <c r="S1743" s="2678">
        <v>0</v>
      </c>
      <c r="T1743" s="2678"/>
      <c r="U1743" s="2678">
        <v>1174908</v>
      </c>
      <c r="V1743" s="2678">
        <v>0</v>
      </c>
      <c r="W1743" s="2678">
        <v>0</v>
      </c>
      <c r="X1743" s="2678"/>
      <c r="Y1743" s="2678"/>
      <c r="Z1743" s="2678"/>
      <c r="AA1743" s="2678">
        <v>0</v>
      </c>
      <c r="AB1743" s="2678" t="s">
        <v>171</v>
      </c>
      <c r="AC1743" s="2678" t="s">
        <v>1110</v>
      </c>
      <c r="AD1743" s="5686" t="s">
        <v>3096</v>
      </c>
      <c r="AE1743" s="791">
        <v>0.2</v>
      </c>
      <c r="AF1743" s="2678">
        <f>U1743*AE1743</f>
        <v>234981.6</v>
      </c>
      <c r="AG1743" s="5349">
        <f t="shared" si="377"/>
        <v>234981.6</v>
      </c>
      <c r="AH1743" s="5667" t="s">
        <v>206</v>
      </c>
      <c r="AI1743" s="2678">
        <v>43656</v>
      </c>
      <c r="AJ1743" s="2678" t="s">
        <v>171</v>
      </c>
      <c r="AK1743" s="2678" t="s">
        <v>171</v>
      </c>
      <c r="AL1743" s="2678">
        <v>234981.6</v>
      </c>
      <c r="AM1743" s="2678">
        <v>43656</v>
      </c>
      <c r="AN1743" s="5349">
        <f t="shared" si="375"/>
        <v>234981.6</v>
      </c>
      <c r="AO1743" s="2678">
        <v>43689</v>
      </c>
      <c r="AP1743" s="2678">
        <f t="shared" si="376"/>
        <v>0</v>
      </c>
      <c r="AQ1743" s="2678"/>
      <c r="AR1743" s="2678" t="s">
        <v>1037</v>
      </c>
      <c r="AS1743" s="5667"/>
      <c r="AT1743" s="2678">
        <v>43691</v>
      </c>
      <c r="AU1743" s="2678">
        <f>AG1743+AG1744+AG1745</f>
        <v>1174908</v>
      </c>
      <c r="AV1743" s="2678">
        <f>AL1743+AL1744+AL1745</f>
        <v>1174908</v>
      </c>
      <c r="AW1743" s="2678">
        <f>SUBTOTAL(9,AN1743:AN1745)</f>
        <v>1174908</v>
      </c>
      <c r="AX1743" s="2678">
        <f>M1743-AU1743</f>
        <v>0</v>
      </c>
      <c r="AY1743" s="2678">
        <f>AU1743-AV1743</f>
        <v>0</v>
      </c>
      <c r="AZ1743" s="2678">
        <f>AV1743-AW1743</f>
        <v>0</v>
      </c>
      <c r="BA1743" s="2678"/>
      <c r="BB1743" s="2678"/>
      <c r="BC1743" s="2678"/>
      <c r="BD1743" s="2678"/>
      <c r="BE1743" s="2678"/>
      <c r="BF1743" s="2678"/>
      <c r="BG1743" s="2678"/>
      <c r="BH1743" s="2678">
        <v>234981.6</v>
      </c>
      <c r="BI1743" s="2678"/>
      <c r="BJ1743" s="2678"/>
      <c r="BK1743" s="2678"/>
      <c r="BL1743" s="2678"/>
      <c r="BM1743" s="2678"/>
      <c r="BN1743" s="2678"/>
      <c r="BO1743" s="2678"/>
      <c r="BP1743" s="2678"/>
      <c r="BQ1743" s="2678"/>
      <c r="BR1743" s="2678"/>
      <c r="BS1743" s="2678"/>
      <c r="BT1743" s="2678"/>
      <c r="BU1743" s="2678"/>
      <c r="BV1743" s="2678">
        <v>234981.6</v>
      </c>
      <c r="BW1743" s="2678"/>
      <c r="BX1743" s="2678"/>
      <c r="BY1743" s="2678"/>
      <c r="BZ1743" s="2678"/>
      <c r="CA1743" s="2678"/>
      <c r="CB1743" s="2678"/>
      <c r="CC1743" s="2680" t="s">
        <v>1112</v>
      </c>
      <c r="CD1743" s="2680" t="s">
        <v>154</v>
      </c>
      <c r="CE1743" s="5168"/>
      <c r="CF1743" s="5168"/>
      <c r="CG1743" s="5750"/>
      <c r="CH1743" s="5750"/>
    </row>
    <row r="1744" ht="31" spans="1:86">
      <c r="A1744" s="2678"/>
      <c r="B1744" s="2678"/>
      <c r="C1744" s="2678"/>
      <c r="D1744" s="5667"/>
      <c r="E1744" s="2678"/>
      <c r="F1744" s="5667"/>
      <c r="G1744" s="5667"/>
      <c r="H1744" s="2678"/>
      <c r="I1744" s="2678"/>
      <c r="J1744" s="5667"/>
      <c r="K1744" s="2678"/>
      <c r="L1744" s="5667"/>
      <c r="M1744" s="2678"/>
      <c r="N1744" s="2678"/>
      <c r="O1744" s="2678"/>
      <c r="P1744" s="2678"/>
      <c r="Q1744" s="2678"/>
      <c r="R1744" s="2678"/>
      <c r="S1744" s="2678"/>
      <c r="T1744" s="2678"/>
      <c r="U1744" s="2678"/>
      <c r="V1744" s="2678"/>
      <c r="W1744" s="2678"/>
      <c r="X1744" s="2678"/>
      <c r="Y1744" s="2678"/>
      <c r="Z1744" s="2678"/>
      <c r="AA1744" s="2678"/>
      <c r="AB1744" s="2678"/>
      <c r="AC1744" s="2678" t="s">
        <v>1113</v>
      </c>
      <c r="AD1744" s="5686" t="s">
        <v>3097</v>
      </c>
      <c r="AE1744" s="791">
        <v>0.3</v>
      </c>
      <c r="AF1744" s="2678">
        <f>AE1744*U1743</f>
        <v>352472.4</v>
      </c>
      <c r="AG1744" s="5349">
        <f t="shared" si="377"/>
        <v>352472.4</v>
      </c>
      <c r="AH1744" s="5667" t="s">
        <v>206</v>
      </c>
      <c r="AI1744" s="2678">
        <v>43656</v>
      </c>
      <c r="AJ1744" s="2678" t="s">
        <v>171</v>
      </c>
      <c r="AK1744" s="2678" t="s">
        <v>171</v>
      </c>
      <c r="AL1744" s="2678">
        <v>352472.4</v>
      </c>
      <c r="AM1744" s="2678">
        <v>43656</v>
      </c>
      <c r="AN1744" s="5349">
        <f t="shared" si="375"/>
        <v>352472.4</v>
      </c>
      <c r="AO1744" s="2678">
        <v>43689</v>
      </c>
      <c r="AP1744" s="2678">
        <f t="shared" si="376"/>
        <v>0</v>
      </c>
      <c r="AQ1744" s="2678"/>
      <c r="AR1744" s="2678" t="s">
        <v>1037</v>
      </c>
      <c r="AS1744" s="5667"/>
      <c r="AT1744" s="2678">
        <v>43691</v>
      </c>
      <c r="AU1744" s="2678"/>
      <c r="AV1744" s="2678"/>
      <c r="AW1744" s="2678"/>
      <c r="AX1744" s="2678"/>
      <c r="AY1744" s="2678"/>
      <c r="AZ1744" s="2678"/>
      <c r="BA1744" s="2678"/>
      <c r="BB1744" s="2678"/>
      <c r="BC1744" s="2678"/>
      <c r="BD1744" s="2678"/>
      <c r="BE1744" s="2678"/>
      <c r="BF1744" s="2678"/>
      <c r="BG1744" s="2678"/>
      <c r="BH1744" s="2678">
        <v>352472.4</v>
      </c>
      <c r="BI1744" s="2678"/>
      <c r="BJ1744" s="2678"/>
      <c r="BK1744" s="2678"/>
      <c r="BL1744" s="2678"/>
      <c r="BM1744" s="2678"/>
      <c r="BN1744" s="2678"/>
      <c r="BO1744" s="2678"/>
      <c r="BP1744" s="2678"/>
      <c r="BQ1744" s="2678"/>
      <c r="BR1744" s="2678"/>
      <c r="BS1744" s="2678"/>
      <c r="BT1744" s="2678"/>
      <c r="BU1744" s="2678"/>
      <c r="BV1744" s="2678">
        <v>352472.4</v>
      </c>
      <c r="BW1744" s="2678"/>
      <c r="BX1744" s="2678"/>
      <c r="BY1744" s="2678"/>
      <c r="BZ1744" s="2678"/>
      <c r="CA1744" s="2678"/>
      <c r="CB1744" s="2678"/>
      <c r="CC1744" s="2680"/>
      <c r="CD1744" s="2680"/>
      <c r="CE1744" s="5168"/>
      <c r="CF1744" s="5168"/>
      <c r="CG1744" s="5750"/>
      <c r="CH1744" s="5750"/>
    </row>
    <row r="1745" ht="31" spans="1:86">
      <c r="A1745" s="2678"/>
      <c r="B1745" s="2678"/>
      <c r="C1745" s="2678"/>
      <c r="D1745" s="5667"/>
      <c r="E1745" s="2678"/>
      <c r="F1745" s="5667"/>
      <c r="G1745" s="5667"/>
      <c r="H1745" s="2678"/>
      <c r="I1745" s="2678"/>
      <c r="J1745" s="5667"/>
      <c r="K1745" s="2678"/>
      <c r="L1745" s="5667"/>
      <c r="M1745" s="2678"/>
      <c r="N1745" s="2678"/>
      <c r="O1745" s="2678"/>
      <c r="P1745" s="2678"/>
      <c r="Q1745" s="2678"/>
      <c r="R1745" s="2678"/>
      <c r="S1745" s="2678"/>
      <c r="T1745" s="2678"/>
      <c r="U1745" s="2678"/>
      <c r="V1745" s="2678"/>
      <c r="W1745" s="2678"/>
      <c r="X1745" s="2678"/>
      <c r="Y1745" s="2678"/>
      <c r="Z1745" s="2678"/>
      <c r="AA1745" s="2678"/>
      <c r="AB1745" s="2678"/>
      <c r="AC1745" s="2678" t="s">
        <v>1115</v>
      </c>
      <c r="AD1745" s="5686" t="s">
        <v>2567</v>
      </c>
      <c r="AE1745" s="791">
        <v>0.5</v>
      </c>
      <c r="AF1745" s="2678">
        <f>AE1745*U1743</f>
        <v>587454</v>
      </c>
      <c r="AG1745" s="5349">
        <f t="shared" si="377"/>
        <v>587454</v>
      </c>
      <c r="AH1745" s="5667" t="s">
        <v>122</v>
      </c>
      <c r="AI1745" s="2678">
        <v>43805</v>
      </c>
      <c r="AJ1745" s="2678" t="s">
        <v>171</v>
      </c>
      <c r="AK1745" s="2678" t="s">
        <v>171</v>
      </c>
      <c r="AL1745" s="2678">
        <v>587454</v>
      </c>
      <c r="AM1745" s="2678">
        <v>43927</v>
      </c>
      <c r="AN1745" s="5349">
        <f t="shared" si="375"/>
        <v>587454</v>
      </c>
      <c r="AO1745" s="2678">
        <v>43949</v>
      </c>
      <c r="AP1745" s="2678">
        <f t="shared" si="376"/>
        <v>0</v>
      </c>
      <c r="AQ1745" s="5667" t="s">
        <v>3098</v>
      </c>
      <c r="AR1745" s="2678" t="s">
        <v>1037</v>
      </c>
      <c r="AS1745" s="5667" t="s">
        <v>1824</v>
      </c>
      <c r="AT1745" s="2678">
        <v>43691</v>
      </c>
      <c r="AU1745" s="2678"/>
      <c r="AV1745" s="2678"/>
      <c r="AW1745" s="2678"/>
      <c r="AX1745" s="2678"/>
      <c r="AY1745" s="2678"/>
      <c r="AZ1745" s="2678"/>
      <c r="BA1745" s="2678"/>
      <c r="BB1745" s="2678"/>
      <c r="BC1745" s="2678"/>
      <c r="BD1745" s="2678"/>
      <c r="BE1745" s="2678"/>
      <c r="BF1745" s="2678"/>
      <c r="BG1745" s="2678"/>
      <c r="BH1745" s="3812">
        <v>587454</v>
      </c>
      <c r="BI1745" s="2678"/>
      <c r="BJ1745" s="2678"/>
      <c r="BK1745" s="2678"/>
      <c r="BL1745" s="2678"/>
      <c r="BM1745" s="2678"/>
      <c r="BN1745" s="2678"/>
      <c r="BO1745" s="2678"/>
      <c r="BP1745" s="2678"/>
      <c r="BQ1745" s="2678"/>
      <c r="BR1745" s="2678"/>
      <c r="BS1745" s="2678"/>
      <c r="BT1745" s="2678"/>
      <c r="BU1745" s="2678"/>
      <c r="BV1745" s="2678">
        <v>587454</v>
      </c>
      <c r="BW1745" s="2678"/>
      <c r="BX1745" s="2678"/>
      <c r="BY1745" s="2678"/>
      <c r="BZ1745" s="2678"/>
      <c r="CA1745" s="2678"/>
      <c r="CB1745" s="2678"/>
      <c r="CC1745" s="2680"/>
      <c r="CD1745" s="2680"/>
      <c r="CE1745" s="5168"/>
      <c r="CF1745" s="5168"/>
      <c r="CG1745" s="5750"/>
      <c r="CH1745" s="5750"/>
    </row>
    <row r="1746" ht="61" spans="1:86">
      <c r="A1746" s="2678">
        <v>18</v>
      </c>
      <c r="B1746" s="2678" t="s">
        <v>1003</v>
      </c>
      <c r="C1746" s="2678">
        <v>43617</v>
      </c>
      <c r="D1746" s="5667" t="s">
        <v>3099</v>
      </c>
      <c r="E1746" s="2678" t="s">
        <v>113</v>
      </c>
      <c r="F1746" s="5667" t="s">
        <v>3100</v>
      </c>
      <c r="G1746" s="5667" t="s">
        <v>3101</v>
      </c>
      <c r="H1746" s="2678" t="s">
        <v>31</v>
      </c>
      <c r="I1746" s="2678"/>
      <c r="J1746" s="5667" t="s">
        <v>1018</v>
      </c>
      <c r="K1746" s="2678">
        <v>105469</v>
      </c>
      <c r="L1746" s="5667" t="s">
        <v>3095</v>
      </c>
      <c r="M1746" s="2678">
        <f>SUM(N1746:AA1748)</f>
        <v>738283</v>
      </c>
      <c r="N1746" s="2678">
        <v>0</v>
      </c>
      <c r="O1746" s="2678">
        <v>0</v>
      </c>
      <c r="P1746" s="2678">
        <v>0</v>
      </c>
      <c r="Q1746" s="2678">
        <v>0</v>
      </c>
      <c r="R1746" s="2678">
        <v>0</v>
      </c>
      <c r="S1746" s="2678">
        <v>0</v>
      </c>
      <c r="T1746" s="2678"/>
      <c r="U1746" s="2678">
        <v>738283</v>
      </c>
      <c r="V1746" s="2678">
        <v>0</v>
      </c>
      <c r="W1746" s="2678">
        <v>0</v>
      </c>
      <c r="X1746" s="2678"/>
      <c r="Y1746" s="2678"/>
      <c r="Z1746" s="2678"/>
      <c r="AA1746" s="2678">
        <v>0</v>
      </c>
      <c r="AB1746" s="2678" t="s">
        <v>171</v>
      </c>
      <c r="AC1746" s="2678" t="s">
        <v>1110</v>
      </c>
      <c r="AD1746" s="5686" t="s">
        <v>3102</v>
      </c>
      <c r="AE1746" s="791">
        <v>0.2</v>
      </c>
      <c r="AF1746" s="2678">
        <f t="shared" ref="AF1746:AF1751" si="378">U1746*AE1746</f>
        <v>147656.6</v>
      </c>
      <c r="AG1746" s="5349">
        <f t="shared" si="377"/>
        <v>147656.6</v>
      </c>
      <c r="AH1746" s="5667" t="s">
        <v>206</v>
      </c>
      <c r="AI1746" s="2678">
        <v>43656</v>
      </c>
      <c r="AJ1746" s="2678" t="s">
        <v>171</v>
      </c>
      <c r="AK1746" s="2678" t="s">
        <v>171</v>
      </c>
      <c r="AL1746" s="2678">
        <v>147656.6</v>
      </c>
      <c r="AM1746" s="2678">
        <v>43656</v>
      </c>
      <c r="AN1746" s="5349">
        <f t="shared" si="375"/>
        <v>147656.6</v>
      </c>
      <c r="AO1746" s="2678">
        <v>43689</v>
      </c>
      <c r="AP1746" s="2678">
        <f t="shared" si="376"/>
        <v>0</v>
      </c>
      <c r="AQ1746" s="2678"/>
      <c r="AR1746" s="2678" t="s">
        <v>1037</v>
      </c>
      <c r="AS1746" s="5667"/>
      <c r="AT1746" s="2678">
        <v>43647</v>
      </c>
      <c r="AU1746" s="2678">
        <f>AG1746+AG1747+AG1748</f>
        <v>738283</v>
      </c>
      <c r="AV1746" s="2678">
        <f>AL1746+AL1747+AL1748</f>
        <v>738283</v>
      </c>
      <c r="AW1746" s="2678">
        <f>SUBTOTAL(9,AN1746:AN1748)</f>
        <v>738283</v>
      </c>
      <c r="AX1746" s="2678">
        <f>M1746-AU1746</f>
        <v>0</v>
      </c>
      <c r="AY1746" s="2678">
        <f t="shared" ref="AY1746:AY1751" si="379">AU1746-AV1746</f>
        <v>0</v>
      </c>
      <c r="AZ1746" s="2678">
        <f t="shared" ref="AZ1746:AZ1751" si="380">AV1746-AW1746</f>
        <v>0</v>
      </c>
      <c r="BA1746" s="2678"/>
      <c r="BB1746" s="2678"/>
      <c r="BC1746" s="2678"/>
      <c r="BD1746" s="2678"/>
      <c r="BE1746" s="2678"/>
      <c r="BF1746" s="2678"/>
      <c r="BG1746" s="2678"/>
      <c r="BH1746" s="2678">
        <v>147656.6</v>
      </c>
      <c r="BI1746" s="2678"/>
      <c r="BJ1746" s="2678"/>
      <c r="BK1746" s="2678"/>
      <c r="BL1746" s="2678"/>
      <c r="BM1746" s="2678"/>
      <c r="BN1746" s="2678"/>
      <c r="BO1746" s="2678"/>
      <c r="BP1746" s="2678"/>
      <c r="BQ1746" s="2678"/>
      <c r="BR1746" s="2678"/>
      <c r="BS1746" s="2678"/>
      <c r="BT1746" s="2678"/>
      <c r="BU1746" s="2678"/>
      <c r="BV1746" s="2678">
        <v>147656.6</v>
      </c>
      <c r="BW1746" s="2678"/>
      <c r="BX1746" s="2678"/>
      <c r="BY1746" s="2678"/>
      <c r="BZ1746" s="2678"/>
      <c r="CA1746" s="2678"/>
      <c r="CB1746" s="2678"/>
      <c r="CC1746" s="2680" t="s">
        <v>1112</v>
      </c>
      <c r="CD1746" s="2680" t="s">
        <v>154</v>
      </c>
      <c r="CE1746" s="5168"/>
      <c r="CF1746" s="5168"/>
      <c r="CG1746" s="5750"/>
      <c r="CH1746" s="5750"/>
    </row>
    <row r="1747" ht="31" spans="1:86">
      <c r="A1747" s="2678"/>
      <c r="B1747" s="2678"/>
      <c r="C1747" s="2678"/>
      <c r="D1747" s="5667"/>
      <c r="E1747" s="2678"/>
      <c r="F1747" s="5667"/>
      <c r="G1747" s="5667"/>
      <c r="H1747" s="2678"/>
      <c r="I1747" s="2678"/>
      <c r="J1747" s="5667"/>
      <c r="K1747" s="2678"/>
      <c r="L1747" s="5667"/>
      <c r="M1747" s="2678"/>
      <c r="N1747" s="2678"/>
      <c r="O1747" s="2678"/>
      <c r="P1747" s="2678"/>
      <c r="Q1747" s="2678"/>
      <c r="R1747" s="2678"/>
      <c r="S1747" s="2678"/>
      <c r="T1747" s="2678"/>
      <c r="U1747" s="2678"/>
      <c r="V1747" s="2678"/>
      <c r="W1747" s="2678"/>
      <c r="X1747" s="2678"/>
      <c r="Y1747" s="2678"/>
      <c r="Z1747" s="2678"/>
      <c r="AA1747" s="2678"/>
      <c r="AB1747" s="2678"/>
      <c r="AC1747" s="2678" t="s">
        <v>1113</v>
      </c>
      <c r="AD1747" s="5686" t="s">
        <v>3097</v>
      </c>
      <c r="AE1747" s="791">
        <v>0.3</v>
      </c>
      <c r="AF1747" s="2678">
        <f>AE1747*U1746</f>
        <v>221484.9</v>
      </c>
      <c r="AG1747" s="5349">
        <f t="shared" si="377"/>
        <v>221484.9</v>
      </c>
      <c r="AH1747" s="5667" t="s">
        <v>206</v>
      </c>
      <c r="AI1747" s="2678">
        <v>43656</v>
      </c>
      <c r="AJ1747" s="2678" t="s">
        <v>171</v>
      </c>
      <c r="AK1747" s="2678" t="s">
        <v>171</v>
      </c>
      <c r="AL1747" s="2678">
        <v>221484.9</v>
      </c>
      <c r="AM1747" s="2678">
        <v>43656</v>
      </c>
      <c r="AN1747" s="5349">
        <f t="shared" si="375"/>
        <v>221484.9</v>
      </c>
      <c r="AO1747" s="2678">
        <v>43689</v>
      </c>
      <c r="AP1747" s="2678">
        <f t="shared" si="376"/>
        <v>0</v>
      </c>
      <c r="AQ1747" s="2678"/>
      <c r="AR1747" s="2678" t="s">
        <v>1037</v>
      </c>
      <c r="AS1747" s="5667"/>
      <c r="AT1747" s="2678">
        <v>43647</v>
      </c>
      <c r="AU1747" s="2678"/>
      <c r="AV1747" s="2678"/>
      <c r="AW1747" s="2678"/>
      <c r="AX1747" s="2678"/>
      <c r="AY1747" s="2678"/>
      <c r="AZ1747" s="2678"/>
      <c r="BA1747" s="2678"/>
      <c r="BB1747" s="2678"/>
      <c r="BC1747" s="2678"/>
      <c r="BD1747" s="2678"/>
      <c r="BE1747" s="2678"/>
      <c r="BF1747" s="2678"/>
      <c r="BG1747" s="2678"/>
      <c r="BH1747" s="2678">
        <v>221484.9</v>
      </c>
      <c r="BI1747" s="2678"/>
      <c r="BJ1747" s="2678"/>
      <c r="BK1747" s="2678"/>
      <c r="BL1747" s="2678"/>
      <c r="BM1747" s="2678"/>
      <c r="BN1747" s="2678"/>
      <c r="BO1747" s="2678"/>
      <c r="BP1747" s="2678"/>
      <c r="BQ1747" s="2678"/>
      <c r="BR1747" s="2678"/>
      <c r="BS1747" s="2678"/>
      <c r="BT1747" s="2678"/>
      <c r="BU1747" s="2678"/>
      <c r="BV1747" s="2678">
        <v>221484.9</v>
      </c>
      <c r="BW1747" s="2678"/>
      <c r="BX1747" s="2678"/>
      <c r="BY1747" s="2678"/>
      <c r="BZ1747" s="2678"/>
      <c r="CA1747" s="2678"/>
      <c r="CB1747" s="2678"/>
      <c r="CC1747" s="2680"/>
      <c r="CD1747" s="2680"/>
      <c r="CE1747" s="5168"/>
      <c r="CF1747" s="5168"/>
      <c r="CG1747" s="5750"/>
      <c r="CH1747" s="5750"/>
    </row>
    <row r="1748" ht="31" spans="1:86">
      <c r="A1748" s="2678"/>
      <c r="B1748" s="2678"/>
      <c r="C1748" s="2678"/>
      <c r="D1748" s="5667"/>
      <c r="E1748" s="2678"/>
      <c r="F1748" s="5667"/>
      <c r="G1748" s="5667"/>
      <c r="H1748" s="2678"/>
      <c r="I1748" s="2678"/>
      <c r="J1748" s="5667"/>
      <c r="K1748" s="2678"/>
      <c r="L1748" s="5667"/>
      <c r="M1748" s="2678"/>
      <c r="N1748" s="2678"/>
      <c r="O1748" s="2678"/>
      <c r="P1748" s="2678"/>
      <c r="Q1748" s="2678"/>
      <c r="R1748" s="2678"/>
      <c r="S1748" s="2678"/>
      <c r="T1748" s="2678"/>
      <c r="U1748" s="2678"/>
      <c r="V1748" s="2678"/>
      <c r="W1748" s="2678"/>
      <c r="X1748" s="2678"/>
      <c r="Y1748" s="2678"/>
      <c r="Z1748" s="2678"/>
      <c r="AA1748" s="2678"/>
      <c r="AB1748" s="2678"/>
      <c r="AC1748" s="2678" t="s">
        <v>1115</v>
      </c>
      <c r="AD1748" s="5686" t="s">
        <v>2567</v>
      </c>
      <c r="AE1748" s="791">
        <v>0.5</v>
      </c>
      <c r="AF1748" s="2678">
        <f>AE1748*U1746</f>
        <v>369141.5</v>
      </c>
      <c r="AG1748" s="5349">
        <f t="shared" si="377"/>
        <v>369141.5</v>
      </c>
      <c r="AH1748" s="5667" t="s">
        <v>206</v>
      </c>
      <c r="AI1748" s="2678">
        <v>43927</v>
      </c>
      <c r="AJ1748" s="2678" t="s">
        <v>171</v>
      </c>
      <c r="AK1748" s="2678" t="s">
        <v>171</v>
      </c>
      <c r="AL1748" s="2678">
        <v>369141.5</v>
      </c>
      <c r="AM1748" s="2678">
        <v>43927</v>
      </c>
      <c r="AN1748" s="5349">
        <f t="shared" si="375"/>
        <v>369141.5</v>
      </c>
      <c r="AO1748" s="2678">
        <v>43949</v>
      </c>
      <c r="AP1748" s="2678">
        <f t="shared" si="376"/>
        <v>0</v>
      </c>
      <c r="AQ1748" s="5667" t="s">
        <v>3098</v>
      </c>
      <c r="AR1748" s="2678" t="s">
        <v>1037</v>
      </c>
      <c r="AS1748" s="5667" t="s">
        <v>1824</v>
      </c>
      <c r="AT1748" s="2678">
        <v>43691</v>
      </c>
      <c r="AU1748" s="2678"/>
      <c r="AV1748" s="2678"/>
      <c r="AW1748" s="2678"/>
      <c r="AX1748" s="2678"/>
      <c r="AY1748" s="2678"/>
      <c r="AZ1748" s="2678"/>
      <c r="BA1748" s="2678"/>
      <c r="BB1748" s="2678"/>
      <c r="BC1748" s="2678"/>
      <c r="BD1748" s="2678"/>
      <c r="BE1748" s="2678"/>
      <c r="BF1748" s="2678"/>
      <c r="BG1748" s="2678"/>
      <c r="BH1748" s="2678">
        <v>369141.5</v>
      </c>
      <c r="BI1748" s="2678"/>
      <c r="BJ1748" s="2678"/>
      <c r="BK1748" s="2678"/>
      <c r="BL1748" s="2678"/>
      <c r="BM1748" s="2678"/>
      <c r="BN1748" s="2678"/>
      <c r="BO1748" s="2678"/>
      <c r="BP1748" s="2678"/>
      <c r="BQ1748" s="2678"/>
      <c r="BR1748" s="2678"/>
      <c r="BS1748" s="2678"/>
      <c r="BT1748" s="2678"/>
      <c r="BU1748" s="2678"/>
      <c r="BV1748" s="2678">
        <v>369141.5</v>
      </c>
      <c r="BW1748" s="2678"/>
      <c r="BX1748" s="2678"/>
      <c r="BY1748" s="2678"/>
      <c r="BZ1748" s="2678"/>
      <c r="CA1748" s="2678"/>
      <c r="CB1748" s="2678"/>
      <c r="CC1748" s="2680"/>
      <c r="CD1748" s="2680"/>
      <c r="CE1748" s="5168"/>
      <c r="CF1748" s="5168"/>
      <c r="CG1748" s="5750"/>
      <c r="CH1748" s="5750"/>
    </row>
    <row r="1749" s="4992" customFormat="1" ht="61" spans="1:86">
      <c r="A1749" s="2678">
        <v>19</v>
      </c>
      <c r="B1749" s="3684" t="s">
        <v>3079</v>
      </c>
      <c r="C1749" s="3684">
        <v>43636</v>
      </c>
      <c r="D1749" s="5055" t="s">
        <v>3103</v>
      </c>
      <c r="E1749" s="3684" t="s">
        <v>113</v>
      </c>
      <c r="F1749" s="5060" t="s">
        <v>3104</v>
      </c>
      <c r="G1749" s="5060" t="s">
        <v>3105</v>
      </c>
      <c r="H1749" s="3684" t="s">
        <v>31</v>
      </c>
      <c r="I1749" s="3684"/>
      <c r="J1749" s="5060" t="s">
        <v>3106</v>
      </c>
      <c r="K1749" s="3684">
        <v>202467</v>
      </c>
      <c r="L1749" s="5060" t="s">
        <v>3095</v>
      </c>
      <c r="M1749" s="3684">
        <f>SUM(N1749:AA1750)</f>
        <v>1417269</v>
      </c>
      <c r="N1749" s="2678">
        <v>0</v>
      </c>
      <c r="O1749" s="2678">
        <v>0</v>
      </c>
      <c r="P1749" s="2678">
        <v>0</v>
      </c>
      <c r="Q1749" s="2678">
        <v>0</v>
      </c>
      <c r="R1749" s="2678">
        <v>0</v>
      </c>
      <c r="S1749" s="2678">
        <v>0</v>
      </c>
      <c r="T1749" s="5823">
        <v>0</v>
      </c>
      <c r="U1749" s="2678">
        <v>1417269</v>
      </c>
      <c r="V1749" s="2678">
        <v>0</v>
      </c>
      <c r="W1749" s="2678">
        <v>0</v>
      </c>
      <c r="X1749" s="2678">
        <v>0</v>
      </c>
      <c r="Y1749" s="2678">
        <v>0</v>
      </c>
      <c r="Z1749" s="2678"/>
      <c r="AA1749" s="2678">
        <v>0</v>
      </c>
      <c r="AB1749" s="2678" t="s">
        <v>171</v>
      </c>
      <c r="AC1749" s="3684" t="s">
        <v>1110</v>
      </c>
      <c r="AD1749" s="6792" t="s">
        <v>3102</v>
      </c>
      <c r="AE1749" s="2139">
        <v>0.5</v>
      </c>
      <c r="AF1749" s="3684">
        <f t="shared" si="378"/>
        <v>708634.5</v>
      </c>
      <c r="AG1749" s="3684">
        <f t="shared" si="377"/>
        <v>708634.5</v>
      </c>
      <c r="AH1749" s="5060" t="s">
        <v>206</v>
      </c>
      <c r="AI1749" s="3684">
        <v>43683</v>
      </c>
      <c r="AJ1749" s="3684">
        <v>708634.5</v>
      </c>
      <c r="AK1749" s="3684" t="s">
        <v>171</v>
      </c>
      <c r="AL1749" s="3684">
        <v>708634.5</v>
      </c>
      <c r="AM1749" s="3684">
        <v>43683</v>
      </c>
      <c r="AN1749" s="3684">
        <f t="shared" si="375"/>
        <v>708634.5</v>
      </c>
      <c r="AO1749" s="3684">
        <v>43722</v>
      </c>
      <c r="AP1749" s="3684">
        <f t="shared" si="376"/>
        <v>0</v>
      </c>
      <c r="AQ1749" s="3814" t="s">
        <v>1463</v>
      </c>
      <c r="AR1749" s="3684" t="s">
        <v>1037</v>
      </c>
      <c r="AS1749" s="5060"/>
      <c r="AT1749" s="3684"/>
      <c r="AU1749" s="2678">
        <f>AG1749+AG1750</f>
        <v>1417269</v>
      </c>
      <c r="AV1749" s="2678">
        <f>AL1749+AL1750</f>
        <v>1417269</v>
      </c>
      <c r="AW1749" s="2678">
        <f>SUBTOTAL(9,AN1749:AN1750)</f>
        <v>1417269</v>
      </c>
      <c r="AX1749" s="2678">
        <f>M1749-AU1749</f>
        <v>0</v>
      </c>
      <c r="AY1749" s="2678">
        <f t="shared" si="379"/>
        <v>0</v>
      </c>
      <c r="AZ1749" s="2678">
        <f t="shared" si="380"/>
        <v>0</v>
      </c>
      <c r="BA1749" s="3684"/>
      <c r="BB1749" s="3684"/>
      <c r="BC1749" s="3684"/>
      <c r="BD1749" s="3684"/>
      <c r="BE1749" s="3684"/>
      <c r="BF1749" s="3684"/>
      <c r="BG1749" s="3684"/>
      <c r="BH1749" s="3684">
        <v>708634.5</v>
      </c>
      <c r="BI1749" s="3684"/>
      <c r="BJ1749" s="3684"/>
      <c r="BK1749" s="3684"/>
      <c r="BL1749" s="3684"/>
      <c r="BM1749" s="3684"/>
      <c r="BN1749" s="3684"/>
      <c r="BO1749" s="3684"/>
      <c r="BP1749" s="3684"/>
      <c r="BQ1749" s="3684"/>
      <c r="BR1749" s="3684"/>
      <c r="BS1749" s="3684"/>
      <c r="BT1749" s="3684"/>
      <c r="BU1749" s="3684"/>
      <c r="BV1749" s="3684">
        <v>708634.5</v>
      </c>
      <c r="BW1749" s="3684"/>
      <c r="BX1749" s="3684"/>
      <c r="BY1749" s="3684"/>
      <c r="BZ1749" s="3684"/>
      <c r="CA1749" s="3684"/>
      <c r="CB1749" s="3684"/>
      <c r="CC1749" s="3662" t="s">
        <v>1112</v>
      </c>
      <c r="CD1749" s="3662" t="s">
        <v>154</v>
      </c>
      <c r="CE1749" s="6802"/>
      <c r="CF1749" s="6802"/>
      <c r="CG1749" s="6802"/>
      <c r="CH1749" s="6802"/>
    </row>
    <row r="1750" s="4992" customFormat="1" ht="61" spans="1:86">
      <c r="A1750" s="3812"/>
      <c r="B1750" s="3684"/>
      <c r="C1750" s="3684"/>
      <c r="D1750" s="5060"/>
      <c r="E1750" s="3684"/>
      <c r="F1750" s="5060"/>
      <c r="G1750" s="5060"/>
      <c r="H1750" s="3684"/>
      <c r="I1750" s="3684"/>
      <c r="J1750" s="5060"/>
      <c r="K1750" s="3684"/>
      <c r="L1750" s="5060"/>
      <c r="M1750" s="3684"/>
      <c r="N1750" s="3812"/>
      <c r="O1750" s="3812"/>
      <c r="P1750" s="3812"/>
      <c r="Q1750" s="3812"/>
      <c r="R1750" s="3812"/>
      <c r="S1750" s="3812"/>
      <c r="T1750" s="3812"/>
      <c r="U1750" s="3812"/>
      <c r="V1750" s="3812"/>
      <c r="W1750" s="3812"/>
      <c r="X1750" s="3812"/>
      <c r="Y1750" s="3812"/>
      <c r="Z1750" s="3812"/>
      <c r="AA1750" s="3812"/>
      <c r="AB1750" s="3812"/>
      <c r="AC1750" s="3684" t="s">
        <v>1113</v>
      </c>
      <c r="AD1750" s="6792" t="s">
        <v>3107</v>
      </c>
      <c r="AE1750" s="2139">
        <v>0.5</v>
      </c>
      <c r="AF1750" s="3684">
        <f>M1749*AE1750</f>
        <v>708634.5</v>
      </c>
      <c r="AG1750" s="3684">
        <f t="shared" si="377"/>
        <v>708634.5</v>
      </c>
      <c r="AH1750" s="5060" t="s">
        <v>122</v>
      </c>
      <c r="AI1750" s="3684">
        <v>43775</v>
      </c>
      <c r="AJ1750" s="3684">
        <v>708634.5</v>
      </c>
      <c r="AK1750" s="3684">
        <v>43775</v>
      </c>
      <c r="AL1750" s="3684">
        <v>708634.5</v>
      </c>
      <c r="AM1750" s="3684">
        <v>44028</v>
      </c>
      <c r="AN1750" s="3684">
        <f t="shared" si="375"/>
        <v>708634.5</v>
      </c>
      <c r="AO1750" s="3684">
        <v>44042</v>
      </c>
      <c r="AP1750" s="3684">
        <f t="shared" si="376"/>
        <v>0</v>
      </c>
      <c r="AQ1750" s="3684"/>
      <c r="AR1750" s="3684" t="s">
        <v>1037</v>
      </c>
      <c r="AS1750" s="5060" t="s">
        <v>2438</v>
      </c>
      <c r="AT1750" s="3684"/>
      <c r="AU1750" s="3812"/>
      <c r="AV1750" s="3812"/>
      <c r="AW1750" s="3812"/>
      <c r="AX1750" s="3812"/>
      <c r="AY1750" s="3812"/>
      <c r="AZ1750" s="3812"/>
      <c r="BA1750" s="3684"/>
      <c r="BB1750" s="3684"/>
      <c r="BC1750" s="3684"/>
      <c r="BD1750" s="3684"/>
      <c r="BE1750" s="3684"/>
      <c r="BF1750" s="3684"/>
      <c r="BG1750" s="3684"/>
      <c r="BH1750" s="3684">
        <v>708634.5</v>
      </c>
      <c r="BI1750" s="3684"/>
      <c r="BJ1750" s="3684"/>
      <c r="BK1750" s="3684"/>
      <c r="BL1750" s="3684"/>
      <c r="BM1750" s="3684"/>
      <c r="BN1750" s="3684"/>
      <c r="BO1750" s="3684"/>
      <c r="BP1750" s="3684"/>
      <c r="BQ1750" s="3684"/>
      <c r="BR1750" s="3684"/>
      <c r="BS1750" s="3684"/>
      <c r="BT1750" s="3684"/>
      <c r="BU1750" s="3684"/>
      <c r="BV1750" s="3684">
        <v>708634.5</v>
      </c>
      <c r="BW1750" s="3684"/>
      <c r="BX1750" s="3684"/>
      <c r="BY1750" s="3684"/>
      <c r="BZ1750" s="3684"/>
      <c r="CA1750" s="3684"/>
      <c r="CB1750" s="3684"/>
      <c r="CC1750" s="3662"/>
      <c r="CD1750" s="3662"/>
      <c r="CE1750" s="6802"/>
      <c r="CF1750" s="6802"/>
      <c r="CG1750" s="6802"/>
      <c r="CH1750" s="6802"/>
    </row>
    <row r="1751" s="4981" customFormat="1" ht="20" customHeight="1" spans="1:86">
      <c r="A1751" s="3812">
        <v>20</v>
      </c>
      <c r="B1751" s="3684" t="s">
        <v>3079</v>
      </c>
      <c r="C1751" s="3684">
        <v>43824</v>
      </c>
      <c r="D1751" s="5055" t="s">
        <v>3108</v>
      </c>
      <c r="E1751" s="3684" t="s">
        <v>113</v>
      </c>
      <c r="F1751" s="5388" t="s">
        <v>3109</v>
      </c>
      <c r="G1751" s="5060" t="s">
        <v>3110</v>
      </c>
      <c r="H1751" s="3684" t="s">
        <v>31</v>
      </c>
      <c r="I1751" s="3684"/>
      <c r="J1751" s="5060" t="s">
        <v>3106</v>
      </c>
      <c r="K1751" s="3684">
        <v>421314.4</v>
      </c>
      <c r="L1751" s="5060" t="s">
        <v>3095</v>
      </c>
      <c r="M1751" s="3684">
        <f>SUM(N1751:AA1757)</f>
        <v>2947934.99</v>
      </c>
      <c r="N1751" s="3684">
        <v>0</v>
      </c>
      <c r="O1751" s="3684">
        <v>0</v>
      </c>
      <c r="P1751" s="3684">
        <v>0</v>
      </c>
      <c r="Q1751" s="3684">
        <v>0</v>
      </c>
      <c r="R1751" s="3684">
        <v>0</v>
      </c>
      <c r="S1751" s="3684">
        <v>0</v>
      </c>
      <c r="T1751" s="6787">
        <v>0</v>
      </c>
      <c r="U1751" s="3684">
        <v>2947934.99</v>
      </c>
      <c r="V1751" s="3684">
        <v>0</v>
      </c>
      <c r="W1751" s="3684">
        <v>0</v>
      </c>
      <c r="X1751" s="3684">
        <v>0</v>
      </c>
      <c r="Y1751" s="3684">
        <v>0</v>
      </c>
      <c r="Z1751" s="3684"/>
      <c r="AA1751" s="3684">
        <v>0</v>
      </c>
      <c r="AB1751" s="3684" t="s">
        <v>171</v>
      </c>
      <c r="AC1751" s="3684" t="s">
        <v>1110</v>
      </c>
      <c r="AD1751" s="2139" t="s">
        <v>2566</v>
      </c>
      <c r="AE1751" s="2139">
        <v>0.5</v>
      </c>
      <c r="AF1751" s="3684">
        <f t="shared" si="378"/>
        <v>1473967.495</v>
      </c>
      <c r="AG1751" s="3684">
        <f t="shared" si="377"/>
        <v>583554.37</v>
      </c>
      <c r="AH1751" s="5060" t="s">
        <v>122</v>
      </c>
      <c r="AI1751" s="5060">
        <v>44160</v>
      </c>
      <c r="AJ1751" s="3684">
        <f>SUM(BD1751:BQ1751)</f>
        <v>583554.37</v>
      </c>
      <c r="AK1751" s="5060">
        <v>44160</v>
      </c>
      <c r="AL1751" s="5060">
        <v>583554.37</v>
      </c>
      <c r="AM1751" s="5060">
        <v>44337</v>
      </c>
      <c r="AN1751" s="3684">
        <f t="shared" si="375"/>
        <v>583554.37</v>
      </c>
      <c r="AO1751" s="5060">
        <v>44438</v>
      </c>
      <c r="AP1751" s="3684">
        <f t="shared" si="376"/>
        <v>0</v>
      </c>
      <c r="AQ1751" s="5388" t="s">
        <v>3111</v>
      </c>
      <c r="AR1751" s="3684" t="s">
        <v>1037</v>
      </c>
      <c r="AS1751" s="5060"/>
      <c r="AT1751" s="3684"/>
      <c r="AU1751" s="3684">
        <f>SUBTOTAL(9,AG1751:AG1755)</f>
        <v>2947934.99</v>
      </c>
      <c r="AV1751" s="3684">
        <f>SUM(AL1751:AL1755)</f>
        <v>2947934.99</v>
      </c>
      <c r="AW1751" s="3684">
        <f>SUBTOTAL(9,AN1751:AN1757)</f>
        <v>2947934.99</v>
      </c>
      <c r="AX1751" s="3684">
        <f>M1751-AU1751</f>
        <v>0</v>
      </c>
      <c r="AY1751" s="3684">
        <f t="shared" si="379"/>
        <v>0</v>
      </c>
      <c r="AZ1751" s="3684">
        <f t="shared" si="380"/>
        <v>0</v>
      </c>
      <c r="BA1751" s="3684"/>
      <c r="BB1751" s="3684"/>
      <c r="BC1751" s="3684"/>
      <c r="BD1751" s="3684"/>
      <c r="BE1751" s="3684"/>
      <c r="BF1751" s="3684"/>
      <c r="BG1751" s="3684"/>
      <c r="BH1751" s="5060">
        <v>583554.37</v>
      </c>
      <c r="BI1751" s="3684"/>
      <c r="BJ1751" s="3684"/>
      <c r="BK1751" s="3684"/>
      <c r="BL1751" s="3684"/>
      <c r="BM1751" s="3684"/>
      <c r="BN1751" s="3684"/>
      <c r="BO1751" s="3708"/>
      <c r="BP1751" s="3708"/>
      <c r="BQ1751" s="3708"/>
      <c r="BR1751" s="3708"/>
      <c r="BS1751" s="3708"/>
      <c r="BT1751" s="3708"/>
      <c r="BU1751" s="3708"/>
      <c r="BV1751" s="5060">
        <v>583554.37</v>
      </c>
      <c r="BW1751" s="3708"/>
      <c r="BX1751" s="3708"/>
      <c r="BY1751" s="3708"/>
      <c r="BZ1751" s="3708"/>
      <c r="CA1751" s="3708"/>
      <c r="CB1751" s="3708"/>
      <c r="CC1751" s="3662" t="s">
        <v>1112</v>
      </c>
      <c r="CD1751" s="3662" t="s">
        <v>154</v>
      </c>
      <c r="CE1751" s="5920"/>
      <c r="CF1751" s="5920"/>
      <c r="CG1751" s="5920"/>
      <c r="CH1751" s="5920"/>
    </row>
    <row r="1752" s="4981" customFormat="1" ht="20" customHeight="1" spans="1:86">
      <c r="A1752" s="3812"/>
      <c r="B1752" s="3684"/>
      <c r="C1752" s="3684"/>
      <c r="D1752" s="5060"/>
      <c r="E1752" s="3684"/>
      <c r="F1752" s="6072"/>
      <c r="G1752" s="5060"/>
      <c r="H1752" s="3684"/>
      <c r="I1752" s="3684"/>
      <c r="J1752" s="5060"/>
      <c r="K1752" s="3684"/>
      <c r="L1752" s="5060"/>
      <c r="M1752" s="3684"/>
      <c r="N1752" s="3684"/>
      <c r="O1752" s="3684"/>
      <c r="P1752" s="3684"/>
      <c r="Q1752" s="3684"/>
      <c r="R1752" s="3684"/>
      <c r="S1752" s="3684"/>
      <c r="T1752" s="3684"/>
      <c r="U1752" s="3684"/>
      <c r="V1752" s="3684"/>
      <c r="W1752" s="3684"/>
      <c r="X1752" s="3684"/>
      <c r="Y1752" s="3684"/>
      <c r="Z1752" s="3684"/>
      <c r="AA1752" s="3684"/>
      <c r="AB1752" s="3684"/>
      <c r="AC1752" s="3684"/>
      <c r="AD1752" s="2139"/>
      <c r="AE1752" s="2139"/>
      <c r="AF1752" s="3684"/>
      <c r="AG1752" s="3684">
        <f>SUM(BA1752:BN1753)</f>
        <v>891046.03</v>
      </c>
      <c r="AH1752" s="5060" t="s">
        <v>122</v>
      </c>
      <c r="AI1752" s="5060">
        <v>44188</v>
      </c>
      <c r="AJ1752" s="3684">
        <f>SUM(BA1752:BN1753)</f>
        <v>891046.03</v>
      </c>
      <c r="AK1752" s="5060">
        <v>44188</v>
      </c>
      <c r="AL1752" s="5060">
        <v>891046.03</v>
      </c>
      <c r="AM1752" s="5060">
        <v>44522</v>
      </c>
      <c r="AN1752" s="3684">
        <f t="shared" si="375"/>
        <v>291046.03</v>
      </c>
      <c r="AO1752" s="5060">
        <v>44554</v>
      </c>
      <c r="AP1752" s="3684">
        <f>AG1752-(AN1752+AN1753)</f>
        <v>0</v>
      </c>
      <c r="AQ1752" s="5388"/>
      <c r="AR1752" s="3684"/>
      <c r="AS1752" s="5060"/>
      <c r="AT1752" s="3684"/>
      <c r="AU1752" s="3684"/>
      <c r="AV1752" s="3684"/>
      <c r="AW1752" s="3684"/>
      <c r="AX1752" s="3684"/>
      <c r="AY1752" s="3684"/>
      <c r="AZ1752" s="3684"/>
      <c r="BA1752" s="3684"/>
      <c r="BB1752" s="3684"/>
      <c r="BC1752" s="3684"/>
      <c r="BD1752" s="3684"/>
      <c r="BE1752" s="3684"/>
      <c r="BF1752" s="3684"/>
      <c r="BG1752" s="3684"/>
      <c r="BH1752" s="5060">
        <v>891046.03</v>
      </c>
      <c r="BI1752" s="3684"/>
      <c r="BJ1752" s="3684"/>
      <c r="BK1752" s="3684"/>
      <c r="BL1752" s="3684"/>
      <c r="BM1752" s="3684"/>
      <c r="BN1752" s="3684"/>
      <c r="BO1752" s="3708"/>
      <c r="BP1752" s="3708"/>
      <c r="BQ1752" s="3708"/>
      <c r="BR1752" s="3708"/>
      <c r="BS1752" s="3708"/>
      <c r="BT1752" s="3708"/>
      <c r="BU1752" s="3708"/>
      <c r="BV1752" s="5060">
        <v>291046.03</v>
      </c>
      <c r="BW1752" s="3708"/>
      <c r="BX1752" s="3708"/>
      <c r="BY1752" s="3708"/>
      <c r="BZ1752" s="3708"/>
      <c r="CA1752" s="3708"/>
      <c r="CB1752" s="3708"/>
      <c r="CC1752" s="3662"/>
      <c r="CD1752" s="3662"/>
      <c r="CE1752" s="5920"/>
      <c r="CF1752" s="5920"/>
      <c r="CG1752" s="5920"/>
      <c r="CH1752" s="5920"/>
    </row>
    <row r="1753" s="4981" customFormat="1" spans="1:86">
      <c r="A1753" s="3812"/>
      <c r="B1753" s="3684"/>
      <c r="C1753" s="3684"/>
      <c r="D1753" s="5060"/>
      <c r="E1753" s="3684"/>
      <c r="F1753" s="6072"/>
      <c r="G1753" s="5060"/>
      <c r="H1753" s="3684"/>
      <c r="I1753" s="3684"/>
      <c r="J1753" s="5060"/>
      <c r="K1753" s="3684"/>
      <c r="L1753" s="5060"/>
      <c r="M1753" s="3684"/>
      <c r="N1753" s="3684"/>
      <c r="O1753" s="3684"/>
      <c r="P1753" s="3684"/>
      <c r="Q1753" s="3684"/>
      <c r="R1753" s="3684"/>
      <c r="S1753" s="3684"/>
      <c r="T1753" s="3684"/>
      <c r="U1753" s="3684"/>
      <c r="V1753" s="3684"/>
      <c r="W1753" s="3684"/>
      <c r="X1753" s="3684"/>
      <c r="Y1753" s="3684"/>
      <c r="Z1753" s="3684"/>
      <c r="AA1753" s="3684"/>
      <c r="AB1753" s="3684"/>
      <c r="AC1753" s="3684"/>
      <c r="AD1753" s="2139"/>
      <c r="AE1753" s="2139"/>
      <c r="AF1753" s="3684"/>
      <c r="AG1753" s="3684"/>
      <c r="AH1753" s="5060"/>
      <c r="AI1753" s="5060"/>
      <c r="AJ1753" s="3684"/>
      <c r="AK1753" s="5060"/>
      <c r="AL1753" s="5060"/>
      <c r="AM1753" s="5060"/>
      <c r="AN1753" s="3684">
        <f t="shared" si="375"/>
        <v>600000</v>
      </c>
      <c r="AO1753" s="5060">
        <v>44587</v>
      </c>
      <c r="AP1753" s="3684"/>
      <c r="AQ1753" s="5341"/>
      <c r="AR1753" s="3684"/>
      <c r="AS1753" s="5055"/>
      <c r="AT1753" s="3684"/>
      <c r="AU1753" s="3684"/>
      <c r="AV1753" s="3684"/>
      <c r="AW1753" s="3684"/>
      <c r="AX1753" s="3684"/>
      <c r="AY1753" s="3684"/>
      <c r="AZ1753" s="3684"/>
      <c r="BA1753" s="3684"/>
      <c r="BB1753" s="3684"/>
      <c r="BC1753" s="3684"/>
      <c r="BD1753" s="3684"/>
      <c r="BE1753" s="3684"/>
      <c r="BF1753" s="3684"/>
      <c r="BG1753" s="3684"/>
      <c r="BH1753" s="5060"/>
      <c r="BI1753" s="3684"/>
      <c r="BJ1753" s="3684"/>
      <c r="BK1753" s="3684"/>
      <c r="BL1753" s="3684"/>
      <c r="BM1753" s="3684"/>
      <c r="BN1753" s="3684"/>
      <c r="BO1753" s="3684"/>
      <c r="BP1753" s="3684"/>
      <c r="BQ1753" s="3684"/>
      <c r="BR1753" s="3684"/>
      <c r="BS1753" s="3684"/>
      <c r="BT1753" s="3684"/>
      <c r="BU1753" s="3684"/>
      <c r="BV1753" s="5060">
        <v>600000</v>
      </c>
      <c r="BW1753" s="3684"/>
      <c r="BX1753" s="3684"/>
      <c r="BY1753" s="3684"/>
      <c r="BZ1753" s="3684"/>
      <c r="CA1753" s="3684"/>
      <c r="CB1753" s="3684"/>
      <c r="CC1753" s="3662"/>
      <c r="CD1753" s="3662"/>
      <c r="CE1753" s="5920"/>
      <c r="CF1753" s="5920"/>
      <c r="CG1753" s="5920"/>
      <c r="CH1753" s="5920"/>
    </row>
    <row r="1754" s="4981" customFormat="1" ht="20" customHeight="1" spans="1:86">
      <c r="A1754" s="3812"/>
      <c r="B1754" s="3684"/>
      <c r="C1754" s="3684"/>
      <c r="D1754" s="5060"/>
      <c r="E1754" s="3684"/>
      <c r="F1754" s="6072"/>
      <c r="G1754" s="5060"/>
      <c r="H1754" s="3684"/>
      <c r="I1754" s="3684"/>
      <c r="J1754" s="5060"/>
      <c r="K1754" s="3684"/>
      <c r="L1754" s="5060"/>
      <c r="M1754" s="3684"/>
      <c r="N1754" s="3684"/>
      <c r="O1754" s="3684"/>
      <c r="P1754" s="3684"/>
      <c r="Q1754" s="3684"/>
      <c r="R1754" s="3684"/>
      <c r="S1754" s="3684"/>
      <c r="T1754" s="3684"/>
      <c r="U1754" s="3684"/>
      <c r="V1754" s="3684"/>
      <c r="W1754" s="3684"/>
      <c r="X1754" s="3684"/>
      <c r="Y1754" s="3684"/>
      <c r="Z1754" s="3684"/>
      <c r="AA1754" s="3684"/>
      <c r="AB1754" s="3684"/>
      <c r="AC1754" s="3684" t="s">
        <v>1113</v>
      </c>
      <c r="AD1754" s="2139" t="s">
        <v>2567</v>
      </c>
      <c r="AE1754" s="2139">
        <v>0.5</v>
      </c>
      <c r="AF1754" s="3684">
        <f>AE1754*M1751</f>
        <v>1473967.495</v>
      </c>
      <c r="AG1754" s="3684">
        <f>SUM(BA1754:BN1754)</f>
        <v>583554.37</v>
      </c>
      <c r="AH1754" s="5060" t="s">
        <v>122</v>
      </c>
      <c r="AI1754" s="5060">
        <v>44160</v>
      </c>
      <c r="AJ1754" s="3684">
        <f>SUM(BD1754:BQ1754)</f>
        <v>583554.37</v>
      </c>
      <c r="AK1754" s="5060">
        <v>44160</v>
      </c>
      <c r="AL1754" s="5060">
        <v>583554.37</v>
      </c>
      <c r="AM1754" s="5060">
        <v>44337</v>
      </c>
      <c r="AN1754" s="3684">
        <f t="shared" si="375"/>
        <v>583554.37</v>
      </c>
      <c r="AO1754" s="5060">
        <v>44457</v>
      </c>
      <c r="AP1754" s="3684">
        <f>AG1754-AN1754</f>
        <v>0</v>
      </c>
      <c r="AQ1754" s="5341"/>
      <c r="AR1754" s="3684"/>
      <c r="AS1754" s="5060"/>
      <c r="AT1754" s="3684"/>
      <c r="AU1754" s="3684"/>
      <c r="AV1754" s="3684"/>
      <c r="AW1754" s="3684"/>
      <c r="AX1754" s="3684"/>
      <c r="AY1754" s="3684"/>
      <c r="AZ1754" s="3684"/>
      <c r="BA1754" s="3684"/>
      <c r="BB1754" s="3684"/>
      <c r="BC1754" s="3684"/>
      <c r="BD1754" s="3684"/>
      <c r="BE1754" s="3684"/>
      <c r="BF1754" s="3684"/>
      <c r="BG1754" s="3684"/>
      <c r="BH1754" s="5060">
        <v>583554.37</v>
      </c>
      <c r="BI1754" s="3684"/>
      <c r="BJ1754" s="3684"/>
      <c r="BK1754" s="3684"/>
      <c r="BL1754" s="3684"/>
      <c r="BM1754" s="3684"/>
      <c r="BN1754" s="3684"/>
      <c r="BO1754" s="3708"/>
      <c r="BP1754" s="3708"/>
      <c r="BQ1754" s="3708"/>
      <c r="BR1754" s="3708"/>
      <c r="BS1754" s="3708"/>
      <c r="BT1754" s="3708"/>
      <c r="BU1754" s="3708"/>
      <c r="BV1754" s="5060">
        <v>583554.37</v>
      </c>
      <c r="BW1754" s="3708"/>
      <c r="BX1754" s="3708"/>
      <c r="BY1754" s="3708"/>
      <c r="BZ1754" s="3708"/>
      <c r="CA1754" s="3708"/>
      <c r="CB1754" s="3708"/>
      <c r="CC1754" s="3662"/>
      <c r="CD1754" s="3662"/>
      <c r="CE1754" s="5920"/>
      <c r="CF1754" s="5920"/>
      <c r="CG1754" s="5920"/>
      <c r="CH1754" s="5920"/>
    </row>
    <row r="1755" s="4981" customFormat="1" ht="20" customHeight="1" spans="1:86">
      <c r="A1755" s="3812"/>
      <c r="B1755" s="3684"/>
      <c r="C1755" s="3684"/>
      <c r="D1755" s="5060"/>
      <c r="E1755" s="3684"/>
      <c r="F1755" s="6072"/>
      <c r="G1755" s="5060"/>
      <c r="H1755" s="3684"/>
      <c r="I1755" s="3684"/>
      <c r="J1755" s="5060"/>
      <c r="K1755" s="3684"/>
      <c r="L1755" s="5060"/>
      <c r="M1755" s="3684"/>
      <c r="N1755" s="3684"/>
      <c r="O1755" s="3684"/>
      <c r="P1755" s="3684"/>
      <c r="Q1755" s="3684"/>
      <c r="R1755" s="3684"/>
      <c r="S1755" s="3684"/>
      <c r="T1755" s="3684"/>
      <c r="U1755" s="3684"/>
      <c r="V1755" s="3684"/>
      <c r="W1755" s="3684"/>
      <c r="X1755" s="3684"/>
      <c r="Y1755" s="3684"/>
      <c r="Z1755" s="3684"/>
      <c r="AA1755" s="3684"/>
      <c r="AB1755" s="3684"/>
      <c r="AC1755" s="3684"/>
      <c r="AD1755" s="2139"/>
      <c r="AE1755" s="2139"/>
      <c r="AF1755" s="3684"/>
      <c r="AG1755" s="3684">
        <f>SUM(BA1755:BN1757)</f>
        <v>889780.22</v>
      </c>
      <c r="AH1755" s="5060" t="s">
        <v>122</v>
      </c>
      <c r="AI1755" s="5060">
        <v>44530</v>
      </c>
      <c r="AJ1755" s="5060">
        <v>889780.22</v>
      </c>
      <c r="AK1755" s="5060">
        <v>44530</v>
      </c>
      <c r="AL1755" s="3684">
        <v>889780.22</v>
      </c>
      <c r="AM1755" s="5060">
        <v>44869</v>
      </c>
      <c r="AN1755" s="3684">
        <f t="shared" si="375"/>
        <v>300000</v>
      </c>
      <c r="AO1755" s="5060">
        <v>44895</v>
      </c>
      <c r="AP1755" s="3684">
        <f>AG1755-AN1755:AN1757</f>
        <v>589780.22</v>
      </c>
      <c r="AQ1755" s="5341"/>
      <c r="AR1755" s="3684"/>
      <c r="AS1755" s="5060"/>
      <c r="AT1755" s="3684"/>
      <c r="AU1755" s="3684"/>
      <c r="AV1755" s="3684"/>
      <c r="AW1755" s="3684"/>
      <c r="AX1755" s="3684"/>
      <c r="AY1755" s="3684"/>
      <c r="AZ1755" s="3684"/>
      <c r="BA1755" s="3684"/>
      <c r="BB1755" s="3684"/>
      <c r="BC1755" s="3684"/>
      <c r="BD1755" s="3684"/>
      <c r="BE1755" s="3684"/>
      <c r="BF1755" s="3684"/>
      <c r="BG1755" s="3684"/>
      <c r="BH1755" s="5060">
        <v>889780.22</v>
      </c>
      <c r="BI1755" s="3684"/>
      <c r="BJ1755" s="3684"/>
      <c r="BK1755" s="3684"/>
      <c r="BL1755" s="3684"/>
      <c r="BM1755" s="3684"/>
      <c r="BN1755" s="3684"/>
      <c r="BO1755" s="3708"/>
      <c r="BP1755" s="3708"/>
      <c r="BQ1755" s="3708"/>
      <c r="BR1755" s="3708"/>
      <c r="BS1755" s="3708"/>
      <c r="BT1755" s="3708"/>
      <c r="BU1755" s="3708"/>
      <c r="BV1755" s="5060">
        <v>300000</v>
      </c>
      <c r="BW1755" s="3708"/>
      <c r="BX1755" s="3708"/>
      <c r="BY1755" s="3708"/>
      <c r="BZ1755" s="3708"/>
      <c r="CA1755" s="3708"/>
      <c r="CB1755" s="3708"/>
      <c r="CC1755" s="3662"/>
      <c r="CD1755" s="3662"/>
      <c r="CE1755" s="5920"/>
      <c r="CF1755" s="5920"/>
      <c r="CG1755" s="5920"/>
      <c r="CH1755" s="5920"/>
    </row>
    <row r="1756" s="4981" customFormat="1" ht="20" customHeight="1" spans="1:86">
      <c r="A1756" s="3812"/>
      <c r="B1756" s="3684"/>
      <c r="C1756" s="3684"/>
      <c r="D1756" s="5060"/>
      <c r="E1756" s="3684"/>
      <c r="F1756" s="6072"/>
      <c r="G1756" s="5060"/>
      <c r="H1756" s="3684"/>
      <c r="I1756" s="3684"/>
      <c r="J1756" s="5060"/>
      <c r="K1756" s="3684"/>
      <c r="L1756" s="5060"/>
      <c r="M1756" s="3684"/>
      <c r="N1756" s="3684"/>
      <c r="O1756" s="3684"/>
      <c r="P1756" s="3684"/>
      <c r="Q1756" s="3684"/>
      <c r="R1756" s="3684"/>
      <c r="S1756" s="3684"/>
      <c r="T1756" s="3684"/>
      <c r="U1756" s="3684"/>
      <c r="V1756" s="3684"/>
      <c r="W1756" s="3684"/>
      <c r="X1756" s="3684"/>
      <c r="Y1756" s="3684"/>
      <c r="Z1756" s="3684"/>
      <c r="AA1756" s="3684"/>
      <c r="AB1756" s="3684"/>
      <c r="AC1756" s="3684"/>
      <c r="AD1756" s="2139"/>
      <c r="AE1756" s="2139"/>
      <c r="AF1756" s="3684"/>
      <c r="AG1756" s="3684"/>
      <c r="AH1756" s="5060"/>
      <c r="AI1756" s="5060"/>
      <c r="AJ1756" s="5060"/>
      <c r="AK1756" s="5060"/>
      <c r="AL1756" s="3684"/>
      <c r="AM1756" s="5060"/>
      <c r="AN1756" s="3684">
        <f t="shared" si="375"/>
        <v>300000</v>
      </c>
      <c r="AO1756" s="5060">
        <v>45050</v>
      </c>
      <c r="AP1756" s="3684"/>
      <c r="AQ1756" s="5341"/>
      <c r="AR1756" s="3684"/>
      <c r="AS1756" s="5055" t="s">
        <v>426</v>
      </c>
      <c r="AT1756" s="3684"/>
      <c r="AU1756" s="3684"/>
      <c r="AV1756" s="3684"/>
      <c r="AW1756" s="3684"/>
      <c r="AX1756" s="3684"/>
      <c r="AY1756" s="3684"/>
      <c r="AZ1756" s="3684"/>
      <c r="BA1756" s="3684"/>
      <c r="BB1756" s="3684"/>
      <c r="BC1756" s="3684"/>
      <c r="BD1756" s="3684"/>
      <c r="BE1756" s="3684"/>
      <c r="BF1756" s="3684"/>
      <c r="BG1756" s="3684"/>
      <c r="BH1756" s="5060"/>
      <c r="BI1756" s="3684"/>
      <c r="BJ1756" s="3684"/>
      <c r="BK1756" s="3684"/>
      <c r="BL1756" s="3684"/>
      <c r="BM1756" s="3684"/>
      <c r="BN1756" s="3684"/>
      <c r="BO1756" s="3708"/>
      <c r="BP1756" s="3708"/>
      <c r="BQ1756" s="3708"/>
      <c r="BR1756" s="3708"/>
      <c r="BS1756" s="3708"/>
      <c r="BT1756" s="3708"/>
      <c r="BU1756" s="3708"/>
      <c r="BV1756" s="5060">
        <v>300000</v>
      </c>
      <c r="BW1756" s="3708"/>
      <c r="BX1756" s="3708"/>
      <c r="BY1756" s="3708"/>
      <c r="BZ1756" s="3708"/>
      <c r="CA1756" s="3708"/>
      <c r="CB1756" s="3708"/>
      <c r="CC1756" s="3662"/>
      <c r="CD1756" s="3662"/>
      <c r="CE1756" s="5920"/>
      <c r="CF1756" s="5920"/>
      <c r="CG1756" s="5920"/>
      <c r="CH1756" s="5920"/>
    </row>
    <row r="1757" s="4981" customFormat="1" ht="20" customHeight="1" spans="1:86">
      <c r="A1757" s="3812"/>
      <c r="B1757" s="3684"/>
      <c r="C1757" s="3684"/>
      <c r="D1757" s="5060"/>
      <c r="E1757" s="3684"/>
      <c r="F1757" s="6072"/>
      <c r="G1757" s="5060"/>
      <c r="H1757" s="3684"/>
      <c r="I1757" s="3684"/>
      <c r="J1757" s="5060"/>
      <c r="K1757" s="3684"/>
      <c r="L1757" s="5060"/>
      <c r="M1757" s="3684"/>
      <c r="N1757" s="3684"/>
      <c r="O1757" s="3684"/>
      <c r="P1757" s="3684"/>
      <c r="Q1757" s="3684"/>
      <c r="R1757" s="3684"/>
      <c r="S1757" s="3684"/>
      <c r="T1757" s="3684"/>
      <c r="U1757" s="3684"/>
      <c r="V1757" s="3684"/>
      <c r="W1757" s="3684"/>
      <c r="X1757" s="3684"/>
      <c r="Y1757" s="3684"/>
      <c r="Z1757" s="3684"/>
      <c r="AA1757" s="3684"/>
      <c r="AB1757" s="3684"/>
      <c r="AC1757" s="3684"/>
      <c r="AD1757" s="6792"/>
      <c r="AE1757" s="2139"/>
      <c r="AF1757" s="3684"/>
      <c r="AG1757" s="3684"/>
      <c r="AH1757" s="5060"/>
      <c r="AI1757" s="5060"/>
      <c r="AJ1757" s="5060"/>
      <c r="AK1757" s="5060"/>
      <c r="AL1757" s="3684"/>
      <c r="AM1757" s="5060"/>
      <c r="AN1757" s="3684">
        <f t="shared" si="375"/>
        <v>289780.22</v>
      </c>
      <c r="AO1757" s="5060">
        <v>45077</v>
      </c>
      <c r="AP1757" s="3684"/>
      <c r="AQ1757" s="5341"/>
      <c r="AR1757" s="3684" t="s">
        <v>1037</v>
      </c>
      <c r="AS1757" s="5060"/>
      <c r="AT1757" s="3684"/>
      <c r="AU1757" s="3684"/>
      <c r="AV1757" s="3684"/>
      <c r="AW1757" s="3684"/>
      <c r="AX1757" s="3684"/>
      <c r="AY1757" s="3684"/>
      <c r="AZ1757" s="3684"/>
      <c r="BA1757" s="3684"/>
      <c r="BB1757" s="3684"/>
      <c r="BC1757" s="3684"/>
      <c r="BD1757" s="3684"/>
      <c r="BE1757" s="3684"/>
      <c r="BF1757" s="3684"/>
      <c r="BG1757" s="3684"/>
      <c r="BH1757" s="5060"/>
      <c r="BI1757" s="3684"/>
      <c r="BJ1757" s="3684"/>
      <c r="BK1757" s="3684"/>
      <c r="BL1757" s="3684"/>
      <c r="BM1757" s="3684"/>
      <c r="BN1757" s="3684"/>
      <c r="BO1757" s="3684"/>
      <c r="BP1757" s="3684"/>
      <c r="BQ1757" s="3684"/>
      <c r="BR1757" s="3684"/>
      <c r="BS1757" s="3684"/>
      <c r="BT1757" s="3684"/>
      <c r="BU1757" s="3684"/>
      <c r="BV1757" s="3684">
        <v>289780.22</v>
      </c>
      <c r="BW1757" s="3684"/>
      <c r="BX1757" s="3684"/>
      <c r="BY1757" s="3684"/>
      <c r="BZ1757" s="3684"/>
      <c r="CA1757" s="3684"/>
      <c r="CB1757" s="3684"/>
      <c r="CC1757" s="3662"/>
      <c r="CD1757" s="3662"/>
      <c r="CE1757" s="5920"/>
      <c r="CF1757" s="5920"/>
      <c r="CG1757" s="5920"/>
      <c r="CH1757" s="5920"/>
    </row>
    <row r="1758" s="4992" customFormat="1" ht="46" spans="1:86">
      <c r="A1758" s="2678">
        <v>21</v>
      </c>
      <c r="B1758" s="3684" t="s">
        <v>3079</v>
      </c>
      <c r="C1758" s="3684">
        <v>43642</v>
      </c>
      <c r="D1758" s="5055" t="s">
        <v>3112</v>
      </c>
      <c r="E1758" s="3684" t="s">
        <v>113</v>
      </c>
      <c r="F1758" s="5060" t="s">
        <v>3113</v>
      </c>
      <c r="G1758" s="5060" t="s">
        <v>3114</v>
      </c>
      <c r="H1758" s="3684" t="s">
        <v>31</v>
      </c>
      <c r="I1758" s="3684"/>
      <c r="J1758" s="5060" t="s">
        <v>3087</v>
      </c>
      <c r="K1758" s="3684">
        <v>221352</v>
      </c>
      <c r="L1758" s="5060" t="s">
        <v>3095</v>
      </c>
      <c r="M1758" s="3684">
        <f>SUM(N1758:AA1762)</f>
        <v>1549464</v>
      </c>
      <c r="N1758" s="2678">
        <v>0</v>
      </c>
      <c r="O1758" s="2678">
        <v>0</v>
      </c>
      <c r="P1758" s="2678">
        <v>0</v>
      </c>
      <c r="Q1758" s="2678">
        <v>0</v>
      </c>
      <c r="R1758" s="2678">
        <v>0</v>
      </c>
      <c r="S1758" s="2678">
        <v>0</v>
      </c>
      <c r="T1758" s="5823">
        <v>0</v>
      </c>
      <c r="U1758" s="2678">
        <v>1549464</v>
      </c>
      <c r="V1758" s="2678">
        <v>0</v>
      </c>
      <c r="W1758" s="2678">
        <v>0</v>
      </c>
      <c r="X1758" s="2678">
        <v>0</v>
      </c>
      <c r="Y1758" s="2678">
        <v>0</v>
      </c>
      <c r="Z1758" s="2678"/>
      <c r="AA1758" s="2678">
        <v>0</v>
      </c>
      <c r="AB1758" s="2678" t="s">
        <v>171</v>
      </c>
      <c r="AC1758" s="3684" t="s">
        <v>1110</v>
      </c>
      <c r="AD1758" s="6792" t="s">
        <v>3115</v>
      </c>
      <c r="AE1758" s="2139">
        <v>0.2</v>
      </c>
      <c r="AF1758" s="3684">
        <f>U1758*AE1758</f>
        <v>309892.8</v>
      </c>
      <c r="AG1758" s="3684">
        <f>SUM(BA1758:BN1758)</f>
        <v>309892.8</v>
      </c>
      <c r="AH1758" s="5060" t="s">
        <v>206</v>
      </c>
      <c r="AI1758" s="3684">
        <v>43657</v>
      </c>
      <c r="AJ1758" s="3684">
        <v>309892.8</v>
      </c>
      <c r="AK1758" s="3684" t="s">
        <v>171</v>
      </c>
      <c r="AL1758" s="3684">
        <v>309892.8</v>
      </c>
      <c r="AM1758" s="3684">
        <v>43678</v>
      </c>
      <c r="AN1758" s="3684">
        <f t="shared" si="375"/>
        <v>309892.8</v>
      </c>
      <c r="AO1758" s="3684">
        <v>43709</v>
      </c>
      <c r="AP1758" s="3684">
        <f>AG1758-AN1758</f>
        <v>0</v>
      </c>
      <c r="AQ1758" s="3814" t="s">
        <v>1463</v>
      </c>
      <c r="AR1758" s="3684" t="s">
        <v>1037</v>
      </c>
      <c r="AS1758" s="5060"/>
      <c r="AT1758" s="3684">
        <v>43678</v>
      </c>
      <c r="AU1758" s="2678">
        <f>SUM(AG1758:AG1761)</f>
        <v>1549464</v>
      </c>
      <c r="AV1758" s="2678">
        <f>SUM(AL1758:AL1761)</f>
        <v>1526720.58</v>
      </c>
      <c r="AW1758" s="2678">
        <f>SUBTOTAL(9,AN1758:AN1762)</f>
        <v>1526720.58</v>
      </c>
      <c r="AX1758" s="2678">
        <f>M1758-AU1758</f>
        <v>0</v>
      </c>
      <c r="AY1758" s="2678">
        <f>AU1758-AV1758</f>
        <v>22743.4199999999</v>
      </c>
      <c r="AZ1758" s="2678">
        <f>AV1758-AW1758</f>
        <v>0</v>
      </c>
      <c r="BA1758" s="3684"/>
      <c r="BB1758" s="3684"/>
      <c r="BC1758" s="3684"/>
      <c r="BD1758" s="3684"/>
      <c r="BE1758" s="3684"/>
      <c r="BF1758" s="3684"/>
      <c r="BG1758" s="3684"/>
      <c r="BH1758" s="3684">
        <v>309892.8</v>
      </c>
      <c r="BI1758" s="3684"/>
      <c r="BJ1758" s="3684"/>
      <c r="BK1758" s="3684"/>
      <c r="BL1758" s="3684"/>
      <c r="BM1758" s="3684"/>
      <c r="BN1758" s="3684"/>
      <c r="BO1758" s="3684"/>
      <c r="BP1758" s="3684"/>
      <c r="BQ1758" s="3684"/>
      <c r="BR1758" s="3684"/>
      <c r="BS1758" s="3684"/>
      <c r="BT1758" s="3684"/>
      <c r="BU1758" s="3684"/>
      <c r="BV1758" s="3684">
        <v>309892.8</v>
      </c>
      <c r="BW1758" s="3684"/>
      <c r="BX1758" s="3684"/>
      <c r="BY1758" s="3684"/>
      <c r="BZ1758" s="3684"/>
      <c r="CA1758" s="3684"/>
      <c r="CB1758" s="3684"/>
      <c r="CC1758" s="3662" t="s">
        <v>1112</v>
      </c>
      <c r="CD1758" s="3662" t="s">
        <v>154</v>
      </c>
      <c r="CE1758" s="6802"/>
      <c r="CF1758" s="6802"/>
      <c r="CG1758" s="6802"/>
      <c r="CH1758" s="6802"/>
    </row>
    <row r="1759" s="4992" customFormat="1" ht="31" spans="1:86">
      <c r="A1759" s="2678"/>
      <c r="B1759" s="3684"/>
      <c r="C1759" s="3684"/>
      <c r="D1759" s="5060"/>
      <c r="E1759" s="3684"/>
      <c r="F1759" s="5060"/>
      <c r="G1759" s="5060"/>
      <c r="H1759" s="3684"/>
      <c r="I1759" s="3684"/>
      <c r="J1759" s="5060"/>
      <c r="K1759" s="3684"/>
      <c r="L1759" s="5060"/>
      <c r="M1759" s="3684"/>
      <c r="N1759" s="2678"/>
      <c r="O1759" s="2678"/>
      <c r="P1759" s="2678"/>
      <c r="Q1759" s="2678"/>
      <c r="R1759" s="2678"/>
      <c r="S1759" s="2678"/>
      <c r="T1759" s="2678"/>
      <c r="U1759" s="2678"/>
      <c r="V1759" s="2678"/>
      <c r="W1759" s="2678"/>
      <c r="X1759" s="2678"/>
      <c r="Y1759" s="2678"/>
      <c r="Z1759" s="2678"/>
      <c r="AA1759" s="2678"/>
      <c r="AB1759" s="2678"/>
      <c r="AC1759" s="3684" t="s">
        <v>1113</v>
      </c>
      <c r="AD1759" s="6792" t="s">
        <v>3097</v>
      </c>
      <c r="AE1759" s="2139">
        <v>0.3</v>
      </c>
      <c r="AF1759" s="3684">
        <f>AE1759*U1758</f>
        <v>464839.2</v>
      </c>
      <c r="AG1759" s="3684">
        <f>SUM(BA1759:BN1759)</f>
        <v>464839.2</v>
      </c>
      <c r="AH1759" s="5060" t="s">
        <v>206</v>
      </c>
      <c r="AI1759" s="3684">
        <v>43657</v>
      </c>
      <c r="AJ1759" s="3684">
        <v>464839.2</v>
      </c>
      <c r="AK1759" s="3684" t="s">
        <v>171</v>
      </c>
      <c r="AL1759" s="3684">
        <v>464839.2</v>
      </c>
      <c r="AM1759" s="3684">
        <v>43678</v>
      </c>
      <c r="AN1759" s="3684">
        <f t="shared" si="375"/>
        <v>464839.2</v>
      </c>
      <c r="AO1759" s="3684">
        <v>43709</v>
      </c>
      <c r="AP1759" s="3684">
        <f>AG1759-AN1759</f>
        <v>0</v>
      </c>
      <c r="AQ1759" s="3684"/>
      <c r="AR1759" s="3684" t="s">
        <v>1037</v>
      </c>
      <c r="AS1759" s="5060"/>
      <c r="AT1759" s="3684">
        <v>43678</v>
      </c>
      <c r="AU1759" s="2678"/>
      <c r="AV1759" s="2678"/>
      <c r="AW1759" s="2678"/>
      <c r="AX1759" s="2678"/>
      <c r="AY1759" s="2678"/>
      <c r="AZ1759" s="2678"/>
      <c r="BA1759" s="3684"/>
      <c r="BB1759" s="3684"/>
      <c r="BC1759" s="3684"/>
      <c r="BD1759" s="3684"/>
      <c r="BE1759" s="3684"/>
      <c r="BF1759" s="3684"/>
      <c r="BG1759" s="3684"/>
      <c r="BH1759" s="3684">
        <v>464839.2</v>
      </c>
      <c r="BI1759" s="3684"/>
      <c r="BJ1759" s="3684"/>
      <c r="BK1759" s="3684"/>
      <c r="BL1759" s="3684"/>
      <c r="BM1759" s="3684"/>
      <c r="BN1759" s="3684"/>
      <c r="BO1759" s="3684"/>
      <c r="BP1759" s="3684"/>
      <c r="BQ1759" s="3684"/>
      <c r="BR1759" s="3684"/>
      <c r="BS1759" s="3684"/>
      <c r="BT1759" s="3684"/>
      <c r="BU1759" s="3684"/>
      <c r="BV1759" s="3684">
        <v>464839.2</v>
      </c>
      <c r="BW1759" s="3684"/>
      <c r="BX1759" s="3684"/>
      <c r="BY1759" s="3684"/>
      <c r="BZ1759" s="3684"/>
      <c r="CA1759" s="3684"/>
      <c r="CB1759" s="3684"/>
      <c r="CC1759" s="3662"/>
      <c r="CD1759" s="3662"/>
      <c r="CE1759" s="6802"/>
      <c r="CF1759" s="6802"/>
      <c r="CG1759" s="6802"/>
      <c r="CH1759" s="6802"/>
    </row>
    <row r="1760" s="4992" customFormat="1" ht="36" customHeight="1" spans="1:86">
      <c r="A1760" s="2678"/>
      <c r="B1760" s="3684"/>
      <c r="C1760" s="3684"/>
      <c r="D1760" s="5060"/>
      <c r="E1760" s="3684"/>
      <c r="F1760" s="5060"/>
      <c r="G1760" s="5060"/>
      <c r="H1760" s="3684"/>
      <c r="I1760" s="3684"/>
      <c r="J1760" s="5060"/>
      <c r="K1760" s="3684"/>
      <c r="L1760" s="5060"/>
      <c r="M1760" s="3684"/>
      <c r="N1760" s="2678"/>
      <c r="O1760" s="2678"/>
      <c r="P1760" s="2678"/>
      <c r="Q1760" s="2678"/>
      <c r="R1760" s="2678"/>
      <c r="S1760" s="2678"/>
      <c r="T1760" s="2678"/>
      <c r="U1760" s="2678"/>
      <c r="V1760" s="2678"/>
      <c r="W1760" s="2678"/>
      <c r="X1760" s="2678"/>
      <c r="Y1760" s="2678"/>
      <c r="Z1760" s="2678"/>
      <c r="AA1760" s="2678"/>
      <c r="AB1760" s="2678"/>
      <c r="AC1760" s="3684" t="s">
        <v>1115</v>
      </c>
      <c r="AD1760" s="2139" t="s">
        <v>3116</v>
      </c>
      <c r="AE1760" s="2139">
        <v>0.5</v>
      </c>
      <c r="AF1760" s="3684">
        <f>AE1760*U1758</f>
        <v>774732</v>
      </c>
      <c r="AG1760" s="3684">
        <v>413000</v>
      </c>
      <c r="AH1760" s="3684" t="s">
        <v>206</v>
      </c>
      <c r="AI1760" s="3684">
        <v>43825</v>
      </c>
      <c r="AJ1760" s="3684">
        <v>413000</v>
      </c>
      <c r="AK1760" s="3684">
        <v>43825</v>
      </c>
      <c r="AL1760" s="3684">
        <v>413000</v>
      </c>
      <c r="AM1760" s="3684">
        <v>44019</v>
      </c>
      <c r="AN1760" s="3684">
        <f t="shared" si="375"/>
        <v>413000</v>
      </c>
      <c r="AO1760" s="3684">
        <v>44120</v>
      </c>
      <c r="AP1760" s="3684">
        <f>AG1760-AN1760</f>
        <v>0</v>
      </c>
      <c r="AQ1760" s="3684"/>
      <c r="AR1760" s="3684"/>
      <c r="AS1760" s="5060" t="s">
        <v>3117</v>
      </c>
      <c r="AT1760" s="3684">
        <v>43825</v>
      </c>
      <c r="AU1760" s="2678"/>
      <c r="AV1760" s="2678"/>
      <c r="AW1760" s="2678"/>
      <c r="AX1760" s="2678"/>
      <c r="AY1760" s="2678"/>
      <c r="AZ1760" s="2678"/>
      <c r="BA1760" s="3684"/>
      <c r="BB1760" s="3684"/>
      <c r="BC1760" s="3684"/>
      <c r="BD1760" s="3684"/>
      <c r="BE1760" s="3684"/>
      <c r="BF1760" s="3684"/>
      <c r="BG1760" s="3684"/>
      <c r="BH1760" s="3684">
        <v>413000</v>
      </c>
      <c r="BI1760" s="3684"/>
      <c r="BJ1760" s="3684"/>
      <c r="BK1760" s="3684"/>
      <c r="BL1760" s="3684"/>
      <c r="BM1760" s="3684"/>
      <c r="BN1760" s="3684"/>
      <c r="BO1760" s="3684"/>
      <c r="BP1760" s="3684"/>
      <c r="BQ1760" s="3684"/>
      <c r="BR1760" s="3684"/>
      <c r="BS1760" s="3684"/>
      <c r="BT1760" s="3684"/>
      <c r="BU1760" s="3684"/>
      <c r="BV1760" s="3684">
        <v>413000</v>
      </c>
      <c r="BW1760" s="3684"/>
      <c r="BX1760" s="3684"/>
      <c r="BY1760" s="3684"/>
      <c r="BZ1760" s="3684"/>
      <c r="CA1760" s="3684"/>
      <c r="CB1760" s="3684"/>
      <c r="CC1760" s="3662"/>
      <c r="CD1760" s="3662"/>
      <c r="CE1760" s="6802"/>
      <c r="CF1760" s="6802"/>
      <c r="CG1760" s="6802"/>
      <c r="CH1760" s="6802"/>
    </row>
    <row r="1761" s="4992" customFormat="1" ht="36" customHeight="1" spans="1:86">
      <c r="A1761" s="2678"/>
      <c r="B1761" s="3684"/>
      <c r="C1761" s="3684"/>
      <c r="D1761" s="5060"/>
      <c r="E1761" s="3684"/>
      <c r="F1761" s="5060"/>
      <c r="G1761" s="5060"/>
      <c r="H1761" s="3684"/>
      <c r="I1761" s="3684"/>
      <c r="J1761" s="5060"/>
      <c r="K1761" s="3684"/>
      <c r="L1761" s="5060"/>
      <c r="M1761" s="3684"/>
      <c r="N1761" s="2678"/>
      <c r="O1761" s="2678"/>
      <c r="P1761" s="2678"/>
      <c r="Q1761" s="2678"/>
      <c r="R1761" s="2678"/>
      <c r="S1761" s="2678"/>
      <c r="T1761" s="2678"/>
      <c r="U1761" s="2678"/>
      <c r="V1761" s="2678"/>
      <c r="W1761" s="2678"/>
      <c r="X1761" s="2678"/>
      <c r="Y1761" s="2678"/>
      <c r="Z1761" s="2678"/>
      <c r="AA1761" s="2678"/>
      <c r="AB1761" s="2678"/>
      <c r="AC1761" s="3684"/>
      <c r="AD1761" s="2139"/>
      <c r="AE1761" s="2139"/>
      <c r="AF1761" s="3684"/>
      <c r="AG1761" s="3684">
        <f>SUBTOTAL(9,BA1761:BN1761)</f>
        <v>361732</v>
      </c>
      <c r="AH1761" s="5060" t="s">
        <v>122</v>
      </c>
      <c r="AI1761" s="3684">
        <v>43825</v>
      </c>
      <c r="AJ1761" s="3684">
        <v>361732</v>
      </c>
      <c r="AK1761" s="3684">
        <v>43825</v>
      </c>
      <c r="AL1761" s="3814">
        <v>338988.58</v>
      </c>
      <c r="AM1761" s="3684">
        <v>44708</v>
      </c>
      <c r="AN1761" s="3684">
        <f>SUM(BO1761:CB1762)</f>
        <v>338988.58</v>
      </c>
      <c r="AO1761" s="3684">
        <v>44773</v>
      </c>
      <c r="AP1761" s="3684">
        <f>AG1761-AN1761</f>
        <v>22743.42</v>
      </c>
      <c r="AQ1761" s="3684"/>
      <c r="AR1761" s="3684"/>
      <c r="AS1761" s="5060"/>
      <c r="AT1761" s="3684"/>
      <c r="AU1761" s="2678"/>
      <c r="AV1761" s="2678"/>
      <c r="AW1761" s="2678"/>
      <c r="AX1761" s="2678"/>
      <c r="AY1761" s="2678"/>
      <c r="AZ1761" s="2678"/>
      <c r="BA1761" s="3684"/>
      <c r="BB1761" s="3684"/>
      <c r="BC1761" s="3684"/>
      <c r="BD1761" s="3684"/>
      <c r="BE1761" s="3684"/>
      <c r="BF1761" s="3684"/>
      <c r="BG1761" s="3684"/>
      <c r="BH1761" s="3684">
        <v>361732</v>
      </c>
      <c r="BI1761" s="3684"/>
      <c r="BJ1761" s="3684"/>
      <c r="BK1761" s="3684"/>
      <c r="BL1761" s="3684"/>
      <c r="BM1761" s="3684"/>
      <c r="BN1761" s="3684"/>
      <c r="BO1761" s="3684"/>
      <c r="BP1761" s="3684"/>
      <c r="BQ1761" s="3708"/>
      <c r="BR1761" s="3708"/>
      <c r="BS1761" s="3708"/>
      <c r="BT1761" s="3708"/>
      <c r="BU1761" s="3708"/>
      <c r="BV1761" s="3708">
        <v>361732</v>
      </c>
      <c r="BW1761" s="3708"/>
      <c r="BX1761" s="3708"/>
      <c r="BY1761" s="3684"/>
      <c r="BZ1761" s="3684"/>
      <c r="CA1761" s="3684"/>
      <c r="CB1761" s="3684"/>
      <c r="CC1761" s="3662"/>
      <c r="CD1761" s="3662"/>
      <c r="CE1761" s="6802"/>
      <c r="CF1761" s="6802"/>
      <c r="CG1761" s="6802"/>
      <c r="CH1761" s="6802"/>
    </row>
    <row r="1762" s="4992" customFormat="1" ht="36" customHeight="1" spans="1:86">
      <c r="A1762" s="2678"/>
      <c r="B1762" s="3684"/>
      <c r="C1762" s="3684"/>
      <c r="D1762" s="5060"/>
      <c r="E1762" s="3684"/>
      <c r="F1762" s="5060"/>
      <c r="G1762" s="5060"/>
      <c r="H1762" s="3684"/>
      <c r="I1762" s="3684"/>
      <c r="J1762" s="5060"/>
      <c r="K1762" s="3684"/>
      <c r="L1762" s="5060"/>
      <c r="M1762" s="3684"/>
      <c r="N1762" s="2678"/>
      <c r="O1762" s="2678"/>
      <c r="P1762" s="2678"/>
      <c r="Q1762" s="2678"/>
      <c r="R1762" s="2678"/>
      <c r="S1762" s="2678"/>
      <c r="T1762" s="2678"/>
      <c r="U1762" s="2678"/>
      <c r="V1762" s="2678"/>
      <c r="W1762" s="2678"/>
      <c r="X1762" s="2678"/>
      <c r="Y1762" s="2678"/>
      <c r="Z1762" s="2678"/>
      <c r="AA1762" s="2678"/>
      <c r="AB1762" s="2678"/>
      <c r="AC1762" s="3684"/>
      <c r="AD1762" s="6792"/>
      <c r="AE1762" s="2139"/>
      <c r="AF1762" s="3684"/>
      <c r="AG1762" s="3684">
        <f>SUBTOTAL(9,BA1762:BN1762)</f>
        <v>-22743.42</v>
      </c>
      <c r="AH1762" s="5060"/>
      <c r="AI1762" s="3684">
        <v>44708</v>
      </c>
      <c r="AJ1762" s="3684">
        <v>-22743.42</v>
      </c>
      <c r="AK1762" s="3684">
        <v>44701</v>
      </c>
      <c r="AL1762" s="3814"/>
      <c r="AM1762" s="3684"/>
      <c r="AN1762" s="3684"/>
      <c r="AO1762" s="3684"/>
      <c r="AP1762" s="3684"/>
      <c r="AQ1762" s="3684"/>
      <c r="AR1762" s="3684" t="s">
        <v>1037</v>
      </c>
      <c r="AS1762" s="5060" t="s">
        <v>3118</v>
      </c>
      <c r="AT1762" s="3684">
        <v>43825</v>
      </c>
      <c r="AU1762" s="2678"/>
      <c r="AV1762" s="2678"/>
      <c r="AW1762" s="2678"/>
      <c r="AX1762" s="2678"/>
      <c r="AY1762" s="2678"/>
      <c r="AZ1762" s="2678"/>
      <c r="BA1762" s="3684"/>
      <c r="BB1762" s="3684"/>
      <c r="BC1762" s="3684"/>
      <c r="BD1762" s="3684"/>
      <c r="BE1762" s="3684"/>
      <c r="BF1762" s="3684"/>
      <c r="BG1762" s="3684"/>
      <c r="BH1762" s="3684">
        <v>-22743.42</v>
      </c>
      <c r="BI1762" s="3684"/>
      <c r="BJ1762" s="3684"/>
      <c r="BK1762" s="3684"/>
      <c r="BL1762" s="3684"/>
      <c r="BM1762" s="3684"/>
      <c r="BN1762" s="3684"/>
      <c r="BO1762" s="3708"/>
      <c r="BP1762" s="3708"/>
      <c r="BQ1762" s="3708"/>
      <c r="BR1762" s="3708"/>
      <c r="BS1762" s="3708"/>
      <c r="BT1762" s="3708"/>
      <c r="BU1762" s="3708"/>
      <c r="BV1762" s="3708">
        <v>-22743.42</v>
      </c>
      <c r="BW1762" s="3708"/>
      <c r="BX1762" s="3708"/>
      <c r="BY1762" s="3708"/>
      <c r="BZ1762" s="3708"/>
      <c r="CA1762" s="3708"/>
      <c r="CB1762" s="3708"/>
      <c r="CC1762" s="3662"/>
      <c r="CD1762" s="3662"/>
      <c r="CE1762" s="6802"/>
      <c r="CF1762" s="6802"/>
      <c r="CG1762" s="6802"/>
      <c r="CH1762" s="6802"/>
    </row>
    <row r="1763" ht="54.15" customHeight="1" spans="1:86">
      <c r="A1763" s="2678">
        <v>22</v>
      </c>
      <c r="B1763" s="2678" t="s">
        <v>3079</v>
      </c>
      <c r="C1763" s="2678">
        <v>43649</v>
      </c>
      <c r="D1763" s="1035" t="s">
        <v>3119</v>
      </c>
      <c r="E1763" s="2678" t="s">
        <v>113</v>
      </c>
      <c r="F1763" s="1035" t="s">
        <v>3120</v>
      </c>
      <c r="G1763" s="5667" t="s">
        <v>3121</v>
      </c>
      <c r="H1763" s="2678" t="s">
        <v>31</v>
      </c>
      <c r="I1763" s="3912"/>
      <c r="J1763" s="5667" t="s">
        <v>3122</v>
      </c>
      <c r="K1763" s="2678">
        <v>119223.67</v>
      </c>
      <c r="L1763" s="1035" t="s">
        <v>3123</v>
      </c>
      <c r="M1763" s="2678">
        <f>SUM(N1763:AA1765)</f>
        <v>834565.69</v>
      </c>
      <c r="N1763" s="2678">
        <v>0</v>
      </c>
      <c r="O1763" s="2678">
        <v>0</v>
      </c>
      <c r="P1763" s="2678">
        <v>0</v>
      </c>
      <c r="Q1763" s="2678">
        <v>0</v>
      </c>
      <c r="R1763" s="2678">
        <v>0</v>
      </c>
      <c r="S1763" s="2678">
        <v>0</v>
      </c>
      <c r="T1763" s="5823">
        <v>0</v>
      </c>
      <c r="U1763" s="2678">
        <v>834565.69</v>
      </c>
      <c r="V1763" s="2678">
        <v>0</v>
      </c>
      <c r="W1763" s="2678">
        <v>0</v>
      </c>
      <c r="X1763" s="2678">
        <v>0</v>
      </c>
      <c r="Y1763" s="2678">
        <v>0</v>
      </c>
      <c r="Z1763" s="2678"/>
      <c r="AA1763" s="2678">
        <v>0</v>
      </c>
      <c r="AB1763" s="2678">
        <v>0</v>
      </c>
      <c r="AC1763" s="5667" t="s">
        <v>1110</v>
      </c>
      <c r="AD1763" s="5853" t="s">
        <v>3124</v>
      </c>
      <c r="AE1763" s="791">
        <v>0.38</v>
      </c>
      <c r="AF1763" s="2678">
        <v>320286.68</v>
      </c>
      <c r="AG1763" s="5349">
        <f t="shared" ref="AG1763:AG1772" si="381">SUM(BA1763:BN1763)</f>
        <v>320286.68</v>
      </c>
      <c r="AH1763" s="5667" t="s">
        <v>122</v>
      </c>
      <c r="AI1763" s="2678">
        <v>43805</v>
      </c>
      <c r="AJ1763" s="2678">
        <v>320286.68</v>
      </c>
      <c r="AK1763" s="2678">
        <v>43805</v>
      </c>
      <c r="AL1763" s="2678">
        <v>320286.68</v>
      </c>
      <c r="AM1763" s="2678">
        <v>43909</v>
      </c>
      <c r="AN1763" s="5349">
        <f>SUM(BO1763:CB1763)</f>
        <v>320286.68</v>
      </c>
      <c r="AO1763" s="2678">
        <v>43921</v>
      </c>
      <c r="AP1763" s="2678">
        <f t="shared" ref="AP1763:AP1768" si="382">AG1763-AN1763</f>
        <v>0</v>
      </c>
      <c r="AQ1763" s="5121" t="s">
        <v>3125</v>
      </c>
      <c r="AR1763" s="2678" t="s">
        <v>1037</v>
      </c>
      <c r="AS1763" s="1035" t="s">
        <v>3126</v>
      </c>
      <c r="AT1763" s="2678">
        <v>43805</v>
      </c>
      <c r="AU1763" s="2678">
        <f>AG1763+AG1765</f>
        <v>520286.68</v>
      </c>
      <c r="AV1763" s="2678">
        <f>SUM(AL1763:AL1765)</f>
        <v>320286.68</v>
      </c>
      <c r="AW1763" s="2678">
        <f>SUBTOTAL(9,AN1763:AN1765)</f>
        <v>577981.08</v>
      </c>
      <c r="AX1763" s="2678">
        <f>M1763-AU1763</f>
        <v>314279.01</v>
      </c>
      <c r="AY1763" s="2678">
        <f>AU1763-AV1763</f>
        <v>200000</v>
      </c>
      <c r="AZ1763" s="2678">
        <f>AV1763-AW1763</f>
        <v>-257694.4</v>
      </c>
      <c r="BA1763" s="2678"/>
      <c r="BB1763" s="2678"/>
      <c r="BC1763" s="2678"/>
      <c r="BD1763" s="2678"/>
      <c r="BE1763" s="2678"/>
      <c r="BF1763" s="2678"/>
      <c r="BG1763" s="2678"/>
      <c r="BH1763" s="2678">
        <v>320286.68</v>
      </c>
      <c r="BI1763" s="2678"/>
      <c r="BJ1763" s="2678"/>
      <c r="BK1763" s="2678"/>
      <c r="BL1763" s="2678"/>
      <c r="BM1763" s="2678"/>
      <c r="BN1763" s="2678"/>
      <c r="BO1763" s="2678"/>
      <c r="BP1763" s="2678"/>
      <c r="BQ1763" s="2678"/>
      <c r="BR1763" s="2678"/>
      <c r="BS1763" s="2678"/>
      <c r="BT1763" s="2678"/>
      <c r="BU1763" s="2678"/>
      <c r="BV1763" s="2678">
        <v>320286.68</v>
      </c>
      <c r="BW1763" s="2678"/>
      <c r="BX1763" s="2678"/>
      <c r="BY1763" s="2678"/>
      <c r="BZ1763" s="2678"/>
      <c r="CA1763" s="2678"/>
      <c r="CB1763" s="2678"/>
      <c r="CC1763" s="2680" t="s">
        <v>1112</v>
      </c>
      <c r="CD1763" s="2680" t="s">
        <v>154</v>
      </c>
      <c r="CE1763" s="5168"/>
      <c r="CF1763" s="5168"/>
      <c r="CG1763" s="5750"/>
      <c r="CH1763" s="5750"/>
    </row>
    <row r="1764" ht="33.35" customHeight="1" spans="1:86">
      <c r="A1764" s="2678"/>
      <c r="B1764" s="2678"/>
      <c r="C1764" s="2678"/>
      <c r="D1764" s="1035"/>
      <c r="E1764" s="2678"/>
      <c r="F1764" s="5667"/>
      <c r="G1764" s="5667"/>
      <c r="H1764" s="2678"/>
      <c r="I1764" s="3913"/>
      <c r="J1764" s="5667"/>
      <c r="K1764" s="2678"/>
      <c r="L1764" s="5667"/>
      <c r="M1764" s="2678"/>
      <c r="N1764" s="2678"/>
      <c r="O1764" s="2678"/>
      <c r="P1764" s="2678"/>
      <c r="Q1764" s="2678"/>
      <c r="R1764" s="2678"/>
      <c r="S1764" s="2678"/>
      <c r="T1764" s="2678"/>
      <c r="U1764" s="2678"/>
      <c r="V1764" s="2678"/>
      <c r="W1764" s="2678"/>
      <c r="X1764" s="2678"/>
      <c r="Y1764" s="2678"/>
      <c r="Z1764" s="2678"/>
      <c r="AA1764" s="2678"/>
      <c r="AB1764" s="2678"/>
      <c r="AC1764" s="5667" t="s">
        <v>1113</v>
      </c>
      <c r="AD1764" s="5686" t="s">
        <v>3127</v>
      </c>
      <c r="AE1764" s="791">
        <v>0.62</v>
      </c>
      <c r="AF1764" s="2678">
        <v>514279.01</v>
      </c>
      <c r="AG1764" s="5349">
        <f t="shared" si="381"/>
        <v>257694.4</v>
      </c>
      <c r="AH1764" s="5667" t="s">
        <v>122</v>
      </c>
      <c r="AI1764" s="2678">
        <v>44848</v>
      </c>
      <c r="AJ1764" s="2678">
        <v>207018.945</v>
      </c>
      <c r="AK1764" s="2678"/>
      <c r="AL1764" s="2678"/>
      <c r="AM1764" s="2678"/>
      <c r="AN1764" s="5885">
        <f>SUM(BO1764:CB1764)</f>
        <v>257694.4</v>
      </c>
      <c r="AO1764" s="3932"/>
      <c r="AP1764" s="2678">
        <f t="shared" si="382"/>
        <v>0</v>
      </c>
      <c r="AQ1764" s="5121" t="s">
        <v>3128</v>
      </c>
      <c r="AR1764" s="2678"/>
      <c r="AS1764" s="1035"/>
      <c r="AT1764" s="2678"/>
      <c r="AU1764" s="2678"/>
      <c r="AV1764" s="2678"/>
      <c r="AW1764" s="2678"/>
      <c r="AX1764" s="2678"/>
      <c r="AY1764" s="2678"/>
      <c r="AZ1764" s="2678"/>
      <c r="BA1764" s="2678"/>
      <c r="BB1764" s="2678"/>
      <c r="BC1764" s="2678"/>
      <c r="BD1764" s="2678"/>
      <c r="BE1764" s="2678"/>
      <c r="BF1764" s="2678"/>
      <c r="BG1764" s="2678"/>
      <c r="BH1764" s="2678">
        <v>257694.4</v>
      </c>
      <c r="BI1764" s="2678"/>
      <c r="BJ1764" s="2678"/>
      <c r="BK1764" s="2678"/>
      <c r="BL1764" s="2678"/>
      <c r="BM1764" s="2678"/>
      <c r="BN1764" s="2678"/>
      <c r="BO1764" s="2678"/>
      <c r="BP1764" s="2678"/>
      <c r="BQ1764" s="2678"/>
      <c r="BR1764" s="2678"/>
      <c r="BS1764" s="2678"/>
      <c r="BT1764" s="2678"/>
      <c r="BU1764" s="2678"/>
      <c r="BV1764" s="3932">
        <v>257694.4</v>
      </c>
      <c r="BW1764" s="2678"/>
      <c r="BX1764" s="2678"/>
      <c r="BY1764" s="2678"/>
      <c r="BZ1764" s="2678"/>
      <c r="CA1764" s="2678"/>
      <c r="CB1764" s="2678"/>
      <c r="CC1764" s="2680"/>
      <c r="CD1764" s="2680"/>
      <c r="CE1764" s="5168"/>
      <c r="CF1764" s="5168"/>
      <c r="CG1764" s="5750"/>
      <c r="CH1764" s="5750"/>
    </row>
    <row r="1765" ht="33.35" customHeight="1" spans="1:86">
      <c r="A1765" s="2678"/>
      <c r="B1765" s="2678"/>
      <c r="C1765" s="2678"/>
      <c r="D1765" s="1035"/>
      <c r="E1765" s="2678"/>
      <c r="F1765" s="5667"/>
      <c r="G1765" s="5667"/>
      <c r="H1765" s="2678"/>
      <c r="I1765" s="3914"/>
      <c r="J1765" s="5667"/>
      <c r="K1765" s="2678"/>
      <c r="L1765" s="5667"/>
      <c r="M1765" s="2678"/>
      <c r="N1765" s="2678"/>
      <c r="O1765" s="2678"/>
      <c r="P1765" s="2678"/>
      <c r="Q1765" s="2678"/>
      <c r="R1765" s="2678"/>
      <c r="S1765" s="2678"/>
      <c r="T1765" s="2678"/>
      <c r="U1765" s="2678"/>
      <c r="V1765" s="2678"/>
      <c r="W1765" s="2678"/>
      <c r="X1765" s="2678"/>
      <c r="Y1765" s="2678"/>
      <c r="Z1765" s="2678"/>
      <c r="AA1765" s="2678"/>
      <c r="AB1765" s="2678"/>
      <c r="AC1765" s="5667"/>
      <c r="AD1765" s="5686"/>
      <c r="AE1765" s="791"/>
      <c r="AF1765" s="2678"/>
      <c r="AG1765" s="5349">
        <f t="shared" si="381"/>
        <v>200000</v>
      </c>
      <c r="AH1765" s="5667" t="s">
        <v>122</v>
      </c>
      <c r="AI1765" s="3812">
        <v>45264</v>
      </c>
      <c r="AJ1765" s="2678">
        <v>200000</v>
      </c>
      <c r="AK1765" s="3812">
        <v>45264</v>
      </c>
      <c r="AL1765" s="2678"/>
      <c r="AM1765" s="2678"/>
      <c r="AN1765" s="5885"/>
      <c r="AO1765" s="3932"/>
      <c r="AP1765" s="2678">
        <f t="shared" si="382"/>
        <v>200000</v>
      </c>
      <c r="AQ1765" s="2678"/>
      <c r="AR1765" s="2678" t="s">
        <v>1037</v>
      </c>
      <c r="AS1765" s="5667"/>
      <c r="AT1765" s="2678"/>
      <c r="AU1765" s="2678"/>
      <c r="AV1765" s="2678"/>
      <c r="AW1765" s="2678"/>
      <c r="AX1765" s="2678"/>
      <c r="AY1765" s="2678"/>
      <c r="AZ1765" s="2678"/>
      <c r="BA1765" s="2678"/>
      <c r="BB1765" s="2678"/>
      <c r="BC1765" s="2678"/>
      <c r="BD1765" s="2678"/>
      <c r="BE1765" s="2678"/>
      <c r="BF1765" s="2678"/>
      <c r="BG1765" s="2678"/>
      <c r="BH1765" s="2678">
        <v>200000</v>
      </c>
      <c r="BI1765" s="2678"/>
      <c r="BJ1765" s="2678"/>
      <c r="BK1765" s="2678"/>
      <c r="BL1765" s="2678"/>
      <c r="BM1765" s="2678"/>
      <c r="BN1765" s="2678"/>
      <c r="BO1765" s="2678"/>
      <c r="BP1765" s="2678"/>
      <c r="BQ1765" s="2678"/>
      <c r="BR1765" s="2678"/>
      <c r="BS1765" s="2678"/>
      <c r="BT1765" s="2678"/>
      <c r="BU1765" s="2678"/>
      <c r="BV1765" s="3932">
        <v>257694.4</v>
      </c>
      <c r="BW1765" s="2678"/>
      <c r="BX1765" s="2678"/>
      <c r="BY1765" s="2678"/>
      <c r="BZ1765" s="2678"/>
      <c r="CA1765" s="2678"/>
      <c r="CB1765" s="2678"/>
      <c r="CC1765" s="2680"/>
      <c r="CD1765" s="2680"/>
      <c r="CE1765" s="5168"/>
      <c r="CF1765" s="5168"/>
      <c r="CG1765" s="5750"/>
      <c r="CH1765" s="5750"/>
    </row>
    <row r="1766" s="4992" customFormat="1" ht="38.35" customHeight="1" spans="1:86">
      <c r="A1766" s="3812">
        <v>24</v>
      </c>
      <c r="B1766" s="3814" t="s">
        <v>173</v>
      </c>
      <c r="C1766" s="3684">
        <v>43769</v>
      </c>
      <c r="D1766" s="5055" t="s">
        <v>3129</v>
      </c>
      <c r="E1766" s="3684" t="s">
        <v>113</v>
      </c>
      <c r="F1766" s="6785" t="s">
        <v>3130</v>
      </c>
      <c r="G1766" s="6785" t="s">
        <v>3131</v>
      </c>
      <c r="H1766" s="3684" t="s">
        <v>193</v>
      </c>
      <c r="I1766" s="3684"/>
      <c r="J1766" s="5060" t="s">
        <v>3132</v>
      </c>
      <c r="K1766" s="5055" t="s">
        <v>3133</v>
      </c>
      <c r="L1766" s="5060" t="s">
        <v>3134</v>
      </c>
      <c r="M1766" s="3684">
        <f>SUM(N1766:AA1770)</f>
        <v>876408.6</v>
      </c>
      <c r="N1766" s="5200">
        <v>0</v>
      </c>
      <c r="O1766" s="5200">
        <v>0</v>
      </c>
      <c r="P1766" s="5200">
        <v>0</v>
      </c>
      <c r="Q1766" s="5200">
        <v>0</v>
      </c>
      <c r="R1766" s="5200">
        <v>0</v>
      </c>
      <c r="S1766" s="5200">
        <v>85000</v>
      </c>
      <c r="T1766" s="6788">
        <v>0</v>
      </c>
      <c r="U1766" s="5200">
        <v>47448.75</v>
      </c>
      <c r="V1766" s="4048">
        <v>743959.85</v>
      </c>
      <c r="W1766" s="4048">
        <v>0</v>
      </c>
      <c r="X1766" s="4048">
        <v>0</v>
      </c>
      <c r="Y1766" s="4048"/>
      <c r="Z1766" s="4048"/>
      <c r="AA1766" s="5200">
        <v>0</v>
      </c>
      <c r="AB1766" s="5999" t="s">
        <v>3135</v>
      </c>
      <c r="AC1766" s="5060" t="s">
        <v>3136</v>
      </c>
      <c r="AD1766" s="6792" t="s">
        <v>3137</v>
      </c>
      <c r="AE1766" s="2139">
        <v>0.2</v>
      </c>
      <c r="AF1766" s="3684">
        <f>M1766*AE1766</f>
        <v>175281.72</v>
      </c>
      <c r="AG1766" s="3684">
        <f t="shared" si="381"/>
        <v>158281.72</v>
      </c>
      <c r="AH1766" s="3684" t="s">
        <v>722</v>
      </c>
      <c r="AI1766" s="3684">
        <v>43572</v>
      </c>
      <c r="AJ1766" s="3684">
        <v>158281.72</v>
      </c>
      <c r="AK1766" s="3684">
        <v>43572</v>
      </c>
      <c r="AL1766" s="3684">
        <f>SUM(BK1766:BX1766)</f>
        <v>158281.72</v>
      </c>
      <c r="AM1766" s="3684">
        <v>43938</v>
      </c>
      <c r="AN1766" s="3684">
        <f>SUM(BO1766:CB1766)</f>
        <v>158281.72</v>
      </c>
      <c r="AO1766" s="3684">
        <v>43979</v>
      </c>
      <c r="AP1766" s="3684">
        <f t="shared" si="382"/>
        <v>0</v>
      </c>
      <c r="AQ1766" s="3684"/>
      <c r="AR1766" s="3684"/>
      <c r="AS1766" s="5060"/>
      <c r="AT1766" s="3684"/>
      <c r="AU1766" s="3684">
        <f>SUM(AG1766:AG1770)</f>
        <v>876408.6</v>
      </c>
      <c r="AV1766" s="3684">
        <f>SUM(AL1766:AL1770)</f>
        <v>876408.6</v>
      </c>
      <c r="AW1766" s="3684">
        <f>SUM(AN1766:AN1770)</f>
        <v>876408.6</v>
      </c>
      <c r="AX1766" s="3684">
        <f>M1766-AU1766</f>
        <v>0</v>
      </c>
      <c r="AY1766" s="3684">
        <f>AU1766-AV1766</f>
        <v>0</v>
      </c>
      <c r="AZ1766" s="3684">
        <f>AV1766-AW1766</f>
        <v>0</v>
      </c>
      <c r="BA1766" s="3684"/>
      <c r="BB1766" s="3684"/>
      <c r="BC1766" s="3684"/>
      <c r="BD1766" s="3684"/>
      <c r="BE1766" s="3684"/>
      <c r="BF1766" s="3684"/>
      <c r="BG1766" s="3684"/>
      <c r="BH1766" s="3684">
        <v>47448.75</v>
      </c>
      <c r="BI1766" s="3684">
        <v>110832.97</v>
      </c>
      <c r="BJ1766" s="3684"/>
      <c r="BK1766" s="3684"/>
      <c r="BL1766" s="3684"/>
      <c r="BM1766" s="3684"/>
      <c r="BN1766" s="3684"/>
      <c r="BO1766" s="3684"/>
      <c r="BP1766" s="3684"/>
      <c r="BQ1766" s="3684"/>
      <c r="BR1766" s="3684"/>
      <c r="BS1766" s="3684"/>
      <c r="BT1766" s="3684"/>
      <c r="BU1766" s="3684"/>
      <c r="BV1766" s="3684">
        <v>47448.75</v>
      </c>
      <c r="BW1766" s="3684">
        <v>110832.97</v>
      </c>
      <c r="BX1766" s="3684"/>
      <c r="BY1766" s="3684"/>
      <c r="BZ1766" s="3684"/>
      <c r="CA1766" s="3684"/>
      <c r="CB1766" s="3684"/>
      <c r="CC1766" s="3662" t="s">
        <v>1038</v>
      </c>
      <c r="CD1766" s="3662" t="s">
        <v>154</v>
      </c>
      <c r="CE1766" s="6802"/>
      <c r="CF1766" s="6802"/>
      <c r="CG1766" s="6802"/>
      <c r="CH1766" s="6802"/>
    </row>
    <row r="1767" s="4992" customFormat="1" ht="46" spans="1:86">
      <c r="A1767" s="3812"/>
      <c r="B1767" s="3684"/>
      <c r="C1767" s="3684"/>
      <c r="D1767" s="5055"/>
      <c r="E1767" s="3684"/>
      <c r="F1767" s="6785"/>
      <c r="G1767" s="6785"/>
      <c r="H1767" s="3684"/>
      <c r="I1767" s="3684"/>
      <c r="J1767" s="5060"/>
      <c r="K1767" s="3684"/>
      <c r="L1767" s="5060"/>
      <c r="M1767" s="3684"/>
      <c r="N1767" s="5200"/>
      <c r="O1767" s="5200"/>
      <c r="P1767" s="5200"/>
      <c r="Q1767" s="5200"/>
      <c r="R1767" s="5200"/>
      <c r="S1767" s="5200"/>
      <c r="T1767" s="5200"/>
      <c r="U1767" s="5200"/>
      <c r="V1767" s="4048"/>
      <c r="W1767" s="4048"/>
      <c r="X1767" s="4048"/>
      <c r="Y1767" s="4048"/>
      <c r="Z1767" s="4048"/>
      <c r="AA1767" s="5200"/>
      <c r="AB1767" s="5999"/>
      <c r="AC1767" s="3684" t="s">
        <v>1146</v>
      </c>
      <c r="AD1767" s="6792" t="s">
        <v>3138</v>
      </c>
      <c r="AE1767" s="2139">
        <v>0.4</v>
      </c>
      <c r="AF1767" s="3684">
        <f>M1766*AE1767</f>
        <v>350563.44</v>
      </c>
      <c r="AG1767" s="3684">
        <f t="shared" si="381"/>
        <v>316563.44</v>
      </c>
      <c r="AH1767" s="3684" t="s">
        <v>206</v>
      </c>
      <c r="AI1767" s="3684">
        <v>43768</v>
      </c>
      <c r="AJ1767" s="3684">
        <v>316563.44</v>
      </c>
      <c r="AK1767" s="3684">
        <v>43768</v>
      </c>
      <c r="AL1767" s="3684">
        <v>316563.44</v>
      </c>
      <c r="AM1767" s="3684">
        <v>44231</v>
      </c>
      <c r="AN1767" s="3684">
        <f>SUM(BO1767:CB1767)</f>
        <v>316563.44</v>
      </c>
      <c r="AO1767" s="3684">
        <v>44642</v>
      </c>
      <c r="AP1767" s="3684">
        <f t="shared" si="382"/>
        <v>0</v>
      </c>
      <c r="AQ1767" s="5060" t="s">
        <v>3139</v>
      </c>
      <c r="AR1767" s="3684"/>
      <c r="AS1767" s="5055" t="s">
        <v>3140</v>
      </c>
      <c r="AT1767" s="3684"/>
      <c r="AU1767" s="3684"/>
      <c r="AV1767" s="3684"/>
      <c r="AW1767" s="3684"/>
      <c r="AX1767" s="3684"/>
      <c r="AY1767" s="3684"/>
      <c r="AZ1767" s="3684"/>
      <c r="BA1767" s="3684"/>
      <c r="BB1767" s="3684"/>
      <c r="BC1767" s="3684"/>
      <c r="BD1767" s="3684"/>
      <c r="BE1767" s="3684"/>
      <c r="BF1767" s="3684"/>
      <c r="BG1767" s="3684"/>
      <c r="BH1767" s="3684"/>
      <c r="BI1767" s="3684">
        <v>316563.44</v>
      </c>
      <c r="BJ1767" s="3684"/>
      <c r="BK1767" s="3684"/>
      <c r="BL1767" s="3684"/>
      <c r="BM1767" s="3684"/>
      <c r="BN1767" s="3684"/>
      <c r="BO1767" s="3708"/>
      <c r="BP1767" s="3708"/>
      <c r="BQ1767" s="3708"/>
      <c r="BR1767" s="3708"/>
      <c r="BS1767" s="3708"/>
      <c r="BT1767" s="3708"/>
      <c r="BU1767" s="3708"/>
      <c r="BV1767" s="5163"/>
      <c r="BW1767" s="3684">
        <v>316563.44</v>
      </c>
      <c r="BX1767" s="3708"/>
      <c r="BY1767" s="3708"/>
      <c r="BZ1767" s="3708"/>
      <c r="CA1767" s="3708"/>
      <c r="CB1767" s="3708"/>
      <c r="CC1767" s="3662"/>
      <c r="CD1767" s="3662"/>
      <c r="CE1767" s="6802"/>
      <c r="CF1767" s="6802"/>
      <c r="CG1767" s="6802"/>
      <c r="CH1767" s="6802"/>
    </row>
    <row r="1768" s="4992" customFormat="1" ht="32.5" customHeight="1" spans="1:86">
      <c r="A1768" s="3812"/>
      <c r="B1768" s="3684"/>
      <c r="C1768" s="3684"/>
      <c r="D1768" s="5055"/>
      <c r="E1768" s="3684"/>
      <c r="F1768" s="6785"/>
      <c r="G1768" s="6785"/>
      <c r="H1768" s="3684"/>
      <c r="I1768" s="3684"/>
      <c r="J1768" s="5060"/>
      <c r="K1768" s="3684"/>
      <c r="L1768" s="5060"/>
      <c r="M1768" s="3684"/>
      <c r="N1768" s="5200"/>
      <c r="O1768" s="5200"/>
      <c r="P1768" s="5200"/>
      <c r="Q1768" s="5200"/>
      <c r="R1768" s="5200"/>
      <c r="S1768" s="5200"/>
      <c r="T1768" s="5200"/>
      <c r="U1768" s="5200"/>
      <c r="V1768" s="4048"/>
      <c r="W1768" s="4048"/>
      <c r="X1768" s="4048"/>
      <c r="Y1768" s="4048"/>
      <c r="Z1768" s="4048"/>
      <c r="AA1768" s="5200"/>
      <c r="AB1768" s="5999"/>
      <c r="AC1768" s="3684" t="s">
        <v>1148</v>
      </c>
      <c r="AD1768" s="6792" t="s">
        <v>3141</v>
      </c>
      <c r="AE1768" s="2139">
        <v>0.3</v>
      </c>
      <c r="AF1768" s="3684">
        <f>M1766*AE1768</f>
        <v>262922.58</v>
      </c>
      <c r="AG1768" s="3684">
        <f t="shared" si="381"/>
        <v>237422.58</v>
      </c>
      <c r="AH1768" s="3684" t="s">
        <v>722</v>
      </c>
      <c r="AI1768" s="3684">
        <v>44620</v>
      </c>
      <c r="AJ1768" s="3684">
        <f>AG1768</f>
        <v>237422.58</v>
      </c>
      <c r="AK1768" s="3684">
        <v>44645</v>
      </c>
      <c r="AL1768" s="3684">
        <v>237422.58</v>
      </c>
      <c r="AM1768" s="3684">
        <v>44935</v>
      </c>
      <c r="AN1768" s="3684">
        <f>SUM(BO1768:CB1768)</f>
        <v>237422.58</v>
      </c>
      <c r="AO1768" s="3684">
        <v>44944</v>
      </c>
      <c r="AP1768" s="3684">
        <f t="shared" si="382"/>
        <v>0</v>
      </c>
      <c r="AQ1768" s="3684"/>
      <c r="AR1768" s="3684"/>
      <c r="AS1768" s="5060"/>
      <c r="AT1768" s="3684"/>
      <c r="AU1768" s="3684"/>
      <c r="AV1768" s="3684"/>
      <c r="AW1768" s="3684"/>
      <c r="AX1768" s="3684"/>
      <c r="AY1768" s="3684"/>
      <c r="AZ1768" s="3684"/>
      <c r="BA1768" s="3684"/>
      <c r="BB1768" s="3684"/>
      <c r="BC1768" s="3684"/>
      <c r="BD1768" s="3684"/>
      <c r="BE1768" s="3684"/>
      <c r="BF1768" s="3684"/>
      <c r="BG1768" s="3684"/>
      <c r="BH1768" s="3684">
        <v>14234.625</v>
      </c>
      <c r="BI1768" s="3684">
        <v>223187.955</v>
      </c>
      <c r="BJ1768" s="3684"/>
      <c r="BK1768" s="3684"/>
      <c r="BL1768" s="3684"/>
      <c r="BM1768" s="3684"/>
      <c r="BN1768" s="3684"/>
      <c r="BO1768" s="3684"/>
      <c r="BP1768" s="3684"/>
      <c r="BQ1768" s="3684"/>
      <c r="BR1768" s="3684"/>
      <c r="BS1768" s="3684"/>
      <c r="BT1768" s="3684"/>
      <c r="BU1768" s="3684"/>
      <c r="BV1768" s="3684">
        <v>14234.625</v>
      </c>
      <c r="BW1768" s="3684">
        <v>223187.955</v>
      </c>
      <c r="BX1768" s="3684"/>
      <c r="BY1768" s="3684"/>
      <c r="BZ1768" s="3684"/>
      <c r="CA1768" s="3684"/>
      <c r="CB1768" s="3684"/>
      <c r="CC1768" s="3662"/>
      <c r="CD1768" s="3662"/>
      <c r="CE1768" s="6802"/>
      <c r="CF1768" s="6802"/>
      <c r="CG1768" s="6802"/>
      <c r="CH1768" s="6802"/>
    </row>
    <row r="1769" s="4992" customFormat="1" ht="32.5" customHeight="1" spans="1:86">
      <c r="A1769" s="3812"/>
      <c r="B1769" s="3684"/>
      <c r="C1769" s="3684"/>
      <c r="D1769" s="5055"/>
      <c r="E1769" s="3684"/>
      <c r="F1769" s="6785"/>
      <c r="G1769" s="6785"/>
      <c r="H1769" s="3684"/>
      <c r="I1769" s="3684"/>
      <c r="J1769" s="5060"/>
      <c r="K1769" s="3684"/>
      <c r="L1769" s="5060"/>
      <c r="M1769" s="3684"/>
      <c r="N1769" s="5200"/>
      <c r="O1769" s="5200"/>
      <c r="P1769" s="5200"/>
      <c r="Q1769" s="5200"/>
      <c r="R1769" s="5200"/>
      <c r="S1769" s="5200"/>
      <c r="T1769" s="5200"/>
      <c r="U1769" s="5200"/>
      <c r="V1769" s="4048"/>
      <c r="W1769" s="4048"/>
      <c r="X1769" s="4048"/>
      <c r="Y1769" s="4048"/>
      <c r="Z1769" s="4048"/>
      <c r="AA1769" s="5200"/>
      <c r="AB1769" s="5999"/>
      <c r="AC1769" s="3684" t="s">
        <v>1150</v>
      </c>
      <c r="AD1769" s="5055" t="s">
        <v>3142</v>
      </c>
      <c r="AE1769" s="2139">
        <v>0.1</v>
      </c>
      <c r="AF1769" s="3684">
        <f>M1766*AE1769</f>
        <v>87640.86</v>
      </c>
      <c r="AG1769" s="3684">
        <f t="shared" si="381"/>
        <v>79140.86</v>
      </c>
      <c r="AH1769" s="3684" t="s">
        <v>722</v>
      </c>
      <c r="AI1769" s="3684">
        <v>44620</v>
      </c>
      <c r="AJ1769" s="3684">
        <v>79140.86</v>
      </c>
      <c r="AK1769" s="3684">
        <v>44645</v>
      </c>
      <c r="AL1769" s="5055">
        <v>164140.86</v>
      </c>
      <c r="AM1769" s="5060">
        <v>45029</v>
      </c>
      <c r="AN1769" s="3684">
        <f>SUM(BO1769:CB1770)</f>
        <v>164140.86</v>
      </c>
      <c r="AO1769" s="5060">
        <v>45037</v>
      </c>
      <c r="AP1769" s="3684">
        <f>AG1769+AG1770-AN1769</f>
        <v>0</v>
      </c>
      <c r="AQ1769" s="3684"/>
      <c r="AR1769" s="3684"/>
      <c r="AS1769" s="5060"/>
      <c r="AT1769" s="3684"/>
      <c r="AU1769" s="3684"/>
      <c r="AV1769" s="3684"/>
      <c r="AW1769" s="3684"/>
      <c r="AX1769" s="3684"/>
      <c r="AY1769" s="3684"/>
      <c r="AZ1769" s="3684"/>
      <c r="BA1769" s="3684"/>
      <c r="BB1769" s="3684"/>
      <c r="BC1769" s="3684"/>
      <c r="BD1769" s="3684"/>
      <c r="BE1769" s="3684"/>
      <c r="BF1769" s="3684"/>
      <c r="BG1769" s="3684"/>
      <c r="BH1769" s="3684">
        <v>4744.87</v>
      </c>
      <c r="BI1769" s="3684">
        <v>74395.99</v>
      </c>
      <c r="BJ1769" s="3684"/>
      <c r="BK1769" s="3684"/>
      <c r="BL1769" s="3684"/>
      <c r="BM1769" s="3684"/>
      <c r="BN1769" s="3684"/>
      <c r="BO1769" s="3684"/>
      <c r="BP1769" s="3684"/>
      <c r="BQ1769" s="3684"/>
      <c r="BR1769" s="3684"/>
      <c r="BS1769" s="3684"/>
      <c r="BT1769" s="3684"/>
      <c r="BU1769" s="3684"/>
      <c r="BV1769" s="3684">
        <v>4744.87</v>
      </c>
      <c r="BW1769" s="3684">
        <v>74395.99</v>
      </c>
      <c r="BX1769" s="3684"/>
      <c r="BY1769" s="3684"/>
      <c r="BZ1769" s="3684"/>
      <c r="CA1769" s="3684"/>
      <c r="CB1769" s="3684"/>
      <c r="CC1769" s="3662"/>
      <c r="CD1769" s="3662"/>
      <c r="CE1769" s="6802"/>
      <c r="CF1769" s="6802"/>
      <c r="CG1769" s="6802"/>
      <c r="CH1769" s="6802"/>
    </row>
    <row r="1770" s="4992" customFormat="1" ht="42.5" customHeight="1" spans="1:86">
      <c r="A1770" s="3812"/>
      <c r="B1770" s="3684"/>
      <c r="C1770" s="3684"/>
      <c r="D1770" s="5055"/>
      <c r="E1770" s="3684"/>
      <c r="F1770" s="6785"/>
      <c r="G1770" s="6785"/>
      <c r="H1770" s="3684"/>
      <c r="I1770" s="3684"/>
      <c r="J1770" s="5060"/>
      <c r="K1770" s="3684"/>
      <c r="L1770" s="5060"/>
      <c r="M1770" s="3684"/>
      <c r="N1770" s="5200"/>
      <c r="O1770" s="5200"/>
      <c r="P1770" s="5200"/>
      <c r="Q1770" s="5200"/>
      <c r="R1770" s="5200"/>
      <c r="S1770" s="5200"/>
      <c r="T1770" s="5200"/>
      <c r="U1770" s="5200"/>
      <c r="V1770" s="4048"/>
      <c r="W1770" s="4048"/>
      <c r="X1770" s="4048"/>
      <c r="Y1770" s="4048"/>
      <c r="Z1770" s="4048"/>
      <c r="AA1770" s="5200"/>
      <c r="AB1770" s="5999"/>
      <c r="AC1770" s="3684"/>
      <c r="AD1770" s="6792"/>
      <c r="AE1770" s="2139"/>
      <c r="AF1770" s="3684"/>
      <c r="AG1770" s="3684">
        <f t="shared" si="381"/>
        <v>85000</v>
      </c>
      <c r="AH1770" s="3814" t="s">
        <v>122</v>
      </c>
      <c r="AI1770" s="3684">
        <v>45010</v>
      </c>
      <c r="AJ1770" s="3684">
        <f>AG1770</f>
        <v>85000</v>
      </c>
      <c r="AK1770" s="3684">
        <v>45010</v>
      </c>
      <c r="AL1770" s="3684"/>
      <c r="AM1770" s="5060"/>
      <c r="AN1770" s="3684"/>
      <c r="AO1770" s="5060">
        <v>45037</v>
      </c>
      <c r="AP1770" s="3684"/>
      <c r="AQ1770" s="5055" t="s">
        <v>3143</v>
      </c>
      <c r="AR1770" s="3684"/>
      <c r="AS1770" s="5055"/>
      <c r="AT1770" s="3684"/>
      <c r="AU1770" s="3684"/>
      <c r="AV1770" s="3684"/>
      <c r="AW1770" s="3684"/>
      <c r="AX1770" s="3684"/>
      <c r="AY1770" s="3684"/>
      <c r="AZ1770" s="3684"/>
      <c r="BA1770" s="3684"/>
      <c r="BB1770" s="3684"/>
      <c r="BC1770" s="3684"/>
      <c r="BD1770" s="3684"/>
      <c r="BE1770" s="3684"/>
      <c r="BF1770" s="3684">
        <v>85000</v>
      </c>
      <c r="BG1770" s="3684"/>
      <c r="BH1770" s="3684"/>
      <c r="BI1770" s="5162"/>
      <c r="BJ1770" s="3684"/>
      <c r="BK1770" s="3684"/>
      <c r="BL1770" s="3684"/>
      <c r="BM1770" s="3684"/>
      <c r="BN1770" s="3684"/>
      <c r="BO1770" s="3684"/>
      <c r="BP1770" s="3684"/>
      <c r="BQ1770" s="3684"/>
      <c r="BR1770" s="3684"/>
      <c r="BS1770" s="3684"/>
      <c r="BT1770" s="3684">
        <v>85000</v>
      </c>
      <c r="BU1770" s="3684"/>
      <c r="BV1770" s="3684"/>
      <c r="BW1770" s="3684"/>
      <c r="BX1770" s="3684"/>
      <c r="BY1770" s="3684"/>
      <c r="BZ1770" s="3684"/>
      <c r="CA1770" s="3684"/>
      <c r="CB1770" s="3684"/>
      <c r="CC1770" s="3662"/>
      <c r="CD1770" s="3662"/>
      <c r="CE1770" s="6802"/>
      <c r="CF1770" s="6802"/>
      <c r="CG1770" s="6802"/>
      <c r="CH1770" s="6802"/>
    </row>
    <row r="1771" s="4992" customFormat="1" ht="46" spans="1:86">
      <c r="A1771" s="2678">
        <v>25</v>
      </c>
      <c r="B1771" s="3814" t="s">
        <v>173</v>
      </c>
      <c r="C1771" s="3684">
        <v>43769</v>
      </c>
      <c r="D1771" s="5055" t="s">
        <v>3144</v>
      </c>
      <c r="E1771" s="3684" t="s">
        <v>113</v>
      </c>
      <c r="F1771" s="6785" t="s">
        <v>3145</v>
      </c>
      <c r="G1771" s="6785" t="s">
        <v>3146</v>
      </c>
      <c r="H1771" s="3684" t="s">
        <v>31</v>
      </c>
      <c r="I1771" s="3684"/>
      <c r="J1771" s="5060" t="s">
        <v>3132</v>
      </c>
      <c r="K1771" s="3684">
        <v>175599</v>
      </c>
      <c r="L1771" s="5060" t="s">
        <v>178</v>
      </c>
      <c r="M1771" s="3684">
        <f>SUM(N1771:AA1772)</f>
        <v>877995</v>
      </c>
      <c r="N1771" s="2678">
        <v>0</v>
      </c>
      <c r="O1771" s="2678">
        <v>0</v>
      </c>
      <c r="P1771" s="2678">
        <v>0</v>
      </c>
      <c r="Q1771" s="2678">
        <v>0</v>
      </c>
      <c r="R1771" s="2678">
        <v>0</v>
      </c>
      <c r="S1771" s="2678">
        <v>0</v>
      </c>
      <c r="T1771" s="5823">
        <v>0</v>
      </c>
      <c r="U1771" s="2678">
        <v>877995</v>
      </c>
      <c r="V1771" s="2678">
        <v>0</v>
      </c>
      <c r="W1771" s="2678">
        <v>0</v>
      </c>
      <c r="X1771" s="2678"/>
      <c r="Y1771" s="2678"/>
      <c r="Z1771" s="2678"/>
      <c r="AA1771" s="2678">
        <v>0</v>
      </c>
      <c r="AB1771" s="2678">
        <v>0</v>
      </c>
      <c r="AC1771" s="3684" t="s">
        <v>1110</v>
      </c>
      <c r="AD1771" s="6792" t="s">
        <v>3147</v>
      </c>
      <c r="AE1771" s="2139">
        <v>0.2</v>
      </c>
      <c r="AF1771" s="3684">
        <f>AE1771*U1771</f>
        <v>175599</v>
      </c>
      <c r="AG1771" s="3684">
        <f t="shared" si="381"/>
        <v>175599</v>
      </c>
      <c r="AH1771" s="3684" t="s">
        <v>206</v>
      </c>
      <c r="AI1771" s="3684">
        <v>43938</v>
      </c>
      <c r="AJ1771" s="3684">
        <v>175599</v>
      </c>
      <c r="AK1771" s="3684">
        <v>43938</v>
      </c>
      <c r="AL1771" s="3684">
        <v>175599</v>
      </c>
      <c r="AM1771" s="3684">
        <v>43938</v>
      </c>
      <c r="AN1771" s="3684">
        <f>SUM(BO1771:CB1771)</f>
        <v>175599</v>
      </c>
      <c r="AO1771" s="3684">
        <v>43980</v>
      </c>
      <c r="AP1771" s="3684">
        <f>AG1771-AN1771</f>
        <v>0</v>
      </c>
      <c r="AQ1771" s="5055" t="s">
        <v>3148</v>
      </c>
      <c r="AR1771" s="3684"/>
      <c r="AS1771" s="5060"/>
      <c r="AT1771" s="3684"/>
      <c r="AU1771" s="3684">
        <f>SUM(AG1771:AG1772)</f>
        <v>877995</v>
      </c>
      <c r="AV1771" s="3684">
        <f>SUM(AL1771:AL1772)</f>
        <v>877995</v>
      </c>
      <c r="AW1771" s="3684">
        <f>SUM(AN1771:AN1772)</f>
        <v>877995</v>
      </c>
      <c r="AX1771" s="3684">
        <f>M1771-AU1771</f>
        <v>0</v>
      </c>
      <c r="AY1771" s="3684">
        <f>AU1771-AV1771</f>
        <v>0</v>
      </c>
      <c r="AZ1771" s="3684">
        <f>AV1771-AW1771</f>
        <v>0</v>
      </c>
      <c r="BA1771" s="3684"/>
      <c r="BB1771" s="3684"/>
      <c r="BC1771" s="3684"/>
      <c r="BD1771" s="3684"/>
      <c r="BE1771" s="3684"/>
      <c r="BF1771" s="3684"/>
      <c r="BG1771" s="3684"/>
      <c r="BH1771" s="3684">
        <v>175599</v>
      </c>
      <c r="BI1771" s="3684"/>
      <c r="BJ1771" s="3684"/>
      <c r="BK1771" s="3684"/>
      <c r="BL1771" s="3684"/>
      <c r="BM1771" s="3684"/>
      <c r="BN1771" s="3684"/>
      <c r="BO1771" s="3684"/>
      <c r="BP1771" s="3684"/>
      <c r="BQ1771" s="3684"/>
      <c r="BR1771" s="3684"/>
      <c r="BS1771" s="3684"/>
      <c r="BT1771" s="3684"/>
      <c r="BU1771" s="3684"/>
      <c r="BV1771" s="3684">
        <v>175599</v>
      </c>
      <c r="BW1771" s="3684"/>
      <c r="BX1771" s="3684"/>
      <c r="BY1771" s="3684"/>
      <c r="BZ1771" s="3684"/>
      <c r="CA1771" s="3684"/>
      <c r="CB1771" s="3684"/>
      <c r="CC1771" s="3662" t="s">
        <v>1112</v>
      </c>
      <c r="CD1771" s="3662" t="s">
        <v>154</v>
      </c>
      <c r="CE1771" s="6802"/>
      <c r="CF1771" s="6802"/>
      <c r="CG1771" s="6802"/>
      <c r="CH1771" s="6802"/>
    </row>
    <row r="1772" s="4992" customFormat="1" ht="47.5" customHeight="1" spans="1:86">
      <c r="A1772" s="3812"/>
      <c r="B1772" s="3684"/>
      <c r="C1772" s="3684"/>
      <c r="D1772" s="5055"/>
      <c r="E1772" s="3684"/>
      <c r="F1772" s="6785"/>
      <c r="G1772" s="6785"/>
      <c r="H1772" s="3684"/>
      <c r="I1772" s="3684"/>
      <c r="J1772" s="5060"/>
      <c r="K1772" s="3684"/>
      <c r="L1772" s="5060"/>
      <c r="M1772" s="3684"/>
      <c r="N1772" s="2678"/>
      <c r="O1772" s="2678"/>
      <c r="P1772" s="2678"/>
      <c r="Q1772" s="2678"/>
      <c r="R1772" s="2678"/>
      <c r="S1772" s="2678"/>
      <c r="T1772" s="2678"/>
      <c r="U1772" s="2678"/>
      <c r="V1772" s="2678"/>
      <c r="W1772" s="2678"/>
      <c r="X1772" s="2678"/>
      <c r="Y1772" s="2678"/>
      <c r="Z1772" s="2678"/>
      <c r="AA1772" s="2678"/>
      <c r="AB1772" s="2678"/>
      <c r="AC1772" s="3684" t="s">
        <v>1113</v>
      </c>
      <c r="AD1772" s="6792" t="s">
        <v>3149</v>
      </c>
      <c r="AE1772" s="2139">
        <v>0.8</v>
      </c>
      <c r="AF1772" s="3684">
        <f>AE1772*U1771</f>
        <v>702396</v>
      </c>
      <c r="AG1772" s="3684">
        <f t="shared" si="381"/>
        <v>702396</v>
      </c>
      <c r="AH1772" s="3684" t="s">
        <v>206</v>
      </c>
      <c r="AI1772" s="3684">
        <v>44186</v>
      </c>
      <c r="AJ1772" s="3684">
        <v>702396</v>
      </c>
      <c r="AK1772" s="3684">
        <v>44186</v>
      </c>
      <c r="AL1772" s="3684">
        <v>702396</v>
      </c>
      <c r="AM1772" s="3684">
        <v>44231</v>
      </c>
      <c r="AN1772" s="3684">
        <f>SUM(BO1772:CB1772)</f>
        <v>702396</v>
      </c>
      <c r="AO1772" s="5060">
        <v>44420</v>
      </c>
      <c r="AP1772" s="3684">
        <f>AG1772-AL1772</f>
        <v>0</v>
      </c>
      <c r="AQ1772" s="5060"/>
      <c r="AR1772" s="3684"/>
      <c r="AS1772" s="5060" t="s">
        <v>3150</v>
      </c>
      <c r="AT1772" s="3684"/>
      <c r="AU1772" s="3684"/>
      <c r="AV1772" s="3684"/>
      <c r="AW1772" s="3684"/>
      <c r="AX1772" s="3684"/>
      <c r="AY1772" s="3684"/>
      <c r="AZ1772" s="3684"/>
      <c r="BA1772" s="3684"/>
      <c r="BB1772" s="3684"/>
      <c r="BC1772" s="3684"/>
      <c r="BD1772" s="3684"/>
      <c r="BE1772" s="3684"/>
      <c r="BF1772" s="3684"/>
      <c r="BG1772" s="3684"/>
      <c r="BH1772" s="3684">
        <v>702396</v>
      </c>
      <c r="BI1772" s="3684"/>
      <c r="BJ1772" s="3684"/>
      <c r="BK1772" s="3684"/>
      <c r="BL1772" s="3684"/>
      <c r="BM1772" s="3684"/>
      <c r="BN1772" s="3684"/>
      <c r="BO1772" s="3684"/>
      <c r="BP1772" s="3684"/>
      <c r="BQ1772" s="3684"/>
      <c r="BR1772" s="3684"/>
      <c r="BS1772" s="3684"/>
      <c r="BT1772" s="3684"/>
      <c r="BU1772" s="3684"/>
      <c r="BV1772" s="3684">
        <v>702396</v>
      </c>
      <c r="BW1772" s="3708"/>
      <c r="BX1772" s="3708"/>
      <c r="BY1772" s="3708"/>
      <c r="BZ1772" s="3708"/>
      <c r="CA1772" s="3708"/>
      <c r="CB1772" s="3708"/>
      <c r="CC1772" s="3662"/>
      <c r="CD1772" s="3662"/>
      <c r="CE1772" s="6802"/>
      <c r="CF1772" s="6802"/>
      <c r="CG1772" s="6802"/>
      <c r="CH1772" s="6802"/>
    </row>
    <row r="1773" s="4990" customFormat="1" ht="31" spans="1:86">
      <c r="A1773" s="3812">
        <v>28</v>
      </c>
      <c r="B1773" s="584" t="s">
        <v>3016</v>
      </c>
      <c r="C1773" s="3057">
        <v>43101</v>
      </c>
      <c r="D1773" s="1125" t="s">
        <v>3151</v>
      </c>
      <c r="E1773" s="3057" t="s">
        <v>113</v>
      </c>
      <c r="F1773" s="5056" t="s">
        <v>3152</v>
      </c>
      <c r="G1773" s="5056" t="s">
        <v>3153</v>
      </c>
      <c r="H1773" s="3057" t="s">
        <v>31</v>
      </c>
      <c r="I1773" s="5056"/>
      <c r="J1773" s="5056" t="s">
        <v>563</v>
      </c>
      <c r="K1773" s="3057">
        <v>204062</v>
      </c>
      <c r="L1773" s="5056" t="s">
        <v>3095</v>
      </c>
      <c r="M1773" s="3057">
        <f>SUM(N1773:AA1775)</f>
        <v>1428434</v>
      </c>
      <c r="N1773" s="2678">
        <v>0</v>
      </c>
      <c r="O1773" s="2678">
        <v>0</v>
      </c>
      <c r="P1773" s="2678">
        <v>0</v>
      </c>
      <c r="Q1773" s="2678">
        <v>0</v>
      </c>
      <c r="R1773" s="2678">
        <v>0</v>
      </c>
      <c r="S1773" s="2678">
        <v>1021184.88</v>
      </c>
      <c r="T1773" s="5823">
        <v>0</v>
      </c>
      <c r="U1773" s="2678">
        <v>407249.12</v>
      </c>
      <c r="V1773" s="2678">
        <v>0</v>
      </c>
      <c r="W1773" s="2678">
        <v>0</v>
      </c>
      <c r="X1773" s="2678"/>
      <c r="Y1773" s="2678"/>
      <c r="Z1773" s="2678"/>
      <c r="AA1773" s="2678">
        <v>0</v>
      </c>
      <c r="AB1773" s="2678" t="s">
        <v>171</v>
      </c>
      <c r="AC1773" s="5056" t="s">
        <v>3154</v>
      </c>
      <c r="AD1773" s="6793" t="s">
        <v>3096</v>
      </c>
      <c r="AE1773" s="1082">
        <v>0.2</v>
      </c>
      <c r="AF1773" s="3057">
        <f>M1773*AE1773</f>
        <v>285686.8</v>
      </c>
      <c r="AG1773" s="3057">
        <f>SUM(BA1773:BN1774)</f>
        <v>714217</v>
      </c>
      <c r="AH1773" s="3057" t="s">
        <v>206</v>
      </c>
      <c r="AI1773" s="3057">
        <v>43173</v>
      </c>
      <c r="AJ1773" s="3057">
        <f t="shared" ref="AJ1773:AJ1775" si="383">AF1773</f>
        <v>285686.8</v>
      </c>
      <c r="AK1773" s="3057" t="s">
        <v>171</v>
      </c>
      <c r="AL1773" s="3057">
        <v>285686.8</v>
      </c>
      <c r="AM1773" s="3057">
        <v>43173</v>
      </c>
      <c r="AN1773" s="3057">
        <f>AG1773</f>
        <v>714217</v>
      </c>
      <c r="AO1773" s="3057">
        <v>43207</v>
      </c>
      <c r="AP1773" s="3057">
        <f>AG1773-AN1773</f>
        <v>0</v>
      </c>
      <c r="AQ1773" s="584" t="s">
        <v>1463</v>
      </c>
      <c r="AR1773" s="2678" t="s">
        <v>1037</v>
      </c>
      <c r="AS1773" s="5667"/>
      <c r="AT1773" s="2678">
        <v>43691</v>
      </c>
      <c r="AU1773" s="2678">
        <f>SUM(AG1773:AG1775)</f>
        <v>1428434</v>
      </c>
      <c r="AV1773" s="2678">
        <f>SUM(AL1773:AL1775)</f>
        <v>1428434</v>
      </c>
      <c r="AW1773" s="2678">
        <f>SUM(AN1773:AN1775)</f>
        <v>1428434</v>
      </c>
      <c r="AX1773" s="2678">
        <f>M1773-AU1773</f>
        <v>0</v>
      </c>
      <c r="AY1773" s="2678">
        <f>AU1773-AV1773</f>
        <v>0</v>
      </c>
      <c r="AZ1773" s="2678">
        <f>AV1773-AW1773</f>
        <v>0</v>
      </c>
      <c r="BA1773" s="3057"/>
      <c r="BB1773" s="3057"/>
      <c r="BC1773" s="3057"/>
      <c r="BD1773" s="3057"/>
      <c r="BE1773" s="3057"/>
      <c r="BF1773" s="3057">
        <v>510155</v>
      </c>
      <c r="BG1773" s="3057"/>
      <c r="BH1773" s="3057">
        <v>204062</v>
      </c>
      <c r="BI1773" s="3057"/>
      <c r="BJ1773" s="3057"/>
      <c r="BK1773" s="3057"/>
      <c r="BL1773" s="3057"/>
      <c r="BM1773" s="3057"/>
      <c r="BN1773" s="3057"/>
      <c r="BO1773" s="3057"/>
      <c r="BP1773" s="3057"/>
      <c r="BQ1773" s="3057"/>
      <c r="BR1773" s="3057"/>
      <c r="BS1773" s="3057"/>
      <c r="BT1773" s="3057">
        <v>510155</v>
      </c>
      <c r="BU1773" s="3057"/>
      <c r="BV1773" s="3057">
        <v>204062</v>
      </c>
      <c r="BW1773" s="3057"/>
      <c r="BX1773" s="3057"/>
      <c r="BY1773" s="3057"/>
      <c r="BZ1773" s="3057"/>
      <c r="CA1773" s="3057"/>
      <c r="CB1773" s="3057"/>
      <c r="CC1773" s="3058" t="s">
        <v>1112</v>
      </c>
      <c r="CD1773" s="3058" t="s">
        <v>154</v>
      </c>
      <c r="CE1773" s="6781"/>
      <c r="CF1773" s="6781"/>
      <c r="CG1773" s="6781"/>
      <c r="CH1773" s="6781"/>
    </row>
    <row r="1774" s="4990" customFormat="1" ht="31" spans="1:86">
      <c r="A1774" s="3812"/>
      <c r="B1774" s="3057"/>
      <c r="C1774" s="3057"/>
      <c r="D1774" s="5054"/>
      <c r="E1774" s="3057"/>
      <c r="F1774" s="5056"/>
      <c r="G1774" s="5056"/>
      <c r="H1774" s="3057"/>
      <c r="I1774" s="5056"/>
      <c r="J1774" s="5056"/>
      <c r="K1774" s="3057"/>
      <c r="L1774" s="5056"/>
      <c r="M1774" s="3057"/>
      <c r="N1774" s="2678"/>
      <c r="O1774" s="2678"/>
      <c r="P1774" s="2678"/>
      <c r="Q1774" s="2678"/>
      <c r="R1774" s="2678"/>
      <c r="S1774" s="2678"/>
      <c r="T1774" s="2678"/>
      <c r="U1774" s="2678"/>
      <c r="V1774" s="2678"/>
      <c r="W1774" s="2678"/>
      <c r="X1774" s="2678"/>
      <c r="Y1774" s="2678"/>
      <c r="Z1774" s="2678"/>
      <c r="AA1774" s="2678"/>
      <c r="AB1774" s="2678"/>
      <c r="AC1774" s="5056" t="s">
        <v>3155</v>
      </c>
      <c r="AD1774" s="6793" t="s">
        <v>3097</v>
      </c>
      <c r="AE1774" s="1082">
        <v>0.3</v>
      </c>
      <c r="AF1774" s="3057">
        <f>AE1774*M1773</f>
        <v>428530.2</v>
      </c>
      <c r="AG1774" s="3057"/>
      <c r="AH1774" s="3057" t="s">
        <v>206</v>
      </c>
      <c r="AI1774" s="3057">
        <v>43202</v>
      </c>
      <c r="AJ1774" s="3057">
        <f t="shared" si="383"/>
        <v>428530.2</v>
      </c>
      <c r="AK1774" s="3057" t="s">
        <v>171</v>
      </c>
      <c r="AL1774" s="3057">
        <v>428530.2</v>
      </c>
      <c r="AM1774" s="3057">
        <v>43202</v>
      </c>
      <c r="AN1774" s="3057"/>
      <c r="AO1774" s="3057">
        <v>43260</v>
      </c>
      <c r="AP1774" s="3057"/>
      <c r="AQ1774" s="3057"/>
      <c r="AR1774" s="2678" t="s">
        <v>1037</v>
      </c>
      <c r="AS1774" s="5667"/>
      <c r="AT1774" s="2678">
        <v>43691</v>
      </c>
      <c r="AU1774" s="2678"/>
      <c r="AV1774" s="2678"/>
      <c r="AW1774" s="2678"/>
      <c r="AX1774" s="2678"/>
      <c r="AY1774" s="2678"/>
      <c r="AZ1774" s="2678"/>
      <c r="BA1774" s="3057"/>
      <c r="BB1774" s="3057"/>
      <c r="BC1774" s="3057"/>
      <c r="BD1774" s="3057"/>
      <c r="BE1774" s="3057"/>
      <c r="BF1774" s="3057"/>
      <c r="BG1774" s="3057"/>
      <c r="BH1774" s="3057"/>
      <c r="BI1774" s="3057"/>
      <c r="BJ1774" s="3057"/>
      <c r="BK1774" s="3057"/>
      <c r="BL1774" s="3057"/>
      <c r="BM1774" s="3057"/>
      <c r="BN1774" s="3057"/>
      <c r="BO1774" s="3057"/>
      <c r="BP1774" s="3057"/>
      <c r="BQ1774" s="3057"/>
      <c r="BR1774" s="3057"/>
      <c r="BS1774" s="3057"/>
      <c r="BT1774" s="3057"/>
      <c r="BU1774" s="3057"/>
      <c r="BV1774" s="3057"/>
      <c r="BW1774" s="3057"/>
      <c r="BX1774" s="3057"/>
      <c r="BY1774" s="3057"/>
      <c r="BZ1774" s="3057"/>
      <c r="CA1774" s="3057"/>
      <c r="CB1774" s="3057"/>
      <c r="CC1774" s="3058"/>
      <c r="CD1774" s="3058"/>
      <c r="CE1774" s="6781"/>
      <c r="CF1774" s="6781"/>
      <c r="CG1774" s="6781"/>
      <c r="CH1774" s="6781"/>
    </row>
    <row r="1775" s="4990" customFormat="1" ht="32.5" customHeight="1" spans="1:86">
      <c r="A1775" s="3812"/>
      <c r="B1775" s="3057"/>
      <c r="C1775" s="3057"/>
      <c r="D1775" s="5054"/>
      <c r="E1775" s="3057"/>
      <c r="F1775" s="5056"/>
      <c r="G1775" s="5056"/>
      <c r="H1775" s="3057"/>
      <c r="I1775" s="5056"/>
      <c r="J1775" s="5056"/>
      <c r="K1775" s="3057"/>
      <c r="L1775" s="5056"/>
      <c r="M1775" s="3057"/>
      <c r="N1775" s="2678"/>
      <c r="O1775" s="2678"/>
      <c r="P1775" s="2678"/>
      <c r="Q1775" s="2678"/>
      <c r="R1775" s="2678"/>
      <c r="S1775" s="2678"/>
      <c r="T1775" s="2678"/>
      <c r="U1775" s="2678"/>
      <c r="V1775" s="2678"/>
      <c r="W1775" s="2678"/>
      <c r="X1775" s="2678"/>
      <c r="Y1775" s="2678"/>
      <c r="Z1775" s="2678"/>
      <c r="AA1775" s="2678"/>
      <c r="AB1775" s="2678"/>
      <c r="AC1775" s="5056" t="s">
        <v>3156</v>
      </c>
      <c r="AD1775" s="6793" t="s">
        <v>2567</v>
      </c>
      <c r="AE1775" s="1082">
        <v>0.5</v>
      </c>
      <c r="AF1775" s="3057">
        <f>AE1775*M1773</f>
        <v>714217</v>
      </c>
      <c r="AG1775" s="3057">
        <f t="shared" ref="AG1775:AG1787" si="384">SUM(BA1775:BN1775)</f>
        <v>714217</v>
      </c>
      <c r="AH1775" s="3057" t="s">
        <v>206</v>
      </c>
      <c r="AI1775" s="3057">
        <v>43595</v>
      </c>
      <c r="AJ1775" s="3057">
        <f t="shared" si="383"/>
        <v>714217</v>
      </c>
      <c r="AK1775" s="3057" t="s">
        <v>171</v>
      </c>
      <c r="AL1775" s="3057">
        <v>714217</v>
      </c>
      <c r="AM1775" s="3057">
        <v>43595</v>
      </c>
      <c r="AN1775" s="3057">
        <v>714217</v>
      </c>
      <c r="AO1775" s="3057">
        <v>43626</v>
      </c>
      <c r="AP1775" s="3057">
        <f t="shared" ref="AP1775:AP1784" si="385">AG1775-AL1775</f>
        <v>0</v>
      </c>
      <c r="AQ1775" s="3057"/>
      <c r="AR1775" s="2678" t="s">
        <v>1037</v>
      </c>
      <c r="AS1775" s="5667"/>
      <c r="AT1775" s="2678">
        <v>43691</v>
      </c>
      <c r="AU1775" s="2678"/>
      <c r="AV1775" s="2678"/>
      <c r="AW1775" s="2678"/>
      <c r="AX1775" s="2678"/>
      <c r="AY1775" s="2678"/>
      <c r="AZ1775" s="2678"/>
      <c r="BA1775" s="3057"/>
      <c r="BB1775" s="3057"/>
      <c r="BC1775" s="3057"/>
      <c r="BD1775" s="3057"/>
      <c r="BE1775" s="3057"/>
      <c r="BF1775" s="3057">
        <v>511029.88</v>
      </c>
      <c r="BG1775" s="3057"/>
      <c r="BH1775" s="3057">
        <v>203187.12</v>
      </c>
      <c r="BI1775" s="3057"/>
      <c r="BJ1775" s="3057"/>
      <c r="BK1775" s="3057"/>
      <c r="BL1775" s="3057"/>
      <c r="BM1775" s="3057"/>
      <c r="BN1775" s="3057"/>
      <c r="BO1775" s="3057"/>
      <c r="BP1775" s="3057"/>
      <c r="BQ1775" s="3057"/>
      <c r="BR1775" s="3057"/>
      <c r="BS1775" s="3057"/>
      <c r="BT1775" s="3057">
        <v>511029.88</v>
      </c>
      <c r="BU1775" s="3057"/>
      <c r="BV1775" s="3057">
        <v>203187.12</v>
      </c>
      <c r="BW1775" s="3057"/>
      <c r="BX1775" s="3057"/>
      <c r="BY1775" s="3057"/>
      <c r="BZ1775" s="3057"/>
      <c r="CA1775" s="3057"/>
      <c r="CB1775" s="3057"/>
      <c r="CC1775" s="3058"/>
      <c r="CD1775" s="3058"/>
      <c r="CE1775" s="6781"/>
      <c r="CF1775" s="6781"/>
      <c r="CG1775" s="6781"/>
      <c r="CH1775" s="6781"/>
    </row>
    <row r="1776" s="4992" customFormat="1" ht="76" spans="1:86">
      <c r="A1776" s="3812">
        <v>30</v>
      </c>
      <c r="B1776" s="3684" t="s">
        <v>3079</v>
      </c>
      <c r="C1776" s="3684">
        <v>43313</v>
      </c>
      <c r="D1776" s="5055" t="s">
        <v>3157</v>
      </c>
      <c r="E1776" s="3684" t="s">
        <v>113</v>
      </c>
      <c r="F1776" s="5060" t="s">
        <v>3158</v>
      </c>
      <c r="G1776" s="5055" t="s">
        <v>3159</v>
      </c>
      <c r="H1776" s="3684" t="s">
        <v>286</v>
      </c>
      <c r="I1776" s="3684"/>
      <c r="J1776" s="5060" t="s">
        <v>3122</v>
      </c>
      <c r="K1776" s="3684" t="s">
        <v>171</v>
      </c>
      <c r="L1776" s="5060" t="s">
        <v>3160</v>
      </c>
      <c r="M1776" s="3684">
        <f>SUM(N1776:AA1776)</f>
        <v>250000</v>
      </c>
      <c r="N1776" s="2678">
        <v>0</v>
      </c>
      <c r="O1776" s="2678">
        <v>0</v>
      </c>
      <c r="P1776" s="2678">
        <v>250000</v>
      </c>
      <c r="Q1776" s="2678">
        <v>0</v>
      </c>
      <c r="R1776" s="2678">
        <v>0</v>
      </c>
      <c r="S1776" s="2678">
        <v>0</v>
      </c>
      <c r="T1776" s="5823">
        <v>0</v>
      </c>
      <c r="U1776" s="2678">
        <v>0</v>
      </c>
      <c r="V1776" s="2678">
        <v>0</v>
      </c>
      <c r="W1776" s="2678">
        <v>0</v>
      </c>
      <c r="X1776" s="2678">
        <v>0</v>
      </c>
      <c r="Y1776" s="2678">
        <v>0</v>
      </c>
      <c r="Z1776" s="2678"/>
      <c r="AA1776" s="2678">
        <v>0</v>
      </c>
      <c r="AB1776" s="2678"/>
      <c r="AC1776" s="3684" t="s">
        <v>1055</v>
      </c>
      <c r="AD1776" s="6792" t="s">
        <v>1135</v>
      </c>
      <c r="AE1776" s="2139">
        <v>1</v>
      </c>
      <c r="AF1776" s="3684">
        <v>250000</v>
      </c>
      <c r="AG1776" s="3684">
        <f t="shared" si="384"/>
        <v>250000</v>
      </c>
      <c r="AH1776" s="3684" t="s">
        <v>206</v>
      </c>
      <c r="AI1776" s="3684">
        <v>43691</v>
      </c>
      <c r="AJ1776" s="3684">
        <v>250000</v>
      </c>
      <c r="AK1776" s="3684" t="s">
        <v>171</v>
      </c>
      <c r="AL1776" s="3684">
        <v>250000</v>
      </c>
      <c r="AM1776" s="3684">
        <v>43691</v>
      </c>
      <c r="AN1776" s="3684">
        <v>250000</v>
      </c>
      <c r="AO1776" s="3684">
        <v>43830</v>
      </c>
      <c r="AP1776" s="3684">
        <f t="shared" si="385"/>
        <v>0</v>
      </c>
      <c r="AQ1776" s="3814" t="s">
        <v>1463</v>
      </c>
      <c r="AR1776" s="3684" t="s">
        <v>1037</v>
      </c>
      <c r="AS1776" s="5060"/>
      <c r="AT1776" s="3684"/>
      <c r="AU1776" s="2678">
        <f>AG1776</f>
        <v>250000</v>
      </c>
      <c r="AV1776" s="2678">
        <f>AL1776</f>
        <v>250000</v>
      </c>
      <c r="AW1776" s="2678">
        <f>AN1776</f>
        <v>250000</v>
      </c>
      <c r="AX1776" s="2678">
        <f>M1776-AU1776</f>
        <v>0</v>
      </c>
      <c r="AY1776" s="2678">
        <f>AU1776-AV1776</f>
        <v>0</v>
      </c>
      <c r="AZ1776" s="2678">
        <f>AV1776-AW1776</f>
        <v>0</v>
      </c>
      <c r="BA1776" s="3684"/>
      <c r="BB1776" s="3684"/>
      <c r="BC1776" s="3684">
        <v>250000</v>
      </c>
      <c r="BD1776" s="3684"/>
      <c r="BE1776" s="3684"/>
      <c r="BF1776" s="3684"/>
      <c r="BG1776" s="3684"/>
      <c r="BH1776" s="3684"/>
      <c r="BI1776" s="3684"/>
      <c r="BJ1776" s="3684"/>
      <c r="BK1776" s="3684"/>
      <c r="BL1776" s="3684"/>
      <c r="BM1776" s="3684"/>
      <c r="BN1776" s="3684"/>
      <c r="BO1776" s="3684"/>
      <c r="BP1776" s="3684"/>
      <c r="BQ1776" s="3684">
        <v>250000</v>
      </c>
      <c r="BR1776" s="3684"/>
      <c r="BS1776" s="3684"/>
      <c r="BT1776" s="3684"/>
      <c r="BU1776" s="3684"/>
      <c r="BV1776" s="3684"/>
      <c r="BW1776" s="3684"/>
      <c r="BX1776" s="3684"/>
      <c r="BY1776" s="3684"/>
      <c r="BZ1776" s="3684"/>
      <c r="CA1776" s="3684"/>
      <c r="CB1776" s="3684"/>
      <c r="CC1776" s="3662"/>
      <c r="CD1776" s="3662"/>
      <c r="CE1776" s="6802"/>
      <c r="CF1776" s="6802"/>
      <c r="CG1776" s="6802"/>
      <c r="CH1776" s="6802"/>
    </row>
    <row r="1777" s="4990" customFormat="1" spans="1:86">
      <c r="A1777" s="3812">
        <v>31</v>
      </c>
      <c r="B1777" s="584" t="s">
        <v>3016</v>
      </c>
      <c r="C1777" s="3057">
        <v>43435</v>
      </c>
      <c r="D1777" s="1125" t="s">
        <v>3161</v>
      </c>
      <c r="E1777" s="3057" t="s">
        <v>113</v>
      </c>
      <c r="F1777" s="5056" t="s">
        <v>3162</v>
      </c>
      <c r="G1777" s="5056" t="s">
        <v>3163</v>
      </c>
      <c r="H1777" s="3057" t="s">
        <v>214</v>
      </c>
      <c r="I1777" s="5056"/>
      <c r="J1777" s="5056" t="s">
        <v>3164</v>
      </c>
      <c r="K1777" s="3057" t="s">
        <v>171</v>
      </c>
      <c r="L1777" s="5056"/>
      <c r="M1777" s="3057">
        <f>SUM(N1777:AA1780)</f>
        <v>1754200</v>
      </c>
      <c r="N1777" s="2678">
        <v>0</v>
      </c>
      <c r="O1777" s="2678">
        <v>1754200</v>
      </c>
      <c r="P1777" s="2678">
        <v>0</v>
      </c>
      <c r="Q1777" s="2678">
        <v>0</v>
      </c>
      <c r="R1777" s="2678">
        <v>0</v>
      </c>
      <c r="S1777" s="2678">
        <v>0</v>
      </c>
      <c r="T1777" s="5823">
        <v>0</v>
      </c>
      <c r="U1777" s="2678">
        <v>0</v>
      </c>
      <c r="V1777" s="2678">
        <v>0</v>
      </c>
      <c r="W1777" s="2678">
        <v>0</v>
      </c>
      <c r="X1777" s="2678"/>
      <c r="Y1777" s="2678"/>
      <c r="Z1777" s="2678"/>
      <c r="AA1777" s="2678">
        <v>0</v>
      </c>
      <c r="AB1777" s="5667" t="s">
        <v>3165</v>
      </c>
      <c r="AC1777" s="3057" t="s">
        <v>1055</v>
      </c>
      <c r="AD1777" s="6793" t="s">
        <v>1135</v>
      </c>
      <c r="AE1777" s="1082">
        <v>0.2</v>
      </c>
      <c r="AF1777" s="3057">
        <v>1118679.246</v>
      </c>
      <c r="AG1777" s="3057">
        <f t="shared" si="384"/>
        <v>1118680.246</v>
      </c>
      <c r="AH1777" s="3057" t="s">
        <v>206</v>
      </c>
      <c r="AI1777" s="3057">
        <v>43441</v>
      </c>
      <c r="AJ1777" s="3057">
        <v>1118680.246</v>
      </c>
      <c r="AK1777" s="3057" t="s">
        <v>171</v>
      </c>
      <c r="AL1777" s="3057">
        <v>1118680.246</v>
      </c>
      <c r="AM1777" s="3057">
        <v>43691</v>
      </c>
      <c r="AN1777" s="3057">
        <v>1118680.246</v>
      </c>
      <c r="AO1777" s="3057">
        <v>43445</v>
      </c>
      <c r="AP1777" s="3057">
        <f t="shared" si="385"/>
        <v>0</v>
      </c>
      <c r="AQ1777" s="584" t="s">
        <v>1463</v>
      </c>
      <c r="AR1777" s="2678" t="s">
        <v>1037</v>
      </c>
      <c r="AS1777" s="5667"/>
      <c r="AT1777" s="2678"/>
      <c r="AU1777" s="2678">
        <f>SUM(AG1777:AG1780)</f>
        <v>5313730.4185</v>
      </c>
      <c r="AV1777" s="2678">
        <f>SUM(AL1777:AL1780)</f>
        <v>5313730.4185</v>
      </c>
      <c r="AW1777" s="2678">
        <f>SUM(AN1777:AN1780)</f>
        <v>5313730.4185</v>
      </c>
      <c r="AX1777" s="2678">
        <f>M1777-AU1777</f>
        <v>-3559530.4185</v>
      </c>
      <c r="AY1777" s="2678">
        <f>AU1777-AV1777</f>
        <v>0</v>
      </c>
      <c r="AZ1777" s="2678">
        <f>AV1777-AW1777</f>
        <v>0</v>
      </c>
      <c r="BA1777" s="3057"/>
      <c r="BB1777" s="3057">
        <v>1118680.246</v>
      </c>
      <c r="BC1777" s="3057"/>
      <c r="BD1777" s="3057"/>
      <c r="BE1777" s="3057"/>
      <c r="BF1777" s="3057"/>
      <c r="BG1777" s="3057"/>
      <c r="BH1777" s="3057"/>
      <c r="BI1777" s="3057"/>
      <c r="BJ1777" s="3057"/>
      <c r="BK1777" s="3057"/>
      <c r="BL1777" s="3057"/>
      <c r="BM1777" s="3057"/>
      <c r="BN1777" s="3057"/>
      <c r="BO1777" s="3057"/>
      <c r="BP1777" s="3057">
        <v>1118680.246</v>
      </c>
      <c r="BQ1777" s="3057"/>
      <c r="BR1777" s="3057"/>
      <c r="BS1777" s="3057"/>
      <c r="BT1777" s="3057"/>
      <c r="BU1777" s="3057"/>
      <c r="BV1777" s="3057"/>
      <c r="BW1777" s="3057"/>
      <c r="BX1777" s="3057"/>
      <c r="BY1777" s="3057"/>
      <c r="BZ1777" s="3057"/>
      <c r="CA1777" s="3057"/>
      <c r="CB1777" s="3057"/>
      <c r="CC1777" s="3058"/>
      <c r="CD1777" s="3058"/>
      <c r="CE1777" s="6781"/>
      <c r="CF1777" s="6781"/>
      <c r="CG1777" s="6781"/>
      <c r="CH1777" s="6781"/>
    </row>
    <row r="1778" s="4990" customFormat="1" ht="46" spans="1:86">
      <c r="A1778" s="3812"/>
      <c r="B1778" s="3057"/>
      <c r="C1778" s="3057"/>
      <c r="D1778" s="5056"/>
      <c r="E1778" s="3057"/>
      <c r="F1778" s="5056"/>
      <c r="G1778" s="5056"/>
      <c r="H1778" s="3057"/>
      <c r="I1778" s="5056"/>
      <c r="J1778" s="5056"/>
      <c r="K1778" s="3057"/>
      <c r="L1778" s="5056"/>
      <c r="M1778" s="3057"/>
      <c r="N1778" s="2678"/>
      <c r="O1778" s="2678"/>
      <c r="P1778" s="2678"/>
      <c r="Q1778" s="2678"/>
      <c r="R1778" s="2678"/>
      <c r="S1778" s="2678"/>
      <c r="T1778" s="2678"/>
      <c r="U1778" s="2678"/>
      <c r="V1778" s="2678"/>
      <c r="W1778" s="2678"/>
      <c r="X1778" s="2678"/>
      <c r="Y1778" s="2678"/>
      <c r="Z1778" s="2678"/>
      <c r="AA1778" s="2678"/>
      <c r="AB1778" s="5667"/>
      <c r="AC1778" s="3057" t="s">
        <v>1057</v>
      </c>
      <c r="AD1778" s="6793" t="s">
        <v>1136</v>
      </c>
      <c r="AE1778" s="1082">
        <v>0.5</v>
      </c>
      <c r="AF1778" s="3057">
        <v>1678018.869</v>
      </c>
      <c r="AG1778" s="3057">
        <f t="shared" si="384"/>
        <v>1678019.869</v>
      </c>
      <c r="AH1778" s="3057" t="s">
        <v>206</v>
      </c>
      <c r="AI1778" s="3057">
        <v>43441</v>
      </c>
      <c r="AJ1778" s="3057">
        <v>1678019.869</v>
      </c>
      <c r="AK1778" s="3057" t="s">
        <v>171</v>
      </c>
      <c r="AL1778" s="3057">
        <v>1678019.869</v>
      </c>
      <c r="AM1778" s="3057"/>
      <c r="AN1778" s="3057">
        <v>1678019.869</v>
      </c>
      <c r="AO1778" s="3057">
        <v>43445</v>
      </c>
      <c r="AP1778" s="3057">
        <f t="shared" si="385"/>
        <v>0</v>
      </c>
      <c r="AQ1778" s="3057"/>
      <c r="AR1778" s="2678" t="s">
        <v>1037</v>
      </c>
      <c r="AS1778" s="5667"/>
      <c r="AT1778" s="2678" t="s">
        <v>171</v>
      </c>
      <c r="AU1778" s="2678"/>
      <c r="AV1778" s="2678"/>
      <c r="AW1778" s="2678"/>
      <c r="AX1778" s="2678"/>
      <c r="AY1778" s="2678"/>
      <c r="AZ1778" s="2678"/>
      <c r="BA1778" s="3057"/>
      <c r="BB1778" s="3057">
        <v>1678019.869</v>
      </c>
      <c r="BC1778" s="3057"/>
      <c r="BD1778" s="3057"/>
      <c r="BE1778" s="3057"/>
      <c r="BF1778" s="3057"/>
      <c r="BG1778" s="3057"/>
      <c r="BH1778" s="3057"/>
      <c r="BI1778" s="3057"/>
      <c r="BJ1778" s="3057"/>
      <c r="BK1778" s="3057"/>
      <c r="BL1778" s="3057"/>
      <c r="BM1778" s="3057"/>
      <c r="BN1778" s="3057"/>
      <c r="BO1778" s="3057"/>
      <c r="BP1778" s="3057">
        <v>1678019.869</v>
      </c>
      <c r="BQ1778" s="3057"/>
      <c r="BR1778" s="3057"/>
      <c r="BS1778" s="3057"/>
      <c r="BT1778" s="3057"/>
      <c r="BU1778" s="3057"/>
      <c r="BV1778" s="3057"/>
      <c r="BW1778" s="3057"/>
      <c r="BX1778" s="3057"/>
      <c r="BY1778" s="3057"/>
      <c r="BZ1778" s="3057"/>
      <c r="CA1778" s="3057"/>
      <c r="CB1778" s="3057"/>
      <c r="CC1778" s="3058"/>
      <c r="CD1778" s="3058"/>
      <c r="CE1778" s="6781"/>
      <c r="CF1778" s="6781"/>
      <c r="CG1778" s="6781"/>
      <c r="CH1778" s="6781"/>
    </row>
    <row r="1779" s="4990" customFormat="1" ht="46" spans="1:86">
      <c r="A1779" s="3812"/>
      <c r="B1779" s="3057"/>
      <c r="C1779" s="3057"/>
      <c r="D1779" s="5056"/>
      <c r="E1779" s="3057"/>
      <c r="F1779" s="5056"/>
      <c r="G1779" s="5056"/>
      <c r="H1779" s="3057"/>
      <c r="I1779" s="5056"/>
      <c r="J1779" s="5056"/>
      <c r="K1779" s="3057"/>
      <c r="L1779" s="5056"/>
      <c r="M1779" s="3057"/>
      <c r="N1779" s="2678"/>
      <c r="O1779" s="2678"/>
      <c r="P1779" s="2678"/>
      <c r="Q1779" s="2678"/>
      <c r="R1779" s="2678"/>
      <c r="S1779" s="2678"/>
      <c r="T1779" s="2678"/>
      <c r="U1779" s="2678"/>
      <c r="V1779" s="2678"/>
      <c r="W1779" s="2678"/>
      <c r="X1779" s="2678"/>
      <c r="Y1779" s="2678"/>
      <c r="Z1779" s="2678"/>
      <c r="AA1779" s="2678"/>
      <c r="AB1779" s="5667"/>
      <c r="AC1779" s="3057" t="s">
        <v>1059</v>
      </c>
      <c r="AD1779" s="6793" t="s">
        <v>1137</v>
      </c>
      <c r="AE1779" s="1082">
        <v>0.25</v>
      </c>
      <c r="AF1779" s="3057">
        <v>1118679.246</v>
      </c>
      <c r="AG1779" s="3057">
        <f t="shared" si="384"/>
        <v>1118680.246</v>
      </c>
      <c r="AH1779" s="3057" t="s">
        <v>206</v>
      </c>
      <c r="AI1779" s="3057">
        <v>43441</v>
      </c>
      <c r="AJ1779" s="3057">
        <v>1118680.246</v>
      </c>
      <c r="AK1779" s="3057" t="s">
        <v>171</v>
      </c>
      <c r="AL1779" s="3057">
        <v>1118680.246</v>
      </c>
      <c r="AM1779" s="3057"/>
      <c r="AN1779" s="3057">
        <v>1118680.246</v>
      </c>
      <c r="AO1779" s="3057">
        <v>43445</v>
      </c>
      <c r="AP1779" s="3057">
        <f t="shared" si="385"/>
        <v>0</v>
      </c>
      <c r="AQ1779" s="3057"/>
      <c r="AR1779" s="2678" t="s">
        <v>1037</v>
      </c>
      <c r="AS1779" s="5667"/>
      <c r="AT1779" s="2678" t="s">
        <v>171</v>
      </c>
      <c r="AU1779" s="2678"/>
      <c r="AV1779" s="2678"/>
      <c r="AW1779" s="2678"/>
      <c r="AX1779" s="2678"/>
      <c r="AY1779" s="2678"/>
      <c r="AZ1779" s="2678"/>
      <c r="BA1779" s="3057"/>
      <c r="BB1779" s="3057">
        <v>1118680.246</v>
      </c>
      <c r="BC1779" s="3057"/>
      <c r="BD1779" s="3057"/>
      <c r="BE1779" s="3057"/>
      <c r="BF1779" s="3057"/>
      <c r="BG1779" s="3057"/>
      <c r="BH1779" s="3057"/>
      <c r="BI1779" s="3057"/>
      <c r="BJ1779" s="3057"/>
      <c r="BK1779" s="3057"/>
      <c r="BL1779" s="3057"/>
      <c r="BM1779" s="3057"/>
      <c r="BN1779" s="3057"/>
      <c r="BO1779" s="3057"/>
      <c r="BP1779" s="3057">
        <v>1118680.246</v>
      </c>
      <c r="BQ1779" s="3057"/>
      <c r="BR1779" s="3057"/>
      <c r="BS1779" s="3057"/>
      <c r="BT1779" s="3057"/>
      <c r="BU1779" s="3057"/>
      <c r="BV1779" s="3057"/>
      <c r="BW1779" s="3057"/>
      <c r="BX1779" s="3057"/>
      <c r="BY1779" s="3057"/>
      <c r="BZ1779" s="3057"/>
      <c r="CA1779" s="3057"/>
      <c r="CB1779" s="3057"/>
      <c r="CC1779" s="3058"/>
      <c r="CD1779" s="3058"/>
      <c r="CE1779" s="6781"/>
      <c r="CF1779" s="6781"/>
      <c r="CG1779" s="6781"/>
      <c r="CH1779" s="6781"/>
    </row>
    <row r="1780" s="4990" customFormat="1" ht="31" spans="1:86">
      <c r="A1780" s="3812"/>
      <c r="B1780" s="3057"/>
      <c r="C1780" s="3057"/>
      <c r="D1780" s="5056"/>
      <c r="E1780" s="3057"/>
      <c r="F1780" s="5056"/>
      <c r="G1780" s="5056"/>
      <c r="H1780" s="3057"/>
      <c r="I1780" s="5056"/>
      <c r="J1780" s="5056"/>
      <c r="K1780" s="3057"/>
      <c r="L1780" s="5056"/>
      <c r="M1780" s="3057"/>
      <c r="N1780" s="2678"/>
      <c r="O1780" s="2678"/>
      <c r="P1780" s="2678"/>
      <c r="Q1780" s="2678"/>
      <c r="R1780" s="2678"/>
      <c r="S1780" s="2678"/>
      <c r="T1780" s="2678"/>
      <c r="U1780" s="2678"/>
      <c r="V1780" s="2678"/>
      <c r="W1780" s="2678"/>
      <c r="X1780" s="2678"/>
      <c r="Y1780" s="2678"/>
      <c r="Z1780" s="2678"/>
      <c r="AA1780" s="2678"/>
      <c r="AB1780" s="5667"/>
      <c r="AC1780" s="3057" t="s">
        <v>1061</v>
      </c>
      <c r="AD1780" s="6793" t="s">
        <v>1139</v>
      </c>
      <c r="AE1780" s="1082">
        <v>0.05</v>
      </c>
      <c r="AF1780" s="3057">
        <v>1398349.0575</v>
      </c>
      <c r="AG1780" s="3057">
        <f t="shared" si="384"/>
        <v>1398350.0575</v>
      </c>
      <c r="AH1780" s="3057" t="s">
        <v>206</v>
      </c>
      <c r="AI1780" s="3057">
        <v>43441</v>
      </c>
      <c r="AJ1780" s="3057">
        <v>1398350.0575</v>
      </c>
      <c r="AK1780" s="3057" t="s">
        <v>171</v>
      </c>
      <c r="AL1780" s="3057">
        <v>1398350.0575</v>
      </c>
      <c r="AM1780" s="3057"/>
      <c r="AN1780" s="3057">
        <v>1398350.0575</v>
      </c>
      <c r="AO1780" s="3057">
        <v>43445</v>
      </c>
      <c r="AP1780" s="3057">
        <f t="shared" si="385"/>
        <v>0</v>
      </c>
      <c r="AQ1780" s="3057"/>
      <c r="AR1780" s="2678" t="s">
        <v>1037</v>
      </c>
      <c r="AS1780" s="5667"/>
      <c r="AT1780" s="2678" t="s">
        <v>171</v>
      </c>
      <c r="AU1780" s="2678"/>
      <c r="AV1780" s="2678"/>
      <c r="AW1780" s="2678"/>
      <c r="AX1780" s="2678"/>
      <c r="AY1780" s="2678"/>
      <c r="AZ1780" s="2678"/>
      <c r="BA1780" s="3057"/>
      <c r="BB1780" s="3057">
        <v>1398350.0575</v>
      </c>
      <c r="BC1780" s="3057"/>
      <c r="BD1780" s="3057"/>
      <c r="BE1780" s="3057"/>
      <c r="BF1780" s="3057"/>
      <c r="BG1780" s="3057"/>
      <c r="BH1780" s="3057"/>
      <c r="BI1780" s="3057"/>
      <c r="BJ1780" s="3057"/>
      <c r="BK1780" s="3057"/>
      <c r="BL1780" s="3057"/>
      <c r="BM1780" s="3057"/>
      <c r="BN1780" s="3057"/>
      <c r="BO1780" s="3057"/>
      <c r="BP1780" s="3057">
        <v>1398350.0575</v>
      </c>
      <c r="BQ1780" s="3057"/>
      <c r="BR1780" s="3057"/>
      <c r="BS1780" s="3057"/>
      <c r="BT1780" s="3057"/>
      <c r="BU1780" s="3057"/>
      <c r="BV1780" s="3057"/>
      <c r="BW1780" s="3057"/>
      <c r="BX1780" s="3057"/>
      <c r="BY1780" s="3057"/>
      <c r="BZ1780" s="3057"/>
      <c r="CA1780" s="3057"/>
      <c r="CB1780" s="3057"/>
      <c r="CC1780" s="3058"/>
      <c r="CD1780" s="3058"/>
      <c r="CE1780" s="6781"/>
      <c r="CF1780" s="6781"/>
      <c r="CG1780" s="6781"/>
      <c r="CH1780" s="6781"/>
    </row>
    <row r="1781" s="4981" customFormat="1" ht="30.85" customHeight="1" spans="1:86">
      <c r="A1781" s="3812">
        <v>35</v>
      </c>
      <c r="B1781" s="857" t="s">
        <v>3016</v>
      </c>
      <c r="C1781" s="3812">
        <v>43282</v>
      </c>
      <c r="D1781" s="5059" t="s">
        <v>3166</v>
      </c>
      <c r="E1781" s="3812" t="s">
        <v>113</v>
      </c>
      <c r="F1781" s="5059" t="s">
        <v>3167</v>
      </c>
      <c r="G1781" s="5059" t="s">
        <v>3168</v>
      </c>
      <c r="H1781" s="3812" t="s">
        <v>193</v>
      </c>
      <c r="I1781" s="4840"/>
      <c r="J1781" s="5059" t="s">
        <v>563</v>
      </c>
      <c r="K1781" s="3812">
        <v>203672.87</v>
      </c>
      <c r="L1781" s="5059" t="s">
        <v>3169</v>
      </c>
      <c r="M1781" s="3812">
        <f>SUM(N1781:AA1784)</f>
        <v>1934892.27</v>
      </c>
      <c r="N1781" s="2678" t="s">
        <v>16</v>
      </c>
      <c r="O1781" s="2678">
        <v>0</v>
      </c>
      <c r="P1781" s="2678">
        <v>0</v>
      </c>
      <c r="Q1781" s="2678">
        <v>0</v>
      </c>
      <c r="R1781" s="2678">
        <v>0</v>
      </c>
      <c r="S1781" s="2678">
        <v>600000</v>
      </c>
      <c r="T1781" s="2678"/>
      <c r="U1781" s="2678">
        <v>0</v>
      </c>
      <c r="V1781" s="2678">
        <v>1334892.27</v>
      </c>
      <c r="W1781" s="2678">
        <v>0</v>
      </c>
      <c r="X1781" s="2678"/>
      <c r="Y1781" s="2678"/>
      <c r="Z1781" s="2678"/>
      <c r="AA1781" s="2678">
        <v>0</v>
      </c>
      <c r="AB1781" s="5667" t="s">
        <v>171</v>
      </c>
      <c r="AC1781" s="5059" t="s">
        <v>3170</v>
      </c>
      <c r="AD1781" s="5105" t="s">
        <v>3171</v>
      </c>
      <c r="AE1781" s="1095">
        <v>0.2</v>
      </c>
      <c r="AF1781" s="3812">
        <f>M1781*AE1781</f>
        <v>386978.454</v>
      </c>
      <c r="AG1781" s="3812">
        <f t="shared" si="384"/>
        <v>386978.45</v>
      </c>
      <c r="AH1781" s="3812" t="s">
        <v>206</v>
      </c>
      <c r="AI1781" s="3812">
        <v>43433</v>
      </c>
      <c r="AJ1781" s="3812">
        <v>386978.454</v>
      </c>
      <c r="AK1781" s="3812" t="s">
        <v>171</v>
      </c>
      <c r="AL1781" s="3812">
        <v>386978.454</v>
      </c>
      <c r="AM1781" s="3812">
        <v>43433</v>
      </c>
      <c r="AN1781" s="3812">
        <f t="shared" ref="AN1781:AN1792" si="386">SUM(BO1781:CB1781)</f>
        <v>386978.454</v>
      </c>
      <c r="AO1781" s="3812">
        <v>43467</v>
      </c>
      <c r="AP1781" s="3812">
        <f t="shared" si="385"/>
        <v>-0.00400000001536682</v>
      </c>
      <c r="AQ1781" s="5059" t="s">
        <v>3172</v>
      </c>
      <c r="AR1781" s="2678" t="s">
        <v>1037</v>
      </c>
      <c r="AS1781" s="5667"/>
      <c r="AT1781" s="2678"/>
      <c r="AU1781" s="2678">
        <f>SUM(AG1781:AG1784)</f>
        <v>1934892.27</v>
      </c>
      <c r="AV1781" s="2678">
        <f>SUM(AL1781:AL1784)</f>
        <v>967446.135</v>
      </c>
      <c r="AW1781" s="2678">
        <f>SUM(AN1781:AN1784)</f>
        <v>967446.135</v>
      </c>
      <c r="AX1781" s="2678">
        <f>M1781-AU1781</f>
        <v>0</v>
      </c>
      <c r="AY1781" s="2678">
        <f>AU1781-AV1781</f>
        <v>967446.135</v>
      </c>
      <c r="AZ1781" s="2678">
        <f>AV1781-AW1781</f>
        <v>0</v>
      </c>
      <c r="BA1781" s="3812"/>
      <c r="BB1781" s="3812"/>
      <c r="BC1781" s="3812"/>
      <c r="BD1781" s="3812"/>
      <c r="BE1781" s="3812"/>
      <c r="BF1781" s="3812">
        <v>120000</v>
      </c>
      <c r="BG1781" s="3812"/>
      <c r="BH1781" s="3812"/>
      <c r="BI1781" s="3812">
        <v>266978.45</v>
      </c>
      <c r="BJ1781" s="3812"/>
      <c r="BK1781" s="3812"/>
      <c r="BL1781" s="3812"/>
      <c r="BM1781" s="3812"/>
      <c r="BN1781" s="3812"/>
      <c r="BO1781" s="3812"/>
      <c r="BP1781" s="3812"/>
      <c r="BQ1781" s="3812"/>
      <c r="BR1781" s="3812"/>
      <c r="BS1781" s="3812"/>
      <c r="BT1781" s="3812">
        <v>120000</v>
      </c>
      <c r="BU1781" s="3812"/>
      <c r="BV1781" s="3812"/>
      <c r="BW1781" s="3812">
        <v>266978.454</v>
      </c>
      <c r="BX1781" s="3812"/>
      <c r="BY1781" s="3812"/>
      <c r="BZ1781" s="3812"/>
      <c r="CA1781" s="3812"/>
      <c r="CB1781" s="3812"/>
      <c r="CC1781" s="3524"/>
      <c r="CD1781" s="3524"/>
      <c r="CE1781" s="5920"/>
      <c r="CF1781" s="5920"/>
      <c r="CG1781" s="5920"/>
      <c r="CH1781" s="5920"/>
    </row>
    <row r="1782" s="4981" customFormat="1" ht="33.35" customHeight="1" spans="1:86">
      <c r="A1782" s="3812"/>
      <c r="B1782" s="3812"/>
      <c r="C1782" s="3812"/>
      <c r="D1782" s="5059"/>
      <c r="E1782" s="3812"/>
      <c r="F1782" s="5059"/>
      <c r="G1782" s="5059"/>
      <c r="H1782" s="3812"/>
      <c r="I1782" s="4841"/>
      <c r="J1782" s="5059"/>
      <c r="K1782" s="3812"/>
      <c r="L1782" s="5059"/>
      <c r="M1782" s="3812"/>
      <c r="N1782" s="2678"/>
      <c r="O1782" s="2678"/>
      <c r="P1782" s="2678"/>
      <c r="Q1782" s="2678"/>
      <c r="R1782" s="2678"/>
      <c r="S1782" s="2678"/>
      <c r="T1782" s="2678"/>
      <c r="U1782" s="2678"/>
      <c r="V1782" s="2678"/>
      <c r="W1782" s="2678"/>
      <c r="X1782" s="2678"/>
      <c r="Y1782" s="2678"/>
      <c r="Z1782" s="2678"/>
      <c r="AA1782" s="2678"/>
      <c r="AB1782" s="5667"/>
      <c r="AC1782" s="5059" t="s">
        <v>3173</v>
      </c>
      <c r="AD1782" s="5105" t="s">
        <v>3174</v>
      </c>
      <c r="AE1782" s="1095">
        <v>0.3</v>
      </c>
      <c r="AF1782" s="3812">
        <f>M1781*AE1782</f>
        <v>580467.681</v>
      </c>
      <c r="AG1782" s="3812">
        <f t="shared" si="384"/>
        <v>580467.68</v>
      </c>
      <c r="AH1782" s="3812" t="s">
        <v>206</v>
      </c>
      <c r="AI1782" s="3812">
        <v>43784</v>
      </c>
      <c r="AJ1782" s="3812">
        <v>580467.681</v>
      </c>
      <c r="AK1782" s="3812" t="s">
        <v>171</v>
      </c>
      <c r="AL1782" s="3812">
        <v>580467.681</v>
      </c>
      <c r="AM1782" s="3812">
        <v>43784</v>
      </c>
      <c r="AN1782" s="3812">
        <f t="shared" si="386"/>
        <v>580467.681</v>
      </c>
      <c r="AO1782" s="3812">
        <v>43789</v>
      </c>
      <c r="AP1782" s="3812">
        <f t="shared" si="385"/>
        <v>-0.000999999931082129</v>
      </c>
      <c r="AQ1782" s="5059" t="s">
        <v>3175</v>
      </c>
      <c r="AR1782" s="2678" t="s">
        <v>1037</v>
      </c>
      <c r="AS1782" s="5667"/>
      <c r="AT1782" s="2678" t="s">
        <v>171</v>
      </c>
      <c r="AU1782" s="2678"/>
      <c r="AV1782" s="2678"/>
      <c r="AW1782" s="2678"/>
      <c r="AX1782" s="2678"/>
      <c r="AY1782" s="2678"/>
      <c r="AZ1782" s="2678"/>
      <c r="BA1782" s="3812"/>
      <c r="BB1782" s="3812"/>
      <c r="BC1782" s="3812"/>
      <c r="BD1782" s="3812"/>
      <c r="BE1782" s="3812"/>
      <c r="BF1782" s="3812"/>
      <c r="BG1782" s="3812"/>
      <c r="BH1782" s="3812"/>
      <c r="BI1782" s="3812">
        <v>580467.68</v>
      </c>
      <c r="BJ1782" s="3812"/>
      <c r="BK1782" s="3812"/>
      <c r="BL1782" s="3812"/>
      <c r="BM1782" s="3812"/>
      <c r="BN1782" s="3812"/>
      <c r="BO1782" s="3812"/>
      <c r="BP1782" s="3812"/>
      <c r="BQ1782" s="3812"/>
      <c r="BR1782" s="3812"/>
      <c r="BS1782" s="3812"/>
      <c r="BT1782" s="3812"/>
      <c r="BU1782" s="3812"/>
      <c r="BV1782" s="3812"/>
      <c r="BW1782" s="3812">
        <v>580467.681</v>
      </c>
      <c r="BX1782" s="3812"/>
      <c r="BY1782" s="3812"/>
      <c r="BZ1782" s="3812"/>
      <c r="CA1782" s="3812"/>
      <c r="CB1782" s="3812"/>
      <c r="CC1782" s="3524"/>
      <c r="CD1782" s="3524"/>
      <c r="CE1782" s="5920"/>
      <c r="CF1782" s="5920"/>
      <c r="CG1782" s="5920"/>
      <c r="CH1782" s="5920"/>
    </row>
    <row r="1783" s="4981" customFormat="1" ht="54" customHeight="1" spans="1:86">
      <c r="A1783" s="3812"/>
      <c r="B1783" s="3812"/>
      <c r="C1783" s="3812"/>
      <c r="D1783" s="5059"/>
      <c r="E1783" s="3812"/>
      <c r="F1783" s="5059"/>
      <c r="G1783" s="5059"/>
      <c r="H1783" s="3812"/>
      <c r="I1783" s="4841"/>
      <c r="J1783" s="5059"/>
      <c r="K1783" s="3812"/>
      <c r="L1783" s="5059"/>
      <c r="M1783" s="3812"/>
      <c r="N1783" s="2678"/>
      <c r="O1783" s="2678"/>
      <c r="P1783" s="2678"/>
      <c r="Q1783" s="2678"/>
      <c r="R1783" s="2678"/>
      <c r="S1783" s="2678"/>
      <c r="T1783" s="2678"/>
      <c r="U1783" s="2678"/>
      <c r="V1783" s="2678"/>
      <c r="W1783" s="2678"/>
      <c r="X1783" s="2678"/>
      <c r="Y1783" s="2678"/>
      <c r="Z1783" s="2678"/>
      <c r="AA1783" s="2678"/>
      <c r="AB1783" s="5667"/>
      <c r="AC1783" s="5059" t="s">
        <v>3176</v>
      </c>
      <c r="AD1783" s="5105" t="s">
        <v>3177</v>
      </c>
      <c r="AE1783" s="1095">
        <v>0.3</v>
      </c>
      <c r="AF1783" s="3812">
        <f>M1781*AE1783</f>
        <v>580467.681</v>
      </c>
      <c r="AG1783" s="3812">
        <f t="shared" si="384"/>
        <v>580467.68</v>
      </c>
      <c r="AH1783" s="5667" t="s">
        <v>122</v>
      </c>
      <c r="AI1783" s="3812">
        <v>45273</v>
      </c>
      <c r="AJ1783" s="3812">
        <v>580467.68</v>
      </c>
      <c r="AK1783" s="3812">
        <v>45273</v>
      </c>
      <c r="AL1783" s="3812"/>
      <c r="AM1783" s="3812"/>
      <c r="AN1783" s="3812">
        <f t="shared" si="386"/>
        <v>0</v>
      </c>
      <c r="AO1783" s="3812"/>
      <c r="AP1783" s="3812">
        <f t="shared" si="385"/>
        <v>580467.68</v>
      </c>
      <c r="AQ1783" s="1032" t="s">
        <v>3178</v>
      </c>
      <c r="AR1783" s="2678" t="s">
        <v>3179</v>
      </c>
      <c r="AS1783" s="5667"/>
      <c r="AT1783" s="2678"/>
      <c r="AU1783" s="2678"/>
      <c r="AV1783" s="2678"/>
      <c r="AW1783" s="2678"/>
      <c r="AX1783" s="2678"/>
      <c r="AY1783" s="2678"/>
      <c r="AZ1783" s="2678"/>
      <c r="BA1783" s="3812"/>
      <c r="BB1783" s="3812"/>
      <c r="BC1783" s="3812"/>
      <c r="BD1783" s="3812"/>
      <c r="BE1783" s="3812"/>
      <c r="BF1783" s="3812">
        <v>360000</v>
      </c>
      <c r="BG1783" s="3812"/>
      <c r="BH1783" s="3812"/>
      <c r="BI1783" s="3812">
        <v>220467.68</v>
      </c>
      <c r="BJ1783" s="3812"/>
      <c r="BK1783" s="3812"/>
      <c r="BL1783" s="3812"/>
      <c r="BM1783" s="3812"/>
      <c r="BN1783" s="3812"/>
      <c r="BO1783" s="3812"/>
      <c r="BP1783" s="3812"/>
      <c r="BQ1783" s="3812"/>
      <c r="BR1783" s="3812"/>
      <c r="BS1783" s="3812"/>
      <c r="BT1783" s="3812"/>
      <c r="BU1783" s="3812"/>
      <c r="BV1783" s="3812"/>
      <c r="BW1783" s="3812"/>
      <c r="BX1783" s="3812"/>
      <c r="BY1783" s="3812"/>
      <c r="BZ1783" s="3812"/>
      <c r="CA1783" s="3812"/>
      <c r="CB1783" s="3812"/>
      <c r="CC1783" s="3524"/>
      <c r="CD1783" s="3524"/>
      <c r="CE1783" s="5920"/>
      <c r="CF1783" s="5920"/>
      <c r="CG1783" s="5920"/>
      <c r="CH1783" s="5920"/>
    </row>
    <row r="1784" s="4981" customFormat="1" ht="32.5" customHeight="1" spans="1:86">
      <c r="A1784" s="3812"/>
      <c r="B1784" s="3812"/>
      <c r="C1784" s="3812"/>
      <c r="D1784" s="5059"/>
      <c r="E1784" s="3812"/>
      <c r="F1784" s="5059"/>
      <c r="G1784" s="5059"/>
      <c r="H1784" s="3812"/>
      <c r="I1784" s="4842"/>
      <c r="J1784" s="5059"/>
      <c r="K1784" s="3812"/>
      <c r="L1784" s="5059"/>
      <c r="M1784" s="3812"/>
      <c r="N1784" s="2678"/>
      <c r="O1784" s="2678"/>
      <c r="P1784" s="2678"/>
      <c r="Q1784" s="2678"/>
      <c r="R1784" s="2678"/>
      <c r="S1784" s="2678"/>
      <c r="T1784" s="2678"/>
      <c r="U1784" s="2678"/>
      <c r="V1784" s="2678"/>
      <c r="W1784" s="2678"/>
      <c r="X1784" s="2678"/>
      <c r="Y1784" s="2678"/>
      <c r="Z1784" s="2678"/>
      <c r="AA1784" s="2678"/>
      <c r="AB1784" s="5667"/>
      <c r="AC1784" s="5059" t="s">
        <v>3180</v>
      </c>
      <c r="AD1784" s="5105" t="s">
        <v>3181</v>
      </c>
      <c r="AE1784" s="1095">
        <v>0.2</v>
      </c>
      <c r="AF1784" s="3812">
        <f>M1781*AE1784</f>
        <v>386978.454</v>
      </c>
      <c r="AG1784" s="5123">
        <f t="shared" si="384"/>
        <v>386978.46</v>
      </c>
      <c r="AH1784" s="3406"/>
      <c r="AI1784" s="5123"/>
      <c r="AJ1784" s="5123"/>
      <c r="AK1784" s="3812"/>
      <c r="AL1784" s="3812"/>
      <c r="AM1784" s="3812"/>
      <c r="AN1784" s="3812">
        <f t="shared" si="386"/>
        <v>0</v>
      </c>
      <c r="AO1784" s="3812"/>
      <c r="AP1784" s="3812">
        <f t="shared" si="385"/>
        <v>386978.46</v>
      </c>
      <c r="AQ1784" s="3812"/>
      <c r="AR1784" s="2678"/>
      <c r="AS1784" s="5667"/>
      <c r="AT1784" s="2678"/>
      <c r="AU1784" s="2678"/>
      <c r="AV1784" s="2678"/>
      <c r="AW1784" s="2678"/>
      <c r="AX1784" s="2678"/>
      <c r="AY1784" s="2678"/>
      <c r="AZ1784" s="2678"/>
      <c r="BA1784" s="3812"/>
      <c r="BB1784" s="3812"/>
      <c r="BC1784" s="3812"/>
      <c r="BD1784" s="3812"/>
      <c r="BE1784" s="3812"/>
      <c r="BF1784" s="5123">
        <v>110651.32</v>
      </c>
      <c r="BG1784" s="3812"/>
      <c r="BH1784" s="3812"/>
      <c r="BI1784" s="5123">
        <v>276327.14</v>
      </c>
      <c r="BJ1784" s="3812"/>
      <c r="BK1784" s="3812"/>
      <c r="BL1784" s="3812"/>
      <c r="BM1784" s="3812"/>
      <c r="BN1784" s="3812"/>
      <c r="BO1784" s="3812"/>
      <c r="BP1784" s="3812"/>
      <c r="BQ1784" s="3812"/>
      <c r="BR1784" s="3812"/>
      <c r="BS1784" s="3812"/>
      <c r="BT1784" s="3812"/>
      <c r="BU1784" s="3812"/>
      <c r="BV1784" s="3812"/>
      <c r="BW1784" s="3812"/>
      <c r="BX1784" s="3812"/>
      <c r="BY1784" s="3812"/>
      <c r="BZ1784" s="3812"/>
      <c r="CA1784" s="3812"/>
      <c r="CB1784" s="3812"/>
      <c r="CC1784" s="3524"/>
      <c r="CD1784" s="3524"/>
      <c r="CE1784" s="5920"/>
      <c r="CF1784" s="5920"/>
      <c r="CG1784" s="5920"/>
      <c r="CH1784" s="5920"/>
    </row>
    <row r="1785" s="4981" customFormat="1" ht="31" spans="1:86">
      <c r="A1785" s="6782">
        <v>36</v>
      </c>
      <c r="B1785" s="6782" t="s">
        <v>1003</v>
      </c>
      <c r="C1785" s="6782">
        <v>43009</v>
      </c>
      <c r="D1785" s="6783" t="s">
        <v>3182</v>
      </c>
      <c r="E1785" s="6782" t="s">
        <v>113</v>
      </c>
      <c r="F1785" s="6784" t="s">
        <v>3183</v>
      </c>
      <c r="G1785" s="6783" t="s">
        <v>3184</v>
      </c>
      <c r="H1785" s="6782" t="s">
        <v>31</v>
      </c>
      <c r="I1785" s="6782"/>
      <c r="J1785" s="6784" t="s">
        <v>3185</v>
      </c>
      <c r="K1785" s="6782">
        <v>252431</v>
      </c>
      <c r="L1785" s="6784" t="s">
        <v>3095</v>
      </c>
      <c r="M1785" s="6782">
        <f>SUM(N1785:AA1786)</f>
        <v>1767020</v>
      </c>
      <c r="N1785" s="6782">
        <v>0</v>
      </c>
      <c r="O1785" s="6782">
        <v>0</v>
      </c>
      <c r="P1785" s="6782">
        <v>0</v>
      </c>
      <c r="Q1785" s="6782">
        <v>0</v>
      </c>
      <c r="R1785" s="6782">
        <v>0</v>
      </c>
      <c r="S1785" s="6782">
        <v>0</v>
      </c>
      <c r="T1785" s="6789">
        <v>0</v>
      </c>
      <c r="U1785" s="6782">
        <v>1767020</v>
      </c>
      <c r="V1785" s="6782">
        <v>0</v>
      </c>
      <c r="W1785" s="6782">
        <v>0</v>
      </c>
      <c r="X1785" s="6782">
        <v>0</v>
      </c>
      <c r="Y1785" s="6782">
        <v>0</v>
      </c>
      <c r="Z1785" s="6782"/>
      <c r="AA1785" s="6782">
        <v>0</v>
      </c>
      <c r="AB1785" s="6784" t="s">
        <v>171</v>
      </c>
      <c r="AC1785" s="6782" t="s">
        <v>1110</v>
      </c>
      <c r="AD1785" s="6794" t="s">
        <v>3186</v>
      </c>
      <c r="AE1785" s="6795">
        <f>AF1785/M1785</f>
        <v>0.2</v>
      </c>
      <c r="AF1785" s="6782">
        <v>353404</v>
      </c>
      <c r="AG1785" s="6782">
        <f t="shared" si="384"/>
        <v>353404</v>
      </c>
      <c r="AH1785" s="6782" t="s">
        <v>206</v>
      </c>
      <c r="AI1785" s="6782">
        <v>42921</v>
      </c>
      <c r="AJ1785" s="6782">
        <v>353404</v>
      </c>
      <c r="AK1785" s="6782" t="s">
        <v>171</v>
      </c>
      <c r="AL1785" s="6782">
        <v>353404</v>
      </c>
      <c r="AM1785" s="6782">
        <v>42921</v>
      </c>
      <c r="AN1785" s="6782">
        <f t="shared" si="386"/>
        <v>353404</v>
      </c>
      <c r="AO1785" s="6799">
        <v>43070</v>
      </c>
      <c r="AP1785" s="6782">
        <f t="shared" ref="AP1785:AP1792" si="387">AG1785-AN1785</f>
        <v>0</v>
      </c>
      <c r="AQ1785" s="6782"/>
      <c r="AR1785" s="6782" t="s">
        <v>1037</v>
      </c>
      <c r="AS1785" s="6784"/>
      <c r="AT1785" s="6782" t="s">
        <v>171</v>
      </c>
      <c r="AU1785" s="6782">
        <f>SUM(AG1785:AG1786)</f>
        <v>1537869</v>
      </c>
      <c r="AV1785" s="6782">
        <f>SUM(AL1785:AL1786)</f>
        <v>1537869</v>
      </c>
      <c r="AW1785" s="6782">
        <f>SUM(AN1785:AN1786)</f>
        <v>1537869</v>
      </c>
      <c r="AX1785" s="6782">
        <f>M1785-AU1785</f>
        <v>229151</v>
      </c>
      <c r="AY1785" s="6782">
        <f>AU1785-AV1785</f>
        <v>0</v>
      </c>
      <c r="AZ1785" s="6782">
        <f>AV1785-AW1785</f>
        <v>0</v>
      </c>
      <c r="BA1785" s="6782"/>
      <c r="BB1785" s="6782"/>
      <c r="BC1785" s="6782"/>
      <c r="BD1785" s="6782"/>
      <c r="BE1785" s="6782"/>
      <c r="BF1785" s="6782"/>
      <c r="BG1785" s="6782"/>
      <c r="BH1785" s="6782">
        <v>353404</v>
      </c>
      <c r="BI1785" s="6800"/>
      <c r="BJ1785" s="6782"/>
      <c r="BK1785" s="6782"/>
      <c r="BL1785" s="6782"/>
      <c r="BM1785" s="6782"/>
      <c r="BN1785" s="6782"/>
      <c r="BO1785" s="6782"/>
      <c r="BP1785" s="6782"/>
      <c r="BQ1785" s="6782"/>
      <c r="BR1785" s="6782"/>
      <c r="BS1785" s="6782"/>
      <c r="BT1785" s="6782"/>
      <c r="BU1785" s="6782"/>
      <c r="BV1785" s="6782">
        <v>353404</v>
      </c>
      <c r="BW1785" s="6782"/>
      <c r="BX1785" s="6782"/>
      <c r="BY1785" s="6782"/>
      <c r="BZ1785" s="6782"/>
      <c r="CA1785" s="6782"/>
      <c r="CB1785" s="6782"/>
      <c r="CC1785" s="6803" t="s">
        <v>1112</v>
      </c>
      <c r="CD1785" s="6803" t="s">
        <v>154</v>
      </c>
      <c r="CE1785" s="5920"/>
      <c r="CF1785" s="5920"/>
      <c r="CG1785" s="5920"/>
      <c r="CH1785" s="5920"/>
    </row>
    <row r="1786" s="4981" customFormat="1" ht="61" spans="1:86">
      <c r="A1786" s="6782"/>
      <c r="B1786" s="6782"/>
      <c r="C1786" s="6782"/>
      <c r="D1786" s="6783"/>
      <c r="E1786" s="6782"/>
      <c r="F1786" s="6784"/>
      <c r="G1786" s="6784"/>
      <c r="H1786" s="6782"/>
      <c r="I1786" s="6782"/>
      <c r="J1786" s="6784"/>
      <c r="K1786" s="6782"/>
      <c r="L1786" s="6784"/>
      <c r="M1786" s="6782"/>
      <c r="N1786" s="6782"/>
      <c r="O1786" s="6782"/>
      <c r="P1786" s="6782"/>
      <c r="Q1786" s="6782"/>
      <c r="R1786" s="6782"/>
      <c r="S1786" s="6782"/>
      <c r="T1786" s="6782"/>
      <c r="U1786" s="6782"/>
      <c r="V1786" s="6782"/>
      <c r="W1786" s="6782"/>
      <c r="X1786" s="6782"/>
      <c r="Y1786" s="6782"/>
      <c r="Z1786" s="6782"/>
      <c r="AA1786" s="6782"/>
      <c r="AB1786" s="6784"/>
      <c r="AC1786" s="6782" t="s">
        <v>1113</v>
      </c>
      <c r="AD1786" s="6794" t="s">
        <v>3187</v>
      </c>
      <c r="AE1786" s="6795">
        <f>AF1786/M1785</f>
        <v>0.670317823227807</v>
      </c>
      <c r="AF1786" s="6782">
        <v>1184465</v>
      </c>
      <c r="AG1786" s="6782">
        <f t="shared" si="384"/>
        <v>1184465</v>
      </c>
      <c r="AH1786" s="6782" t="s">
        <v>206</v>
      </c>
      <c r="AI1786" s="6782">
        <v>43158</v>
      </c>
      <c r="AJ1786" s="6782">
        <v>1184465</v>
      </c>
      <c r="AK1786" s="6782" t="s">
        <v>171</v>
      </c>
      <c r="AL1786" s="6782">
        <v>1184465</v>
      </c>
      <c r="AM1786" s="6782">
        <v>43158</v>
      </c>
      <c r="AN1786" s="6782">
        <f t="shared" si="386"/>
        <v>1184465</v>
      </c>
      <c r="AO1786" s="6799">
        <v>43160</v>
      </c>
      <c r="AP1786" s="6782">
        <f t="shared" si="387"/>
        <v>0</v>
      </c>
      <c r="AQ1786" s="6782"/>
      <c r="AR1786" s="6782" t="s">
        <v>1037</v>
      </c>
      <c r="AS1786" s="6784"/>
      <c r="AT1786" s="6782" t="s">
        <v>171</v>
      </c>
      <c r="AU1786" s="6782"/>
      <c r="AV1786" s="6782"/>
      <c r="AW1786" s="6782"/>
      <c r="AX1786" s="6782"/>
      <c r="AY1786" s="6782"/>
      <c r="AZ1786" s="6782"/>
      <c r="BA1786" s="6782"/>
      <c r="BB1786" s="6782"/>
      <c r="BC1786" s="6782"/>
      <c r="BD1786" s="6782"/>
      <c r="BE1786" s="6782"/>
      <c r="BF1786" s="6782"/>
      <c r="BG1786" s="6782"/>
      <c r="BH1786" s="6782">
        <v>1184465</v>
      </c>
      <c r="BI1786" s="6800"/>
      <c r="BJ1786" s="6782"/>
      <c r="BK1786" s="6782"/>
      <c r="BL1786" s="6782"/>
      <c r="BM1786" s="6782"/>
      <c r="BN1786" s="6782"/>
      <c r="BO1786" s="6782"/>
      <c r="BP1786" s="6782"/>
      <c r="BQ1786" s="6782"/>
      <c r="BR1786" s="6782"/>
      <c r="BS1786" s="6782"/>
      <c r="BT1786" s="6782"/>
      <c r="BU1786" s="6782"/>
      <c r="BV1786" s="6782">
        <v>1184465</v>
      </c>
      <c r="BW1786" s="6782"/>
      <c r="BX1786" s="6782"/>
      <c r="BY1786" s="6782"/>
      <c r="BZ1786" s="6782"/>
      <c r="CA1786" s="6782"/>
      <c r="CB1786" s="6782"/>
      <c r="CC1786" s="6803"/>
      <c r="CD1786" s="6803"/>
      <c r="CE1786" s="5920"/>
      <c r="CF1786" s="5920"/>
      <c r="CG1786" s="5920"/>
      <c r="CH1786" s="5920"/>
    </row>
    <row r="1787" s="4981" customFormat="1" ht="30" customHeight="1" spans="1:86">
      <c r="A1787" s="6782"/>
      <c r="B1787" s="6782"/>
      <c r="C1787" s="6782"/>
      <c r="D1787" s="6783"/>
      <c r="E1787" s="6782"/>
      <c r="F1787" s="6784"/>
      <c r="G1787" s="6784"/>
      <c r="H1787" s="6782"/>
      <c r="I1787" s="6782"/>
      <c r="J1787" s="6784"/>
      <c r="K1787" s="6782"/>
      <c r="L1787" s="6784"/>
      <c r="M1787" s="6782"/>
      <c r="N1787" s="6782"/>
      <c r="O1787" s="6782"/>
      <c r="P1787" s="6782"/>
      <c r="Q1787" s="6782"/>
      <c r="R1787" s="6782"/>
      <c r="S1787" s="6782"/>
      <c r="T1787" s="6782"/>
      <c r="U1787" s="6782"/>
      <c r="V1787" s="6782"/>
      <c r="W1787" s="6782"/>
      <c r="X1787" s="6782"/>
      <c r="Y1787" s="6782"/>
      <c r="Z1787" s="6782"/>
      <c r="AA1787" s="6782"/>
      <c r="AB1787" s="6784"/>
      <c r="AC1787" s="6796" t="s">
        <v>1115</v>
      </c>
      <c r="AD1787" s="6794" t="s">
        <v>3188</v>
      </c>
      <c r="AE1787" s="6795">
        <f>AF1787/M1785</f>
        <v>0.0967020577016672</v>
      </c>
      <c r="AF1787" s="6782">
        <v>170874.47</v>
      </c>
      <c r="AG1787" s="6782">
        <f t="shared" si="384"/>
        <v>170874.47</v>
      </c>
      <c r="AH1787" s="6796" t="s">
        <v>122</v>
      </c>
      <c r="AI1787" s="6782">
        <v>45005</v>
      </c>
      <c r="AJ1787" s="6782">
        <v>170874.47</v>
      </c>
      <c r="AK1787" s="6782">
        <v>45005</v>
      </c>
      <c r="AL1787" s="6782">
        <v>170874.47</v>
      </c>
      <c r="AM1787" s="6782">
        <v>45005</v>
      </c>
      <c r="AN1787" s="6782">
        <f t="shared" si="386"/>
        <v>170874.47</v>
      </c>
      <c r="AO1787" s="6782">
        <v>45029</v>
      </c>
      <c r="AP1787" s="6782">
        <f t="shared" si="387"/>
        <v>0</v>
      </c>
      <c r="AQ1787" s="6782"/>
      <c r="AR1787" s="6782"/>
      <c r="AS1787" s="6784"/>
      <c r="AT1787" s="6782"/>
      <c r="AU1787" s="6782"/>
      <c r="AV1787" s="6782"/>
      <c r="AW1787" s="6782"/>
      <c r="AX1787" s="6782"/>
      <c r="AY1787" s="6782"/>
      <c r="AZ1787" s="6782"/>
      <c r="BA1787" s="6782"/>
      <c r="BB1787" s="6782"/>
      <c r="BC1787" s="6782"/>
      <c r="BD1787" s="6782"/>
      <c r="BE1787" s="6782"/>
      <c r="BF1787" s="6782"/>
      <c r="BG1787" s="6782"/>
      <c r="BH1787" s="6782">
        <v>170874.47</v>
      </c>
      <c r="BI1787" s="6782"/>
      <c r="BJ1787" s="6782"/>
      <c r="BK1787" s="6782"/>
      <c r="BL1787" s="6782"/>
      <c r="BM1787" s="6782"/>
      <c r="BN1787" s="6782"/>
      <c r="BO1787" s="6782"/>
      <c r="BP1787" s="6782"/>
      <c r="BQ1787" s="6782"/>
      <c r="BR1787" s="6782"/>
      <c r="BS1787" s="6782"/>
      <c r="BT1787" s="6782"/>
      <c r="BU1787" s="6782"/>
      <c r="BV1787" s="6782">
        <v>170874.47</v>
      </c>
      <c r="BW1787" s="6782"/>
      <c r="BX1787" s="6782"/>
      <c r="BY1787" s="6782"/>
      <c r="BZ1787" s="6782"/>
      <c r="CA1787" s="6782"/>
      <c r="CB1787" s="6782"/>
      <c r="CC1787" s="6803"/>
      <c r="CD1787" s="6803"/>
      <c r="CE1787" s="5920"/>
      <c r="CF1787" s="5920"/>
      <c r="CG1787" s="5920"/>
      <c r="CH1787" s="5920"/>
    </row>
    <row r="1788" s="4981" customFormat="1" ht="31" spans="1:86">
      <c r="A1788" s="6782">
        <v>37</v>
      </c>
      <c r="B1788" s="6782" t="s">
        <v>1003</v>
      </c>
      <c r="C1788" s="6782">
        <v>42948</v>
      </c>
      <c r="D1788" s="6784" t="s">
        <v>3189</v>
      </c>
      <c r="E1788" s="6782" t="s">
        <v>113</v>
      </c>
      <c r="F1788" s="6784" t="s">
        <v>3190</v>
      </c>
      <c r="G1788" s="6783" t="s">
        <v>3191</v>
      </c>
      <c r="H1788" s="6782" t="s">
        <v>31</v>
      </c>
      <c r="I1788" s="6782"/>
      <c r="J1788" s="6784" t="s">
        <v>3192</v>
      </c>
      <c r="K1788" s="6782">
        <v>259700</v>
      </c>
      <c r="L1788" s="6784" t="s">
        <v>3095</v>
      </c>
      <c r="M1788" s="6782">
        <f>SUM(N1788:AA1790)</f>
        <v>1817900</v>
      </c>
      <c r="N1788" s="6782">
        <v>0</v>
      </c>
      <c r="O1788" s="6782">
        <v>0</v>
      </c>
      <c r="P1788" s="6782">
        <v>0</v>
      </c>
      <c r="Q1788" s="6782">
        <v>0</v>
      </c>
      <c r="R1788" s="6782">
        <v>0</v>
      </c>
      <c r="S1788" s="6782">
        <v>0</v>
      </c>
      <c r="T1788" s="6782"/>
      <c r="U1788" s="6782">
        <v>1817900</v>
      </c>
      <c r="V1788" s="6782">
        <v>0</v>
      </c>
      <c r="W1788" s="6782">
        <v>0</v>
      </c>
      <c r="X1788" s="6782"/>
      <c r="Y1788" s="6782"/>
      <c r="Z1788" s="6782"/>
      <c r="AA1788" s="6782">
        <v>0</v>
      </c>
      <c r="AB1788" s="6784" t="s">
        <v>171</v>
      </c>
      <c r="AC1788" s="6782" t="s">
        <v>1110</v>
      </c>
      <c r="AD1788" s="6797" t="s">
        <v>3186</v>
      </c>
      <c r="AE1788" s="6795">
        <v>0.2</v>
      </c>
      <c r="AF1788" s="6782">
        <f>U1788*AE1788</f>
        <v>363580</v>
      </c>
      <c r="AG1788" s="6782">
        <f t="shared" ref="AG1788:AG1805" si="388">SUM(BA1788:BN1788)</f>
        <v>321801</v>
      </c>
      <c r="AH1788" s="6782" t="s">
        <v>206</v>
      </c>
      <c r="AI1788" s="6782">
        <v>43770</v>
      </c>
      <c r="AJ1788" s="6782">
        <v>321801</v>
      </c>
      <c r="AK1788" s="6782" t="s">
        <v>171</v>
      </c>
      <c r="AL1788" s="6782">
        <v>321801</v>
      </c>
      <c r="AM1788" s="6782">
        <v>43770</v>
      </c>
      <c r="AN1788" s="6782">
        <f t="shared" si="386"/>
        <v>321801</v>
      </c>
      <c r="AO1788" s="6782">
        <v>43800</v>
      </c>
      <c r="AP1788" s="6782">
        <f t="shared" si="387"/>
        <v>0</v>
      </c>
      <c r="AQ1788" s="6782"/>
      <c r="AR1788" s="6782" t="s">
        <v>1037</v>
      </c>
      <c r="AS1788" s="6784"/>
      <c r="AT1788" s="6782" t="s">
        <v>171</v>
      </c>
      <c r="AU1788" s="6782">
        <f>SUM(AG1788:AG1790)</f>
        <v>1739847.84</v>
      </c>
      <c r="AV1788" s="6782">
        <f>SUM(AL1788:AL1790)</f>
        <v>1739847.84</v>
      </c>
      <c r="AW1788" s="6782">
        <f>SUM(AN1788:AN1790)</f>
        <v>1739847.84</v>
      </c>
      <c r="AX1788" s="6782">
        <f>M1788-AU1788</f>
        <v>78052.1600000001</v>
      </c>
      <c r="AY1788" s="6782">
        <f>AU1788-AV1788</f>
        <v>0</v>
      </c>
      <c r="AZ1788" s="6782">
        <f>AV1788-AW1788</f>
        <v>0</v>
      </c>
      <c r="BA1788" s="6782"/>
      <c r="BB1788" s="6782"/>
      <c r="BC1788" s="6782"/>
      <c r="BD1788" s="6782"/>
      <c r="BE1788" s="6782"/>
      <c r="BF1788" s="6782"/>
      <c r="BG1788" s="6782"/>
      <c r="BH1788" s="6782">
        <v>321801</v>
      </c>
      <c r="BI1788" s="6782"/>
      <c r="BJ1788" s="6782"/>
      <c r="BK1788" s="6782"/>
      <c r="BL1788" s="6782"/>
      <c r="BM1788" s="6782"/>
      <c r="BN1788" s="6782"/>
      <c r="BO1788" s="6782"/>
      <c r="BP1788" s="6782"/>
      <c r="BQ1788" s="6782"/>
      <c r="BR1788" s="6782"/>
      <c r="BS1788" s="6782"/>
      <c r="BT1788" s="6782"/>
      <c r="BU1788" s="6782"/>
      <c r="BV1788" s="6782">
        <v>321801</v>
      </c>
      <c r="BW1788" s="6782"/>
      <c r="BX1788" s="6782"/>
      <c r="BY1788" s="6782"/>
      <c r="BZ1788" s="6782"/>
      <c r="CA1788" s="6782"/>
      <c r="CB1788" s="6782"/>
      <c r="CC1788" s="6803" t="s">
        <v>1112</v>
      </c>
      <c r="CD1788" s="6803" t="s">
        <v>154</v>
      </c>
      <c r="CE1788" s="5920"/>
      <c r="CF1788" s="5920"/>
      <c r="CG1788" s="5920"/>
      <c r="CH1788" s="5920"/>
    </row>
    <row r="1789" s="4981" customFormat="1" ht="61" spans="1:86">
      <c r="A1789" s="6782"/>
      <c r="B1789" s="6782"/>
      <c r="C1789" s="6782"/>
      <c r="D1789" s="6784"/>
      <c r="E1789" s="6782"/>
      <c r="F1789" s="6784"/>
      <c r="G1789" s="6784"/>
      <c r="H1789" s="6782"/>
      <c r="I1789" s="6782"/>
      <c r="J1789" s="6784"/>
      <c r="K1789" s="6782"/>
      <c r="L1789" s="6784"/>
      <c r="M1789" s="6782"/>
      <c r="N1789" s="6782"/>
      <c r="O1789" s="6782"/>
      <c r="P1789" s="6782"/>
      <c r="Q1789" s="6782"/>
      <c r="R1789" s="6782"/>
      <c r="S1789" s="6782"/>
      <c r="T1789" s="6782"/>
      <c r="U1789" s="6782"/>
      <c r="V1789" s="6782"/>
      <c r="W1789" s="6782"/>
      <c r="X1789" s="6782"/>
      <c r="Y1789" s="6782"/>
      <c r="Z1789" s="6782"/>
      <c r="AA1789" s="6782"/>
      <c r="AB1789" s="6784"/>
      <c r="AC1789" s="6782" t="s">
        <v>1113</v>
      </c>
      <c r="AD1789" s="6797" t="s">
        <v>3187</v>
      </c>
      <c r="AE1789" s="6795">
        <v>0.3</v>
      </c>
      <c r="AF1789" s="6782">
        <f>AE1789*U1788</f>
        <v>545370</v>
      </c>
      <c r="AG1789" s="6782">
        <f t="shared" si="388"/>
        <v>545370</v>
      </c>
      <c r="AH1789" s="6782" t="s">
        <v>206</v>
      </c>
      <c r="AI1789" s="6782">
        <v>43770</v>
      </c>
      <c r="AJ1789" s="6782">
        <v>545370</v>
      </c>
      <c r="AK1789" s="6782" t="s">
        <v>171</v>
      </c>
      <c r="AL1789" s="6782">
        <v>545370</v>
      </c>
      <c r="AM1789" s="6782">
        <v>43770</v>
      </c>
      <c r="AN1789" s="6782">
        <f t="shared" si="386"/>
        <v>545370</v>
      </c>
      <c r="AO1789" s="6782">
        <v>43800</v>
      </c>
      <c r="AP1789" s="6782">
        <f t="shared" si="387"/>
        <v>0</v>
      </c>
      <c r="AQ1789" s="6782"/>
      <c r="AR1789" s="6782" t="s">
        <v>1037</v>
      </c>
      <c r="AS1789" s="6784"/>
      <c r="AT1789" s="6782" t="s">
        <v>171</v>
      </c>
      <c r="AU1789" s="6782"/>
      <c r="AV1789" s="6782"/>
      <c r="AW1789" s="6782"/>
      <c r="AX1789" s="6782"/>
      <c r="AY1789" s="6782"/>
      <c r="AZ1789" s="6782"/>
      <c r="BA1789" s="6782"/>
      <c r="BB1789" s="6782"/>
      <c r="BC1789" s="6782"/>
      <c r="BD1789" s="6782"/>
      <c r="BE1789" s="6782"/>
      <c r="BF1789" s="6782"/>
      <c r="BG1789" s="6782"/>
      <c r="BH1789" s="6782">
        <v>545370</v>
      </c>
      <c r="BI1789" s="6782"/>
      <c r="BJ1789" s="6782"/>
      <c r="BK1789" s="6782"/>
      <c r="BL1789" s="6782"/>
      <c r="BM1789" s="6782"/>
      <c r="BN1789" s="6782"/>
      <c r="BO1789" s="6782"/>
      <c r="BP1789" s="6782"/>
      <c r="BQ1789" s="6782"/>
      <c r="BR1789" s="6782"/>
      <c r="BS1789" s="6782"/>
      <c r="BT1789" s="6782"/>
      <c r="BU1789" s="6782"/>
      <c r="BV1789" s="6782">
        <v>545370</v>
      </c>
      <c r="BW1789" s="6782"/>
      <c r="BX1789" s="6782"/>
      <c r="BY1789" s="6782"/>
      <c r="BZ1789" s="6782"/>
      <c r="CA1789" s="6782"/>
      <c r="CB1789" s="6782"/>
      <c r="CC1789" s="6803"/>
      <c r="CD1789" s="6803"/>
      <c r="CE1789" s="5920"/>
      <c r="CF1789" s="5920"/>
      <c r="CG1789" s="5920"/>
      <c r="CH1789" s="5920"/>
    </row>
    <row r="1790" s="4981" customFormat="1" ht="61" spans="1:86">
      <c r="A1790" s="6782"/>
      <c r="B1790" s="6782"/>
      <c r="C1790" s="6782"/>
      <c r="D1790" s="6784"/>
      <c r="E1790" s="6782"/>
      <c r="F1790" s="6784"/>
      <c r="G1790" s="6784"/>
      <c r="H1790" s="6782"/>
      <c r="I1790" s="6782"/>
      <c r="J1790" s="6784"/>
      <c r="K1790" s="6782"/>
      <c r="L1790" s="6784"/>
      <c r="M1790" s="6782"/>
      <c r="N1790" s="6782"/>
      <c r="O1790" s="6782"/>
      <c r="P1790" s="6782"/>
      <c r="Q1790" s="6782"/>
      <c r="R1790" s="6782"/>
      <c r="S1790" s="6782"/>
      <c r="T1790" s="6782"/>
      <c r="U1790" s="6782"/>
      <c r="V1790" s="6782"/>
      <c r="W1790" s="6782"/>
      <c r="X1790" s="6782"/>
      <c r="Y1790" s="6782"/>
      <c r="Z1790" s="6782"/>
      <c r="AA1790" s="6782"/>
      <c r="AB1790" s="6784"/>
      <c r="AC1790" s="6782" t="s">
        <v>1115</v>
      </c>
      <c r="AD1790" s="6797" t="s">
        <v>3187</v>
      </c>
      <c r="AE1790" s="6795">
        <v>0.5</v>
      </c>
      <c r="AF1790" s="6782">
        <f>U1788*AE1790</f>
        <v>908950</v>
      </c>
      <c r="AG1790" s="6782">
        <f t="shared" si="388"/>
        <v>872676.84</v>
      </c>
      <c r="AH1790" s="6782" t="s">
        <v>122</v>
      </c>
      <c r="AI1790" s="6782">
        <v>43748</v>
      </c>
      <c r="AJ1790" s="6782">
        <v>872676.84</v>
      </c>
      <c r="AK1790" s="6782" t="s">
        <v>171</v>
      </c>
      <c r="AL1790" s="6782">
        <v>872676.84</v>
      </c>
      <c r="AM1790" s="6782">
        <v>43931</v>
      </c>
      <c r="AN1790" s="6782">
        <f t="shared" si="386"/>
        <v>872676.84</v>
      </c>
      <c r="AO1790" s="6782">
        <v>44012</v>
      </c>
      <c r="AP1790" s="6782">
        <f t="shared" si="387"/>
        <v>0</v>
      </c>
      <c r="AQ1790" s="6784" t="s">
        <v>3193</v>
      </c>
      <c r="AR1790" s="6782" t="s">
        <v>1037</v>
      </c>
      <c r="AS1790" s="6784"/>
      <c r="AT1790" s="6782" t="s">
        <v>171</v>
      </c>
      <c r="AU1790" s="6782"/>
      <c r="AV1790" s="6782"/>
      <c r="AW1790" s="6782"/>
      <c r="AX1790" s="6782"/>
      <c r="AY1790" s="6782"/>
      <c r="AZ1790" s="6782"/>
      <c r="BA1790" s="6782"/>
      <c r="BB1790" s="6782"/>
      <c r="BC1790" s="6782"/>
      <c r="BD1790" s="6782"/>
      <c r="BE1790" s="6782"/>
      <c r="BF1790" s="6782"/>
      <c r="BG1790" s="6782"/>
      <c r="BH1790" s="6782">
        <v>872676.84</v>
      </c>
      <c r="BI1790" s="6782"/>
      <c r="BJ1790" s="6782"/>
      <c r="BK1790" s="6782"/>
      <c r="BL1790" s="6782"/>
      <c r="BM1790" s="6782"/>
      <c r="BN1790" s="6782"/>
      <c r="BO1790" s="6782"/>
      <c r="BP1790" s="6782"/>
      <c r="BQ1790" s="6782"/>
      <c r="BR1790" s="6782"/>
      <c r="BS1790" s="6782"/>
      <c r="BT1790" s="6782"/>
      <c r="BU1790" s="6782"/>
      <c r="BV1790" s="6782">
        <v>872676.84</v>
      </c>
      <c r="BW1790" s="6782"/>
      <c r="BX1790" s="6782"/>
      <c r="BY1790" s="6782"/>
      <c r="BZ1790" s="6782"/>
      <c r="CA1790" s="6782"/>
      <c r="CB1790" s="6782"/>
      <c r="CC1790" s="6803"/>
      <c r="CD1790" s="6803"/>
      <c r="CE1790" s="5920"/>
      <c r="CF1790" s="5920"/>
      <c r="CG1790" s="5920"/>
      <c r="CH1790" s="5920"/>
    </row>
    <row r="1791" s="4981" customFormat="1" ht="31" spans="1:86">
      <c r="A1791" s="6782">
        <v>38</v>
      </c>
      <c r="B1791" s="6782" t="s">
        <v>1003</v>
      </c>
      <c r="C1791" s="6782">
        <v>42979</v>
      </c>
      <c r="D1791" s="6784" t="s">
        <v>3194</v>
      </c>
      <c r="E1791" s="6782" t="s">
        <v>113</v>
      </c>
      <c r="F1791" s="6784" t="s">
        <v>3195</v>
      </c>
      <c r="G1791" s="6784" t="s">
        <v>3196</v>
      </c>
      <c r="H1791" s="6782" t="s">
        <v>286</v>
      </c>
      <c r="I1791" s="6782"/>
      <c r="J1791" s="6784" t="s">
        <v>3192</v>
      </c>
      <c r="K1791" s="6784" t="s">
        <v>171</v>
      </c>
      <c r="L1791" s="6784" t="s">
        <v>171</v>
      </c>
      <c r="M1791" s="6782">
        <f>SUM(N1791:AA1792)</f>
        <v>8000</v>
      </c>
      <c r="N1791" s="6782">
        <v>0</v>
      </c>
      <c r="O1791" s="6782">
        <v>8000</v>
      </c>
      <c r="P1791" s="6782">
        <v>0</v>
      </c>
      <c r="Q1791" s="6782">
        <v>0</v>
      </c>
      <c r="R1791" s="6782">
        <v>0</v>
      </c>
      <c r="S1791" s="6782">
        <v>0</v>
      </c>
      <c r="T1791" s="6782"/>
      <c r="U1791" s="6782">
        <v>0</v>
      </c>
      <c r="V1791" s="6782">
        <v>0</v>
      </c>
      <c r="W1791" s="6782">
        <v>0</v>
      </c>
      <c r="X1791" s="6782"/>
      <c r="Y1791" s="6782"/>
      <c r="Z1791" s="6782"/>
      <c r="AA1791" s="6782">
        <v>0</v>
      </c>
      <c r="AB1791" s="6784" t="s">
        <v>171</v>
      </c>
      <c r="AC1791" s="6782" t="s">
        <v>1034</v>
      </c>
      <c r="AD1791" s="6797" t="s">
        <v>3186</v>
      </c>
      <c r="AE1791" s="6795">
        <v>0.2</v>
      </c>
      <c r="AF1791" s="6782">
        <f>AE1791*M1791</f>
        <v>1600</v>
      </c>
      <c r="AG1791" s="6782">
        <f t="shared" si="388"/>
        <v>1600</v>
      </c>
      <c r="AH1791" s="6782" t="s">
        <v>206</v>
      </c>
      <c r="AI1791" s="6782">
        <v>43040</v>
      </c>
      <c r="AJ1791" s="6782">
        <v>1600</v>
      </c>
      <c r="AK1791" s="6782" t="s">
        <v>171</v>
      </c>
      <c r="AL1791" s="6782">
        <v>1600</v>
      </c>
      <c r="AM1791" s="6782">
        <v>43040</v>
      </c>
      <c r="AN1791" s="6782">
        <f t="shared" si="386"/>
        <v>1600</v>
      </c>
      <c r="AO1791" s="6782">
        <v>43070</v>
      </c>
      <c r="AP1791" s="6782">
        <f t="shared" si="387"/>
        <v>0</v>
      </c>
      <c r="AQ1791" s="6782"/>
      <c r="AR1791" s="6782" t="s">
        <v>1037</v>
      </c>
      <c r="AS1791" s="6784"/>
      <c r="AT1791" s="6782" t="s">
        <v>171</v>
      </c>
      <c r="AU1791" s="6782">
        <f>SUM(AG1791:AG1792)</f>
        <v>8000</v>
      </c>
      <c r="AV1791" s="6782">
        <f>SUM(AL1791:AL1792)</f>
        <v>8000</v>
      </c>
      <c r="AW1791" s="6782">
        <f>SUM(AN1791:AN1792)</f>
        <v>8000</v>
      </c>
      <c r="AX1791" s="6782">
        <f>M1791-AU1791</f>
        <v>0</v>
      </c>
      <c r="AY1791" s="6782">
        <f>AU1791-AV1791</f>
        <v>0</v>
      </c>
      <c r="AZ1791" s="6782">
        <f>AV1791-AW1791</f>
        <v>0</v>
      </c>
      <c r="BA1791" s="6782"/>
      <c r="BB1791" s="6782"/>
      <c r="BC1791" s="6782"/>
      <c r="BD1791" s="6782"/>
      <c r="BE1791" s="6782"/>
      <c r="BF1791" s="6782"/>
      <c r="BG1791" s="6782"/>
      <c r="BH1791" s="6782"/>
      <c r="BI1791" s="6782">
        <v>1600</v>
      </c>
      <c r="BJ1791" s="6782"/>
      <c r="BK1791" s="6782"/>
      <c r="BL1791" s="6782"/>
      <c r="BM1791" s="6782"/>
      <c r="BN1791" s="6782"/>
      <c r="BO1791" s="6782"/>
      <c r="BP1791" s="6782"/>
      <c r="BQ1791" s="6782"/>
      <c r="BR1791" s="6782"/>
      <c r="BS1791" s="6782"/>
      <c r="BT1791" s="6782"/>
      <c r="BU1791" s="6782"/>
      <c r="BV1791" s="6782"/>
      <c r="BW1791" s="6782">
        <v>1600</v>
      </c>
      <c r="BX1791" s="6782"/>
      <c r="BY1791" s="6782"/>
      <c r="BZ1791" s="6782"/>
      <c r="CA1791" s="6782"/>
      <c r="CB1791" s="6782"/>
      <c r="CC1791" s="6803"/>
      <c r="CD1791" s="6803"/>
      <c r="CE1791" s="5920"/>
      <c r="CF1791" s="5920"/>
      <c r="CG1791" s="5920"/>
      <c r="CH1791" s="5920"/>
    </row>
    <row r="1792" s="4981" customFormat="1" ht="35" customHeight="1" spans="1:86">
      <c r="A1792" s="6782"/>
      <c r="B1792" s="6782"/>
      <c r="C1792" s="6782"/>
      <c r="D1792" s="6784"/>
      <c r="E1792" s="6782"/>
      <c r="F1792" s="6784"/>
      <c r="G1792" s="6784"/>
      <c r="H1792" s="6782"/>
      <c r="I1792" s="6782"/>
      <c r="J1792" s="6784"/>
      <c r="K1792" s="6784"/>
      <c r="L1792" s="6784"/>
      <c r="M1792" s="6782"/>
      <c r="N1792" s="6782"/>
      <c r="O1792" s="6782"/>
      <c r="P1792" s="6782"/>
      <c r="Q1792" s="6782"/>
      <c r="R1792" s="6782"/>
      <c r="S1792" s="6782"/>
      <c r="T1792" s="6782"/>
      <c r="U1792" s="6782"/>
      <c r="V1792" s="6782"/>
      <c r="W1792" s="6782"/>
      <c r="X1792" s="6782"/>
      <c r="Y1792" s="6782"/>
      <c r="Z1792" s="6782"/>
      <c r="AA1792" s="6782"/>
      <c r="AB1792" s="6784"/>
      <c r="AC1792" s="6782" t="s">
        <v>1039</v>
      </c>
      <c r="AD1792" s="6797" t="s">
        <v>3197</v>
      </c>
      <c r="AE1792" s="6795">
        <v>0.8</v>
      </c>
      <c r="AF1792" s="6782">
        <f>AE1792*M1791</f>
        <v>6400</v>
      </c>
      <c r="AG1792" s="6782">
        <f t="shared" si="388"/>
        <v>6400</v>
      </c>
      <c r="AH1792" s="6782" t="s">
        <v>206</v>
      </c>
      <c r="AI1792" s="6782">
        <v>43070</v>
      </c>
      <c r="AJ1792" s="6782">
        <v>6400</v>
      </c>
      <c r="AK1792" s="6782" t="s">
        <v>171</v>
      </c>
      <c r="AL1792" s="6782">
        <v>6400</v>
      </c>
      <c r="AM1792" s="6782">
        <v>43070</v>
      </c>
      <c r="AN1792" s="6782">
        <f t="shared" si="386"/>
        <v>6400</v>
      </c>
      <c r="AO1792" s="6782">
        <v>43101</v>
      </c>
      <c r="AP1792" s="6782">
        <f t="shared" si="387"/>
        <v>0</v>
      </c>
      <c r="AQ1792" s="6782"/>
      <c r="AR1792" s="6782" t="s">
        <v>1037</v>
      </c>
      <c r="AS1792" s="6784"/>
      <c r="AT1792" s="6782" t="s">
        <v>171</v>
      </c>
      <c r="AU1792" s="6782"/>
      <c r="AV1792" s="6782"/>
      <c r="AW1792" s="6782"/>
      <c r="AX1792" s="6782"/>
      <c r="AY1792" s="6782"/>
      <c r="AZ1792" s="6782"/>
      <c r="BA1792" s="6782"/>
      <c r="BB1792" s="6782"/>
      <c r="BC1792" s="6782"/>
      <c r="BD1792" s="6782"/>
      <c r="BE1792" s="6782"/>
      <c r="BF1792" s="6782"/>
      <c r="BG1792" s="6782"/>
      <c r="BH1792" s="6782"/>
      <c r="BI1792" s="6782">
        <v>6400</v>
      </c>
      <c r="BJ1792" s="6782"/>
      <c r="BK1792" s="6782"/>
      <c r="BL1792" s="6782"/>
      <c r="BM1792" s="6782"/>
      <c r="BN1792" s="6782"/>
      <c r="BO1792" s="6782"/>
      <c r="BP1792" s="6782"/>
      <c r="BQ1792" s="6782"/>
      <c r="BR1792" s="6782"/>
      <c r="BS1792" s="6782"/>
      <c r="BT1792" s="6782"/>
      <c r="BU1792" s="6782"/>
      <c r="BV1792" s="6782"/>
      <c r="BW1792" s="6782">
        <v>6400</v>
      </c>
      <c r="BX1792" s="6782"/>
      <c r="BY1792" s="6782"/>
      <c r="BZ1792" s="6782"/>
      <c r="CA1792" s="6782"/>
      <c r="CB1792" s="6782"/>
      <c r="CC1792" s="6803"/>
      <c r="CD1792" s="6803"/>
      <c r="CE1792" s="5920"/>
      <c r="CF1792" s="5920"/>
      <c r="CG1792" s="5920"/>
      <c r="CH1792" s="5920"/>
    </row>
    <row r="1793" s="4981" customFormat="1" ht="43.35" customHeight="1" spans="1:86">
      <c r="A1793" s="3812">
        <v>35</v>
      </c>
      <c r="B1793" s="857" t="s">
        <v>3016</v>
      </c>
      <c r="C1793" s="3812">
        <v>43174</v>
      </c>
      <c r="D1793" s="5059" t="s">
        <v>3166</v>
      </c>
      <c r="E1793" s="3812" t="s">
        <v>113</v>
      </c>
      <c r="F1793" s="5059" t="s">
        <v>3198</v>
      </c>
      <c r="G1793" s="5059" t="s">
        <v>3199</v>
      </c>
      <c r="H1793" s="3812" t="s">
        <v>813</v>
      </c>
      <c r="I1793" s="4840"/>
      <c r="J1793" s="5059" t="s">
        <v>563</v>
      </c>
      <c r="K1793" s="5241" t="s">
        <v>3200</v>
      </c>
      <c r="L1793" s="5059" t="s">
        <v>3201</v>
      </c>
      <c r="M1793" s="3812">
        <f>SUM(N1793:AA1795)</f>
        <v>2024765.69</v>
      </c>
      <c r="N1793" s="2678" t="s">
        <v>16</v>
      </c>
      <c r="O1793" s="2678">
        <v>0</v>
      </c>
      <c r="P1793" s="2678">
        <v>0</v>
      </c>
      <c r="Q1793" s="2678">
        <f>212131.94+1812633.75</f>
        <v>2024765.69</v>
      </c>
      <c r="R1793" s="2678">
        <v>0</v>
      </c>
      <c r="S1793" s="2678">
        <v>0</v>
      </c>
      <c r="T1793" s="2678"/>
      <c r="U1793" s="2678">
        <v>0</v>
      </c>
      <c r="V1793" s="2678">
        <v>0</v>
      </c>
      <c r="W1793" s="2678">
        <v>0</v>
      </c>
      <c r="X1793" s="2678"/>
      <c r="Y1793" s="2678"/>
      <c r="Z1793" s="2678"/>
      <c r="AA1793" s="2678">
        <v>0</v>
      </c>
      <c r="AB1793" s="5667">
        <v>1812633.75</v>
      </c>
      <c r="AC1793" s="5059" t="s">
        <v>3202</v>
      </c>
      <c r="AD1793" s="5105" t="s">
        <v>3203</v>
      </c>
      <c r="AE1793" s="1095">
        <v>0.5</v>
      </c>
      <c r="AF1793" s="3812">
        <f>M1793*AE1793</f>
        <v>1012382.845</v>
      </c>
      <c r="AG1793" s="3812">
        <f t="shared" si="388"/>
        <v>1012382.85</v>
      </c>
      <c r="AH1793" s="3812" t="s">
        <v>206</v>
      </c>
      <c r="AI1793" s="3812">
        <v>43445</v>
      </c>
      <c r="AJ1793" s="3812">
        <v>1012382.85</v>
      </c>
      <c r="AK1793" s="3812">
        <v>43445</v>
      </c>
      <c r="AL1793" s="3812">
        <v>1012382.85</v>
      </c>
      <c r="AM1793" s="3812">
        <v>43262</v>
      </c>
      <c r="AN1793" s="3812">
        <v>1012382.85</v>
      </c>
      <c r="AO1793" s="3812">
        <v>43445</v>
      </c>
      <c r="AP1793" s="3812">
        <f t="shared" ref="AP1793:AP1802" si="389">AG1793-AL1793</f>
        <v>0</v>
      </c>
      <c r="AQ1793" s="5059"/>
      <c r="AR1793" s="2678"/>
      <c r="AS1793" s="5667"/>
      <c r="AT1793" s="2678"/>
      <c r="AU1793" s="2678">
        <f>SUM(AG1793:AG1795)</f>
        <v>1822289.13</v>
      </c>
      <c r="AV1793" s="2678">
        <f>SUM(AL1793:AL1795)</f>
        <v>1822289.13</v>
      </c>
      <c r="AW1793" s="2678">
        <f>SUM(AN1793:AN1795)</f>
        <v>1822289.13</v>
      </c>
      <c r="AX1793" s="2678">
        <f t="shared" ref="AX1793:AX1802" si="390">M1793-AU1793</f>
        <v>202476.56</v>
      </c>
      <c r="AY1793" s="2678">
        <f t="shared" ref="AY1793:AY1802" si="391">AU1793-AV1793</f>
        <v>0</v>
      </c>
      <c r="AZ1793" s="2678">
        <f t="shared" ref="AZ1793:AZ1802" si="392">AV1793-AW1793</f>
        <v>0</v>
      </c>
      <c r="BA1793" s="3812"/>
      <c r="BB1793" s="3812"/>
      <c r="BC1793" s="3812"/>
      <c r="BD1793" s="3812">
        <v>1012382.85</v>
      </c>
      <c r="BE1793" s="3812"/>
      <c r="BF1793" s="3812"/>
      <c r="BG1793" s="3812"/>
      <c r="BH1793" s="3812"/>
      <c r="BI1793" s="3812"/>
      <c r="BJ1793" s="3812"/>
      <c r="BK1793" s="3812"/>
      <c r="BL1793" s="3812"/>
      <c r="BM1793" s="3812"/>
      <c r="BN1793" s="3812"/>
      <c r="BO1793" s="3812"/>
      <c r="BP1793" s="3812"/>
      <c r="BQ1793" s="3812"/>
      <c r="BR1793" s="3812">
        <v>1012382.85</v>
      </c>
      <c r="BS1793" s="3812"/>
      <c r="BT1793" s="3812"/>
      <c r="BU1793" s="3812"/>
      <c r="BV1793" s="3812"/>
      <c r="BW1793" s="3812"/>
      <c r="BX1793" s="3812"/>
      <c r="BY1793" s="3812"/>
      <c r="BZ1793" s="3812"/>
      <c r="CA1793" s="3812"/>
      <c r="CB1793" s="3812"/>
      <c r="CC1793" s="3524"/>
      <c r="CD1793" s="3524"/>
      <c r="CE1793" s="5920"/>
      <c r="CF1793" s="5920"/>
      <c r="CG1793" s="5920"/>
      <c r="CH1793" s="5920"/>
    </row>
    <row r="1794" s="4981" customFormat="1" ht="43.35" customHeight="1" spans="1:86">
      <c r="A1794" s="3812"/>
      <c r="B1794" s="3812"/>
      <c r="C1794" s="3812"/>
      <c r="D1794" s="5059"/>
      <c r="E1794" s="3812"/>
      <c r="F1794" s="5059"/>
      <c r="G1794" s="5059"/>
      <c r="H1794" s="3812"/>
      <c r="I1794" s="4841"/>
      <c r="J1794" s="5059"/>
      <c r="K1794" s="5833"/>
      <c r="L1794" s="5059"/>
      <c r="M1794" s="3812"/>
      <c r="N1794" s="2678"/>
      <c r="O1794" s="2678"/>
      <c r="P1794" s="2678"/>
      <c r="Q1794" s="2678"/>
      <c r="R1794" s="2678"/>
      <c r="S1794" s="2678"/>
      <c r="T1794" s="2678"/>
      <c r="U1794" s="2678"/>
      <c r="V1794" s="2678"/>
      <c r="W1794" s="2678"/>
      <c r="X1794" s="2678"/>
      <c r="Y1794" s="2678"/>
      <c r="Z1794" s="2678"/>
      <c r="AA1794" s="2678"/>
      <c r="AB1794" s="5667"/>
      <c r="AC1794" s="5059" t="s">
        <v>3204</v>
      </c>
      <c r="AD1794" s="5105" t="s">
        <v>3205</v>
      </c>
      <c r="AE1794" s="1095">
        <v>0.4</v>
      </c>
      <c r="AF1794" s="3812">
        <f>M1793*AE1794</f>
        <v>809906.276</v>
      </c>
      <c r="AG1794" s="3812">
        <f t="shared" si="388"/>
        <v>809906.28</v>
      </c>
      <c r="AH1794" s="3812" t="s">
        <v>206</v>
      </c>
      <c r="AI1794" s="3812">
        <v>43789</v>
      </c>
      <c r="AJ1794" s="3812">
        <v>809906.28</v>
      </c>
      <c r="AK1794" s="3812">
        <v>43789</v>
      </c>
      <c r="AL1794" s="3812">
        <v>809906.28</v>
      </c>
      <c r="AM1794" s="3812">
        <v>43792</v>
      </c>
      <c r="AN1794" s="3812">
        <v>809906.28</v>
      </c>
      <c r="AO1794" s="3812">
        <v>43789</v>
      </c>
      <c r="AP1794" s="3812">
        <f t="shared" si="389"/>
        <v>0</v>
      </c>
      <c r="AQ1794" s="5059"/>
      <c r="AR1794" s="2678"/>
      <c r="AS1794" s="5667"/>
      <c r="AT1794" s="2678" t="s">
        <v>171</v>
      </c>
      <c r="AU1794" s="2678"/>
      <c r="AV1794" s="2678"/>
      <c r="AW1794" s="2678"/>
      <c r="AX1794" s="2678"/>
      <c r="AY1794" s="2678"/>
      <c r="AZ1794" s="2678"/>
      <c r="BA1794" s="3812"/>
      <c r="BB1794" s="3812"/>
      <c r="BC1794" s="3812"/>
      <c r="BD1794" s="3812">
        <v>809906.28</v>
      </c>
      <c r="BE1794" s="3812"/>
      <c r="BF1794" s="3812"/>
      <c r="BG1794" s="3812"/>
      <c r="BH1794" s="3812"/>
      <c r="BI1794" s="3812"/>
      <c r="BJ1794" s="3812"/>
      <c r="BK1794" s="3812"/>
      <c r="BL1794" s="3812"/>
      <c r="BM1794" s="3812"/>
      <c r="BN1794" s="3812"/>
      <c r="BO1794" s="3812"/>
      <c r="BP1794" s="3812"/>
      <c r="BQ1794" s="3812"/>
      <c r="BR1794" s="3812">
        <v>809906.28</v>
      </c>
      <c r="BS1794" s="3812"/>
      <c r="BT1794" s="3812"/>
      <c r="BU1794" s="3812"/>
      <c r="BV1794" s="3812"/>
      <c r="BW1794" s="3812"/>
      <c r="BX1794" s="3812"/>
      <c r="BY1794" s="3812"/>
      <c r="BZ1794" s="3812"/>
      <c r="CA1794" s="3812"/>
      <c r="CB1794" s="3812"/>
      <c r="CC1794" s="3524"/>
      <c r="CD1794" s="3524"/>
      <c r="CE1794" s="5920"/>
      <c r="CF1794" s="5920"/>
      <c r="CG1794" s="5920"/>
      <c r="CH1794" s="5920"/>
    </row>
    <row r="1795" s="4981" customFormat="1" ht="43.35" customHeight="1" spans="1:86">
      <c r="A1795" s="3812"/>
      <c r="B1795" s="3812"/>
      <c r="C1795" s="3812"/>
      <c r="D1795" s="5059"/>
      <c r="E1795" s="3812"/>
      <c r="F1795" s="5059"/>
      <c r="G1795" s="5059"/>
      <c r="H1795" s="3812"/>
      <c r="I1795" s="4842"/>
      <c r="J1795" s="5059"/>
      <c r="K1795" s="5833"/>
      <c r="L1795" s="5059"/>
      <c r="M1795" s="3812"/>
      <c r="N1795" s="2678"/>
      <c r="O1795" s="2678"/>
      <c r="P1795" s="2678"/>
      <c r="Q1795" s="2678"/>
      <c r="R1795" s="2678"/>
      <c r="S1795" s="2678"/>
      <c r="T1795" s="2678"/>
      <c r="U1795" s="2678"/>
      <c r="V1795" s="2678"/>
      <c r="W1795" s="2678"/>
      <c r="X1795" s="2678"/>
      <c r="Y1795" s="2678"/>
      <c r="Z1795" s="2678"/>
      <c r="AA1795" s="2678"/>
      <c r="AB1795" s="5667"/>
      <c r="AC1795" s="5059" t="s">
        <v>3206</v>
      </c>
      <c r="AD1795" s="5241" t="s">
        <v>3207</v>
      </c>
      <c r="AE1795" s="1095">
        <v>0.1</v>
      </c>
      <c r="AF1795" s="3812">
        <v>202476.56</v>
      </c>
      <c r="AG1795" s="3812">
        <f t="shared" si="388"/>
        <v>0</v>
      </c>
      <c r="AH1795" s="3812"/>
      <c r="AI1795" s="3812"/>
      <c r="AJ1795" s="3812"/>
      <c r="AK1795" s="3812"/>
      <c r="AL1795" s="3812"/>
      <c r="AM1795" s="3812"/>
      <c r="AN1795" s="3812"/>
      <c r="AO1795" s="3812"/>
      <c r="AP1795" s="3812">
        <f t="shared" si="389"/>
        <v>0</v>
      </c>
      <c r="AQ1795" s="1032"/>
      <c r="AR1795" s="2678"/>
      <c r="AS1795" s="5667"/>
      <c r="AT1795" s="2678"/>
      <c r="AU1795" s="2678"/>
      <c r="AV1795" s="2678"/>
      <c r="AW1795" s="2678"/>
      <c r="AX1795" s="2678"/>
      <c r="AY1795" s="2678"/>
      <c r="AZ1795" s="2678"/>
      <c r="BA1795" s="3812"/>
      <c r="BB1795" s="3812"/>
      <c r="BC1795" s="3812"/>
      <c r="BD1795" s="3812"/>
      <c r="BE1795" s="3812"/>
      <c r="BF1795" s="3812"/>
      <c r="BG1795" s="3812"/>
      <c r="BH1795" s="3812"/>
      <c r="BI1795" s="3812"/>
      <c r="BJ1795" s="3812"/>
      <c r="BK1795" s="3812"/>
      <c r="BL1795" s="3812"/>
      <c r="BM1795" s="3812"/>
      <c r="BN1795" s="3812"/>
      <c r="BO1795" s="3812"/>
      <c r="BP1795" s="3812"/>
      <c r="BQ1795" s="3812"/>
      <c r="BR1795" s="3812"/>
      <c r="BS1795" s="3812"/>
      <c r="BT1795" s="3812"/>
      <c r="BU1795" s="3812"/>
      <c r="BV1795" s="3812"/>
      <c r="BW1795" s="3812"/>
      <c r="BX1795" s="3812"/>
      <c r="BY1795" s="3812"/>
      <c r="BZ1795" s="3812"/>
      <c r="CA1795" s="3812"/>
      <c r="CB1795" s="3812"/>
      <c r="CC1795" s="3524"/>
      <c r="CD1795" s="3524"/>
      <c r="CE1795" s="5920"/>
      <c r="CF1795" s="5920"/>
      <c r="CG1795" s="5920"/>
      <c r="CH1795" s="5920"/>
    </row>
    <row r="1796" s="4992" customFormat="1" ht="76" spans="1:86">
      <c r="A1796" s="3812">
        <v>39</v>
      </c>
      <c r="B1796" s="3684" t="s">
        <v>3079</v>
      </c>
      <c r="C1796" s="3684">
        <v>42736</v>
      </c>
      <c r="D1796" s="5055" t="s">
        <v>3208</v>
      </c>
      <c r="E1796" s="3684" t="s">
        <v>113</v>
      </c>
      <c r="F1796" s="5055" t="s">
        <v>3209</v>
      </c>
      <c r="G1796" s="5060" t="s">
        <v>3210</v>
      </c>
      <c r="H1796" s="3684" t="s">
        <v>286</v>
      </c>
      <c r="I1796" s="3684"/>
      <c r="J1796" s="5060" t="s">
        <v>3211</v>
      </c>
      <c r="K1796" s="5060" t="s">
        <v>171</v>
      </c>
      <c r="L1796" s="5060" t="s">
        <v>886</v>
      </c>
      <c r="M1796" s="3684">
        <f>SUM(N1796:AA1796)</f>
        <v>50000</v>
      </c>
      <c r="N1796" s="3812">
        <v>0</v>
      </c>
      <c r="O1796" s="3812">
        <v>0</v>
      </c>
      <c r="P1796" s="3812">
        <v>50000</v>
      </c>
      <c r="Q1796" s="3812">
        <v>0</v>
      </c>
      <c r="R1796" s="3812">
        <v>0</v>
      </c>
      <c r="S1796" s="3812">
        <v>0</v>
      </c>
      <c r="T1796" s="3812"/>
      <c r="U1796" s="3812">
        <v>0</v>
      </c>
      <c r="V1796" s="3812">
        <v>0</v>
      </c>
      <c r="W1796" s="3812">
        <v>0</v>
      </c>
      <c r="X1796" s="3812">
        <v>0</v>
      </c>
      <c r="Y1796" s="3812">
        <v>0</v>
      </c>
      <c r="Z1796" s="3812"/>
      <c r="AA1796" s="3812">
        <v>0</v>
      </c>
      <c r="AB1796" s="3812" t="s">
        <v>171</v>
      </c>
      <c r="AC1796" s="3684" t="s">
        <v>1034</v>
      </c>
      <c r="AD1796" s="6792" t="s">
        <v>3212</v>
      </c>
      <c r="AE1796" s="2139">
        <v>1</v>
      </c>
      <c r="AF1796" s="3684">
        <f t="shared" ref="AF1796:AF1800" si="393">AE1796*M1796</f>
        <v>50000</v>
      </c>
      <c r="AG1796" s="3684">
        <f t="shared" si="388"/>
        <v>50000</v>
      </c>
      <c r="AH1796" s="3684" t="s">
        <v>206</v>
      </c>
      <c r="AI1796" s="3684">
        <v>42795</v>
      </c>
      <c r="AJ1796" s="3684"/>
      <c r="AK1796" s="3684" t="s">
        <v>171</v>
      </c>
      <c r="AL1796" s="3684">
        <v>50000</v>
      </c>
      <c r="AM1796" s="3684">
        <v>42795</v>
      </c>
      <c r="AN1796" s="3684">
        <f t="shared" ref="AN1796:AN1803" si="394">SUM(BO1796:CB1796)</f>
        <v>50000</v>
      </c>
      <c r="AO1796" s="3684">
        <v>42826</v>
      </c>
      <c r="AP1796" s="3684">
        <f t="shared" si="389"/>
        <v>0</v>
      </c>
      <c r="AQ1796" s="3814" t="s">
        <v>1463</v>
      </c>
      <c r="AR1796" s="3684" t="s">
        <v>1037</v>
      </c>
      <c r="AS1796" s="5060"/>
      <c r="AT1796" s="3684" t="s">
        <v>171</v>
      </c>
      <c r="AU1796" s="3812">
        <f t="shared" ref="AU1796:AU1800" si="395">SUM(AG1796:AG1796)</f>
        <v>50000</v>
      </c>
      <c r="AV1796" s="3812">
        <f t="shared" ref="AV1796:AV1800" si="396">SUM(AL1796:AL1796)</f>
        <v>50000</v>
      </c>
      <c r="AW1796" s="3812">
        <f t="shared" ref="AW1796:AW1800" si="397">SUM(AN1796:AN1796)</f>
        <v>50000</v>
      </c>
      <c r="AX1796" s="3812">
        <f t="shared" si="390"/>
        <v>0</v>
      </c>
      <c r="AY1796" s="3812">
        <f t="shared" si="391"/>
        <v>0</v>
      </c>
      <c r="AZ1796" s="3812">
        <f t="shared" si="392"/>
        <v>0</v>
      </c>
      <c r="BA1796" s="3684"/>
      <c r="BB1796" s="3684"/>
      <c r="BC1796" s="3684"/>
      <c r="BD1796" s="3684"/>
      <c r="BE1796" s="3684"/>
      <c r="BF1796" s="3684"/>
      <c r="BG1796" s="3684"/>
      <c r="BH1796" s="3684"/>
      <c r="BI1796" s="3684">
        <v>50000</v>
      </c>
      <c r="BJ1796" s="3684"/>
      <c r="BK1796" s="3684"/>
      <c r="BL1796" s="3684"/>
      <c r="BM1796" s="3684"/>
      <c r="BN1796" s="3684"/>
      <c r="BO1796" s="3684"/>
      <c r="BP1796" s="3684"/>
      <c r="BQ1796" s="3684"/>
      <c r="BR1796" s="3684"/>
      <c r="BS1796" s="3684"/>
      <c r="BT1796" s="3684"/>
      <c r="BU1796" s="3684"/>
      <c r="BV1796" s="3684"/>
      <c r="BW1796" s="3684">
        <v>50000</v>
      </c>
      <c r="BX1796" s="3684"/>
      <c r="BY1796" s="3684"/>
      <c r="BZ1796" s="3684"/>
      <c r="CA1796" s="3684"/>
      <c r="CB1796" s="3684"/>
      <c r="CC1796" s="3662"/>
      <c r="CD1796" s="3662"/>
      <c r="CE1796" s="6802"/>
      <c r="CF1796" s="6802"/>
      <c r="CG1796" s="6802"/>
      <c r="CH1796" s="6802"/>
    </row>
    <row r="1797" s="4992" customFormat="1" ht="61" spans="1:86">
      <c r="A1797" s="3812">
        <v>40</v>
      </c>
      <c r="B1797" s="3684" t="s">
        <v>3079</v>
      </c>
      <c r="C1797" s="3684">
        <v>42736</v>
      </c>
      <c r="D1797" s="5055" t="s">
        <v>3213</v>
      </c>
      <c r="E1797" s="3684" t="s">
        <v>113</v>
      </c>
      <c r="F1797" s="5060" t="s">
        <v>3214</v>
      </c>
      <c r="G1797" s="5060" t="s">
        <v>3215</v>
      </c>
      <c r="H1797" s="3684" t="s">
        <v>286</v>
      </c>
      <c r="I1797" s="3684"/>
      <c r="J1797" s="5060" t="s">
        <v>3216</v>
      </c>
      <c r="K1797" s="5060" t="s">
        <v>171</v>
      </c>
      <c r="L1797" s="5060" t="s">
        <v>3217</v>
      </c>
      <c r="M1797" s="3684">
        <f>SUM(N1797:AA1797)</f>
        <v>100000</v>
      </c>
      <c r="N1797" s="3812">
        <v>0</v>
      </c>
      <c r="O1797" s="3812">
        <v>100000</v>
      </c>
      <c r="P1797" s="3812">
        <v>0</v>
      </c>
      <c r="Q1797" s="3812">
        <v>0</v>
      </c>
      <c r="R1797" s="3812">
        <v>0</v>
      </c>
      <c r="S1797" s="3812">
        <v>0</v>
      </c>
      <c r="T1797" s="3812"/>
      <c r="U1797" s="3812">
        <v>0</v>
      </c>
      <c r="V1797" s="3812">
        <v>0</v>
      </c>
      <c r="W1797" s="3812">
        <v>0</v>
      </c>
      <c r="X1797" s="3812">
        <v>0</v>
      </c>
      <c r="Y1797" s="3812">
        <v>0</v>
      </c>
      <c r="Z1797" s="3812"/>
      <c r="AA1797" s="3812">
        <v>0</v>
      </c>
      <c r="AB1797" s="3812" t="s">
        <v>171</v>
      </c>
      <c r="AC1797" s="3684" t="s">
        <v>1034</v>
      </c>
      <c r="AD1797" s="6792" t="s">
        <v>3218</v>
      </c>
      <c r="AE1797" s="2139">
        <v>1</v>
      </c>
      <c r="AF1797" s="3684">
        <f t="shared" si="393"/>
        <v>100000</v>
      </c>
      <c r="AG1797" s="3684">
        <f t="shared" si="388"/>
        <v>100000</v>
      </c>
      <c r="AH1797" s="3684" t="s">
        <v>206</v>
      </c>
      <c r="AI1797" s="3684">
        <v>42795</v>
      </c>
      <c r="AJ1797" s="3684">
        <v>100000</v>
      </c>
      <c r="AK1797" s="3684" t="s">
        <v>171</v>
      </c>
      <c r="AL1797" s="3684">
        <v>100000</v>
      </c>
      <c r="AM1797" s="3684">
        <v>42795</v>
      </c>
      <c r="AN1797" s="3684">
        <f t="shared" si="394"/>
        <v>100000</v>
      </c>
      <c r="AO1797" s="3684">
        <v>42826</v>
      </c>
      <c r="AP1797" s="3684">
        <f t="shared" si="389"/>
        <v>0</v>
      </c>
      <c r="AQ1797" s="3814" t="s">
        <v>1463</v>
      </c>
      <c r="AR1797" s="3684" t="s">
        <v>1037</v>
      </c>
      <c r="AS1797" s="5060"/>
      <c r="AT1797" s="3684" t="s">
        <v>171</v>
      </c>
      <c r="AU1797" s="3812">
        <f t="shared" si="395"/>
        <v>100000</v>
      </c>
      <c r="AV1797" s="3812">
        <f t="shared" si="396"/>
        <v>100000</v>
      </c>
      <c r="AW1797" s="3812">
        <f t="shared" si="397"/>
        <v>100000</v>
      </c>
      <c r="AX1797" s="3812">
        <f t="shared" si="390"/>
        <v>0</v>
      </c>
      <c r="AY1797" s="3812">
        <f t="shared" si="391"/>
        <v>0</v>
      </c>
      <c r="AZ1797" s="3812">
        <f t="shared" si="392"/>
        <v>0</v>
      </c>
      <c r="BA1797" s="3684"/>
      <c r="BB1797" s="3684"/>
      <c r="BC1797" s="3684"/>
      <c r="BD1797" s="3684"/>
      <c r="BE1797" s="3684"/>
      <c r="BF1797" s="3684"/>
      <c r="BG1797" s="3684"/>
      <c r="BH1797" s="3684"/>
      <c r="BI1797" s="3684">
        <v>100000</v>
      </c>
      <c r="BJ1797" s="3684"/>
      <c r="BK1797" s="3684"/>
      <c r="BL1797" s="3684"/>
      <c r="BM1797" s="3684"/>
      <c r="BN1797" s="3684"/>
      <c r="BO1797" s="3684"/>
      <c r="BP1797" s="3684"/>
      <c r="BQ1797" s="3684"/>
      <c r="BR1797" s="3684"/>
      <c r="BS1797" s="3684"/>
      <c r="BT1797" s="3684"/>
      <c r="BU1797" s="3684"/>
      <c r="BV1797" s="3684"/>
      <c r="BW1797" s="3684">
        <v>100000</v>
      </c>
      <c r="BX1797" s="3684"/>
      <c r="BY1797" s="3684"/>
      <c r="BZ1797" s="3684"/>
      <c r="CA1797" s="3684"/>
      <c r="CB1797" s="3684"/>
      <c r="CC1797" s="3662"/>
      <c r="CD1797" s="3662"/>
      <c r="CE1797" s="6802"/>
      <c r="CF1797" s="6802"/>
      <c r="CG1797" s="6802"/>
      <c r="CH1797" s="6802"/>
    </row>
    <row r="1798" s="4992" customFormat="1" ht="92" spans="1:86">
      <c r="A1798" s="3812">
        <v>41</v>
      </c>
      <c r="B1798" s="3684" t="s">
        <v>3079</v>
      </c>
      <c r="C1798" s="3684">
        <v>44357</v>
      </c>
      <c r="D1798" s="5055" t="s">
        <v>3219</v>
      </c>
      <c r="E1798" s="3684" t="s">
        <v>113</v>
      </c>
      <c r="F1798" s="5060" t="s">
        <v>3220</v>
      </c>
      <c r="G1798" s="5060" t="s">
        <v>3221</v>
      </c>
      <c r="H1798" s="3684" t="s">
        <v>286</v>
      </c>
      <c r="I1798" s="3684"/>
      <c r="J1798" s="5060" t="s">
        <v>3087</v>
      </c>
      <c r="K1798" s="5060" t="s">
        <v>171</v>
      </c>
      <c r="L1798" s="5060" t="s">
        <v>3222</v>
      </c>
      <c r="M1798" s="3684">
        <f>SUM(N1798:AA1798)</f>
        <v>180000</v>
      </c>
      <c r="N1798" s="3812">
        <v>0</v>
      </c>
      <c r="O1798" s="3812"/>
      <c r="P1798" s="3812">
        <v>120000</v>
      </c>
      <c r="Q1798" s="3812">
        <v>60000</v>
      </c>
      <c r="R1798" s="3812">
        <v>0</v>
      </c>
      <c r="S1798" s="3812">
        <v>0</v>
      </c>
      <c r="T1798" s="3812"/>
      <c r="U1798" s="3812">
        <v>0</v>
      </c>
      <c r="V1798" s="3812">
        <v>0</v>
      </c>
      <c r="W1798" s="3812">
        <v>0</v>
      </c>
      <c r="X1798" s="3812"/>
      <c r="Y1798" s="3812"/>
      <c r="Z1798" s="3812"/>
      <c r="AA1798" s="3812">
        <v>0</v>
      </c>
      <c r="AB1798" s="3812" t="s">
        <v>171</v>
      </c>
      <c r="AC1798" s="3684" t="s">
        <v>1034</v>
      </c>
      <c r="AD1798" s="6792" t="s">
        <v>3223</v>
      </c>
      <c r="AE1798" s="2139">
        <v>1</v>
      </c>
      <c r="AF1798" s="3684">
        <f t="shared" si="393"/>
        <v>180000</v>
      </c>
      <c r="AG1798" s="3684">
        <f t="shared" si="388"/>
        <v>180000</v>
      </c>
      <c r="AH1798" s="3684" t="s">
        <v>122</v>
      </c>
      <c r="AI1798" s="3684">
        <v>44389</v>
      </c>
      <c r="AJ1798" s="3684">
        <v>180000</v>
      </c>
      <c r="AK1798" s="3684">
        <v>44389</v>
      </c>
      <c r="AL1798" s="3684">
        <v>180000</v>
      </c>
      <c r="AM1798" s="3684">
        <v>44390</v>
      </c>
      <c r="AN1798" s="3684">
        <f t="shared" si="394"/>
        <v>180000</v>
      </c>
      <c r="AO1798" s="3684">
        <v>44399</v>
      </c>
      <c r="AP1798" s="3684">
        <f t="shared" si="389"/>
        <v>0</v>
      </c>
      <c r="AQ1798" s="5388" t="s">
        <v>3224</v>
      </c>
      <c r="AR1798" s="3684" t="s">
        <v>1463</v>
      </c>
      <c r="AS1798" s="5388"/>
      <c r="AT1798" s="3684" t="s">
        <v>171</v>
      </c>
      <c r="AU1798" s="3812">
        <f t="shared" si="395"/>
        <v>180000</v>
      </c>
      <c r="AV1798" s="3812">
        <f t="shared" si="396"/>
        <v>180000</v>
      </c>
      <c r="AW1798" s="3812">
        <f t="shared" si="397"/>
        <v>180000</v>
      </c>
      <c r="AX1798" s="3812">
        <f t="shared" si="390"/>
        <v>0</v>
      </c>
      <c r="AY1798" s="3812">
        <f t="shared" si="391"/>
        <v>0</v>
      </c>
      <c r="AZ1798" s="3812">
        <f t="shared" si="392"/>
        <v>0</v>
      </c>
      <c r="BA1798" s="3684"/>
      <c r="BB1798" s="3684"/>
      <c r="BC1798" s="3684">
        <v>120000</v>
      </c>
      <c r="BD1798" s="3684">
        <v>60000</v>
      </c>
      <c r="BE1798" s="3684"/>
      <c r="BF1798" s="3684"/>
      <c r="BG1798" s="3684"/>
      <c r="BH1798" s="3684"/>
      <c r="BI1798" s="3684"/>
      <c r="BJ1798" s="3684"/>
      <c r="BK1798" s="3684"/>
      <c r="BL1798" s="3684"/>
      <c r="BM1798" s="3684"/>
      <c r="BN1798" s="3684"/>
      <c r="BO1798" s="3684"/>
      <c r="BP1798" s="3684"/>
      <c r="BQ1798" s="3684">
        <v>120000</v>
      </c>
      <c r="BR1798" s="3684">
        <v>60000</v>
      </c>
      <c r="BS1798" s="3684"/>
      <c r="BT1798" s="3684"/>
      <c r="BU1798" s="3684"/>
      <c r="BV1798" s="3684"/>
      <c r="BW1798" s="3684"/>
      <c r="BX1798" s="3684"/>
      <c r="BY1798" s="3684"/>
      <c r="BZ1798" s="3684"/>
      <c r="CA1798" s="3684"/>
      <c r="CB1798" s="3684"/>
      <c r="CC1798" s="3662"/>
      <c r="CD1798" s="3662"/>
      <c r="CE1798" s="6802"/>
      <c r="CF1798" s="6802"/>
      <c r="CG1798" s="6802"/>
      <c r="CH1798" s="6802"/>
    </row>
    <row r="1799" s="4992" customFormat="1" ht="92" spans="1:86">
      <c r="A1799" s="3812">
        <v>41</v>
      </c>
      <c r="B1799" s="3684" t="s">
        <v>3079</v>
      </c>
      <c r="C1799" s="3684">
        <v>44552</v>
      </c>
      <c r="D1799" s="5055" t="s">
        <v>3219</v>
      </c>
      <c r="E1799" s="3684" t="s">
        <v>113</v>
      </c>
      <c r="F1799" s="5055" t="s">
        <v>3225</v>
      </c>
      <c r="G1799" s="5055" t="s">
        <v>3226</v>
      </c>
      <c r="H1799" s="3684" t="s">
        <v>286</v>
      </c>
      <c r="I1799" s="3684"/>
      <c r="J1799" s="5055" t="s">
        <v>3227</v>
      </c>
      <c r="K1799" s="5060" t="s">
        <v>171</v>
      </c>
      <c r="L1799" s="5055" t="s">
        <v>3228</v>
      </c>
      <c r="M1799" s="3684">
        <f>SUM(N1799:AA1799)</f>
        <v>200000</v>
      </c>
      <c r="N1799" s="3812">
        <v>0</v>
      </c>
      <c r="O1799" s="3812">
        <v>0</v>
      </c>
      <c r="P1799" s="3812">
        <v>0</v>
      </c>
      <c r="Q1799" s="3812">
        <v>200000</v>
      </c>
      <c r="R1799" s="3812">
        <v>0</v>
      </c>
      <c r="S1799" s="3812">
        <v>0</v>
      </c>
      <c r="T1799" s="5089">
        <v>0</v>
      </c>
      <c r="U1799" s="3812">
        <v>0</v>
      </c>
      <c r="V1799" s="3812">
        <v>0</v>
      </c>
      <c r="W1799" s="3812">
        <v>0</v>
      </c>
      <c r="X1799" s="3812"/>
      <c r="Y1799" s="3812"/>
      <c r="Z1799" s="3812"/>
      <c r="AA1799" s="3812">
        <v>0</v>
      </c>
      <c r="AB1799" s="3812" t="s">
        <v>171</v>
      </c>
      <c r="AC1799" s="3684" t="s">
        <v>1034</v>
      </c>
      <c r="AD1799" s="6792" t="s">
        <v>3223</v>
      </c>
      <c r="AE1799" s="2139">
        <v>1</v>
      </c>
      <c r="AF1799" s="3684">
        <f t="shared" si="393"/>
        <v>200000</v>
      </c>
      <c r="AG1799" s="3684">
        <f t="shared" si="388"/>
        <v>200000</v>
      </c>
      <c r="AH1799" s="3684" t="s">
        <v>122</v>
      </c>
      <c r="AI1799" s="3684">
        <v>44718</v>
      </c>
      <c r="AJ1799" s="3684">
        <v>200000</v>
      </c>
      <c r="AK1799" s="3684">
        <v>44718</v>
      </c>
      <c r="AL1799" s="3684">
        <v>200000</v>
      </c>
      <c r="AM1799" s="3684">
        <v>44718</v>
      </c>
      <c r="AN1799" s="3684">
        <f t="shared" si="394"/>
        <v>200000</v>
      </c>
      <c r="AO1799" s="3684">
        <v>44726</v>
      </c>
      <c r="AP1799" s="3684">
        <f t="shared" si="389"/>
        <v>0</v>
      </c>
      <c r="AQ1799" s="5388" t="s">
        <v>3229</v>
      </c>
      <c r="AR1799" s="3684" t="s">
        <v>1463</v>
      </c>
      <c r="AS1799" s="5388"/>
      <c r="AT1799" s="3684" t="s">
        <v>171</v>
      </c>
      <c r="AU1799" s="3812">
        <f t="shared" si="395"/>
        <v>200000</v>
      </c>
      <c r="AV1799" s="3812">
        <f t="shared" si="396"/>
        <v>200000</v>
      </c>
      <c r="AW1799" s="3812">
        <f t="shared" si="397"/>
        <v>200000</v>
      </c>
      <c r="AX1799" s="3812">
        <f t="shared" si="390"/>
        <v>0</v>
      </c>
      <c r="AY1799" s="3812">
        <f t="shared" si="391"/>
        <v>0</v>
      </c>
      <c r="AZ1799" s="3812">
        <f t="shared" si="392"/>
        <v>0</v>
      </c>
      <c r="BA1799" s="3684"/>
      <c r="BB1799" s="3684"/>
      <c r="BC1799" s="3684"/>
      <c r="BD1799" s="3684">
        <v>200000</v>
      </c>
      <c r="BE1799" s="3684"/>
      <c r="BF1799" s="3684"/>
      <c r="BG1799" s="3684"/>
      <c r="BH1799" s="3684"/>
      <c r="BI1799" s="3684"/>
      <c r="BJ1799" s="3684"/>
      <c r="BK1799" s="3684"/>
      <c r="BL1799" s="3684"/>
      <c r="BM1799" s="3684"/>
      <c r="BN1799" s="3684"/>
      <c r="BO1799" s="3684"/>
      <c r="BP1799" s="3684"/>
      <c r="BQ1799" s="3684"/>
      <c r="BR1799" s="3684">
        <v>200000</v>
      </c>
      <c r="BS1799" s="3684"/>
      <c r="BT1799" s="3684"/>
      <c r="BU1799" s="3684"/>
      <c r="BV1799" s="3684"/>
      <c r="BW1799" s="3684"/>
      <c r="BX1799" s="3684"/>
      <c r="BY1799" s="3684"/>
      <c r="BZ1799" s="3684"/>
      <c r="CA1799" s="3684"/>
      <c r="CB1799" s="3684"/>
      <c r="CC1799" s="3662"/>
      <c r="CD1799" s="3662"/>
      <c r="CE1799" s="6802"/>
      <c r="CF1799" s="6802"/>
      <c r="CG1799" s="6802"/>
      <c r="CH1799" s="6802"/>
    </row>
    <row r="1800" s="4981" customFormat="1" ht="31" spans="1:86">
      <c r="A1800" s="3812">
        <v>41</v>
      </c>
      <c r="B1800" s="4840" t="s">
        <v>3079</v>
      </c>
      <c r="C1800" s="4840">
        <v>44139</v>
      </c>
      <c r="D1800" s="5073" t="s">
        <v>3230</v>
      </c>
      <c r="E1800" s="3684" t="s">
        <v>113</v>
      </c>
      <c r="F1800" s="5214" t="s">
        <v>3231</v>
      </c>
      <c r="G1800" s="5214" t="s">
        <v>3232</v>
      </c>
      <c r="H1800" s="4840" t="s">
        <v>286</v>
      </c>
      <c r="I1800" s="4840"/>
      <c r="J1800" s="5214" t="s">
        <v>3122</v>
      </c>
      <c r="K1800" s="5214" t="s">
        <v>171</v>
      </c>
      <c r="L1800" s="5214" t="s">
        <v>886</v>
      </c>
      <c r="M1800" s="4840">
        <f>SUM(N1800:AA1801)</f>
        <v>100000</v>
      </c>
      <c r="N1800" s="3812">
        <v>0</v>
      </c>
      <c r="O1800" s="3812"/>
      <c r="P1800" s="3812">
        <v>0</v>
      </c>
      <c r="Q1800" s="3812">
        <v>50000</v>
      </c>
      <c r="R1800" s="3812">
        <v>0</v>
      </c>
      <c r="S1800" s="3812">
        <v>0</v>
      </c>
      <c r="T1800" s="3812"/>
      <c r="U1800" s="3812">
        <v>0</v>
      </c>
      <c r="V1800" s="3812">
        <v>0</v>
      </c>
      <c r="W1800" s="3812">
        <v>0</v>
      </c>
      <c r="X1800" s="3812"/>
      <c r="Y1800" s="3812"/>
      <c r="Z1800" s="3812"/>
      <c r="AA1800" s="3812">
        <v>0</v>
      </c>
      <c r="AB1800" s="3812" t="s">
        <v>171</v>
      </c>
      <c r="AC1800" s="4840" t="s">
        <v>1034</v>
      </c>
      <c r="AD1800" s="1083" t="s">
        <v>3223</v>
      </c>
      <c r="AE1800" s="1083">
        <v>1</v>
      </c>
      <c r="AF1800" s="4840">
        <f t="shared" si="393"/>
        <v>100000</v>
      </c>
      <c r="AG1800" s="3812">
        <f t="shared" si="388"/>
        <v>50000</v>
      </c>
      <c r="AH1800" s="3812" t="s">
        <v>206</v>
      </c>
      <c r="AI1800" s="3812">
        <v>44146</v>
      </c>
      <c r="AJ1800" s="3812">
        <v>50000</v>
      </c>
      <c r="AK1800" s="3812">
        <v>44146</v>
      </c>
      <c r="AL1800" s="3812">
        <v>50000</v>
      </c>
      <c r="AM1800" s="3812">
        <v>44454</v>
      </c>
      <c r="AN1800" s="3812">
        <f t="shared" si="394"/>
        <v>50000</v>
      </c>
      <c r="AO1800" s="3812">
        <v>44517</v>
      </c>
      <c r="AP1800" s="3812">
        <f t="shared" si="389"/>
        <v>0</v>
      </c>
      <c r="AQ1800" s="857" t="s">
        <v>1463</v>
      </c>
      <c r="AR1800" s="3812" t="s">
        <v>1463</v>
      </c>
      <c r="AS1800" s="5059" t="s">
        <v>3233</v>
      </c>
      <c r="AT1800" s="3812" t="s">
        <v>171</v>
      </c>
      <c r="AU1800" s="3812">
        <f t="shared" si="395"/>
        <v>50000</v>
      </c>
      <c r="AV1800" s="3812">
        <f t="shared" si="396"/>
        <v>50000</v>
      </c>
      <c r="AW1800" s="3812">
        <f t="shared" si="397"/>
        <v>50000</v>
      </c>
      <c r="AX1800" s="3812">
        <f t="shared" si="390"/>
        <v>50000</v>
      </c>
      <c r="AY1800" s="3812">
        <f t="shared" si="391"/>
        <v>0</v>
      </c>
      <c r="AZ1800" s="3812">
        <f t="shared" si="392"/>
        <v>0</v>
      </c>
      <c r="BA1800" s="3812"/>
      <c r="BB1800" s="3812"/>
      <c r="BC1800" s="3812"/>
      <c r="BD1800" s="3812">
        <v>50000</v>
      </c>
      <c r="BE1800" s="3812"/>
      <c r="BF1800" s="3812"/>
      <c r="BG1800" s="3812"/>
      <c r="BH1800" s="3812"/>
      <c r="BI1800" s="3812"/>
      <c r="BJ1800" s="3812"/>
      <c r="BK1800" s="3812"/>
      <c r="BL1800" s="3812"/>
      <c r="BM1800" s="3812"/>
      <c r="BN1800" s="3812"/>
      <c r="BO1800" s="3812"/>
      <c r="BP1800" s="3812"/>
      <c r="BQ1800" s="3812"/>
      <c r="BR1800" s="3812">
        <v>50000</v>
      </c>
      <c r="BS1800" s="3812"/>
      <c r="BT1800" s="3812"/>
      <c r="BU1800" s="3812"/>
      <c r="BV1800" s="3812"/>
      <c r="BW1800" s="3812"/>
      <c r="BX1800" s="3812"/>
      <c r="BY1800" s="3812"/>
      <c r="BZ1800" s="3812"/>
      <c r="CA1800" s="3812"/>
      <c r="CB1800" s="3812"/>
      <c r="CC1800" s="3524"/>
      <c r="CD1800" s="3524"/>
      <c r="CE1800" s="5920"/>
      <c r="CF1800" s="5920"/>
      <c r="CG1800" s="5920"/>
      <c r="CH1800" s="5920"/>
    </row>
    <row r="1801" s="4981" customFormat="1" ht="36.65" customHeight="1" spans="1:86">
      <c r="A1801" s="3812"/>
      <c r="B1801" s="4842"/>
      <c r="C1801" s="4842"/>
      <c r="D1801" s="5206"/>
      <c r="E1801" s="3057"/>
      <c r="F1801" s="5075"/>
      <c r="G1801" s="5075"/>
      <c r="H1801" s="4842"/>
      <c r="I1801" s="4842"/>
      <c r="J1801" s="5075"/>
      <c r="K1801" s="5075"/>
      <c r="L1801" s="5075"/>
      <c r="M1801" s="4842"/>
      <c r="N1801" s="3812"/>
      <c r="O1801" s="2678"/>
      <c r="P1801" s="2678"/>
      <c r="Q1801" s="2678">
        <v>50000</v>
      </c>
      <c r="R1801" s="2678"/>
      <c r="S1801" s="2678"/>
      <c r="T1801" s="2678"/>
      <c r="U1801" s="2678"/>
      <c r="V1801" s="2678"/>
      <c r="W1801" s="2678"/>
      <c r="X1801" s="2678"/>
      <c r="Y1801" s="2678"/>
      <c r="Z1801" s="2678"/>
      <c r="AA1801" s="2678"/>
      <c r="AB1801" s="2678"/>
      <c r="AC1801" s="4842"/>
      <c r="AD1801" s="1085"/>
      <c r="AE1801" s="1085"/>
      <c r="AF1801" s="4842"/>
      <c r="AG1801" s="3812">
        <f t="shared" si="388"/>
        <v>50000</v>
      </c>
      <c r="AH1801" s="1032" t="s">
        <v>122</v>
      </c>
      <c r="AI1801" s="3812">
        <v>44146</v>
      </c>
      <c r="AJ1801" s="3812">
        <v>50000</v>
      </c>
      <c r="AK1801" s="3812">
        <v>44146</v>
      </c>
      <c r="AL1801" s="4815"/>
      <c r="AM1801" s="4815"/>
      <c r="AN1801" s="4815">
        <f t="shared" si="394"/>
        <v>0</v>
      </c>
      <c r="AO1801" s="4815"/>
      <c r="AP1801" s="3812"/>
      <c r="AQ1801" s="1032"/>
      <c r="AR1801" s="3812"/>
      <c r="AS1801" s="3812"/>
      <c r="AT1801" s="3812"/>
      <c r="AU1801" s="2678"/>
      <c r="AV1801" s="2678"/>
      <c r="AW1801" s="2678"/>
      <c r="AX1801" s="2678"/>
      <c r="AY1801" s="2678"/>
      <c r="AZ1801" s="2678"/>
      <c r="BA1801" s="3812"/>
      <c r="BB1801" s="3812"/>
      <c r="BC1801" s="3812"/>
      <c r="BD1801" s="3812">
        <v>50000</v>
      </c>
      <c r="BE1801" s="3812"/>
      <c r="BF1801" s="3812"/>
      <c r="BG1801" s="3812"/>
      <c r="BH1801" s="3812"/>
      <c r="BI1801" s="3812"/>
      <c r="BJ1801" s="3812"/>
      <c r="BK1801" s="3812"/>
      <c r="BL1801" s="3812"/>
      <c r="BM1801" s="3812"/>
      <c r="BN1801" s="3812"/>
      <c r="BO1801" s="3812"/>
      <c r="BP1801" s="3812"/>
      <c r="BQ1801" s="3812"/>
      <c r="BR1801" s="3812"/>
      <c r="BS1801" s="3812"/>
      <c r="BT1801" s="3812"/>
      <c r="BU1801" s="3812"/>
      <c r="BV1801" s="3812"/>
      <c r="BW1801" s="3812"/>
      <c r="BX1801" s="3812"/>
      <c r="BY1801" s="3812"/>
      <c r="BZ1801" s="3812"/>
      <c r="CA1801" s="3812"/>
      <c r="CB1801" s="3812"/>
      <c r="CC1801" s="3524"/>
      <c r="CD1801" s="3524"/>
      <c r="CE1801" s="5920"/>
      <c r="CF1801" s="5920"/>
      <c r="CG1801" s="5920"/>
      <c r="CH1801" s="5920"/>
    </row>
    <row r="1802" s="4990" customFormat="1" ht="152" spans="1:86">
      <c r="A1802" s="3812">
        <v>41</v>
      </c>
      <c r="B1802" s="584" t="s">
        <v>3016</v>
      </c>
      <c r="C1802" s="3057">
        <v>43003</v>
      </c>
      <c r="D1802" s="1125" t="s">
        <v>3234</v>
      </c>
      <c r="E1802" s="3057" t="s">
        <v>113</v>
      </c>
      <c r="F1802" s="5056" t="s">
        <v>3235</v>
      </c>
      <c r="G1802" s="5056" t="s">
        <v>3236</v>
      </c>
      <c r="H1802" s="3057" t="s">
        <v>286</v>
      </c>
      <c r="I1802" s="5056"/>
      <c r="J1802" s="5056" t="s">
        <v>3048</v>
      </c>
      <c r="K1802" s="3057" t="s">
        <v>171</v>
      </c>
      <c r="L1802" s="5056" t="s">
        <v>3088</v>
      </c>
      <c r="M1802" s="3057">
        <f>SUM(N1802:AA1802)</f>
        <v>900000</v>
      </c>
      <c r="N1802" s="3812">
        <v>0</v>
      </c>
      <c r="O1802" s="2678">
        <v>0</v>
      </c>
      <c r="P1802" s="2678">
        <v>450000</v>
      </c>
      <c r="Q1802" s="2678">
        <v>450000</v>
      </c>
      <c r="R1802" s="2678">
        <v>0</v>
      </c>
      <c r="S1802" s="2678">
        <v>0</v>
      </c>
      <c r="T1802" s="2678"/>
      <c r="U1802" s="2678">
        <v>0</v>
      </c>
      <c r="V1802" s="2678">
        <v>0</v>
      </c>
      <c r="W1802" s="2678">
        <v>0</v>
      </c>
      <c r="X1802" s="2678"/>
      <c r="Y1802" s="2678"/>
      <c r="Z1802" s="2678"/>
      <c r="AA1802" s="2678">
        <v>0</v>
      </c>
      <c r="AB1802" s="2678" t="s">
        <v>171</v>
      </c>
      <c r="AC1802" s="3057" t="s">
        <v>1034</v>
      </c>
      <c r="AD1802" s="5856" t="s">
        <v>3237</v>
      </c>
      <c r="AE1802" s="6790">
        <v>0.28</v>
      </c>
      <c r="AF1802" s="3057">
        <v>250000</v>
      </c>
      <c r="AG1802" s="3057">
        <f t="shared" si="388"/>
        <v>250000</v>
      </c>
      <c r="AH1802" s="5056" t="s">
        <v>206</v>
      </c>
      <c r="AI1802" s="3057">
        <v>43040</v>
      </c>
      <c r="AJ1802" s="3057" t="s">
        <v>171</v>
      </c>
      <c r="AK1802" s="3057" t="s">
        <v>171</v>
      </c>
      <c r="AL1802" s="3057">
        <v>250000</v>
      </c>
      <c r="AM1802" s="3057">
        <v>43040</v>
      </c>
      <c r="AN1802" s="3057">
        <f t="shared" si="394"/>
        <v>250000</v>
      </c>
      <c r="AO1802" s="3057">
        <v>43094</v>
      </c>
      <c r="AP1802" s="3057">
        <f>AG1802-AL1802</f>
        <v>0</v>
      </c>
      <c r="AQ1802" s="1125" t="s">
        <v>1463</v>
      </c>
      <c r="AR1802" s="3057" t="s">
        <v>1037</v>
      </c>
      <c r="AS1802" s="3057"/>
      <c r="AT1802" s="3057" t="s">
        <v>171</v>
      </c>
      <c r="AU1802" s="2678">
        <f>AG1802</f>
        <v>250000</v>
      </c>
      <c r="AV1802" s="2678">
        <f>AL1802</f>
        <v>250000</v>
      </c>
      <c r="AW1802" s="2678">
        <f>AN1802</f>
        <v>250000</v>
      </c>
      <c r="AX1802" s="2678">
        <f>M1802-AU1802</f>
        <v>650000</v>
      </c>
      <c r="AY1802" s="2678">
        <f>AU1802-AV1802</f>
        <v>0</v>
      </c>
      <c r="AZ1802" s="2678">
        <f>AV1802-AW1802</f>
        <v>0</v>
      </c>
      <c r="BA1802" s="3057"/>
      <c r="BB1802" s="3057"/>
      <c r="BC1802" s="3057">
        <v>150000</v>
      </c>
      <c r="BD1802" s="3057">
        <v>100000</v>
      </c>
      <c r="BE1802" s="3057"/>
      <c r="BF1802" s="3057"/>
      <c r="BG1802" s="3057"/>
      <c r="BH1802" s="3057"/>
      <c r="BI1802" s="3057"/>
      <c r="BJ1802" s="3057"/>
      <c r="BK1802" s="3057"/>
      <c r="BL1802" s="3057"/>
      <c r="BM1802" s="3057"/>
      <c r="BN1802" s="3057"/>
      <c r="BO1802" s="3057"/>
      <c r="BP1802" s="3057"/>
      <c r="BQ1802" s="3057">
        <v>150000</v>
      </c>
      <c r="BR1802" s="3057">
        <v>100000</v>
      </c>
      <c r="BS1802" s="3057"/>
      <c r="BT1802" s="3057"/>
      <c r="BU1802" s="3057"/>
      <c r="BV1802" s="3057"/>
      <c r="BW1802" s="3057"/>
      <c r="BX1802" s="3057"/>
      <c r="BY1802" s="3057"/>
      <c r="BZ1802" s="3057"/>
      <c r="CA1802" s="3057"/>
      <c r="CB1802" s="3057"/>
      <c r="CC1802" s="3058"/>
      <c r="CD1802" s="3058"/>
      <c r="CE1802" s="6781"/>
      <c r="CF1802" s="6781"/>
      <c r="CG1802" s="6781"/>
      <c r="CH1802" s="6781"/>
    </row>
    <row r="1803" s="4992" customFormat="1" ht="76" spans="1:86">
      <c r="A1803" s="2678">
        <v>42</v>
      </c>
      <c r="B1803" s="3684" t="s">
        <v>3079</v>
      </c>
      <c r="C1803" s="3684">
        <v>43040</v>
      </c>
      <c r="D1803" s="5055" t="s">
        <v>3238</v>
      </c>
      <c r="E1803" s="3684" t="s">
        <v>113</v>
      </c>
      <c r="F1803" s="5060" t="s">
        <v>3239</v>
      </c>
      <c r="G1803" s="5060" t="s">
        <v>3240</v>
      </c>
      <c r="H1803" s="3684" t="s">
        <v>31</v>
      </c>
      <c r="I1803" s="4200"/>
      <c r="J1803" s="5060" t="s">
        <v>3211</v>
      </c>
      <c r="K1803" s="5060">
        <v>295000</v>
      </c>
      <c r="L1803" s="5060" t="s">
        <v>3095</v>
      </c>
      <c r="M1803" s="3684">
        <f>SUM(N1803:AA1808)</f>
        <v>2093180.6</v>
      </c>
      <c r="N1803" s="2678">
        <v>0</v>
      </c>
      <c r="O1803" s="2678">
        <v>0</v>
      </c>
      <c r="P1803" s="2678">
        <v>0</v>
      </c>
      <c r="Q1803" s="2678">
        <v>0</v>
      </c>
      <c r="R1803" s="2678">
        <v>0</v>
      </c>
      <c r="S1803" s="2678">
        <v>0</v>
      </c>
      <c r="T1803" s="5823">
        <v>0</v>
      </c>
      <c r="U1803" s="2678">
        <v>2093180.6</v>
      </c>
      <c r="V1803" s="2678">
        <v>0</v>
      </c>
      <c r="W1803" s="2678">
        <v>0</v>
      </c>
      <c r="X1803" s="2678">
        <v>0</v>
      </c>
      <c r="Y1803" s="2678"/>
      <c r="Z1803" s="2678"/>
      <c r="AA1803" s="2678">
        <v>0</v>
      </c>
      <c r="AB1803" s="5667" t="s">
        <v>171</v>
      </c>
      <c r="AC1803" s="3684" t="s">
        <v>1110</v>
      </c>
      <c r="AD1803" s="6792" t="s">
        <v>3241</v>
      </c>
      <c r="AE1803" s="2139">
        <v>0.3</v>
      </c>
      <c r="AF1803" s="3684">
        <f>AE1803*M1803</f>
        <v>627954.18</v>
      </c>
      <c r="AG1803" s="3684">
        <f t="shared" si="388"/>
        <v>1450943</v>
      </c>
      <c r="AH1803" s="3684" t="s">
        <v>206</v>
      </c>
      <c r="AI1803" s="3684">
        <v>43200</v>
      </c>
      <c r="AJ1803" s="3684">
        <v>1450943</v>
      </c>
      <c r="AK1803" s="3684" t="s">
        <v>171</v>
      </c>
      <c r="AL1803" s="3684">
        <v>1450943</v>
      </c>
      <c r="AM1803" s="3684">
        <v>43200</v>
      </c>
      <c r="AN1803" s="3684">
        <f t="shared" si="394"/>
        <v>1450943</v>
      </c>
      <c r="AO1803" s="3684">
        <v>43209</v>
      </c>
      <c r="AP1803" s="3684">
        <f>AG1803-AL1803</f>
        <v>0</v>
      </c>
      <c r="AQ1803" s="5055" t="s">
        <v>1463</v>
      </c>
      <c r="AR1803" s="3684"/>
      <c r="AS1803" s="5055" t="s">
        <v>3242</v>
      </c>
      <c r="AT1803" s="3684" t="s">
        <v>171</v>
      </c>
      <c r="AU1803" s="2678">
        <f>SUM(AG1803:AG1808)</f>
        <v>2093180.6</v>
      </c>
      <c r="AV1803" s="2678">
        <f>SUM(AL1803:AL1807)</f>
        <v>2093180.6</v>
      </c>
      <c r="AW1803" s="2678">
        <f>SUM(AN1803:AN1808)</f>
        <v>2093180.6</v>
      </c>
      <c r="AX1803" s="2678">
        <f>M1803-AU1803</f>
        <v>0</v>
      </c>
      <c r="AY1803" s="2678">
        <f>AU1803-AV1803</f>
        <v>0</v>
      </c>
      <c r="AZ1803" s="2678">
        <f>AV1803-AW1803</f>
        <v>0</v>
      </c>
      <c r="BA1803" s="3684"/>
      <c r="BB1803" s="3684"/>
      <c r="BC1803" s="3684"/>
      <c r="BD1803" s="3684"/>
      <c r="BE1803" s="3684"/>
      <c r="BF1803" s="3684"/>
      <c r="BG1803" s="3684"/>
      <c r="BH1803" s="3684">
        <v>1450943</v>
      </c>
      <c r="BI1803" s="3684"/>
      <c r="BJ1803" s="3684"/>
      <c r="BK1803" s="3684"/>
      <c r="BL1803" s="3684"/>
      <c r="BM1803" s="3684"/>
      <c r="BN1803" s="3684"/>
      <c r="BO1803" s="3684"/>
      <c r="BP1803" s="3684"/>
      <c r="BQ1803" s="3684"/>
      <c r="BR1803" s="3684"/>
      <c r="BS1803" s="3684"/>
      <c r="BT1803" s="3684"/>
      <c r="BU1803" s="3684"/>
      <c r="BV1803" s="3684">
        <v>1450943</v>
      </c>
      <c r="BW1803" s="3684"/>
      <c r="BX1803" s="3684"/>
      <c r="BY1803" s="3684"/>
      <c r="BZ1803" s="3684"/>
      <c r="CA1803" s="3684"/>
      <c r="CB1803" s="3684"/>
      <c r="CC1803" s="3662" t="s">
        <v>1112</v>
      </c>
      <c r="CD1803" s="3662" t="s">
        <v>154</v>
      </c>
      <c r="CE1803" s="6802"/>
      <c r="CF1803" s="6802"/>
      <c r="CG1803" s="6802"/>
      <c r="CH1803" s="6802"/>
    </row>
    <row r="1804" s="4992" customFormat="1" ht="46" spans="1:86">
      <c r="A1804" s="2678"/>
      <c r="B1804" s="3684"/>
      <c r="C1804" s="3684"/>
      <c r="D1804" s="5060"/>
      <c r="E1804" s="3684"/>
      <c r="F1804" s="5060"/>
      <c r="G1804" s="5060"/>
      <c r="H1804" s="3684"/>
      <c r="I1804" s="4201"/>
      <c r="J1804" s="5060"/>
      <c r="K1804" s="5060"/>
      <c r="L1804" s="5060"/>
      <c r="M1804" s="3684"/>
      <c r="N1804" s="2678"/>
      <c r="O1804" s="2678"/>
      <c r="P1804" s="2678"/>
      <c r="Q1804" s="2678"/>
      <c r="R1804" s="2678"/>
      <c r="S1804" s="2678"/>
      <c r="T1804" s="2678"/>
      <c r="U1804" s="2678"/>
      <c r="V1804" s="2678"/>
      <c r="W1804" s="2678"/>
      <c r="X1804" s="2678"/>
      <c r="Y1804" s="2678"/>
      <c r="Z1804" s="2678"/>
      <c r="AA1804" s="2678"/>
      <c r="AB1804" s="5667"/>
      <c r="AC1804" s="3684" t="s">
        <v>1113</v>
      </c>
      <c r="AD1804" s="6792" t="s">
        <v>3243</v>
      </c>
      <c r="AE1804" s="2139">
        <v>0.2</v>
      </c>
      <c r="AF1804" s="3684">
        <f>AE1804*M1803</f>
        <v>418636.12</v>
      </c>
      <c r="AG1804" s="3684"/>
      <c r="AH1804" s="3684"/>
      <c r="AI1804" s="3684"/>
      <c r="AJ1804" s="3684"/>
      <c r="AK1804" s="3684"/>
      <c r="AL1804" s="3684"/>
      <c r="AM1804" s="3684"/>
      <c r="AN1804" s="3684"/>
      <c r="AO1804" s="3684"/>
      <c r="AP1804" s="3684"/>
      <c r="AQ1804" s="5060"/>
      <c r="AR1804" s="3684"/>
      <c r="AS1804" s="5055"/>
      <c r="AT1804" s="3684" t="s">
        <v>171</v>
      </c>
      <c r="AU1804" s="2678"/>
      <c r="AV1804" s="2678"/>
      <c r="AW1804" s="2678"/>
      <c r="AX1804" s="2678"/>
      <c r="AY1804" s="2678"/>
      <c r="AZ1804" s="2678"/>
      <c r="BA1804" s="3684"/>
      <c r="BB1804" s="3684"/>
      <c r="BC1804" s="3684"/>
      <c r="BD1804" s="3684"/>
      <c r="BE1804" s="3684"/>
      <c r="BF1804" s="3684"/>
      <c r="BG1804" s="3684"/>
      <c r="BH1804" s="3684"/>
      <c r="BI1804" s="3684"/>
      <c r="BJ1804" s="3684"/>
      <c r="BK1804" s="3684"/>
      <c r="BL1804" s="3684"/>
      <c r="BM1804" s="3684"/>
      <c r="BN1804" s="3684"/>
      <c r="BO1804" s="3684"/>
      <c r="BP1804" s="3684"/>
      <c r="BQ1804" s="3684"/>
      <c r="BR1804" s="3684"/>
      <c r="BS1804" s="3684"/>
      <c r="BT1804" s="3684"/>
      <c r="BU1804" s="3684"/>
      <c r="BV1804" s="3684"/>
      <c r="BW1804" s="3684"/>
      <c r="BX1804" s="3684"/>
      <c r="BY1804" s="3684"/>
      <c r="BZ1804" s="3684"/>
      <c r="CA1804" s="3684"/>
      <c r="CB1804" s="3684"/>
      <c r="CC1804" s="3662"/>
      <c r="CD1804" s="3662"/>
      <c r="CE1804" s="6802"/>
      <c r="CF1804" s="6802"/>
      <c r="CG1804" s="6802"/>
      <c r="CH1804" s="6802"/>
    </row>
    <row r="1805" s="4992" customFormat="1" ht="76" spans="1:86">
      <c r="A1805" s="2678"/>
      <c r="B1805" s="3684"/>
      <c r="C1805" s="3684"/>
      <c r="D1805" s="5060"/>
      <c r="E1805" s="3684"/>
      <c r="F1805" s="5060"/>
      <c r="G1805" s="5060"/>
      <c r="H1805" s="3684"/>
      <c r="I1805" s="4201"/>
      <c r="J1805" s="5060"/>
      <c r="K1805" s="5060"/>
      <c r="L1805" s="5060"/>
      <c r="M1805" s="3684"/>
      <c r="N1805" s="2678"/>
      <c r="O1805" s="2678"/>
      <c r="P1805" s="2678"/>
      <c r="Q1805" s="2678"/>
      <c r="R1805" s="2678"/>
      <c r="S1805" s="2678"/>
      <c r="T1805" s="2678"/>
      <c r="U1805" s="2678"/>
      <c r="V1805" s="2678"/>
      <c r="W1805" s="2678"/>
      <c r="X1805" s="2678"/>
      <c r="Y1805" s="2678"/>
      <c r="Z1805" s="2678"/>
      <c r="AA1805" s="2678"/>
      <c r="AB1805" s="5667"/>
      <c r="AC1805" s="3684" t="s">
        <v>1115</v>
      </c>
      <c r="AD1805" s="6792" t="s">
        <v>3244</v>
      </c>
      <c r="AE1805" s="2139">
        <v>0.3</v>
      </c>
      <c r="AF1805" s="3684">
        <f>AE1805*M1803</f>
        <v>627954.18</v>
      </c>
      <c r="AG1805" s="3684"/>
      <c r="AH1805" s="3684"/>
      <c r="AI1805" s="3684"/>
      <c r="AJ1805" s="3684"/>
      <c r="AK1805" s="3684"/>
      <c r="AL1805" s="3684"/>
      <c r="AM1805" s="3684"/>
      <c r="AN1805" s="3684"/>
      <c r="AO1805" s="3684"/>
      <c r="AP1805" s="3684"/>
      <c r="AQ1805" s="5060"/>
      <c r="AR1805" s="3684"/>
      <c r="AS1805" s="5055"/>
      <c r="AT1805" s="3684" t="s">
        <v>171</v>
      </c>
      <c r="AU1805" s="2678"/>
      <c r="AV1805" s="2678"/>
      <c r="AW1805" s="2678"/>
      <c r="AX1805" s="2678"/>
      <c r="AY1805" s="2678"/>
      <c r="AZ1805" s="2678"/>
      <c r="BA1805" s="3684"/>
      <c r="BB1805" s="3684"/>
      <c r="BC1805" s="3684"/>
      <c r="BD1805" s="3684"/>
      <c r="BE1805" s="3684"/>
      <c r="BF1805" s="3684"/>
      <c r="BG1805" s="3684"/>
      <c r="BH1805" s="3684"/>
      <c r="BI1805" s="3684"/>
      <c r="BJ1805" s="3684"/>
      <c r="BK1805" s="3684"/>
      <c r="BL1805" s="3684"/>
      <c r="BM1805" s="3684"/>
      <c r="BN1805" s="3684"/>
      <c r="BO1805" s="3684"/>
      <c r="BP1805" s="3684"/>
      <c r="BQ1805" s="3684"/>
      <c r="BR1805" s="3684"/>
      <c r="BS1805" s="3684"/>
      <c r="BT1805" s="3684"/>
      <c r="BU1805" s="3684"/>
      <c r="BV1805" s="3684"/>
      <c r="BW1805" s="3684"/>
      <c r="BX1805" s="3684"/>
      <c r="BY1805" s="3684"/>
      <c r="BZ1805" s="3684"/>
      <c r="CA1805" s="3684"/>
      <c r="CB1805" s="3684"/>
      <c r="CC1805" s="3662"/>
      <c r="CD1805" s="3662"/>
      <c r="CE1805" s="6802"/>
      <c r="CF1805" s="6802"/>
      <c r="CG1805" s="6802"/>
      <c r="CH1805" s="6802"/>
    </row>
    <row r="1806" s="4992" customFormat="1" ht="76" spans="1:86">
      <c r="A1806" s="2678"/>
      <c r="B1806" s="3684"/>
      <c r="C1806" s="3684"/>
      <c r="D1806" s="5060"/>
      <c r="E1806" s="3684"/>
      <c r="F1806" s="5060"/>
      <c r="G1806" s="5060"/>
      <c r="H1806" s="3684"/>
      <c r="I1806" s="4201"/>
      <c r="J1806" s="5060"/>
      <c r="K1806" s="5060"/>
      <c r="L1806" s="5060"/>
      <c r="M1806" s="3684"/>
      <c r="N1806" s="2678"/>
      <c r="O1806" s="2678"/>
      <c r="P1806" s="2678"/>
      <c r="Q1806" s="2678"/>
      <c r="R1806" s="2678"/>
      <c r="S1806" s="2678"/>
      <c r="T1806" s="2678"/>
      <c r="U1806" s="2678"/>
      <c r="V1806" s="2678"/>
      <c r="W1806" s="2678"/>
      <c r="X1806" s="2678"/>
      <c r="Y1806" s="2678"/>
      <c r="Z1806" s="2678"/>
      <c r="AA1806" s="2678"/>
      <c r="AB1806" s="5667"/>
      <c r="AC1806" s="3684" t="s">
        <v>1594</v>
      </c>
      <c r="AD1806" s="6792" t="s">
        <v>3245</v>
      </c>
      <c r="AE1806" s="2139">
        <v>0.1</v>
      </c>
      <c r="AF1806" s="3684">
        <f>AE1806*M1803</f>
        <v>209318.06</v>
      </c>
      <c r="AG1806" s="3684">
        <f>SUM(BA1806:BN1806)</f>
        <v>407557</v>
      </c>
      <c r="AH1806" s="3684" t="s">
        <v>206</v>
      </c>
      <c r="AI1806" s="3684">
        <v>43922</v>
      </c>
      <c r="AJ1806" s="3684">
        <v>407557</v>
      </c>
      <c r="AK1806" s="3684" t="s">
        <v>171</v>
      </c>
      <c r="AL1806" s="3684">
        <v>407557</v>
      </c>
      <c r="AM1806" s="3684">
        <v>43937</v>
      </c>
      <c r="AN1806" s="3684">
        <f>SUM(BO1806:CB1806)</f>
        <v>407557</v>
      </c>
      <c r="AO1806" s="3684">
        <v>43943</v>
      </c>
      <c r="AP1806" s="3684">
        <f>AG1806-AL1806</f>
        <v>0</v>
      </c>
      <c r="AQ1806" s="5060"/>
      <c r="AR1806" s="3684" t="s">
        <v>1037</v>
      </c>
      <c r="AS1806" s="5055"/>
      <c r="AT1806" s="3684" t="s">
        <v>171</v>
      </c>
      <c r="AU1806" s="2678"/>
      <c r="AV1806" s="2678"/>
      <c r="AW1806" s="2678"/>
      <c r="AX1806" s="2678"/>
      <c r="AY1806" s="2678"/>
      <c r="AZ1806" s="2678"/>
      <c r="BA1806" s="3684"/>
      <c r="BB1806" s="3684"/>
      <c r="BC1806" s="3684"/>
      <c r="BD1806" s="3684"/>
      <c r="BE1806" s="3684"/>
      <c r="BF1806" s="3684"/>
      <c r="BG1806" s="3684"/>
      <c r="BH1806" s="3684">
        <v>407557</v>
      </c>
      <c r="BI1806" s="3684"/>
      <c r="BJ1806" s="3684"/>
      <c r="BK1806" s="3684"/>
      <c r="BL1806" s="3684"/>
      <c r="BM1806" s="3684"/>
      <c r="BN1806" s="3684"/>
      <c r="BO1806" s="3684"/>
      <c r="BP1806" s="3684"/>
      <c r="BQ1806" s="3684"/>
      <c r="BR1806" s="3684"/>
      <c r="BS1806" s="3684"/>
      <c r="BT1806" s="3684"/>
      <c r="BU1806" s="3684"/>
      <c r="BV1806" s="3684">
        <v>407557</v>
      </c>
      <c r="BW1806" s="3684"/>
      <c r="BX1806" s="3684"/>
      <c r="BY1806" s="3684"/>
      <c r="BZ1806" s="3684"/>
      <c r="CA1806" s="3684"/>
      <c r="CB1806" s="3684"/>
      <c r="CC1806" s="3662"/>
      <c r="CD1806" s="3662"/>
      <c r="CE1806" s="6802"/>
      <c r="CF1806" s="6802"/>
      <c r="CG1806" s="6802"/>
      <c r="CH1806" s="6802"/>
    </row>
    <row r="1807" s="4992" customFormat="1" ht="26.25" customHeight="1" spans="1:86">
      <c r="A1807" s="2678"/>
      <c r="B1807" s="3684"/>
      <c r="C1807" s="3684"/>
      <c r="D1807" s="5060"/>
      <c r="E1807" s="3684"/>
      <c r="F1807" s="5060"/>
      <c r="G1807" s="5060"/>
      <c r="H1807" s="3684"/>
      <c r="I1807" s="4201"/>
      <c r="J1807" s="5060"/>
      <c r="K1807" s="5060"/>
      <c r="L1807" s="5060"/>
      <c r="M1807" s="3684"/>
      <c r="N1807" s="2678"/>
      <c r="O1807" s="2678"/>
      <c r="P1807" s="2678"/>
      <c r="Q1807" s="2678"/>
      <c r="R1807" s="2678"/>
      <c r="S1807" s="2678"/>
      <c r="T1807" s="2678"/>
      <c r="U1807" s="2678"/>
      <c r="V1807" s="2678"/>
      <c r="W1807" s="2678"/>
      <c r="X1807" s="2678"/>
      <c r="Y1807" s="2678"/>
      <c r="Z1807" s="2678"/>
      <c r="AA1807" s="2678"/>
      <c r="AB1807" s="5667"/>
      <c r="AC1807" s="3684" t="s">
        <v>3246</v>
      </c>
      <c r="AD1807" s="2139" t="s">
        <v>3247</v>
      </c>
      <c r="AE1807" s="2139">
        <v>0.1</v>
      </c>
      <c r="AF1807" s="3684">
        <f>AL1807-AF1808</f>
        <v>28180.6</v>
      </c>
      <c r="AG1807" s="3684">
        <f t="shared" ref="AG1807:AG1812" si="398">SUM(BA1807:BN1807)</f>
        <v>28180.6</v>
      </c>
      <c r="AH1807" s="3684" t="s">
        <v>122</v>
      </c>
      <c r="AI1807" s="3684">
        <v>44641</v>
      </c>
      <c r="AJ1807" s="3684">
        <v>28180.6</v>
      </c>
      <c r="AK1807" s="3684">
        <v>44641</v>
      </c>
      <c r="AL1807" s="3684">
        <v>234680.6</v>
      </c>
      <c r="AM1807" s="3684">
        <v>44641</v>
      </c>
      <c r="AN1807" s="3684">
        <v>234680.6</v>
      </c>
      <c r="AO1807" s="3684">
        <v>44735</v>
      </c>
      <c r="AP1807" s="3684">
        <f>AG1807+AG1808-AL1807</f>
        <v>0</v>
      </c>
      <c r="AQ1807" s="5060"/>
      <c r="AR1807" s="3684"/>
      <c r="AS1807" s="5055"/>
      <c r="AT1807" s="3684"/>
      <c r="AU1807" s="2678"/>
      <c r="AV1807" s="2678"/>
      <c r="AW1807" s="2678"/>
      <c r="AX1807" s="2678"/>
      <c r="AY1807" s="2678"/>
      <c r="AZ1807" s="2678"/>
      <c r="BA1807" s="3684"/>
      <c r="BB1807" s="3684"/>
      <c r="BC1807" s="3684"/>
      <c r="BD1807" s="3684"/>
      <c r="BE1807" s="3684"/>
      <c r="BF1807" s="3684"/>
      <c r="BG1807" s="3684"/>
      <c r="BH1807" s="3684">
        <v>28180.6</v>
      </c>
      <c r="BI1807" s="3684"/>
      <c r="BJ1807" s="3684"/>
      <c r="BK1807" s="3684"/>
      <c r="BL1807" s="3684"/>
      <c r="BM1807" s="3684"/>
      <c r="BN1807" s="3684"/>
      <c r="BO1807" s="3684"/>
      <c r="BP1807" s="3684"/>
      <c r="BQ1807" s="3684"/>
      <c r="BR1807" s="3684"/>
      <c r="BS1807" s="3684"/>
      <c r="BT1807" s="3684"/>
      <c r="BU1807" s="3684"/>
      <c r="BV1807" s="3684">
        <v>28180.6</v>
      </c>
      <c r="BW1807" s="3684"/>
      <c r="BX1807" s="3684"/>
      <c r="BY1807" s="3684"/>
      <c r="BZ1807" s="3684"/>
      <c r="CA1807" s="3684"/>
      <c r="CB1807" s="3684"/>
      <c r="CC1807" s="3662"/>
      <c r="CD1807" s="3662"/>
      <c r="CE1807" s="6802"/>
      <c r="CF1807" s="6802"/>
      <c r="CG1807" s="6802"/>
      <c r="CH1807" s="6802"/>
    </row>
    <row r="1808" s="4992" customFormat="1" spans="1:86">
      <c r="A1808" s="2678"/>
      <c r="B1808" s="3684"/>
      <c r="C1808" s="3684"/>
      <c r="D1808" s="5060"/>
      <c r="E1808" s="3684"/>
      <c r="F1808" s="5060"/>
      <c r="G1808" s="5060"/>
      <c r="H1808" s="3684"/>
      <c r="I1808" s="4202"/>
      <c r="J1808" s="5060"/>
      <c r="K1808" s="5060"/>
      <c r="L1808" s="5060"/>
      <c r="M1808" s="3684"/>
      <c r="N1808" s="2678"/>
      <c r="O1808" s="2678"/>
      <c r="P1808" s="2678"/>
      <c r="Q1808" s="2678"/>
      <c r="R1808" s="2678"/>
      <c r="S1808" s="2678"/>
      <c r="T1808" s="2678"/>
      <c r="U1808" s="2678"/>
      <c r="V1808" s="2678"/>
      <c r="W1808" s="2678"/>
      <c r="X1808" s="2678"/>
      <c r="Y1808" s="2678"/>
      <c r="Z1808" s="2678"/>
      <c r="AA1808" s="2678"/>
      <c r="AB1808" s="5667"/>
      <c r="AC1808" s="3684"/>
      <c r="AD1808" s="6792"/>
      <c r="AE1808" s="2139"/>
      <c r="AF1808" s="3684">
        <f>2065000*10%</f>
        <v>206500</v>
      </c>
      <c r="AG1808" s="3684">
        <f t="shared" si="398"/>
        <v>206500</v>
      </c>
      <c r="AH1808" s="3684" t="s">
        <v>122</v>
      </c>
      <c r="AI1808" s="3684">
        <v>44179</v>
      </c>
      <c r="AJ1808" s="3684">
        <v>206500</v>
      </c>
      <c r="AK1808" s="3684">
        <v>44179</v>
      </c>
      <c r="AL1808" s="3684"/>
      <c r="AM1808" s="3684"/>
      <c r="AN1808" s="3684"/>
      <c r="AO1808" s="3684"/>
      <c r="AP1808" s="3684"/>
      <c r="AQ1808" s="5060"/>
      <c r="AR1808" s="3684"/>
      <c r="AS1808" s="5055"/>
      <c r="AT1808" s="3684"/>
      <c r="AU1808" s="2678"/>
      <c r="AV1808" s="2678"/>
      <c r="AW1808" s="2678"/>
      <c r="AX1808" s="2678"/>
      <c r="AY1808" s="2678"/>
      <c r="AZ1808" s="2678"/>
      <c r="BA1808" s="3684"/>
      <c r="BB1808" s="3684"/>
      <c r="BC1808" s="3684"/>
      <c r="BD1808" s="3684"/>
      <c r="BE1808" s="3684"/>
      <c r="BF1808" s="3684"/>
      <c r="BG1808" s="3684"/>
      <c r="BH1808" s="3684">
        <v>206500</v>
      </c>
      <c r="BI1808" s="3684"/>
      <c r="BJ1808" s="3684"/>
      <c r="BK1808" s="3684"/>
      <c r="BL1808" s="3684"/>
      <c r="BM1808" s="3684"/>
      <c r="BN1808" s="3684"/>
      <c r="BO1808" s="3684"/>
      <c r="BP1808" s="3684"/>
      <c r="BQ1808" s="3684"/>
      <c r="BR1808" s="3684"/>
      <c r="BS1808" s="3684"/>
      <c r="BT1808" s="3684"/>
      <c r="BU1808" s="3684"/>
      <c r="BV1808" s="3684">
        <v>206500</v>
      </c>
      <c r="BW1808" s="3684"/>
      <c r="BX1808" s="3684"/>
      <c r="BY1808" s="3684"/>
      <c r="BZ1808" s="3684"/>
      <c r="CA1808" s="3684"/>
      <c r="CB1808" s="3684"/>
      <c r="CC1808" s="3662"/>
      <c r="CD1808" s="3662"/>
      <c r="CE1808" s="6802"/>
      <c r="CF1808" s="6802"/>
      <c r="CG1808" s="6802"/>
      <c r="CH1808" s="6802"/>
    </row>
    <row r="1809" s="4992" customFormat="1" ht="31" spans="1:86">
      <c r="A1809" s="2678">
        <v>43</v>
      </c>
      <c r="B1809" s="3684" t="s">
        <v>3079</v>
      </c>
      <c r="C1809" s="3684">
        <v>43081</v>
      </c>
      <c r="D1809" s="5055" t="s">
        <v>3248</v>
      </c>
      <c r="E1809" s="3684" t="s">
        <v>113</v>
      </c>
      <c r="F1809" s="5055" t="s">
        <v>3249</v>
      </c>
      <c r="G1809" s="5060" t="s">
        <v>3250</v>
      </c>
      <c r="H1809" s="3684" t="s">
        <v>1102</v>
      </c>
      <c r="I1809" s="4200"/>
      <c r="J1809" s="5060" t="s">
        <v>3251</v>
      </c>
      <c r="K1809" s="5060">
        <v>195268.56</v>
      </c>
      <c r="L1809" s="5060" t="s">
        <v>3252</v>
      </c>
      <c r="M1809" s="3684">
        <f>SUM(N1809:AA1813)</f>
        <v>5272251.12</v>
      </c>
      <c r="N1809" s="2678">
        <v>0</v>
      </c>
      <c r="O1809" s="2678">
        <v>0</v>
      </c>
      <c r="P1809" s="2678">
        <v>4295908.32</v>
      </c>
      <c r="Q1809" s="2678">
        <v>0</v>
      </c>
      <c r="R1809" s="2678">
        <v>0</v>
      </c>
      <c r="S1809" s="2678">
        <v>0</v>
      </c>
      <c r="T1809" s="5823">
        <v>0</v>
      </c>
      <c r="U1809" s="6716">
        <v>976342.8</v>
      </c>
      <c r="V1809" s="2678">
        <v>0</v>
      </c>
      <c r="W1809" s="2678">
        <v>0</v>
      </c>
      <c r="X1809" s="2678"/>
      <c r="Y1809" s="2678"/>
      <c r="Z1809" s="2678"/>
      <c r="AA1809" s="2678">
        <v>0</v>
      </c>
      <c r="AB1809" s="5667" t="s">
        <v>171</v>
      </c>
      <c r="AC1809" s="5060" t="s">
        <v>3253</v>
      </c>
      <c r="AD1809" s="6792" t="s">
        <v>1105</v>
      </c>
      <c r="AE1809" s="2139">
        <v>0.2</v>
      </c>
      <c r="AF1809" s="3684">
        <f>AE1809*M1809</f>
        <v>1054450.224</v>
      </c>
      <c r="AG1809" s="3684">
        <f t="shared" si="398"/>
        <v>1054450.224</v>
      </c>
      <c r="AH1809" s="3684" t="s">
        <v>206</v>
      </c>
      <c r="AI1809" s="3684">
        <v>43086</v>
      </c>
      <c r="AJ1809" s="3684">
        <v>1054450.224</v>
      </c>
      <c r="AK1809" s="3684" t="s">
        <v>171</v>
      </c>
      <c r="AL1809" s="3684">
        <v>1054450.224</v>
      </c>
      <c r="AM1809" s="3684">
        <v>43086</v>
      </c>
      <c r="AN1809" s="3684">
        <f>SUM(BO1809:CB1809)</f>
        <v>1054450.224</v>
      </c>
      <c r="AO1809" s="3684">
        <v>43110</v>
      </c>
      <c r="AP1809" s="3684">
        <f>AG1809-AL1809</f>
        <v>0</v>
      </c>
      <c r="AQ1809" s="3814" t="s">
        <v>1463</v>
      </c>
      <c r="AR1809" s="3684" t="s">
        <v>1037</v>
      </c>
      <c r="AS1809" s="5060"/>
      <c r="AT1809" s="3684" t="s">
        <v>171</v>
      </c>
      <c r="AU1809" s="2678">
        <f>SUM(AG1809:AG1813)</f>
        <v>5267216.16</v>
      </c>
      <c r="AV1809" s="2678">
        <f>SUM(AL1809:AL1813)</f>
        <v>5267216.164</v>
      </c>
      <c r="AW1809" s="2678">
        <f>SUM(AN1809:AN1813)</f>
        <v>5267216.164</v>
      </c>
      <c r="AX1809" s="2678">
        <f>M1809-AU1809</f>
        <v>5034.95999999996</v>
      </c>
      <c r="AY1809" s="2678">
        <f>AU1809-AV1809</f>
        <v>-0.00399999972432852</v>
      </c>
      <c r="AZ1809" s="2678">
        <f>AV1809-AW1809</f>
        <v>0</v>
      </c>
      <c r="BA1809" s="3684"/>
      <c r="BB1809" s="3684"/>
      <c r="BC1809" s="3684">
        <v>859181.664</v>
      </c>
      <c r="BD1809" s="3684"/>
      <c r="BE1809" s="3684"/>
      <c r="BF1809" s="3684"/>
      <c r="BG1809" s="3684"/>
      <c r="BH1809" s="3684">
        <v>195268.56</v>
      </c>
      <c r="BI1809" s="3684"/>
      <c r="BJ1809" s="3684"/>
      <c r="BK1809" s="3684"/>
      <c r="BL1809" s="3684"/>
      <c r="BM1809" s="3684"/>
      <c r="BN1809" s="3684"/>
      <c r="BO1809" s="3684"/>
      <c r="BP1809" s="3684"/>
      <c r="BQ1809" s="3684">
        <v>859181.664</v>
      </c>
      <c r="BR1809" s="3684"/>
      <c r="BS1809" s="3684"/>
      <c r="BT1809" s="3684"/>
      <c r="BU1809" s="3684"/>
      <c r="BV1809" s="3684">
        <v>195268.56</v>
      </c>
      <c r="BW1809" s="3684"/>
      <c r="BX1809" s="3684"/>
      <c r="BY1809" s="3684"/>
      <c r="BZ1809" s="3684"/>
      <c r="CA1809" s="3684"/>
      <c r="CB1809" s="3684"/>
      <c r="CC1809" s="3662" t="s">
        <v>1112</v>
      </c>
      <c r="CD1809" s="3662" t="s">
        <v>154</v>
      </c>
      <c r="CE1809" s="6802"/>
      <c r="CF1809" s="6802"/>
      <c r="CG1809" s="6802"/>
      <c r="CH1809" s="6802"/>
    </row>
    <row r="1810" s="4992" customFormat="1" ht="61" spans="1:86">
      <c r="A1810" s="2678"/>
      <c r="B1810" s="3684"/>
      <c r="C1810" s="3684"/>
      <c r="D1810" s="5060"/>
      <c r="E1810" s="3684"/>
      <c r="F1810" s="5060"/>
      <c r="G1810" s="5060"/>
      <c r="H1810" s="3684"/>
      <c r="I1810" s="4201"/>
      <c r="J1810" s="5060"/>
      <c r="K1810" s="5060"/>
      <c r="L1810" s="5060"/>
      <c r="M1810" s="3684"/>
      <c r="N1810" s="2678"/>
      <c r="O1810" s="2678"/>
      <c r="P1810" s="2678"/>
      <c r="Q1810" s="2678"/>
      <c r="R1810" s="2678"/>
      <c r="S1810" s="2678"/>
      <c r="T1810" s="2678"/>
      <c r="U1810" s="6716"/>
      <c r="V1810" s="2678"/>
      <c r="W1810" s="2678"/>
      <c r="X1810" s="2678"/>
      <c r="Y1810" s="2678"/>
      <c r="Z1810" s="2678"/>
      <c r="AA1810" s="2678"/>
      <c r="AB1810" s="5667"/>
      <c r="AC1810" s="5060" t="s">
        <v>3254</v>
      </c>
      <c r="AD1810" s="6792" t="s">
        <v>2601</v>
      </c>
      <c r="AE1810" s="2139">
        <v>0.5</v>
      </c>
      <c r="AF1810" s="3684">
        <f>AE1810*M1809</f>
        <v>2636125.56</v>
      </c>
      <c r="AG1810" s="3684">
        <f t="shared" si="398"/>
        <v>2636125.56</v>
      </c>
      <c r="AH1810" s="3684" t="s">
        <v>206</v>
      </c>
      <c r="AI1810" s="3684">
        <v>43205</v>
      </c>
      <c r="AJ1810" s="3684">
        <v>2636125.56</v>
      </c>
      <c r="AK1810" s="3684" t="s">
        <v>171</v>
      </c>
      <c r="AL1810" s="3684">
        <v>2636125.56</v>
      </c>
      <c r="AM1810" s="3684">
        <v>43205</v>
      </c>
      <c r="AN1810" s="3684">
        <f>SUM(BO1810:CB1810)</f>
        <v>2636125.56</v>
      </c>
      <c r="AO1810" s="3684">
        <v>43245</v>
      </c>
      <c r="AP1810" s="3684">
        <f>AG1810-AL1810</f>
        <v>0</v>
      </c>
      <c r="AQ1810" s="3684"/>
      <c r="AR1810" s="3684" t="s">
        <v>1037</v>
      </c>
      <c r="AS1810" s="5060"/>
      <c r="AT1810" s="3684" t="s">
        <v>171</v>
      </c>
      <c r="AU1810" s="2678"/>
      <c r="AV1810" s="2678"/>
      <c r="AW1810" s="2678"/>
      <c r="AX1810" s="2678"/>
      <c r="AY1810" s="2678"/>
      <c r="AZ1810" s="2678"/>
      <c r="BA1810" s="3684"/>
      <c r="BB1810" s="3684"/>
      <c r="BC1810" s="3684">
        <v>2147954.16</v>
      </c>
      <c r="BD1810" s="3684"/>
      <c r="BE1810" s="3684"/>
      <c r="BF1810" s="3684"/>
      <c r="BG1810" s="3684"/>
      <c r="BH1810" s="3684">
        <v>488171.4</v>
      </c>
      <c r="BI1810" s="3684"/>
      <c r="BJ1810" s="3684"/>
      <c r="BK1810" s="3684"/>
      <c r="BL1810" s="3684"/>
      <c r="BM1810" s="3684"/>
      <c r="BN1810" s="3684"/>
      <c r="BO1810" s="3684"/>
      <c r="BP1810" s="3684"/>
      <c r="BQ1810" s="3684">
        <v>2147954.16</v>
      </c>
      <c r="BR1810" s="3684"/>
      <c r="BS1810" s="3684"/>
      <c r="BT1810" s="3684"/>
      <c r="BU1810" s="3684"/>
      <c r="BV1810" s="3684">
        <v>488171.4</v>
      </c>
      <c r="BW1810" s="3684"/>
      <c r="BX1810" s="3684"/>
      <c r="BY1810" s="3684"/>
      <c r="BZ1810" s="3684"/>
      <c r="CA1810" s="3684"/>
      <c r="CB1810" s="3684"/>
      <c r="CC1810" s="3662"/>
      <c r="CD1810" s="3662"/>
      <c r="CE1810" s="6802"/>
      <c r="CF1810" s="6802"/>
      <c r="CG1810" s="6802"/>
      <c r="CH1810" s="6802"/>
    </row>
    <row r="1811" s="4992" customFormat="1" ht="46" spans="1:86">
      <c r="A1811" s="2678"/>
      <c r="B1811" s="3684"/>
      <c r="C1811" s="3684"/>
      <c r="D1811" s="5060"/>
      <c r="E1811" s="3684"/>
      <c r="F1811" s="5060"/>
      <c r="G1811" s="5060"/>
      <c r="H1811" s="3684"/>
      <c r="I1811" s="4201"/>
      <c r="J1811" s="5060"/>
      <c r="K1811" s="5060"/>
      <c r="L1811" s="5060"/>
      <c r="M1811" s="3684"/>
      <c r="N1811" s="2678"/>
      <c r="O1811" s="2678"/>
      <c r="P1811" s="2678"/>
      <c r="Q1811" s="2678"/>
      <c r="R1811" s="2678"/>
      <c r="S1811" s="2678"/>
      <c r="T1811" s="2678"/>
      <c r="U1811" s="6716"/>
      <c r="V1811" s="2678"/>
      <c r="W1811" s="2678"/>
      <c r="X1811" s="2678"/>
      <c r="Y1811" s="2678"/>
      <c r="Z1811" s="2678"/>
      <c r="AA1811" s="2678"/>
      <c r="AB1811" s="5667"/>
      <c r="AC1811" s="5060" t="s">
        <v>3255</v>
      </c>
      <c r="AD1811" s="6792" t="s">
        <v>1108</v>
      </c>
      <c r="AE1811" s="2139">
        <v>0.25</v>
      </c>
      <c r="AF1811" s="3684">
        <f>AE1811*M1809</f>
        <v>1318062.78</v>
      </c>
      <c r="AG1811" s="3684">
        <f t="shared" si="398"/>
        <v>1318062.78</v>
      </c>
      <c r="AH1811" s="3684" t="s">
        <v>206</v>
      </c>
      <c r="AI1811" s="3684">
        <v>43444</v>
      </c>
      <c r="AJ1811" s="3684">
        <v>1318062.78</v>
      </c>
      <c r="AK1811" s="3684" t="s">
        <v>171</v>
      </c>
      <c r="AL1811" s="3684">
        <v>1318062.78</v>
      </c>
      <c r="AM1811" s="3684">
        <v>43444</v>
      </c>
      <c r="AN1811" s="3684">
        <f>SUM(BO1811:CB1811)</f>
        <v>1318062.78</v>
      </c>
      <c r="AO1811" s="3684">
        <v>43459</v>
      </c>
      <c r="AP1811" s="3684">
        <f>AG1811-AL1811</f>
        <v>0</v>
      </c>
      <c r="AQ1811" s="3684"/>
      <c r="AR1811" s="3684" t="s">
        <v>1037</v>
      </c>
      <c r="AS1811" s="5060"/>
      <c r="AT1811" s="3684" t="s">
        <v>171</v>
      </c>
      <c r="AU1811" s="2678"/>
      <c r="AV1811" s="2678"/>
      <c r="AW1811" s="2678"/>
      <c r="AX1811" s="2678"/>
      <c r="AY1811" s="2678"/>
      <c r="AZ1811" s="2678"/>
      <c r="BA1811" s="3684"/>
      <c r="BB1811" s="3684"/>
      <c r="BC1811" s="3684">
        <v>1073977.08</v>
      </c>
      <c r="BD1811" s="3684"/>
      <c r="BE1811" s="3684"/>
      <c r="BF1811" s="3684"/>
      <c r="BG1811" s="3684"/>
      <c r="BH1811" s="3684">
        <v>244085.7</v>
      </c>
      <c r="BI1811" s="3684"/>
      <c r="BJ1811" s="3684"/>
      <c r="BK1811" s="3684"/>
      <c r="BL1811" s="3684"/>
      <c r="BM1811" s="3684"/>
      <c r="BN1811" s="3684"/>
      <c r="BO1811" s="3684"/>
      <c r="BP1811" s="3684"/>
      <c r="BQ1811" s="3684">
        <v>1073977.08</v>
      </c>
      <c r="BR1811" s="3684"/>
      <c r="BS1811" s="3684"/>
      <c r="BT1811" s="3684"/>
      <c r="BU1811" s="3684"/>
      <c r="BV1811" s="3684">
        <v>244085.7</v>
      </c>
      <c r="BW1811" s="3684"/>
      <c r="BX1811" s="3684"/>
      <c r="BY1811" s="3684"/>
      <c r="BZ1811" s="3684"/>
      <c r="CA1811" s="3684"/>
      <c r="CB1811" s="3684"/>
      <c r="CC1811" s="3662"/>
      <c r="CD1811" s="3662"/>
      <c r="CE1811" s="6802"/>
      <c r="CF1811" s="6802"/>
      <c r="CG1811" s="6802"/>
      <c r="CH1811" s="6802"/>
    </row>
    <row r="1812" s="4993" customFormat="1" spans="1:86">
      <c r="A1812" s="2678"/>
      <c r="B1812" s="3684"/>
      <c r="C1812" s="3684"/>
      <c r="D1812" s="5060"/>
      <c r="E1812" s="3684"/>
      <c r="F1812" s="5060"/>
      <c r="G1812" s="5060"/>
      <c r="H1812" s="3684"/>
      <c r="I1812" s="4201"/>
      <c r="J1812" s="5060"/>
      <c r="K1812" s="5060"/>
      <c r="L1812" s="5060"/>
      <c r="M1812" s="3684"/>
      <c r="N1812" s="2678"/>
      <c r="O1812" s="2678"/>
      <c r="P1812" s="2678"/>
      <c r="Q1812" s="2678"/>
      <c r="R1812" s="2678"/>
      <c r="S1812" s="2678"/>
      <c r="T1812" s="2678"/>
      <c r="U1812" s="2678"/>
      <c r="V1812" s="2678"/>
      <c r="W1812" s="2678"/>
      <c r="X1812" s="2678"/>
      <c r="Y1812" s="2678"/>
      <c r="Z1812" s="2678"/>
      <c r="AA1812" s="2678"/>
      <c r="AB1812" s="5667"/>
      <c r="AC1812" s="5060" t="s">
        <v>3256</v>
      </c>
      <c r="AD1812" s="5388" t="s">
        <v>1109</v>
      </c>
      <c r="AE1812" s="5055">
        <v>0.05</v>
      </c>
      <c r="AF1812" s="3684">
        <f>M1809*AE1812</f>
        <v>263612.556</v>
      </c>
      <c r="AG1812" s="3684">
        <f t="shared" si="398"/>
        <v>263612.556</v>
      </c>
      <c r="AH1812" s="3684" t="s">
        <v>122</v>
      </c>
      <c r="AI1812" s="3684">
        <v>44188</v>
      </c>
      <c r="AJ1812" s="3684">
        <v>263612.556</v>
      </c>
      <c r="AK1812" s="3684">
        <v>44188</v>
      </c>
      <c r="AL1812" s="3684">
        <v>258577.6</v>
      </c>
      <c r="AM1812" s="3684">
        <v>44729</v>
      </c>
      <c r="AN1812" s="3684">
        <v>258577.6</v>
      </c>
      <c r="AO1812" s="3814">
        <v>44797</v>
      </c>
      <c r="AP1812" s="3684">
        <f>AG1812+AG1813-AL1813</f>
        <v>258577.596</v>
      </c>
      <c r="AQ1812" s="3684"/>
      <c r="AR1812" s="3684"/>
      <c r="AS1812" s="5055" t="s">
        <v>3257</v>
      </c>
      <c r="AT1812" s="3684"/>
      <c r="AU1812" s="2678"/>
      <c r="AV1812" s="2678"/>
      <c r="AW1812" s="2678"/>
      <c r="AX1812" s="2678"/>
      <c r="AY1812" s="2678"/>
      <c r="AZ1812" s="2678"/>
      <c r="BA1812" s="3684"/>
      <c r="BB1812" s="3684"/>
      <c r="BC1812" s="3684">
        <v>214795.416</v>
      </c>
      <c r="BD1812" s="3684"/>
      <c r="BE1812" s="3684"/>
      <c r="BF1812" s="3684"/>
      <c r="BG1812" s="3684"/>
      <c r="BH1812" s="3684">
        <v>48817.14</v>
      </c>
      <c r="BI1812" s="3684"/>
      <c r="BJ1812" s="3684"/>
      <c r="BK1812" s="3684"/>
      <c r="BL1812" s="3684"/>
      <c r="BM1812" s="3684"/>
      <c r="BN1812" s="3684"/>
      <c r="BO1812" s="3684"/>
      <c r="BP1812" s="3684"/>
      <c r="BQ1812" s="3684">
        <v>214795.416</v>
      </c>
      <c r="BR1812" s="3684"/>
      <c r="BS1812" s="3684"/>
      <c r="BT1812" s="3684"/>
      <c r="BU1812" s="3684"/>
      <c r="BV1812" s="3684">
        <v>48817.14</v>
      </c>
      <c r="BW1812" s="3708"/>
      <c r="BX1812" s="3708"/>
      <c r="BY1812" s="3684"/>
      <c r="BZ1812" s="3684"/>
      <c r="CA1812" s="3684"/>
      <c r="CB1812" s="3684"/>
      <c r="CC1812" s="3684"/>
      <c r="CD1812" s="3684"/>
      <c r="CE1812" s="6810"/>
      <c r="CF1812" s="6810"/>
      <c r="CG1812" s="6810"/>
      <c r="CH1812" s="6810"/>
    </row>
    <row r="1813" s="4993" customFormat="1" spans="1:86">
      <c r="A1813" s="2678"/>
      <c r="B1813" s="3684"/>
      <c r="C1813" s="3684"/>
      <c r="D1813" s="5060"/>
      <c r="E1813" s="3684"/>
      <c r="F1813" s="5060"/>
      <c r="G1813" s="5060"/>
      <c r="H1813" s="3684"/>
      <c r="I1813" s="4202"/>
      <c r="J1813" s="5060"/>
      <c r="K1813" s="5060"/>
      <c r="L1813" s="5060"/>
      <c r="M1813" s="3684"/>
      <c r="N1813" s="2678"/>
      <c r="O1813" s="2678"/>
      <c r="P1813" s="2678"/>
      <c r="Q1813" s="2678"/>
      <c r="R1813" s="2678"/>
      <c r="S1813" s="2678"/>
      <c r="T1813" s="2678"/>
      <c r="U1813" s="2678"/>
      <c r="V1813" s="2678"/>
      <c r="W1813" s="2678"/>
      <c r="X1813" s="2678"/>
      <c r="Y1813" s="2678"/>
      <c r="Z1813" s="2678"/>
      <c r="AA1813" s="2678"/>
      <c r="AB1813" s="5667"/>
      <c r="AC1813" s="5060"/>
      <c r="AD1813" s="5388"/>
      <c r="AE1813" s="5055"/>
      <c r="AF1813" s="3684"/>
      <c r="AG1813" s="3684">
        <v>-5034.96</v>
      </c>
      <c r="AH1813" s="3684" t="s">
        <v>122</v>
      </c>
      <c r="AI1813" s="3684">
        <v>44729</v>
      </c>
      <c r="AJ1813" s="3684">
        <v>-5034.96</v>
      </c>
      <c r="AK1813" s="3684">
        <v>44729</v>
      </c>
      <c r="AL1813" s="3684"/>
      <c r="AM1813" s="3684"/>
      <c r="AN1813" s="3684"/>
      <c r="AO1813" s="3814"/>
      <c r="AP1813" s="3684"/>
      <c r="AQ1813" s="3684"/>
      <c r="AR1813" s="3684"/>
      <c r="AS1813" s="5055" t="s">
        <v>3257</v>
      </c>
      <c r="AT1813" s="3684"/>
      <c r="AU1813" s="2678"/>
      <c r="AV1813" s="2678"/>
      <c r="AW1813" s="2678"/>
      <c r="AX1813" s="2678"/>
      <c r="AY1813" s="2678"/>
      <c r="AZ1813" s="2678"/>
      <c r="BA1813" s="3684"/>
      <c r="BB1813" s="3684"/>
      <c r="BC1813" s="3684">
        <f>-3870.11*1.06</f>
        <v>-4102.3166</v>
      </c>
      <c r="BD1813" s="3684"/>
      <c r="BE1813" s="3684"/>
      <c r="BF1813" s="3684"/>
      <c r="BG1813" s="3684"/>
      <c r="BH1813" s="3684">
        <f>AG1813-BC1813</f>
        <v>-932.6434</v>
      </c>
      <c r="BI1813" s="3684"/>
      <c r="BJ1813" s="3684"/>
      <c r="BK1813" s="3684"/>
      <c r="BL1813" s="3684"/>
      <c r="BM1813" s="3684"/>
      <c r="BN1813" s="3684"/>
      <c r="BO1813" s="3684"/>
      <c r="BP1813" s="3684"/>
      <c r="BQ1813" s="3684">
        <v>-4102.3166</v>
      </c>
      <c r="BR1813" s="3684"/>
      <c r="BS1813" s="3684"/>
      <c r="BT1813" s="3684"/>
      <c r="BU1813" s="3684"/>
      <c r="BV1813" s="3684">
        <v>-932.6434</v>
      </c>
      <c r="BW1813" s="3708"/>
      <c r="BX1813" s="3708"/>
      <c r="BY1813" s="3684"/>
      <c r="BZ1813" s="3684"/>
      <c r="CA1813" s="3684"/>
      <c r="CB1813" s="3684"/>
      <c r="CC1813" s="3684"/>
      <c r="CD1813" s="3684"/>
      <c r="CE1813" s="6810"/>
      <c r="CF1813" s="6810"/>
      <c r="CG1813" s="6810"/>
      <c r="CH1813" s="6810"/>
    </row>
    <row r="1814" s="4994" customFormat="1" ht="31" spans="1:86">
      <c r="A1814" s="6782">
        <v>45</v>
      </c>
      <c r="B1814" s="6782" t="s">
        <v>1003</v>
      </c>
      <c r="C1814" s="6782">
        <v>42583</v>
      </c>
      <c r="D1814" s="6784" t="s">
        <v>3258</v>
      </c>
      <c r="E1814" s="6782" t="s">
        <v>113</v>
      </c>
      <c r="F1814" s="6784" t="s">
        <v>3259</v>
      </c>
      <c r="G1814" s="6784" t="s">
        <v>3260</v>
      </c>
      <c r="H1814" s="6782" t="s">
        <v>31</v>
      </c>
      <c r="I1814" s="6782"/>
      <c r="J1814" s="6784" t="s">
        <v>1329</v>
      </c>
      <c r="K1814" s="6784">
        <v>139890.22</v>
      </c>
      <c r="L1814" s="6784" t="s">
        <v>178</v>
      </c>
      <c r="M1814" s="6782">
        <f>SUM(N1814:AA1815)</f>
        <v>700000</v>
      </c>
      <c r="N1814" s="6805">
        <v>0</v>
      </c>
      <c r="O1814" s="6782">
        <v>0</v>
      </c>
      <c r="P1814" s="6782">
        <v>0</v>
      </c>
      <c r="Q1814" s="6782">
        <v>0</v>
      </c>
      <c r="R1814" s="6782">
        <v>0</v>
      </c>
      <c r="S1814" s="6782">
        <v>0</v>
      </c>
      <c r="T1814" s="6782"/>
      <c r="U1814" s="6782">
        <v>700000</v>
      </c>
      <c r="V1814" s="6782">
        <v>0</v>
      </c>
      <c r="W1814" s="6782">
        <v>0</v>
      </c>
      <c r="X1814" s="6782"/>
      <c r="Y1814" s="6782"/>
      <c r="Z1814" s="6782"/>
      <c r="AA1814" s="6782">
        <v>0</v>
      </c>
      <c r="AB1814" s="6784" t="s">
        <v>171</v>
      </c>
      <c r="AC1814" s="6784" t="s">
        <v>1110</v>
      </c>
      <c r="AD1814" s="6797" t="s">
        <v>3261</v>
      </c>
      <c r="AE1814" s="6795">
        <v>0.2</v>
      </c>
      <c r="AF1814" s="6782">
        <f>AE1814*M1814</f>
        <v>140000</v>
      </c>
      <c r="AG1814" s="6782">
        <f>SUM(BA1814:BN1814)</f>
        <v>140000</v>
      </c>
      <c r="AH1814" s="6782" t="s">
        <v>206</v>
      </c>
      <c r="AI1814" s="6782">
        <v>42600</v>
      </c>
      <c r="AJ1814" s="6782">
        <v>140000</v>
      </c>
      <c r="AK1814" s="6782" t="s">
        <v>171</v>
      </c>
      <c r="AL1814" s="6782">
        <v>140000</v>
      </c>
      <c r="AM1814" s="6782">
        <v>42600</v>
      </c>
      <c r="AN1814" s="6782">
        <f t="shared" ref="AN1814:AN1822" si="399">SUM(BO1814:CB1814)</f>
        <v>140000</v>
      </c>
      <c r="AO1814" s="6782">
        <v>42623</v>
      </c>
      <c r="AP1814" s="6782">
        <f t="shared" ref="AP1814:AP1819" si="400">AG1814-AN1814</f>
        <v>0</v>
      </c>
      <c r="AQ1814" s="6782"/>
      <c r="AR1814" s="6782" t="s">
        <v>1037</v>
      </c>
      <c r="AS1814" s="6784"/>
      <c r="AT1814" s="6782" t="s">
        <v>171</v>
      </c>
      <c r="AU1814" s="6782">
        <f>SUM(AG1814:AG1815)</f>
        <v>699451.1</v>
      </c>
      <c r="AV1814" s="6782">
        <f>SUM(AL1814:AL1815)</f>
        <v>699451.1</v>
      </c>
      <c r="AW1814" s="6782">
        <f>SUM(AN1814:AN1815)</f>
        <v>699451.1</v>
      </c>
      <c r="AX1814" s="6782">
        <f>M1814-AU1814</f>
        <v>548.900000000023</v>
      </c>
      <c r="AY1814" s="6782">
        <f>AU1814-AV1814</f>
        <v>0</v>
      </c>
      <c r="AZ1814" s="6782">
        <f>AV1814-AW1814</f>
        <v>0</v>
      </c>
      <c r="BA1814" s="6782"/>
      <c r="BB1814" s="6782"/>
      <c r="BC1814" s="6782"/>
      <c r="BD1814" s="6782"/>
      <c r="BE1814" s="6782"/>
      <c r="BF1814" s="6782"/>
      <c r="BG1814" s="6782"/>
      <c r="BH1814" s="6782">
        <v>140000</v>
      </c>
      <c r="BI1814" s="6782"/>
      <c r="BJ1814" s="6782"/>
      <c r="BK1814" s="6782"/>
      <c r="BL1814" s="6782"/>
      <c r="BM1814" s="6782"/>
      <c r="BN1814" s="6782"/>
      <c r="BO1814" s="6782"/>
      <c r="BP1814" s="6782"/>
      <c r="BQ1814" s="6782"/>
      <c r="BR1814" s="6782"/>
      <c r="BS1814" s="6782"/>
      <c r="BT1814" s="6782"/>
      <c r="BU1814" s="6782"/>
      <c r="BV1814" s="6782">
        <v>140000</v>
      </c>
      <c r="BW1814" s="6782"/>
      <c r="BX1814" s="6782"/>
      <c r="BY1814" s="6782"/>
      <c r="BZ1814" s="6782"/>
      <c r="CA1814" s="6782"/>
      <c r="CB1814" s="6782"/>
      <c r="CC1814" s="6803" t="s">
        <v>1112</v>
      </c>
      <c r="CD1814" s="6803" t="s">
        <v>154</v>
      </c>
      <c r="CE1814" s="6811"/>
      <c r="CF1814" s="6811"/>
      <c r="CG1814" s="6811"/>
      <c r="CH1814" s="6811"/>
    </row>
    <row r="1815" s="4994" customFormat="1" ht="46" spans="1:86">
      <c r="A1815" s="6782"/>
      <c r="B1815" s="6782"/>
      <c r="C1815" s="6782"/>
      <c r="D1815" s="6784"/>
      <c r="E1815" s="6782"/>
      <c r="F1815" s="6784"/>
      <c r="G1815" s="6784"/>
      <c r="H1815" s="6782"/>
      <c r="I1815" s="6782"/>
      <c r="J1815" s="6784"/>
      <c r="K1815" s="6784"/>
      <c r="L1815" s="6784"/>
      <c r="M1815" s="6782"/>
      <c r="N1815" s="6806"/>
      <c r="O1815" s="6782"/>
      <c r="P1815" s="6782"/>
      <c r="Q1815" s="6782"/>
      <c r="R1815" s="6782"/>
      <c r="S1815" s="6782"/>
      <c r="T1815" s="6782"/>
      <c r="U1815" s="6782"/>
      <c r="V1815" s="6782"/>
      <c r="W1815" s="6782"/>
      <c r="X1815" s="6782"/>
      <c r="Y1815" s="6782"/>
      <c r="Z1815" s="6782"/>
      <c r="AA1815" s="6782"/>
      <c r="AB1815" s="6784"/>
      <c r="AC1815" s="6784" t="s">
        <v>1113</v>
      </c>
      <c r="AD1815" s="6797" t="s">
        <v>3262</v>
      </c>
      <c r="AE1815" s="6795">
        <v>0.8</v>
      </c>
      <c r="AF1815" s="6782">
        <f>AE1815*M1814</f>
        <v>560000</v>
      </c>
      <c r="AG1815" s="6782">
        <f t="shared" ref="AG1815:AG1824" si="401">SUM(BA1815:BN1815)</f>
        <v>559451.1</v>
      </c>
      <c r="AH1815" s="6782" t="s">
        <v>206</v>
      </c>
      <c r="AI1815" s="6782">
        <v>42719</v>
      </c>
      <c r="AJ1815" s="6782">
        <v>559451.1</v>
      </c>
      <c r="AK1815" s="6782" t="s">
        <v>171</v>
      </c>
      <c r="AL1815" s="6782">
        <v>559451.1</v>
      </c>
      <c r="AM1815" s="6782">
        <v>42719</v>
      </c>
      <c r="AN1815" s="6782">
        <f t="shared" si="399"/>
        <v>559451.1</v>
      </c>
      <c r="AO1815" s="6782">
        <v>42791</v>
      </c>
      <c r="AP1815" s="6782">
        <f t="shared" si="400"/>
        <v>0</v>
      </c>
      <c r="AQ1815" s="6782"/>
      <c r="AR1815" s="6782" t="s">
        <v>1037</v>
      </c>
      <c r="AS1815" s="6784"/>
      <c r="AT1815" s="6782" t="s">
        <v>171</v>
      </c>
      <c r="AU1815" s="6782"/>
      <c r="AV1815" s="6782"/>
      <c r="AW1815" s="6782"/>
      <c r="AX1815" s="6782"/>
      <c r="AY1815" s="6782"/>
      <c r="AZ1815" s="6782"/>
      <c r="BA1815" s="6782"/>
      <c r="BB1815" s="6782"/>
      <c r="BC1815" s="6782"/>
      <c r="BD1815" s="6782"/>
      <c r="BE1815" s="6782"/>
      <c r="BF1815" s="6782"/>
      <c r="BG1815" s="6782"/>
      <c r="BH1815" s="6782">
        <v>559451.1</v>
      </c>
      <c r="BI1815" s="6782"/>
      <c r="BJ1815" s="6782"/>
      <c r="BK1815" s="6782"/>
      <c r="BL1815" s="6782"/>
      <c r="BM1815" s="6782"/>
      <c r="BN1815" s="6782"/>
      <c r="BO1815" s="6782"/>
      <c r="BP1815" s="6782"/>
      <c r="BQ1815" s="6782"/>
      <c r="BR1815" s="6782"/>
      <c r="BS1815" s="6782"/>
      <c r="BT1815" s="6782"/>
      <c r="BU1815" s="6782"/>
      <c r="BV1815" s="6782">
        <v>559451.1</v>
      </c>
      <c r="BW1815" s="6782"/>
      <c r="BX1815" s="6782"/>
      <c r="BY1815" s="6782"/>
      <c r="BZ1815" s="6782"/>
      <c r="CA1815" s="6782"/>
      <c r="CB1815" s="6782"/>
      <c r="CC1815" s="6803"/>
      <c r="CD1815" s="6803"/>
      <c r="CE1815" s="6811"/>
      <c r="CF1815" s="6811"/>
      <c r="CG1815" s="6811"/>
      <c r="CH1815" s="6811"/>
    </row>
    <row r="1816" ht="31" spans="1:86">
      <c r="A1816" s="6782">
        <v>46</v>
      </c>
      <c r="B1816" s="6782" t="s">
        <v>1003</v>
      </c>
      <c r="C1816" s="6782">
        <v>42679</v>
      </c>
      <c r="D1816" s="6784" t="s">
        <v>3263</v>
      </c>
      <c r="E1816" s="6782" t="s">
        <v>113</v>
      </c>
      <c r="F1816" s="6784" t="s">
        <v>3264</v>
      </c>
      <c r="G1816" s="6784" t="s">
        <v>3265</v>
      </c>
      <c r="H1816" s="6782" t="s">
        <v>214</v>
      </c>
      <c r="I1816" s="6782"/>
      <c r="J1816" s="6784" t="s">
        <v>3266</v>
      </c>
      <c r="K1816" s="6783" t="s">
        <v>3267</v>
      </c>
      <c r="L1816" s="6784" t="s">
        <v>3268</v>
      </c>
      <c r="M1816" s="6782">
        <f>SUM(N1816:AA1819)</f>
        <v>783000</v>
      </c>
      <c r="N1816" s="6805">
        <v>0</v>
      </c>
      <c r="O1816" s="6782">
        <v>783000</v>
      </c>
      <c r="P1816" s="6782">
        <v>0</v>
      </c>
      <c r="Q1816" s="6782">
        <v>0</v>
      </c>
      <c r="R1816" s="6782">
        <v>0</v>
      </c>
      <c r="S1816" s="6782">
        <v>0</v>
      </c>
      <c r="T1816" s="6782"/>
      <c r="U1816" s="6782">
        <v>0</v>
      </c>
      <c r="V1816" s="6782">
        <v>0</v>
      </c>
      <c r="W1816" s="6782">
        <v>0</v>
      </c>
      <c r="X1816" s="6782"/>
      <c r="Y1816" s="6782"/>
      <c r="Z1816" s="6782"/>
      <c r="AA1816" s="6782">
        <v>0</v>
      </c>
      <c r="AB1816" s="6784" t="s">
        <v>3269</v>
      </c>
      <c r="AC1816" s="6784" t="s">
        <v>3270</v>
      </c>
      <c r="AD1816" s="6797" t="s">
        <v>3271</v>
      </c>
      <c r="AE1816" s="6795">
        <v>0.1</v>
      </c>
      <c r="AF1816" s="6782">
        <f>AE1816*M1816</f>
        <v>78300</v>
      </c>
      <c r="AG1816" s="6782">
        <f t="shared" si="401"/>
        <v>78300</v>
      </c>
      <c r="AH1816" s="6782" t="s">
        <v>206</v>
      </c>
      <c r="AI1816" s="6782">
        <v>42721</v>
      </c>
      <c r="AJ1816" s="6782">
        <v>78300</v>
      </c>
      <c r="AK1816" s="6782" t="s">
        <v>171</v>
      </c>
      <c r="AL1816" s="6782">
        <v>78300</v>
      </c>
      <c r="AM1816" s="6782">
        <v>42721</v>
      </c>
      <c r="AN1816" s="6782">
        <f t="shared" si="399"/>
        <v>78300</v>
      </c>
      <c r="AO1816" s="6782">
        <v>42750</v>
      </c>
      <c r="AP1816" s="6782">
        <f t="shared" si="400"/>
        <v>0</v>
      </c>
      <c r="AQ1816" s="6782"/>
      <c r="AR1816" s="6782" t="s">
        <v>1037</v>
      </c>
      <c r="AS1816" s="6784"/>
      <c r="AT1816" s="6782" t="s">
        <v>171</v>
      </c>
      <c r="AU1816" s="6782">
        <f>SUM(AG1816:AG1819)</f>
        <v>783000</v>
      </c>
      <c r="AV1816" s="6782">
        <f>SUM(AL1816:AL1819)</f>
        <v>783000</v>
      </c>
      <c r="AW1816" s="6782">
        <f>SUM(AN1816:AN1819)</f>
        <v>783000</v>
      </c>
      <c r="AX1816" s="6782">
        <f>M1816-AU1816</f>
        <v>0</v>
      </c>
      <c r="AY1816" s="6782">
        <f>AU1816-AV1816</f>
        <v>0</v>
      </c>
      <c r="AZ1816" s="6782">
        <f>AV1816-AW1816</f>
        <v>0</v>
      </c>
      <c r="BA1816" s="6782"/>
      <c r="BB1816" s="6782">
        <v>78300</v>
      </c>
      <c r="BC1816" s="6782"/>
      <c r="BD1816" s="6782"/>
      <c r="BE1816" s="6782"/>
      <c r="BF1816" s="6782"/>
      <c r="BG1816" s="6782"/>
      <c r="BH1816" s="6782"/>
      <c r="BI1816" s="6782"/>
      <c r="BJ1816" s="6782"/>
      <c r="BK1816" s="6782"/>
      <c r="BL1816" s="6782"/>
      <c r="BM1816" s="6782"/>
      <c r="BN1816" s="6782"/>
      <c r="BO1816" s="6782"/>
      <c r="BP1816" s="6782">
        <v>78300</v>
      </c>
      <c r="BQ1816" s="6782"/>
      <c r="BR1816" s="6782"/>
      <c r="BS1816" s="6782"/>
      <c r="BT1816" s="6782"/>
      <c r="BU1816" s="6782"/>
      <c r="BV1816" s="6782"/>
      <c r="BW1816" s="6782"/>
      <c r="BX1816" s="6782"/>
      <c r="BY1816" s="6782"/>
      <c r="BZ1816" s="6782"/>
      <c r="CA1816" s="6782"/>
      <c r="CB1816" s="6782"/>
      <c r="CC1816" s="6803"/>
      <c r="CD1816" s="6803"/>
      <c r="CE1816" s="5168"/>
      <c r="CF1816" s="5168"/>
      <c r="CG1816" s="5750"/>
      <c r="CH1816" s="5750"/>
    </row>
    <row r="1817" ht="31" spans="1:86">
      <c r="A1817" s="6782"/>
      <c r="B1817" s="6782"/>
      <c r="C1817" s="6782"/>
      <c r="D1817" s="6784"/>
      <c r="E1817" s="6782"/>
      <c r="F1817" s="6784"/>
      <c r="G1817" s="6784"/>
      <c r="H1817" s="6782"/>
      <c r="I1817" s="6782"/>
      <c r="J1817" s="6784"/>
      <c r="K1817" s="6783"/>
      <c r="L1817" s="6784"/>
      <c r="M1817" s="6782"/>
      <c r="N1817" s="6807"/>
      <c r="O1817" s="6782"/>
      <c r="P1817" s="6782"/>
      <c r="Q1817" s="6782"/>
      <c r="R1817" s="6782"/>
      <c r="S1817" s="6782"/>
      <c r="T1817" s="6782"/>
      <c r="U1817" s="6782"/>
      <c r="V1817" s="6782"/>
      <c r="W1817" s="6782"/>
      <c r="X1817" s="6782"/>
      <c r="Y1817" s="6782"/>
      <c r="Z1817" s="6782"/>
      <c r="AA1817" s="6782"/>
      <c r="AB1817" s="6784"/>
      <c r="AC1817" s="6784" t="s">
        <v>3272</v>
      </c>
      <c r="AD1817" s="6797" t="s">
        <v>3273</v>
      </c>
      <c r="AE1817" s="6795">
        <v>0.35</v>
      </c>
      <c r="AF1817" s="6782">
        <f>AE1817*M1816</f>
        <v>274050</v>
      </c>
      <c r="AG1817" s="6782">
        <f t="shared" si="401"/>
        <v>274050</v>
      </c>
      <c r="AH1817" s="6782" t="s">
        <v>206</v>
      </c>
      <c r="AI1817" s="6782">
        <v>42840</v>
      </c>
      <c r="AJ1817" s="6782">
        <v>274050</v>
      </c>
      <c r="AK1817" s="6782" t="s">
        <v>171</v>
      </c>
      <c r="AL1817" s="6782">
        <v>274050</v>
      </c>
      <c r="AM1817" s="6782">
        <v>42840</v>
      </c>
      <c r="AN1817" s="6782">
        <f t="shared" si="399"/>
        <v>274050</v>
      </c>
      <c r="AO1817" s="6782">
        <v>42880</v>
      </c>
      <c r="AP1817" s="6782">
        <f t="shared" si="400"/>
        <v>0</v>
      </c>
      <c r="AQ1817" s="6782"/>
      <c r="AR1817" s="6782" t="s">
        <v>1037</v>
      </c>
      <c r="AS1817" s="6784"/>
      <c r="AT1817" s="6782" t="s">
        <v>171</v>
      </c>
      <c r="AU1817" s="6782"/>
      <c r="AV1817" s="6782"/>
      <c r="AW1817" s="6782"/>
      <c r="AX1817" s="6782"/>
      <c r="AY1817" s="6782"/>
      <c r="AZ1817" s="6782"/>
      <c r="BA1817" s="6782"/>
      <c r="BB1817" s="6782">
        <v>274050</v>
      </c>
      <c r="BC1817" s="6782"/>
      <c r="BD1817" s="6782"/>
      <c r="BE1817" s="6782"/>
      <c r="BF1817" s="6782"/>
      <c r="BG1817" s="6782"/>
      <c r="BH1817" s="6782"/>
      <c r="BI1817" s="6782"/>
      <c r="BJ1817" s="6782"/>
      <c r="BK1817" s="6782"/>
      <c r="BL1817" s="6782"/>
      <c r="BM1817" s="6782"/>
      <c r="BN1817" s="6782"/>
      <c r="BO1817" s="6782"/>
      <c r="BP1817" s="6782">
        <v>274050</v>
      </c>
      <c r="BQ1817" s="6782"/>
      <c r="BR1817" s="6782"/>
      <c r="BS1817" s="6782"/>
      <c r="BT1817" s="6782"/>
      <c r="BU1817" s="6782"/>
      <c r="BV1817" s="6782"/>
      <c r="BW1817" s="6782"/>
      <c r="BX1817" s="6782"/>
      <c r="BY1817" s="6782"/>
      <c r="BZ1817" s="6782"/>
      <c r="CA1817" s="6782"/>
      <c r="CB1817" s="6782"/>
      <c r="CC1817" s="6803"/>
      <c r="CD1817" s="6803"/>
      <c r="CE1817" s="5168"/>
      <c r="CF1817" s="5168"/>
      <c r="CG1817" s="5750"/>
      <c r="CH1817" s="5750"/>
    </row>
    <row r="1818" ht="61" spans="1:86">
      <c r="A1818" s="6782"/>
      <c r="B1818" s="6782"/>
      <c r="C1818" s="6782"/>
      <c r="D1818" s="6784"/>
      <c r="E1818" s="6782"/>
      <c r="F1818" s="6784"/>
      <c r="G1818" s="6784"/>
      <c r="H1818" s="6782"/>
      <c r="I1818" s="6782"/>
      <c r="J1818" s="6784"/>
      <c r="K1818" s="6783"/>
      <c r="L1818" s="6784"/>
      <c r="M1818" s="6782"/>
      <c r="N1818" s="6807"/>
      <c r="O1818" s="6782"/>
      <c r="P1818" s="6782"/>
      <c r="Q1818" s="6782"/>
      <c r="R1818" s="6782"/>
      <c r="S1818" s="6782"/>
      <c r="T1818" s="6782"/>
      <c r="U1818" s="6782"/>
      <c r="V1818" s="6782"/>
      <c r="W1818" s="6782"/>
      <c r="X1818" s="6782"/>
      <c r="Y1818" s="6782"/>
      <c r="Z1818" s="6782"/>
      <c r="AA1818" s="6782"/>
      <c r="AB1818" s="6784"/>
      <c r="AC1818" s="6784" t="s">
        <v>3274</v>
      </c>
      <c r="AD1818" s="6797" t="s">
        <v>3275</v>
      </c>
      <c r="AE1818" s="6795">
        <v>0.4</v>
      </c>
      <c r="AF1818" s="6782">
        <f>AE1818*M1816</f>
        <v>313200</v>
      </c>
      <c r="AG1818" s="6782">
        <f t="shared" si="401"/>
        <v>313200</v>
      </c>
      <c r="AH1818" s="6782" t="s">
        <v>206</v>
      </c>
      <c r="AI1818" s="6782">
        <v>43079</v>
      </c>
      <c r="AJ1818" s="6782">
        <v>313200</v>
      </c>
      <c r="AK1818" s="6782" t="s">
        <v>171</v>
      </c>
      <c r="AL1818" s="6782">
        <v>313200</v>
      </c>
      <c r="AM1818" s="6782">
        <v>43079</v>
      </c>
      <c r="AN1818" s="6782">
        <f t="shared" si="399"/>
        <v>313200</v>
      </c>
      <c r="AO1818" s="6782">
        <v>43105</v>
      </c>
      <c r="AP1818" s="6782">
        <f t="shared" si="400"/>
        <v>0</v>
      </c>
      <c r="AQ1818" s="6782"/>
      <c r="AR1818" s="6782" t="s">
        <v>1037</v>
      </c>
      <c r="AS1818" s="6784"/>
      <c r="AT1818" s="6782" t="s">
        <v>171</v>
      </c>
      <c r="AU1818" s="6782"/>
      <c r="AV1818" s="6782"/>
      <c r="AW1818" s="6782"/>
      <c r="AX1818" s="6782"/>
      <c r="AY1818" s="6782"/>
      <c r="AZ1818" s="6782"/>
      <c r="BA1818" s="6782"/>
      <c r="BB1818" s="6782">
        <v>313200</v>
      </c>
      <c r="BC1818" s="6782"/>
      <c r="BD1818" s="6782"/>
      <c r="BE1818" s="6782"/>
      <c r="BF1818" s="6782"/>
      <c r="BG1818" s="6782"/>
      <c r="BH1818" s="6782"/>
      <c r="BI1818" s="6782"/>
      <c r="BJ1818" s="6782"/>
      <c r="BK1818" s="6782"/>
      <c r="BL1818" s="6782"/>
      <c r="BM1818" s="6782"/>
      <c r="BN1818" s="6782"/>
      <c r="BO1818" s="6782"/>
      <c r="BP1818" s="6782">
        <v>313200</v>
      </c>
      <c r="BQ1818" s="6782"/>
      <c r="BR1818" s="6782"/>
      <c r="BS1818" s="6782"/>
      <c r="BT1818" s="6782"/>
      <c r="BU1818" s="6782"/>
      <c r="BV1818" s="6782"/>
      <c r="BW1818" s="6782"/>
      <c r="BX1818" s="6782"/>
      <c r="BY1818" s="6782"/>
      <c r="BZ1818" s="6782"/>
      <c r="CA1818" s="6782"/>
      <c r="CB1818" s="6782"/>
      <c r="CC1818" s="6803"/>
      <c r="CD1818" s="6803"/>
      <c r="CE1818" s="5168"/>
      <c r="CF1818" s="5168"/>
      <c r="CG1818" s="5750"/>
      <c r="CH1818" s="5750"/>
    </row>
    <row r="1819" ht="37.5" customHeight="1" spans="1:86">
      <c r="A1819" s="6782"/>
      <c r="B1819" s="6782"/>
      <c r="C1819" s="6782"/>
      <c r="D1819" s="6784"/>
      <c r="E1819" s="6782"/>
      <c r="F1819" s="6784"/>
      <c r="G1819" s="6784"/>
      <c r="H1819" s="6782"/>
      <c r="I1819" s="6782"/>
      <c r="J1819" s="6784"/>
      <c r="K1819" s="6783"/>
      <c r="L1819" s="6784"/>
      <c r="M1819" s="6782"/>
      <c r="N1819" s="6806"/>
      <c r="O1819" s="6782"/>
      <c r="P1819" s="6782"/>
      <c r="Q1819" s="6782"/>
      <c r="R1819" s="6782"/>
      <c r="S1819" s="6782"/>
      <c r="T1819" s="6782"/>
      <c r="U1819" s="6782"/>
      <c r="V1819" s="6782"/>
      <c r="W1819" s="6782"/>
      <c r="X1819" s="6782"/>
      <c r="Y1819" s="6782"/>
      <c r="Z1819" s="6782"/>
      <c r="AA1819" s="6782"/>
      <c r="AB1819" s="6784"/>
      <c r="AC1819" s="6784" t="s">
        <v>3276</v>
      </c>
      <c r="AD1819" s="6797" t="s">
        <v>3277</v>
      </c>
      <c r="AE1819" s="6795">
        <v>0.15</v>
      </c>
      <c r="AF1819" s="6782">
        <f>AE1819*M1816</f>
        <v>117450</v>
      </c>
      <c r="AG1819" s="6782">
        <f t="shared" si="401"/>
        <v>117450</v>
      </c>
      <c r="AH1819" s="6782" t="s">
        <v>206</v>
      </c>
      <c r="AI1819" s="6782">
        <v>43263</v>
      </c>
      <c r="AJ1819" s="6782">
        <v>117450</v>
      </c>
      <c r="AK1819" s="6782" t="s">
        <v>171</v>
      </c>
      <c r="AL1819" s="6782">
        <v>117450</v>
      </c>
      <c r="AM1819" s="6782">
        <v>43263</v>
      </c>
      <c r="AN1819" s="6782">
        <f t="shared" si="399"/>
        <v>117450</v>
      </c>
      <c r="AO1819" s="6782">
        <v>43324</v>
      </c>
      <c r="AP1819" s="6782">
        <f t="shared" si="400"/>
        <v>0</v>
      </c>
      <c r="AQ1819" s="6782"/>
      <c r="AR1819" s="6782" t="s">
        <v>1037</v>
      </c>
      <c r="AS1819" s="6784"/>
      <c r="AT1819" s="6782" t="s">
        <v>171</v>
      </c>
      <c r="AU1819" s="6782"/>
      <c r="AV1819" s="6782"/>
      <c r="AW1819" s="6782"/>
      <c r="AX1819" s="6782"/>
      <c r="AY1819" s="6782"/>
      <c r="AZ1819" s="6782"/>
      <c r="BA1819" s="6782"/>
      <c r="BB1819" s="6782">
        <v>117450</v>
      </c>
      <c r="BC1819" s="6782"/>
      <c r="BD1819" s="6782"/>
      <c r="BE1819" s="6782"/>
      <c r="BF1819" s="6782"/>
      <c r="BG1819" s="6782"/>
      <c r="BH1819" s="6782"/>
      <c r="BI1819" s="6782"/>
      <c r="BJ1819" s="6782"/>
      <c r="BK1819" s="6782"/>
      <c r="BL1819" s="6782"/>
      <c r="BM1819" s="6782"/>
      <c r="BN1819" s="6782"/>
      <c r="BO1819" s="6782"/>
      <c r="BP1819" s="6782">
        <v>117450</v>
      </c>
      <c r="BQ1819" s="6782"/>
      <c r="BR1819" s="6782"/>
      <c r="BS1819" s="6782"/>
      <c r="BT1819" s="6782"/>
      <c r="BU1819" s="6782"/>
      <c r="BV1819" s="6782"/>
      <c r="BW1819" s="6782"/>
      <c r="BX1819" s="6782"/>
      <c r="BY1819" s="6782"/>
      <c r="BZ1819" s="6782"/>
      <c r="CA1819" s="6782"/>
      <c r="CB1819" s="6782"/>
      <c r="CC1819" s="6803"/>
      <c r="CD1819" s="6803"/>
      <c r="CE1819" s="5168"/>
      <c r="CF1819" s="5168"/>
      <c r="CG1819" s="5750"/>
      <c r="CH1819" s="5750"/>
    </row>
    <row r="1820" s="4981" customFormat="1" ht="92" spans="1:86">
      <c r="A1820" s="3812">
        <v>41</v>
      </c>
      <c r="B1820" s="4840" t="s">
        <v>3079</v>
      </c>
      <c r="C1820" s="4840"/>
      <c r="D1820" s="5073" t="s">
        <v>3278</v>
      </c>
      <c r="E1820" s="3684" t="s">
        <v>113</v>
      </c>
      <c r="F1820" s="5073" t="s">
        <v>3279</v>
      </c>
      <c r="G1820" s="5214"/>
      <c r="H1820" s="4840" t="s">
        <v>286</v>
      </c>
      <c r="I1820" s="4840"/>
      <c r="J1820" s="5214" t="s">
        <v>3122</v>
      </c>
      <c r="K1820" s="5214" t="s">
        <v>171</v>
      </c>
      <c r="L1820" s="5073" t="s">
        <v>3280</v>
      </c>
      <c r="M1820" s="4840">
        <f>SUM(N1820:AA1820)</f>
        <v>40000</v>
      </c>
      <c r="N1820" s="3812">
        <v>0</v>
      </c>
      <c r="O1820" s="3812"/>
      <c r="P1820" s="3812">
        <v>0</v>
      </c>
      <c r="Q1820" s="3812">
        <v>40000</v>
      </c>
      <c r="R1820" s="3812">
        <v>0</v>
      </c>
      <c r="S1820" s="3812">
        <v>0</v>
      </c>
      <c r="T1820" s="3812"/>
      <c r="U1820" s="3812">
        <v>0</v>
      </c>
      <c r="V1820" s="3812">
        <v>0</v>
      </c>
      <c r="W1820" s="3812">
        <v>0</v>
      </c>
      <c r="X1820" s="3812"/>
      <c r="Y1820" s="3812"/>
      <c r="Z1820" s="3812"/>
      <c r="AA1820" s="3812">
        <v>0</v>
      </c>
      <c r="AB1820" s="3812" t="s">
        <v>171</v>
      </c>
      <c r="AC1820" s="4840" t="s">
        <v>1034</v>
      </c>
      <c r="AD1820" s="1083" t="s">
        <v>3223</v>
      </c>
      <c r="AE1820" s="1083">
        <v>1</v>
      </c>
      <c r="AF1820" s="4840">
        <f>AE1820*M1820</f>
        <v>40000</v>
      </c>
      <c r="AG1820" s="3812">
        <f t="shared" si="401"/>
        <v>40000</v>
      </c>
      <c r="AH1820" s="3812" t="s">
        <v>206</v>
      </c>
      <c r="AI1820" s="3812">
        <v>44146</v>
      </c>
      <c r="AJ1820" s="3812">
        <v>50000</v>
      </c>
      <c r="AK1820" s="3812">
        <v>44146</v>
      </c>
      <c r="AL1820" s="3812">
        <v>50000</v>
      </c>
      <c r="AM1820" s="3812">
        <v>44454</v>
      </c>
      <c r="AN1820" s="3812">
        <f t="shared" si="399"/>
        <v>40000</v>
      </c>
      <c r="AO1820" s="3812">
        <v>44517</v>
      </c>
      <c r="AP1820" s="3812">
        <f>AG1820-AL1820</f>
        <v>-10000</v>
      </c>
      <c r="AQ1820" s="857" t="s">
        <v>1463</v>
      </c>
      <c r="AR1820" s="3812" t="s">
        <v>1463</v>
      </c>
      <c r="AS1820" s="5059" t="s">
        <v>3233</v>
      </c>
      <c r="AT1820" s="3812" t="s">
        <v>171</v>
      </c>
      <c r="AU1820" s="3812">
        <f>SUM(AG1820:AG1820)</f>
        <v>40000</v>
      </c>
      <c r="AV1820" s="3812">
        <f>SUM(AL1820:AL1820)</f>
        <v>50000</v>
      </c>
      <c r="AW1820" s="3812">
        <f>SUM(AN1820:AN1820)</f>
        <v>40000</v>
      </c>
      <c r="AX1820" s="3812">
        <f>M1820-AU1820</f>
        <v>0</v>
      </c>
      <c r="AY1820" s="3812">
        <f>AU1820-AV1820</f>
        <v>-10000</v>
      </c>
      <c r="AZ1820" s="3812">
        <f>AV1820-AW1820</f>
        <v>10000</v>
      </c>
      <c r="BA1820" s="3812"/>
      <c r="BB1820" s="3812"/>
      <c r="BC1820" s="3812"/>
      <c r="BD1820" s="3812">
        <v>40000</v>
      </c>
      <c r="BE1820" s="3812"/>
      <c r="BF1820" s="3812"/>
      <c r="BG1820" s="3812"/>
      <c r="BH1820" s="3812"/>
      <c r="BI1820" s="3812"/>
      <c r="BJ1820" s="3812"/>
      <c r="BK1820" s="3812"/>
      <c r="BL1820" s="3812"/>
      <c r="BM1820" s="3812"/>
      <c r="BN1820" s="3812"/>
      <c r="BO1820" s="3812"/>
      <c r="BP1820" s="3812"/>
      <c r="BQ1820" s="3812"/>
      <c r="BR1820" s="3812">
        <v>40000</v>
      </c>
      <c r="BS1820" s="3812"/>
      <c r="BT1820" s="3812"/>
      <c r="BU1820" s="3812"/>
      <c r="BV1820" s="3812"/>
      <c r="BW1820" s="3812"/>
      <c r="BX1820" s="3812"/>
      <c r="BY1820" s="3812"/>
      <c r="BZ1820" s="3812"/>
      <c r="CA1820" s="3812"/>
      <c r="CB1820" s="3812"/>
      <c r="CC1820" s="3524"/>
      <c r="CD1820" s="3524"/>
      <c r="CE1820" s="5920"/>
      <c r="CF1820" s="5920"/>
      <c r="CG1820" s="5920"/>
      <c r="CH1820" s="5920"/>
    </row>
    <row r="1821" s="4981" customFormat="1" ht="37.5" customHeight="1" spans="1:86">
      <c r="A1821" s="6782"/>
      <c r="B1821" s="857" t="s">
        <v>3079</v>
      </c>
      <c r="C1821" s="5059">
        <v>44865</v>
      </c>
      <c r="D1821" s="1032" t="s">
        <v>3281</v>
      </c>
      <c r="E1821" s="1032" t="s">
        <v>3282</v>
      </c>
      <c r="F1821" s="1032" t="s">
        <v>3283</v>
      </c>
      <c r="G1821" s="1032" t="s">
        <v>3284</v>
      </c>
      <c r="H1821" s="1032" t="s">
        <v>193</v>
      </c>
      <c r="I1821" s="5073"/>
      <c r="J1821" s="1032" t="s">
        <v>3122</v>
      </c>
      <c r="K1821" s="5059">
        <v>73459.23</v>
      </c>
      <c r="L1821" s="1032" t="s">
        <v>3285</v>
      </c>
      <c r="M1821" s="5059">
        <f>SUBTOTAL(9,N1821:AB1823)</f>
        <v>400000</v>
      </c>
      <c r="N1821" s="6782">
        <v>0</v>
      </c>
      <c r="O1821" s="6782">
        <v>0</v>
      </c>
      <c r="P1821" s="6782">
        <v>0</v>
      </c>
      <c r="Q1821" s="6782">
        <v>0</v>
      </c>
      <c r="R1821" s="6782">
        <v>0</v>
      </c>
      <c r="S1821" s="6782">
        <v>0</v>
      </c>
      <c r="T1821" s="6789">
        <v>0</v>
      </c>
      <c r="U1821" s="6782">
        <v>0</v>
      </c>
      <c r="V1821" s="6782">
        <v>400000</v>
      </c>
      <c r="W1821" s="6782">
        <v>0</v>
      </c>
      <c r="X1821" s="6782">
        <v>0</v>
      </c>
      <c r="Y1821" s="6782">
        <v>0</v>
      </c>
      <c r="Z1821" s="6782"/>
      <c r="AA1821" s="6782">
        <v>0</v>
      </c>
      <c r="AB1821" s="6782">
        <v>0</v>
      </c>
      <c r="AC1821" s="5059">
        <v>1</v>
      </c>
      <c r="AD1821" s="5241" t="s">
        <v>3286</v>
      </c>
      <c r="AE1821" s="1095">
        <v>0.4</v>
      </c>
      <c r="AF1821" s="3812">
        <f>M1821*AE1821</f>
        <v>160000</v>
      </c>
      <c r="AG1821" s="5349">
        <f t="shared" si="401"/>
        <v>160000</v>
      </c>
      <c r="AH1821" s="857" t="s">
        <v>122</v>
      </c>
      <c r="AI1821" s="3812">
        <v>44901</v>
      </c>
      <c r="AJ1821" s="3812">
        <v>160000</v>
      </c>
      <c r="AK1821" s="3812">
        <v>44901</v>
      </c>
      <c r="AL1821" s="3812">
        <v>160000</v>
      </c>
      <c r="AM1821" s="3812">
        <v>45040</v>
      </c>
      <c r="AN1821" s="5349">
        <f t="shared" si="399"/>
        <v>160000</v>
      </c>
      <c r="AO1821" s="5059">
        <v>45070</v>
      </c>
      <c r="AP1821" s="3812"/>
      <c r="AQ1821" s="3812"/>
      <c r="AR1821" s="3812"/>
      <c r="AS1821" s="5059"/>
      <c r="AT1821" s="3812"/>
      <c r="AU1821" s="3812"/>
      <c r="AV1821" s="3812"/>
      <c r="AW1821" s="3812"/>
      <c r="AX1821" s="3812"/>
      <c r="AY1821" s="3812"/>
      <c r="AZ1821" s="3812"/>
      <c r="BA1821" s="3812"/>
      <c r="BB1821" s="3812"/>
      <c r="BC1821" s="3812"/>
      <c r="BD1821" s="3812"/>
      <c r="BE1821" s="3812"/>
      <c r="BF1821" s="3812"/>
      <c r="BG1821" s="3812"/>
      <c r="BH1821" s="3812"/>
      <c r="BI1821" s="3812">
        <v>160000</v>
      </c>
      <c r="BJ1821" s="3812"/>
      <c r="BK1821" s="3812"/>
      <c r="BL1821" s="3812"/>
      <c r="BM1821" s="3812"/>
      <c r="BN1821" s="3812"/>
      <c r="BO1821" s="3812"/>
      <c r="BP1821" s="3812"/>
      <c r="BQ1821" s="3812"/>
      <c r="BR1821" s="3812"/>
      <c r="BS1821" s="3812"/>
      <c r="BT1821" s="3812"/>
      <c r="BU1821" s="3812"/>
      <c r="BV1821" s="3812"/>
      <c r="BW1821" s="3812">
        <v>160000</v>
      </c>
      <c r="BX1821" s="3812"/>
      <c r="BY1821" s="3812"/>
      <c r="BZ1821" s="3812"/>
      <c r="CA1821" s="3812"/>
      <c r="CB1821" s="3812"/>
      <c r="CC1821" s="3524"/>
      <c r="CD1821" s="3524"/>
      <c r="CE1821" s="5920"/>
      <c r="CF1821" s="5920"/>
      <c r="CG1821" s="5920"/>
      <c r="CH1821" s="5920"/>
    </row>
    <row r="1822" s="4981" customFormat="1" ht="40" customHeight="1" spans="1:86">
      <c r="A1822" s="6782"/>
      <c r="B1822" s="857"/>
      <c r="C1822" s="5059"/>
      <c r="D1822" s="1032"/>
      <c r="E1822" s="1032"/>
      <c r="F1822" s="1032"/>
      <c r="G1822" s="5059"/>
      <c r="H1822" s="1032"/>
      <c r="I1822" s="5205"/>
      <c r="J1822" s="1032"/>
      <c r="K1822" s="5059"/>
      <c r="L1822" s="1032"/>
      <c r="M1822" s="5059"/>
      <c r="N1822" s="6782"/>
      <c r="O1822" s="6782"/>
      <c r="P1822" s="6782"/>
      <c r="Q1822" s="6782"/>
      <c r="R1822" s="6782"/>
      <c r="S1822" s="6782"/>
      <c r="T1822" s="6782"/>
      <c r="U1822" s="6782"/>
      <c r="V1822" s="6782"/>
      <c r="W1822" s="6782"/>
      <c r="X1822" s="6782"/>
      <c r="Y1822" s="6782"/>
      <c r="Z1822" s="6782"/>
      <c r="AA1822" s="6782"/>
      <c r="AB1822" s="6782"/>
      <c r="AC1822" s="5059">
        <v>2</v>
      </c>
      <c r="AD1822" s="5241" t="s">
        <v>3287</v>
      </c>
      <c r="AE1822" s="1095">
        <v>0.58</v>
      </c>
      <c r="AF1822" s="3812">
        <f>M1821*AE1822</f>
        <v>232000</v>
      </c>
      <c r="AG1822" s="5349">
        <f t="shared" si="401"/>
        <v>232000</v>
      </c>
      <c r="AH1822" s="857" t="s">
        <v>122</v>
      </c>
      <c r="AI1822" s="3812">
        <v>45268</v>
      </c>
      <c r="AJ1822" s="3812">
        <v>232000</v>
      </c>
      <c r="AK1822" s="3812">
        <v>45267</v>
      </c>
      <c r="AL1822" s="3812"/>
      <c r="AM1822" s="3812"/>
      <c r="AN1822" s="5885">
        <f t="shared" si="399"/>
        <v>232000</v>
      </c>
      <c r="AO1822" s="5123"/>
      <c r="AP1822" s="3812"/>
      <c r="AQ1822" s="3812"/>
      <c r="AR1822" s="3812"/>
      <c r="AS1822" s="5059"/>
      <c r="AT1822" s="3812"/>
      <c r="AU1822" s="3812"/>
      <c r="AV1822" s="3812"/>
      <c r="AW1822" s="3812"/>
      <c r="AX1822" s="3812"/>
      <c r="AY1822" s="3812"/>
      <c r="AZ1822" s="3812"/>
      <c r="BA1822" s="3812"/>
      <c r="BB1822" s="3812"/>
      <c r="BC1822" s="3812"/>
      <c r="BD1822" s="3812"/>
      <c r="BE1822" s="3812"/>
      <c r="BF1822" s="3812"/>
      <c r="BG1822" s="3812"/>
      <c r="BH1822" s="3812"/>
      <c r="BI1822" s="3812">
        <v>232000</v>
      </c>
      <c r="BJ1822" s="3812"/>
      <c r="BK1822" s="3812"/>
      <c r="BL1822" s="3812"/>
      <c r="BM1822" s="3812"/>
      <c r="BN1822" s="3812"/>
      <c r="BO1822" s="3812"/>
      <c r="BP1822" s="3812"/>
      <c r="BQ1822" s="3812"/>
      <c r="BR1822" s="3812"/>
      <c r="BS1822" s="3812"/>
      <c r="BT1822" s="3812"/>
      <c r="BU1822" s="3812"/>
      <c r="BV1822" s="3812"/>
      <c r="BW1822" s="3812">
        <v>232000</v>
      </c>
      <c r="BX1822" s="3812"/>
      <c r="BY1822" s="3812"/>
      <c r="BZ1822" s="3812"/>
      <c r="CA1822" s="3812"/>
      <c r="CB1822" s="3812"/>
      <c r="CC1822" s="3524"/>
      <c r="CD1822" s="3524"/>
      <c r="CE1822" s="5169">
        <f>SUBTOTAL(9,BO1822:CB1822)</f>
        <v>232000</v>
      </c>
      <c r="CF1822" s="5169">
        <f>AN1822-CE1822</f>
        <v>0</v>
      </c>
      <c r="CG1822" s="5920"/>
      <c r="CH1822" s="5920"/>
    </row>
    <row r="1823" s="4981" customFormat="1" ht="40.85" customHeight="1" spans="1:86">
      <c r="A1823" s="6782"/>
      <c r="B1823" s="3812"/>
      <c r="C1823" s="5059"/>
      <c r="D1823" s="5059"/>
      <c r="E1823" s="5059"/>
      <c r="F1823" s="5059"/>
      <c r="G1823" s="5059"/>
      <c r="H1823" s="5059"/>
      <c r="I1823" s="5206"/>
      <c r="J1823" s="5059"/>
      <c r="K1823" s="5059"/>
      <c r="L1823" s="5059"/>
      <c r="M1823" s="5059"/>
      <c r="N1823" s="6782"/>
      <c r="O1823" s="6782"/>
      <c r="P1823" s="6782"/>
      <c r="Q1823" s="6782"/>
      <c r="R1823" s="6782"/>
      <c r="S1823" s="6782"/>
      <c r="T1823" s="6782"/>
      <c r="U1823" s="6782"/>
      <c r="V1823" s="6782"/>
      <c r="W1823" s="6782"/>
      <c r="X1823" s="6782"/>
      <c r="Y1823" s="6782"/>
      <c r="Z1823" s="6782"/>
      <c r="AA1823" s="6782"/>
      <c r="AB1823" s="6782"/>
      <c r="AC1823" s="5059">
        <v>3</v>
      </c>
      <c r="AD1823" s="5241" t="s">
        <v>3288</v>
      </c>
      <c r="AE1823" s="1095">
        <v>0.02</v>
      </c>
      <c r="AF1823" s="3812">
        <f>M1821*AE1823</f>
        <v>8000</v>
      </c>
      <c r="AG1823" s="5349">
        <f t="shared" si="401"/>
        <v>0</v>
      </c>
      <c r="AH1823" s="3812"/>
      <c r="AI1823" s="3812"/>
      <c r="AJ1823" s="3812"/>
      <c r="AK1823" s="3812"/>
      <c r="AL1823" s="3812"/>
      <c r="AM1823" s="3812"/>
      <c r="AN1823" s="3812"/>
      <c r="AO1823" s="3812"/>
      <c r="AP1823" s="3812"/>
      <c r="AQ1823" s="3812"/>
      <c r="AR1823" s="3812"/>
      <c r="AS1823" s="5059"/>
      <c r="AT1823" s="3812"/>
      <c r="AU1823" s="3812"/>
      <c r="AV1823" s="3812"/>
      <c r="AW1823" s="3812"/>
      <c r="AX1823" s="3812"/>
      <c r="AY1823" s="3812"/>
      <c r="AZ1823" s="3812"/>
      <c r="BA1823" s="3812"/>
      <c r="BB1823" s="3812"/>
      <c r="BC1823" s="3812"/>
      <c r="BD1823" s="3812"/>
      <c r="BE1823" s="3812"/>
      <c r="BF1823" s="3812"/>
      <c r="BG1823" s="3812"/>
      <c r="BH1823" s="3812"/>
      <c r="BI1823" s="3812"/>
      <c r="BJ1823" s="3812"/>
      <c r="BK1823" s="3812"/>
      <c r="BL1823" s="3812"/>
      <c r="BM1823" s="3812"/>
      <c r="BN1823" s="3812"/>
      <c r="BO1823" s="3812"/>
      <c r="BP1823" s="3812"/>
      <c r="BQ1823" s="3812"/>
      <c r="BR1823" s="3812"/>
      <c r="BS1823" s="3812"/>
      <c r="BT1823" s="3812"/>
      <c r="BU1823" s="3812"/>
      <c r="BV1823" s="3812"/>
      <c r="BW1823" s="3812"/>
      <c r="BX1823" s="3812"/>
      <c r="BY1823" s="3812"/>
      <c r="BZ1823" s="3812"/>
      <c r="CA1823" s="3812"/>
      <c r="CB1823" s="3812"/>
      <c r="CC1823" s="3524"/>
      <c r="CD1823" s="3524"/>
      <c r="CE1823" s="5920"/>
      <c r="CF1823" s="5920"/>
      <c r="CG1823" s="5920"/>
      <c r="CH1823" s="5920"/>
    </row>
    <row r="1824" s="4992" customFormat="1" ht="72.5" customHeight="1" spans="1:86">
      <c r="A1824" s="3684"/>
      <c r="B1824" s="3814" t="s">
        <v>3079</v>
      </c>
      <c r="C1824" s="5060">
        <v>44865</v>
      </c>
      <c r="D1824" s="5055" t="s">
        <v>3289</v>
      </c>
      <c r="E1824" s="5055" t="s">
        <v>113</v>
      </c>
      <c r="F1824" s="5055" t="s">
        <v>3290</v>
      </c>
      <c r="G1824" s="5055" t="s">
        <v>3291</v>
      </c>
      <c r="H1824" s="5055" t="s">
        <v>286</v>
      </c>
      <c r="I1824" s="5055"/>
      <c r="J1824" s="5055" t="s">
        <v>3122</v>
      </c>
      <c r="K1824" s="5055" t="s">
        <v>171</v>
      </c>
      <c r="L1824" s="5055" t="s">
        <v>3285</v>
      </c>
      <c r="M1824" s="5060">
        <f>SUBTOTAL(9,N1824:Y1824)</f>
        <v>390000</v>
      </c>
      <c r="N1824" s="4099">
        <v>0</v>
      </c>
      <c r="O1824" s="4099">
        <v>0</v>
      </c>
      <c r="P1824" s="4099">
        <v>80000</v>
      </c>
      <c r="Q1824" s="4099">
        <v>310000</v>
      </c>
      <c r="R1824" s="4099">
        <v>0</v>
      </c>
      <c r="S1824" s="4099">
        <v>0</v>
      </c>
      <c r="T1824" s="5869">
        <v>0</v>
      </c>
      <c r="U1824" s="4099">
        <v>0</v>
      </c>
      <c r="V1824" s="4099">
        <v>0</v>
      </c>
      <c r="W1824" s="4099">
        <v>0</v>
      </c>
      <c r="X1824" s="4099">
        <v>0</v>
      </c>
      <c r="Y1824" s="4099">
        <v>0</v>
      </c>
      <c r="Z1824" s="4099"/>
      <c r="AA1824" s="4099"/>
      <c r="AB1824" s="4099"/>
      <c r="AC1824" s="5055" t="s">
        <v>1034</v>
      </c>
      <c r="AD1824" s="5388" t="s">
        <v>3292</v>
      </c>
      <c r="AE1824" s="2139">
        <v>1</v>
      </c>
      <c r="AF1824" s="3684">
        <f>M1824*AE1824</f>
        <v>390000</v>
      </c>
      <c r="AG1824" s="3684">
        <f t="shared" si="401"/>
        <v>390000</v>
      </c>
      <c r="AH1824" s="3814" t="s">
        <v>122</v>
      </c>
      <c r="AI1824" s="3684">
        <v>44901</v>
      </c>
      <c r="AJ1824" s="3684">
        <v>390000</v>
      </c>
      <c r="AK1824" s="3684">
        <v>44901</v>
      </c>
      <c r="AL1824" s="3684">
        <v>390000</v>
      </c>
      <c r="AM1824" s="3684">
        <v>45040</v>
      </c>
      <c r="AN1824" s="3684">
        <f>SUM(BO1824:CB1824)</f>
        <v>390000</v>
      </c>
      <c r="AO1824" s="5060">
        <v>45163</v>
      </c>
      <c r="AP1824" s="3684">
        <f>AG1824-AN1824</f>
        <v>0</v>
      </c>
      <c r="AQ1824" s="3684"/>
      <c r="AR1824" s="3684"/>
      <c r="AS1824" s="5060"/>
      <c r="AT1824" s="3684"/>
      <c r="AU1824" s="3684"/>
      <c r="AV1824" s="3684"/>
      <c r="AW1824" s="3684"/>
      <c r="AX1824" s="3684"/>
      <c r="AY1824" s="3684"/>
      <c r="AZ1824" s="3684"/>
      <c r="BA1824" s="3684"/>
      <c r="BB1824" s="3684"/>
      <c r="BC1824" s="3684">
        <v>80000</v>
      </c>
      <c r="BD1824" s="3684">
        <v>310000</v>
      </c>
      <c r="BE1824" s="3684"/>
      <c r="BF1824" s="3684"/>
      <c r="BG1824" s="3684"/>
      <c r="BH1824" s="3684"/>
      <c r="BI1824" s="3684"/>
      <c r="BJ1824" s="3684"/>
      <c r="BK1824" s="3684"/>
      <c r="BL1824" s="3684"/>
      <c r="BM1824" s="3684"/>
      <c r="BN1824" s="3684"/>
      <c r="BO1824" s="3684"/>
      <c r="BP1824" s="3684"/>
      <c r="BQ1824" s="3684">
        <v>80000</v>
      </c>
      <c r="BR1824" s="3684">
        <v>310000</v>
      </c>
      <c r="BS1824" s="3684"/>
      <c r="BT1824" s="3684"/>
      <c r="BU1824" s="3684"/>
      <c r="BV1824" s="3684"/>
      <c r="BW1824" s="3684"/>
      <c r="BX1824" s="3684"/>
      <c r="BY1824" s="3684"/>
      <c r="BZ1824" s="3684"/>
      <c r="CA1824" s="3684"/>
      <c r="CB1824" s="3684"/>
      <c r="CC1824" s="3662"/>
      <c r="CD1824" s="3662"/>
      <c r="CE1824" s="6802"/>
      <c r="CF1824" s="6802"/>
      <c r="CG1824" s="6802"/>
      <c r="CH1824" s="6802"/>
    </row>
    <row r="1825" s="4992" customFormat="1" ht="61" spans="1:86">
      <c r="A1825" s="3684">
        <v>47</v>
      </c>
      <c r="B1825" s="3684" t="s">
        <v>3079</v>
      </c>
      <c r="C1825" s="3684">
        <v>43945</v>
      </c>
      <c r="D1825" s="5055" t="s">
        <v>3293</v>
      </c>
      <c r="E1825" s="5060" t="s">
        <v>3294</v>
      </c>
      <c r="F1825" s="5060" t="s">
        <v>3295</v>
      </c>
      <c r="G1825" s="5060" t="s">
        <v>3296</v>
      </c>
      <c r="H1825" s="3684" t="s">
        <v>31</v>
      </c>
      <c r="I1825" s="3684"/>
      <c r="J1825" s="5060" t="s">
        <v>3297</v>
      </c>
      <c r="K1825" s="5060">
        <v>178500</v>
      </c>
      <c r="L1825" s="5060" t="s">
        <v>3298</v>
      </c>
      <c r="M1825" s="3684">
        <f>SUM(N1825:AA1828)</f>
        <v>892141.45</v>
      </c>
      <c r="N1825" s="2678">
        <v>0</v>
      </c>
      <c r="O1825" s="2678">
        <v>0</v>
      </c>
      <c r="P1825" s="2678">
        <v>0</v>
      </c>
      <c r="Q1825" s="2678">
        <v>0</v>
      </c>
      <c r="R1825" s="2678">
        <v>0</v>
      </c>
      <c r="S1825" s="2678">
        <v>0</v>
      </c>
      <c r="T1825" s="5823">
        <v>0</v>
      </c>
      <c r="U1825" s="2678">
        <v>892141.45</v>
      </c>
      <c r="V1825" s="2678">
        <v>0</v>
      </c>
      <c r="W1825" s="2678">
        <v>0</v>
      </c>
      <c r="X1825" s="2678"/>
      <c r="Y1825" s="2678"/>
      <c r="Z1825" s="2678"/>
      <c r="AA1825" s="2678">
        <v>0</v>
      </c>
      <c r="AB1825" s="5667" t="s">
        <v>171</v>
      </c>
      <c r="AC1825" s="3684" t="s">
        <v>1110</v>
      </c>
      <c r="AD1825" s="5388" t="s">
        <v>3299</v>
      </c>
      <c r="AE1825" s="5055">
        <v>0.2</v>
      </c>
      <c r="AF1825" s="3684">
        <v>178500</v>
      </c>
      <c r="AG1825" s="3684">
        <f t="shared" ref="AG1825:AG1839" si="402">SUM(BA1825:BN1825)</f>
        <v>178500</v>
      </c>
      <c r="AH1825" s="3684" t="s">
        <v>206</v>
      </c>
      <c r="AI1825" s="3684">
        <v>44010</v>
      </c>
      <c r="AJ1825" s="3684">
        <v>178500</v>
      </c>
      <c r="AK1825" s="3684" t="s">
        <v>171</v>
      </c>
      <c r="AL1825" s="3684">
        <v>178500</v>
      </c>
      <c r="AM1825" s="3684">
        <v>44010</v>
      </c>
      <c r="AN1825" s="3684">
        <f t="shared" ref="AN1825:AN1839" si="403">SUM(BO1825:CB1825)</f>
        <v>178500</v>
      </c>
      <c r="AO1825" s="3684">
        <v>44020</v>
      </c>
      <c r="AP1825" s="3684">
        <f t="shared" ref="AP1825:AP1832" si="404">AG1825-AL1825</f>
        <v>0</v>
      </c>
      <c r="AQ1825" s="3814" t="s">
        <v>1463</v>
      </c>
      <c r="AR1825" s="3684" t="s">
        <v>1037</v>
      </c>
      <c r="AS1825" s="5060" t="s">
        <v>1505</v>
      </c>
      <c r="AT1825" s="3684"/>
      <c r="AU1825" s="3684">
        <f>SUM(AG1825:AG1828)</f>
        <v>892141.45</v>
      </c>
      <c r="AV1825" s="3684">
        <f>SUM(AL1825:AL1828)</f>
        <v>892141.45</v>
      </c>
      <c r="AW1825" s="3684">
        <f>SUM(AN1825:AN1828)</f>
        <v>892141.45</v>
      </c>
      <c r="AX1825" s="3684">
        <f>M1825-AU1825</f>
        <v>0</v>
      </c>
      <c r="AY1825" s="3684">
        <f>AU1825-AV1825</f>
        <v>0</v>
      </c>
      <c r="AZ1825" s="3684">
        <f>AV1825-AW1825</f>
        <v>0</v>
      </c>
      <c r="BA1825" s="3684"/>
      <c r="BB1825" s="3684"/>
      <c r="BC1825" s="3684"/>
      <c r="BD1825" s="3684"/>
      <c r="BE1825" s="3684"/>
      <c r="BF1825" s="3684"/>
      <c r="BG1825" s="3684"/>
      <c r="BH1825" s="3684">
        <v>178500</v>
      </c>
      <c r="BI1825" s="3684"/>
      <c r="BJ1825" s="3684"/>
      <c r="BK1825" s="3684"/>
      <c r="BL1825" s="3684"/>
      <c r="BM1825" s="3684"/>
      <c r="BN1825" s="3684"/>
      <c r="BO1825" s="3684"/>
      <c r="BP1825" s="3684"/>
      <c r="BQ1825" s="3684"/>
      <c r="BR1825" s="3684"/>
      <c r="BS1825" s="3684"/>
      <c r="BT1825" s="3684"/>
      <c r="BU1825" s="3684"/>
      <c r="BV1825" s="3684">
        <v>178500</v>
      </c>
      <c r="BW1825" s="3684"/>
      <c r="BX1825" s="3684"/>
      <c r="BY1825" s="3684"/>
      <c r="BZ1825" s="3684"/>
      <c r="CA1825" s="3684"/>
      <c r="CB1825" s="3684"/>
      <c r="CC1825" s="3662" t="s">
        <v>1112</v>
      </c>
      <c r="CD1825" s="3662" t="s">
        <v>154</v>
      </c>
      <c r="CE1825" s="6802"/>
      <c r="CF1825" s="6802"/>
      <c r="CG1825" s="6802"/>
      <c r="CH1825" s="6802"/>
    </row>
    <row r="1826" s="4992" customFormat="1" ht="46" spans="1:86">
      <c r="A1826" s="3684"/>
      <c r="B1826" s="3684"/>
      <c r="C1826" s="3684"/>
      <c r="D1826" s="5055"/>
      <c r="E1826" s="5060"/>
      <c r="F1826" s="5060"/>
      <c r="G1826" s="5060"/>
      <c r="H1826" s="3684"/>
      <c r="I1826" s="3684"/>
      <c r="J1826" s="5060"/>
      <c r="K1826" s="5060"/>
      <c r="L1826" s="5060"/>
      <c r="M1826" s="3684"/>
      <c r="N1826" s="2678"/>
      <c r="O1826" s="2678"/>
      <c r="P1826" s="2678"/>
      <c r="Q1826" s="2678"/>
      <c r="R1826" s="2678"/>
      <c r="S1826" s="2678"/>
      <c r="T1826" s="2678"/>
      <c r="U1826" s="2678"/>
      <c r="V1826" s="2678"/>
      <c r="W1826" s="2678"/>
      <c r="X1826" s="2678"/>
      <c r="Y1826" s="2678"/>
      <c r="Z1826" s="2678"/>
      <c r="AA1826" s="2678"/>
      <c r="AB1826" s="5667"/>
      <c r="AC1826" s="3684" t="s">
        <v>1113</v>
      </c>
      <c r="AD1826" s="5388" t="s">
        <v>3300</v>
      </c>
      <c r="AE1826" s="5055">
        <v>0.2</v>
      </c>
      <c r="AF1826" s="3684">
        <v>178500</v>
      </c>
      <c r="AG1826" s="3684">
        <f t="shared" si="402"/>
        <v>178500</v>
      </c>
      <c r="AH1826" s="3814" t="s">
        <v>206</v>
      </c>
      <c r="AI1826" s="3684">
        <v>44010</v>
      </c>
      <c r="AJ1826" s="3684">
        <v>178500</v>
      </c>
      <c r="AK1826" s="3684" t="s">
        <v>171</v>
      </c>
      <c r="AL1826" s="3684">
        <v>178500</v>
      </c>
      <c r="AM1826" s="3684">
        <v>44010</v>
      </c>
      <c r="AN1826" s="3684">
        <f t="shared" si="403"/>
        <v>178500</v>
      </c>
      <c r="AO1826" s="3684">
        <v>44020</v>
      </c>
      <c r="AP1826" s="3684">
        <f t="shared" si="404"/>
        <v>0</v>
      </c>
      <c r="AQ1826" s="3684"/>
      <c r="AR1826" s="3684" t="s">
        <v>1037</v>
      </c>
      <c r="AS1826" s="5060"/>
      <c r="AT1826" s="3684"/>
      <c r="AU1826" s="3684"/>
      <c r="AV1826" s="3684"/>
      <c r="AW1826" s="3684"/>
      <c r="AX1826" s="3684"/>
      <c r="AY1826" s="3684"/>
      <c r="AZ1826" s="3684"/>
      <c r="BA1826" s="3684"/>
      <c r="BB1826" s="3684"/>
      <c r="BC1826" s="3684"/>
      <c r="BD1826" s="3684"/>
      <c r="BE1826" s="3684"/>
      <c r="BF1826" s="3684"/>
      <c r="BG1826" s="3684"/>
      <c r="BH1826" s="3684">
        <v>178500</v>
      </c>
      <c r="BI1826" s="3684"/>
      <c r="BJ1826" s="3684"/>
      <c r="BK1826" s="3684"/>
      <c r="BL1826" s="3684"/>
      <c r="BM1826" s="3684"/>
      <c r="BN1826" s="3684"/>
      <c r="BO1826" s="3684"/>
      <c r="BP1826" s="3684"/>
      <c r="BQ1826" s="3684"/>
      <c r="BR1826" s="3684"/>
      <c r="BS1826" s="3684"/>
      <c r="BT1826" s="3684"/>
      <c r="BU1826" s="3684"/>
      <c r="BV1826" s="3684">
        <v>178500</v>
      </c>
      <c r="BW1826" s="3684"/>
      <c r="BX1826" s="3684"/>
      <c r="BY1826" s="3684"/>
      <c r="BZ1826" s="3684"/>
      <c r="CA1826" s="3684"/>
      <c r="CB1826" s="3684"/>
      <c r="CC1826" s="3662"/>
      <c r="CD1826" s="3662"/>
      <c r="CE1826" s="6802"/>
      <c r="CF1826" s="6802"/>
      <c r="CG1826" s="6802"/>
      <c r="CH1826" s="6802"/>
    </row>
    <row r="1827" s="4992" customFormat="1" ht="61" spans="1:86">
      <c r="A1827" s="3684"/>
      <c r="B1827" s="3684"/>
      <c r="C1827" s="3684"/>
      <c r="D1827" s="5055"/>
      <c r="E1827" s="5060"/>
      <c r="F1827" s="5060"/>
      <c r="G1827" s="5060"/>
      <c r="H1827" s="3684"/>
      <c r="I1827" s="3684"/>
      <c r="J1827" s="5060"/>
      <c r="K1827" s="5060"/>
      <c r="L1827" s="5060"/>
      <c r="M1827" s="3684"/>
      <c r="N1827" s="2678"/>
      <c r="O1827" s="2678"/>
      <c r="P1827" s="2678"/>
      <c r="Q1827" s="2678"/>
      <c r="R1827" s="2678"/>
      <c r="S1827" s="2678"/>
      <c r="T1827" s="2678"/>
      <c r="U1827" s="2678"/>
      <c r="V1827" s="2678"/>
      <c r="W1827" s="2678"/>
      <c r="X1827" s="2678"/>
      <c r="Y1827" s="2678"/>
      <c r="Z1827" s="2678"/>
      <c r="AA1827" s="2678"/>
      <c r="AB1827" s="5667"/>
      <c r="AC1827" s="3684" t="s">
        <v>1115</v>
      </c>
      <c r="AD1827" s="5388" t="s">
        <v>3301</v>
      </c>
      <c r="AE1827" s="5055">
        <v>0.3</v>
      </c>
      <c r="AF1827" s="3684">
        <v>267750</v>
      </c>
      <c r="AG1827" s="3684">
        <f t="shared" si="402"/>
        <v>267750</v>
      </c>
      <c r="AH1827" s="3814" t="s">
        <v>206</v>
      </c>
      <c r="AI1827" s="3684">
        <v>44010</v>
      </c>
      <c r="AJ1827" s="3684">
        <v>267750</v>
      </c>
      <c r="AK1827" s="3684" t="s">
        <v>171</v>
      </c>
      <c r="AL1827" s="3684">
        <v>267750</v>
      </c>
      <c r="AM1827" s="3684">
        <v>44010</v>
      </c>
      <c r="AN1827" s="3684">
        <f t="shared" si="403"/>
        <v>267750</v>
      </c>
      <c r="AO1827" s="3684">
        <v>44020</v>
      </c>
      <c r="AP1827" s="3684">
        <f t="shared" si="404"/>
        <v>0</v>
      </c>
      <c r="AQ1827" s="3684"/>
      <c r="AR1827" s="3684" t="s">
        <v>1037</v>
      </c>
      <c r="AS1827" s="5060"/>
      <c r="AT1827" s="3684"/>
      <c r="AU1827" s="3684"/>
      <c r="AV1827" s="3684"/>
      <c r="AW1827" s="3684"/>
      <c r="AX1827" s="3684"/>
      <c r="AY1827" s="3684"/>
      <c r="AZ1827" s="3684"/>
      <c r="BA1827" s="3684"/>
      <c r="BB1827" s="3684"/>
      <c r="BC1827" s="3684"/>
      <c r="BD1827" s="3684"/>
      <c r="BE1827" s="3684"/>
      <c r="BF1827" s="3684"/>
      <c r="BG1827" s="3684"/>
      <c r="BH1827" s="3684">
        <v>267750</v>
      </c>
      <c r="BI1827" s="3684"/>
      <c r="BJ1827" s="3684"/>
      <c r="BK1827" s="3684"/>
      <c r="BL1827" s="3684"/>
      <c r="BM1827" s="3684"/>
      <c r="BN1827" s="3684"/>
      <c r="BO1827" s="3684"/>
      <c r="BP1827" s="3684"/>
      <c r="BQ1827" s="3684"/>
      <c r="BR1827" s="3684"/>
      <c r="BS1827" s="3684"/>
      <c r="BT1827" s="3684"/>
      <c r="BU1827" s="3684"/>
      <c r="BV1827" s="3684">
        <v>267750</v>
      </c>
      <c r="BW1827" s="3684"/>
      <c r="BX1827" s="3684"/>
      <c r="BY1827" s="3684"/>
      <c r="BZ1827" s="3684"/>
      <c r="CA1827" s="3684"/>
      <c r="CB1827" s="3684"/>
      <c r="CC1827" s="3662"/>
      <c r="CD1827" s="3662"/>
      <c r="CE1827" s="6802"/>
      <c r="CF1827" s="6802"/>
      <c r="CG1827" s="6802"/>
      <c r="CH1827" s="6802"/>
    </row>
    <row r="1828" s="4992" customFormat="1" ht="92" spans="1:86">
      <c r="A1828" s="3684"/>
      <c r="B1828" s="3684"/>
      <c r="C1828" s="3684"/>
      <c r="D1828" s="5055"/>
      <c r="E1828" s="5060"/>
      <c r="F1828" s="5060"/>
      <c r="G1828" s="5060"/>
      <c r="H1828" s="3684"/>
      <c r="I1828" s="3684"/>
      <c r="J1828" s="5060"/>
      <c r="K1828" s="5060"/>
      <c r="L1828" s="5060"/>
      <c r="M1828" s="3684"/>
      <c r="N1828" s="2678"/>
      <c r="O1828" s="2678"/>
      <c r="P1828" s="2678"/>
      <c r="Q1828" s="2678"/>
      <c r="R1828" s="2678"/>
      <c r="S1828" s="2678"/>
      <c r="T1828" s="2678"/>
      <c r="U1828" s="2678"/>
      <c r="V1828" s="2678"/>
      <c r="W1828" s="2678"/>
      <c r="X1828" s="2678"/>
      <c r="Y1828" s="2678"/>
      <c r="Z1828" s="2678"/>
      <c r="AA1828" s="2678"/>
      <c r="AB1828" s="5667"/>
      <c r="AC1828" s="3684" t="s">
        <v>1594</v>
      </c>
      <c r="AD1828" s="5388" t="s">
        <v>3302</v>
      </c>
      <c r="AE1828" s="5055">
        <v>0.3</v>
      </c>
      <c r="AF1828" s="3684">
        <v>267391.45</v>
      </c>
      <c r="AG1828" s="3684">
        <f t="shared" si="402"/>
        <v>267391.45</v>
      </c>
      <c r="AH1828" s="3814" t="s">
        <v>206</v>
      </c>
      <c r="AI1828" s="3684">
        <v>44130</v>
      </c>
      <c r="AJ1828" s="3684">
        <v>267391.45</v>
      </c>
      <c r="AK1828" s="3684">
        <v>44135</v>
      </c>
      <c r="AL1828" s="3684">
        <v>267391.45</v>
      </c>
      <c r="AM1828" s="3684">
        <v>44130</v>
      </c>
      <c r="AN1828" s="3684">
        <f t="shared" si="403"/>
        <v>267391.45</v>
      </c>
      <c r="AO1828" s="3684">
        <v>44174</v>
      </c>
      <c r="AP1828" s="3684">
        <f t="shared" si="404"/>
        <v>0</v>
      </c>
      <c r="AQ1828" s="3684"/>
      <c r="AR1828" s="3684"/>
      <c r="AS1828" s="5060"/>
      <c r="AT1828" s="3684"/>
      <c r="AU1828" s="3684"/>
      <c r="AV1828" s="3684"/>
      <c r="AW1828" s="3684"/>
      <c r="AX1828" s="3684"/>
      <c r="AY1828" s="3684"/>
      <c r="AZ1828" s="3684"/>
      <c r="BA1828" s="3684"/>
      <c r="BB1828" s="3684"/>
      <c r="BC1828" s="3684"/>
      <c r="BD1828" s="3684"/>
      <c r="BE1828" s="3684"/>
      <c r="BF1828" s="3684"/>
      <c r="BG1828" s="3684"/>
      <c r="BH1828" s="3684">
        <v>267391.45</v>
      </c>
      <c r="BI1828" s="3684"/>
      <c r="BJ1828" s="3684"/>
      <c r="BK1828" s="3684"/>
      <c r="BL1828" s="3684"/>
      <c r="BM1828" s="3684"/>
      <c r="BN1828" s="3684"/>
      <c r="BO1828" s="3684"/>
      <c r="BP1828" s="3684"/>
      <c r="BQ1828" s="3684"/>
      <c r="BR1828" s="3684"/>
      <c r="BS1828" s="3684"/>
      <c r="BT1828" s="3684"/>
      <c r="BU1828" s="3684"/>
      <c r="BV1828" s="3684">
        <v>267391.45</v>
      </c>
      <c r="BW1828" s="3684"/>
      <c r="BX1828" s="3684"/>
      <c r="BY1828" s="3684"/>
      <c r="BZ1828" s="3684"/>
      <c r="CA1828" s="3684"/>
      <c r="CB1828" s="3684"/>
      <c r="CC1828" s="3662"/>
      <c r="CD1828" s="3662"/>
      <c r="CE1828" s="6802"/>
      <c r="CF1828" s="6802"/>
      <c r="CG1828" s="6802"/>
      <c r="CH1828" s="6802"/>
    </row>
    <row r="1829" s="4992" customFormat="1" ht="46" spans="1:86">
      <c r="A1829" s="3684">
        <v>48</v>
      </c>
      <c r="B1829" s="3684" t="s">
        <v>3079</v>
      </c>
      <c r="C1829" s="3684">
        <v>43946</v>
      </c>
      <c r="D1829" s="5055" t="s">
        <v>3303</v>
      </c>
      <c r="E1829" s="5060" t="s">
        <v>3304</v>
      </c>
      <c r="F1829" s="5060" t="s">
        <v>3305</v>
      </c>
      <c r="G1829" s="5060" t="s">
        <v>3306</v>
      </c>
      <c r="H1829" s="3814" t="s">
        <v>240</v>
      </c>
      <c r="I1829" s="3815"/>
      <c r="J1829" s="5060" t="s">
        <v>3297</v>
      </c>
      <c r="K1829" s="5060">
        <v>178428.29</v>
      </c>
      <c r="L1829" s="5060" t="s">
        <v>3307</v>
      </c>
      <c r="M1829" s="3684">
        <f>SUM(N1829:AA1832)</f>
        <v>1784282.9</v>
      </c>
      <c r="N1829" s="2678">
        <v>0</v>
      </c>
      <c r="O1829" s="2678">
        <v>0</v>
      </c>
      <c r="P1829" s="2678">
        <v>0</v>
      </c>
      <c r="Q1829" s="2678">
        <v>1784282.9</v>
      </c>
      <c r="R1829" s="2678">
        <v>0</v>
      </c>
      <c r="S1829" s="2678">
        <v>0</v>
      </c>
      <c r="T1829" s="5823">
        <v>0</v>
      </c>
      <c r="U1829" s="2678">
        <v>0</v>
      </c>
      <c r="V1829" s="2678">
        <v>0</v>
      </c>
      <c r="W1829" s="2678">
        <v>0</v>
      </c>
      <c r="X1829" s="2678">
        <v>0</v>
      </c>
      <c r="Y1829" s="2678"/>
      <c r="Z1829" s="2678"/>
      <c r="AA1829" s="2678">
        <v>0</v>
      </c>
      <c r="AB1829" s="5667" t="s">
        <v>171</v>
      </c>
      <c r="AC1829" s="3684" t="s">
        <v>1055</v>
      </c>
      <c r="AD1829" s="5388" t="s">
        <v>3308</v>
      </c>
      <c r="AE1829" s="5055">
        <v>0.2</v>
      </c>
      <c r="AF1829" s="3684">
        <v>354000</v>
      </c>
      <c r="AG1829" s="3684">
        <f t="shared" si="402"/>
        <v>354000</v>
      </c>
      <c r="AH1829" s="3684" t="s">
        <v>206</v>
      </c>
      <c r="AI1829" s="3684">
        <v>44010</v>
      </c>
      <c r="AJ1829" s="3684" t="s">
        <v>171</v>
      </c>
      <c r="AK1829" s="3684" t="s">
        <v>171</v>
      </c>
      <c r="AL1829" s="3684">
        <v>354000</v>
      </c>
      <c r="AM1829" s="3684">
        <v>44010</v>
      </c>
      <c r="AN1829" s="3684">
        <f t="shared" si="403"/>
        <v>354000</v>
      </c>
      <c r="AO1829" s="3684">
        <v>44020</v>
      </c>
      <c r="AP1829" s="3684">
        <f t="shared" si="404"/>
        <v>0</v>
      </c>
      <c r="AQ1829" s="3814" t="s">
        <v>1463</v>
      </c>
      <c r="AR1829" s="5055" t="s">
        <v>3309</v>
      </c>
      <c r="AS1829" s="5060" t="s">
        <v>1824</v>
      </c>
      <c r="AT1829" s="3684" t="s">
        <v>171</v>
      </c>
      <c r="AU1829" s="3684">
        <f>SUM(AG1829:AG1832)</f>
        <v>1784282.9</v>
      </c>
      <c r="AV1829" s="3684">
        <f>SUM(AL1829:AL1832)</f>
        <v>1784282.9</v>
      </c>
      <c r="AW1829" s="3684">
        <f>SUM(AN1829:AN1832)</f>
        <v>1784282.9</v>
      </c>
      <c r="AX1829" s="3684">
        <f>M1829-AU1829</f>
        <v>0</v>
      </c>
      <c r="AY1829" s="3684">
        <f>AU1829-AV1829</f>
        <v>0</v>
      </c>
      <c r="AZ1829" s="3684">
        <f>AV1829-AW1829</f>
        <v>0</v>
      </c>
      <c r="BA1829" s="3684"/>
      <c r="BB1829" s="3684"/>
      <c r="BC1829" s="3684"/>
      <c r="BD1829" s="3684">
        <v>354000</v>
      </c>
      <c r="BE1829" s="3684"/>
      <c r="BF1829" s="3684"/>
      <c r="BG1829" s="3684"/>
      <c r="BH1829" s="3684"/>
      <c r="BI1829" s="3684"/>
      <c r="BJ1829" s="3684"/>
      <c r="BK1829" s="3684"/>
      <c r="BL1829" s="3684"/>
      <c r="BM1829" s="3684"/>
      <c r="BN1829" s="3684"/>
      <c r="BO1829" s="3684"/>
      <c r="BP1829" s="3684"/>
      <c r="BQ1829" s="3684"/>
      <c r="BR1829" s="3684">
        <v>354000</v>
      </c>
      <c r="BS1829" s="3684"/>
      <c r="BT1829" s="3684"/>
      <c r="BU1829" s="3684"/>
      <c r="BV1829" s="3684"/>
      <c r="BW1829" s="3684"/>
      <c r="BX1829" s="3684"/>
      <c r="BY1829" s="3684"/>
      <c r="BZ1829" s="3684"/>
      <c r="CA1829" s="3684"/>
      <c r="CB1829" s="3684"/>
      <c r="CC1829" s="3814" t="s">
        <v>124</v>
      </c>
      <c r="CD1829" s="3662" t="s">
        <v>154</v>
      </c>
      <c r="CE1829" s="6802"/>
      <c r="CF1829" s="6802"/>
      <c r="CG1829" s="6802"/>
      <c r="CH1829" s="6802"/>
    </row>
    <row r="1830" s="4992" customFormat="1" ht="46" spans="1:86">
      <c r="A1830" s="3684"/>
      <c r="B1830" s="3684"/>
      <c r="C1830" s="3684"/>
      <c r="D1830" s="5060"/>
      <c r="E1830" s="5060"/>
      <c r="F1830" s="5060"/>
      <c r="G1830" s="5060"/>
      <c r="H1830" s="3684"/>
      <c r="I1830" s="1837"/>
      <c r="J1830" s="5060"/>
      <c r="K1830" s="5060"/>
      <c r="L1830" s="5060"/>
      <c r="M1830" s="3684"/>
      <c r="N1830" s="2678"/>
      <c r="O1830" s="2678"/>
      <c r="P1830" s="2678"/>
      <c r="Q1830" s="2678"/>
      <c r="R1830" s="2678"/>
      <c r="S1830" s="2678"/>
      <c r="T1830" s="2678"/>
      <c r="U1830" s="2678"/>
      <c r="V1830" s="2678"/>
      <c r="W1830" s="2678"/>
      <c r="X1830" s="2678"/>
      <c r="Y1830" s="2678"/>
      <c r="Z1830" s="2678"/>
      <c r="AA1830" s="2678"/>
      <c r="AB1830" s="5667"/>
      <c r="AC1830" s="3684" t="s">
        <v>1057</v>
      </c>
      <c r="AD1830" s="5388" t="s">
        <v>3310</v>
      </c>
      <c r="AE1830" s="5055">
        <v>0.3</v>
      </c>
      <c r="AF1830" s="3684">
        <v>531000</v>
      </c>
      <c r="AG1830" s="3684">
        <f t="shared" si="402"/>
        <v>531000</v>
      </c>
      <c r="AH1830" s="3814" t="s">
        <v>206</v>
      </c>
      <c r="AI1830" s="3684">
        <v>44020</v>
      </c>
      <c r="AJ1830" s="6808" t="s">
        <v>171</v>
      </c>
      <c r="AK1830" s="6808" t="s">
        <v>171</v>
      </c>
      <c r="AL1830" s="3684">
        <v>531000</v>
      </c>
      <c r="AM1830" s="3684">
        <v>44020</v>
      </c>
      <c r="AN1830" s="3684">
        <f t="shared" si="403"/>
        <v>531000</v>
      </c>
      <c r="AO1830" s="3684">
        <v>44063</v>
      </c>
      <c r="AP1830" s="3684">
        <f t="shared" si="404"/>
        <v>0</v>
      </c>
      <c r="AQ1830" s="3684"/>
      <c r="AR1830" s="5055" t="s">
        <v>3309</v>
      </c>
      <c r="AS1830" s="5060" t="s">
        <v>3311</v>
      </c>
      <c r="AT1830" s="3684" t="s">
        <v>171</v>
      </c>
      <c r="AU1830" s="3684"/>
      <c r="AV1830" s="3684"/>
      <c r="AW1830" s="3684"/>
      <c r="AX1830" s="3684"/>
      <c r="AY1830" s="3684"/>
      <c r="AZ1830" s="3684"/>
      <c r="BA1830" s="3684"/>
      <c r="BB1830" s="3684"/>
      <c r="BC1830" s="3684"/>
      <c r="BD1830" s="3684">
        <v>531000</v>
      </c>
      <c r="BE1830" s="3684"/>
      <c r="BF1830" s="3684"/>
      <c r="BG1830" s="3684"/>
      <c r="BH1830" s="3684"/>
      <c r="BI1830" s="3684"/>
      <c r="BJ1830" s="3684"/>
      <c r="BK1830" s="3684"/>
      <c r="BL1830" s="3684"/>
      <c r="BM1830" s="3684"/>
      <c r="BN1830" s="3684"/>
      <c r="BO1830" s="3708"/>
      <c r="BP1830" s="3708"/>
      <c r="BQ1830" s="3708"/>
      <c r="BR1830" s="3684">
        <v>531000</v>
      </c>
      <c r="BS1830" s="3708"/>
      <c r="BT1830" s="3708"/>
      <c r="BU1830" s="3708"/>
      <c r="BV1830" s="3708"/>
      <c r="BW1830" s="3708"/>
      <c r="BX1830" s="3708"/>
      <c r="BY1830" s="3708"/>
      <c r="BZ1830" s="3708"/>
      <c r="CA1830" s="3708"/>
      <c r="CB1830" s="3708"/>
      <c r="CC1830" s="3662"/>
      <c r="CD1830" s="3662"/>
      <c r="CE1830" s="6802"/>
      <c r="CF1830" s="6802"/>
      <c r="CG1830" s="6802"/>
      <c r="CH1830" s="6802"/>
    </row>
    <row r="1831" s="4992" customFormat="1" ht="46" spans="1:86">
      <c r="A1831" s="3684"/>
      <c r="B1831" s="3684"/>
      <c r="C1831" s="3684"/>
      <c r="D1831" s="5060"/>
      <c r="E1831" s="5060"/>
      <c r="F1831" s="5060"/>
      <c r="G1831" s="5060"/>
      <c r="H1831" s="3684"/>
      <c r="I1831" s="1837"/>
      <c r="J1831" s="5060"/>
      <c r="K1831" s="5060"/>
      <c r="L1831" s="5060"/>
      <c r="M1831" s="3684"/>
      <c r="N1831" s="2678"/>
      <c r="O1831" s="2678"/>
      <c r="P1831" s="2678"/>
      <c r="Q1831" s="2678"/>
      <c r="R1831" s="2678"/>
      <c r="S1831" s="2678"/>
      <c r="T1831" s="2678"/>
      <c r="U1831" s="2678"/>
      <c r="V1831" s="2678"/>
      <c r="W1831" s="2678"/>
      <c r="X1831" s="2678"/>
      <c r="Y1831" s="2678"/>
      <c r="Z1831" s="2678"/>
      <c r="AA1831" s="2678"/>
      <c r="AB1831" s="5667"/>
      <c r="AC1831" s="3684" t="s">
        <v>1059</v>
      </c>
      <c r="AD1831" s="5388" t="s">
        <v>3312</v>
      </c>
      <c r="AE1831" s="5055">
        <v>0.3</v>
      </c>
      <c r="AF1831" s="3684">
        <v>531000</v>
      </c>
      <c r="AG1831" s="3684">
        <f t="shared" si="402"/>
        <v>531000</v>
      </c>
      <c r="AH1831" s="3814" t="s">
        <v>206</v>
      </c>
      <c r="AI1831" s="3684">
        <v>44020</v>
      </c>
      <c r="AJ1831" s="6808" t="s">
        <v>171</v>
      </c>
      <c r="AK1831" s="6808" t="s">
        <v>171</v>
      </c>
      <c r="AL1831" s="3684">
        <v>531000</v>
      </c>
      <c r="AM1831" s="3684">
        <v>44020</v>
      </c>
      <c r="AN1831" s="3684">
        <f t="shared" si="403"/>
        <v>531000</v>
      </c>
      <c r="AO1831" s="3684">
        <v>44063</v>
      </c>
      <c r="AP1831" s="3684">
        <f t="shared" si="404"/>
        <v>0</v>
      </c>
      <c r="AQ1831" s="3684"/>
      <c r="AR1831" s="5055" t="s">
        <v>3309</v>
      </c>
      <c r="AS1831" s="5060"/>
      <c r="AT1831" s="3684" t="s">
        <v>171</v>
      </c>
      <c r="AU1831" s="3684"/>
      <c r="AV1831" s="3684"/>
      <c r="AW1831" s="3684"/>
      <c r="AX1831" s="3684"/>
      <c r="AY1831" s="3684"/>
      <c r="AZ1831" s="3684"/>
      <c r="BA1831" s="3684"/>
      <c r="BB1831" s="3684"/>
      <c r="BC1831" s="3684"/>
      <c r="BD1831" s="3684">
        <v>531000</v>
      </c>
      <c r="BE1831" s="3684"/>
      <c r="BF1831" s="3684"/>
      <c r="BG1831" s="3684"/>
      <c r="BH1831" s="3684"/>
      <c r="BI1831" s="3684"/>
      <c r="BJ1831" s="3684"/>
      <c r="BK1831" s="3684"/>
      <c r="BL1831" s="3684"/>
      <c r="BM1831" s="3684"/>
      <c r="BN1831" s="3684"/>
      <c r="BO1831" s="3708"/>
      <c r="BP1831" s="3708"/>
      <c r="BQ1831" s="3708"/>
      <c r="BR1831" s="3684">
        <v>531000</v>
      </c>
      <c r="BS1831" s="3708"/>
      <c r="BT1831" s="3708"/>
      <c r="BU1831" s="3708"/>
      <c r="BV1831" s="3708"/>
      <c r="BW1831" s="3708"/>
      <c r="BX1831" s="3708"/>
      <c r="BY1831" s="3708"/>
      <c r="BZ1831" s="3708"/>
      <c r="CA1831" s="3708"/>
      <c r="CB1831" s="3708"/>
      <c r="CC1831" s="3662"/>
      <c r="CD1831" s="3662"/>
      <c r="CE1831" s="6802"/>
      <c r="CF1831" s="6802"/>
      <c r="CG1831" s="6802"/>
      <c r="CH1831" s="6802"/>
    </row>
    <row r="1832" s="4992" customFormat="1" ht="43.5" customHeight="1" spans="1:86">
      <c r="A1832" s="3684"/>
      <c r="B1832" s="3684"/>
      <c r="C1832" s="3684"/>
      <c r="D1832" s="5060"/>
      <c r="E1832" s="5060"/>
      <c r="F1832" s="5060"/>
      <c r="G1832" s="5060"/>
      <c r="H1832" s="3684"/>
      <c r="I1832" s="4830"/>
      <c r="J1832" s="5060"/>
      <c r="K1832" s="5060"/>
      <c r="L1832" s="5060"/>
      <c r="M1832" s="3684"/>
      <c r="N1832" s="2678"/>
      <c r="O1832" s="2678"/>
      <c r="P1832" s="2678"/>
      <c r="Q1832" s="2678"/>
      <c r="R1832" s="2678"/>
      <c r="S1832" s="2678"/>
      <c r="T1832" s="2678"/>
      <c r="U1832" s="2678"/>
      <c r="V1832" s="2678"/>
      <c r="W1832" s="2678"/>
      <c r="X1832" s="2678"/>
      <c r="Y1832" s="2678"/>
      <c r="Z1832" s="2678"/>
      <c r="AA1832" s="2678"/>
      <c r="AB1832" s="5667"/>
      <c r="AC1832" s="3684" t="s">
        <v>1061</v>
      </c>
      <c r="AD1832" s="5388" t="s">
        <v>3313</v>
      </c>
      <c r="AE1832" s="5055">
        <v>0.2</v>
      </c>
      <c r="AF1832" s="3684">
        <v>368282.9</v>
      </c>
      <c r="AG1832" s="3684">
        <f t="shared" si="402"/>
        <v>368282.9</v>
      </c>
      <c r="AH1832" s="3814" t="s">
        <v>206</v>
      </c>
      <c r="AI1832" s="3684">
        <v>44130</v>
      </c>
      <c r="AJ1832" s="3684">
        <v>368282.9</v>
      </c>
      <c r="AK1832" s="3684">
        <v>44135</v>
      </c>
      <c r="AL1832" s="3684">
        <v>368282.9</v>
      </c>
      <c r="AM1832" s="3684">
        <v>44130</v>
      </c>
      <c r="AN1832" s="3684">
        <f t="shared" si="403"/>
        <v>368282.9</v>
      </c>
      <c r="AO1832" s="3684">
        <v>44174</v>
      </c>
      <c r="AP1832" s="3684">
        <f t="shared" si="404"/>
        <v>0</v>
      </c>
      <c r="AQ1832" s="3684"/>
      <c r="AR1832" s="5055" t="s">
        <v>3309</v>
      </c>
      <c r="AS1832" s="5055" t="s">
        <v>3314</v>
      </c>
      <c r="AT1832" s="3684" t="s">
        <v>171</v>
      </c>
      <c r="AU1832" s="3684"/>
      <c r="AV1832" s="3684"/>
      <c r="AW1832" s="3684"/>
      <c r="AX1832" s="3684"/>
      <c r="AY1832" s="3684"/>
      <c r="AZ1832" s="3684"/>
      <c r="BA1832" s="3684"/>
      <c r="BB1832" s="3684"/>
      <c r="BC1832" s="3684"/>
      <c r="BD1832" s="3684">
        <v>368282.9</v>
      </c>
      <c r="BE1832" s="3684"/>
      <c r="BF1832" s="3684"/>
      <c r="BG1832" s="3684"/>
      <c r="BH1832" s="3684"/>
      <c r="BI1832" s="3684"/>
      <c r="BJ1832" s="3684"/>
      <c r="BK1832" s="3684"/>
      <c r="BL1832" s="3684"/>
      <c r="BM1832" s="3684"/>
      <c r="BN1832" s="3684"/>
      <c r="BO1832" s="3708"/>
      <c r="BP1832" s="3708"/>
      <c r="BQ1832" s="3708"/>
      <c r="BR1832" s="3684">
        <v>368282.9</v>
      </c>
      <c r="BS1832" s="3708"/>
      <c r="BT1832" s="3708"/>
      <c r="BU1832" s="3708"/>
      <c r="BV1832" s="3708"/>
      <c r="BW1832" s="3708"/>
      <c r="BX1832" s="3708"/>
      <c r="BY1832" s="3708"/>
      <c r="BZ1832" s="3708"/>
      <c r="CA1832" s="3708"/>
      <c r="CB1832" s="3708"/>
      <c r="CC1832" s="3662"/>
      <c r="CD1832" s="3662"/>
      <c r="CE1832" s="6802"/>
      <c r="CF1832" s="6802"/>
      <c r="CG1832" s="6802"/>
      <c r="CH1832" s="6802"/>
    </row>
    <row r="1833" s="4995" customFormat="1" ht="43.5" customHeight="1" spans="1:86">
      <c r="A1833" s="2678"/>
      <c r="B1833" s="600" t="s">
        <v>1003</v>
      </c>
      <c r="C1833" s="2957">
        <v>44923</v>
      </c>
      <c r="D1833" s="440" t="s">
        <v>3315</v>
      </c>
      <c r="E1833" s="5196" t="s">
        <v>3316</v>
      </c>
      <c r="F1833" s="440" t="s">
        <v>3317</v>
      </c>
      <c r="G1833" s="440" t="s">
        <v>3318</v>
      </c>
      <c r="H1833" s="600" t="s">
        <v>3319</v>
      </c>
      <c r="I1833" s="905"/>
      <c r="J1833" s="440" t="s">
        <v>1068</v>
      </c>
      <c r="K1833" s="5196">
        <v>60712.2</v>
      </c>
      <c r="L1833" s="5196"/>
      <c r="M1833" s="2957">
        <f>SUM(N1833:AA1838)</f>
        <v>1795876.3</v>
      </c>
      <c r="N1833" s="2957"/>
      <c r="O1833" s="2957"/>
      <c r="P1833" s="2957"/>
      <c r="Q1833" s="2957"/>
      <c r="R1833" s="2957"/>
      <c r="S1833" s="2957"/>
      <c r="T1833" s="2957"/>
      <c r="U1833" s="2957"/>
      <c r="V1833" s="2957"/>
      <c r="W1833" s="2957"/>
      <c r="X1833" s="2957"/>
      <c r="Y1833" s="2957"/>
      <c r="Z1833" s="2957"/>
      <c r="AA1833" s="2957">
        <v>1795876.3</v>
      </c>
      <c r="AB1833" s="440" t="s">
        <v>126</v>
      </c>
      <c r="AC1833" s="600" t="s">
        <v>1055</v>
      </c>
      <c r="AD1833" s="5392" t="s">
        <v>3320</v>
      </c>
      <c r="AE1833" s="440">
        <v>0.2</v>
      </c>
      <c r="AF1833" s="2957">
        <f>M1833*AE1833</f>
        <v>359175.26</v>
      </c>
      <c r="AG1833" s="5472">
        <f t="shared" si="402"/>
        <v>359175.26</v>
      </c>
      <c r="AH1833" s="600" t="s">
        <v>122</v>
      </c>
      <c r="AI1833" s="2957">
        <v>44930</v>
      </c>
      <c r="AJ1833" s="2957">
        <v>359175.26</v>
      </c>
      <c r="AK1833" s="2957">
        <v>44930</v>
      </c>
      <c r="AL1833" s="2957">
        <v>359175.26</v>
      </c>
      <c r="AM1833" s="2957">
        <v>44930</v>
      </c>
      <c r="AN1833" s="5472">
        <f t="shared" si="403"/>
        <v>359175.26</v>
      </c>
      <c r="AO1833" s="2957">
        <v>44939</v>
      </c>
      <c r="AP1833" s="5472">
        <f t="shared" ref="AP1833:AP1839" si="405">AG1833-AN1833</f>
        <v>0</v>
      </c>
      <c r="AQ1833" s="2957"/>
      <c r="AR1833" s="440"/>
      <c r="AS1833" s="440"/>
      <c r="AT1833" s="2957"/>
      <c r="AU1833" s="5472"/>
      <c r="AV1833" s="5472"/>
      <c r="AW1833" s="5472"/>
      <c r="AX1833" s="5472"/>
      <c r="AY1833" s="5472"/>
      <c r="AZ1833" s="5472"/>
      <c r="BA1833" s="2957"/>
      <c r="BB1833" s="2957"/>
      <c r="BC1833" s="2957"/>
      <c r="BD1833" s="2957"/>
      <c r="BE1833" s="2957"/>
      <c r="BF1833" s="2957"/>
      <c r="BG1833" s="2957"/>
      <c r="BH1833" s="2957"/>
      <c r="BI1833" s="2957"/>
      <c r="BJ1833" s="2957"/>
      <c r="BK1833" s="2957"/>
      <c r="BL1833" s="2957"/>
      <c r="BM1833" s="2957"/>
      <c r="BN1833" s="2957">
        <v>359175.26</v>
      </c>
      <c r="BO1833" s="5395"/>
      <c r="BP1833" s="5395"/>
      <c r="BQ1833" s="5395"/>
      <c r="BR1833" s="2957"/>
      <c r="BS1833" s="5395"/>
      <c r="BT1833" s="5395"/>
      <c r="BU1833" s="5395"/>
      <c r="BV1833" s="5395"/>
      <c r="BW1833" s="5395"/>
      <c r="BX1833" s="5395"/>
      <c r="BY1833" s="5395"/>
      <c r="BZ1833" s="5395"/>
      <c r="CA1833" s="5395"/>
      <c r="CB1833" s="2957">
        <v>359175.26</v>
      </c>
      <c r="CC1833" s="2682"/>
      <c r="CD1833" s="2682"/>
      <c r="CE1833" s="6812"/>
      <c r="CF1833" s="6812"/>
      <c r="CG1833" s="6812"/>
      <c r="CH1833" s="6812"/>
    </row>
    <row r="1834" s="4995" customFormat="1" ht="43.5" customHeight="1" spans="1:86">
      <c r="A1834" s="2678"/>
      <c r="B1834" s="600"/>
      <c r="C1834" s="2957"/>
      <c r="D1834" s="5196"/>
      <c r="E1834" s="5196"/>
      <c r="F1834" s="440"/>
      <c r="G1834" s="5196"/>
      <c r="H1834" s="2957"/>
      <c r="I1834" s="906"/>
      <c r="J1834" s="5196"/>
      <c r="K1834" s="5196"/>
      <c r="L1834" s="5196"/>
      <c r="M1834" s="2957"/>
      <c r="N1834" s="2957"/>
      <c r="O1834" s="2957"/>
      <c r="P1834" s="2957"/>
      <c r="Q1834" s="2957"/>
      <c r="R1834" s="2957"/>
      <c r="S1834" s="2957"/>
      <c r="T1834" s="2957"/>
      <c r="U1834" s="2957"/>
      <c r="V1834" s="2957"/>
      <c r="W1834" s="2957"/>
      <c r="X1834" s="2957"/>
      <c r="Y1834" s="2957"/>
      <c r="Z1834" s="2957"/>
      <c r="AA1834" s="2957"/>
      <c r="AB1834" s="5196"/>
      <c r="AC1834" s="600" t="s">
        <v>1057</v>
      </c>
      <c r="AD1834" s="5392" t="s">
        <v>3321</v>
      </c>
      <c r="AE1834" s="440">
        <v>0.3</v>
      </c>
      <c r="AF1834" s="2957">
        <f>M1833*AE1834</f>
        <v>538762.89</v>
      </c>
      <c r="AG1834" s="5472">
        <f t="shared" si="402"/>
        <v>538762.89</v>
      </c>
      <c r="AH1834" s="600" t="s">
        <v>122</v>
      </c>
      <c r="AI1834" s="2957">
        <v>44973</v>
      </c>
      <c r="AJ1834" s="2957">
        <v>538762.89</v>
      </c>
      <c r="AK1834" s="2957">
        <v>44973</v>
      </c>
      <c r="AL1834" s="2957">
        <v>538762.89</v>
      </c>
      <c r="AM1834" s="2957">
        <v>44973</v>
      </c>
      <c r="AN1834" s="5472">
        <f t="shared" si="403"/>
        <v>538762.89</v>
      </c>
      <c r="AO1834" s="2957">
        <v>44984</v>
      </c>
      <c r="AP1834" s="5472">
        <f t="shared" si="405"/>
        <v>0</v>
      </c>
      <c r="AQ1834" s="2957"/>
      <c r="AR1834" s="440"/>
      <c r="AS1834" s="440"/>
      <c r="AT1834" s="2957"/>
      <c r="AU1834" s="5472"/>
      <c r="AV1834" s="5472"/>
      <c r="AW1834" s="5472"/>
      <c r="AX1834" s="5472"/>
      <c r="AY1834" s="5472"/>
      <c r="AZ1834" s="5472"/>
      <c r="BA1834" s="2957"/>
      <c r="BB1834" s="2957"/>
      <c r="BC1834" s="2957"/>
      <c r="BD1834" s="2957"/>
      <c r="BE1834" s="2957"/>
      <c r="BF1834" s="2957"/>
      <c r="BG1834" s="2957"/>
      <c r="BH1834" s="2957"/>
      <c r="BI1834" s="2957"/>
      <c r="BJ1834" s="2957"/>
      <c r="BK1834" s="2957"/>
      <c r="BL1834" s="2957"/>
      <c r="BM1834" s="2957"/>
      <c r="BN1834" s="2957">
        <v>538762.89</v>
      </c>
      <c r="BO1834" s="5395"/>
      <c r="BP1834" s="5395"/>
      <c r="BQ1834" s="5395"/>
      <c r="BR1834" s="2957"/>
      <c r="BS1834" s="5395"/>
      <c r="BT1834" s="5395"/>
      <c r="BU1834" s="5395"/>
      <c r="BV1834" s="5395"/>
      <c r="BW1834" s="5395"/>
      <c r="BX1834" s="5395"/>
      <c r="BY1834" s="5395"/>
      <c r="BZ1834" s="5395"/>
      <c r="CA1834" s="5395"/>
      <c r="CB1834" s="2957">
        <v>538762.89</v>
      </c>
      <c r="CC1834" s="2682"/>
      <c r="CD1834" s="2682"/>
      <c r="CE1834" s="6812"/>
      <c r="CF1834" s="6812"/>
      <c r="CG1834" s="6812"/>
      <c r="CH1834" s="6812"/>
    </row>
    <row r="1835" s="4995" customFormat="1" ht="43.5" customHeight="1" spans="1:86">
      <c r="A1835" s="2678"/>
      <c r="B1835" s="600"/>
      <c r="C1835" s="2957"/>
      <c r="D1835" s="5196"/>
      <c r="E1835" s="5196"/>
      <c r="F1835" s="440"/>
      <c r="G1835" s="5196"/>
      <c r="H1835" s="2957"/>
      <c r="I1835" s="906"/>
      <c r="J1835" s="5196"/>
      <c r="K1835" s="5196"/>
      <c r="L1835" s="5196"/>
      <c r="M1835" s="2957"/>
      <c r="N1835" s="2957"/>
      <c r="O1835" s="2957"/>
      <c r="P1835" s="2957"/>
      <c r="Q1835" s="2957"/>
      <c r="R1835" s="2957"/>
      <c r="S1835" s="2957"/>
      <c r="T1835" s="2957"/>
      <c r="U1835" s="2957"/>
      <c r="V1835" s="2957"/>
      <c r="W1835" s="2957"/>
      <c r="X1835" s="2957"/>
      <c r="Y1835" s="2957"/>
      <c r="Z1835" s="2957"/>
      <c r="AA1835" s="2957"/>
      <c r="AB1835" s="5196"/>
      <c r="AC1835" s="600" t="s">
        <v>1059</v>
      </c>
      <c r="AD1835" s="5392" t="s">
        <v>3322</v>
      </c>
      <c r="AE1835" s="440">
        <v>0.2</v>
      </c>
      <c r="AF1835" s="2957">
        <f>M1833*AE1835</f>
        <v>359175.26</v>
      </c>
      <c r="AG1835" s="5472">
        <f t="shared" si="402"/>
        <v>359175.26</v>
      </c>
      <c r="AH1835" s="600" t="s">
        <v>122</v>
      </c>
      <c r="AI1835" s="2957">
        <v>44973</v>
      </c>
      <c r="AJ1835" s="2957">
        <v>359175.26</v>
      </c>
      <c r="AK1835" s="2957">
        <v>44973</v>
      </c>
      <c r="AL1835" s="2957">
        <v>359175.26</v>
      </c>
      <c r="AM1835" s="2957">
        <v>44973</v>
      </c>
      <c r="AN1835" s="5472">
        <f t="shared" si="403"/>
        <v>359175.26</v>
      </c>
      <c r="AO1835" s="2957">
        <v>44984</v>
      </c>
      <c r="AP1835" s="5472">
        <f t="shared" si="405"/>
        <v>0</v>
      </c>
      <c r="AQ1835" s="2957"/>
      <c r="AR1835" s="440"/>
      <c r="AS1835" s="440"/>
      <c r="AT1835" s="2957"/>
      <c r="AU1835" s="5472"/>
      <c r="AV1835" s="5472"/>
      <c r="AW1835" s="5472"/>
      <c r="AX1835" s="5472"/>
      <c r="AY1835" s="5472"/>
      <c r="AZ1835" s="5472"/>
      <c r="BA1835" s="2957"/>
      <c r="BB1835" s="2957"/>
      <c r="BC1835" s="2957"/>
      <c r="BD1835" s="2957"/>
      <c r="BE1835" s="2957"/>
      <c r="BF1835" s="2957"/>
      <c r="BG1835" s="2957"/>
      <c r="BH1835" s="2957"/>
      <c r="BI1835" s="2957"/>
      <c r="BJ1835" s="2957"/>
      <c r="BK1835" s="2957"/>
      <c r="BL1835" s="2957"/>
      <c r="BM1835" s="2957"/>
      <c r="BN1835" s="2957">
        <v>359175.26</v>
      </c>
      <c r="BO1835" s="5395"/>
      <c r="BP1835" s="5395"/>
      <c r="BQ1835" s="5395"/>
      <c r="BR1835" s="2957"/>
      <c r="BS1835" s="5395"/>
      <c r="BT1835" s="5395"/>
      <c r="BU1835" s="5395"/>
      <c r="BV1835" s="5395"/>
      <c r="BW1835" s="5395"/>
      <c r="BX1835" s="5395"/>
      <c r="BY1835" s="5395"/>
      <c r="BZ1835" s="5395"/>
      <c r="CA1835" s="5395"/>
      <c r="CB1835" s="2957">
        <v>359175.26</v>
      </c>
      <c r="CC1835" s="2682"/>
      <c r="CD1835" s="2682"/>
      <c r="CE1835" s="6812"/>
      <c r="CF1835" s="6812"/>
      <c r="CG1835" s="6812"/>
      <c r="CH1835" s="6812"/>
    </row>
    <row r="1836" s="4995" customFormat="1" ht="61" spans="1:86">
      <c r="A1836" s="2678"/>
      <c r="B1836" s="600"/>
      <c r="C1836" s="2957"/>
      <c r="D1836" s="5196"/>
      <c r="E1836" s="5196"/>
      <c r="F1836" s="440"/>
      <c r="G1836" s="5196"/>
      <c r="H1836" s="2957"/>
      <c r="I1836" s="906"/>
      <c r="J1836" s="5196"/>
      <c r="K1836" s="5196"/>
      <c r="L1836" s="5196"/>
      <c r="M1836" s="2957"/>
      <c r="N1836" s="2957"/>
      <c r="O1836" s="2957"/>
      <c r="P1836" s="2957"/>
      <c r="Q1836" s="2957"/>
      <c r="R1836" s="2957"/>
      <c r="S1836" s="2957"/>
      <c r="T1836" s="2957"/>
      <c r="U1836" s="2957"/>
      <c r="V1836" s="2957"/>
      <c r="W1836" s="2957"/>
      <c r="X1836" s="2957"/>
      <c r="Y1836" s="2957"/>
      <c r="Z1836" s="2957"/>
      <c r="AA1836" s="2957"/>
      <c r="AB1836" s="5196"/>
      <c r="AC1836" s="600" t="s">
        <v>1061</v>
      </c>
      <c r="AD1836" s="5392" t="s">
        <v>3323</v>
      </c>
      <c r="AE1836" s="440">
        <v>0.15</v>
      </c>
      <c r="AF1836" s="2957">
        <f>M1833*AE1836</f>
        <v>269381.445</v>
      </c>
      <c r="AG1836" s="5472">
        <f t="shared" si="402"/>
        <v>269381.45</v>
      </c>
      <c r="AH1836" s="600" t="s">
        <v>122</v>
      </c>
      <c r="AI1836" s="2957">
        <v>45070</v>
      </c>
      <c r="AJ1836" s="2957">
        <v>269381.45</v>
      </c>
      <c r="AK1836" s="2957">
        <v>45070</v>
      </c>
      <c r="AL1836" s="2957">
        <v>269381.45</v>
      </c>
      <c r="AM1836" s="2957">
        <v>45070</v>
      </c>
      <c r="AN1836" s="5472">
        <f t="shared" si="403"/>
        <v>269381.45</v>
      </c>
      <c r="AO1836" s="2957">
        <v>45090</v>
      </c>
      <c r="AP1836" s="5472">
        <f t="shared" si="405"/>
        <v>0</v>
      </c>
      <c r="AQ1836" s="2957"/>
      <c r="AR1836" s="440"/>
      <c r="AS1836" s="440"/>
      <c r="AT1836" s="2957"/>
      <c r="AU1836" s="5472"/>
      <c r="AV1836" s="5472"/>
      <c r="AW1836" s="5472"/>
      <c r="AX1836" s="5472"/>
      <c r="AY1836" s="5472"/>
      <c r="AZ1836" s="5472"/>
      <c r="BA1836" s="2957"/>
      <c r="BB1836" s="2957"/>
      <c r="BC1836" s="2957"/>
      <c r="BD1836" s="2957"/>
      <c r="BE1836" s="2957"/>
      <c r="BF1836" s="2957"/>
      <c r="BG1836" s="2957"/>
      <c r="BH1836" s="2957"/>
      <c r="BI1836" s="2957"/>
      <c r="BJ1836" s="2957"/>
      <c r="BK1836" s="2957"/>
      <c r="BL1836" s="2957"/>
      <c r="BM1836" s="2957"/>
      <c r="BN1836" s="2957">
        <v>269381.45</v>
      </c>
      <c r="BO1836" s="5395"/>
      <c r="BP1836" s="5395"/>
      <c r="BQ1836" s="5395"/>
      <c r="BR1836" s="2957"/>
      <c r="BS1836" s="5395"/>
      <c r="BT1836" s="5395"/>
      <c r="BU1836" s="5395"/>
      <c r="BV1836" s="5395"/>
      <c r="BW1836" s="5395"/>
      <c r="BX1836" s="5395"/>
      <c r="BY1836" s="5395"/>
      <c r="BZ1836" s="5395"/>
      <c r="CA1836" s="5395"/>
      <c r="CB1836" s="2957">
        <v>269381.45</v>
      </c>
      <c r="CC1836" s="2682"/>
      <c r="CD1836" s="2682"/>
      <c r="CE1836" s="6812"/>
      <c r="CF1836" s="6812"/>
      <c r="CG1836" s="6812"/>
      <c r="CH1836" s="6812"/>
    </row>
    <row r="1837" s="4995" customFormat="1" ht="61" spans="1:86">
      <c r="A1837" s="2678"/>
      <c r="B1837" s="600"/>
      <c r="C1837" s="2957"/>
      <c r="D1837" s="5196"/>
      <c r="E1837" s="5196"/>
      <c r="F1837" s="440"/>
      <c r="G1837" s="5196"/>
      <c r="H1837" s="2957"/>
      <c r="I1837" s="906"/>
      <c r="J1837" s="5196"/>
      <c r="K1837" s="5196"/>
      <c r="L1837" s="5196"/>
      <c r="M1837" s="2957"/>
      <c r="N1837" s="2957"/>
      <c r="O1837" s="2957"/>
      <c r="P1837" s="2957"/>
      <c r="Q1837" s="2957"/>
      <c r="R1837" s="2957"/>
      <c r="S1837" s="2957"/>
      <c r="T1837" s="2957"/>
      <c r="U1837" s="2957"/>
      <c r="V1837" s="2957"/>
      <c r="W1837" s="2957"/>
      <c r="X1837" s="2957"/>
      <c r="Y1837" s="2957"/>
      <c r="Z1837" s="2957"/>
      <c r="AA1837" s="2957"/>
      <c r="AB1837" s="5196"/>
      <c r="AC1837" s="600" t="s">
        <v>1063</v>
      </c>
      <c r="AD1837" s="5392" t="s">
        <v>3324</v>
      </c>
      <c r="AE1837" s="440">
        <v>0.05</v>
      </c>
      <c r="AF1837" s="2957">
        <f>M1833*AE1837</f>
        <v>89793.815</v>
      </c>
      <c r="AG1837" s="5472">
        <f t="shared" si="402"/>
        <v>0</v>
      </c>
      <c r="AH1837" s="600"/>
      <c r="AI1837" s="2957"/>
      <c r="AJ1837" s="2957"/>
      <c r="AK1837" s="2957"/>
      <c r="AL1837" s="2957"/>
      <c r="AM1837" s="2957"/>
      <c r="AN1837" s="5472">
        <f t="shared" si="403"/>
        <v>0</v>
      </c>
      <c r="AO1837" s="2957"/>
      <c r="AP1837" s="5472">
        <f t="shared" si="405"/>
        <v>0</v>
      </c>
      <c r="AQ1837" s="2957"/>
      <c r="AR1837" s="440"/>
      <c r="AS1837" s="440"/>
      <c r="AT1837" s="2957"/>
      <c r="AU1837" s="5472"/>
      <c r="AV1837" s="5472"/>
      <c r="AW1837" s="5472"/>
      <c r="AX1837" s="5472"/>
      <c r="AY1837" s="5472"/>
      <c r="AZ1837" s="5472"/>
      <c r="BA1837" s="2957"/>
      <c r="BB1837" s="2957"/>
      <c r="BC1837" s="2957"/>
      <c r="BD1837" s="2957"/>
      <c r="BE1837" s="2957"/>
      <c r="BF1837" s="2957"/>
      <c r="BG1837" s="2957"/>
      <c r="BH1837" s="2957"/>
      <c r="BI1837" s="2957"/>
      <c r="BJ1837" s="2957"/>
      <c r="BK1837" s="2957"/>
      <c r="BL1837" s="2957"/>
      <c r="BM1837" s="2957"/>
      <c r="BN1837" s="2957"/>
      <c r="BO1837" s="5395"/>
      <c r="BP1837" s="5395"/>
      <c r="BQ1837" s="5395"/>
      <c r="BR1837" s="2957"/>
      <c r="BS1837" s="5395"/>
      <c r="BT1837" s="5395"/>
      <c r="BU1837" s="5395"/>
      <c r="BV1837" s="5395"/>
      <c r="BW1837" s="5395"/>
      <c r="BX1837" s="5395"/>
      <c r="BY1837" s="5395"/>
      <c r="BZ1837" s="5395"/>
      <c r="CA1837" s="5395"/>
      <c r="CB1837" s="5395"/>
      <c r="CC1837" s="2682"/>
      <c r="CD1837" s="2682"/>
      <c r="CE1837" s="6812"/>
      <c r="CF1837" s="6812"/>
      <c r="CG1837" s="6812"/>
      <c r="CH1837" s="6812"/>
    </row>
    <row r="1838" s="4995" customFormat="1" ht="76" spans="1:86">
      <c r="A1838" s="2678"/>
      <c r="B1838" s="600"/>
      <c r="C1838" s="2957"/>
      <c r="D1838" s="5196"/>
      <c r="E1838" s="5196"/>
      <c r="F1838" s="440"/>
      <c r="G1838" s="5196"/>
      <c r="H1838" s="2957"/>
      <c r="I1838" s="907"/>
      <c r="J1838" s="5196"/>
      <c r="K1838" s="5196"/>
      <c r="L1838" s="5196"/>
      <c r="M1838" s="2957"/>
      <c r="N1838" s="2957"/>
      <c r="O1838" s="2957"/>
      <c r="P1838" s="2957"/>
      <c r="Q1838" s="2957"/>
      <c r="R1838" s="2957"/>
      <c r="S1838" s="2957"/>
      <c r="T1838" s="2957"/>
      <c r="U1838" s="2957"/>
      <c r="V1838" s="2957"/>
      <c r="W1838" s="2957"/>
      <c r="X1838" s="2957"/>
      <c r="Y1838" s="2957"/>
      <c r="Z1838" s="2957"/>
      <c r="AA1838" s="2957"/>
      <c r="AB1838" s="5196"/>
      <c r="AC1838" s="600" t="s">
        <v>1621</v>
      </c>
      <c r="AD1838" s="5392" t="s">
        <v>3325</v>
      </c>
      <c r="AE1838" s="440">
        <v>0.1</v>
      </c>
      <c r="AF1838" s="2957">
        <f>M1833*AE1838</f>
        <v>179587.63</v>
      </c>
      <c r="AG1838" s="5472">
        <f t="shared" si="402"/>
        <v>0</v>
      </c>
      <c r="AH1838" s="600"/>
      <c r="AI1838" s="2957"/>
      <c r="AJ1838" s="2957"/>
      <c r="AK1838" s="2957"/>
      <c r="AL1838" s="2957"/>
      <c r="AM1838" s="2957"/>
      <c r="AN1838" s="5472">
        <f t="shared" si="403"/>
        <v>0</v>
      </c>
      <c r="AO1838" s="2957"/>
      <c r="AP1838" s="5472">
        <f t="shared" si="405"/>
        <v>0</v>
      </c>
      <c r="AQ1838" s="2957"/>
      <c r="AR1838" s="440"/>
      <c r="AS1838" s="440"/>
      <c r="AT1838" s="2957"/>
      <c r="AU1838" s="5472"/>
      <c r="AV1838" s="5472"/>
      <c r="AW1838" s="5472"/>
      <c r="AX1838" s="5472"/>
      <c r="AY1838" s="5472"/>
      <c r="AZ1838" s="5472"/>
      <c r="BA1838" s="2957"/>
      <c r="BB1838" s="2957"/>
      <c r="BC1838" s="2957"/>
      <c r="BD1838" s="2957"/>
      <c r="BE1838" s="2957"/>
      <c r="BF1838" s="2957"/>
      <c r="BG1838" s="2957"/>
      <c r="BH1838" s="2957"/>
      <c r="BI1838" s="2957"/>
      <c r="BJ1838" s="2957"/>
      <c r="BK1838" s="2957"/>
      <c r="BL1838" s="2957"/>
      <c r="BM1838" s="2957"/>
      <c r="BN1838" s="2957"/>
      <c r="BO1838" s="5395"/>
      <c r="BP1838" s="5395"/>
      <c r="BQ1838" s="5395"/>
      <c r="BR1838" s="2957"/>
      <c r="BS1838" s="5395"/>
      <c r="BT1838" s="5395"/>
      <c r="BU1838" s="5395"/>
      <c r="BV1838" s="5395"/>
      <c r="BW1838" s="5395"/>
      <c r="BX1838" s="5395"/>
      <c r="BY1838" s="5395"/>
      <c r="BZ1838" s="5395"/>
      <c r="CA1838" s="5395"/>
      <c r="CB1838" s="5395"/>
      <c r="CC1838" s="2682"/>
      <c r="CD1838" s="2682"/>
      <c r="CE1838" s="6812"/>
      <c r="CF1838" s="6812"/>
      <c r="CG1838" s="6812"/>
      <c r="CH1838" s="6812"/>
    </row>
    <row r="1839" s="4978" customFormat="1" ht="43.5" customHeight="1" spans="1:86">
      <c r="A1839" s="2678"/>
      <c r="B1839" s="600"/>
      <c r="C1839" s="6744">
        <v>44923</v>
      </c>
      <c r="D1839" s="6733" t="s">
        <v>3315</v>
      </c>
      <c r="E1839" s="6733" t="s">
        <v>3316</v>
      </c>
      <c r="F1839" s="6733" t="s">
        <v>3326</v>
      </c>
      <c r="G1839" s="6733" t="s">
        <v>3318</v>
      </c>
      <c r="H1839" s="1089" t="s">
        <v>3327</v>
      </c>
      <c r="I1839" s="1089"/>
      <c r="J1839" s="6733" t="s">
        <v>1068</v>
      </c>
      <c r="K1839" s="6748"/>
      <c r="L1839" s="6748"/>
      <c r="M1839" s="6744">
        <f>SUM(N1839:AA1849)</f>
        <v>780000</v>
      </c>
      <c r="N1839" s="6744"/>
      <c r="O1839" s="6744"/>
      <c r="P1839" s="6744"/>
      <c r="Q1839" s="6744"/>
      <c r="R1839" s="6744"/>
      <c r="S1839" s="6744"/>
      <c r="T1839" s="6744"/>
      <c r="U1839" s="6744"/>
      <c r="V1839" s="6744"/>
      <c r="W1839" s="6744"/>
      <c r="X1839" s="6744"/>
      <c r="Y1839" s="6744"/>
      <c r="Z1839" s="6744"/>
      <c r="AA1839" s="6744">
        <v>780000</v>
      </c>
      <c r="AB1839" s="6733" t="s">
        <v>126</v>
      </c>
      <c r="AC1839" s="1089" t="s">
        <v>2703</v>
      </c>
      <c r="AD1839" s="6733" t="s">
        <v>3328</v>
      </c>
      <c r="AE1839" s="6733">
        <v>0.1</v>
      </c>
      <c r="AF1839" s="6744">
        <f>AE1839*M1839</f>
        <v>78000</v>
      </c>
      <c r="AG1839" s="6744">
        <f t="shared" si="402"/>
        <v>78000</v>
      </c>
      <c r="AH1839" s="1089" t="s">
        <v>122</v>
      </c>
      <c r="AI1839" s="6744">
        <v>44973</v>
      </c>
      <c r="AJ1839" s="6744">
        <v>78000</v>
      </c>
      <c r="AK1839" s="6744">
        <v>44973</v>
      </c>
      <c r="AL1839" s="6744">
        <v>78000</v>
      </c>
      <c r="AM1839" s="6744">
        <v>44973</v>
      </c>
      <c r="AN1839" s="6744">
        <f t="shared" si="403"/>
        <v>78000</v>
      </c>
      <c r="AO1839" s="6744">
        <v>44984</v>
      </c>
      <c r="AP1839" s="6744">
        <f t="shared" si="405"/>
        <v>0</v>
      </c>
      <c r="AQ1839" s="6744"/>
      <c r="AR1839" s="6733"/>
      <c r="AS1839" s="6733"/>
      <c r="AT1839" s="6744"/>
      <c r="AU1839" s="6744"/>
      <c r="AV1839" s="6744"/>
      <c r="AW1839" s="6744"/>
      <c r="AX1839" s="6744"/>
      <c r="AY1839" s="6744"/>
      <c r="AZ1839" s="6744"/>
      <c r="BA1839" s="6744"/>
      <c r="BB1839" s="6744"/>
      <c r="BC1839" s="6744"/>
      <c r="BD1839" s="6744"/>
      <c r="BE1839" s="6744"/>
      <c r="BF1839" s="6744"/>
      <c r="BG1839" s="6744"/>
      <c r="BH1839" s="6744"/>
      <c r="BI1839" s="6744"/>
      <c r="BJ1839" s="6744"/>
      <c r="BK1839" s="6744"/>
      <c r="BL1839" s="6744"/>
      <c r="BM1839" s="6744"/>
      <c r="BN1839" s="6744">
        <v>78000</v>
      </c>
      <c r="BO1839" s="6809"/>
      <c r="BP1839" s="6809"/>
      <c r="BQ1839" s="6809"/>
      <c r="BR1839" s="6744"/>
      <c r="BS1839" s="6809"/>
      <c r="BT1839" s="6809"/>
      <c r="BU1839" s="6809"/>
      <c r="BV1839" s="6809"/>
      <c r="BW1839" s="6809"/>
      <c r="BX1839" s="6809"/>
      <c r="BY1839" s="6809"/>
      <c r="BZ1839" s="6809"/>
      <c r="CA1839" s="6809"/>
      <c r="CB1839" s="6744">
        <v>78000</v>
      </c>
      <c r="CC1839" s="2697"/>
      <c r="CD1839" s="2697"/>
      <c r="CE1839" s="5750"/>
      <c r="CF1839" s="5750"/>
      <c r="CG1839" s="5750"/>
      <c r="CH1839" s="5750"/>
    </row>
    <row r="1840" s="4978" customFormat="1" ht="43.5" customHeight="1" spans="1:86">
      <c r="A1840" s="2678"/>
      <c r="B1840" s="600"/>
      <c r="C1840" s="6744"/>
      <c r="D1840" s="6748"/>
      <c r="E1840" s="6733"/>
      <c r="F1840" s="6733"/>
      <c r="G1840" s="6748"/>
      <c r="H1840" s="6744"/>
      <c r="I1840" s="6744"/>
      <c r="J1840" s="6748"/>
      <c r="K1840" s="6748"/>
      <c r="L1840" s="6748"/>
      <c r="M1840" s="6744"/>
      <c r="N1840" s="6744"/>
      <c r="O1840" s="6744"/>
      <c r="P1840" s="6744"/>
      <c r="Q1840" s="6744"/>
      <c r="R1840" s="6744"/>
      <c r="S1840" s="6744"/>
      <c r="T1840" s="6744"/>
      <c r="U1840" s="6744"/>
      <c r="V1840" s="6744"/>
      <c r="W1840" s="6744"/>
      <c r="X1840" s="6744"/>
      <c r="Y1840" s="6744"/>
      <c r="Z1840" s="6744"/>
      <c r="AA1840" s="6744"/>
      <c r="AB1840" s="6748"/>
      <c r="AC1840" s="1089" t="s">
        <v>2704</v>
      </c>
      <c r="AD1840" s="6733" t="s">
        <v>3329</v>
      </c>
      <c r="AE1840" s="6733" t="s">
        <v>3330</v>
      </c>
      <c r="AF1840" s="6744">
        <v>122400</v>
      </c>
      <c r="AG1840" s="6744">
        <f t="shared" ref="AG1840:AG1850" si="406">SUM(BA1840:BN1840)</f>
        <v>122400</v>
      </c>
      <c r="AH1840" s="1089" t="s">
        <v>122</v>
      </c>
      <c r="AI1840" s="6744">
        <v>44973</v>
      </c>
      <c r="AJ1840" s="6744">
        <v>122400</v>
      </c>
      <c r="AK1840" s="6744">
        <v>44973</v>
      </c>
      <c r="AL1840" s="6744">
        <v>122400</v>
      </c>
      <c r="AM1840" s="6744">
        <v>44973</v>
      </c>
      <c r="AN1840" s="6744">
        <f t="shared" ref="AN1840:AN1850" si="407">SUM(BO1840:CB1840)</f>
        <v>122400</v>
      </c>
      <c r="AO1840" s="6744">
        <v>44984</v>
      </c>
      <c r="AP1840" s="6744">
        <f t="shared" ref="AP1840:AP1850" si="408">AG1840-AN1840</f>
        <v>0</v>
      </c>
      <c r="AQ1840" s="6744"/>
      <c r="AR1840" s="6733"/>
      <c r="AS1840" s="6733"/>
      <c r="AT1840" s="6744"/>
      <c r="AU1840" s="6744"/>
      <c r="AV1840" s="6744"/>
      <c r="AW1840" s="6744"/>
      <c r="AX1840" s="6744"/>
      <c r="AY1840" s="6744"/>
      <c r="AZ1840" s="6744"/>
      <c r="BA1840" s="6744"/>
      <c r="BB1840" s="6744"/>
      <c r="BC1840" s="6744"/>
      <c r="BD1840" s="6744"/>
      <c r="BE1840" s="6744"/>
      <c r="BF1840" s="6744"/>
      <c r="BG1840" s="6744"/>
      <c r="BH1840" s="6744"/>
      <c r="BI1840" s="6744"/>
      <c r="BJ1840" s="6744"/>
      <c r="BK1840" s="6744"/>
      <c r="BL1840" s="6744"/>
      <c r="BM1840" s="6744"/>
      <c r="BN1840" s="6744">
        <v>122400</v>
      </c>
      <c r="BO1840" s="6809"/>
      <c r="BP1840" s="6809"/>
      <c r="BQ1840" s="6809"/>
      <c r="BR1840" s="6744"/>
      <c r="BS1840" s="6809"/>
      <c r="BT1840" s="6809"/>
      <c r="BU1840" s="6809"/>
      <c r="BV1840" s="6809"/>
      <c r="BW1840" s="6809"/>
      <c r="BX1840" s="6809"/>
      <c r="BY1840" s="6809"/>
      <c r="BZ1840" s="6809"/>
      <c r="CA1840" s="6809"/>
      <c r="CB1840" s="6744">
        <v>122400</v>
      </c>
      <c r="CC1840" s="2697"/>
      <c r="CD1840" s="2697"/>
      <c r="CE1840" s="5750"/>
      <c r="CF1840" s="5750"/>
      <c r="CG1840" s="5750"/>
      <c r="CH1840" s="5750"/>
    </row>
    <row r="1841" s="4978" customFormat="1" ht="43.5" customHeight="1" spans="1:86">
      <c r="A1841" s="2678"/>
      <c r="B1841" s="600"/>
      <c r="C1841" s="6744"/>
      <c r="D1841" s="6748"/>
      <c r="E1841" s="6733"/>
      <c r="F1841" s="6733"/>
      <c r="G1841" s="6748"/>
      <c r="H1841" s="6744"/>
      <c r="I1841" s="6744"/>
      <c r="J1841" s="6748"/>
      <c r="K1841" s="6748"/>
      <c r="L1841" s="6748"/>
      <c r="M1841" s="6744"/>
      <c r="N1841" s="6744"/>
      <c r="O1841" s="6744"/>
      <c r="P1841" s="6744"/>
      <c r="Q1841" s="6744"/>
      <c r="R1841" s="6744"/>
      <c r="S1841" s="6744"/>
      <c r="T1841" s="6744"/>
      <c r="U1841" s="6744"/>
      <c r="V1841" s="6744"/>
      <c r="W1841" s="6744"/>
      <c r="X1841" s="6744"/>
      <c r="Y1841" s="6744"/>
      <c r="Z1841" s="6744"/>
      <c r="AA1841" s="6744"/>
      <c r="AB1841" s="6748"/>
      <c r="AC1841" s="1089" t="s">
        <v>2707</v>
      </c>
      <c r="AD1841" s="6733" t="s">
        <v>3331</v>
      </c>
      <c r="AE1841" s="6733" t="s">
        <v>3332</v>
      </c>
      <c r="AF1841" s="6744">
        <v>91800</v>
      </c>
      <c r="AG1841" s="6744">
        <f t="shared" si="406"/>
        <v>91800</v>
      </c>
      <c r="AH1841" s="1089" t="s">
        <v>122</v>
      </c>
      <c r="AI1841" s="6744">
        <v>45001</v>
      </c>
      <c r="AJ1841" s="6744">
        <v>91800</v>
      </c>
      <c r="AK1841" s="6744">
        <v>45001</v>
      </c>
      <c r="AL1841" s="6744">
        <v>91800</v>
      </c>
      <c r="AM1841" s="6744">
        <v>45001</v>
      </c>
      <c r="AN1841" s="6744">
        <v>91800</v>
      </c>
      <c r="AO1841" s="6744">
        <v>45013</v>
      </c>
      <c r="AP1841" s="6744">
        <f t="shared" si="408"/>
        <v>0</v>
      </c>
      <c r="AQ1841" s="6744"/>
      <c r="AR1841" s="6733"/>
      <c r="AS1841" s="6733"/>
      <c r="AT1841" s="6744"/>
      <c r="AU1841" s="6744"/>
      <c r="AV1841" s="6744"/>
      <c r="AW1841" s="6744"/>
      <c r="AX1841" s="6744"/>
      <c r="AY1841" s="6744"/>
      <c r="AZ1841" s="6744"/>
      <c r="BA1841" s="6744"/>
      <c r="BB1841" s="6744"/>
      <c r="BC1841" s="6744"/>
      <c r="BD1841" s="6744"/>
      <c r="BE1841" s="6744"/>
      <c r="BF1841" s="6744"/>
      <c r="BG1841" s="6744"/>
      <c r="BH1841" s="6744"/>
      <c r="BI1841" s="6744"/>
      <c r="BJ1841" s="6744"/>
      <c r="BK1841" s="6744"/>
      <c r="BL1841" s="6744"/>
      <c r="BM1841" s="6744"/>
      <c r="BN1841" s="6744">
        <v>91800</v>
      </c>
      <c r="BO1841" s="6809"/>
      <c r="BP1841" s="6809"/>
      <c r="BQ1841" s="6809"/>
      <c r="BR1841" s="6744"/>
      <c r="BS1841" s="6809"/>
      <c r="BT1841" s="6809"/>
      <c r="BU1841" s="6809"/>
      <c r="BV1841" s="6809"/>
      <c r="BW1841" s="6809"/>
      <c r="BX1841" s="6809"/>
      <c r="BY1841" s="6809"/>
      <c r="BZ1841" s="6809"/>
      <c r="CA1841" s="6809"/>
      <c r="CB1841" s="6744">
        <v>91800</v>
      </c>
      <c r="CC1841" s="2697"/>
      <c r="CD1841" s="2697"/>
      <c r="CE1841" s="5750"/>
      <c r="CF1841" s="5750"/>
      <c r="CG1841" s="5750"/>
      <c r="CH1841" s="5750"/>
    </row>
    <row r="1842" s="4978" customFormat="1" ht="43.5" customHeight="1" spans="1:86">
      <c r="A1842" s="2678"/>
      <c r="B1842" s="600"/>
      <c r="C1842" s="6744"/>
      <c r="D1842" s="6748"/>
      <c r="E1842" s="6733"/>
      <c r="F1842" s="6733"/>
      <c r="G1842" s="6748"/>
      <c r="H1842" s="6744"/>
      <c r="I1842" s="6744"/>
      <c r="J1842" s="6748"/>
      <c r="K1842" s="6748"/>
      <c r="L1842" s="6748"/>
      <c r="M1842" s="6744"/>
      <c r="N1842" s="6744"/>
      <c r="O1842" s="6744"/>
      <c r="P1842" s="6744"/>
      <c r="Q1842" s="6744"/>
      <c r="R1842" s="6744"/>
      <c r="S1842" s="6744"/>
      <c r="T1842" s="6744"/>
      <c r="U1842" s="6744"/>
      <c r="V1842" s="6744"/>
      <c r="W1842" s="6744"/>
      <c r="X1842" s="6744"/>
      <c r="Y1842" s="6744"/>
      <c r="Z1842" s="6744"/>
      <c r="AA1842" s="6744"/>
      <c r="AB1842" s="6748"/>
      <c r="AC1842" s="1089" t="s">
        <v>2709</v>
      </c>
      <c r="AD1842" s="6733" t="s">
        <v>3333</v>
      </c>
      <c r="AE1842" s="6733" t="s">
        <v>3334</v>
      </c>
      <c r="AF1842" s="6744">
        <v>30600</v>
      </c>
      <c r="AG1842" s="6744">
        <f t="shared" si="406"/>
        <v>30600</v>
      </c>
      <c r="AH1842" s="1089" t="s">
        <v>122</v>
      </c>
      <c r="AI1842" s="6744">
        <v>45287</v>
      </c>
      <c r="AJ1842" s="6744">
        <v>30600</v>
      </c>
      <c r="AK1842" s="6744">
        <v>45286</v>
      </c>
      <c r="AL1842" s="6744">
        <v>30600</v>
      </c>
      <c r="AM1842" s="6744">
        <v>45371</v>
      </c>
      <c r="AN1842" s="6744">
        <f t="shared" si="407"/>
        <v>30600</v>
      </c>
      <c r="AO1842" s="6744">
        <v>45397</v>
      </c>
      <c r="AP1842" s="6744">
        <f t="shared" si="408"/>
        <v>0</v>
      </c>
      <c r="AQ1842" s="6744"/>
      <c r="AR1842" s="6733"/>
      <c r="AS1842" s="6733"/>
      <c r="AT1842" s="6744"/>
      <c r="AU1842" s="6744"/>
      <c r="AV1842" s="6744"/>
      <c r="AW1842" s="6744"/>
      <c r="AX1842" s="6744"/>
      <c r="AY1842" s="6744"/>
      <c r="AZ1842" s="6744"/>
      <c r="BA1842" s="6744"/>
      <c r="BB1842" s="6744"/>
      <c r="BC1842" s="6744"/>
      <c r="BD1842" s="6809"/>
      <c r="BE1842" s="6809"/>
      <c r="BF1842" s="6744"/>
      <c r="BG1842" s="6744"/>
      <c r="BH1842" s="6744"/>
      <c r="BI1842" s="6744"/>
      <c r="BJ1842" s="6744"/>
      <c r="BK1842" s="6744"/>
      <c r="BL1842" s="6744"/>
      <c r="BM1842" s="6744"/>
      <c r="BN1842" s="6744">
        <v>30600</v>
      </c>
      <c r="BO1842" s="6809"/>
      <c r="BP1842" s="6809"/>
      <c r="BQ1842" s="6809"/>
      <c r="BR1842" s="6744"/>
      <c r="BS1842" s="6809"/>
      <c r="BT1842" s="6809"/>
      <c r="BU1842" s="6809"/>
      <c r="BV1842" s="6809"/>
      <c r="BW1842" s="6809"/>
      <c r="BX1842" s="6809"/>
      <c r="BY1842" s="6809"/>
      <c r="BZ1842" s="6809"/>
      <c r="CA1842" s="6809"/>
      <c r="CB1842" s="6744">
        <v>30600</v>
      </c>
      <c r="CC1842" s="2697"/>
      <c r="CD1842" s="2697"/>
      <c r="CE1842" s="5750"/>
      <c r="CF1842" s="5750"/>
      <c r="CG1842" s="5750"/>
      <c r="CH1842" s="5750"/>
    </row>
    <row r="1843" s="4978" customFormat="1" ht="43.5" customHeight="1" spans="1:86">
      <c r="A1843" s="2678"/>
      <c r="B1843" s="600"/>
      <c r="C1843" s="6744"/>
      <c r="D1843" s="6748"/>
      <c r="E1843" s="6733"/>
      <c r="F1843" s="6733"/>
      <c r="G1843" s="6748"/>
      <c r="H1843" s="6744"/>
      <c r="I1843" s="6744"/>
      <c r="J1843" s="6748"/>
      <c r="K1843" s="6748"/>
      <c r="L1843" s="6748"/>
      <c r="M1843" s="6744"/>
      <c r="N1843" s="6744"/>
      <c r="O1843" s="6744"/>
      <c r="P1843" s="6744"/>
      <c r="Q1843" s="6744"/>
      <c r="R1843" s="6744"/>
      <c r="S1843" s="6744"/>
      <c r="T1843" s="6744"/>
      <c r="U1843" s="6744"/>
      <c r="V1843" s="6744"/>
      <c r="W1843" s="6744"/>
      <c r="X1843" s="6744"/>
      <c r="Y1843" s="6744"/>
      <c r="Z1843" s="6744"/>
      <c r="AA1843" s="6744"/>
      <c r="AB1843" s="6748"/>
      <c r="AC1843" s="1089" t="s">
        <v>2712</v>
      </c>
      <c r="AD1843" s="6733" t="s">
        <v>3335</v>
      </c>
      <c r="AE1843" s="6733" t="s">
        <v>3336</v>
      </c>
      <c r="AF1843" s="6744">
        <v>71100</v>
      </c>
      <c r="AG1843" s="6744">
        <f t="shared" si="406"/>
        <v>71100</v>
      </c>
      <c r="AH1843" s="1089" t="s">
        <v>122</v>
      </c>
      <c r="AI1843" s="6744">
        <v>45000</v>
      </c>
      <c r="AJ1843" s="6744">
        <v>71100</v>
      </c>
      <c r="AK1843" s="6744">
        <v>45001</v>
      </c>
      <c r="AL1843" s="6744">
        <v>71100</v>
      </c>
      <c r="AM1843" s="6744">
        <v>45001</v>
      </c>
      <c r="AN1843" s="6744">
        <f t="shared" si="407"/>
        <v>71100</v>
      </c>
      <c r="AO1843" s="6744">
        <v>45013</v>
      </c>
      <c r="AP1843" s="6744">
        <f t="shared" si="408"/>
        <v>0</v>
      </c>
      <c r="AQ1843" s="6744"/>
      <c r="AR1843" s="6733"/>
      <c r="AS1843" s="6733"/>
      <c r="AT1843" s="6744"/>
      <c r="AU1843" s="6744"/>
      <c r="AV1843" s="6744"/>
      <c r="AW1843" s="6744"/>
      <c r="AX1843" s="6744"/>
      <c r="AY1843" s="6744"/>
      <c r="AZ1843" s="6744"/>
      <c r="BA1843" s="6744"/>
      <c r="BB1843" s="6744"/>
      <c r="BC1843" s="6744"/>
      <c r="BD1843" s="6744"/>
      <c r="BE1843" s="6744"/>
      <c r="BF1843" s="6744"/>
      <c r="BG1843" s="6744"/>
      <c r="BH1843" s="6744"/>
      <c r="BI1843" s="6744"/>
      <c r="BJ1843" s="6744"/>
      <c r="BK1843" s="6744"/>
      <c r="BL1843" s="6744"/>
      <c r="BM1843" s="6744"/>
      <c r="BN1843" s="6744">
        <v>71100</v>
      </c>
      <c r="BO1843" s="6809"/>
      <c r="BP1843" s="6809"/>
      <c r="BQ1843" s="6809"/>
      <c r="BR1843" s="6744"/>
      <c r="BS1843" s="6809"/>
      <c r="BT1843" s="6809"/>
      <c r="BU1843" s="6809"/>
      <c r="BV1843" s="6809"/>
      <c r="BW1843" s="6809"/>
      <c r="BX1843" s="6809"/>
      <c r="BY1843" s="6809"/>
      <c r="BZ1843" s="6809"/>
      <c r="CA1843" s="6809"/>
      <c r="CB1843" s="6744">
        <v>71100</v>
      </c>
      <c r="CC1843" s="2697"/>
      <c r="CD1843" s="2697"/>
      <c r="CE1843" s="5750"/>
      <c r="CF1843" s="5750"/>
      <c r="CG1843" s="5750"/>
      <c r="CH1843" s="5750"/>
    </row>
    <row r="1844" s="4978" customFormat="1" ht="43.5" customHeight="1" spans="1:86">
      <c r="A1844" s="2678"/>
      <c r="B1844" s="600"/>
      <c r="C1844" s="6744"/>
      <c r="D1844" s="6748"/>
      <c r="E1844" s="6733"/>
      <c r="F1844" s="6733"/>
      <c r="G1844" s="6748"/>
      <c r="H1844" s="6744"/>
      <c r="I1844" s="6744"/>
      <c r="J1844" s="6748"/>
      <c r="K1844" s="6748"/>
      <c r="L1844" s="6748"/>
      <c r="M1844" s="6744"/>
      <c r="N1844" s="6744"/>
      <c r="O1844" s="6744"/>
      <c r="P1844" s="6744"/>
      <c r="Q1844" s="6744"/>
      <c r="R1844" s="6744"/>
      <c r="S1844" s="6744"/>
      <c r="T1844" s="6744"/>
      <c r="U1844" s="6744"/>
      <c r="V1844" s="6744"/>
      <c r="W1844" s="6744"/>
      <c r="X1844" s="6744"/>
      <c r="Y1844" s="6744"/>
      <c r="Z1844" s="6744"/>
      <c r="AA1844" s="6744"/>
      <c r="AB1844" s="6748"/>
      <c r="AC1844" s="1089" t="s">
        <v>2714</v>
      </c>
      <c r="AD1844" s="6733" t="s">
        <v>3337</v>
      </c>
      <c r="AE1844" s="6733" t="s">
        <v>2139</v>
      </c>
      <c r="AF1844" s="6744">
        <v>118500</v>
      </c>
      <c r="AG1844" s="6744">
        <f t="shared" si="406"/>
        <v>118500</v>
      </c>
      <c r="AH1844" s="1089" t="s">
        <v>206</v>
      </c>
      <c r="AI1844" s="6744">
        <v>45098</v>
      </c>
      <c r="AJ1844" s="6744">
        <v>118500</v>
      </c>
      <c r="AK1844" s="6744">
        <v>45098</v>
      </c>
      <c r="AL1844" s="6744">
        <v>118500</v>
      </c>
      <c r="AM1844" s="6744">
        <v>45098</v>
      </c>
      <c r="AN1844" s="6744">
        <f t="shared" si="407"/>
        <v>118500</v>
      </c>
      <c r="AO1844" s="6744">
        <v>45133</v>
      </c>
      <c r="AP1844" s="6744">
        <f t="shared" si="408"/>
        <v>0</v>
      </c>
      <c r="AQ1844" s="6744"/>
      <c r="AR1844" s="6733"/>
      <c r="AS1844" s="6733"/>
      <c r="AT1844" s="6744"/>
      <c r="AU1844" s="6744"/>
      <c r="AV1844" s="6744"/>
      <c r="AW1844" s="6744"/>
      <c r="AX1844" s="6744"/>
      <c r="AY1844" s="6744"/>
      <c r="AZ1844" s="6744"/>
      <c r="BA1844" s="6744"/>
      <c r="BB1844" s="6744"/>
      <c r="BC1844" s="6744"/>
      <c r="BD1844" s="6809"/>
      <c r="BE1844" s="6809"/>
      <c r="BF1844" s="6809"/>
      <c r="BG1844" s="6809"/>
      <c r="BH1844" s="6809"/>
      <c r="BI1844" s="6809"/>
      <c r="BJ1844" s="6809"/>
      <c r="BK1844" s="6809"/>
      <c r="BL1844" s="6809"/>
      <c r="BM1844" s="6809"/>
      <c r="BN1844" s="6744">
        <v>118500</v>
      </c>
      <c r="BO1844" s="6809"/>
      <c r="BP1844" s="6809"/>
      <c r="BQ1844" s="6809"/>
      <c r="BR1844" s="6744"/>
      <c r="BS1844" s="6809"/>
      <c r="BT1844" s="6809"/>
      <c r="BU1844" s="6809"/>
      <c r="BV1844" s="6809"/>
      <c r="BW1844" s="6809"/>
      <c r="BX1844" s="6809"/>
      <c r="BY1844" s="6809"/>
      <c r="BZ1844" s="6809"/>
      <c r="CA1844" s="6809"/>
      <c r="CB1844" s="6744">
        <v>118500</v>
      </c>
      <c r="CC1844" s="2697"/>
      <c r="CD1844" s="2697"/>
      <c r="CE1844" s="5750"/>
      <c r="CF1844" s="5750"/>
      <c r="CG1844" s="5750"/>
      <c r="CH1844" s="5750"/>
    </row>
    <row r="1845" s="4978" customFormat="1" ht="43.5" customHeight="1" spans="1:86">
      <c r="A1845" s="2678"/>
      <c r="B1845" s="600"/>
      <c r="C1845" s="6744"/>
      <c r="D1845" s="6748"/>
      <c r="E1845" s="6733"/>
      <c r="F1845" s="6733"/>
      <c r="G1845" s="6748"/>
      <c r="H1845" s="6744"/>
      <c r="I1845" s="6744"/>
      <c r="J1845" s="6748"/>
      <c r="K1845" s="6748"/>
      <c r="L1845" s="6748"/>
      <c r="M1845" s="6744"/>
      <c r="N1845" s="6744"/>
      <c r="O1845" s="6744"/>
      <c r="P1845" s="6744"/>
      <c r="Q1845" s="6744"/>
      <c r="R1845" s="6744"/>
      <c r="S1845" s="6744"/>
      <c r="T1845" s="6744"/>
      <c r="U1845" s="6744"/>
      <c r="V1845" s="6744"/>
      <c r="W1845" s="6744"/>
      <c r="X1845" s="6744"/>
      <c r="Y1845" s="6744"/>
      <c r="Z1845" s="6744"/>
      <c r="AA1845" s="6744"/>
      <c r="AB1845" s="6748"/>
      <c r="AC1845" s="1089" t="s">
        <v>2716</v>
      </c>
      <c r="AD1845" s="6733" t="s">
        <v>3338</v>
      </c>
      <c r="AE1845" s="6733" t="s">
        <v>3339</v>
      </c>
      <c r="AF1845" s="6744">
        <v>47400</v>
      </c>
      <c r="AG1845" s="6744">
        <f t="shared" si="406"/>
        <v>47400</v>
      </c>
      <c r="AH1845" s="1089" t="s">
        <v>206</v>
      </c>
      <c r="AI1845" s="6744">
        <v>45098</v>
      </c>
      <c r="AJ1845" s="6744">
        <v>47400</v>
      </c>
      <c r="AK1845" s="6744">
        <v>45098</v>
      </c>
      <c r="AL1845" s="6744">
        <v>47400</v>
      </c>
      <c r="AM1845" s="6744">
        <v>45098</v>
      </c>
      <c r="AN1845" s="6744">
        <f t="shared" si="407"/>
        <v>47400</v>
      </c>
      <c r="AO1845" s="6744">
        <v>45133</v>
      </c>
      <c r="AP1845" s="6744">
        <f t="shared" si="408"/>
        <v>0</v>
      </c>
      <c r="AQ1845" s="6744"/>
      <c r="AR1845" s="6733"/>
      <c r="AS1845" s="6733"/>
      <c r="AT1845" s="6744"/>
      <c r="AU1845" s="6744"/>
      <c r="AV1845" s="6744"/>
      <c r="AW1845" s="6744"/>
      <c r="AX1845" s="6744"/>
      <c r="AY1845" s="6744"/>
      <c r="AZ1845" s="6744"/>
      <c r="BA1845" s="6744"/>
      <c r="BB1845" s="6744"/>
      <c r="BC1845" s="6744"/>
      <c r="BD1845" s="6809"/>
      <c r="BE1845" s="6809"/>
      <c r="BF1845" s="6809"/>
      <c r="BG1845" s="6809"/>
      <c r="BH1845" s="6809"/>
      <c r="BI1845" s="6809"/>
      <c r="BJ1845" s="6809"/>
      <c r="BK1845" s="6809"/>
      <c r="BL1845" s="6809"/>
      <c r="BM1845" s="6809"/>
      <c r="BN1845" s="6744">
        <v>47400</v>
      </c>
      <c r="BO1845" s="6809"/>
      <c r="BP1845" s="6809"/>
      <c r="BQ1845" s="6809"/>
      <c r="BR1845" s="6744"/>
      <c r="BS1845" s="6809"/>
      <c r="BT1845" s="6809"/>
      <c r="BU1845" s="6809"/>
      <c r="BV1845" s="6809"/>
      <c r="BW1845" s="6809"/>
      <c r="BX1845" s="6809"/>
      <c r="BY1845" s="6809"/>
      <c r="BZ1845" s="6809"/>
      <c r="CA1845" s="6809"/>
      <c r="CB1845" s="6744">
        <v>47400</v>
      </c>
      <c r="CC1845" s="2697"/>
      <c r="CD1845" s="2697"/>
      <c r="CE1845" s="5750"/>
      <c r="CF1845" s="5750"/>
      <c r="CG1845" s="5750"/>
      <c r="CH1845" s="5750"/>
    </row>
    <row r="1846" s="4978" customFormat="1" ht="43.5" customHeight="1" spans="1:86">
      <c r="A1846" s="2678"/>
      <c r="B1846" s="600"/>
      <c r="C1846" s="6744"/>
      <c r="D1846" s="6748"/>
      <c r="E1846" s="6733"/>
      <c r="F1846" s="6733"/>
      <c r="G1846" s="6748"/>
      <c r="H1846" s="6744"/>
      <c r="I1846" s="6744"/>
      <c r="J1846" s="6748"/>
      <c r="K1846" s="6748"/>
      <c r="L1846" s="6748"/>
      <c r="M1846" s="6744"/>
      <c r="N1846" s="6744"/>
      <c r="O1846" s="6744"/>
      <c r="P1846" s="6744"/>
      <c r="Q1846" s="6744"/>
      <c r="R1846" s="6744"/>
      <c r="S1846" s="6744"/>
      <c r="T1846" s="6744"/>
      <c r="U1846" s="6744"/>
      <c r="V1846" s="6744"/>
      <c r="W1846" s="6744"/>
      <c r="X1846" s="6744"/>
      <c r="Y1846" s="6744"/>
      <c r="Z1846" s="6744"/>
      <c r="AA1846" s="6744"/>
      <c r="AB1846" s="6748"/>
      <c r="AC1846" s="1089" t="s">
        <v>2823</v>
      </c>
      <c r="AD1846" s="6733" t="s">
        <v>3340</v>
      </c>
      <c r="AE1846" s="6733" t="s">
        <v>3341</v>
      </c>
      <c r="AF1846" s="6744">
        <v>94800</v>
      </c>
      <c r="AG1846" s="6744">
        <f t="shared" si="406"/>
        <v>94800</v>
      </c>
      <c r="AH1846" s="1089" t="s">
        <v>122</v>
      </c>
      <c r="AI1846" s="6744">
        <v>45287</v>
      </c>
      <c r="AJ1846" s="6744">
        <v>94800</v>
      </c>
      <c r="AK1846" s="6744">
        <v>45286</v>
      </c>
      <c r="AL1846" s="6744">
        <v>94800</v>
      </c>
      <c r="AM1846" s="6744">
        <v>45371</v>
      </c>
      <c r="AN1846" s="6744">
        <f t="shared" si="407"/>
        <v>94800</v>
      </c>
      <c r="AO1846" s="6744">
        <v>45397</v>
      </c>
      <c r="AP1846" s="6744">
        <f t="shared" si="408"/>
        <v>0</v>
      </c>
      <c r="AQ1846" s="6744"/>
      <c r="AR1846" s="6733"/>
      <c r="AS1846" s="6733"/>
      <c r="AT1846" s="6744"/>
      <c r="AU1846" s="6744"/>
      <c r="AV1846" s="6744"/>
      <c r="AW1846" s="6744"/>
      <c r="AX1846" s="6744"/>
      <c r="AY1846" s="6744"/>
      <c r="AZ1846" s="6744"/>
      <c r="BA1846" s="6744"/>
      <c r="BB1846" s="6744"/>
      <c r="BC1846" s="6744"/>
      <c r="BD1846" s="6809"/>
      <c r="BE1846" s="6809"/>
      <c r="BF1846" s="6744"/>
      <c r="BG1846" s="6744"/>
      <c r="BH1846" s="6744"/>
      <c r="BI1846" s="6744"/>
      <c r="BJ1846" s="6744"/>
      <c r="BK1846" s="6744"/>
      <c r="BL1846" s="6744"/>
      <c r="BM1846" s="6744"/>
      <c r="BN1846" s="6744">
        <v>94800</v>
      </c>
      <c r="BO1846" s="6809"/>
      <c r="BP1846" s="6809"/>
      <c r="BQ1846" s="6809"/>
      <c r="BR1846" s="6744"/>
      <c r="BS1846" s="6809"/>
      <c r="BT1846" s="6809"/>
      <c r="BU1846" s="6809"/>
      <c r="BV1846" s="6809"/>
      <c r="BW1846" s="6809"/>
      <c r="BX1846" s="6809"/>
      <c r="BY1846" s="6809"/>
      <c r="BZ1846" s="6809"/>
      <c r="CA1846" s="6809"/>
      <c r="CB1846" s="6744">
        <v>94800</v>
      </c>
      <c r="CC1846" s="2697"/>
      <c r="CD1846" s="2697"/>
      <c r="CE1846" s="5750"/>
      <c r="CF1846" s="5750"/>
      <c r="CG1846" s="5750"/>
      <c r="CH1846" s="5750"/>
    </row>
    <row r="1847" s="4978" customFormat="1" ht="43.5" customHeight="1" spans="1:86">
      <c r="A1847" s="2678"/>
      <c r="B1847" s="600"/>
      <c r="C1847" s="6744"/>
      <c r="D1847" s="6748"/>
      <c r="E1847" s="6733"/>
      <c r="F1847" s="6733"/>
      <c r="G1847" s="6748"/>
      <c r="H1847" s="6744"/>
      <c r="I1847" s="6744"/>
      <c r="J1847" s="6748"/>
      <c r="K1847" s="6748"/>
      <c r="L1847" s="6748"/>
      <c r="M1847" s="6744"/>
      <c r="N1847" s="6744"/>
      <c r="O1847" s="6744"/>
      <c r="P1847" s="6744"/>
      <c r="Q1847" s="6744"/>
      <c r="R1847" s="6744"/>
      <c r="S1847" s="6744"/>
      <c r="T1847" s="6744"/>
      <c r="U1847" s="6744"/>
      <c r="V1847" s="6744"/>
      <c r="W1847" s="6744"/>
      <c r="X1847" s="6744"/>
      <c r="Y1847" s="6744"/>
      <c r="Z1847" s="6744"/>
      <c r="AA1847" s="6744"/>
      <c r="AB1847" s="6748"/>
      <c r="AC1847" s="1089" t="s">
        <v>2826</v>
      </c>
      <c r="AD1847" s="6733" t="s">
        <v>3342</v>
      </c>
      <c r="AE1847" s="6733" t="s">
        <v>3343</v>
      </c>
      <c r="AF1847" s="6744">
        <v>23700</v>
      </c>
      <c r="AG1847" s="6744">
        <f t="shared" si="406"/>
        <v>23700</v>
      </c>
      <c r="AH1847" s="1089" t="s">
        <v>122</v>
      </c>
      <c r="AI1847" s="6744">
        <v>45957</v>
      </c>
      <c r="AJ1847" s="6744">
        <v>23700</v>
      </c>
      <c r="AK1847" s="6744">
        <v>45957</v>
      </c>
      <c r="AL1847" s="6744">
        <f>SUM(BF1847:BS1847)</f>
        <v>23700</v>
      </c>
      <c r="AM1847" s="6744">
        <v>45958</v>
      </c>
      <c r="AN1847" s="6744">
        <f t="shared" si="407"/>
        <v>23700</v>
      </c>
      <c r="AO1847" s="6744">
        <v>46006</v>
      </c>
      <c r="AP1847" s="6744">
        <f t="shared" si="408"/>
        <v>0</v>
      </c>
      <c r="AQ1847" s="6744"/>
      <c r="AR1847" s="6733"/>
      <c r="AS1847" s="6733"/>
      <c r="AT1847" s="6744"/>
      <c r="AU1847" s="6744"/>
      <c r="AV1847" s="6744"/>
      <c r="AW1847" s="6744"/>
      <c r="AX1847" s="6744"/>
      <c r="AY1847" s="6744"/>
      <c r="AZ1847" s="6744"/>
      <c r="BA1847" s="6744"/>
      <c r="BB1847" s="6744"/>
      <c r="BC1847" s="6744"/>
      <c r="BD1847" s="6744"/>
      <c r="BE1847" s="6744"/>
      <c r="BF1847" s="6744"/>
      <c r="BG1847" s="6744"/>
      <c r="BH1847" s="6744"/>
      <c r="BI1847" s="6744"/>
      <c r="BJ1847" s="6744"/>
      <c r="BK1847" s="6744"/>
      <c r="BL1847" s="6744"/>
      <c r="BM1847" s="6744"/>
      <c r="BN1847" s="6744">
        <v>23700</v>
      </c>
      <c r="BO1847" s="6809"/>
      <c r="BP1847" s="6809"/>
      <c r="BQ1847" s="6809"/>
      <c r="BR1847" s="6744"/>
      <c r="BS1847" s="6809"/>
      <c r="BT1847" s="6809"/>
      <c r="BU1847" s="6809"/>
      <c r="BV1847" s="6809"/>
      <c r="BW1847" s="6809"/>
      <c r="BX1847" s="6809"/>
      <c r="BY1847" s="6809"/>
      <c r="BZ1847" s="6809"/>
      <c r="CA1847" s="6809"/>
      <c r="CB1847" s="6744">
        <v>23700</v>
      </c>
      <c r="CC1847" s="2697"/>
      <c r="CD1847" s="2697"/>
      <c r="CE1847" s="5750"/>
      <c r="CF1847" s="5750"/>
      <c r="CG1847" s="5750"/>
      <c r="CH1847" s="5750"/>
    </row>
    <row r="1848" s="4978" customFormat="1" ht="43.5" customHeight="1" spans="1:86">
      <c r="A1848" s="2678"/>
      <c r="B1848" s="600"/>
      <c r="C1848" s="6744"/>
      <c r="D1848" s="6748"/>
      <c r="E1848" s="6733"/>
      <c r="F1848" s="6733"/>
      <c r="G1848" s="6748"/>
      <c r="H1848" s="6744"/>
      <c r="I1848" s="6744"/>
      <c r="J1848" s="6748"/>
      <c r="K1848" s="6748"/>
      <c r="L1848" s="6748"/>
      <c r="M1848" s="6744"/>
      <c r="N1848" s="6744"/>
      <c r="O1848" s="6744"/>
      <c r="P1848" s="6744"/>
      <c r="Q1848" s="6744"/>
      <c r="R1848" s="6744"/>
      <c r="S1848" s="6744"/>
      <c r="T1848" s="6744"/>
      <c r="U1848" s="6744"/>
      <c r="V1848" s="6744"/>
      <c r="W1848" s="6744"/>
      <c r="X1848" s="6744"/>
      <c r="Y1848" s="6744"/>
      <c r="Z1848" s="6744"/>
      <c r="AA1848" s="6744"/>
      <c r="AB1848" s="6748"/>
      <c r="AC1848" s="1089" t="s">
        <v>3344</v>
      </c>
      <c r="AD1848" s="6733" t="s">
        <v>3345</v>
      </c>
      <c r="AE1848" s="6733" t="s">
        <v>3343</v>
      </c>
      <c r="AF1848" s="6744">
        <v>23700</v>
      </c>
      <c r="AG1848" s="6744">
        <f t="shared" si="406"/>
        <v>23700</v>
      </c>
      <c r="AH1848" s="1089" t="s">
        <v>122</v>
      </c>
      <c r="AI1848" s="6744">
        <v>45957</v>
      </c>
      <c r="AJ1848" s="6744">
        <v>23700</v>
      </c>
      <c r="AK1848" s="6744">
        <v>45957</v>
      </c>
      <c r="AL1848" s="6744">
        <f>SUM(BF1848:BS1848)</f>
        <v>23700</v>
      </c>
      <c r="AM1848" s="6744">
        <v>45958</v>
      </c>
      <c r="AN1848" s="6744">
        <f t="shared" si="407"/>
        <v>23700</v>
      </c>
      <c r="AO1848" s="6744">
        <v>46006</v>
      </c>
      <c r="AP1848" s="6744">
        <f t="shared" si="408"/>
        <v>0</v>
      </c>
      <c r="AQ1848" s="6744"/>
      <c r="AR1848" s="6733"/>
      <c r="AS1848" s="6733"/>
      <c r="AT1848" s="6744"/>
      <c r="AU1848" s="6744"/>
      <c r="AV1848" s="6744"/>
      <c r="AW1848" s="6744"/>
      <c r="AX1848" s="6744"/>
      <c r="AY1848" s="6744"/>
      <c r="AZ1848" s="6744"/>
      <c r="BA1848" s="6744"/>
      <c r="BB1848" s="6744"/>
      <c r="BC1848" s="6744"/>
      <c r="BD1848" s="6744"/>
      <c r="BE1848" s="6744"/>
      <c r="BF1848" s="6744"/>
      <c r="BG1848" s="6744"/>
      <c r="BH1848" s="6744"/>
      <c r="BI1848" s="6744"/>
      <c r="BJ1848" s="6744"/>
      <c r="BK1848" s="6744"/>
      <c r="BL1848" s="6744"/>
      <c r="BM1848" s="6744"/>
      <c r="BN1848" s="6744">
        <v>23700</v>
      </c>
      <c r="BO1848" s="6809"/>
      <c r="BP1848" s="6809"/>
      <c r="BQ1848" s="6809"/>
      <c r="BR1848" s="6744"/>
      <c r="BS1848" s="6809"/>
      <c r="BT1848" s="6809"/>
      <c r="BU1848" s="6809"/>
      <c r="BV1848" s="6809"/>
      <c r="BW1848" s="6809"/>
      <c r="BX1848" s="6809"/>
      <c r="BY1848" s="6809"/>
      <c r="BZ1848" s="6809"/>
      <c r="CA1848" s="6809"/>
      <c r="CB1848" s="6744">
        <v>23700</v>
      </c>
      <c r="CC1848" s="2697"/>
      <c r="CD1848" s="2697"/>
      <c r="CE1848" s="5750"/>
      <c r="CF1848" s="5750"/>
      <c r="CG1848" s="5750"/>
      <c r="CH1848" s="5750"/>
    </row>
    <row r="1849" s="4978" customFormat="1" ht="76" spans="1:86">
      <c r="A1849" s="2678"/>
      <c r="B1849" s="600"/>
      <c r="C1849" s="6744"/>
      <c r="D1849" s="6748"/>
      <c r="E1849" s="6733"/>
      <c r="F1849" s="6733"/>
      <c r="G1849" s="6748"/>
      <c r="H1849" s="6744"/>
      <c r="I1849" s="6744"/>
      <c r="J1849" s="6748"/>
      <c r="K1849" s="6748"/>
      <c r="L1849" s="6748"/>
      <c r="M1849" s="6744"/>
      <c r="N1849" s="6744"/>
      <c r="O1849" s="6744"/>
      <c r="P1849" s="6744"/>
      <c r="Q1849" s="6744"/>
      <c r="R1849" s="6744"/>
      <c r="S1849" s="6744"/>
      <c r="T1849" s="6744"/>
      <c r="U1849" s="6744"/>
      <c r="V1849" s="6744"/>
      <c r="W1849" s="6744"/>
      <c r="X1849" s="6744"/>
      <c r="Y1849" s="6744"/>
      <c r="Z1849" s="6744"/>
      <c r="AA1849" s="6744"/>
      <c r="AB1849" s="6748"/>
      <c r="AC1849" s="1089" t="s">
        <v>3346</v>
      </c>
      <c r="AD1849" s="6733" t="s">
        <v>3347</v>
      </c>
      <c r="AE1849" s="6733">
        <v>0.1</v>
      </c>
      <c r="AF1849" s="6744">
        <f>M1839*10%</f>
        <v>78000</v>
      </c>
      <c r="AG1849" s="6744">
        <f t="shared" si="406"/>
        <v>0</v>
      </c>
      <c r="AH1849" s="1089"/>
      <c r="AI1849" s="6744"/>
      <c r="AJ1849" s="6744"/>
      <c r="AK1849" s="6744"/>
      <c r="AL1849" s="6744"/>
      <c r="AM1849" s="6744"/>
      <c r="AN1849" s="6744">
        <f t="shared" si="407"/>
        <v>0</v>
      </c>
      <c r="AO1849" s="6744"/>
      <c r="AP1849" s="6744">
        <f t="shared" si="408"/>
        <v>0</v>
      </c>
      <c r="AQ1849" s="6744"/>
      <c r="AR1849" s="6733"/>
      <c r="AS1849" s="6733"/>
      <c r="AT1849" s="6744"/>
      <c r="AU1849" s="6744"/>
      <c r="AV1849" s="6744"/>
      <c r="AW1849" s="6744"/>
      <c r="AX1849" s="6744"/>
      <c r="AY1849" s="6744"/>
      <c r="AZ1849" s="6744"/>
      <c r="BA1849" s="6744"/>
      <c r="BB1849" s="6744"/>
      <c r="BC1849" s="6744"/>
      <c r="BD1849" s="6744"/>
      <c r="BE1849" s="6744"/>
      <c r="BF1849" s="6744"/>
      <c r="BG1849" s="6744"/>
      <c r="BH1849" s="6744"/>
      <c r="BI1849" s="6744"/>
      <c r="BJ1849" s="6744"/>
      <c r="BK1849" s="6744"/>
      <c r="BL1849" s="6744"/>
      <c r="BM1849" s="6744"/>
      <c r="BN1849" s="6744"/>
      <c r="BO1849" s="6809"/>
      <c r="BP1849" s="6809"/>
      <c r="BQ1849" s="6809"/>
      <c r="BR1849" s="6744"/>
      <c r="BS1849" s="6809"/>
      <c r="BT1849" s="6809"/>
      <c r="BU1849" s="6809"/>
      <c r="BV1849" s="6809"/>
      <c r="BW1849" s="6809"/>
      <c r="BX1849" s="6809"/>
      <c r="BY1849" s="6809"/>
      <c r="BZ1849" s="6809"/>
      <c r="CA1849" s="6809"/>
      <c r="CB1849" s="6809"/>
      <c r="CC1849" s="2697"/>
      <c r="CD1849" s="2697"/>
      <c r="CE1849" s="5750"/>
      <c r="CF1849" s="5750"/>
      <c r="CG1849" s="5750"/>
      <c r="CH1849" s="5750"/>
    </row>
    <row r="1850" s="4978" customFormat="1" ht="43.5" customHeight="1" spans="1:86">
      <c r="A1850" s="2678"/>
      <c r="B1850" s="600"/>
      <c r="C1850" s="5709">
        <v>44923</v>
      </c>
      <c r="D1850" s="6804" t="s">
        <v>3315</v>
      </c>
      <c r="E1850" s="6804" t="s">
        <v>3316</v>
      </c>
      <c r="F1850" s="6804" t="s">
        <v>3348</v>
      </c>
      <c r="G1850" s="6804" t="s">
        <v>3318</v>
      </c>
      <c r="H1850" s="5736" t="s">
        <v>2506</v>
      </c>
      <c r="I1850" s="5736"/>
      <c r="J1850" s="6804" t="s">
        <v>1068</v>
      </c>
      <c r="K1850" s="5710"/>
      <c r="L1850" s="5710"/>
      <c r="M1850" s="5709">
        <f>SUM(N1850:AA1856)</f>
        <v>347112.5</v>
      </c>
      <c r="N1850" s="5709"/>
      <c r="O1850" s="5709"/>
      <c r="P1850" s="5709"/>
      <c r="Q1850" s="5709"/>
      <c r="R1850" s="5709"/>
      <c r="S1850" s="5709"/>
      <c r="T1850" s="5709"/>
      <c r="U1850" s="5709"/>
      <c r="V1850" s="5709"/>
      <c r="W1850" s="5709"/>
      <c r="X1850" s="5709"/>
      <c r="Y1850" s="5709"/>
      <c r="Z1850" s="5709"/>
      <c r="AA1850" s="5709">
        <v>347112.5</v>
      </c>
      <c r="AB1850" s="6804" t="s">
        <v>126</v>
      </c>
      <c r="AC1850" s="5736" t="s">
        <v>2832</v>
      </c>
      <c r="AD1850" s="6804" t="s">
        <v>3328</v>
      </c>
      <c r="AE1850" s="6804">
        <v>0.15</v>
      </c>
      <c r="AF1850" s="5709">
        <f>AE1850*M1850</f>
        <v>52066.875</v>
      </c>
      <c r="AG1850" s="5709">
        <f t="shared" si="406"/>
        <v>52066.875</v>
      </c>
      <c r="AH1850" s="5736" t="s">
        <v>122</v>
      </c>
      <c r="AI1850" s="5709">
        <v>45191</v>
      </c>
      <c r="AJ1850" s="5709">
        <f>SUM(BD1850:BQ1850)</f>
        <v>52066.875</v>
      </c>
      <c r="AK1850" s="5709">
        <v>45191</v>
      </c>
      <c r="AL1850" s="5709">
        <f>SUM(BF1850:BS1850)</f>
        <v>52066.875</v>
      </c>
      <c r="AM1850" s="5709">
        <v>45191</v>
      </c>
      <c r="AN1850" s="5709">
        <f t="shared" si="407"/>
        <v>52066.875</v>
      </c>
      <c r="AO1850" s="5709">
        <v>45230</v>
      </c>
      <c r="AP1850" s="5709">
        <f t="shared" si="408"/>
        <v>0</v>
      </c>
      <c r="AQ1850" s="5709"/>
      <c r="AR1850" s="6804"/>
      <c r="AS1850" s="6804"/>
      <c r="AT1850" s="5709"/>
      <c r="AU1850" s="5709"/>
      <c r="AV1850" s="5709"/>
      <c r="AW1850" s="5709"/>
      <c r="AX1850" s="5709"/>
      <c r="AY1850" s="5709"/>
      <c r="AZ1850" s="5709"/>
      <c r="BA1850" s="5709"/>
      <c r="BB1850" s="5709"/>
      <c r="BC1850" s="5709"/>
      <c r="BD1850" s="5709"/>
      <c r="BE1850" s="5709"/>
      <c r="BF1850" s="5709"/>
      <c r="BG1850" s="5709"/>
      <c r="BH1850" s="5709"/>
      <c r="BI1850" s="5709"/>
      <c r="BJ1850" s="5709"/>
      <c r="BK1850" s="5709"/>
      <c r="BL1850" s="5709"/>
      <c r="BM1850" s="5709"/>
      <c r="BN1850" s="5709">
        <v>52066.875</v>
      </c>
      <c r="BO1850" s="5746"/>
      <c r="BP1850" s="5746"/>
      <c r="BQ1850" s="5746"/>
      <c r="BR1850" s="5709"/>
      <c r="BS1850" s="5746"/>
      <c r="BT1850" s="5746"/>
      <c r="BU1850" s="5746"/>
      <c r="BV1850" s="5746"/>
      <c r="BW1850" s="5746"/>
      <c r="BX1850" s="5746"/>
      <c r="BY1850" s="5746"/>
      <c r="BZ1850" s="5746"/>
      <c r="CA1850" s="5746"/>
      <c r="CB1850" s="5709">
        <v>52066.875</v>
      </c>
      <c r="CC1850" s="5749"/>
      <c r="CD1850" s="5749"/>
      <c r="CE1850" s="5750"/>
      <c r="CF1850" s="5750"/>
      <c r="CG1850" s="5750"/>
      <c r="CH1850" s="5750"/>
    </row>
    <row r="1851" s="4978" customFormat="1" ht="43.5" customHeight="1" spans="1:86">
      <c r="A1851" s="2678"/>
      <c r="B1851" s="600"/>
      <c r="C1851" s="5709"/>
      <c r="D1851" s="5710"/>
      <c r="E1851" s="6804"/>
      <c r="F1851" s="6804"/>
      <c r="G1851" s="5710"/>
      <c r="H1851" s="5709"/>
      <c r="I1851" s="5709"/>
      <c r="J1851" s="5710"/>
      <c r="K1851" s="5710"/>
      <c r="L1851" s="5710"/>
      <c r="M1851" s="5709"/>
      <c r="N1851" s="5709"/>
      <c r="O1851" s="5709"/>
      <c r="P1851" s="5709"/>
      <c r="Q1851" s="5709"/>
      <c r="R1851" s="5709"/>
      <c r="S1851" s="5709"/>
      <c r="T1851" s="5709"/>
      <c r="U1851" s="5709"/>
      <c r="V1851" s="5709"/>
      <c r="W1851" s="5709"/>
      <c r="X1851" s="5709"/>
      <c r="Y1851" s="5709"/>
      <c r="Z1851" s="5709"/>
      <c r="AA1851" s="5709"/>
      <c r="AB1851" s="5710"/>
      <c r="AC1851" s="5736" t="s">
        <v>2834</v>
      </c>
      <c r="AD1851" s="6804" t="s">
        <v>3349</v>
      </c>
      <c r="AE1851" s="6804">
        <v>0.2</v>
      </c>
      <c r="AF1851" s="5709">
        <f>AE1851*M1850</f>
        <v>69422.5</v>
      </c>
      <c r="AG1851" s="5709">
        <f t="shared" ref="AG1851:AG1866" si="409">SUM(BA1851:BN1851)</f>
        <v>69422.5</v>
      </c>
      <c r="AH1851" s="5736" t="s">
        <v>122</v>
      </c>
      <c r="AI1851" s="5709">
        <v>45191</v>
      </c>
      <c r="AJ1851" s="5709">
        <f>SUM(BD1851:BQ1851)</f>
        <v>69422.5</v>
      </c>
      <c r="AK1851" s="5709">
        <v>45191</v>
      </c>
      <c r="AL1851" s="5709">
        <f>SUM(BF1851:BS1851)</f>
        <v>69422.5</v>
      </c>
      <c r="AM1851" s="5709">
        <v>45191</v>
      </c>
      <c r="AN1851" s="5709">
        <f t="shared" ref="AN1851:AN1865" si="410">SUM(BO1851:CB1851)</f>
        <v>69422.5</v>
      </c>
      <c r="AO1851" s="5709">
        <v>45230</v>
      </c>
      <c r="AP1851" s="5709">
        <f t="shared" ref="AP1851:AP1866" si="411">AG1851-AN1851</f>
        <v>0</v>
      </c>
      <c r="AQ1851" s="5709"/>
      <c r="AR1851" s="6804"/>
      <c r="AS1851" s="6804"/>
      <c r="AT1851" s="5709"/>
      <c r="AU1851" s="5709"/>
      <c r="AV1851" s="5709"/>
      <c r="AW1851" s="5709"/>
      <c r="AX1851" s="5709"/>
      <c r="AY1851" s="5709"/>
      <c r="AZ1851" s="5709"/>
      <c r="BA1851" s="5709"/>
      <c r="BB1851" s="5709"/>
      <c r="BC1851" s="5709"/>
      <c r="BD1851" s="5709"/>
      <c r="BE1851" s="5709"/>
      <c r="BF1851" s="5709"/>
      <c r="BG1851" s="5709"/>
      <c r="BH1851" s="5709"/>
      <c r="BI1851" s="5709"/>
      <c r="BJ1851" s="5709"/>
      <c r="BK1851" s="5709"/>
      <c r="BL1851" s="5709"/>
      <c r="BM1851" s="5709"/>
      <c r="BN1851" s="5709">
        <v>69422.5</v>
      </c>
      <c r="BO1851" s="5746"/>
      <c r="BP1851" s="5746"/>
      <c r="BQ1851" s="5746"/>
      <c r="BR1851" s="5709"/>
      <c r="BS1851" s="5746"/>
      <c r="BT1851" s="5746"/>
      <c r="BU1851" s="5746"/>
      <c r="BV1851" s="5746"/>
      <c r="BW1851" s="5746"/>
      <c r="BX1851" s="5746"/>
      <c r="BY1851" s="5746"/>
      <c r="BZ1851" s="5746"/>
      <c r="CA1851" s="5746"/>
      <c r="CB1851" s="5709">
        <v>69422.5</v>
      </c>
      <c r="CC1851" s="5749"/>
      <c r="CD1851" s="5749"/>
      <c r="CE1851" s="5750"/>
      <c r="CF1851" s="5750"/>
      <c r="CG1851" s="5750"/>
      <c r="CH1851" s="5750"/>
    </row>
    <row r="1852" s="4978" customFormat="1" ht="43.5" customHeight="1" spans="1:86">
      <c r="A1852" s="2678"/>
      <c r="B1852" s="600"/>
      <c r="C1852" s="5709"/>
      <c r="D1852" s="5710"/>
      <c r="E1852" s="6804"/>
      <c r="F1852" s="6804"/>
      <c r="G1852" s="5710"/>
      <c r="H1852" s="5709"/>
      <c r="I1852" s="5709"/>
      <c r="J1852" s="5710"/>
      <c r="K1852" s="5710"/>
      <c r="L1852" s="5710"/>
      <c r="M1852" s="5709"/>
      <c r="N1852" s="5709"/>
      <c r="O1852" s="5709"/>
      <c r="P1852" s="5709"/>
      <c r="Q1852" s="5709"/>
      <c r="R1852" s="5709"/>
      <c r="S1852" s="5709"/>
      <c r="T1852" s="5709"/>
      <c r="U1852" s="5709"/>
      <c r="V1852" s="5709"/>
      <c r="W1852" s="5709"/>
      <c r="X1852" s="5709"/>
      <c r="Y1852" s="5709"/>
      <c r="Z1852" s="5709"/>
      <c r="AA1852" s="5709"/>
      <c r="AB1852" s="5710"/>
      <c r="AC1852" s="5736" t="s">
        <v>2836</v>
      </c>
      <c r="AD1852" s="6804" t="s">
        <v>3350</v>
      </c>
      <c r="AE1852" s="6804">
        <v>0.15</v>
      </c>
      <c r="AF1852" s="5709">
        <f>AE1852*M1850</f>
        <v>52066.875</v>
      </c>
      <c r="AG1852" s="5709">
        <f t="shared" si="409"/>
        <v>52066.875</v>
      </c>
      <c r="AH1852" s="5736" t="s">
        <v>122</v>
      </c>
      <c r="AI1852" s="5709">
        <v>45191</v>
      </c>
      <c r="AJ1852" s="5709">
        <f>SUM(BD1852:BQ1852)</f>
        <v>52066.875</v>
      </c>
      <c r="AK1852" s="5709">
        <v>45191</v>
      </c>
      <c r="AL1852" s="5709">
        <f>SUM(BF1852:BS1852)</f>
        <v>52066.875</v>
      </c>
      <c r="AM1852" s="5709">
        <v>45191</v>
      </c>
      <c r="AN1852" s="5709">
        <f t="shared" si="410"/>
        <v>52066.875</v>
      </c>
      <c r="AO1852" s="5709">
        <v>45230</v>
      </c>
      <c r="AP1852" s="5709">
        <f t="shared" si="411"/>
        <v>0</v>
      </c>
      <c r="AQ1852" s="5709"/>
      <c r="AR1852" s="6804"/>
      <c r="AS1852" s="6804"/>
      <c r="AT1852" s="5709"/>
      <c r="AU1852" s="5709"/>
      <c r="AV1852" s="5709"/>
      <c r="AW1852" s="5709"/>
      <c r="AX1852" s="5709"/>
      <c r="AY1852" s="5709"/>
      <c r="AZ1852" s="5709"/>
      <c r="BA1852" s="5709"/>
      <c r="BB1852" s="5709"/>
      <c r="BC1852" s="5709"/>
      <c r="BD1852" s="5709"/>
      <c r="BE1852" s="5709"/>
      <c r="BF1852" s="5709"/>
      <c r="BG1852" s="5709"/>
      <c r="BH1852" s="5709"/>
      <c r="BI1852" s="5709"/>
      <c r="BJ1852" s="5709"/>
      <c r="BK1852" s="5709"/>
      <c r="BL1852" s="5709"/>
      <c r="BM1852" s="5709"/>
      <c r="BN1852" s="5709">
        <v>52066.875</v>
      </c>
      <c r="BO1852" s="5746"/>
      <c r="BP1852" s="5746"/>
      <c r="BQ1852" s="5746"/>
      <c r="BR1852" s="5709"/>
      <c r="BS1852" s="5746"/>
      <c r="BT1852" s="5746"/>
      <c r="BU1852" s="5746"/>
      <c r="BV1852" s="5746"/>
      <c r="BW1852" s="5746"/>
      <c r="BX1852" s="5746"/>
      <c r="BY1852" s="5746"/>
      <c r="BZ1852" s="5746"/>
      <c r="CA1852" s="5746"/>
      <c r="CB1852" s="5709">
        <v>52066.875</v>
      </c>
      <c r="CC1852" s="5749"/>
      <c r="CD1852" s="5749"/>
      <c r="CE1852" s="5750"/>
      <c r="CF1852" s="5750"/>
      <c r="CG1852" s="5750"/>
      <c r="CH1852" s="5750"/>
    </row>
    <row r="1853" s="4978" customFormat="1" ht="43.5" customHeight="1" spans="1:86">
      <c r="A1853" s="2678"/>
      <c r="B1853" s="600"/>
      <c r="C1853" s="5709"/>
      <c r="D1853" s="5710"/>
      <c r="E1853" s="6804"/>
      <c r="F1853" s="6804"/>
      <c r="G1853" s="5710"/>
      <c r="H1853" s="5709"/>
      <c r="I1853" s="5709"/>
      <c r="J1853" s="5710"/>
      <c r="K1853" s="5710"/>
      <c r="L1853" s="5710"/>
      <c r="M1853" s="5709"/>
      <c r="N1853" s="5709"/>
      <c r="O1853" s="5709"/>
      <c r="P1853" s="5709"/>
      <c r="Q1853" s="5709"/>
      <c r="R1853" s="5709"/>
      <c r="S1853" s="5709"/>
      <c r="T1853" s="5709"/>
      <c r="U1853" s="5709"/>
      <c r="V1853" s="5709"/>
      <c r="W1853" s="5709"/>
      <c r="X1853" s="5709"/>
      <c r="Y1853" s="5709"/>
      <c r="Z1853" s="5709"/>
      <c r="AA1853" s="5709"/>
      <c r="AB1853" s="5710"/>
      <c r="AC1853" s="5736" t="s">
        <v>2838</v>
      </c>
      <c r="AD1853" s="6804" t="s">
        <v>3351</v>
      </c>
      <c r="AE1853" s="6804">
        <v>0.3</v>
      </c>
      <c r="AF1853" s="5709">
        <f>AE1853*M1850</f>
        <v>104133.75</v>
      </c>
      <c r="AG1853" s="5709">
        <f t="shared" si="409"/>
        <v>104133.75</v>
      </c>
      <c r="AH1853" s="5736" t="s">
        <v>122</v>
      </c>
      <c r="AI1853" s="5709">
        <v>45287</v>
      </c>
      <c r="AJ1853" s="5709">
        <v>104133.75</v>
      </c>
      <c r="AK1853" s="5709">
        <v>45286</v>
      </c>
      <c r="AL1853" s="5709">
        <v>104133.75</v>
      </c>
      <c r="AM1853" s="5709">
        <v>45371</v>
      </c>
      <c r="AN1853" s="5709">
        <f t="shared" si="410"/>
        <v>104133.75</v>
      </c>
      <c r="AO1853" s="5709">
        <v>45397</v>
      </c>
      <c r="AP1853" s="5709">
        <f t="shared" si="411"/>
        <v>0</v>
      </c>
      <c r="AQ1853" s="5709"/>
      <c r="AR1853" s="6804"/>
      <c r="AS1853" s="6804"/>
      <c r="AT1853" s="5709"/>
      <c r="AU1853" s="5709"/>
      <c r="AV1853" s="5709"/>
      <c r="AW1853" s="5709"/>
      <c r="AX1853" s="5709"/>
      <c r="AY1853" s="5709"/>
      <c r="AZ1853" s="5709"/>
      <c r="BA1853" s="5709"/>
      <c r="BB1853" s="5709"/>
      <c r="BC1853" s="5709"/>
      <c r="BD1853" s="5746"/>
      <c r="BE1853" s="5746"/>
      <c r="BF1853" s="5709"/>
      <c r="BG1853" s="5709"/>
      <c r="BH1853" s="5709"/>
      <c r="BI1853" s="5709"/>
      <c r="BJ1853" s="5709"/>
      <c r="BK1853" s="5709"/>
      <c r="BL1853" s="5709"/>
      <c r="BM1853" s="5709"/>
      <c r="BN1853" s="5709">
        <v>104133.75</v>
      </c>
      <c r="BO1853" s="5746"/>
      <c r="BP1853" s="5746"/>
      <c r="BQ1853" s="5746"/>
      <c r="BR1853" s="5709"/>
      <c r="BS1853" s="5746"/>
      <c r="BT1853" s="5746"/>
      <c r="BU1853" s="5746"/>
      <c r="BV1853" s="5746"/>
      <c r="BW1853" s="5746"/>
      <c r="BX1853" s="5746"/>
      <c r="BY1853" s="5746"/>
      <c r="BZ1853" s="5746"/>
      <c r="CA1853" s="5746"/>
      <c r="CB1853" s="5746">
        <v>104133.75</v>
      </c>
      <c r="CC1853" s="5749"/>
      <c r="CD1853" s="5749"/>
      <c r="CE1853" s="5750"/>
      <c r="CF1853" s="5750"/>
      <c r="CG1853" s="5750"/>
      <c r="CH1853" s="5750"/>
    </row>
    <row r="1854" s="4978" customFormat="1" ht="43.5" customHeight="1" spans="1:86">
      <c r="A1854" s="2678"/>
      <c r="B1854" s="600"/>
      <c r="C1854" s="5709"/>
      <c r="D1854" s="5710"/>
      <c r="E1854" s="6804"/>
      <c r="F1854" s="6804"/>
      <c r="G1854" s="5710"/>
      <c r="H1854" s="5709"/>
      <c r="I1854" s="5709"/>
      <c r="J1854" s="5710"/>
      <c r="K1854" s="5710"/>
      <c r="L1854" s="5710"/>
      <c r="M1854" s="5709"/>
      <c r="N1854" s="5709"/>
      <c r="O1854" s="5709"/>
      <c r="P1854" s="5709"/>
      <c r="Q1854" s="5709"/>
      <c r="R1854" s="5709"/>
      <c r="S1854" s="5709"/>
      <c r="T1854" s="5709"/>
      <c r="U1854" s="5709"/>
      <c r="V1854" s="5709"/>
      <c r="W1854" s="5709"/>
      <c r="X1854" s="5709"/>
      <c r="Y1854" s="5709"/>
      <c r="Z1854" s="5709"/>
      <c r="AA1854" s="5709"/>
      <c r="AB1854" s="5710"/>
      <c r="AC1854" s="5736" t="s">
        <v>2840</v>
      </c>
      <c r="AD1854" s="6804" t="s">
        <v>3352</v>
      </c>
      <c r="AE1854" s="6804">
        <v>0.05</v>
      </c>
      <c r="AF1854" s="5709">
        <f>AE1854*M1850</f>
        <v>17355.625</v>
      </c>
      <c r="AG1854" s="5709">
        <f t="shared" si="409"/>
        <v>0</v>
      </c>
      <c r="AH1854" s="5736"/>
      <c r="AI1854" s="5709"/>
      <c r="AJ1854" s="5709"/>
      <c r="AK1854" s="5709"/>
      <c r="AL1854" s="5709"/>
      <c r="AM1854" s="5709"/>
      <c r="AN1854" s="5709">
        <f t="shared" si="410"/>
        <v>0</v>
      </c>
      <c r="AO1854" s="5709"/>
      <c r="AP1854" s="5709">
        <f t="shared" si="411"/>
        <v>0</v>
      </c>
      <c r="AQ1854" s="5709"/>
      <c r="AR1854" s="6804"/>
      <c r="AS1854" s="6804"/>
      <c r="AT1854" s="5709"/>
      <c r="AU1854" s="5709"/>
      <c r="AV1854" s="5709"/>
      <c r="AW1854" s="5709"/>
      <c r="AX1854" s="5709"/>
      <c r="AY1854" s="5709"/>
      <c r="AZ1854" s="5709"/>
      <c r="BA1854" s="5709"/>
      <c r="BB1854" s="5709"/>
      <c r="BC1854" s="5709"/>
      <c r="BD1854" s="5709"/>
      <c r="BE1854" s="5709"/>
      <c r="BF1854" s="5709"/>
      <c r="BG1854" s="5709"/>
      <c r="BH1854" s="5709"/>
      <c r="BI1854" s="5709"/>
      <c r="BJ1854" s="5709"/>
      <c r="BK1854" s="5709"/>
      <c r="BL1854" s="5709"/>
      <c r="BM1854" s="5709"/>
      <c r="BN1854" s="5709"/>
      <c r="BO1854" s="5746"/>
      <c r="BP1854" s="5746"/>
      <c r="BQ1854" s="5746"/>
      <c r="BR1854" s="5709"/>
      <c r="BS1854" s="5746"/>
      <c r="BT1854" s="5746"/>
      <c r="BU1854" s="5746"/>
      <c r="BV1854" s="5746"/>
      <c r="BW1854" s="5746"/>
      <c r="BX1854" s="5746"/>
      <c r="BY1854" s="5746"/>
      <c r="BZ1854" s="5746"/>
      <c r="CA1854" s="5746"/>
      <c r="CB1854" s="5746"/>
      <c r="CC1854" s="5749"/>
      <c r="CD1854" s="5749"/>
      <c r="CE1854" s="5750"/>
      <c r="CF1854" s="5750"/>
      <c r="CG1854" s="5750"/>
      <c r="CH1854" s="5750"/>
    </row>
    <row r="1855" s="4978" customFormat="1" ht="43.5" customHeight="1" spans="1:86">
      <c r="A1855" s="2678"/>
      <c r="B1855" s="600"/>
      <c r="C1855" s="5709"/>
      <c r="D1855" s="5710"/>
      <c r="E1855" s="6804"/>
      <c r="F1855" s="6804"/>
      <c r="G1855" s="5710"/>
      <c r="H1855" s="5709"/>
      <c r="I1855" s="5709"/>
      <c r="J1855" s="5710"/>
      <c r="K1855" s="5710"/>
      <c r="L1855" s="5710"/>
      <c r="M1855" s="5709"/>
      <c r="N1855" s="5709"/>
      <c r="O1855" s="5709"/>
      <c r="P1855" s="5709"/>
      <c r="Q1855" s="5709"/>
      <c r="R1855" s="5709"/>
      <c r="S1855" s="5709"/>
      <c r="T1855" s="5709"/>
      <c r="U1855" s="5709"/>
      <c r="V1855" s="5709"/>
      <c r="W1855" s="5709"/>
      <c r="X1855" s="5709"/>
      <c r="Y1855" s="5709"/>
      <c r="Z1855" s="5709"/>
      <c r="AA1855" s="5709"/>
      <c r="AB1855" s="5710"/>
      <c r="AC1855" s="5736" t="s">
        <v>3353</v>
      </c>
      <c r="AD1855" s="6804" t="s">
        <v>3354</v>
      </c>
      <c r="AE1855" s="6804">
        <v>0.05</v>
      </c>
      <c r="AF1855" s="5709">
        <f>AE1855*M1850</f>
        <v>17355.625</v>
      </c>
      <c r="AG1855" s="5709">
        <f t="shared" si="409"/>
        <v>0</v>
      </c>
      <c r="AH1855" s="5736"/>
      <c r="AI1855" s="5709"/>
      <c r="AJ1855" s="5709"/>
      <c r="AK1855" s="5709"/>
      <c r="AL1855" s="5709"/>
      <c r="AM1855" s="5709"/>
      <c r="AN1855" s="5709">
        <f t="shared" si="410"/>
        <v>0</v>
      </c>
      <c r="AO1855" s="5709"/>
      <c r="AP1855" s="5709">
        <f t="shared" si="411"/>
        <v>0</v>
      </c>
      <c r="AQ1855" s="5709"/>
      <c r="AR1855" s="6804"/>
      <c r="AS1855" s="6804"/>
      <c r="AT1855" s="5709"/>
      <c r="AU1855" s="5709"/>
      <c r="AV1855" s="5709"/>
      <c r="AW1855" s="5709"/>
      <c r="AX1855" s="5709"/>
      <c r="AY1855" s="5709"/>
      <c r="AZ1855" s="5709"/>
      <c r="BA1855" s="5709"/>
      <c r="BB1855" s="5709"/>
      <c r="BC1855" s="5709"/>
      <c r="BD1855" s="5709"/>
      <c r="BE1855" s="5709"/>
      <c r="BF1855" s="5709"/>
      <c r="BG1855" s="5709"/>
      <c r="BH1855" s="5709"/>
      <c r="BI1855" s="5709"/>
      <c r="BJ1855" s="5709"/>
      <c r="BK1855" s="5709"/>
      <c r="BL1855" s="5709"/>
      <c r="BM1855" s="5709"/>
      <c r="BN1855" s="5709"/>
      <c r="BO1855" s="5746"/>
      <c r="BP1855" s="5746"/>
      <c r="BQ1855" s="5746"/>
      <c r="BR1855" s="5709"/>
      <c r="BS1855" s="5746"/>
      <c r="BT1855" s="5746"/>
      <c r="BU1855" s="5746"/>
      <c r="BV1855" s="5746"/>
      <c r="BW1855" s="5746"/>
      <c r="BX1855" s="5746"/>
      <c r="BY1855" s="5746"/>
      <c r="BZ1855" s="5746"/>
      <c r="CA1855" s="5746"/>
      <c r="CB1855" s="5746"/>
      <c r="CC1855" s="5749"/>
      <c r="CD1855" s="5749"/>
      <c r="CE1855" s="5750"/>
      <c r="CF1855" s="5750"/>
      <c r="CG1855" s="5750"/>
      <c r="CH1855" s="5750"/>
    </row>
    <row r="1856" s="4978" customFormat="1" ht="92" spans="1:86">
      <c r="A1856" s="2678"/>
      <c r="B1856" s="600"/>
      <c r="C1856" s="5709"/>
      <c r="D1856" s="5710"/>
      <c r="E1856" s="6804"/>
      <c r="F1856" s="6804"/>
      <c r="G1856" s="5710"/>
      <c r="H1856" s="5709"/>
      <c r="I1856" s="5709"/>
      <c r="J1856" s="5710"/>
      <c r="K1856" s="5710"/>
      <c r="L1856" s="5710"/>
      <c r="M1856" s="5709"/>
      <c r="N1856" s="5709"/>
      <c r="O1856" s="5709"/>
      <c r="P1856" s="5709"/>
      <c r="Q1856" s="5709"/>
      <c r="R1856" s="5709"/>
      <c r="S1856" s="5709"/>
      <c r="T1856" s="5709"/>
      <c r="U1856" s="5709"/>
      <c r="V1856" s="5709"/>
      <c r="W1856" s="5709"/>
      <c r="X1856" s="5709"/>
      <c r="Y1856" s="5709"/>
      <c r="Z1856" s="5709"/>
      <c r="AA1856" s="5709"/>
      <c r="AB1856" s="5710"/>
      <c r="AC1856" s="5736" t="s">
        <v>3355</v>
      </c>
      <c r="AD1856" s="6804" t="s">
        <v>3356</v>
      </c>
      <c r="AE1856" s="6804">
        <v>0.1</v>
      </c>
      <c r="AF1856" s="5709">
        <f>M1850*AE1856</f>
        <v>34711.25</v>
      </c>
      <c r="AG1856" s="5709">
        <f t="shared" si="409"/>
        <v>0</v>
      </c>
      <c r="AH1856" s="5736"/>
      <c r="AI1856" s="5709"/>
      <c r="AJ1856" s="5709"/>
      <c r="AK1856" s="5709"/>
      <c r="AL1856" s="5709"/>
      <c r="AM1856" s="5709"/>
      <c r="AN1856" s="5709">
        <f t="shared" si="410"/>
        <v>0</v>
      </c>
      <c r="AO1856" s="5709"/>
      <c r="AP1856" s="5709">
        <f t="shared" si="411"/>
        <v>0</v>
      </c>
      <c r="AQ1856" s="5709"/>
      <c r="AR1856" s="6804"/>
      <c r="AS1856" s="6804"/>
      <c r="AT1856" s="5709"/>
      <c r="AU1856" s="5709"/>
      <c r="AV1856" s="5709"/>
      <c r="AW1856" s="5709"/>
      <c r="AX1856" s="5709"/>
      <c r="AY1856" s="5709"/>
      <c r="AZ1856" s="5709"/>
      <c r="BA1856" s="5709"/>
      <c r="BB1856" s="5709"/>
      <c r="BC1856" s="5709"/>
      <c r="BD1856" s="5709"/>
      <c r="BE1856" s="5709"/>
      <c r="BF1856" s="5709"/>
      <c r="BG1856" s="5709"/>
      <c r="BH1856" s="5709"/>
      <c r="BI1856" s="5709"/>
      <c r="BJ1856" s="5709"/>
      <c r="BK1856" s="5709"/>
      <c r="BL1856" s="5709"/>
      <c r="BM1856" s="5709"/>
      <c r="BN1856" s="5709"/>
      <c r="BO1856" s="5746"/>
      <c r="BP1856" s="5746"/>
      <c r="BQ1856" s="5746"/>
      <c r="BR1856" s="5709"/>
      <c r="BS1856" s="5746"/>
      <c r="BT1856" s="5746"/>
      <c r="BU1856" s="5746"/>
      <c r="BV1856" s="5746"/>
      <c r="BW1856" s="5746"/>
      <c r="BX1856" s="5746"/>
      <c r="BY1856" s="5746"/>
      <c r="BZ1856" s="5746"/>
      <c r="CA1856" s="5746"/>
      <c r="CB1856" s="5746"/>
      <c r="CC1856" s="5749"/>
      <c r="CD1856" s="5749"/>
      <c r="CE1856" s="5750"/>
      <c r="CF1856" s="5750"/>
      <c r="CG1856" s="5750"/>
      <c r="CH1856" s="5750"/>
    </row>
    <row r="1857" s="4978" customFormat="1" ht="61" spans="1:86">
      <c r="A1857" s="2678"/>
      <c r="B1857" s="600"/>
      <c r="C1857" s="3065">
        <v>44923</v>
      </c>
      <c r="D1857" s="6388" t="s">
        <v>3315</v>
      </c>
      <c r="E1857" s="6388" t="s">
        <v>3316</v>
      </c>
      <c r="F1857" s="6388" t="s">
        <v>3357</v>
      </c>
      <c r="G1857" s="6388" t="s">
        <v>3318</v>
      </c>
      <c r="H1857" s="6444" t="s">
        <v>193</v>
      </c>
      <c r="I1857" s="6444"/>
      <c r="J1857" s="6388" t="s">
        <v>1068</v>
      </c>
      <c r="K1857" s="6518">
        <v>16920</v>
      </c>
      <c r="L1857" s="6518">
        <v>7.5</v>
      </c>
      <c r="M1857" s="3065">
        <f>SUM(N1857:AA1859)</f>
        <v>126900</v>
      </c>
      <c r="N1857" s="3065"/>
      <c r="O1857" s="3065"/>
      <c r="P1857" s="3065"/>
      <c r="Q1857" s="3065"/>
      <c r="R1857" s="3065"/>
      <c r="S1857" s="3065"/>
      <c r="T1857" s="3065"/>
      <c r="U1857" s="3065"/>
      <c r="V1857" s="3065">
        <v>126900</v>
      </c>
      <c r="W1857" s="3065"/>
      <c r="X1857" s="3065"/>
      <c r="Y1857" s="3065"/>
      <c r="Z1857" s="3065"/>
      <c r="AA1857" s="3065"/>
      <c r="AB1857" s="6518"/>
      <c r="AC1857" s="6444" t="s">
        <v>1144</v>
      </c>
      <c r="AD1857" s="6562" t="s">
        <v>3358</v>
      </c>
      <c r="AE1857" s="6388">
        <v>0.4</v>
      </c>
      <c r="AF1857" s="3065">
        <f>M1857*AE1857</f>
        <v>50760</v>
      </c>
      <c r="AG1857" s="3065">
        <f t="shared" si="409"/>
        <v>50765</v>
      </c>
      <c r="AH1857" s="6444" t="s">
        <v>206</v>
      </c>
      <c r="AI1857" s="3065">
        <v>45098</v>
      </c>
      <c r="AJ1857" s="3065">
        <v>50765</v>
      </c>
      <c r="AK1857" s="3065">
        <v>45098</v>
      </c>
      <c r="AL1857" s="3065">
        <v>50765</v>
      </c>
      <c r="AM1857" s="3065">
        <v>45098</v>
      </c>
      <c r="AN1857" s="3065">
        <f t="shared" si="410"/>
        <v>50765</v>
      </c>
      <c r="AO1857" s="3065">
        <v>45133</v>
      </c>
      <c r="AP1857" s="3065">
        <f t="shared" si="411"/>
        <v>0</v>
      </c>
      <c r="AQ1857" s="3065"/>
      <c r="AR1857" s="6388"/>
      <c r="AS1857" s="6388"/>
      <c r="AT1857" s="3065"/>
      <c r="AU1857" s="3065"/>
      <c r="AV1857" s="3065"/>
      <c r="AW1857" s="3065"/>
      <c r="AX1857" s="3065"/>
      <c r="AY1857" s="3065"/>
      <c r="AZ1857" s="3065"/>
      <c r="BA1857" s="3065"/>
      <c r="BB1857" s="3065"/>
      <c r="BC1857" s="3065"/>
      <c r="BD1857" s="6527"/>
      <c r="BE1857" s="6527"/>
      <c r="BF1857" s="6527"/>
      <c r="BG1857" s="6527"/>
      <c r="BH1857" s="6527"/>
      <c r="BI1857" s="3065">
        <v>50765</v>
      </c>
      <c r="BJ1857" s="6527"/>
      <c r="BK1857" s="6527"/>
      <c r="BL1857" s="6527"/>
      <c r="BM1857" s="6527"/>
      <c r="BN1857" s="6527"/>
      <c r="BO1857" s="6527"/>
      <c r="BP1857" s="6527"/>
      <c r="BQ1857" s="6527"/>
      <c r="BR1857" s="3065"/>
      <c r="BS1857" s="6527"/>
      <c r="BT1857" s="6527"/>
      <c r="BU1857" s="6527"/>
      <c r="BV1857" s="6527"/>
      <c r="BW1857" s="3065">
        <v>50765</v>
      </c>
      <c r="BX1857" s="6527"/>
      <c r="BY1857" s="6527"/>
      <c r="BZ1857" s="6527"/>
      <c r="CA1857" s="6527"/>
      <c r="CB1857" s="6527"/>
      <c r="CC1857" s="3066"/>
      <c r="CD1857" s="3066"/>
      <c r="CE1857" s="5750"/>
      <c r="CF1857" s="5750"/>
      <c r="CG1857" s="5750"/>
      <c r="CH1857" s="5750"/>
    </row>
    <row r="1858" s="4978" customFormat="1" ht="76" spans="1:86">
      <c r="A1858" s="2678"/>
      <c r="B1858" s="600"/>
      <c r="C1858" s="3065"/>
      <c r="D1858" s="6518"/>
      <c r="E1858" s="6388"/>
      <c r="F1858" s="6388"/>
      <c r="G1858" s="6518"/>
      <c r="H1858" s="3065"/>
      <c r="I1858" s="3065"/>
      <c r="J1858" s="6518"/>
      <c r="K1858" s="6518"/>
      <c r="L1858" s="6518"/>
      <c r="M1858" s="3065"/>
      <c r="N1858" s="3065"/>
      <c r="O1858" s="3065"/>
      <c r="P1858" s="3065"/>
      <c r="Q1858" s="3065"/>
      <c r="R1858" s="3065"/>
      <c r="S1858" s="3065"/>
      <c r="T1858" s="3065"/>
      <c r="U1858" s="3065"/>
      <c r="V1858" s="3065"/>
      <c r="W1858" s="3065"/>
      <c r="X1858" s="3065"/>
      <c r="Y1858" s="3065"/>
      <c r="Z1858" s="3065"/>
      <c r="AA1858" s="3065"/>
      <c r="AB1858" s="6518"/>
      <c r="AC1858" s="6444" t="s">
        <v>1146</v>
      </c>
      <c r="AD1858" s="6562" t="s">
        <v>3359</v>
      </c>
      <c r="AE1858" s="6388">
        <v>0.55</v>
      </c>
      <c r="AF1858" s="3065">
        <f>M1857*AE1858</f>
        <v>69795</v>
      </c>
      <c r="AG1858" s="3065">
        <f t="shared" si="409"/>
        <v>69795</v>
      </c>
      <c r="AH1858" s="6444" t="s">
        <v>206</v>
      </c>
      <c r="AI1858" s="3065">
        <v>45098</v>
      </c>
      <c r="AJ1858" s="3065">
        <v>69795</v>
      </c>
      <c r="AK1858" s="3065">
        <v>45098</v>
      </c>
      <c r="AL1858" s="3065">
        <v>69795</v>
      </c>
      <c r="AM1858" s="3065">
        <v>45098</v>
      </c>
      <c r="AN1858" s="3065">
        <f t="shared" si="410"/>
        <v>69795</v>
      </c>
      <c r="AO1858" s="3065">
        <v>45133</v>
      </c>
      <c r="AP1858" s="3065">
        <f t="shared" si="411"/>
        <v>0</v>
      </c>
      <c r="AQ1858" s="3065"/>
      <c r="AR1858" s="6388"/>
      <c r="AS1858" s="6388"/>
      <c r="AT1858" s="3065"/>
      <c r="AU1858" s="3065"/>
      <c r="AV1858" s="3065"/>
      <c r="AW1858" s="3065"/>
      <c r="AX1858" s="3065"/>
      <c r="AY1858" s="3065"/>
      <c r="AZ1858" s="3065"/>
      <c r="BA1858" s="3065"/>
      <c r="BB1858" s="3065"/>
      <c r="BC1858" s="3065"/>
      <c r="BD1858" s="6527"/>
      <c r="BE1858" s="6527"/>
      <c r="BF1858" s="6527"/>
      <c r="BG1858" s="6527"/>
      <c r="BH1858" s="6527"/>
      <c r="BI1858" s="3065">
        <v>69795</v>
      </c>
      <c r="BJ1858" s="6527"/>
      <c r="BK1858" s="6527"/>
      <c r="BL1858" s="6527"/>
      <c r="BM1858" s="6527"/>
      <c r="BN1858" s="6527"/>
      <c r="BO1858" s="6527"/>
      <c r="BP1858" s="6527"/>
      <c r="BQ1858" s="6527"/>
      <c r="BR1858" s="3065"/>
      <c r="BS1858" s="6527"/>
      <c r="BT1858" s="6527"/>
      <c r="BU1858" s="6527"/>
      <c r="BV1858" s="6527"/>
      <c r="BW1858" s="3065">
        <v>69795</v>
      </c>
      <c r="BX1858" s="6527"/>
      <c r="BY1858" s="6527"/>
      <c r="BZ1858" s="6527"/>
      <c r="CA1858" s="6527"/>
      <c r="CB1858" s="6527"/>
      <c r="CC1858" s="3066"/>
      <c r="CD1858" s="3066"/>
      <c r="CE1858" s="5750"/>
      <c r="CF1858" s="5750"/>
      <c r="CG1858" s="5750"/>
      <c r="CH1858" s="5750"/>
    </row>
    <row r="1859" s="4978" customFormat="1" ht="92" spans="1:86">
      <c r="A1859" s="2678"/>
      <c r="B1859" s="600"/>
      <c r="C1859" s="3065"/>
      <c r="D1859" s="6518"/>
      <c r="E1859" s="6388"/>
      <c r="F1859" s="6388"/>
      <c r="G1859" s="6518"/>
      <c r="H1859" s="3065"/>
      <c r="I1859" s="3065"/>
      <c r="J1859" s="6518"/>
      <c r="K1859" s="6518"/>
      <c r="L1859" s="6518"/>
      <c r="M1859" s="3065"/>
      <c r="N1859" s="3065"/>
      <c r="O1859" s="3065"/>
      <c r="P1859" s="3065"/>
      <c r="Q1859" s="3065"/>
      <c r="R1859" s="3065"/>
      <c r="S1859" s="3065"/>
      <c r="T1859" s="3065"/>
      <c r="U1859" s="3065"/>
      <c r="V1859" s="3065"/>
      <c r="W1859" s="3065"/>
      <c r="X1859" s="3065"/>
      <c r="Y1859" s="3065"/>
      <c r="Z1859" s="3065"/>
      <c r="AA1859" s="3065"/>
      <c r="AB1859" s="6518"/>
      <c r="AC1859" s="6444" t="s">
        <v>1148</v>
      </c>
      <c r="AD1859" s="6562" t="s">
        <v>3360</v>
      </c>
      <c r="AE1859" s="6388">
        <v>0.05</v>
      </c>
      <c r="AF1859" s="6527">
        <f>M1857*AE1859</f>
        <v>6345</v>
      </c>
      <c r="AG1859" s="3065">
        <f t="shared" si="409"/>
        <v>0</v>
      </c>
      <c r="AH1859" s="6444"/>
      <c r="AI1859" s="3065"/>
      <c r="AJ1859" s="3065"/>
      <c r="AK1859" s="3065"/>
      <c r="AL1859" s="3065"/>
      <c r="AM1859" s="3065"/>
      <c r="AN1859" s="3065">
        <f t="shared" si="410"/>
        <v>0</v>
      </c>
      <c r="AO1859" s="3065"/>
      <c r="AP1859" s="3065">
        <f t="shared" si="411"/>
        <v>0</v>
      </c>
      <c r="AQ1859" s="3065"/>
      <c r="AR1859" s="6388"/>
      <c r="AS1859" s="6388"/>
      <c r="AT1859" s="3065"/>
      <c r="AU1859" s="3065"/>
      <c r="AV1859" s="3065"/>
      <c r="AW1859" s="3065"/>
      <c r="AX1859" s="3065"/>
      <c r="AY1859" s="3065"/>
      <c r="AZ1859" s="3065"/>
      <c r="BA1859" s="3065"/>
      <c r="BB1859" s="3065"/>
      <c r="BC1859" s="3065"/>
      <c r="BD1859" s="3065"/>
      <c r="BE1859" s="3065"/>
      <c r="BF1859" s="3065"/>
      <c r="BG1859" s="3065"/>
      <c r="BH1859" s="3065"/>
      <c r="BI1859" s="3065"/>
      <c r="BJ1859" s="3065"/>
      <c r="BK1859" s="3065"/>
      <c r="BL1859" s="3065"/>
      <c r="BM1859" s="3065"/>
      <c r="BN1859" s="3065"/>
      <c r="BO1859" s="6527"/>
      <c r="BP1859" s="6527"/>
      <c r="BQ1859" s="6527"/>
      <c r="BR1859" s="3065"/>
      <c r="BS1859" s="6527"/>
      <c r="BT1859" s="6527"/>
      <c r="BU1859" s="6527"/>
      <c r="BV1859" s="6527"/>
      <c r="BW1859" s="6527"/>
      <c r="BX1859" s="6527"/>
      <c r="BY1859" s="6527"/>
      <c r="BZ1859" s="6527"/>
      <c r="CA1859" s="6527"/>
      <c r="CB1859" s="6527"/>
      <c r="CC1859" s="3066"/>
      <c r="CD1859" s="3066"/>
      <c r="CE1859" s="5750"/>
      <c r="CF1859" s="5750"/>
      <c r="CG1859" s="5750"/>
      <c r="CH1859" s="5750"/>
    </row>
    <row r="1860" s="4978" customFormat="1" ht="43.5" customHeight="1" spans="1:86">
      <c r="A1860" s="2678"/>
      <c r="B1860" s="600"/>
      <c r="C1860" s="5630">
        <v>44923</v>
      </c>
      <c r="D1860" s="5544" t="s">
        <v>3315</v>
      </c>
      <c r="E1860" s="5544" t="s">
        <v>3316</v>
      </c>
      <c r="F1860" s="5544" t="s">
        <v>3361</v>
      </c>
      <c r="G1860" s="5544" t="s">
        <v>3318</v>
      </c>
      <c r="H1860" s="5638" t="s">
        <v>31</v>
      </c>
      <c r="I1860" s="5638"/>
      <c r="J1860" s="5544" t="s">
        <v>1068</v>
      </c>
      <c r="K1860" s="6667">
        <v>60712.2</v>
      </c>
      <c r="L1860" s="6667"/>
      <c r="M1860" s="5630">
        <f>SUM(N1860:AA1862)</f>
        <v>424985.4</v>
      </c>
      <c r="N1860" s="5630"/>
      <c r="O1860" s="5630"/>
      <c r="P1860" s="5630"/>
      <c r="Q1860" s="5630"/>
      <c r="R1860" s="5630"/>
      <c r="S1860" s="5630"/>
      <c r="T1860" s="5630"/>
      <c r="U1860" s="5630">
        <v>424985.4</v>
      </c>
      <c r="V1860" s="5630"/>
      <c r="W1860" s="5630"/>
      <c r="X1860" s="5630"/>
      <c r="Y1860" s="5630"/>
      <c r="Z1860" s="5630"/>
      <c r="AA1860" s="5630"/>
      <c r="AB1860" s="6667"/>
      <c r="AC1860" s="5638" t="s">
        <v>1110</v>
      </c>
      <c r="AD1860" s="5544" t="s">
        <v>2072</v>
      </c>
      <c r="AE1860" s="5544">
        <v>0.2</v>
      </c>
      <c r="AF1860" s="5630">
        <f>M1860*AE1860</f>
        <v>84997.08</v>
      </c>
      <c r="AG1860" s="5630">
        <f t="shared" si="409"/>
        <v>84997.08</v>
      </c>
      <c r="AH1860" s="5638" t="s">
        <v>122</v>
      </c>
      <c r="AI1860" s="5630">
        <v>44930</v>
      </c>
      <c r="AJ1860" s="5630">
        <v>84997.08</v>
      </c>
      <c r="AK1860" s="5630">
        <v>44930</v>
      </c>
      <c r="AL1860" s="5630">
        <v>84997.08</v>
      </c>
      <c r="AM1860" s="5630">
        <v>44930</v>
      </c>
      <c r="AN1860" s="5630">
        <f t="shared" si="410"/>
        <v>84997.08</v>
      </c>
      <c r="AO1860" s="5630">
        <v>44939</v>
      </c>
      <c r="AP1860" s="5630">
        <f t="shared" si="411"/>
        <v>0</v>
      </c>
      <c r="AQ1860" s="5630"/>
      <c r="AR1860" s="5544"/>
      <c r="AS1860" s="5544"/>
      <c r="AT1860" s="5630"/>
      <c r="AU1860" s="5630"/>
      <c r="AV1860" s="5630"/>
      <c r="AW1860" s="5630"/>
      <c r="AX1860" s="5630"/>
      <c r="AY1860" s="5630"/>
      <c r="AZ1860" s="5630"/>
      <c r="BA1860" s="5630"/>
      <c r="BB1860" s="5630"/>
      <c r="BC1860" s="5630"/>
      <c r="BD1860" s="5630"/>
      <c r="BE1860" s="5630"/>
      <c r="BF1860" s="5630"/>
      <c r="BG1860" s="5630"/>
      <c r="BH1860" s="5630">
        <v>84997.08</v>
      </c>
      <c r="BI1860" s="5630"/>
      <c r="BJ1860" s="5630"/>
      <c r="BK1860" s="5630"/>
      <c r="BL1860" s="5630"/>
      <c r="BM1860" s="5630"/>
      <c r="BN1860" s="5630"/>
      <c r="BO1860" s="5688"/>
      <c r="BP1860" s="5688"/>
      <c r="BQ1860" s="5688"/>
      <c r="BR1860" s="5630"/>
      <c r="BS1860" s="5688"/>
      <c r="BT1860" s="5688"/>
      <c r="BU1860" s="5688"/>
      <c r="BV1860" s="5630">
        <v>84997.08</v>
      </c>
      <c r="BW1860" s="5688"/>
      <c r="BX1860" s="5688"/>
      <c r="BY1860" s="5688"/>
      <c r="BZ1860" s="5688"/>
      <c r="CA1860" s="5688"/>
      <c r="CB1860" s="5688"/>
      <c r="CC1860" s="3083"/>
      <c r="CD1860" s="3083"/>
      <c r="CE1860" s="5750"/>
      <c r="CF1860" s="5750"/>
      <c r="CG1860" s="5750"/>
      <c r="CH1860" s="5750"/>
    </row>
    <row r="1861" s="4978" customFormat="1" ht="43.5" customHeight="1" spans="1:86">
      <c r="A1861" s="2678"/>
      <c r="B1861" s="600"/>
      <c r="C1861" s="5630"/>
      <c r="D1861" s="6667"/>
      <c r="E1861" s="5544"/>
      <c r="F1861" s="5544"/>
      <c r="G1861" s="6667"/>
      <c r="H1861" s="5630"/>
      <c r="I1861" s="5630"/>
      <c r="J1861" s="6667"/>
      <c r="K1861" s="6667"/>
      <c r="L1861" s="6667"/>
      <c r="M1861" s="5630"/>
      <c r="N1861" s="5630"/>
      <c r="O1861" s="5630"/>
      <c r="P1861" s="5630"/>
      <c r="Q1861" s="5630"/>
      <c r="R1861" s="5630"/>
      <c r="S1861" s="5630"/>
      <c r="T1861" s="5630"/>
      <c r="U1861" s="5630"/>
      <c r="V1861" s="5630"/>
      <c r="W1861" s="5630"/>
      <c r="X1861" s="5630"/>
      <c r="Y1861" s="5630"/>
      <c r="Z1861" s="5630"/>
      <c r="AA1861" s="5630"/>
      <c r="AB1861" s="6667"/>
      <c r="AC1861" s="5638" t="s">
        <v>1113</v>
      </c>
      <c r="AD1861" s="5544" t="s">
        <v>2073</v>
      </c>
      <c r="AE1861" s="5544">
        <v>0.6</v>
      </c>
      <c r="AF1861" s="5630">
        <f>M1860*AE1861</f>
        <v>254991.24</v>
      </c>
      <c r="AG1861" s="5630">
        <f t="shared" si="409"/>
        <v>254991.24</v>
      </c>
      <c r="AH1861" s="5638" t="s">
        <v>206</v>
      </c>
      <c r="AI1861" s="5630">
        <v>45098</v>
      </c>
      <c r="AJ1861" s="5630">
        <v>254991.24</v>
      </c>
      <c r="AK1861" s="5630">
        <v>45098</v>
      </c>
      <c r="AL1861" s="5630">
        <v>254991.24</v>
      </c>
      <c r="AM1861" s="5630">
        <v>45098</v>
      </c>
      <c r="AN1861" s="5630">
        <f t="shared" si="410"/>
        <v>254991.24</v>
      </c>
      <c r="AO1861" s="5630">
        <v>45133</v>
      </c>
      <c r="AP1861" s="5630">
        <f t="shared" si="411"/>
        <v>0</v>
      </c>
      <c r="AQ1861" s="5630"/>
      <c r="AR1861" s="5544"/>
      <c r="AS1861" s="5544"/>
      <c r="AT1861" s="5630"/>
      <c r="AU1861" s="5630"/>
      <c r="AV1861" s="5630"/>
      <c r="AW1861" s="5630"/>
      <c r="AX1861" s="5630"/>
      <c r="AY1861" s="5630"/>
      <c r="AZ1861" s="5630"/>
      <c r="BA1861" s="5630"/>
      <c r="BB1861" s="5630"/>
      <c r="BC1861" s="5630"/>
      <c r="BD1861" s="5630"/>
      <c r="BE1861" s="5630"/>
      <c r="BF1861" s="5630"/>
      <c r="BG1861" s="5630"/>
      <c r="BH1861" s="5630">
        <v>254991.24</v>
      </c>
      <c r="BI1861" s="5688"/>
      <c r="BJ1861" s="5688"/>
      <c r="BK1861" s="5688"/>
      <c r="BL1861" s="5688"/>
      <c r="BM1861" s="5688"/>
      <c r="BN1861" s="5688"/>
      <c r="BO1861" s="5688"/>
      <c r="BP1861" s="5688"/>
      <c r="BQ1861" s="5688"/>
      <c r="BR1861" s="5630"/>
      <c r="BS1861" s="5688"/>
      <c r="BT1861" s="5688"/>
      <c r="BU1861" s="5688"/>
      <c r="BV1861" s="5630">
        <v>254991.24</v>
      </c>
      <c r="BW1861" s="5688"/>
      <c r="BX1861" s="5688"/>
      <c r="BY1861" s="5688"/>
      <c r="BZ1861" s="5688"/>
      <c r="CA1861" s="5688"/>
      <c r="CB1861" s="5688"/>
      <c r="CC1861" s="3083"/>
      <c r="CD1861" s="3083"/>
      <c r="CE1861" s="5750"/>
      <c r="CF1861" s="5750"/>
      <c r="CG1861" s="5750"/>
      <c r="CH1861" s="5750"/>
    </row>
    <row r="1862" s="4978" customFormat="1" ht="43.5" customHeight="1" spans="1:86">
      <c r="A1862" s="2678"/>
      <c r="B1862" s="600"/>
      <c r="C1862" s="5630"/>
      <c r="D1862" s="6667"/>
      <c r="E1862" s="5544"/>
      <c r="F1862" s="5544"/>
      <c r="G1862" s="6667"/>
      <c r="H1862" s="5630"/>
      <c r="I1862" s="5630"/>
      <c r="J1862" s="6667"/>
      <c r="K1862" s="6667"/>
      <c r="L1862" s="6667"/>
      <c r="M1862" s="5630"/>
      <c r="N1862" s="5630"/>
      <c r="O1862" s="5630"/>
      <c r="P1862" s="5630"/>
      <c r="Q1862" s="5630"/>
      <c r="R1862" s="5630"/>
      <c r="S1862" s="5630"/>
      <c r="T1862" s="5630"/>
      <c r="U1862" s="5630"/>
      <c r="V1862" s="5630"/>
      <c r="W1862" s="5630"/>
      <c r="X1862" s="5630"/>
      <c r="Y1862" s="5630"/>
      <c r="Z1862" s="5630"/>
      <c r="AA1862" s="5630"/>
      <c r="AB1862" s="6667"/>
      <c r="AC1862" s="5638" t="s">
        <v>1115</v>
      </c>
      <c r="AD1862" s="5544" t="s">
        <v>3362</v>
      </c>
      <c r="AE1862" s="5544">
        <v>0.2</v>
      </c>
      <c r="AF1862" s="5630">
        <f>M1860*AE1862</f>
        <v>84997.08</v>
      </c>
      <c r="AG1862" s="5630">
        <f t="shared" si="409"/>
        <v>72365.72</v>
      </c>
      <c r="AH1862" s="5638" t="s">
        <v>122</v>
      </c>
      <c r="AI1862" s="5638">
        <v>45287</v>
      </c>
      <c r="AJ1862" s="5630">
        <v>72365.72</v>
      </c>
      <c r="AK1862" s="5638">
        <v>45286</v>
      </c>
      <c r="AL1862" s="5630">
        <v>72365.72</v>
      </c>
      <c r="AM1862" s="5630">
        <v>45526</v>
      </c>
      <c r="AN1862" s="5630">
        <f t="shared" si="410"/>
        <v>72365.72</v>
      </c>
      <c r="AO1862" s="5630">
        <v>45586</v>
      </c>
      <c r="AP1862" s="5630">
        <f t="shared" si="411"/>
        <v>0</v>
      </c>
      <c r="AQ1862" s="5630"/>
      <c r="AR1862" s="5544"/>
      <c r="AS1862" s="5544"/>
      <c r="AT1862" s="5630"/>
      <c r="AU1862" s="5630"/>
      <c r="AV1862" s="5630"/>
      <c r="AW1862" s="5630"/>
      <c r="AX1862" s="5630"/>
      <c r="AY1862" s="5630"/>
      <c r="AZ1862" s="5630"/>
      <c r="BA1862" s="5630"/>
      <c r="BB1862" s="5630"/>
      <c r="BC1862" s="5630"/>
      <c r="BD1862" s="5688"/>
      <c r="BE1862" s="5688"/>
      <c r="BF1862" s="5630"/>
      <c r="BG1862" s="5630"/>
      <c r="BH1862" s="5630">
        <v>72365.72</v>
      </c>
      <c r="BI1862" s="5630"/>
      <c r="BJ1862" s="5630"/>
      <c r="BK1862" s="5630"/>
      <c r="BL1862" s="5630"/>
      <c r="BM1862" s="5630"/>
      <c r="BN1862" s="5630"/>
      <c r="BO1862" s="5688"/>
      <c r="BP1862" s="5688"/>
      <c r="BQ1862" s="5688"/>
      <c r="BR1862" s="5630"/>
      <c r="BS1862" s="5688"/>
      <c r="BT1862" s="5688"/>
      <c r="BU1862" s="5688"/>
      <c r="BV1862" s="5630">
        <v>72365.72</v>
      </c>
      <c r="BW1862" s="5688"/>
      <c r="BX1862" s="5688"/>
      <c r="BY1862" s="5688"/>
      <c r="BZ1862" s="5688"/>
      <c r="CA1862" s="5688"/>
      <c r="CB1862" s="5688"/>
      <c r="CC1862" s="3083"/>
      <c r="CD1862" s="3083"/>
      <c r="CE1862" s="5750"/>
      <c r="CF1862" s="5750"/>
      <c r="CG1862" s="5750"/>
      <c r="CH1862" s="5750"/>
    </row>
    <row r="1863" s="4978" customFormat="1" ht="46" spans="1:86">
      <c r="A1863" s="2678"/>
      <c r="B1863" s="600"/>
      <c r="C1863" s="6531">
        <v>44923</v>
      </c>
      <c r="D1863" s="6513" t="s">
        <v>3315</v>
      </c>
      <c r="E1863" s="6513" t="s">
        <v>3316</v>
      </c>
      <c r="F1863" s="6513" t="s">
        <v>3363</v>
      </c>
      <c r="G1863" s="6513" t="s">
        <v>3318</v>
      </c>
      <c r="H1863" s="6546" t="s">
        <v>3364</v>
      </c>
      <c r="I1863" s="6546"/>
      <c r="J1863" s="6513" t="s">
        <v>1068</v>
      </c>
      <c r="K1863" s="6813">
        <v>60712.2</v>
      </c>
      <c r="L1863" s="6813"/>
      <c r="M1863" s="6531">
        <f>SUM(N1863:AA1865)</f>
        <v>250000</v>
      </c>
      <c r="N1863" s="6531"/>
      <c r="O1863" s="6531"/>
      <c r="P1863" s="6531"/>
      <c r="Q1863" s="6531">
        <v>250000</v>
      </c>
      <c r="R1863" s="6531"/>
      <c r="S1863" s="6531"/>
      <c r="T1863" s="6531"/>
      <c r="U1863" s="6531"/>
      <c r="V1863" s="6531"/>
      <c r="W1863" s="6531"/>
      <c r="X1863" s="6531"/>
      <c r="Y1863" s="6531"/>
      <c r="Z1863" s="6531"/>
      <c r="AA1863" s="6531"/>
      <c r="AB1863" s="6813"/>
      <c r="AC1863" s="6546" t="s">
        <v>3270</v>
      </c>
      <c r="AD1863" s="6823" t="s">
        <v>3365</v>
      </c>
      <c r="AE1863" s="6513">
        <v>0.5</v>
      </c>
      <c r="AF1863" s="6531">
        <f>M1863*AE1863</f>
        <v>125000</v>
      </c>
      <c r="AG1863" s="6828">
        <f t="shared" si="409"/>
        <v>125000</v>
      </c>
      <c r="AH1863" s="6546" t="s">
        <v>122</v>
      </c>
      <c r="AI1863" s="6531">
        <v>44930</v>
      </c>
      <c r="AJ1863" s="6531">
        <v>125000</v>
      </c>
      <c r="AK1863" s="6531">
        <v>44930</v>
      </c>
      <c r="AL1863" s="6531">
        <v>125000</v>
      </c>
      <c r="AM1863" s="6531">
        <v>44930</v>
      </c>
      <c r="AN1863" s="6531">
        <f t="shared" si="410"/>
        <v>125000</v>
      </c>
      <c r="AO1863" s="6531">
        <v>44939</v>
      </c>
      <c r="AP1863" s="6531">
        <f t="shared" si="411"/>
        <v>0</v>
      </c>
      <c r="AQ1863" s="6513" t="s">
        <v>3366</v>
      </c>
      <c r="AR1863" s="6513"/>
      <c r="AS1863" s="6513"/>
      <c r="AT1863" s="6531"/>
      <c r="AU1863" s="6828"/>
      <c r="AV1863" s="6828"/>
      <c r="AW1863" s="6828"/>
      <c r="AX1863" s="6828"/>
      <c r="AY1863" s="6828"/>
      <c r="AZ1863" s="6828"/>
      <c r="BA1863" s="6531"/>
      <c r="BB1863" s="6531"/>
      <c r="BC1863" s="6531"/>
      <c r="BD1863" s="6531">
        <v>125000</v>
      </c>
      <c r="BE1863" s="6531"/>
      <c r="BF1863" s="6531"/>
      <c r="BG1863" s="6531"/>
      <c r="BH1863" s="6531"/>
      <c r="BI1863" s="6531"/>
      <c r="BJ1863" s="6531"/>
      <c r="BK1863" s="6531"/>
      <c r="BL1863" s="6531"/>
      <c r="BM1863" s="6531"/>
      <c r="BN1863" s="6531"/>
      <c r="BO1863" s="6550"/>
      <c r="BP1863" s="6550"/>
      <c r="BQ1863" s="6550"/>
      <c r="BR1863" s="6531">
        <v>125000</v>
      </c>
      <c r="BS1863" s="6550"/>
      <c r="BT1863" s="6550"/>
      <c r="BU1863" s="6550"/>
      <c r="BV1863" s="6550"/>
      <c r="BW1863" s="6550"/>
      <c r="BX1863" s="6550"/>
      <c r="BY1863" s="6550"/>
      <c r="BZ1863" s="6550"/>
      <c r="CA1863" s="6550"/>
      <c r="CB1863" s="6550"/>
      <c r="CC1863" s="6499"/>
      <c r="CD1863" s="6499"/>
      <c r="CE1863" s="5750"/>
      <c r="CF1863" s="5750"/>
      <c r="CG1863" s="5750"/>
      <c r="CH1863" s="5750"/>
    </row>
    <row r="1864" s="4978" customFormat="1" ht="46" spans="1:86">
      <c r="A1864" s="2678"/>
      <c r="B1864" s="600"/>
      <c r="C1864" s="6531"/>
      <c r="D1864" s="6813"/>
      <c r="E1864" s="6513"/>
      <c r="F1864" s="6513"/>
      <c r="G1864" s="6813"/>
      <c r="H1864" s="6531"/>
      <c r="I1864" s="6531"/>
      <c r="J1864" s="6813"/>
      <c r="K1864" s="6813"/>
      <c r="L1864" s="6813"/>
      <c r="M1864" s="6531"/>
      <c r="N1864" s="6531"/>
      <c r="O1864" s="6531"/>
      <c r="P1864" s="6531"/>
      <c r="Q1864" s="6531"/>
      <c r="R1864" s="6531"/>
      <c r="S1864" s="6531"/>
      <c r="T1864" s="6531"/>
      <c r="U1864" s="6531"/>
      <c r="V1864" s="6531"/>
      <c r="W1864" s="6531"/>
      <c r="X1864" s="6531"/>
      <c r="Y1864" s="6531"/>
      <c r="Z1864" s="6531"/>
      <c r="AA1864" s="6531"/>
      <c r="AB1864" s="6813"/>
      <c r="AC1864" s="6546" t="s">
        <v>3272</v>
      </c>
      <c r="AD1864" s="6823" t="s">
        <v>3367</v>
      </c>
      <c r="AE1864" s="6513">
        <v>0.45</v>
      </c>
      <c r="AF1864" s="6531">
        <f>AE1864*M1863</f>
        <v>112500</v>
      </c>
      <c r="AG1864" s="6531">
        <f t="shared" si="409"/>
        <v>112500</v>
      </c>
      <c r="AH1864" s="6546" t="s">
        <v>206</v>
      </c>
      <c r="AI1864" s="6531">
        <v>45098</v>
      </c>
      <c r="AJ1864" s="6531">
        <v>112500</v>
      </c>
      <c r="AK1864" s="6531">
        <v>45098</v>
      </c>
      <c r="AL1864" s="6531">
        <v>112500</v>
      </c>
      <c r="AM1864" s="6531">
        <v>45098</v>
      </c>
      <c r="AN1864" s="6531">
        <f t="shared" si="410"/>
        <v>112500</v>
      </c>
      <c r="AO1864" s="6531">
        <v>45133</v>
      </c>
      <c r="AP1864" s="6531">
        <f t="shared" si="411"/>
        <v>0</v>
      </c>
      <c r="AQ1864" s="6513"/>
      <c r="AR1864" s="6513"/>
      <c r="AS1864" s="6513"/>
      <c r="AT1864" s="6531"/>
      <c r="AU1864" s="6828"/>
      <c r="AV1864" s="6828"/>
      <c r="AW1864" s="6828"/>
      <c r="AX1864" s="6828"/>
      <c r="AY1864" s="6828"/>
      <c r="AZ1864" s="6828"/>
      <c r="BA1864" s="6531"/>
      <c r="BB1864" s="6531"/>
      <c r="BC1864" s="6531"/>
      <c r="BD1864" s="6531">
        <v>112500</v>
      </c>
      <c r="BE1864" s="6531"/>
      <c r="BF1864" s="6531"/>
      <c r="BG1864" s="6531"/>
      <c r="BH1864" s="6531"/>
      <c r="BI1864" s="6550"/>
      <c r="BJ1864" s="6550"/>
      <c r="BK1864" s="6550"/>
      <c r="BL1864" s="6550"/>
      <c r="BM1864" s="6550"/>
      <c r="BN1864" s="6550"/>
      <c r="BO1864" s="6550"/>
      <c r="BP1864" s="6550"/>
      <c r="BQ1864" s="6550"/>
      <c r="BR1864" s="6531">
        <v>112500</v>
      </c>
      <c r="BS1864" s="6550"/>
      <c r="BT1864" s="6550"/>
      <c r="BU1864" s="6550"/>
      <c r="BV1864" s="6550"/>
      <c r="BW1864" s="6550"/>
      <c r="BX1864" s="6550"/>
      <c r="BY1864" s="6550"/>
      <c r="BZ1864" s="6550"/>
      <c r="CA1864" s="6550"/>
      <c r="CB1864" s="6550"/>
      <c r="CC1864" s="6499"/>
      <c r="CD1864" s="6499"/>
      <c r="CE1864" s="5750"/>
      <c r="CF1864" s="5750"/>
      <c r="CG1864" s="5750"/>
      <c r="CH1864" s="5750"/>
    </row>
    <row r="1865" s="4978" customFormat="1" ht="43.5" customHeight="1" spans="1:86">
      <c r="A1865" s="2678"/>
      <c r="B1865" s="600"/>
      <c r="C1865" s="6531"/>
      <c r="D1865" s="6813"/>
      <c r="E1865" s="6513"/>
      <c r="F1865" s="6513"/>
      <c r="G1865" s="6813"/>
      <c r="H1865" s="6531"/>
      <c r="I1865" s="6531"/>
      <c r="J1865" s="6813"/>
      <c r="K1865" s="6813"/>
      <c r="L1865" s="6813"/>
      <c r="M1865" s="6531"/>
      <c r="N1865" s="6531"/>
      <c r="O1865" s="6531"/>
      <c r="P1865" s="6531"/>
      <c r="Q1865" s="6531"/>
      <c r="R1865" s="6531"/>
      <c r="S1865" s="6531"/>
      <c r="T1865" s="6531"/>
      <c r="U1865" s="6531"/>
      <c r="V1865" s="6531"/>
      <c r="W1865" s="6531"/>
      <c r="X1865" s="6531"/>
      <c r="Y1865" s="6531"/>
      <c r="Z1865" s="6531"/>
      <c r="AA1865" s="6531"/>
      <c r="AB1865" s="6813"/>
      <c r="AC1865" s="6546" t="s">
        <v>3274</v>
      </c>
      <c r="AD1865" s="6823" t="s">
        <v>3368</v>
      </c>
      <c r="AE1865" s="6513">
        <v>0.05</v>
      </c>
      <c r="AF1865" s="6531">
        <f>AE1865*M1863</f>
        <v>12500</v>
      </c>
      <c r="AG1865" s="6531">
        <f t="shared" si="409"/>
        <v>0</v>
      </c>
      <c r="AH1865" s="6546"/>
      <c r="AI1865" s="6531"/>
      <c r="AJ1865" s="6531"/>
      <c r="AK1865" s="6531"/>
      <c r="AL1865" s="6531"/>
      <c r="AM1865" s="6531"/>
      <c r="AN1865" s="6531">
        <f t="shared" si="410"/>
        <v>0</v>
      </c>
      <c r="AO1865" s="6531"/>
      <c r="AP1865" s="6531">
        <f t="shared" si="411"/>
        <v>0</v>
      </c>
      <c r="AQ1865" s="6513"/>
      <c r="AR1865" s="6513"/>
      <c r="AS1865" s="6513"/>
      <c r="AT1865" s="6531"/>
      <c r="AU1865" s="6828"/>
      <c r="AV1865" s="6828"/>
      <c r="AW1865" s="6828"/>
      <c r="AX1865" s="6828"/>
      <c r="AY1865" s="6828"/>
      <c r="AZ1865" s="6828"/>
      <c r="BA1865" s="6531"/>
      <c r="BB1865" s="6531"/>
      <c r="BC1865" s="6531"/>
      <c r="BD1865" s="6531"/>
      <c r="BE1865" s="6531"/>
      <c r="BF1865" s="6531"/>
      <c r="BG1865" s="6531"/>
      <c r="BH1865" s="6531"/>
      <c r="BI1865" s="6531"/>
      <c r="BJ1865" s="6531"/>
      <c r="BK1865" s="6531"/>
      <c r="BL1865" s="6531"/>
      <c r="BM1865" s="6531"/>
      <c r="BN1865" s="6531"/>
      <c r="BO1865" s="6550"/>
      <c r="BP1865" s="6550"/>
      <c r="BQ1865" s="6550"/>
      <c r="BR1865" s="6531"/>
      <c r="BS1865" s="6550"/>
      <c r="BT1865" s="6550"/>
      <c r="BU1865" s="6550"/>
      <c r="BV1865" s="6550"/>
      <c r="BW1865" s="6550"/>
      <c r="BX1865" s="6550"/>
      <c r="BY1865" s="6550"/>
      <c r="BZ1865" s="6550"/>
      <c r="CA1865" s="6550"/>
      <c r="CB1865" s="6550"/>
      <c r="CC1865" s="6499"/>
      <c r="CD1865" s="6499"/>
      <c r="CE1865" s="5750"/>
      <c r="CF1865" s="5750"/>
      <c r="CG1865" s="5750"/>
      <c r="CH1865" s="5750"/>
    </row>
    <row r="1866" s="4978" customFormat="1" ht="124.75" customHeight="1" spans="1:86">
      <c r="A1866" s="2678"/>
      <c r="B1866" s="600" t="s">
        <v>1003</v>
      </c>
      <c r="C1866" s="2957">
        <v>44926</v>
      </c>
      <c r="D1866" s="440" t="s">
        <v>3369</v>
      </c>
      <c r="E1866" s="5196"/>
      <c r="F1866" s="440" t="s">
        <v>3220</v>
      </c>
      <c r="G1866" s="440" t="s">
        <v>3370</v>
      </c>
      <c r="H1866" s="600" t="s">
        <v>286</v>
      </c>
      <c r="I1866" s="600"/>
      <c r="J1866" s="440" t="s">
        <v>3371</v>
      </c>
      <c r="K1866" s="5196"/>
      <c r="L1866" s="5196"/>
      <c r="M1866" s="2957">
        <v>160000</v>
      </c>
      <c r="N1866" s="2957"/>
      <c r="O1866" s="2957"/>
      <c r="P1866" s="2957"/>
      <c r="Q1866" s="2957">
        <v>160000</v>
      </c>
      <c r="R1866" s="2957"/>
      <c r="S1866" s="2957"/>
      <c r="T1866" s="2957"/>
      <c r="U1866" s="2957"/>
      <c r="V1866" s="2957"/>
      <c r="W1866" s="2957"/>
      <c r="X1866" s="2957"/>
      <c r="Y1866" s="2957"/>
      <c r="Z1866" s="2957"/>
      <c r="AA1866" s="2957"/>
      <c r="AB1866" s="5196"/>
      <c r="AC1866" s="600" t="s">
        <v>1034</v>
      </c>
      <c r="AD1866" s="5392" t="s">
        <v>3372</v>
      </c>
      <c r="AE1866" s="440">
        <v>1</v>
      </c>
      <c r="AF1866" s="2957">
        <v>160000</v>
      </c>
      <c r="AG1866" s="2957">
        <f t="shared" si="409"/>
        <v>160000</v>
      </c>
      <c r="AH1866" s="600" t="s">
        <v>122</v>
      </c>
      <c r="AI1866" s="2957">
        <v>44922</v>
      </c>
      <c r="AJ1866" s="2957">
        <v>160000</v>
      </c>
      <c r="AK1866" s="2957">
        <v>44922</v>
      </c>
      <c r="AL1866" s="2957">
        <v>160000</v>
      </c>
      <c r="AM1866" s="2957">
        <v>44980</v>
      </c>
      <c r="AN1866" s="2957">
        <v>160000</v>
      </c>
      <c r="AO1866" s="2957">
        <v>45042</v>
      </c>
      <c r="AP1866" s="2957">
        <f t="shared" si="411"/>
        <v>0</v>
      </c>
      <c r="AQ1866" s="440" t="s">
        <v>3373</v>
      </c>
      <c r="AR1866" s="440"/>
      <c r="AS1866" s="440"/>
      <c r="AT1866" s="2957"/>
      <c r="AU1866" s="2678"/>
      <c r="AV1866" s="2678"/>
      <c r="AW1866" s="2678"/>
      <c r="AX1866" s="2678"/>
      <c r="AY1866" s="2678"/>
      <c r="AZ1866" s="2678"/>
      <c r="BA1866" s="2957"/>
      <c r="BB1866" s="2957"/>
      <c r="BC1866" s="2957"/>
      <c r="BD1866" s="2957">
        <v>160000</v>
      </c>
      <c r="BE1866" s="2957"/>
      <c r="BF1866" s="2957"/>
      <c r="BG1866" s="2957"/>
      <c r="BH1866" s="2957"/>
      <c r="BI1866" s="2957"/>
      <c r="BJ1866" s="2957"/>
      <c r="BK1866" s="2957"/>
      <c r="BL1866" s="2957"/>
      <c r="BM1866" s="2957"/>
      <c r="BN1866" s="2957"/>
      <c r="BO1866" s="5395"/>
      <c r="BP1866" s="5395"/>
      <c r="BQ1866" s="5395"/>
      <c r="BR1866" s="2957">
        <v>160000</v>
      </c>
      <c r="BS1866" s="5395"/>
      <c r="BT1866" s="5395"/>
      <c r="BU1866" s="5395"/>
      <c r="BV1866" s="5395"/>
      <c r="BW1866" s="5395"/>
      <c r="BX1866" s="5395"/>
      <c r="BY1866" s="5395"/>
      <c r="BZ1866" s="5395"/>
      <c r="CA1866" s="5395"/>
      <c r="CB1866" s="5395"/>
      <c r="CC1866" s="2682"/>
      <c r="CD1866" s="2682"/>
      <c r="CE1866" s="5750"/>
      <c r="CF1866" s="5750"/>
      <c r="CG1866" s="5750"/>
      <c r="CH1866" s="5750"/>
    </row>
    <row r="1867" s="4996" customFormat="1" ht="33.2" customHeight="1" spans="1:86">
      <c r="A1867" s="6814">
        <v>52</v>
      </c>
      <c r="B1867" s="6814" t="s">
        <v>1003</v>
      </c>
      <c r="C1867" s="6814">
        <v>44049</v>
      </c>
      <c r="D1867" s="5056" t="s">
        <v>3374</v>
      </c>
      <c r="E1867" s="5056" t="s">
        <v>3375</v>
      </c>
      <c r="F1867" s="5056" t="s">
        <v>3376</v>
      </c>
      <c r="G1867" s="5056" t="s">
        <v>3377</v>
      </c>
      <c r="H1867" s="5056" t="s">
        <v>3378</v>
      </c>
      <c r="I1867" s="5070"/>
      <c r="J1867" s="5056" t="s">
        <v>1297</v>
      </c>
      <c r="K1867" s="1125" t="s">
        <v>3379</v>
      </c>
      <c r="L1867" s="5056" t="s">
        <v>3380</v>
      </c>
      <c r="M1867" s="5056">
        <f>SUM(N1867:AA1872)</f>
        <v>5177421.88</v>
      </c>
      <c r="N1867" s="5056"/>
      <c r="O1867" s="5056"/>
      <c r="P1867" s="5056"/>
      <c r="Q1867" s="5056"/>
      <c r="R1867" s="5056"/>
      <c r="S1867" s="5056"/>
      <c r="T1867" s="5056"/>
      <c r="U1867" s="5056"/>
      <c r="V1867" s="5056"/>
      <c r="W1867" s="5056"/>
      <c r="X1867" s="5056"/>
      <c r="Y1867" s="5056"/>
      <c r="Z1867" s="5056"/>
      <c r="AA1867" s="5056">
        <v>5177421.88</v>
      </c>
      <c r="AB1867" s="5056" t="s">
        <v>3381</v>
      </c>
      <c r="AC1867" s="5056" t="s">
        <v>1055</v>
      </c>
      <c r="AD1867" s="1125" t="s">
        <v>3382</v>
      </c>
      <c r="AE1867" s="1125">
        <v>0.2</v>
      </c>
      <c r="AF1867" s="5056">
        <f>AE1867*M1867</f>
        <v>1035484.376</v>
      </c>
      <c r="AG1867" s="5056">
        <f t="shared" ref="AG1867:AG1873" si="412">SUM(BA1867:BN1867)</f>
        <v>621290.63</v>
      </c>
      <c r="AH1867" s="5056" t="s">
        <v>122</v>
      </c>
      <c r="AI1867" s="5056">
        <v>44127</v>
      </c>
      <c r="AJ1867" s="5056">
        <v>1035483.38</v>
      </c>
      <c r="AK1867" s="5056">
        <v>44127</v>
      </c>
      <c r="AL1867" s="5056">
        <v>1035484.38</v>
      </c>
      <c r="AM1867" s="5056">
        <v>44138</v>
      </c>
      <c r="AN1867" s="3057">
        <f t="shared" ref="AN1867:AN1873" si="413">SUM(BO1867:CB1867)</f>
        <v>517742.19</v>
      </c>
      <c r="AO1867" s="5056">
        <v>44176</v>
      </c>
      <c r="AP1867" s="3057">
        <f t="shared" ref="AP1867:AP1872" si="414">AG1867-AN1867</f>
        <v>103548.44</v>
      </c>
      <c r="AQ1867" s="5056" t="s">
        <v>3383</v>
      </c>
      <c r="AR1867" s="6829"/>
      <c r="AS1867" s="6829"/>
      <c r="AT1867" s="6829"/>
      <c r="AU1867" s="5056">
        <f>SUM(AG1867:AG1872)</f>
        <v>5177421.89</v>
      </c>
      <c r="AV1867" s="5056">
        <f>SUM(AL1867:AL1872)</f>
        <v>4659679.7</v>
      </c>
      <c r="AW1867" s="5056">
        <f>SUM(AN1867:AN1872)</f>
        <v>4659679.7</v>
      </c>
      <c r="AX1867" s="5056">
        <f>M1867-AU1867</f>
        <v>-0.00999999884516001</v>
      </c>
      <c r="AY1867" s="5056">
        <f>AU1867-AV1867</f>
        <v>517742.189999999</v>
      </c>
      <c r="AZ1867" s="5056">
        <f>AV1867-AW1867</f>
        <v>0</v>
      </c>
      <c r="BA1867" s="5056"/>
      <c r="BB1867" s="5056"/>
      <c r="BC1867" s="5056"/>
      <c r="BD1867" s="5056"/>
      <c r="BE1867" s="5056"/>
      <c r="BF1867" s="5056"/>
      <c r="BG1867" s="5056"/>
      <c r="BH1867" s="5056"/>
      <c r="BI1867" s="5056"/>
      <c r="BJ1867" s="5056"/>
      <c r="BK1867" s="5056"/>
      <c r="BL1867" s="5056"/>
      <c r="BM1867" s="5056"/>
      <c r="BN1867" s="5056">
        <v>621290.63</v>
      </c>
      <c r="BO1867" s="6829"/>
      <c r="BP1867" s="6829"/>
      <c r="BQ1867" s="6829"/>
      <c r="BR1867" s="6829"/>
      <c r="BS1867" s="6829"/>
      <c r="BT1867" s="6829"/>
      <c r="BU1867" s="6829"/>
      <c r="BV1867" s="6829"/>
      <c r="BW1867" s="6829"/>
      <c r="BX1867" s="6829"/>
      <c r="BY1867" s="6829"/>
      <c r="BZ1867" s="6829"/>
      <c r="CA1867" s="6829"/>
      <c r="CB1867" s="5056">
        <v>517742.19</v>
      </c>
      <c r="CC1867" s="6829" t="s">
        <v>1112</v>
      </c>
      <c r="CD1867" s="6829" t="s">
        <v>3384</v>
      </c>
      <c r="CE1867" s="6834"/>
      <c r="CF1867" s="6834"/>
      <c r="CG1867" s="6834"/>
      <c r="CH1867" s="6834"/>
    </row>
    <row r="1868" s="4996" customFormat="1" ht="36.45" customHeight="1" spans="1:86">
      <c r="A1868" s="6814"/>
      <c r="B1868" s="6814"/>
      <c r="C1868" s="6814"/>
      <c r="D1868" s="5056"/>
      <c r="E1868" s="5056"/>
      <c r="F1868" s="5056"/>
      <c r="G1868" s="5056"/>
      <c r="H1868" s="5056"/>
      <c r="I1868" s="5071"/>
      <c r="J1868" s="5056"/>
      <c r="K1868" s="5056"/>
      <c r="L1868" s="5056"/>
      <c r="M1868" s="5056"/>
      <c r="N1868" s="5056"/>
      <c r="O1868" s="5056"/>
      <c r="P1868" s="5056"/>
      <c r="Q1868" s="5056"/>
      <c r="R1868" s="5056"/>
      <c r="S1868" s="5056"/>
      <c r="T1868" s="5056"/>
      <c r="U1868" s="5056"/>
      <c r="V1868" s="5056"/>
      <c r="W1868" s="5056"/>
      <c r="X1868" s="5056"/>
      <c r="Y1868" s="5056"/>
      <c r="Z1868" s="5056"/>
      <c r="AA1868" s="5056"/>
      <c r="AB1868" s="5056"/>
      <c r="AC1868" s="5056"/>
      <c r="AD1868" s="1125"/>
      <c r="AE1868" s="1125"/>
      <c r="AF1868" s="5056"/>
      <c r="AG1868" s="5056">
        <f t="shared" si="412"/>
        <v>414193.75</v>
      </c>
      <c r="AH1868" s="5056"/>
      <c r="AI1868" s="5056"/>
      <c r="AJ1868" s="5056"/>
      <c r="AK1868" s="5056"/>
      <c r="AL1868" s="5056"/>
      <c r="AM1868" s="5056"/>
      <c r="AN1868" s="3057">
        <f t="shared" si="413"/>
        <v>517742.19</v>
      </c>
      <c r="AO1868" s="5056">
        <v>44229</v>
      </c>
      <c r="AP1868" s="3057">
        <f t="shared" si="414"/>
        <v>-103548.44</v>
      </c>
      <c r="AQ1868" s="5056"/>
      <c r="AR1868" s="6829"/>
      <c r="AS1868" s="6829"/>
      <c r="AT1868" s="6829"/>
      <c r="AU1868" s="5056"/>
      <c r="AV1868" s="5056"/>
      <c r="AW1868" s="5056"/>
      <c r="AX1868" s="5056"/>
      <c r="AY1868" s="5056"/>
      <c r="AZ1868" s="5056"/>
      <c r="BA1868" s="5056"/>
      <c r="BB1868" s="5056"/>
      <c r="BC1868" s="5056"/>
      <c r="BD1868" s="5056"/>
      <c r="BE1868" s="5056"/>
      <c r="BF1868" s="5056"/>
      <c r="BG1868" s="5056"/>
      <c r="BH1868" s="5056"/>
      <c r="BI1868" s="5056"/>
      <c r="BJ1868" s="5056"/>
      <c r="BK1868" s="5056"/>
      <c r="BL1868" s="5056"/>
      <c r="BM1868" s="5056"/>
      <c r="BN1868" s="5056">
        <v>414193.75</v>
      </c>
      <c r="BO1868" s="5056"/>
      <c r="BP1868" s="5056"/>
      <c r="BQ1868" s="5056"/>
      <c r="BR1868" s="5056"/>
      <c r="BS1868" s="5056"/>
      <c r="BT1868" s="5056"/>
      <c r="BU1868" s="5056"/>
      <c r="BV1868" s="5056"/>
      <c r="BW1868" s="5056"/>
      <c r="BX1868" s="5056"/>
      <c r="BY1868" s="5056"/>
      <c r="BZ1868" s="5056"/>
      <c r="CA1868" s="5056"/>
      <c r="CB1868" s="5056">
        <v>517742.19</v>
      </c>
      <c r="CC1868" s="6829"/>
      <c r="CD1868" s="6829"/>
      <c r="CE1868" s="6834"/>
      <c r="CF1868" s="6834"/>
      <c r="CG1868" s="6834"/>
      <c r="CH1868" s="6834"/>
    </row>
    <row r="1869" s="4996" customFormat="1" ht="38.55" customHeight="1" spans="1:86">
      <c r="A1869" s="6814"/>
      <c r="B1869" s="6814"/>
      <c r="C1869" s="6814"/>
      <c r="D1869" s="5056"/>
      <c r="E1869" s="5056"/>
      <c r="F1869" s="5056"/>
      <c r="G1869" s="5056"/>
      <c r="H1869" s="5056"/>
      <c r="I1869" s="5071"/>
      <c r="J1869" s="5056"/>
      <c r="K1869" s="5056"/>
      <c r="L1869" s="5056"/>
      <c r="M1869" s="5056"/>
      <c r="N1869" s="5056"/>
      <c r="O1869" s="5056"/>
      <c r="P1869" s="5056"/>
      <c r="Q1869" s="5056"/>
      <c r="R1869" s="5056"/>
      <c r="S1869" s="5056"/>
      <c r="T1869" s="5056"/>
      <c r="U1869" s="5056"/>
      <c r="V1869" s="5056"/>
      <c r="W1869" s="5056"/>
      <c r="X1869" s="5056"/>
      <c r="Y1869" s="5056"/>
      <c r="Z1869" s="5056"/>
      <c r="AA1869" s="5056"/>
      <c r="AB1869" s="5056"/>
      <c r="AC1869" s="5056" t="s">
        <v>1057</v>
      </c>
      <c r="AD1869" s="1125" t="s">
        <v>3385</v>
      </c>
      <c r="AE1869" s="1125">
        <v>0.7</v>
      </c>
      <c r="AF1869" s="5056">
        <f>AE1869*M1867</f>
        <v>3624195.316</v>
      </c>
      <c r="AG1869" s="5056">
        <f t="shared" si="412"/>
        <v>2174517.19</v>
      </c>
      <c r="AH1869" s="5056" t="s">
        <v>122</v>
      </c>
      <c r="AI1869" s="5056">
        <v>44182</v>
      </c>
      <c r="AJ1869" s="5056">
        <v>2174517.19</v>
      </c>
      <c r="AK1869" s="5056">
        <v>44182</v>
      </c>
      <c r="AL1869" s="5056">
        <v>2174517.19</v>
      </c>
      <c r="AM1869" s="5056">
        <v>44182</v>
      </c>
      <c r="AN1869" s="3057">
        <f t="shared" si="413"/>
        <v>2174517.19</v>
      </c>
      <c r="AO1869" s="5056">
        <v>44279</v>
      </c>
      <c r="AP1869" s="3057">
        <f t="shared" si="414"/>
        <v>0</v>
      </c>
      <c r="AQ1869" s="5057" t="s">
        <v>3386</v>
      </c>
      <c r="AR1869" s="6829"/>
      <c r="AS1869" s="6829"/>
      <c r="AT1869" s="6829"/>
      <c r="AU1869" s="5056"/>
      <c r="AV1869" s="5056"/>
      <c r="AW1869" s="5056"/>
      <c r="AX1869" s="5056"/>
      <c r="AY1869" s="5056"/>
      <c r="AZ1869" s="5056"/>
      <c r="BA1869" s="5056"/>
      <c r="BB1869" s="5056"/>
      <c r="BC1869" s="5056"/>
      <c r="BD1869" s="5056"/>
      <c r="BE1869" s="5056"/>
      <c r="BF1869" s="5056"/>
      <c r="BG1869" s="5056"/>
      <c r="BH1869" s="5056"/>
      <c r="BI1869" s="5056"/>
      <c r="BJ1869" s="5056"/>
      <c r="BK1869" s="5056"/>
      <c r="BL1869" s="5056"/>
      <c r="BM1869" s="5056"/>
      <c r="BN1869" s="5056">
        <v>2174517.19</v>
      </c>
      <c r="BO1869" s="5056"/>
      <c r="BP1869" s="5056"/>
      <c r="BQ1869" s="5056"/>
      <c r="BR1869" s="5056"/>
      <c r="BS1869" s="5056"/>
      <c r="BT1869" s="5056"/>
      <c r="BU1869" s="5056"/>
      <c r="BV1869" s="5056"/>
      <c r="BW1869" s="5056"/>
      <c r="BX1869" s="5056"/>
      <c r="BY1869" s="5056"/>
      <c r="BZ1869" s="5056"/>
      <c r="CA1869" s="5056"/>
      <c r="CB1869" s="5056">
        <v>2174517.19</v>
      </c>
      <c r="CC1869" s="6829"/>
      <c r="CD1869" s="6829"/>
      <c r="CE1869" s="6834"/>
      <c r="CF1869" s="6834"/>
      <c r="CG1869" s="6834"/>
      <c r="CH1869" s="6834"/>
    </row>
    <row r="1870" s="4996" customFormat="1" ht="36.45" customHeight="1" spans="1:86">
      <c r="A1870" s="6814"/>
      <c r="B1870" s="6814"/>
      <c r="C1870" s="6814"/>
      <c r="D1870" s="5056"/>
      <c r="E1870" s="5056"/>
      <c r="F1870" s="5056"/>
      <c r="G1870" s="5056"/>
      <c r="H1870" s="5056"/>
      <c r="I1870" s="5071"/>
      <c r="J1870" s="5056"/>
      <c r="K1870" s="5056"/>
      <c r="L1870" s="5056"/>
      <c r="M1870" s="5056"/>
      <c r="N1870" s="5056"/>
      <c r="O1870" s="5056"/>
      <c r="P1870" s="5056"/>
      <c r="Q1870" s="5056"/>
      <c r="R1870" s="5056"/>
      <c r="S1870" s="5056"/>
      <c r="T1870" s="5056"/>
      <c r="U1870" s="5056"/>
      <c r="V1870" s="5056"/>
      <c r="W1870" s="5056"/>
      <c r="X1870" s="5056"/>
      <c r="Y1870" s="5056"/>
      <c r="Z1870" s="5056"/>
      <c r="AA1870" s="5056"/>
      <c r="AB1870" s="5056"/>
      <c r="AC1870" s="5056"/>
      <c r="AD1870" s="1125"/>
      <c r="AE1870" s="1125"/>
      <c r="AF1870" s="5056"/>
      <c r="AG1870" s="5056">
        <f t="shared" si="412"/>
        <v>1449678.13</v>
      </c>
      <c r="AH1870" s="5056" t="s">
        <v>122</v>
      </c>
      <c r="AI1870" s="5056">
        <v>44364</v>
      </c>
      <c r="AJ1870" s="5056">
        <v>1449678.13</v>
      </c>
      <c r="AK1870" s="5056">
        <v>44364</v>
      </c>
      <c r="AL1870" s="5056">
        <v>1449678.13</v>
      </c>
      <c r="AM1870" s="5056">
        <v>44365</v>
      </c>
      <c r="AN1870" s="3057">
        <f t="shared" si="413"/>
        <v>1449678.13</v>
      </c>
      <c r="AO1870" s="5056">
        <v>44384</v>
      </c>
      <c r="AP1870" s="3057">
        <f t="shared" si="414"/>
        <v>0</v>
      </c>
      <c r="AQ1870" s="6829" t="s">
        <v>3387</v>
      </c>
      <c r="AR1870" s="6829"/>
      <c r="AS1870" s="6829"/>
      <c r="AT1870" s="6829"/>
      <c r="AU1870" s="5056"/>
      <c r="AV1870" s="5056"/>
      <c r="AW1870" s="5056"/>
      <c r="AX1870" s="5056"/>
      <c r="AY1870" s="5056"/>
      <c r="AZ1870" s="5056"/>
      <c r="BA1870" s="5056"/>
      <c r="BB1870" s="5056"/>
      <c r="BC1870" s="5056"/>
      <c r="BD1870" s="5056"/>
      <c r="BE1870" s="5056"/>
      <c r="BF1870" s="5056"/>
      <c r="BG1870" s="5056"/>
      <c r="BH1870" s="5056"/>
      <c r="BI1870" s="5056"/>
      <c r="BJ1870" s="5056"/>
      <c r="BK1870" s="5056"/>
      <c r="BL1870" s="5056"/>
      <c r="BM1870" s="5056"/>
      <c r="BN1870" s="5056">
        <v>1449678.13</v>
      </c>
      <c r="BO1870" s="5056"/>
      <c r="BP1870" s="5056"/>
      <c r="BQ1870" s="5056"/>
      <c r="BR1870" s="5056"/>
      <c r="BS1870" s="5056"/>
      <c r="BT1870" s="5056"/>
      <c r="BU1870" s="5056"/>
      <c r="BV1870" s="5056"/>
      <c r="BW1870" s="5056"/>
      <c r="BX1870" s="5056"/>
      <c r="BY1870" s="5056"/>
      <c r="BZ1870" s="5056"/>
      <c r="CA1870" s="5056"/>
      <c r="CB1870" s="5056">
        <v>1449678.13</v>
      </c>
      <c r="CC1870" s="6829"/>
      <c r="CD1870" s="6829"/>
      <c r="CE1870" s="6834"/>
      <c r="CF1870" s="6834"/>
      <c r="CG1870" s="6834"/>
      <c r="CH1870" s="6834"/>
    </row>
    <row r="1871" s="4996" customFormat="1" ht="34.3" customHeight="1" spans="1:86">
      <c r="A1871" s="6814"/>
      <c r="B1871" s="6814"/>
      <c r="C1871" s="6814"/>
      <c r="D1871" s="5056"/>
      <c r="E1871" s="5056"/>
      <c r="F1871" s="5056"/>
      <c r="G1871" s="5056"/>
      <c r="H1871" s="5056"/>
      <c r="I1871" s="5071"/>
      <c r="J1871" s="5056"/>
      <c r="K1871" s="5056"/>
      <c r="L1871" s="5056"/>
      <c r="M1871" s="5056"/>
      <c r="N1871" s="5056"/>
      <c r="O1871" s="5056"/>
      <c r="P1871" s="5056"/>
      <c r="Q1871" s="5056"/>
      <c r="R1871" s="5056"/>
      <c r="S1871" s="5056"/>
      <c r="T1871" s="5056"/>
      <c r="U1871" s="5056"/>
      <c r="V1871" s="5056"/>
      <c r="W1871" s="5056"/>
      <c r="X1871" s="5056"/>
      <c r="Y1871" s="5056"/>
      <c r="Z1871" s="5056"/>
      <c r="AA1871" s="5056"/>
      <c r="AB1871" s="5056"/>
      <c r="AC1871" s="5056" t="s">
        <v>1059</v>
      </c>
      <c r="AD1871" s="1125" t="s">
        <v>3388</v>
      </c>
      <c r="AE1871" s="1125">
        <v>0.1</v>
      </c>
      <c r="AF1871" s="5056">
        <f>M1867*AE1871</f>
        <v>517742.188</v>
      </c>
      <c r="AG1871" s="5057">
        <f t="shared" si="412"/>
        <v>310645.31</v>
      </c>
      <c r="AH1871" s="1127" t="s">
        <v>122</v>
      </c>
      <c r="AI1871" s="5057"/>
      <c r="AJ1871" s="6829"/>
      <c r="AK1871" s="6829"/>
      <c r="AL1871" s="6829"/>
      <c r="AM1871" s="6829"/>
      <c r="AN1871" s="3057">
        <f t="shared" si="413"/>
        <v>0</v>
      </c>
      <c r="AO1871" s="6829"/>
      <c r="AP1871" s="3057">
        <f t="shared" si="414"/>
        <v>310645.31</v>
      </c>
      <c r="AQ1871" s="6829"/>
      <c r="AR1871" s="6829"/>
      <c r="AS1871" s="6829"/>
      <c r="AT1871" s="6829"/>
      <c r="AU1871" s="5056"/>
      <c r="AV1871" s="5056"/>
      <c r="AW1871" s="5056"/>
      <c r="AX1871" s="5056"/>
      <c r="AY1871" s="5056"/>
      <c r="AZ1871" s="5056"/>
      <c r="BA1871" s="6829"/>
      <c r="BB1871" s="6829"/>
      <c r="BC1871" s="6829"/>
      <c r="BD1871" s="6829"/>
      <c r="BE1871" s="6829"/>
      <c r="BF1871" s="6829"/>
      <c r="BG1871" s="6829"/>
      <c r="BH1871" s="6829"/>
      <c r="BI1871" s="6829"/>
      <c r="BJ1871" s="6829"/>
      <c r="BK1871" s="6829"/>
      <c r="BL1871" s="6829"/>
      <c r="BM1871" s="6829"/>
      <c r="BN1871" s="5056">
        <v>310645.31</v>
      </c>
      <c r="BO1871" s="6829"/>
      <c r="BP1871" s="6829"/>
      <c r="BQ1871" s="6829"/>
      <c r="BR1871" s="6829"/>
      <c r="BS1871" s="6829"/>
      <c r="BT1871" s="6829"/>
      <c r="BU1871" s="6829"/>
      <c r="BV1871" s="6829"/>
      <c r="BW1871" s="6829"/>
      <c r="BX1871" s="6829"/>
      <c r="BY1871" s="6829"/>
      <c r="BZ1871" s="6829"/>
      <c r="CA1871" s="6829"/>
      <c r="CB1871" s="5056"/>
      <c r="CC1871" s="6829"/>
      <c r="CD1871" s="6829"/>
      <c r="CE1871" s="6834"/>
      <c r="CF1871" s="6834"/>
      <c r="CG1871" s="6834"/>
      <c r="CH1871" s="6834"/>
    </row>
    <row r="1872" s="4996" customFormat="1" ht="36.45" customHeight="1" spans="1:86">
      <c r="A1872" s="6814"/>
      <c r="B1872" s="6814"/>
      <c r="C1872" s="6814"/>
      <c r="D1872" s="5056"/>
      <c r="E1872" s="5056"/>
      <c r="F1872" s="5056"/>
      <c r="G1872" s="5056"/>
      <c r="H1872" s="5056"/>
      <c r="I1872" s="5072"/>
      <c r="J1872" s="5056"/>
      <c r="K1872" s="5056"/>
      <c r="L1872" s="5056"/>
      <c r="M1872" s="5056"/>
      <c r="N1872" s="5056"/>
      <c r="O1872" s="5056"/>
      <c r="P1872" s="5056"/>
      <c r="Q1872" s="5056"/>
      <c r="R1872" s="5056"/>
      <c r="S1872" s="5056"/>
      <c r="T1872" s="5056"/>
      <c r="U1872" s="5056"/>
      <c r="V1872" s="5056"/>
      <c r="W1872" s="5056"/>
      <c r="X1872" s="5056"/>
      <c r="Y1872" s="5056"/>
      <c r="Z1872" s="5056"/>
      <c r="AA1872" s="5056"/>
      <c r="AB1872" s="5056"/>
      <c r="AC1872" s="5056"/>
      <c r="AD1872" s="5837"/>
      <c r="AE1872" s="1125"/>
      <c r="AF1872" s="5056"/>
      <c r="AG1872" s="5057">
        <f t="shared" si="412"/>
        <v>207096.88</v>
      </c>
      <c r="AH1872" s="1127" t="s">
        <v>349</v>
      </c>
      <c r="AI1872" s="5057"/>
      <c r="AJ1872" s="6829"/>
      <c r="AK1872" s="6829"/>
      <c r="AL1872" s="6829"/>
      <c r="AM1872" s="6829"/>
      <c r="AN1872" s="3057">
        <f t="shared" si="413"/>
        <v>0</v>
      </c>
      <c r="AO1872" s="6829"/>
      <c r="AP1872" s="3057">
        <f t="shared" si="414"/>
        <v>207096.88</v>
      </c>
      <c r="AQ1872" s="6829"/>
      <c r="AR1872" s="6829"/>
      <c r="AS1872" s="6829"/>
      <c r="AT1872" s="6829"/>
      <c r="AU1872" s="5056"/>
      <c r="AV1872" s="5056"/>
      <c r="AW1872" s="5056"/>
      <c r="AX1872" s="5056"/>
      <c r="AY1872" s="5056"/>
      <c r="AZ1872" s="5056"/>
      <c r="BA1872" s="6829"/>
      <c r="BB1872" s="6829"/>
      <c r="BC1872" s="6829"/>
      <c r="BD1872" s="6829"/>
      <c r="BE1872" s="6829"/>
      <c r="BF1872" s="6829"/>
      <c r="BG1872" s="6829"/>
      <c r="BH1872" s="6829"/>
      <c r="BI1872" s="6829"/>
      <c r="BJ1872" s="6829"/>
      <c r="BK1872" s="6829"/>
      <c r="BL1872" s="6829"/>
      <c r="BM1872" s="6829"/>
      <c r="BN1872" s="5056">
        <v>207096.88</v>
      </c>
      <c r="BO1872" s="6829"/>
      <c r="BP1872" s="6829"/>
      <c r="BQ1872" s="6829"/>
      <c r="BR1872" s="6829"/>
      <c r="BS1872" s="6829"/>
      <c r="BT1872" s="6829"/>
      <c r="BU1872" s="6829"/>
      <c r="BV1872" s="6829"/>
      <c r="BW1872" s="6829"/>
      <c r="BX1872" s="6829"/>
      <c r="BY1872" s="6829"/>
      <c r="BZ1872" s="6829"/>
      <c r="CA1872" s="6829"/>
      <c r="CB1872" s="5056"/>
      <c r="CC1872" s="6829"/>
      <c r="CD1872" s="6829"/>
      <c r="CE1872" s="6834"/>
      <c r="CF1872" s="6834"/>
      <c r="CG1872" s="6834"/>
      <c r="CH1872" s="6834"/>
    </row>
    <row r="1873" s="4989" customFormat="1" ht="33.2" customHeight="1" spans="1:86">
      <c r="A1873" s="6814"/>
      <c r="B1873" s="6814"/>
      <c r="C1873" s="6814">
        <v>44049</v>
      </c>
      <c r="D1873" s="6667" t="s">
        <v>3389</v>
      </c>
      <c r="E1873" s="6667" t="s">
        <v>3375</v>
      </c>
      <c r="F1873" s="6667" t="s">
        <v>3376</v>
      </c>
      <c r="G1873" s="6667" t="s">
        <v>3377</v>
      </c>
      <c r="H1873" s="6667" t="s">
        <v>3390</v>
      </c>
      <c r="I1873" s="6667"/>
      <c r="J1873" s="6667" t="s">
        <v>1297</v>
      </c>
      <c r="K1873" s="6667">
        <v>352998.7</v>
      </c>
      <c r="L1873" s="6667" t="s">
        <v>3391</v>
      </c>
      <c r="M1873" s="6667">
        <f>SUM(N1873:AA1880)</f>
        <v>5391426.8</v>
      </c>
      <c r="N1873" s="6667"/>
      <c r="O1873" s="6667"/>
      <c r="P1873" s="6667"/>
      <c r="Q1873" s="6667"/>
      <c r="R1873" s="6667"/>
      <c r="S1873" s="6667"/>
      <c r="T1873" s="6667"/>
      <c r="U1873" s="6667"/>
      <c r="V1873" s="6667"/>
      <c r="W1873" s="6667"/>
      <c r="X1873" s="6667"/>
      <c r="Y1873" s="6667"/>
      <c r="Z1873" s="6667"/>
      <c r="AA1873" s="6667">
        <v>5391426.8</v>
      </c>
      <c r="AB1873" s="6667" t="s">
        <v>3392</v>
      </c>
      <c r="AC1873" s="6667" t="s">
        <v>2792</v>
      </c>
      <c r="AD1873" s="5544" t="s">
        <v>3393</v>
      </c>
      <c r="AE1873" s="5544">
        <v>0.2</v>
      </c>
      <c r="AF1873" s="6667">
        <f>AE1873*M1873</f>
        <v>1078285.36</v>
      </c>
      <c r="AG1873" s="6667">
        <f t="shared" si="412"/>
        <v>646971.22</v>
      </c>
      <c r="AH1873" s="6667" t="s">
        <v>122</v>
      </c>
      <c r="AI1873" s="6667">
        <v>44127</v>
      </c>
      <c r="AJ1873" s="6667">
        <v>1078285.36</v>
      </c>
      <c r="AK1873" s="6667">
        <v>44127</v>
      </c>
      <c r="AL1873" s="6667">
        <v>1078285.36</v>
      </c>
      <c r="AM1873" s="6667">
        <v>44138</v>
      </c>
      <c r="AN1873" s="5630">
        <f t="shared" si="413"/>
        <v>539142.68</v>
      </c>
      <c r="AO1873" s="6667">
        <v>44176</v>
      </c>
      <c r="AP1873" s="5630">
        <f t="shared" ref="AP1873:AP1880" si="415">AG1873-AN1873</f>
        <v>107828.54</v>
      </c>
      <c r="AQ1873" s="6667" t="s">
        <v>3383</v>
      </c>
      <c r="AR1873" s="6831"/>
      <c r="AS1873" s="6831"/>
      <c r="AT1873" s="6831"/>
      <c r="AU1873" s="6667">
        <f>SUM(AG1873:AG1880)</f>
        <v>3666170.23</v>
      </c>
      <c r="AV1873" s="6667">
        <f>SUM(AL1873:AL1880)</f>
        <v>3342684.62</v>
      </c>
      <c r="AW1873" s="6667">
        <f>SUM(AN1873:AN1880)</f>
        <v>3342684.62</v>
      </c>
      <c r="AX1873" s="6667">
        <f>M1873-AU1873</f>
        <v>1725256.57</v>
      </c>
      <c r="AY1873" s="6667">
        <f>AU1873-AV1873</f>
        <v>323485.61</v>
      </c>
      <c r="AZ1873" s="6667">
        <f>AV1873-AW1873</f>
        <v>0</v>
      </c>
      <c r="BA1873" s="6667"/>
      <c r="BB1873" s="6667"/>
      <c r="BC1873" s="6667"/>
      <c r="BD1873" s="6667"/>
      <c r="BE1873" s="6667"/>
      <c r="BF1873" s="6667"/>
      <c r="BG1873" s="6667"/>
      <c r="BH1873" s="6667"/>
      <c r="BI1873" s="6667"/>
      <c r="BJ1873" s="6667"/>
      <c r="BK1873" s="6667"/>
      <c r="BL1873" s="6667"/>
      <c r="BM1873" s="6667"/>
      <c r="BN1873" s="6667">
        <v>646971.22</v>
      </c>
      <c r="BO1873" s="6831"/>
      <c r="BP1873" s="6831"/>
      <c r="BQ1873" s="6831"/>
      <c r="BR1873" s="6831"/>
      <c r="BS1873" s="6831"/>
      <c r="BT1873" s="6831"/>
      <c r="BU1873" s="6831"/>
      <c r="BV1873" s="6831"/>
      <c r="BW1873" s="6831"/>
      <c r="BX1873" s="6831"/>
      <c r="BY1873" s="6831"/>
      <c r="BZ1873" s="6831"/>
      <c r="CA1873" s="6831"/>
      <c r="CB1873" s="6667">
        <v>539142.68</v>
      </c>
      <c r="CC1873" s="6835"/>
      <c r="CD1873" s="6835"/>
      <c r="CE1873" s="6775"/>
      <c r="CF1873" s="6775"/>
      <c r="CG1873" s="6775"/>
      <c r="CH1873" s="6775"/>
    </row>
    <row r="1874" s="4989" customFormat="1" ht="32.15" customHeight="1" spans="1:86">
      <c r="A1874" s="6814"/>
      <c r="B1874" s="6814"/>
      <c r="C1874" s="6814"/>
      <c r="D1874" s="6667"/>
      <c r="E1874" s="6667"/>
      <c r="F1874" s="6667"/>
      <c r="G1874" s="6667"/>
      <c r="H1874" s="6667"/>
      <c r="I1874" s="6667"/>
      <c r="J1874" s="6667"/>
      <c r="K1874" s="6667"/>
      <c r="L1874" s="6667"/>
      <c r="M1874" s="6667"/>
      <c r="N1874" s="6667"/>
      <c r="O1874" s="6667"/>
      <c r="P1874" s="6667"/>
      <c r="Q1874" s="6667"/>
      <c r="R1874" s="6667"/>
      <c r="S1874" s="6667"/>
      <c r="T1874" s="6667"/>
      <c r="U1874" s="6667"/>
      <c r="V1874" s="6667"/>
      <c r="W1874" s="6667"/>
      <c r="X1874" s="6667"/>
      <c r="Y1874" s="6667"/>
      <c r="Z1874" s="6667"/>
      <c r="AA1874" s="6667"/>
      <c r="AB1874" s="6667"/>
      <c r="AC1874" s="6667"/>
      <c r="AD1874" s="5544"/>
      <c r="AE1874" s="5544"/>
      <c r="AF1874" s="6667"/>
      <c r="AG1874" s="6667">
        <f t="shared" ref="AG1874:AG1888" si="416">SUM(BA1874:BN1874)</f>
        <v>431314.14</v>
      </c>
      <c r="AH1874" s="6667"/>
      <c r="AI1874" s="6667"/>
      <c r="AJ1874" s="6667"/>
      <c r="AK1874" s="6667"/>
      <c r="AL1874" s="6667"/>
      <c r="AM1874" s="6667"/>
      <c r="AN1874" s="5630">
        <f t="shared" ref="AN1874:AN1888" si="417">SUM(BO1874:CB1874)</f>
        <v>539142.68</v>
      </c>
      <c r="AO1874" s="6667">
        <v>44229</v>
      </c>
      <c r="AP1874" s="5630">
        <f t="shared" si="415"/>
        <v>-107828.54</v>
      </c>
      <c r="AQ1874" s="6667"/>
      <c r="AR1874" s="6831"/>
      <c r="AS1874" s="6831"/>
      <c r="AT1874" s="6831"/>
      <c r="AU1874" s="6667"/>
      <c r="AV1874" s="6667"/>
      <c r="AW1874" s="6667"/>
      <c r="AX1874" s="6667"/>
      <c r="AY1874" s="6667"/>
      <c r="AZ1874" s="6667"/>
      <c r="BA1874" s="6667"/>
      <c r="BB1874" s="6667"/>
      <c r="BC1874" s="6667"/>
      <c r="BD1874" s="6667"/>
      <c r="BE1874" s="6667"/>
      <c r="BF1874" s="6667"/>
      <c r="BG1874" s="6667"/>
      <c r="BH1874" s="6667"/>
      <c r="BI1874" s="6667"/>
      <c r="BJ1874" s="6667"/>
      <c r="BK1874" s="6667"/>
      <c r="BL1874" s="6667"/>
      <c r="BM1874" s="6667"/>
      <c r="BN1874" s="6667">
        <v>431314.14</v>
      </c>
      <c r="BO1874" s="6667"/>
      <c r="BP1874" s="6667"/>
      <c r="BQ1874" s="6667"/>
      <c r="BR1874" s="6667"/>
      <c r="BS1874" s="6667"/>
      <c r="BT1874" s="6667"/>
      <c r="BU1874" s="6667"/>
      <c r="BV1874" s="6667"/>
      <c r="BW1874" s="6667"/>
      <c r="BX1874" s="6667"/>
      <c r="BY1874" s="6667"/>
      <c r="BZ1874" s="6667"/>
      <c r="CA1874" s="6667"/>
      <c r="CB1874" s="6667">
        <v>539142.68</v>
      </c>
      <c r="CC1874" s="6835"/>
      <c r="CD1874" s="6835"/>
      <c r="CE1874" s="6775"/>
      <c r="CF1874" s="6775"/>
      <c r="CG1874" s="6775"/>
      <c r="CH1874" s="6775"/>
    </row>
    <row r="1875" s="4989" customFormat="1" ht="35.35" customHeight="1" spans="1:86">
      <c r="A1875" s="6814"/>
      <c r="B1875" s="6814"/>
      <c r="C1875" s="6814"/>
      <c r="D1875" s="6667"/>
      <c r="E1875" s="6667"/>
      <c r="F1875" s="6667"/>
      <c r="G1875" s="6667"/>
      <c r="H1875" s="6667"/>
      <c r="I1875" s="6667"/>
      <c r="J1875" s="6667"/>
      <c r="K1875" s="6667"/>
      <c r="L1875" s="6667"/>
      <c r="M1875" s="6667"/>
      <c r="N1875" s="6667"/>
      <c r="O1875" s="6667"/>
      <c r="P1875" s="6667"/>
      <c r="Q1875" s="6667"/>
      <c r="R1875" s="6667"/>
      <c r="S1875" s="6667"/>
      <c r="T1875" s="6667"/>
      <c r="U1875" s="6667"/>
      <c r="V1875" s="6667"/>
      <c r="W1875" s="6667"/>
      <c r="X1875" s="6667"/>
      <c r="Y1875" s="6667"/>
      <c r="Z1875" s="6667"/>
      <c r="AA1875" s="6667"/>
      <c r="AB1875" s="6667"/>
      <c r="AC1875" s="6667" t="s">
        <v>2794</v>
      </c>
      <c r="AD1875" s="5544" t="s">
        <v>3394</v>
      </c>
      <c r="AE1875" s="5544">
        <v>0.6</v>
      </c>
      <c r="AF1875" s="6667">
        <f>AE1875*M1873</f>
        <v>3234856.08</v>
      </c>
      <c r="AG1875" s="6667">
        <f t="shared" si="416"/>
        <v>1940913.65</v>
      </c>
      <c r="AH1875" s="6667" t="s">
        <v>122</v>
      </c>
      <c r="AI1875" s="6667">
        <v>44182</v>
      </c>
      <c r="AJ1875" s="6667">
        <v>1940913.65</v>
      </c>
      <c r="AK1875" s="6667">
        <v>44182</v>
      </c>
      <c r="AL1875" s="6667">
        <v>1940913.65</v>
      </c>
      <c r="AM1875" s="6667">
        <v>44182</v>
      </c>
      <c r="AN1875" s="5630">
        <f t="shared" si="417"/>
        <v>1940913.65</v>
      </c>
      <c r="AO1875" s="6667">
        <v>44279</v>
      </c>
      <c r="AP1875" s="5630">
        <f t="shared" si="415"/>
        <v>0</v>
      </c>
      <c r="AQ1875" s="6831" t="s">
        <v>3386</v>
      </c>
      <c r="AR1875" s="6831"/>
      <c r="AS1875" s="6831"/>
      <c r="AT1875" s="6831"/>
      <c r="AU1875" s="6667"/>
      <c r="AV1875" s="6667"/>
      <c r="AW1875" s="6667"/>
      <c r="AX1875" s="6667"/>
      <c r="AY1875" s="6667"/>
      <c r="AZ1875" s="6667"/>
      <c r="BA1875" s="6667"/>
      <c r="BB1875" s="6667"/>
      <c r="BC1875" s="6667"/>
      <c r="BD1875" s="6667"/>
      <c r="BE1875" s="6667"/>
      <c r="BF1875" s="6667"/>
      <c r="BG1875" s="6667"/>
      <c r="BH1875" s="6667"/>
      <c r="BI1875" s="6667"/>
      <c r="BJ1875" s="6667"/>
      <c r="BK1875" s="6667"/>
      <c r="BL1875" s="6667"/>
      <c r="BM1875" s="6667"/>
      <c r="BN1875" s="6667">
        <v>1940913.65</v>
      </c>
      <c r="BO1875" s="6667"/>
      <c r="BP1875" s="6667"/>
      <c r="BQ1875" s="6667"/>
      <c r="BR1875" s="6667"/>
      <c r="BS1875" s="6667"/>
      <c r="BT1875" s="6667"/>
      <c r="BU1875" s="6667"/>
      <c r="BV1875" s="6667"/>
      <c r="BW1875" s="6667"/>
      <c r="BX1875" s="6667"/>
      <c r="BY1875" s="6667"/>
      <c r="BZ1875" s="6667"/>
      <c r="CA1875" s="6667"/>
      <c r="CB1875" s="6667">
        <v>1940913.65</v>
      </c>
      <c r="CC1875" s="6835"/>
      <c r="CD1875" s="6835"/>
      <c r="CE1875" s="6775"/>
      <c r="CF1875" s="6775"/>
      <c r="CG1875" s="6775"/>
      <c r="CH1875" s="6775"/>
    </row>
    <row r="1876" s="4989" customFormat="1" ht="81.75" customHeight="1" spans="1:86">
      <c r="A1876" s="6814"/>
      <c r="B1876" s="6814"/>
      <c r="C1876" s="6814"/>
      <c r="D1876" s="6667"/>
      <c r="E1876" s="6667"/>
      <c r="F1876" s="6667"/>
      <c r="G1876" s="6667"/>
      <c r="H1876" s="6667"/>
      <c r="I1876" s="6667"/>
      <c r="J1876" s="6667"/>
      <c r="K1876" s="6667"/>
      <c r="L1876" s="6667"/>
      <c r="M1876" s="6667"/>
      <c r="N1876" s="6667"/>
      <c r="O1876" s="6667"/>
      <c r="P1876" s="6667"/>
      <c r="Q1876" s="6667"/>
      <c r="R1876" s="6667"/>
      <c r="S1876" s="6667"/>
      <c r="T1876" s="6667"/>
      <c r="U1876" s="6667"/>
      <c r="V1876" s="6667"/>
      <c r="W1876" s="6667"/>
      <c r="X1876" s="6667"/>
      <c r="Y1876" s="6667"/>
      <c r="Z1876" s="6667"/>
      <c r="AA1876" s="6667"/>
      <c r="AB1876" s="6667"/>
      <c r="AC1876" s="6667"/>
      <c r="AD1876" s="5544"/>
      <c r="AE1876" s="5544"/>
      <c r="AF1876" s="6667"/>
      <c r="AG1876" s="6830">
        <f t="shared" si="416"/>
        <v>0</v>
      </c>
      <c r="AH1876" s="6679"/>
      <c r="AI1876" s="6830"/>
      <c r="AJ1876" s="6831"/>
      <c r="AK1876" s="6831"/>
      <c r="AL1876" s="6831"/>
      <c r="AM1876" s="6831"/>
      <c r="AN1876" s="5688">
        <f t="shared" si="417"/>
        <v>0</v>
      </c>
      <c r="AO1876" s="6831"/>
      <c r="AP1876" s="5630">
        <f t="shared" si="415"/>
        <v>0</v>
      </c>
      <c r="AQ1876" s="6831" t="s">
        <v>3387</v>
      </c>
      <c r="AR1876" s="6831"/>
      <c r="AS1876" s="6831"/>
      <c r="AT1876" s="6831"/>
      <c r="AU1876" s="6667"/>
      <c r="AV1876" s="6667"/>
      <c r="AW1876" s="6667"/>
      <c r="AX1876" s="6667"/>
      <c r="AY1876" s="6667"/>
      <c r="AZ1876" s="6667"/>
      <c r="BA1876" s="6830"/>
      <c r="BB1876" s="6830"/>
      <c r="BC1876" s="6830"/>
      <c r="BD1876" s="6830"/>
      <c r="BE1876" s="6830"/>
      <c r="BF1876" s="6830"/>
      <c r="BG1876" s="6830"/>
      <c r="BH1876" s="6830"/>
      <c r="BI1876" s="6830"/>
      <c r="BJ1876" s="6830"/>
      <c r="BK1876" s="6830"/>
      <c r="BL1876" s="6830"/>
      <c r="BM1876" s="6830"/>
      <c r="BN1876" s="6830"/>
      <c r="BO1876" s="6830"/>
      <c r="BP1876" s="6830"/>
      <c r="BQ1876" s="6830"/>
      <c r="BR1876" s="6830"/>
      <c r="BS1876" s="6830"/>
      <c r="BT1876" s="6830"/>
      <c r="BU1876" s="6830"/>
      <c r="BV1876" s="6830"/>
      <c r="BW1876" s="6830"/>
      <c r="BX1876" s="6830"/>
      <c r="BY1876" s="6830"/>
      <c r="BZ1876" s="6830"/>
      <c r="CA1876" s="6830"/>
      <c r="CB1876" s="6830"/>
      <c r="CC1876" s="6835"/>
      <c r="CD1876" s="6835"/>
      <c r="CE1876" s="6775"/>
      <c r="CF1876" s="6775"/>
      <c r="CG1876" s="6775"/>
      <c r="CH1876" s="6775"/>
    </row>
    <row r="1877" s="4989" customFormat="1" ht="36.45" customHeight="1" spans="1:86">
      <c r="A1877" s="6814"/>
      <c r="B1877" s="6814"/>
      <c r="C1877" s="6814"/>
      <c r="D1877" s="6667"/>
      <c r="E1877" s="6667"/>
      <c r="F1877" s="6667"/>
      <c r="G1877" s="6667"/>
      <c r="H1877" s="6667"/>
      <c r="I1877" s="6667"/>
      <c r="J1877" s="6667"/>
      <c r="K1877" s="6667"/>
      <c r="L1877" s="6667"/>
      <c r="M1877" s="6667"/>
      <c r="N1877" s="6667"/>
      <c r="O1877" s="6667"/>
      <c r="P1877" s="6667"/>
      <c r="Q1877" s="6667"/>
      <c r="R1877" s="6667"/>
      <c r="S1877" s="6667"/>
      <c r="T1877" s="6667"/>
      <c r="U1877" s="6667"/>
      <c r="V1877" s="6667"/>
      <c r="W1877" s="6667"/>
      <c r="X1877" s="6667"/>
      <c r="Y1877" s="6667"/>
      <c r="Z1877" s="6667"/>
      <c r="AA1877" s="6667"/>
      <c r="AB1877" s="6667"/>
      <c r="AC1877" s="6667" t="s">
        <v>2796</v>
      </c>
      <c r="AD1877" s="5544" t="s">
        <v>3395</v>
      </c>
      <c r="AE1877" s="5544">
        <v>0.1</v>
      </c>
      <c r="AF1877" s="6667">
        <f>AE1877*M1873</f>
        <v>539142.68</v>
      </c>
      <c r="AG1877" s="6667">
        <f t="shared" si="416"/>
        <v>323485.61</v>
      </c>
      <c r="AH1877" s="5544" t="s">
        <v>122</v>
      </c>
      <c r="AI1877" s="6667">
        <v>44909</v>
      </c>
      <c r="AJ1877" s="6667">
        <v>323485.61</v>
      </c>
      <c r="AK1877" s="6667">
        <v>44909</v>
      </c>
      <c r="AL1877" s="6667">
        <v>323485.61</v>
      </c>
      <c r="AM1877" s="6667">
        <v>44909</v>
      </c>
      <c r="AN1877" s="5630">
        <f t="shared" si="417"/>
        <v>323485.61</v>
      </c>
      <c r="AO1877" s="6667">
        <v>44945</v>
      </c>
      <c r="AP1877" s="5630">
        <f t="shared" si="415"/>
        <v>0</v>
      </c>
      <c r="AQ1877" s="6831"/>
      <c r="AR1877" s="6831"/>
      <c r="AS1877" s="6831"/>
      <c r="AT1877" s="6831"/>
      <c r="AU1877" s="6667"/>
      <c r="AV1877" s="6667"/>
      <c r="AW1877" s="6667"/>
      <c r="AX1877" s="6667"/>
      <c r="AY1877" s="6667"/>
      <c r="AZ1877" s="6667"/>
      <c r="BA1877" s="6667"/>
      <c r="BB1877" s="6667"/>
      <c r="BC1877" s="6667"/>
      <c r="BD1877" s="6667"/>
      <c r="BE1877" s="6667"/>
      <c r="BF1877" s="6667"/>
      <c r="BG1877" s="6667"/>
      <c r="BH1877" s="6667"/>
      <c r="BI1877" s="6667"/>
      <c r="BJ1877" s="6667"/>
      <c r="BK1877" s="6667"/>
      <c r="BL1877" s="6667"/>
      <c r="BM1877" s="6667"/>
      <c r="BN1877" s="6667">
        <v>323485.61</v>
      </c>
      <c r="BO1877" s="6831"/>
      <c r="BP1877" s="6831"/>
      <c r="BQ1877" s="6831"/>
      <c r="BR1877" s="6831"/>
      <c r="BS1877" s="6831"/>
      <c r="BT1877" s="6831"/>
      <c r="BU1877" s="6831"/>
      <c r="BV1877" s="6831"/>
      <c r="BW1877" s="6831"/>
      <c r="BX1877" s="6831"/>
      <c r="BY1877" s="6831"/>
      <c r="BZ1877" s="6831"/>
      <c r="CA1877" s="6831"/>
      <c r="CB1877" s="6667">
        <v>323485.61</v>
      </c>
      <c r="CC1877" s="6835"/>
      <c r="CD1877" s="6835"/>
      <c r="CE1877" s="6775"/>
      <c r="CF1877" s="6775"/>
      <c r="CG1877" s="6775"/>
      <c r="CH1877" s="6775"/>
    </row>
    <row r="1878" s="4989" customFormat="1" ht="32.15" customHeight="1" spans="1:86">
      <c r="A1878" s="6814"/>
      <c r="B1878" s="6814"/>
      <c r="C1878" s="6814"/>
      <c r="D1878" s="6667"/>
      <c r="E1878" s="6667"/>
      <c r="F1878" s="6667"/>
      <c r="G1878" s="6667"/>
      <c r="H1878" s="6667"/>
      <c r="I1878" s="6667"/>
      <c r="J1878" s="6667"/>
      <c r="K1878" s="6667"/>
      <c r="L1878" s="6667"/>
      <c r="M1878" s="6667"/>
      <c r="N1878" s="6667"/>
      <c r="O1878" s="6667"/>
      <c r="P1878" s="6667"/>
      <c r="Q1878" s="6667"/>
      <c r="R1878" s="6667"/>
      <c r="S1878" s="6667"/>
      <c r="T1878" s="6667"/>
      <c r="U1878" s="6667"/>
      <c r="V1878" s="6667"/>
      <c r="W1878" s="6667"/>
      <c r="X1878" s="6667"/>
      <c r="Y1878" s="6667"/>
      <c r="Z1878" s="6667"/>
      <c r="AA1878" s="6667"/>
      <c r="AB1878" s="6667"/>
      <c r="AC1878" s="6667"/>
      <c r="AD1878" s="5544"/>
      <c r="AE1878" s="5544"/>
      <c r="AF1878" s="6667"/>
      <c r="AG1878" s="6830">
        <f t="shared" si="416"/>
        <v>0</v>
      </c>
      <c r="AH1878" s="6679"/>
      <c r="AI1878" s="6830"/>
      <c r="AJ1878" s="6831"/>
      <c r="AK1878" s="6831"/>
      <c r="AL1878" s="6831"/>
      <c r="AM1878" s="6831"/>
      <c r="AN1878" s="5630">
        <f t="shared" si="417"/>
        <v>0</v>
      </c>
      <c r="AO1878" s="6831"/>
      <c r="AP1878" s="5630">
        <f t="shared" si="415"/>
        <v>0</v>
      </c>
      <c r="AQ1878" s="6831"/>
      <c r="AR1878" s="6831"/>
      <c r="AS1878" s="6831"/>
      <c r="AT1878" s="6831"/>
      <c r="AU1878" s="6667"/>
      <c r="AV1878" s="6667"/>
      <c r="AW1878" s="6667"/>
      <c r="AX1878" s="6667"/>
      <c r="AY1878" s="6667"/>
      <c r="AZ1878" s="6667"/>
      <c r="BA1878" s="6831"/>
      <c r="BB1878" s="6831"/>
      <c r="BC1878" s="6831"/>
      <c r="BD1878" s="6831"/>
      <c r="BE1878" s="6831"/>
      <c r="BF1878" s="6831"/>
      <c r="BG1878" s="6831"/>
      <c r="BH1878" s="6831"/>
      <c r="BI1878" s="6831"/>
      <c r="BJ1878" s="6831"/>
      <c r="BK1878" s="6831"/>
      <c r="BL1878" s="6831"/>
      <c r="BM1878" s="6831"/>
      <c r="BN1878" s="6831"/>
      <c r="BO1878" s="6831"/>
      <c r="BP1878" s="6831"/>
      <c r="BQ1878" s="6831"/>
      <c r="BR1878" s="6831"/>
      <c r="BS1878" s="6831"/>
      <c r="BT1878" s="6831"/>
      <c r="BU1878" s="6831"/>
      <c r="BV1878" s="6831"/>
      <c r="BW1878" s="6831"/>
      <c r="BX1878" s="6831"/>
      <c r="BY1878" s="6831"/>
      <c r="BZ1878" s="6831"/>
      <c r="CA1878" s="6831"/>
      <c r="CB1878" s="6831"/>
      <c r="CC1878" s="6835"/>
      <c r="CD1878" s="6835"/>
      <c r="CE1878" s="6775"/>
      <c r="CF1878" s="6775"/>
      <c r="CG1878" s="6775"/>
      <c r="CH1878" s="6775"/>
    </row>
    <row r="1879" s="4989" customFormat="1" ht="30" customHeight="1" spans="1:86">
      <c r="A1879" s="6814"/>
      <c r="B1879" s="6814"/>
      <c r="C1879" s="6814"/>
      <c r="D1879" s="6667"/>
      <c r="E1879" s="6667"/>
      <c r="F1879" s="6667"/>
      <c r="G1879" s="6667"/>
      <c r="H1879" s="6667"/>
      <c r="I1879" s="6667"/>
      <c r="J1879" s="6667"/>
      <c r="K1879" s="6667"/>
      <c r="L1879" s="6667"/>
      <c r="M1879" s="6667"/>
      <c r="N1879" s="6667"/>
      <c r="O1879" s="6667"/>
      <c r="P1879" s="6667"/>
      <c r="Q1879" s="6667"/>
      <c r="R1879" s="6667"/>
      <c r="S1879" s="6667"/>
      <c r="T1879" s="6667"/>
      <c r="U1879" s="6667"/>
      <c r="V1879" s="6667"/>
      <c r="W1879" s="6667"/>
      <c r="X1879" s="6667"/>
      <c r="Y1879" s="6667"/>
      <c r="Z1879" s="6667"/>
      <c r="AA1879" s="6667"/>
      <c r="AB1879" s="6667"/>
      <c r="AC1879" s="6667" t="s">
        <v>2798</v>
      </c>
      <c r="AD1879" s="5544" t="s">
        <v>3388</v>
      </c>
      <c r="AE1879" s="5544">
        <v>0.1</v>
      </c>
      <c r="AF1879" s="6667">
        <f>AE1879*M1873</f>
        <v>539142.68</v>
      </c>
      <c r="AG1879" s="6830">
        <f t="shared" si="416"/>
        <v>323485.61</v>
      </c>
      <c r="AH1879" s="6679" t="s">
        <v>122</v>
      </c>
      <c r="AI1879" s="6830"/>
      <c r="AJ1879" s="6831"/>
      <c r="AK1879" s="6831"/>
      <c r="AL1879" s="6831"/>
      <c r="AM1879" s="6831"/>
      <c r="AN1879" s="5630">
        <f t="shared" si="417"/>
        <v>0</v>
      </c>
      <c r="AO1879" s="6831"/>
      <c r="AP1879" s="5630">
        <f t="shared" si="415"/>
        <v>323485.61</v>
      </c>
      <c r="AQ1879" s="6831"/>
      <c r="AR1879" s="6831"/>
      <c r="AS1879" s="6831"/>
      <c r="AT1879" s="6831"/>
      <c r="AU1879" s="6667"/>
      <c r="AV1879" s="6667"/>
      <c r="AW1879" s="6667"/>
      <c r="AX1879" s="6667"/>
      <c r="AY1879" s="6667"/>
      <c r="AZ1879" s="6667"/>
      <c r="BA1879" s="6831"/>
      <c r="BB1879" s="6831"/>
      <c r="BC1879" s="6831"/>
      <c r="BD1879" s="6831"/>
      <c r="BE1879" s="6831"/>
      <c r="BF1879" s="6831"/>
      <c r="BG1879" s="6831"/>
      <c r="BH1879" s="6831"/>
      <c r="BI1879" s="6831"/>
      <c r="BJ1879" s="6831"/>
      <c r="BK1879" s="6831"/>
      <c r="BL1879" s="6831"/>
      <c r="BM1879" s="6831"/>
      <c r="BN1879" s="6831">
        <v>323485.61</v>
      </c>
      <c r="BO1879" s="6831"/>
      <c r="BP1879" s="6831"/>
      <c r="BQ1879" s="6831"/>
      <c r="BR1879" s="6831"/>
      <c r="BS1879" s="6831"/>
      <c r="BT1879" s="6831"/>
      <c r="BU1879" s="6831"/>
      <c r="BV1879" s="6831"/>
      <c r="BW1879" s="6831"/>
      <c r="BX1879" s="6831"/>
      <c r="BY1879" s="6831"/>
      <c r="BZ1879" s="6831"/>
      <c r="CA1879" s="6831"/>
      <c r="CB1879" s="6831"/>
      <c r="CC1879" s="6835"/>
      <c r="CD1879" s="6835"/>
      <c r="CE1879" s="6775"/>
      <c r="CF1879" s="6775"/>
      <c r="CG1879" s="6775"/>
      <c r="CH1879" s="6775"/>
    </row>
    <row r="1880" s="4989" customFormat="1" ht="35.35" customHeight="1" spans="1:86">
      <c r="A1880" s="6814"/>
      <c r="B1880" s="6814"/>
      <c r="C1880" s="6814"/>
      <c r="D1880" s="6667"/>
      <c r="E1880" s="6667"/>
      <c r="F1880" s="6667"/>
      <c r="G1880" s="6667"/>
      <c r="H1880" s="6667"/>
      <c r="I1880" s="6667"/>
      <c r="J1880" s="6667"/>
      <c r="K1880" s="6667"/>
      <c r="L1880" s="6667"/>
      <c r="M1880" s="6667"/>
      <c r="N1880" s="6667"/>
      <c r="O1880" s="6667"/>
      <c r="P1880" s="6667"/>
      <c r="Q1880" s="6667"/>
      <c r="R1880" s="6667"/>
      <c r="S1880" s="6667"/>
      <c r="T1880" s="6667"/>
      <c r="U1880" s="6667"/>
      <c r="V1880" s="6667"/>
      <c r="W1880" s="6667"/>
      <c r="X1880" s="6667"/>
      <c r="Y1880" s="6667"/>
      <c r="Z1880" s="6667"/>
      <c r="AA1880" s="6667"/>
      <c r="AB1880" s="6667"/>
      <c r="AC1880" s="6667"/>
      <c r="AD1880" s="6824"/>
      <c r="AE1880" s="5544"/>
      <c r="AF1880" s="6667"/>
      <c r="AG1880" s="6830">
        <f t="shared" si="416"/>
        <v>0</v>
      </c>
      <c r="AH1880" s="6679"/>
      <c r="AI1880" s="6830"/>
      <c r="AJ1880" s="6831"/>
      <c r="AK1880" s="6831"/>
      <c r="AL1880" s="6831"/>
      <c r="AM1880" s="6831"/>
      <c r="AN1880" s="5630">
        <f t="shared" si="417"/>
        <v>0</v>
      </c>
      <c r="AO1880" s="6831"/>
      <c r="AP1880" s="5630">
        <f t="shared" si="415"/>
        <v>0</v>
      </c>
      <c r="AQ1880" s="6831"/>
      <c r="AR1880" s="6831"/>
      <c r="AS1880" s="6831"/>
      <c r="AT1880" s="6831"/>
      <c r="AU1880" s="6667"/>
      <c r="AV1880" s="6667"/>
      <c r="AW1880" s="6667"/>
      <c r="AX1880" s="6667"/>
      <c r="AY1880" s="6667"/>
      <c r="AZ1880" s="6667"/>
      <c r="BA1880" s="6831"/>
      <c r="BB1880" s="6831"/>
      <c r="BC1880" s="6831"/>
      <c r="BD1880" s="6831"/>
      <c r="BE1880" s="6831"/>
      <c r="BF1880" s="6831"/>
      <c r="BG1880" s="6831"/>
      <c r="BH1880" s="6831"/>
      <c r="BI1880" s="6831"/>
      <c r="BJ1880" s="6831"/>
      <c r="BK1880" s="6831"/>
      <c r="BL1880" s="6831"/>
      <c r="BM1880" s="6831"/>
      <c r="BN1880" s="6831"/>
      <c r="BO1880" s="6831"/>
      <c r="BP1880" s="6831"/>
      <c r="BQ1880" s="6831"/>
      <c r="BR1880" s="6831"/>
      <c r="BS1880" s="6831"/>
      <c r="BT1880" s="6831"/>
      <c r="BU1880" s="6831"/>
      <c r="BV1880" s="6831"/>
      <c r="BW1880" s="6831"/>
      <c r="BX1880" s="6831"/>
      <c r="BY1880" s="6831"/>
      <c r="BZ1880" s="6831"/>
      <c r="CA1880" s="6831"/>
      <c r="CB1880" s="6831"/>
      <c r="CC1880" s="6835"/>
      <c r="CD1880" s="6835"/>
      <c r="CE1880" s="6775"/>
      <c r="CF1880" s="6775"/>
      <c r="CG1880" s="6775"/>
      <c r="CH1880" s="6775"/>
    </row>
    <row r="1881" s="4989" customFormat="1" ht="37.5" customHeight="1" spans="1:86">
      <c r="A1881" s="6814"/>
      <c r="B1881" s="6814"/>
      <c r="C1881" s="6814">
        <v>44049</v>
      </c>
      <c r="D1881" s="5196" t="s">
        <v>3396</v>
      </c>
      <c r="E1881" s="5196" t="s">
        <v>3375</v>
      </c>
      <c r="F1881" s="5196" t="s">
        <v>3376</v>
      </c>
      <c r="G1881" s="5196" t="s">
        <v>3377</v>
      </c>
      <c r="H1881" s="5196" t="s">
        <v>31</v>
      </c>
      <c r="I1881" s="6816"/>
      <c r="J1881" s="5196" t="s">
        <v>1297</v>
      </c>
      <c r="K1881" s="5196">
        <v>352998.7</v>
      </c>
      <c r="L1881" s="5196" t="s">
        <v>3397</v>
      </c>
      <c r="M1881" s="5196">
        <f>SUM(N1881:AA1886)</f>
        <v>2294491.55</v>
      </c>
      <c r="N1881" s="5196"/>
      <c r="O1881" s="5196"/>
      <c r="P1881" s="5196"/>
      <c r="Q1881" s="5196"/>
      <c r="R1881" s="5196"/>
      <c r="S1881" s="5196"/>
      <c r="T1881" s="5196"/>
      <c r="U1881" s="5196">
        <v>1588494.15</v>
      </c>
      <c r="V1881" s="5196"/>
      <c r="W1881" s="5196"/>
      <c r="X1881" s="5196"/>
      <c r="Y1881" s="5196"/>
      <c r="Z1881" s="5196"/>
      <c r="AA1881" s="5196">
        <v>705997.4</v>
      </c>
      <c r="AB1881" s="5196" t="s">
        <v>171</v>
      </c>
      <c r="AC1881" s="5196" t="s">
        <v>1110</v>
      </c>
      <c r="AD1881" s="440" t="s">
        <v>3398</v>
      </c>
      <c r="AE1881" s="440">
        <v>0.2</v>
      </c>
      <c r="AF1881" s="5196">
        <f>AE1881*M1881</f>
        <v>458898.31</v>
      </c>
      <c r="AG1881" s="5196">
        <f t="shared" si="416"/>
        <v>275338.99</v>
      </c>
      <c r="AH1881" s="5196" t="s">
        <v>122</v>
      </c>
      <c r="AI1881" s="5196">
        <v>44127</v>
      </c>
      <c r="AJ1881" s="5196">
        <v>458898.31</v>
      </c>
      <c r="AK1881" s="5196">
        <v>44127</v>
      </c>
      <c r="AL1881" s="5196">
        <v>458898.31</v>
      </c>
      <c r="AM1881" s="5196">
        <v>44138</v>
      </c>
      <c r="AN1881" s="2957">
        <f t="shared" si="417"/>
        <v>229449.16</v>
      </c>
      <c r="AO1881" s="5196">
        <v>44176</v>
      </c>
      <c r="AP1881" s="2957">
        <f t="shared" ref="AP1881:AP1888" si="418">AG1881-AN1881</f>
        <v>45889.83</v>
      </c>
      <c r="AQ1881" s="5196" t="s">
        <v>3399</v>
      </c>
      <c r="AR1881" s="6833"/>
      <c r="AS1881" s="6833"/>
      <c r="AT1881" s="6833"/>
      <c r="AU1881" s="5196">
        <f>SUM(AG1881:AG1886)</f>
        <v>1927372.9</v>
      </c>
      <c r="AV1881" s="5196">
        <f>SUM(AL1881:AL1886)</f>
        <v>1927372.9</v>
      </c>
      <c r="AW1881" s="5196">
        <f>SUM(AN1881:AN1886)</f>
        <v>1927372.9</v>
      </c>
      <c r="AX1881" s="5196">
        <f>M1881-AU1881</f>
        <v>367118.65</v>
      </c>
      <c r="AY1881" s="5196">
        <f>AU1881-AV1881</f>
        <v>0</v>
      </c>
      <c r="AZ1881" s="5196">
        <f>AV1881-AW1881</f>
        <v>0</v>
      </c>
      <c r="BA1881" s="5196"/>
      <c r="BB1881" s="5196"/>
      <c r="BC1881" s="5196"/>
      <c r="BD1881" s="5196"/>
      <c r="BE1881" s="5196"/>
      <c r="BF1881" s="5196"/>
      <c r="BG1881" s="5196"/>
      <c r="BH1881" s="5196">
        <v>275338.99</v>
      </c>
      <c r="BI1881" s="5196"/>
      <c r="BJ1881" s="5196"/>
      <c r="BK1881" s="5196"/>
      <c r="BL1881" s="5196"/>
      <c r="BM1881" s="5196"/>
      <c r="BN1881" s="5196"/>
      <c r="BO1881" s="6833"/>
      <c r="BP1881" s="6833"/>
      <c r="BQ1881" s="6833"/>
      <c r="BR1881" s="6833"/>
      <c r="BS1881" s="6833"/>
      <c r="BT1881" s="6833"/>
      <c r="BU1881" s="6833"/>
      <c r="BV1881" s="5196">
        <v>229449.16</v>
      </c>
      <c r="BW1881" s="6833"/>
      <c r="BX1881" s="6833"/>
      <c r="BY1881" s="6833"/>
      <c r="BZ1881" s="6833"/>
      <c r="CA1881" s="6833"/>
      <c r="CB1881" s="6833"/>
      <c r="CC1881" s="6835"/>
      <c r="CD1881" s="6835"/>
      <c r="CE1881" s="6775"/>
      <c r="CF1881" s="6775"/>
      <c r="CG1881" s="6775"/>
      <c r="CH1881" s="6775"/>
    </row>
    <row r="1882" s="4989" customFormat="1" ht="42.5" customHeight="1" spans="1:86">
      <c r="A1882" s="6814"/>
      <c r="B1882" s="6814"/>
      <c r="C1882" s="6814"/>
      <c r="D1882" s="5196"/>
      <c r="E1882" s="5196"/>
      <c r="F1882" s="5196"/>
      <c r="G1882" s="5196"/>
      <c r="H1882" s="5196"/>
      <c r="I1882" s="5372"/>
      <c r="J1882" s="5196"/>
      <c r="K1882" s="5196"/>
      <c r="L1882" s="5196"/>
      <c r="M1882" s="5196"/>
      <c r="N1882" s="5196"/>
      <c r="O1882" s="5196"/>
      <c r="P1882" s="5196"/>
      <c r="Q1882" s="5196"/>
      <c r="R1882" s="5196"/>
      <c r="S1882" s="5196"/>
      <c r="T1882" s="5196"/>
      <c r="U1882" s="5196"/>
      <c r="V1882" s="5196"/>
      <c r="W1882" s="5196"/>
      <c r="X1882" s="5196"/>
      <c r="Y1882" s="5196"/>
      <c r="Z1882" s="5196"/>
      <c r="AA1882" s="5196"/>
      <c r="AB1882" s="5196"/>
      <c r="AC1882" s="5196"/>
      <c r="AD1882" s="440"/>
      <c r="AE1882" s="440"/>
      <c r="AF1882" s="5196"/>
      <c r="AG1882" s="5196">
        <f t="shared" si="416"/>
        <v>183559.32</v>
      </c>
      <c r="AH1882" s="5196"/>
      <c r="AI1882" s="5196"/>
      <c r="AJ1882" s="5196"/>
      <c r="AK1882" s="5196"/>
      <c r="AL1882" s="5196"/>
      <c r="AM1882" s="5196"/>
      <c r="AN1882" s="2957">
        <f t="shared" si="417"/>
        <v>229449.15</v>
      </c>
      <c r="AO1882" s="5196">
        <v>44229</v>
      </c>
      <c r="AP1882" s="2957">
        <f t="shared" si="418"/>
        <v>-45889.83</v>
      </c>
      <c r="AQ1882" s="5196"/>
      <c r="AR1882" s="6833"/>
      <c r="AS1882" s="6833"/>
      <c r="AT1882" s="6833"/>
      <c r="AU1882" s="5196"/>
      <c r="AV1882" s="5196"/>
      <c r="AW1882" s="5196"/>
      <c r="AX1882" s="5196"/>
      <c r="AY1882" s="5196"/>
      <c r="AZ1882" s="5196"/>
      <c r="BA1882" s="5196"/>
      <c r="BB1882" s="5196"/>
      <c r="BC1882" s="5196"/>
      <c r="BD1882" s="5196"/>
      <c r="BE1882" s="5196"/>
      <c r="BF1882" s="5196"/>
      <c r="BG1882" s="5196"/>
      <c r="BH1882" s="5196">
        <v>183559.32</v>
      </c>
      <c r="BI1882" s="5196"/>
      <c r="BJ1882" s="5196"/>
      <c r="BK1882" s="5196"/>
      <c r="BL1882" s="5196"/>
      <c r="BM1882" s="5196"/>
      <c r="BN1882" s="5196"/>
      <c r="BO1882" s="5196"/>
      <c r="BP1882" s="5196"/>
      <c r="BQ1882" s="5196"/>
      <c r="BR1882" s="5196"/>
      <c r="BS1882" s="5196"/>
      <c r="BT1882" s="5196"/>
      <c r="BU1882" s="5196"/>
      <c r="BV1882" s="5196">
        <v>229449.15</v>
      </c>
      <c r="BW1882" s="5196"/>
      <c r="BX1882" s="5196"/>
      <c r="BY1882" s="5196"/>
      <c r="BZ1882" s="5196"/>
      <c r="CA1882" s="5196"/>
      <c r="CB1882" s="5196"/>
      <c r="CC1882" s="6835"/>
      <c r="CD1882" s="6835"/>
      <c r="CE1882" s="6775"/>
      <c r="CF1882" s="6775"/>
      <c r="CG1882" s="6775"/>
      <c r="CH1882" s="6775"/>
    </row>
    <row r="1883" s="4989" customFormat="1" ht="31" spans="1:86">
      <c r="A1883" s="6814"/>
      <c r="B1883" s="6814"/>
      <c r="C1883" s="6814"/>
      <c r="D1883" s="5196"/>
      <c r="E1883" s="5196"/>
      <c r="F1883" s="5196"/>
      <c r="G1883" s="5196"/>
      <c r="H1883" s="5196"/>
      <c r="I1883" s="5372"/>
      <c r="J1883" s="5196"/>
      <c r="K1883" s="5196"/>
      <c r="L1883" s="5196"/>
      <c r="M1883" s="5196"/>
      <c r="N1883" s="5196"/>
      <c r="O1883" s="5196"/>
      <c r="P1883" s="5196"/>
      <c r="Q1883" s="5196"/>
      <c r="R1883" s="5196"/>
      <c r="S1883" s="5196"/>
      <c r="T1883" s="5196"/>
      <c r="U1883" s="5196"/>
      <c r="V1883" s="5196"/>
      <c r="W1883" s="5196"/>
      <c r="X1883" s="5196"/>
      <c r="Y1883" s="5196"/>
      <c r="Z1883" s="5196"/>
      <c r="AA1883" s="5196"/>
      <c r="AB1883" s="5196"/>
      <c r="AC1883" s="5196" t="s">
        <v>1113</v>
      </c>
      <c r="AD1883" s="440" t="s">
        <v>3385</v>
      </c>
      <c r="AE1883" s="440">
        <v>0.4</v>
      </c>
      <c r="AF1883" s="5196">
        <f>AE1883*M1881</f>
        <v>917796.62</v>
      </c>
      <c r="AG1883" s="5196">
        <f t="shared" si="416"/>
        <v>550677.97</v>
      </c>
      <c r="AH1883" s="5196" t="s">
        <v>122</v>
      </c>
      <c r="AI1883" s="5196">
        <v>44182</v>
      </c>
      <c r="AJ1883" s="5196">
        <v>550677.97</v>
      </c>
      <c r="AK1883" s="5196">
        <v>44182</v>
      </c>
      <c r="AL1883" s="5196">
        <v>550677.97</v>
      </c>
      <c r="AM1883" s="5196">
        <v>44182</v>
      </c>
      <c r="AN1883" s="2957">
        <f t="shared" si="417"/>
        <v>550677.97</v>
      </c>
      <c r="AO1883" s="5196">
        <v>44279</v>
      </c>
      <c r="AP1883" s="2957">
        <f t="shared" si="418"/>
        <v>0</v>
      </c>
      <c r="AQ1883" s="5196" t="s">
        <v>3400</v>
      </c>
      <c r="AR1883" s="6833"/>
      <c r="AS1883" s="6833"/>
      <c r="AT1883" s="6833"/>
      <c r="AU1883" s="5196"/>
      <c r="AV1883" s="5196"/>
      <c r="AW1883" s="5196"/>
      <c r="AX1883" s="5196"/>
      <c r="AY1883" s="5196"/>
      <c r="AZ1883" s="5196"/>
      <c r="BA1883" s="5196"/>
      <c r="BB1883" s="5196"/>
      <c r="BC1883" s="5196"/>
      <c r="BD1883" s="5196"/>
      <c r="BE1883" s="5196"/>
      <c r="BF1883" s="5196"/>
      <c r="BG1883" s="5196"/>
      <c r="BH1883" s="5196">
        <v>550677.97</v>
      </c>
      <c r="BI1883" s="5196"/>
      <c r="BJ1883" s="5196"/>
      <c r="BK1883" s="5196"/>
      <c r="BL1883" s="5196"/>
      <c r="BM1883" s="5196"/>
      <c r="BN1883" s="5196"/>
      <c r="BO1883" s="5196"/>
      <c r="BP1883" s="5196"/>
      <c r="BQ1883" s="5196"/>
      <c r="BR1883" s="5196"/>
      <c r="BS1883" s="5196"/>
      <c r="BT1883" s="5196"/>
      <c r="BU1883" s="5196"/>
      <c r="BV1883" s="5196">
        <v>550677.97</v>
      </c>
      <c r="BW1883" s="5196"/>
      <c r="BX1883" s="5196"/>
      <c r="BY1883" s="5196"/>
      <c r="BZ1883" s="5196"/>
      <c r="CA1883" s="5196"/>
      <c r="CB1883" s="5196"/>
      <c r="CC1883" s="6835"/>
      <c r="CD1883" s="6835"/>
      <c r="CE1883" s="6775"/>
      <c r="CF1883" s="6775"/>
      <c r="CG1883" s="6775"/>
      <c r="CH1883" s="6775"/>
    </row>
    <row r="1884" s="4989" customFormat="1" ht="41.8" customHeight="1" spans="1:86">
      <c r="A1884" s="6814"/>
      <c r="B1884" s="6814"/>
      <c r="C1884" s="6814"/>
      <c r="D1884" s="5196"/>
      <c r="E1884" s="5196"/>
      <c r="F1884" s="5196"/>
      <c r="G1884" s="5196"/>
      <c r="H1884" s="5196"/>
      <c r="I1884" s="5372"/>
      <c r="J1884" s="5196"/>
      <c r="K1884" s="5196"/>
      <c r="L1884" s="5196"/>
      <c r="M1884" s="5196"/>
      <c r="N1884" s="5196"/>
      <c r="O1884" s="5196"/>
      <c r="P1884" s="5196"/>
      <c r="Q1884" s="5196"/>
      <c r="R1884" s="5196"/>
      <c r="S1884" s="5196"/>
      <c r="T1884" s="5196"/>
      <c r="U1884" s="5196"/>
      <c r="V1884" s="5196"/>
      <c r="W1884" s="5196"/>
      <c r="X1884" s="5196"/>
      <c r="Y1884" s="5196"/>
      <c r="Z1884" s="5196"/>
      <c r="AA1884" s="5196"/>
      <c r="AB1884" s="5196"/>
      <c r="AC1884" s="5196"/>
      <c r="AD1884" s="440"/>
      <c r="AE1884" s="440"/>
      <c r="AF1884" s="5196"/>
      <c r="AG1884" s="5196">
        <f t="shared" si="416"/>
        <v>367118.65</v>
      </c>
      <c r="AH1884" s="5196" t="s">
        <v>122</v>
      </c>
      <c r="AI1884" s="5196">
        <v>44457</v>
      </c>
      <c r="AJ1884" s="5196">
        <v>367118.65</v>
      </c>
      <c r="AK1884" s="5196">
        <v>44457</v>
      </c>
      <c r="AL1884" s="5196">
        <v>367118.65</v>
      </c>
      <c r="AM1884" s="5196">
        <v>44457</v>
      </c>
      <c r="AN1884" s="2957">
        <f t="shared" si="417"/>
        <v>367118.65</v>
      </c>
      <c r="AO1884" s="5196">
        <v>44468</v>
      </c>
      <c r="AP1884" s="2957">
        <f t="shared" si="418"/>
        <v>0</v>
      </c>
      <c r="AQ1884" s="6833" t="s">
        <v>3401</v>
      </c>
      <c r="AR1884" s="6833"/>
      <c r="AS1884" s="6833"/>
      <c r="AT1884" s="6833"/>
      <c r="AU1884" s="5196"/>
      <c r="AV1884" s="5196"/>
      <c r="AW1884" s="5196"/>
      <c r="AX1884" s="5196"/>
      <c r="AY1884" s="5196"/>
      <c r="AZ1884" s="5196"/>
      <c r="BA1884" s="5196"/>
      <c r="BB1884" s="5196"/>
      <c r="BC1884" s="5196"/>
      <c r="BD1884" s="5196"/>
      <c r="BE1884" s="5196"/>
      <c r="BF1884" s="5196"/>
      <c r="BG1884" s="5196"/>
      <c r="BH1884" s="5196"/>
      <c r="BI1884" s="5196"/>
      <c r="BJ1884" s="5196"/>
      <c r="BK1884" s="5196"/>
      <c r="BL1884" s="5196"/>
      <c r="BM1884" s="5196"/>
      <c r="BN1884" s="5196">
        <v>367118.65</v>
      </c>
      <c r="BO1884" s="6832"/>
      <c r="BP1884" s="6832"/>
      <c r="BQ1884" s="6832"/>
      <c r="BR1884" s="6832"/>
      <c r="BS1884" s="6832"/>
      <c r="BT1884" s="6832"/>
      <c r="BU1884" s="6832"/>
      <c r="BV1884" s="6832"/>
      <c r="BW1884" s="6832"/>
      <c r="BX1884" s="6832"/>
      <c r="BY1884" s="6832"/>
      <c r="BZ1884" s="6832"/>
      <c r="CA1884" s="6832"/>
      <c r="CB1884" s="5196">
        <v>367118.65</v>
      </c>
      <c r="CC1884" s="6835"/>
      <c r="CD1884" s="6835"/>
      <c r="CE1884" s="6775"/>
      <c r="CF1884" s="6775"/>
      <c r="CG1884" s="6775"/>
      <c r="CH1884" s="6775"/>
    </row>
    <row r="1885" s="4989" customFormat="1" ht="48.2" customHeight="1" spans="1:86">
      <c r="A1885" s="6814"/>
      <c r="B1885" s="6814"/>
      <c r="C1885" s="6814"/>
      <c r="D1885" s="5196"/>
      <c r="E1885" s="5196"/>
      <c r="F1885" s="5196"/>
      <c r="G1885" s="5196"/>
      <c r="H1885" s="5196"/>
      <c r="I1885" s="5372"/>
      <c r="J1885" s="5196"/>
      <c r="K1885" s="5196"/>
      <c r="L1885" s="5196"/>
      <c r="M1885" s="5196"/>
      <c r="N1885" s="5196"/>
      <c r="O1885" s="5196"/>
      <c r="P1885" s="5196"/>
      <c r="Q1885" s="5196"/>
      <c r="R1885" s="5196"/>
      <c r="S1885" s="5196"/>
      <c r="T1885" s="5196"/>
      <c r="U1885" s="5196"/>
      <c r="V1885" s="5196"/>
      <c r="W1885" s="5196"/>
      <c r="X1885" s="5196"/>
      <c r="Y1885" s="5196"/>
      <c r="Z1885" s="5196"/>
      <c r="AA1885" s="5196"/>
      <c r="AB1885" s="5196"/>
      <c r="AC1885" s="5196" t="s">
        <v>1115</v>
      </c>
      <c r="AD1885" s="440" t="s">
        <v>3402</v>
      </c>
      <c r="AE1885" s="440">
        <v>0.4</v>
      </c>
      <c r="AF1885" s="5196">
        <f>AE1885*M1881</f>
        <v>917796.62</v>
      </c>
      <c r="AG1885" s="5196">
        <f t="shared" si="416"/>
        <v>550677.97</v>
      </c>
      <c r="AH1885" s="5196" t="s">
        <v>122</v>
      </c>
      <c r="AI1885" s="5196">
        <v>44182</v>
      </c>
      <c r="AJ1885" s="5196">
        <v>550677.97</v>
      </c>
      <c r="AK1885" s="5196">
        <v>44182</v>
      </c>
      <c r="AL1885" s="5196">
        <v>550677.97</v>
      </c>
      <c r="AM1885" s="5196">
        <v>44182</v>
      </c>
      <c r="AN1885" s="2957">
        <f t="shared" si="417"/>
        <v>550677.97</v>
      </c>
      <c r="AO1885" s="5196">
        <v>44279</v>
      </c>
      <c r="AP1885" s="2957">
        <f t="shared" si="418"/>
        <v>0</v>
      </c>
      <c r="AQ1885" s="5196" t="s">
        <v>3400</v>
      </c>
      <c r="AR1885" s="6833"/>
      <c r="AS1885" s="6833"/>
      <c r="AT1885" s="6833"/>
      <c r="AU1885" s="5196"/>
      <c r="AV1885" s="5196"/>
      <c r="AW1885" s="5196"/>
      <c r="AX1885" s="5196"/>
      <c r="AY1885" s="5196"/>
      <c r="AZ1885" s="5196"/>
      <c r="BA1885" s="5196"/>
      <c r="BB1885" s="5196"/>
      <c r="BC1885" s="5196"/>
      <c r="BD1885" s="5196"/>
      <c r="BE1885" s="5196"/>
      <c r="BF1885" s="5196"/>
      <c r="BG1885" s="5196"/>
      <c r="BH1885" s="5196">
        <v>550677.97</v>
      </c>
      <c r="BI1885" s="5196"/>
      <c r="BJ1885" s="5196"/>
      <c r="BK1885" s="5196"/>
      <c r="BL1885" s="5196"/>
      <c r="BM1885" s="5196"/>
      <c r="BN1885" s="5196"/>
      <c r="BO1885" s="5196"/>
      <c r="BP1885" s="5196"/>
      <c r="BQ1885" s="5196"/>
      <c r="BR1885" s="5196"/>
      <c r="BS1885" s="5196"/>
      <c r="BT1885" s="5196"/>
      <c r="BU1885" s="5196"/>
      <c r="BV1885" s="5196">
        <v>550677.97</v>
      </c>
      <c r="BW1885" s="5196"/>
      <c r="BX1885" s="5196"/>
      <c r="BY1885" s="5196"/>
      <c r="BZ1885" s="5196"/>
      <c r="CA1885" s="5196"/>
      <c r="CB1885" s="5196"/>
      <c r="CC1885" s="6835"/>
      <c r="CD1885" s="6835"/>
      <c r="CE1885" s="6775"/>
      <c r="CF1885" s="6775"/>
      <c r="CG1885" s="6775"/>
      <c r="CH1885" s="6775"/>
    </row>
    <row r="1886" s="4989" customFormat="1" ht="51.65" customHeight="1" spans="1:86">
      <c r="A1886" s="6814"/>
      <c r="B1886" s="6814"/>
      <c r="C1886" s="6814"/>
      <c r="D1886" s="5196"/>
      <c r="E1886" s="5196"/>
      <c r="F1886" s="5196"/>
      <c r="G1886" s="5196"/>
      <c r="H1886" s="5196"/>
      <c r="I1886" s="5373"/>
      <c r="J1886" s="5196"/>
      <c r="K1886" s="5196"/>
      <c r="L1886" s="5196"/>
      <c r="M1886" s="5196"/>
      <c r="N1886" s="5196"/>
      <c r="O1886" s="5196"/>
      <c r="P1886" s="5196"/>
      <c r="Q1886" s="5196"/>
      <c r="R1886" s="5196"/>
      <c r="S1886" s="5196"/>
      <c r="T1886" s="5196"/>
      <c r="U1886" s="5196"/>
      <c r="V1886" s="5196"/>
      <c r="W1886" s="5196"/>
      <c r="X1886" s="5196"/>
      <c r="Y1886" s="5196"/>
      <c r="Z1886" s="5196"/>
      <c r="AA1886" s="5196"/>
      <c r="AB1886" s="5196"/>
      <c r="AC1886" s="5196"/>
      <c r="AD1886" s="5392"/>
      <c r="AE1886" s="440"/>
      <c r="AF1886" s="5196"/>
      <c r="AG1886" s="6832">
        <f t="shared" si="416"/>
        <v>0</v>
      </c>
      <c r="AH1886" s="6634" t="s">
        <v>349</v>
      </c>
      <c r="AI1886" s="6832"/>
      <c r="AJ1886" s="5196"/>
      <c r="AK1886" s="5196"/>
      <c r="AL1886" s="5196"/>
      <c r="AM1886" s="5196"/>
      <c r="AN1886" s="5395">
        <f t="shared" si="417"/>
        <v>0</v>
      </c>
      <c r="AO1886" s="6832"/>
      <c r="AP1886" s="2957">
        <f t="shared" si="418"/>
        <v>0</v>
      </c>
      <c r="AQ1886" s="6832" t="s">
        <v>3403</v>
      </c>
      <c r="AR1886" s="5196"/>
      <c r="AS1886" s="5196"/>
      <c r="AT1886" s="5196"/>
      <c r="AU1886" s="5196"/>
      <c r="AV1886" s="5196"/>
      <c r="AW1886" s="5196"/>
      <c r="AX1886" s="5196"/>
      <c r="AY1886" s="5196"/>
      <c r="AZ1886" s="5196"/>
      <c r="BA1886" s="6832"/>
      <c r="BB1886" s="6832"/>
      <c r="BC1886" s="6832"/>
      <c r="BD1886" s="6832"/>
      <c r="BE1886" s="6832"/>
      <c r="BF1886" s="6832"/>
      <c r="BG1886" s="6832"/>
      <c r="BH1886" s="6832"/>
      <c r="BI1886" s="6832"/>
      <c r="BJ1886" s="6832"/>
      <c r="BK1886" s="6832"/>
      <c r="BL1886" s="6832"/>
      <c r="BM1886" s="6832"/>
      <c r="BN1886" s="6832"/>
      <c r="BO1886" s="6832"/>
      <c r="BP1886" s="6832"/>
      <c r="BQ1886" s="6832"/>
      <c r="BR1886" s="6832"/>
      <c r="BS1886" s="6832"/>
      <c r="BT1886" s="6832"/>
      <c r="BU1886" s="6832"/>
      <c r="BV1886" s="6832"/>
      <c r="BW1886" s="6832"/>
      <c r="BX1886" s="6832"/>
      <c r="BY1886" s="6832"/>
      <c r="BZ1886" s="6832"/>
      <c r="CA1886" s="6832"/>
      <c r="CB1886" s="6832"/>
      <c r="CC1886" s="6835"/>
      <c r="CD1886" s="6835"/>
      <c r="CE1886" s="6775"/>
      <c r="CF1886" s="6775"/>
      <c r="CG1886" s="6775"/>
      <c r="CH1886" s="6775"/>
    </row>
    <row r="1887" s="4997" customFormat="1" ht="122" spans="1:86">
      <c r="A1887" s="3812"/>
      <c r="B1887" s="857" t="s">
        <v>1003</v>
      </c>
      <c r="C1887" s="3812">
        <v>45275</v>
      </c>
      <c r="D1887" s="6815" t="s">
        <v>3404</v>
      </c>
      <c r="E1887" s="6815" t="s">
        <v>3375</v>
      </c>
      <c r="F1887" s="6815" t="s">
        <v>3405</v>
      </c>
      <c r="G1887" s="6815" t="s">
        <v>3406</v>
      </c>
      <c r="H1887" s="6815" t="s">
        <v>193</v>
      </c>
      <c r="I1887" s="6815"/>
      <c r="J1887" s="6815" t="s">
        <v>1297</v>
      </c>
      <c r="K1887" s="6817">
        <v>352998.7</v>
      </c>
      <c r="L1887" s="6815" t="s">
        <v>3407</v>
      </c>
      <c r="M1887" s="6821">
        <f>SUM(N1887:AA1887)</f>
        <v>80000</v>
      </c>
      <c r="N1887" s="5630"/>
      <c r="O1887" s="5630"/>
      <c r="P1887" s="5630"/>
      <c r="Q1887" s="5630"/>
      <c r="R1887" s="5630"/>
      <c r="S1887" s="5630"/>
      <c r="T1887" s="5630"/>
      <c r="U1887" s="5630"/>
      <c r="V1887" s="5630">
        <v>80000</v>
      </c>
      <c r="W1887" s="5630"/>
      <c r="X1887" s="5630"/>
      <c r="Y1887" s="5630"/>
      <c r="Z1887" s="5630"/>
      <c r="AA1887" s="5630"/>
      <c r="AB1887" s="6667"/>
      <c r="AC1887" s="2675">
        <v>1</v>
      </c>
      <c r="AD1887" s="6815" t="s">
        <v>3408</v>
      </c>
      <c r="AE1887" s="6825">
        <v>1</v>
      </c>
      <c r="AF1887" s="2675">
        <v>80000</v>
      </c>
      <c r="AG1887" s="2675">
        <f t="shared" si="416"/>
        <v>80000</v>
      </c>
      <c r="AH1887" s="2712" t="s">
        <v>122</v>
      </c>
      <c r="AI1887" s="2675">
        <v>45281</v>
      </c>
      <c r="AJ1887" s="2675">
        <v>80000</v>
      </c>
      <c r="AK1887" s="2675">
        <v>45281</v>
      </c>
      <c r="AL1887" s="2675"/>
      <c r="AM1887" s="2675"/>
      <c r="AN1887" s="2833">
        <f t="shared" si="417"/>
        <v>80000</v>
      </c>
      <c r="AO1887" s="2833"/>
      <c r="AP1887" s="2675">
        <f t="shared" si="418"/>
        <v>0</v>
      </c>
      <c r="AQ1887" s="6817"/>
      <c r="AR1887" s="2675"/>
      <c r="AS1887" s="6817"/>
      <c r="AT1887" s="2675"/>
      <c r="AU1887" s="5630"/>
      <c r="AV1887" s="5630"/>
      <c r="AW1887" s="5630"/>
      <c r="AX1887" s="5630"/>
      <c r="AY1887" s="5630"/>
      <c r="AZ1887" s="5630"/>
      <c r="BA1887" s="2675"/>
      <c r="BB1887" s="2675"/>
      <c r="BC1887" s="2675"/>
      <c r="BD1887" s="2675"/>
      <c r="BE1887" s="2675"/>
      <c r="BF1887" s="2675"/>
      <c r="BG1887" s="2675"/>
      <c r="BH1887" s="2675"/>
      <c r="BI1887" s="2675">
        <v>80000</v>
      </c>
      <c r="BJ1887" s="2675"/>
      <c r="BK1887" s="2675"/>
      <c r="BL1887" s="2675"/>
      <c r="BM1887" s="2675"/>
      <c r="BN1887" s="2675"/>
      <c r="BO1887" s="2675"/>
      <c r="BP1887" s="2675"/>
      <c r="BQ1887" s="2675"/>
      <c r="BR1887" s="2675"/>
      <c r="BS1887" s="2675"/>
      <c r="BT1887" s="2675"/>
      <c r="BU1887" s="2675"/>
      <c r="BV1887" s="2675"/>
      <c r="BW1887" s="2675">
        <v>80000</v>
      </c>
      <c r="BX1887" s="2675"/>
      <c r="BY1887" s="2675"/>
      <c r="BZ1887" s="2675"/>
      <c r="CA1887" s="2675"/>
      <c r="CB1887" s="2675"/>
      <c r="CC1887" s="6836"/>
      <c r="CD1887" s="6836"/>
      <c r="CE1887" s="6837"/>
      <c r="CF1887" s="6837"/>
      <c r="CG1887" s="6837"/>
      <c r="CH1887" s="6837"/>
    </row>
    <row r="1888" s="4997" customFormat="1" ht="30" customHeight="1" spans="1:86">
      <c r="A1888" s="3812">
        <v>53</v>
      </c>
      <c r="B1888" s="3812" t="s">
        <v>1003</v>
      </c>
      <c r="C1888" s="3812">
        <v>44049</v>
      </c>
      <c r="D1888" s="6667" t="s">
        <v>3409</v>
      </c>
      <c r="E1888" s="6667" t="s">
        <v>3410</v>
      </c>
      <c r="F1888" s="6667" t="s">
        <v>3411</v>
      </c>
      <c r="G1888" s="6667" t="s">
        <v>3412</v>
      </c>
      <c r="H1888" s="6667" t="s">
        <v>3378</v>
      </c>
      <c r="I1888" s="6818"/>
      <c r="J1888" s="6667" t="s">
        <v>1297</v>
      </c>
      <c r="K1888" s="6667">
        <v>349747.7</v>
      </c>
      <c r="L1888" s="6667" t="s">
        <v>3413</v>
      </c>
      <c r="M1888" s="5630">
        <f>SUM(N1888:AA1893)</f>
        <v>8590787</v>
      </c>
      <c r="N1888" s="5630"/>
      <c r="O1888" s="5630"/>
      <c r="P1888" s="5630"/>
      <c r="Q1888" s="5630"/>
      <c r="R1888" s="5630"/>
      <c r="S1888" s="5630"/>
      <c r="T1888" s="5630"/>
      <c r="U1888" s="5630"/>
      <c r="V1888" s="5630"/>
      <c r="W1888" s="5630"/>
      <c r="X1888" s="5630"/>
      <c r="Y1888" s="5630"/>
      <c r="Z1888" s="5630"/>
      <c r="AA1888" s="5630">
        <v>8590787</v>
      </c>
      <c r="AB1888" s="6667" t="s">
        <v>3414</v>
      </c>
      <c r="AC1888" s="5630" t="s">
        <v>1055</v>
      </c>
      <c r="AD1888" s="6826" t="s">
        <v>3415</v>
      </c>
      <c r="AE1888" s="6826">
        <v>0.2</v>
      </c>
      <c r="AF1888" s="5630">
        <f>M1888*AE1888</f>
        <v>1718157.4</v>
      </c>
      <c r="AG1888" s="6667">
        <f t="shared" si="416"/>
        <v>1718157.4</v>
      </c>
      <c r="AH1888" s="5630" t="s">
        <v>122</v>
      </c>
      <c r="AI1888" s="5630">
        <v>44188</v>
      </c>
      <c r="AJ1888" s="5630">
        <v>1718157.4</v>
      </c>
      <c r="AK1888" s="5630">
        <v>44188</v>
      </c>
      <c r="AL1888" s="5630">
        <v>1718157.4</v>
      </c>
      <c r="AM1888" s="5630">
        <v>44217</v>
      </c>
      <c r="AN1888" s="5630">
        <f t="shared" si="417"/>
        <v>1718157.4</v>
      </c>
      <c r="AO1888" s="5630">
        <v>44295</v>
      </c>
      <c r="AP1888" s="5630">
        <f t="shared" si="418"/>
        <v>0</v>
      </c>
      <c r="AQ1888" s="6667" t="s">
        <v>3416</v>
      </c>
      <c r="AR1888" s="5630"/>
      <c r="AS1888" s="6667"/>
      <c r="AT1888" s="5630"/>
      <c r="AU1888" s="5630">
        <f>SUM(AG1888:AG1893)</f>
        <v>3499066.22</v>
      </c>
      <c r="AV1888" s="5630">
        <f>SUM(AL1888:AL1893)</f>
        <v>3499066.22</v>
      </c>
      <c r="AW1888" s="5630">
        <f>SUM(AN1888:AN1893)</f>
        <v>3499066.22</v>
      </c>
      <c r="AX1888" s="5630">
        <f>M1877-AU1888</f>
        <v>-3499066.22</v>
      </c>
      <c r="AY1888" s="5630">
        <f>AU1888-AV1888</f>
        <v>0</v>
      </c>
      <c r="AZ1888" s="5630">
        <f>AV1888-AW1888</f>
        <v>0</v>
      </c>
      <c r="BA1888" s="5630"/>
      <c r="BB1888" s="5630"/>
      <c r="BC1888" s="5630"/>
      <c r="BD1888" s="5630"/>
      <c r="BE1888" s="5630"/>
      <c r="BF1888" s="5630">
        <v>673000</v>
      </c>
      <c r="BG1888" s="5630"/>
      <c r="BH1888" s="5630"/>
      <c r="BI1888" s="5630"/>
      <c r="BJ1888" s="5630"/>
      <c r="BK1888" s="5630"/>
      <c r="BL1888" s="5630"/>
      <c r="BM1888" s="5630"/>
      <c r="BN1888" s="5630">
        <v>1045157.4</v>
      </c>
      <c r="BO1888" s="5630"/>
      <c r="BP1888" s="5630"/>
      <c r="BQ1888" s="5630"/>
      <c r="BR1888" s="5630"/>
      <c r="BS1888" s="5630"/>
      <c r="BT1888" s="5630">
        <v>673000</v>
      </c>
      <c r="BU1888" s="5630"/>
      <c r="BV1888" s="5630"/>
      <c r="BW1888" s="5630"/>
      <c r="BX1888" s="5630"/>
      <c r="BY1888" s="5630"/>
      <c r="BZ1888" s="5630"/>
      <c r="CA1888" s="5630"/>
      <c r="CB1888" s="5630">
        <v>1045157.4</v>
      </c>
      <c r="CC1888" s="6838" t="s">
        <v>166</v>
      </c>
      <c r="CD1888" s="6838" t="s">
        <v>125</v>
      </c>
      <c r="CE1888" s="6837"/>
      <c r="CF1888" s="6837"/>
      <c r="CG1888" s="6837"/>
      <c r="CH1888" s="6837"/>
    </row>
    <row r="1889" s="4997" customFormat="1" ht="45" customHeight="1" spans="1:86">
      <c r="A1889" s="3812"/>
      <c r="B1889" s="3812"/>
      <c r="C1889" s="3812"/>
      <c r="D1889" s="6667"/>
      <c r="E1889" s="6667"/>
      <c r="F1889" s="6667"/>
      <c r="G1889" s="6667"/>
      <c r="H1889" s="6667"/>
      <c r="I1889" s="6819"/>
      <c r="J1889" s="6667"/>
      <c r="K1889" s="6667"/>
      <c r="L1889" s="6667"/>
      <c r="M1889" s="5630"/>
      <c r="N1889" s="5630"/>
      <c r="O1889" s="5630"/>
      <c r="P1889" s="5630"/>
      <c r="Q1889" s="5630"/>
      <c r="R1889" s="5630"/>
      <c r="S1889" s="5630"/>
      <c r="T1889" s="5630"/>
      <c r="U1889" s="5630"/>
      <c r="V1889" s="5630"/>
      <c r="W1889" s="5630"/>
      <c r="X1889" s="5630"/>
      <c r="Y1889" s="5630"/>
      <c r="Z1889" s="5630"/>
      <c r="AA1889" s="5630"/>
      <c r="AB1889" s="6667"/>
      <c r="AC1889" s="5630"/>
      <c r="AD1889" s="6826"/>
      <c r="AE1889" s="6826"/>
      <c r="AF1889" s="5630"/>
      <c r="AG1889" s="6667"/>
      <c r="AH1889" s="5630"/>
      <c r="AI1889" s="5630"/>
      <c r="AJ1889" s="5630"/>
      <c r="AK1889" s="5630"/>
      <c r="AL1889" s="5630"/>
      <c r="AM1889" s="5630"/>
      <c r="AN1889" s="5630"/>
      <c r="AO1889" s="5630"/>
      <c r="AP1889" s="5630"/>
      <c r="AQ1889" s="6667"/>
      <c r="AR1889" s="5630"/>
      <c r="AS1889" s="6667"/>
      <c r="AT1889" s="5630"/>
      <c r="AU1889" s="5630"/>
      <c r="AV1889" s="5630"/>
      <c r="AW1889" s="5630"/>
      <c r="AX1889" s="5630"/>
      <c r="AY1889" s="5630"/>
      <c r="AZ1889" s="5630"/>
      <c r="BA1889" s="5630"/>
      <c r="BB1889" s="5630"/>
      <c r="BC1889" s="5630"/>
      <c r="BD1889" s="5630"/>
      <c r="BE1889" s="5630"/>
      <c r="BF1889" s="5630"/>
      <c r="BG1889" s="5630"/>
      <c r="BH1889" s="5630"/>
      <c r="BI1889" s="5630"/>
      <c r="BJ1889" s="5630"/>
      <c r="BK1889" s="5630"/>
      <c r="BL1889" s="5630"/>
      <c r="BM1889" s="5630"/>
      <c r="BN1889" s="5630"/>
      <c r="BO1889" s="5630"/>
      <c r="BP1889" s="5630"/>
      <c r="BQ1889" s="5630"/>
      <c r="BR1889" s="5630"/>
      <c r="BS1889" s="5630"/>
      <c r="BT1889" s="5630"/>
      <c r="BU1889" s="5630"/>
      <c r="BV1889" s="5630"/>
      <c r="BW1889" s="5630"/>
      <c r="BX1889" s="5630"/>
      <c r="BY1889" s="5630"/>
      <c r="BZ1889" s="5630"/>
      <c r="CA1889" s="5630"/>
      <c r="CB1889" s="5630"/>
      <c r="CC1889" s="6838"/>
      <c r="CD1889" s="6838"/>
      <c r="CE1889" s="6837"/>
      <c r="CF1889" s="6837"/>
      <c r="CG1889" s="6837"/>
      <c r="CH1889" s="6837"/>
    </row>
    <row r="1890" s="4997" customFormat="1" ht="30" customHeight="1" spans="1:86">
      <c r="A1890" s="3812"/>
      <c r="B1890" s="3812"/>
      <c r="C1890" s="3812"/>
      <c r="D1890" s="6667"/>
      <c r="E1890" s="6667"/>
      <c r="F1890" s="6667"/>
      <c r="G1890" s="6667"/>
      <c r="H1890" s="6667"/>
      <c r="I1890" s="6819"/>
      <c r="J1890" s="6667"/>
      <c r="K1890" s="6667"/>
      <c r="L1890" s="6667"/>
      <c r="M1890" s="5630"/>
      <c r="N1890" s="5630"/>
      <c r="O1890" s="5630"/>
      <c r="P1890" s="5630"/>
      <c r="Q1890" s="5630"/>
      <c r="R1890" s="5630"/>
      <c r="S1890" s="5630"/>
      <c r="T1890" s="5630"/>
      <c r="U1890" s="5630"/>
      <c r="V1890" s="5630"/>
      <c r="W1890" s="5630"/>
      <c r="X1890" s="5630"/>
      <c r="Y1890" s="5630"/>
      <c r="Z1890" s="5630"/>
      <c r="AA1890" s="5630"/>
      <c r="AB1890" s="6667"/>
      <c r="AC1890" s="5630" t="s">
        <v>1057</v>
      </c>
      <c r="AD1890" s="6826" t="s">
        <v>3385</v>
      </c>
      <c r="AE1890" s="6826">
        <v>0.7</v>
      </c>
      <c r="AF1890" s="5630">
        <f>M1888*AE1890</f>
        <v>6013550.9</v>
      </c>
      <c r="AG1890" s="5630">
        <f>SUM(BA1890:BN1890)</f>
        <v>1780908.82</v>
      </c>
      <c r="AH1890" s="5630" t="s">
        <v>122</v>
      </c>
      <c r="AI1890" s="5630">
        <v>44305</v>
      </c>
      <c r="AJ1890" s="5630">
        <v>1780908.82</v>
      </c>
      <c r="AK1890" s="5630">
        <v>44305</v>
      </c>
      <c r="AL1890" s="5630">
        <v>1780908.82</v>
      </c>
      <c r="AM1890" s="5630">
        <v>44305</v>
      </c>
      <c r="AN1890" s="5630">
        <f>SUM(BO1890:CB1890)</f>
        <v>1780908.82</v>
      </c>
      <c r="AO1890" s="5630">
        <v>44315</v>
      </c>
      <c r="AP1890" s="5630">
        <f>AG1890-AN1890</f>
        <v>0</v>
      </c>
      <c r="AQ1890" s="5630"/>
      <c r="AR1890" s="5630"/>
      <c r="AS1890" s="6667"/>
      <c r="AT1890" s="5630"/>
      <c r="AU1890" s="5630"/>
      <c r="AV1890" s="5630"/>
      <c r="AW1890" s="5630"/>
      <c r="AX1890" s="5630"/>
      <c r="AY1890" s="5630"/>
      <c r="AZ1890" s="5630"/>
      <c r="BA1890" s="5630"/>
      <c r="BB1890" s="5630"/>
      <c r="BC1890" s="5630"/>
      <c r="BD1890" s="5630"/>
      <c r="BE1890" s="5630"/>
      <c r="BF1890" s="5630"/>
      <c r="BG1890" s="5630"/>
      <c r="BH1890" s="5630"/>
      <c r="BI1890" s="5630"/>
      <c r="BJ1890" s="5630"/>
      <c r="BK1890" s="5630"/>
      <c r="BL1890" s="5630"/>
      <c r="BM1890" s="5630"/>
      <c r="BN1890" s="5630">
        <v>1780908.82</v>
      </c>
      <c r="BO1890" s="5630"/>
      <c r="BP1890" s="5630"/>
      <c r="BQ1890" s="5630"/>
      <c r="BR1890" s="5630"/>
      <c r="BS1890" s="5630"/>
      <c r="BT1890" s="5630"/>
      <c r="BU1890" s="5630"/>
      <c r="BV1890" s="5630"/>
      <c r="BW1890" s="5630"/>
      <c r="BX1890" s="5630"/>
      <c r="BY1890" s="5630"/>
      <c r="BZ1890" s="5630"/>
      <c r="CA1890" s="5630"/>
      <c r="CB1890" s="5630">
        <v>1780908.82</v>
      </c>
      <c r="CC1890" s="6838"/>
      <c r="CD1890" s="6838"/>
      <c r="CE1890" s="6837"/>
      <c r="CF1890" s="6837"/>
      <c r="CG1890" s="6837"/>
      <c r="CH1890" s="6837"/>
    </row>
    <row r="1891" s="4997" customFormat="1" ht="30" customHeight="1" spans="1:86">
      <c r="A1891" s="3812"/>
      <c r="B1891" s="3812"/>
      <c r="C1891" s="3812"/>
      <c r="D1891" s="6667"/>
      <c r="E1891" s="6667"/>
      <c r="F1891" s="6667"/>
      <c r="G1891" s="6667"/>
      <c r="H1891" s="6667"/>
      <c r="I1891" s="6819"/>
      <c r="J1891" s="6667"/>
      <c r="K1891" s="6667"/>
      <c r="L1891" s="6667"/>
      <c r="M1891" s="5630"/>
      <c r="N1891" s="5630"/>
      <c r="O1891" s="5630"/>
      <c r="P1891" s="5630"/>
      <c r="Q1891" s="5630"/>
      <c r="R1891" s="5630"/>
      <c r="S1891" s="5630"/>
      <c r="T1891" s="5630"/>
      <c r="U1891" s="5630"/>
      <c r="V1891" s="5630"/>
      <c r="W1891" s="5630"/>
      <c r="X1891" s="5630"/>
      <c r="Y1891" s="5630"/>
      <c r="Z1891" s="5630"/>
      <c r="AA1891" s="5630"/>
      <c r="AB1891" s="6667"/>
      <c r="AC1891" s="5630"/>
      <c r="AD1891" s="6826"/>
      <c r="AE1891" s="6826"/>
      <c r="AF1891" s="5630"/>
      <c r="AG1891" s="5630">
        <f>SUM(BA1891:BN1891)</f>
        <v>0</v>
      </c>
      <c r="AH1891" s="5630"/>
      <c r="AI1891" s="5630"/>
      <c r="AJ1891" s="5630"/>
      <c r="AK1891" s="5630"/>
      <c r="AL1891" s="5630"/>
      <c r="AM1891" s="5630"/>
      <c r="AN1891" s="5630">
        <f>SUM(BO1891:CB1891)</f>
        <v>0</v>
      </c>
      <c r="AO1891" s="5630"/>
      <c r="AP1891" s="5630">
        <f>AG1891-AN1891</f>
        <v>0</v>
      </c>
      <c r="AQ1891" s="5630"/>
      <c r="AR1891" s="5630"/>
      <c r="AS1891" s="6667"/>
      <c r="AT1891" s="5630"/>
      <c r="AU1891" s="5630"/>
      <c r="AV1891" s="5630"/>
      <c r="AW1891" s="5630"/>
      <c r="AX1891" s="5630"/>
      <c r="AY1891" s="5630"/>
      <c r="AZ1891" s="5630"/>
      <c r="BA1891" s="5630"/>
      <c r="BB1891" s="5630"/>
      <c r="BC1891" s="5630"/>
      <c r="BD1891" s="5630"/>
      <c r="BE1891" s="5630"/>
      <c r="BF1891" s="5630"/>
      <c r="BG1891" s="5630"/>
      <c r="BH1891" s="5630"/>
      <c r="BI1891" s="5630"/>
      <c r="BJ1891" s="5630"/>
      <c r="BK1891" s="5630"/>
      <c r="BL1891" s="5630"/>
      <c r="BM1891" s="5630"/>
      <c r="BN1891" s="5630"/>
      <c r="BO1891" s="5630"/>
      <c r="BP1891" s="5630"/>
      <c r="BQ1891" s="5630"/>
      <c r="BR1891" s="5630"/>
      <c r="BS1891" s="5630"/>
      <c r="BT1891" s="5630"/>
      <c r="BU1891" s="5630"/>
      <c r="BV1891" s="5630"/>
      <c r="BW1891" s="5630"/>
      <c r="BX1891" s="5630"/>
      <c r="BY1891" s="5630"/>
      <c r="BZ1891" s="5630"/>
      <c r="CA1891" s="5630"/>
      <c r="CB1891" s="5630"/>
      <c r="CC1891" s="6838"/>
      <c r="CD1891" s="6838"/>
      <c r="CE1891" s="6837"/>
      <c r="CF1891" s="6837"/>
      <c r="CG1891" s="6837"/>
      <c r="CH1891" s="6837"/>
    </row>
    <row r="1892" s="4997" customFormat="1" ht="30" customHeight="1" spans="1:86">
      <c r="A1892" s="3812"/>
      <c r="B1892" s="3812"/>
      <c r="C1892" s="3812"/>
      <c r="D1892" s="6667"/>
      <c r="E1892" s="6667"/>
      <c r="F1892" s="6667"/>
      <c r="G1892" s="6667"/>
      <c r="H1892" s="6667"/>
      <c r="I1892" s="6819"/>
      <c r="J1892" s="6667"/>
      <c r="K1892" s="6667"/>
      <c r="L1892" s="6667"/>
      <c r="M1892" s="5630"/>
      <c r="N1892" s="5630"/>
      <c r="O1892" s="5630"/>
      <c r="P1892" s="5630"/>
      <c r="Q1892" s="5630"/>
      <c r="R1892" s="5630"/>
      <c r="S1892" s="5630"/>
      <c r="T1892" s="5630"/>
      <c r="U1892" s="5630"/>
      <c r="V1892" s="5630"/>
      <c r="W1892" s="5630"/>
      <c r="X1892" s="5630"/>
      <c r="Y1892" s="5630"/>
      <c r="Z1892" s="5630"/>
      <c r="AA1892" s="5630"/>
      <c r="AB1892" s="6667"/>
      <c r="AC1892" s="5630" t="s">
        <v>1059</v>
      </c>
      <c r="AD1892" s="6826" t="s">
        <v>3388</v>
      </c>
      <c r="AE1892" s="6826">
        <v>0.1</v>
      </c>
      <c r="AF1892" s="5630">
        <f>M1888*AE1892</f>
        <v>859078.7</v>
      </c>
      <c r="AG1892" s="5630">
        <f>SUM(BA1892:BN1892)</f>
        <v>0</v>
      </c>
      <c r="AH1892" s="5630"/>
      <c r="AI1892" s="5630"/>
      <c r="AJ1892" s="5630"/>
      <c r="AK1892" s="5630"/>
      <c r="AL1892" s="5630"/>
      <c r="AM1892" s="5630"/>
      <c r="AN1892" s="5630">
        <f>SUM(BO1892:CB1892)</f>
        <v>0</v>
      </c>
      <c r="AO1892" s="5630"/>
      <c r="AP1892" s="5630">
        <f>AG1892-AN1892</f>
        <v>0</v>
      </c>
      <c r="AQ1892" s="5630"/>
      <c r="AR1892" s="5630"/>
      <c r="AS1892" s="6667"/>
      <c r="AT1892" s="5630"/>
      <c r="AU1892" s="5630"/>
      <c r="AV1892" s="5630"/>
      <c r="AW1892" s="5630"/>
      <c r="AX1892" s="5630"/>
      <c r="AY1892" s="5630"/>
      <c r="AZ1892" s="5630"/>
      <c r="BA1892" s="5630"/>
      <c r="BB1892" s="5630"/>
      <c r="BC1892" s="5630"/>
      <c r="BD1892" s="5630"/>
      <c r="BE1892" s="5630"/>
      <c r="BF1892" s="5630"/>
      <c r="BG1892" s="5630"/>
      <c r="BH1892" s="5630"/>
      <c r="BI1892" s="5630"/>
      <c r="BJ1892" s="5630"/>
      <c r="BK1892" s="5630"/>
      <c r="BL1892" s="5630"/>
      <c r="BM1892" s="5630"/>
      <c r="BN1892" s="5630"/>
      <c r="BO1892" s="5630"/>
      <c r="BP1892" s="5630"/>
      <c r="BQ1892" s="5630"/>
      <c r="BR1892" s="5630"/>
      <c r="BS1892" s="5630"/>
      <c r="BT1892" s="5630"/>
      <c r="BU1892" s="5630"/>
      <c r="BV1892" s="5630"/>
      <c r="BW1892" s="5630"/>
      <c r="BX1892" s="5630"/>
      <c r="BY1892" s="5630"/>
      <c r="BZ1892" s="5630"/>
      <c r="CA1892" s="5630"/>
      <c r="CB1892" s="5630"/>
      <c r="CC1892" s="6838"/>
      <c r="CD1892" s="6838"/>
      <c r="CE1892" s="6837"/>
      <c r="CF1892" s="6837"/>
      <c r="CG1892" s="6837"/>
      <c r="CH1892" s="6837"/>
    </row>
    <row r="1893" s="4997" customFormat="1" ht="30" customHeight="1" spans="1:86">
      <c r="A1893" s="3812"/>
      <c r="B1893" s="3812"/>
      <c r="C1893" s="3812"/>
      <c r="D1893" s="6667"/>
      <c r="E1893" s="6667"/>
      <c r="F1893" s="6667"/>
      <c r="G1893" s="6667"/>
      <c r="H1893" s="6667"/>
      <c r="I1893" s="6820"/>
      <c r="J1893" s="6667"/>
      <c r="K1893" s="6667"/>
      <c r="L1893" s="6667"/>
      <c r="M1893" s="5630"/>
      <c r="N1893" s="5630"/>
      <c r="O1893" s="5630"/>
      <c r="P1893" s="5630"/>
      <c r="Q1893" s="5630"/>
      <c r="R1893" s="5630"/>
      <c r="S1893" s="5630"/>
      <c r="T1893" s="5630"/>
      <c r="U1893" s="5630"/>
      <c r="V1893" s="5630"/>
      <c r="W1893" s="5630"/>
      <c r="X1893" s="5630"/>
      <c r="Y1893" s="5630"/>
      <c r="Z1893" s="5630"/>
      <c r="AA1893" s="5630"/>
      <c r="AB1893" s="6667"/>
      <c r="AC1893" s="5630"/>
      <c r="AD1893" s="6826"/>
      <c r="AE1893" s="6826"/>
      <c r="AF1893" s="5630"/>
      <c r="AG1893" s="5630">
        <f>SUM(BA1893:BN1893)</f>
        <v>0</v>
      </c>
      <c r="AH1893" s="5630"/>
      <c r="AI1893" s="5630"/>
      <c r="AJ1893" s="5630"/>
      <c r="AK1893" s="5630"/>
      <c r="AL1893" s="5630"/>
      <c r="AM1893" s="5630"/>
      <c r="AN1893" s="5630">
        <f>SUM(BO1893:CB1893)</f>
        <v>0</v>
      </c>
      <c r="AO1893" s="5630"/>
      <c r="AP1893" s="5630">
        <f>AG1893-AN1893</f>
        <v>0</v>
      </c>
      <c r="AQ1893" s="5630"/>
      <c r="AR1893" s="5630"/>
      <c r="AS1893" s="6667"/>
      <c r="AT1893" s="5630"/>
      <c r="AU1893" s="5630"/>
      <c r="AV1893" s="5630"/>
      <c r="AW1893" s="5630"/>
      <c r="AX1893" s="5630"/>
      <c r="AY1893" s="5630"/>
      <c r="AZ1893" s="5630"/>
      <c r="BA1893" s="5630"/>
      <c r="BB1893" s="5630"/>
      <c r="BC1893" s="5630"/>
      <c r="BD1893" s="5630"/>
      <c r="BE1893" s="5630"/>
      <c r="BF1893" s="5630"/>
      <c r="BG1893" s="5630"/>
      <c r="BH1893" s="5630"/>
      <c r="BI1893" s="5630"/>
      <c r="BJ1893" s="5630"/>
      <c r="BK1893" s="5630"/>
      <c r="BL1893" s="5630"/>
      <c r="BM1893" s="5630"/>
      <c r="BN1893" s="5630"/>
      <c r="BO1893" s="5630"/>
      <c r="BP1893" s="5630"/>
      <c r="BQ1893" s="5630"/>
      <c r="BR1893" s="5630"/>
      <c r="BS1893" s="5630"/>
      <c r="BT1893" s="5630"/>
      <c r="BU1893" s="5630"/>
      <c r="BV1893" s="5630"/>
      <c r="BW1893" s="5630"/>
      <c r="BX1893" s="5630"/>
      <c r="BY1893" s="5630"/>
      <c r="BZ1893" s="5630"/>
      <c r="CA1893" s="5630"/>
      <c r="CB1893" s="5630"/>
      <c r="CC1893" s="6838"/>
      <c r="CD1893" s="6838"/>
      <c r="CE1893" s="6837"/>
      <c r="CF1893" s="6837"/>
      <c r="CG1893" s="6837"/>
      <c r="CH1893" s="6837"/>
    </row>
    <row r="1894" s="4990" customFormat="1" ht="30" customHeight="1" spans="1:86">
      <c r="A1894" s="3812"/>
      <c r="B1894" s="3812"/>
      <c r="C1894" s="3812">
        <v>44049</v>
      </c>
      <c r="D1894" s="5056" t="s">
        <v>3417</v>
      </c>
      <c r="E1894" s="5056" t="s">
        <v>3410</v>
      </c>
      <c r="F1894" s="5056" t="s">
        <v>3411</v>
      </c>
      <c r="G1894" s="5056" t="s">
        <v>3412</v>
      </c>
      <c r="H1894" s="5056" t="s">
        <v>3418</v>
      </c>
      <c r="I1894" s="5070"/>
      <c r="J1894" s="5056" t="s">
        <v>1297</v>
      </c>
      <c r="K1894" s="5056">
        <v>349747.7</v>
      </c>
      <c r="L1894" s="5056" t="s">
        <v>3419</v>
      </c>
      <c r="M1894" s="3057">
        <f>SUM(N1894:AA1901)</f>
        <v>10540287.9</v>
      </c>
      <c r="N1894" s="3057"/>
      <c r="O1894" s="3057"/>
      <c r="P1894" s="3057"/>
      <c r="Q1894" s="3057"/>
      <c r="R1894" s="3057"/>
      <c r="S1894" s="3057">
        <v>4510950</v>
      </c>
      <c r="T1894" s="3057"/>
      <c r="U1894" s="3057"/>
      <c r="V1894" s="3057"/>
      <c r="W1894" s="3057"/>
      <c r="X1894" s="3057"/>
      <c r="Y1894" s="3057"/>
      <c r="Z1894" s="3057"/>
      <c r="AA1894" s="3057">
        <v>6029337.9</v>
      </c>
      <c r="AB1894" s="5056" t="s">
        <v>3420</v>
      </c>
      <c r="AC1894" s="5056" t="s">
        <v>2792</v>
      </c>
      <c r="AD1894" s="1082" t="s">
        <v>3421</v>
      </c>
      <c r="AE1894" s="1082">
        <v>0.2</v>
      </c>
      <c r="AF1894" s="3057">
        <f>M1894*AE1894</f>
        <v>2108057.58</v>
      </c>
      <c r="AG1894" s="3057">
        <f>SUM(BA1894:BN1894)</f>
        <v>625522.95</v>
      </c>
      <c r="AH1894" s="3057" t="s">
        <v>122</v>
      </c>
      <c r="AI1894" s="3057">
        <v>44188</v>
      </c>
      <c r="AJ1894" s="3057">
        <v>625522.95</v>
      </c>
      <c r="AK1894" s="3057">
        <v>44188</v>
      </c>
      <c r="AL1894" s="3057">
        <v>625522.95</v>
      </c>
      <c r="AM1894" s="3057">
        <v>44217</v>
      </c>
      <c r="AN1894" s="3057">
        <f>SUM(BO1894:CB1894)</f>
        <v>625522.95</v>
      </c>
      <c r="AO1894" s="3057">
        <v>44295</v>
      </c>
      <c r="AP1894" s="3057">
        <f>AG1894-AN1894</f>
        <v>0</v>
      </c>
      <c r="AQ1894" s="3057" t="s">
        <v>3422</v>
      </c>
      <c r="AR1894" s="3057"/>
      <c r="AS1894" s="5056"/>
      <c r="AT1894" s="3057"/>
      <c r="AU1894" s="3057">
        <f>SUM(AG1894:AG1901)</f>
        <v>2908908.93</v>
      </c>
      <c r="AV1894" s="3057">
        <f>SUM(AL1894:AL1901)</f>
        <v>2908908.93</v>
      </c>
      <c r="AW1894" s="3057">
        <f>SUM(AO1894:AO1901)</f>
        <v>88610</v>
      </c>
      <c r="AX1894" s="3057">
        <f>M1894-AU1894</f>
        <v>7631378.97</v>
      </c>
      <c r="AY1894" s="3057">
        <f>AU1894-AV1894</f>
        <v>0</v>
      </c>
      <c r="AZ1894" s="3057">
        <f>AV1894-AW1894</f>
        <v>2820298.93</v>
      </c>
      <c r="BA1894" s="3057"/>
      <c r="BB1894" s="3057"/>
      <c r="BC1894" s="3057"/>
      <c r="BD1894" s="3057"/>
      <c r="BE1894" s="3057"/>
      <c r="BF1894" s="3057">
        <v>293794.3</v>
      </c>
      <c r="BG1894" s="3057"/>
      <c r="BH1894" s="3057"/>
      <c r="BI1894" s="3057"/>
      <c r="BJ1894" s="3057"/>
      <c r="BK1894" s="3057"/>
      <c r="BL1894" s="3057"/>
      <c r="BM1894" s="3057"/>
      <c r="BN1894" s="3057">
        <v>331728.65</v>
      </c>
      <c r="BO1894" s="3057"/>
      <c r="BP1894" s="3057"/>
      <c r="BQ1894" s="3057"/>
      <c r="BR1894" s="3057"/>
      <c r="BS1894" s="3057"/>
      <c r="BT1894" s="3057">
        <v>293794.3</v>
      </c>
      <c r="BU1894" s="3057"/>
      <c r="BV1894" s="3057"/>
      <c r="BW1894" s="3057"/>
      <c r="BX1894" s="3057"/>
      <c r="BY1894" s="3057"/>
      <c r="BZ1894" s="3057"/>
      <c r="CA1894" s="3057"/>
      <c r="CB1894" s="3057">
        <v>331728.65</v>
      </c>
      <c r="CC1894" s="6778"/>
      <c r="CD1894" s="6778"/>
      <c r="CE1894" s="6781"/>
      <c r="CF1894" s="6781"/>
      <c r="CG1894" s="6781"/>
      <c r="CH1894" s="6781"/>
    </row>
    <row r="1895" s="4990" customFormat="1" ht="30" customHeight="1" spans="1:86">
      <c r="A1895" s="3812"/>
      <c r="B1895" s="3812"/>
      <c r="C1895" s="3812"/>
      <c r="D1895" s="5056"/>
      <c r="E1895" s="5056"/>
      <c r="F1895" s="5056"/>
      <c r="G1895" s="5056"/>
      <c r="H1895" s="5056"/>
      <c r="I1895" s="5071"/>
      <c r="J1895" s="5056"/>
      <c r="K1895" s="5056"/>
      <c r="L1895" s="5056"/>
      <c r="M1895" s="3057"/>
      <c r="N1895" s="3057"/>
      <c r="O1895" s="3057"/>
      <c r="P1895" s="3057"/>
      <c r="Q1895" s="3057"/>
      <c r="R1895" s="3057"/>
      <c r="S1895" s="3057"/>
      <c r="T1895" s="3057"/>
      <c r="U1895" s="3057"/>
      <c r="V1895" s="3057"/>
      <c r="W1895" s="3057"/>
      <c r="X1895" s="3057"/>
      <c r="Y1895" s="3057"/>
      <c r="Z1895" s="3057"/>
      <c r="AA1895" s="3057"/>
      <c r="AB1895" s="5056"/>
      <c r="AC1895" s="5056"/>
      <c r="AD1895" s="1082"/>
      <c r="AE1895" s="1082"/>
      <c r="AF1895" s="3057"/>
      <c r="AG1895" s="3057">
        <f t="shared" ref="AG1895:AG1902" si="419">SUM(BA1895:BN1895)</f>
        <v>0</v>
      </c>
      <c r="AH1895" s="3057"/>
      <c r="AI1895" s="3057"/>
      <c r="AJ1895" s="3057"/>
      <c r="AK1895" s="3057"/>
      <c r="AL1895" s="3057"/>
      <c r="AM1895" s="3057"/>
      <c r="AN1895" s="3057">
        <f t="shared" ref="AN1895:AN1902" si="420">SUM(BO1895:CB1895)</f>
        <v>0</v>
      </c>
      <c r="AO1895" s="3057"/>
      <c r="AP1895" s="3057">
        <f t="shared" ref="AP1895:AP1902" si="421">AG1895-AN1895</f>
        <v>0</v>
      </c>
      <c r="AQ1895" s="3057"/>
      <c r="AR1895" s="3057"/>
      <c r="AS1895" s="5056"/>
      <c r="AT1895" s="3057"/>
      <c r="AU1895" s="3057"/>
      <c r="AV1895" s="3057"/>
      <c r="AW1895" s="3057"/>
      <c r="AX1895" s="3057"/>
      <c r="AY1895" s="3057"/>
      <c r="AZ1895" s="3057"/>
      <c r="BA1895" s="3057"/>
      <c r="BB1895" s="3057"/>
      <c r="BC1895" s="3057"/>
      <c r="BD1895" s="3057"/>
      <c r="BE1895" s="3057"/>
      <c r="BF1895" s="3057"/>
      <c r="BG1895" s="3057"/>
      <c r="BH1895" s="3057"/>
      <c r="BI1895" s="3057"/>
      <c r="BJ1895" s="3057"/>
      <c r="BK1895" s="3057"/>
      <c r="BL1895" s="3057"/>
      <c r="BM1895" s="3057"/>
      <c r="BN1895" s="3057"/>
      <c r="BO1895" s="3057"/>
      <c r="BP1895" s="3057"/>
      <c r="BQ1895" s="3057"/>
      <c r="BR1895" s="3057"/>
      <c r="BS1895" s="3057"/>
      <c r="BT1895" s="3057"/>
      <c r="BU1895" s="3057"/>
      <c r="BV1895" s="3057"/>
      <c r="BW1895" s="3057"/>
      <c r="BX1895" s="3057"/>
      <c r="BY1895" s="3057"/>
      <c r="BZ1895" s="3057"/>
      <c r="CA1895" s="3057"/>
      <c r="CB1895" s="3057"/>
      <c r="CC1895" s="6778"/>
      <c r="CD1895" s="6778"/>
      <c r="CE1895" s="6781"/>
      <c r="CF1895" s="6781"/>
      <c r="CG1895" s="6781"/>
      <c r="CH1895" s="6781"/>
    </row>
    <row r="1896" s="4990" customFormat="1" ht="30" customHeight="1" spans="1:86">
      <c r="A1896" s="3812"/>
      <c r="B1896" s="3812"/>
      <c r="C1896" s="3812"/>
      <c r="D1896" s="5056"/>
      <c r="E1896" s="5056"/>
      <c r="F1896" s="5056"/>
      <c r="G1896" s="5056"/>
      <c r="H1896" s="5056"/>
      <c r="I1896" s="5071"/>
      <c r="J1896" s="5056"/>
      <c r="K1896" s="5056"/>
      <c r="L1896" s="5056"/>
      <c r="M1896" s="3057"/>
      <c r="N1896" s="3057"/>
      <c r="O1896" s="3057"/>
      <c r="P1896" s="3057"/>
      <c r="Q1896" s="3057"/>
      <c r="R1896" s="3057"/>
      <c r="S1896" s="3057"/>
      <c r="T1896" s="3057"/>
      <c r="U1896" s="3057"/>
      <c r="V1896" s="3057"/>
      <c r="W1896" s="3057"/>
      <c r="X1896" s="3057"/>
      <c r="Y1896" s="3057"/>
      <c r="Z1896" s="3057"/>
      <c r="AA1896" s="3057"/>
      <c r="AB1896" s="5056"/>
      <c r="AC1896" s="5056" t="s">
        <v>2794</v>
      </c>
      <c r="AD1896" s="1082" t="s">
        <v>3394</v>
      </c>
      <c r="AE1896" s="1082">
        <v>0.6</v>
      </c>
      <c r="AF1896" s="3057">
        <f>M1894*AE1896</f>
        <v>6324172.74</v>
      </c>
      <c r="AG1896" s="3057">
        <f t="shared" si="419"/>
        <v>1871387.31</v>
      </c>
      <c r="AH1896" s="3057" t="s">
        <v>122</v>
      </c>
      <c r="AI1896" s="3057">
        <v>44305</v>
      </c>
      <c r="AJ1896" s="3057">
        <v>1871387.31</v>
      </c>
      <c r="AK1896" s="3057">
        <v>44305</v>
      </c>
      <c r="AL1896" s="3057">
        <v>1871387.31</v>
      </c>
      <c r="AM1896" s="3057">
        <v>44305</v>
      </c>
      <c r="AN1896" s="3057">
        <f t="shared" si="420"/>
        <v>1871387.31</v>
      </c>
      <c r="AO1896" s="3057">
        <v>44315</v>
      </c>
      <c r="AP1896" s="3057">
        <f t="shared" si="421"/>
        <v>0</v>
      </c>
      <c r="AQ1896" s="3057"/>
      <c r="AR1896" s="3057"/>
      <c r="AS1896" s="5056"/>
      <c r="AT1896" s="3057"/>
      <c r="AU1896" s="3057"/>
      <c r="AV1896" s="3057"/>
      <c r="AW1896" s="3057"/>
      <c r="AX1896" s="3057"/>
      <c r="AY1896" s="3057"/>
      <c r="AZ1896" s="3057"/>
      <c r="BA1896" s="3057"/>
      <c r="BB1896" s="3057"/>
      <c r="BC1896" s="3057"/>
      <c r="BD1896" s="3057"/>
      <c r="BE1896" s="3057"/>
      <c r="BF1896" s="3057">
        <v>794536.72</v>
      </c>
      <c r="BG1896" s="3057"/>
      <c r="BH1896" s="3057">
        <v>88281.86</v>
      </c>
      <c r="BI1896" s="3057"/>
      <c r="BJ1896" s="3057"/>
      <c r="BK1896" s="3057"/>
      <c r="BL1896" s="3057"/>
      <c r="BM1896" s="3057"/>
      <c r="BN1896" s="3057">
        <v>988568.73</v>
      </c>
      <c r="BO1896" s="3057"/>
      <c r="BP1896" s="3057"/>
      <c r="BQ1896" s="3057"/>
      <c r="BR1896" s="3057"/>
      <c r="BS1896" s="3057"/>
      <c r="BT1896" s="3057">
        <v>794536.72</v>
      </c>
      <c r="BU1896" s="3057"/>
      <c r="BV1896" s="3057">
        <v>88281.86</v>
      </c>
      <c r="BW1896" s="3057"/>
      <c r="BX1896" s="3057"/>
      <c r="BY1896" s="3057"/>
      <c r="BZ1896" s="3057"/>
      <c r="CA1896" s="3057"/>
      <c r="CB1896" s="3057">
        <v>988568.73</v>
      </c>
      <c r="CC1896" s="6778"/>
      <c r="CD1896" s="6778"/>
      <c r="CE1896" s="6781"/>
      <c r="CF1896" s="6781"/>
      <c r="CG1896" s="6781"/>
      <c r="CH1896" s="6781"/>
    </row>
    <row r="1897" s="4990" customFormat="1" ht="30" customHeight="1" spans="1:86">
      <c r="A1897" s="3812"/>
      <c r="B1897" s="3812"/>
      <c r="C1897" s="3812"/>
      <c r="D1897" s="5056"/>
      <c r="E1897" s="5056"/>
      <c r="F1897" s="5056"/>
      <c r="G1897" s="5056"/>
      <c r="H1897" s="5056"/>
      <c r="I1897" s="5071"/>
      <c r="J1897" s="5056"/>
      <c r="K1897" s="5056"/>
      <c r="L1897" s="5056"/>
      <c r="M1897" s="3057"/>
      <c r="N1897" s="3057"/>
      <c r="O1897" s="3057"/>
      <c r="P1897" s="3057"/>
      <c r="Q1897" s="3057"/>
      <c r="R1897" s="3057"/>
      <c r="S1897" s="3057"/>
      <c r="T1897" s="3057"/>
      <c r="U1897" s="3057"/>
      <c r="V1897" s="3057"/>
      <c r="W1897" s="3057"/>
      <c r="X1897" s="3057"/>
      <c r="Y1897" s="3057"/>
      <c r="Z1897" s="3057"/>
      <c r="AA1897" s="3057"/>
      <c r="AB1897" s="5056"/>
      <c r="AC1897" s="5056"/>
      <c r="AD1897" s="1082"/>
      <c r="AE1897" s="1082"/>
      <c r="AF1897" s="3057"/>
      <c r="AG1897" s="3057">
        <f t="shared" si="419"/>
        <v>0</v>
      </c>
      <c r="AH1897" s="3057"/>
      <c r="AI1897" s="3057"/>
      <c r="AJ1897" s="3057"/>
      <c r="AK1897" s="3057"/>
      <c r="AL1897" s="3057"/>
      <c r="AM1897" s="3057"/>
      <c r="AN1897" s="3057">
        <f t="shared" si="420"/>
        <v>0</v>
      </c>
      <c r="AO1897" s="3057"/>
      <c r="AP1897" s="3057">
        <f t="shared" si="421"/>
        <v>0</v>
      </c>
      <c r="AQ1897" s="3057"/>
      <c r="AR1897" s="3057"/>
      <c r="AS1897" s="5056"/>
      <c r="AT1897" s="3057"/>
      <c r="AU1897" s="3057"/>
      <c r="AV1897" s="3057"/>
      <c r="AW1897" s="3057"/>
      <c r="AX1897" s="3057"/>
      <c r="AY1897" s="3057"/>
      <c r="AZ1897" s="3057"/>
      <c r="BA1897" s="3057"/>
      <c r="BB1897" s="3057"/>
      <c r="BC1897" s="3057"/>
      <c r="BD1897" s="3057"/>
      <c r="BE1897" s="3057"/>
      <c r="BF1897" s="3057"/>
      <c r="BG1897" s="3057"/>
      <c r="BH1897" s="3057"/>
      <c r="BI1897" s="3057"/>
      <c r="BJ1897" s="3057"/>
      <c r="BK1897" s="3057"/>
      <c r="BL1897" s="3057"/>
      <c r="BM1897" s="3057"/>
      <c r="BN1897" s="3057"/>
      <c r="BO1897" s="3057"/>
      <c r="BP1897" s="3057"/>
      <c r="BQ1897" s="3057"/>
      <c r="BR1897" s="3057"/>
      <c r="BS1897" s="3057"/>
      <c r="BT1897" s="3057"/>
      <c r="BU1897" s="3057"/>
      <c r="BV1897" s="3057"/>
      <c r="BW1897" s="3057"/>
      <c r="BX1897" s="3057"/>
      <c r="BY1897" s="3057"/>
      <c r="BZ1897" s="3057"/>
      <c r="CA1897" s="3057"/>
      <c r="CB1897" s="3057"/>
      <c r="CC1897" s="6778"/>
      <c r="CD1897" s="6778"/>
      <c r="CE1897" s="6781"/>
      <c r="CF1897" s="6781"/>
      <c r="CG1897" s="6781"/>
      <c r="CH1897" s="6781"/>
    </row>
    <row r="1898" s="4990" customFormat="1" spans="1:86">
      <c r="A1898" s="3812"/>
      <c r="B1898" s="3812"/>
      <c r="C1898" s="3812"/>
      <c r="D1898" s="5056"/>
      <c r="E1898" s="5056"/>
      <c r="F1898" s="5056"/>
      <c r="G1898" s="5056"/>
      <c r="H1898" s="5056"/>
      <c r="I1898" s="5071"/>
      <c r="J1898" s="5056"/>
      <c r="K1898" s="5056"/>
      <c r="L1898" s="5056"/>
      <c r="M1898" s="3057"/>
      <c r="N1898" s="3057"/>
      <c r="O1898" s="3057"/>
      <c r="P1898" s="3057"/>
      <c r="Q1898" s="3057"/>
      <c r="R1898" s="3057"/>
      <c r="S1898" s="3057"/>
      <c r="T1898" s="3057"/>
      <c r="U1898" s="3057"/>
      <c r="V1898" s="3057"/>
      <c r="W1898" s="3057"/>
      <c r="X1898" s="3057"/>
      <c r="Y1898" s="3057"/>
      <c r="Z1898" s="3057"/>
      <c r="AA1898" s="3057"/>
      <c r="AB1898" s="5056"/>
      <c r="AC1898" s="5056" t="s">
        <v>2796</v>
      </c>
      <c r="AD1898" s="1082" t="s">
        <v>3395</v>
      </c>
      <c r="AE1898" s="1082">
        <v>0.1</v>
      </c>
      <c r="AF1898" s="3057">
        <f>M1894*AE1898</f>
        <v>1054028.79</v>
      </c>
      <c r="AG1898" s="3057">
        <f t="shared" si="419"/>
        <v>293947.99</v>
      </c>
      <c r="AH1898" s="584" t="s">
        <v>122</v>
      </c>
      <c r="AI1898" s="3057">
        <v>45279</v>
      </c>
      <c r="AJ1898" s="3057">
        <v>293947.99</v>
      </c>
      <c r="AK1898" s="3057">
        <v>45279</v>
      </c>
      <c r="AL1898" s="3057">
        <v>293947.99</v>
      </c>
      <c r="AM1898" s="3057">
        <v>45447</v>
      </c>
      <c r="AN1898" s="4059">
        <f t="shared" si="420"/>
        <v>293947.99</v>
      </c>
      <c r="AO1898" s="6279"/>
      <c r="AP1898" s="3057">
        <f t="shared" si="421"/>
        <v>0</v>
      </c>
      <c r="AQ1898" s="1125" t="s">
        <v>3423</v>
      </c>
      <c r="AR1898" s="3057"/>
      <c r="AS1898" s="5056"/>
      <c r="AT1898" s="3057"/>
      <c r="AU1898" s="3057"/>
      <c r="AV1898" s="3057"/>
      <c r="AW1898" s="3057"/>
      <c r="AX1898" s="3057"/>
      <c r="AY1898" s="3057"/>
      <c r="AZ1898" s="3057"/>
      <c r="BA1898" s="3057"/>
      <c r="BB1898" s="3057"/>
      <c r="BC1898" s="3057"/>
      <c r="BD1898" s="3057"/>
      <c r="BE1898" s="3057"/>
      <c r="BF1898" s="3057">
        <v>293947.99</v>
      </c>
      <c r="BG1898" s="3057"/>
      <c r="BH1898" s="3057"/>
      <c r="BI1898" s="3057"/>
      <c r="BJ1898" s="3057"/>
      <c r="BK1898" s="3057"/>
      <c r="BL1898" s="3057"/>
      <c r="BM1898" s="3057"/>
      <c r="BN1898" s="3057"/>
      <c r="BO1898" s="3057"/>
      <c r="BP1898" s="3057"/>
      <c r="BQ1898" s="3057"/>
      <c r="BR1898" s="3057"/>
      <c r="BS1898" s="3057"/>
      <c r="BT1898" s="3057">
        <v>293947.99</v>
      </c>
      <c r="BU1898" s="3057"/>
      <c r="BV1898" s="3057"/>
      <c r="BW1898" s="3057"/>
      <c r="BX1898" s="3057"/>
      <c r="BY1898" s="3057"/>
      <c r="BZ1898" s="3057"/>
      <c r="CA1898" s="3057"/>
      <c r="CB1898" s="3057"/>
      <c r="CC1898" s="6778"/>
      <c r="CD1898" s="6778"/>
      <c r="CE1898" s="5169">
        <f>SUBTOTAL(9,BO1898:CB1898)</f>
        <v>293947.99</v>
      </c>
      <c r="CF1898" s="5169">
        <f>AN1898-CE1898</f>
        <v>0</v>
      </c>
      <c r="CG1898" s="6781"/>
      <c r="CH1898" s="6781"/>
    </row>
    <row r="1899" s="4990" customFormat="1" ht="30" customHeight="1" spans="1:86">
      <c r="A1899" s="3812"/>
      <c r="B1899" s="3812"/>
      <c r="C1899" s="3812"/>
      <c r="D1899" s="5056"/>
      <c r="E1899" s="5056"/>
      <c r="F1899" s="5056"/>
      <c r="G1899" s="5056"/>
      <c r="H1899" s="5056"/>
      <c r="I1899" s="5071"/>
      <c r="J1899" s="5056"/>
      <c r="K1899" s="5056"/>
      <c r="L1899" s="5056"/>
      <c r="M1899" s="3057"/>
      <c r="N1899" s="3057"/>
      <c r="O1899" s="3057"/>
      <c r="P1899" s="3057"/>
      <c r="Q1899" s="3057"/>
      <c r="R1899" s="3057"/>
      <c r="S1899" s="3057"/>
      <c r="T1899" s="3057"/>
      <c r="U1899" s="3057"/>
      <c r="V1899" s="3057"/>
      <c r="W1899" s="3057"/>
      <c r="X1899" s="3057"/>
      <c r="Y1899" s="3057"/>
      <c r="Z1899" s="3057"/>
      <c r="AA1899" s="3057"/>
      <c r="AB1899" s="5056"/>
      <c r="AC1899" s="5056"/>
      <c r="AD1899" s="1082"/>
      <c r="AE1899" s="1082"/>
      <c r="AF1899" s="3057"/>
      <c r="AG1899" s="3057">
        <f t="shared" si="419"/>
        <v>0</v>
      </c>
      <c r="AH1899" s="3057"/>
      <c r="AI1899" s="3057"/>
      <c r="AJ1899" s="3057"/>
      <c r="AK1899" s="3057"/>
      <c r="AL1899" s="3057"/>
      <c r="AM1899" s="3057"/>
      <c r="AN1899" s="3057">
        <f t="shared" si="420"/>
        <v>0</v>
      </c>
      <c r="AO1899" s="3057"/>
      <c r="AP1899" s="3057">
        <f t="shared" si="421"/>
        <v>0</v>
      </c>
      <c r="AQ1899" s="3057"/>
      <c r="AR1899" s="3057"/>
      <c r="AS1899" s="5056"/>
      <c r="AT1899" s="3057"/>
      <c r="AU1899" s="3057"/>
      <c r="AV1899" s="3057"/>
      <c r="AW1899" s="3057"/>
      <c r="AX1899" s="3057"/>
      <c r="AY1899" s="3057"/>
      <c r="AZ1899" s="3057"/>
      <c r="BA1899" s="3057"/>
      <c r="BB1899" s="3057"/>
      <c r="BC1899" s="3057"/>
      <c r="BD1899" s="3057"/>
      <c r="BE1899" s="3057"/>
      <c r="BF1899" s="3057"/>
      <c r="BG1899" s="3057"/>
      <c r="BH1899" s="3057"/>
      <c r="BI1899" s="3057"/>
      <c r="BJ1899" s="3057"/>
      <c r="BK1899" s="3057"/>
      <c r="BL1899" s="3057"/>
      <c r="BM1899" s="3057"/>
      <c r="BN1899" s="3057"/>
      <c r="BO1899" s="3057"/>
      <c r="BP1899" s="3057"/>
      <c r="BQ1899" s="3057"/>
      <c r="BR1899" s="3057"/>
      <c r="BS1899" s="3057"/>
      <c r="BT1899" s="3057"/>
      <c r="BU1899" s="3057"/>
      <c r="BV1899" s="3057"/>
      <c r="BW1899" s="3057"/>
      <c r="BX1899" s="3057"/>
      <c r="BY1899" s="3057"/>
      <c r="BZ1899" s="3057"/>
      <c r="CA1899" s="3057"/>
      <c r="CB1899" s="3057"/>
      <c r="CC1899" s="6778"/>
      <c r="CD1899" s="6778"/>
      <c r="CE1899" s="6781"/>
      <c r="CF1899" s="6781"/>
      <c r="CG1899" s="6781"/>
      <c r="CH1899" s="6781"/>
    </row>
    <row r="1900" s="4990" customFormat="1" ht="30" customHeight="1" spans="1:86">
      <c r="A1900" s="3812"/>
      <c r="B1900" s="3812"/>
      <c r="C1900" s="3812"/>
      <c r="D1900" s="5056"/>
      <c r="E1900" s="5056"/>
      <c r="F1900" s="5056"/>
      <c r="G1900" s="5056"/>
      <c r="H1900" s="5056"/>
      <c r="I1900" s="5071"/>
      <c r="J1900" s="5056"/>
      <c r="K1900" s="5056"/>
      <c r="L1900" s="5056"/>
      <c r="M1900" s="3057"/>
      <c r="N1900" s="3057"/>
      <c r="O1900" s="3057"/>
      <c r="P1900" s="3057"/>
      <c r="Q1900" s="3057"/>
      <c r="R1900" s="3057"/>
      <c r="S1900" s="3057"/>
      <c r="T1900" s="3057"/>
      <c r="U1900" s="3057"/>
      <c r="V1900" s="3057"/>
      <c r="W1900" s="3057"/>
      <c r="X1900" s="3057"/>
      <c r="Y1900" s="3057"/>
      <c r="Z1900" s="3057"/>
      <c r="AA1900" s="3057"/>
      <c r="AB1900" s="5056"/>
      <c r="AC1900" s="5056" t="s">
        <v>2798</v>
      </c>
      <c r="AD1900" s="1082" t="s">
        <v>3388</v>
      </c>
      <c r="AE1900" s="1082">
        <v>0.1</v>
      </c>
      <c r="AF1900" s="3057">
        <f>M1894*AE1900</f>
        <v>1054028.79</v>
      </c>
      <c r="AG1900" s="5125">
        <f t="shared" si="419"/>
        <v>118050.68</v>
      </c>
      <c r="AH1900" s="5852" t="s">
        <v>122</v>
      </c>
      <c r="AI1900" s="5125">
        <v>45447</v>
      </c>
      <c r="AJ1900" s="3057">
        <v>118050.68</v>
      </c>
      <c r="AK1900" s="3057">
        <v>45447</v>
      </c>
      <c r="AL1900" s="3057">
        <v>118050.68</v>
      </c>
      <c r="AM1900" s="3057">
        <v>45447</v>
      </c>
      <c r="AN1900" s="4059">
        <f t="shared" si="420"/>
        <v>118050.68</v>
      </c>
      <c r="AO1900" s="3057"/>
      <c r="AP1900" s="3057">
        <f t="shared" si="421"/>
        <v>0</v>
      </c>
      <c r="AQ1900" s="3057"/>
      <c r="AR1900" s="3057"/>
      <c r="AS1900" s="5056"/>
      <c r="AT1900" s="3057"/>
      <c r="AU1900" s="3057"/>
      <c r="AV1900" s="3057"/>
      <c r="AW1900" s="3057"/>
      <c r="AX1900" s="3057"/>
      <c r="AY1900" s="3057"/>
      <c r="AZ1900" s="3057"/>
      <c r="BA1900" s="3057"/>
      <c r="BB1900" s="3057"/>
      <c r="BC1900" s="3057"/>
      <c r="BD1900" s="3057"/>
      <c r="BE1900" s="3057"/>
      <c r="BF1900" s="3057"/>
      <c r="BG1900" s="3057"/>
      <c r="BH1900" s="3057"/>
      <c r="BI1900" s="3057"/>
      <c r="BJ1900" s="3057"/>
      <c r="BK1900" s="3057"/>
      <c r="BL1900" s="3057"/>
      <c r="BM1900" s="3057"/>
      <c r="BN1900" s="3057">
        <v>118050.68</v>
      </c>
      <c r="BO1900" s="3057"/>
      <c r="BP1900" s="3057"/>
      <c r="BQ1900" s="3057"/>
      <c r="BR1900" s="3057"/>
      <c r="BS1900" s="3057"/>
      <c r="BT1900" s="3057"/>
      <c r="BU1900" s="3057"/>
      <c r="BV1900" s="3057"/>
      <c r="BW1900" s="3057"/>
      <c r="BX1900" s="3057"/>
      <c r="BY1900" s="3057"/>
      <c r="BZ1900" s="3057"/>
      <c r="CA1900" s="3057"/>
      <c r="CB1900" s="3057">
        <v>118050.68</v>
      </c>
      <c r="CC1900" s="6778"/>
      <c r="CD1900" s="6778"/>
      <c r="CE1900" s="6781"/>
      <c r="CF1900" s="6781"/>
      <c r="CG1900" s="6781"/>
      <c r="CH1900" s="6781"/>
    </row>
    <row r="1901" s="4990" customFormat="1" ht="30" customHeight="1" spans="1:86">
      <c r="A1901" s="3812"/>
      <c r="B1901" s="3812"/>
      <c r="C1901" s="3812"/>
      <c r="D1901" s="5056"/>
      <c r="E1901" s="5056"/>
      <c r="F1901" s="5056"/>
      <c r="G1901" s="5056"/>
      <c r="H1901" s="5056"/>
      <c r="I1901" s="5072"/>
      <c r="J1901" s="5056"/>
      <c r="K1901" s="5056"/>
      <c r="L1901" s="5056"/>
      <c r="M1901" s="3057"/>
      <c r="N1901" s="3057"/>
      <c r="O1901" s="3057"/>
      <c r="P1901" s="3057"/>
      <c r="Q1901" s="3057"/>
      <c r="R1901" s="3057"/>
      <c r="S1901" s="3057"/>
      <c r="T1901" s="3057"/>
      <c r="U1901" s="3057"/>
      <c r="V1901" s="3057"/>
      <c r="W1901" s="3057"/>
      <c r="X1901" s="3057"/>
      <c r="Y1901" s="3057"/>
      <c r="Z1901" s="3057"/>
      <c r="AA1901" s="3057"/>
      <c r="AB1901" s="5056"/>
      <c r="AC1901" s="5056"/>
      <c r="AD1901" s="1082"/>
      <c r="AE1901" s="1082"/>
      <c r="AF1901" s="3057"/>
      <c r="AG1901" s="3057">
        <f t="shared" si="419"/>
        <v>0</v>
      </c>
      <c r="AH1901" s="3057"/>
      <c r="AI1901" s="3057"/>
      <c r="AJ1901" s="3057"/>
      <c r="AK1901" s="3057"/>
      <c r="AL1901" s="3057"/>
      <c r="AM1901" s="3057"/>
      <c r="AN1901" s="3057">
        <f t="shared" si="420"/>
        <v>0</v>
      </c>
      <c r="AO1901" s="3057"/>
      <c r="AP1901" s="3057">
        <f t="shared" si="421"/>
        <v>0</v>
      </c>
      <c r="AQ1901" s="3057"/>
      <c r="AR1901" s="3057"/>
      <c r="AS1901" s="5056"/>
      <c r="AT1901" s="3057"/>
      <c r="AU1901" s="3057"/>
      <c r="AV1901" s="3057"/>
      <c r="AW1901" s="3057"/>
      <c r="AX1901" s="3057"/>
      <c r="AY1901" s="3057"/>
      <c r="AZ1901" s="3057"/>
      <c r="BA1901" s="3057"/>
      <c r="BB1901" s="3057"/>
      <c r="BC1901" s="3057"/>
      <c r="BD1901" s="3057"/>
      <c r="BE1901" s="3057"/>
      <c r="BF1901" s="3057"/>
      <c r="BG1901" s="3057"/>
      <c r="BH1901" s="3057"/>
      <c r="BI1901" s="3057"/>
      <c r="BJ1901" s="3057"/>
      <c r="BK1901" s="3057"/>
      <c r="BL1901" s="3057"/>
      <c r="BM1901" s="3057"/>
      <c r="BN1901" s="3057"/>
      <c r="BO1901" s="3057"/>
      <c r="BP1901" s="3057"/>
      <c r="BQ1901" s="3057"/>
      <c r="BR1901" s="3057"/>
      <c r="BS1901" s="3057"/>
      <c r="BT1901" s="3057"/>
      <c r="BU1901" s="3057"/>
      <c r="BV1901" s="3057"/>
      <c r="BW1901" s="3057"/>
      <c r="BX1901" s="3057"/>
      <c r="BY1901" s="3057"/>
      <c r="BZ1901" s="3057"/>
      <c r="CA1901" s="3057"/>
      <c r="CB1901" s="3057"/>
      <c r="CC1901" s="6778"/>
      <c r="CD1901" s="6778"/>
      <c r="CE1901" s="6781"/>
      <c r="CF1901" s="6781"/>
      <c r="CG1901" s="6781"/>
      <c r="CH1901" s="6781"/>
    </row>
    <row r="1902" s="4998" customFormat="1" ht="30" customHeight="1" spans="1:86">
      <c r="A1902" s="3812"/>
      <c r="B1902" s="3812"/>
      <c r="C1902" s="3812">
        <v>44049</v>
      </c>
      <c r="D1902" s="6587" t="s">
        <v>3424</v>
      </c>
      <c r="E1902" s="6587" t="s">
        <v>3410</v>
      </c>
      <c r="F1902" s="6587" t="s">
        <v>3411</v>
      </c>
      <c r="G1902" s="6587" t="s">
        <v>3412</v>
      </c>
      <c r="H1902" s="4099" t="s">
        <v>31</v>
      </c>
      <c r="I1902" s="4099"/>
      <c r="J1902" s="6587" t="s">
        <v>1297</v>
      </c>
      <c r="K1902" s="6587">
        <v>349747.7</v>
      </c>
      <c r="L1902" s="6587" t="s">
        <v>3425</v>
      </c>
      <c r="M1902" s="4099">
        <f>SUM(N1902:AA1907)</f>
        <v>2020231.6</v>
      </c>
      <c r="N1902" s="4099"/>
      <c r="O1902" s="4099"/>
      <c r="P1902" s="4099"/>
      <c r="Q1902" s="4099"/>
      <c r="R1902" s="4099"/>
      <c r="S1902" s="4099"/>
      <c r="T1902" s="4099"/>
      <c r="U1902" s="4099">
        <v>1223637.35</v>
      </c>
      <c r="V1902" s="4099"/>
      <c r="W1902" s="4099"/>
      <c r="X1902" s="4099"/>
      <c r="Y1902" s="4099"/>
      <c r="Z1902" s="4099"/>
      <c r="AA1902" s="4099">
        <v>796594.25</v>
      </c>
      <c r="AB1902" s="6587"/>
      <c r="AC1902" s="4099" t="s">
        <v>1110</v>
      </c>
      <c r="AD1902" s="2358" t="s">
        <v>3426</v>
      </c>
      <c r="AE1902" s="2358">
        <v>0.2</v>
      </c>
      <c r="AF1902" s="4099">
        <f>M1902*AE1902</f>
        <v>404046.32</v>
      </c>
      <c r="AG1902" s="4099">
        <f t="shared" si="419"/>
        <v>404046.32</v>
      </c>
      <c r="AH1902" s="4099" t="s">
        <v>122</v>
      </c>
      <c r="AI1902" s="4099">
        <v>44188</v>
      </c>
      <c r="AJ1902" s="4099">
        <v>404046.32</v>
      </c>
      <c r="AK1902" s="4099">
        <v>44188</v>
      </c>
      <c r="AL1902" s="4099">
        <v>404046.32</v>
      </c>
      <c r="AM1902" s="4099">
        <v>44217</v>
      </c>
      <c r="AN1902" s="4099">
        <f t="shared" si="420"/>
        <v>404046.32</v>
      </c>
      <c r="AO1902" s="4099">
        <v>44295</v>
      </c>
      <c r="AP1902" s="4099">
        <f t="shared" si="421"/>
        <v>0</v>
      </c>
      <c r="AQ1902" s="4099"/>
      <c r="AR1902" s="4099"/>
      <c r="AS1902" s="6587"/>
      <c r="AT1902" s="4099"/>
      <c r="AU1902" s="4099">
        <f>SUM(AG1902:AG1907)</f>
        <v>730048.96</v>
      </c>
      <c r="AV1902" s="4099">
        <f>SUM(AL1902:AL1907)</f>
        <v>730048.96</v>
      </c>
      <c r="AW1902" s="4099">
        <f>SUM(AN1902:AN1907)</f>
        <v>730048.96</v>
      </c>
      <c r="AX1902" s="4099">
        <f>M1902-AU1902</f>
        <v>1290182.64</v>
      </c>
      <c r="AY1902" s="4099">
        <f>AU1902-AV1902</f>
        <v>0</v>
      </c>
      <c r="AZ1902" s="4099">
        <f>AV1902-AW1902</f>
        <v>0</v>
      </c>
      <c r="BA1902" s="4099"/>
      <c r="BB1902" s="4099"/>
      <c r="BC1902" s="4099"/>
      <c r="BD1902" s="4099"/>
      <c r="BE1902" s="4099"/>
      <c r="BF1902" s="4099"/>
      <c r="BG1902" s="4099"/>
      <c r="BH1902" s="4099">
        <v>244727.47</v>
      </c>
      <c r="BI1902" s="4099"/>
      <c r="BJ1902" s="4099"/>
      <c r="BK1902" s="4099"/>
      <c r="BL1902" s="4099"/>
      <c r="BM1902" s="4099"/>
      <c r="BN1902" s="4099">
        <v>159318.85</v>
      </c>
      <c r="BO1902" s="4099"/>
      <c r="BP1902" s="4099"/>
      <c r="BQ1902" s="4099"/>
      <c r="BR1902" s="4099"/>
      <c r="BS1902" s="4099"/>
      <c r="BT1902" s="4099"/>
      <c r="BU1902" s="4099"/>
      <c r="BV1902" s="4099">
        <v>244727.47</v>
      </c>
      <c r="BW1902" s="4099"/>
      <c r="BX1902" s="4099"/>
      <c r="BY1902" s="4099"/>
      <c r="BZ1902" s="4099"/>
      <c r="CA1902" s="4099"/>
      <c r="CB1902" s="4099">
        <v>159318.85</v>
      </c>
      <c r="CC1902" s="6839"/>
      <c r="CD1902" s="6839"/>
      <c r="CE1902" s="6840"/>
      <c r="CF1902" s="6840"/>
      <c r="CG1902" s="6840"/>
      <c r="CH1902" s="6840"/>
    </row>
    <row r="1903" s="4998" customFormat="1" ht="30" customHeight="1" spans="1:86">
      <c r="A1903" s="3812"/>
      <c r="B1903" s="3812"/>
      <c r="C1903" s="3812"/>
      <c r="D1903" s="6587"/>
      <c r="E1903" s="6587"/>
      <c r="F1903" s="6587"/>
      <c r="G1903" s="6587"/>
      <c r="H1903" s="4099"/>
      <c r="I1903" s="4099"/>
      <c r="J1903" s="6587"/>
      <c r="K1903" s="6587"/>
      <c r="L1903" s="6587"/>
      <c r="M1903" s="4099"/>
      <c r="N1903" s="4099"/>
      <c r="O1903" s="4099"/>
      <c r="P1903" s="4099"/>
      <c r="Q1903" s="4099"/>
      <c r="R1903" s="4099"/>
      <c r="S1903" s="4099"/>
      <c r="T1903" s="4099"/>
      <c r="U1903" s="4099"/>
      <c r="V1903" s="4099"/>
      <c r="W1903" s="4099"/>
      <c r="X1903" s="4099"/>
      <c r="Y1903" s="4099"/>
      <c r="Z1903" s="4099"/>
      <c r="AA1903" s="4099"/>
      <c r="AB1903" s="6587"/>
      <c r="AC1903" s="4099"/>
      <c r="AD1903" s="2358"/>
      <c r="AE1903" s="2358"/>
      <c r="AF1903" s="4099"/>
      <c r="AG1903" s="4099"/>
      <c r="AH1903" s="4099"/>
      <c r="AI1903" s="4099"/>
      <c r="AJ1903" s="4099"/>
      <c r="AK1903" s="4099"/>
      <c r="AL1903" s="4099"/>
      <c r="AM1903" s="4099"/>
      <c r="AN1903" s="4099"/>
      <c r="AO1903" s="4099"/>
      <c r="AP1903" s="4099"/>
      <c r="AQ1903" s="4099"/>
      <c r="AR1903" s="4099"/>
      <c r="AS1903" s="6587"/>
      <c r="AT1903" s="4099"/>
      <c r="AU1903" s="4099"/>
      <c r="AV1903" s="4099"/>
      <c r="AW1903" s="4099"/>
      <c r="AX1903" s="4099"/>
      <c r="AY1903" s="4099"/>
      <c r="AZ1903" s="4099"/>
      <c r="BA1903" s="4099"/>
      <c r="BB1903" s="4099"/>
      <c r="BC1903" s="4099"/>
      <c r="BD1903" s="4099"/>
      <c r="BE1903" s="4099"/>
      <c r="BF1903" s="4099"/>
      <c r="BG1903" s="4099"/>
      <c r="BH1903" s="4099"/>
      <c r="BI1903" s="4099"/>
      <c r="BJ1903" s="4099"/>
      <c r="BK1903" s="4099"/>
      <c r="BL1903" s="4099"/>
      <c r="BM1903" s="4099"/>
      <c r="BN1903" s="4099"/>
      <c r="BO1903" s="4099"/>
      <c r="BP1903" s="4099"/>
      <c r="BQ1903" s="4099"/>
      <c r="BR1903" s="4099"/>
      <c r="BS1903" s="4099"/>
      <c r="BT1903" s="4099"/>
      <c r="BU1903" s="4099"/>
      <c r="BV1903" s="4099"/>
      <c r="BW1903" s="4099"/>
      <c r="BX1903" s="4099"/>
      <c r="BY1903" s="4099"/>
      <c r="BZ1903" s="4099"/>
      <c r="CA1903" s="4099"/>
      <c r="CB1903" s="4099"/>
      <c r="CC1903" s="6839"/>
      <c r="CD1903" s="6839"/>
      <c r="CE1903" s="6840"/>
      <c r="CF1903" s="6840"/>
      <c r="CG1903" s="6840"/>
      <c r="CH1903" s="6840"/>
    </row>
    <row r="1904" s="4998" customFormat="1" ht="30" customHeight="1" spans="1:86">
      <c r="A1904" s="3812"/>
      <c r="B1904" s="3812"/>
      <c r="C1904" s="3812"/>
      <c r="D1904" s="6587"/>
      <c r="E1904" s="6587"/>
      <c r="F1904" s="6587"/>
      <c r="G1904" s="6587"/>
      <c r="H1904" s="4099"/>
      <c r="I1904" s="4099"/>
      <c r="J1904" s="6587"/>
      <c r="K1904" s="6587"/>
      <c r="L1904" s="6587"/>
      <c r="M1904" s="4099"/>
      <c r="N1904" s="4099"/>
      <c r="O1904" s="4099"/>
      <c r="P1904" s="4099"/>
      <c r="Q1904" s="4099"/>
      <c r="R1904" s="4099"/>
      <c r="S1904" s="4099"/>
      <c r="T1904" s="4099"/>
      <c r="U1904" s="4099"/>
      <c r="V1904" s="4099"/>
      <c r="W1904" s="4099"/>
      <c r="X1904" s="4099"/>
      <c r="Y1904" s="4099"/>
      <c r="Z1904" s="4099"/>
      <c r="AA1904" s="4099"/>
      <c r="AB1904" s="6587"/>
      <c r="AC1904" s="4099" t="s">
        <v>1113</v>
      </c>
      <c r="AD1904" s="2358" t="s">
        <v>3385</v>
      </c>
      <c r="AE1904" s="2358">
        <v>0.4</v>
      </c>
      <c r="AF1904" s="4099">
        <f>M1902*AE1904</f>
        <v>808092.64</v>
      </c>
      <c r="AG1904" s="4099">
        <f t="shared" ref="AG1904:AG1911" si="422">SUM(BA1904:BN1904)</f>
        <v>163001.32</v>
      </c>
      <c r="AH1904" s="4099" t="s">
        <v>122</v>
      </c>
      <c r="AI1904" s="4099">
        <v>44305</v>
      </c>
      <c r="AJ1904" s="4099">
        <v>163001.32</v>
      </c>
      <c r="AK1904" s="4099">
        <v>44305</v>
      </c>
      <c r="AL1904" s="4099">
        <v>163001.32</v>
      </c>
      <c r="AM1904" s="4099">
        <v>44305</v>
      </c>
      <c r="AN1904" s="4099">
        <f t="shared" ref="AN1904:AN1913" si="423">SUM(BO1904:CB1904)</f>
        <v>163001.32</v>
      </c>
      <c r="AO1904" s="4099">
        <v>44315</v>
      </c>
      <c r="AP1904" s="4099">
        <f t="shared" ref="AP1904:AP1911" si="424">AG1904-AN1904</f>
        <v>0</v>
      </c>
      <c r="AQ1904" s="4099"/>
      <c r="AR1904" s="4099"/>
      <c r="AS1904" s="6587"/>
      <c r="AT1904" s="4099"/>
      <c r="AU1904" s="4099"/>
      <c r="AV1904" s="4099"/>
      <c r="AW1904" s="4099"/>
      <c r="AX1904" s="4099"/>
      <c r="AY1904" s="4099"/>
      <c r="AZ1904" s="4099"/>
      <c r="BA1904" s="4099"/>
      <c r="BB1904" s="4099"/>
      <c r="BC1904" s="4099"/>
      <c r="BD1904" s="4099"/>
      <c r="BE1904" s="4099"/>
      <c r="BF1904" s="4099"/>
      <c r="BG1904" s="4099"/>
      <c r="BH1904" s="4099">
        <v>90500.31</v>
      </c>
      <c r="BI1904" s="4099"/>
      <c r="BJ1904" s="4099"/>
      <c r="BK1904" s="4099"/>
      <c r="BL1904" s="4099"/>
      <c r="BM1904" s="4099"/>
      <c r="BN1904" s="4099">
        <v>72501.01</v>
      </c>
      <c r="BO1904" s="4099"/>
      <c r="BP1904" s="4099"/>
      <c r="BQ1904" s="4099"/>
      <c r="BR1904" s="4099"/>
      <c r="BS1904" s="4099"/>
      <c r="BT1904" s="4099"/>
      <c r="BU1904" s="4099"/>
      <c r="BV1904" s="4099">
        <v>90500.31</v>
      </c>
      <c r="BW1904" s="4099"/>
      <c r="BX1904" s="4099"/>
      <c r="BY1904" s="4099"/>
      <c r="BZ1904" s="4099"/>
      <c r="CA1904" s="4099"/>
      <c r="CB1904" s="4099">
        <v>72501.01</v>
      </c>
      <c r="CC1904" s="6839"/>
      <c r="CD1904" s="6839"/>
      <c r="CE1904" s="6840"/>
      <c r="CF1904" s="6840"/>
      <c r="CG1904" s="6840"/>
      <c r="CH1904" s="6840"/>
    </row>
    <row r="1905" s="4998" customFormat="1" ht="30" customHeight="1" spans="1:86">
      <c r="A1905" s="3812"/>
      <c r="B1905" s="3812"/>
      <c r="C1905" s="3812"/>
      <c r="D1905" s="6587"/>
      <c r="E1905" s="6587"/>
      <c r="F1905" s="6587"/>
      <c r="G1905" s="6587"/>
      <c r="H1905" s="4099"/>
      <c r="I1905" s="4099"/>
      <c r="J1905" s="6587"/>
      <c r="K1905" s="6587"/>
      <c r="L1905" s="6587"/>
      <c r="M1905" s="4099"/>
      <c r="N1905" s="4099"/>
      <c r="O1905" s="4099"/>
      <c r="P1905" s="4099"/>
      <c r="Q1905" s="4099"/>
      <c r="R1905" s="4099"/>
      <c r="S1905" s="4099"/>
      <c r="T1905" s="4099"/>
      <c r="U1905" s="4099"/>
      <c r="V1905" s="4099"/>
      <c r="W1905" s="4099"/>
      <c r="X1905" s="4099"/>
      <c r="Y1905" s="4099"/>
      <c r="Z1905" s="4099"/>
      <c r="AA1905" s="4099"/>
      <c r="AB1905" s="6587"/>
      <c r="AC1905" s="4099"/>
      <c r="AD1905" s="2358"/>
      <c r="AE1905" s="2358"/>
      <c r="AF1905" s="4099"/>
      <c r="AG1905" s="4099">
        <f t="shared" si="422"/>
        <v>0</v>
      </c>
      <c r="AH1905" s="4099"/>
      <c r="AI1905" s="4099"/>
      <c r="AJ1905" s="4099"/>
      <c r="AK1905" s="4099"/>
      <c r="AL1905" s="4099"/>
      <c r="AM1905" s="4099"/>
      <c r="AN1905" s="4099">
        <f t="shared" si="423"/>
        <v>0</v>
      </c>
      <c r="AO1905" s="4099"/>
      <c r="AP1905" s="4099">
        <f t="shared" si="424"/>
        <v>0</v>
      </c>
      <c r="AQ1905" s="4099"/>
      <c r="AR1905" s="4099"/>
      <c r="AS1905" s="6587"/>
      <c r="AT1905" s="4099"/>
      <c r="AU1905" s="4099"/>
      <c r="AV1905" s="4099"/>
      <c r="AW1905" s="4099"/>
      <c r="AX1905" s="4099"/>
      <c r="AY1905" s="4099"/>
      <c r="AZ1905" s="4099"/>
      <c r="BA1905" s="4099"/>
      <c r="BB1905" s="4099"/>
      <c r="BC1905" s="4099"/>
      <c r="BD1905" s="4099"/>
      <c r="BE1905" s="4099"/>
      <c r="BF1905" s="4099"/>
      <c r="BG1905" s="4099"/>
      <c r="BH1905" s="4099"/>
      <c r="BI1905" s="4099"/>
      <c r="BJ1905" s="4099"/>
      <c r="BK1905" s="4099"/>
      <c r="BL1905" s="4099"/>
      <c r="BM1905" s="4099"/>
      <c r="BN1905" s="4099"/>
      <c r="BO1905" s="4099"/>
      <c r="BP1905" s="4099"/>
      <c r="BQ1905" s="4099"/>
      <c r="BR1905" s="4099"/>
      <c r="BS1905" s="4099"/>
      <c r="BT1905" s="4099"/>
      <c r="BU1905" s="4099"/>
      <c r="BV1905" s="5851"/>
      <c r="BW1905" s="5851"/>
      <c r="BX1905" s="5851"/>
      <c r="BY1905" s="5851"/>
      <c r="BZ1905" s="5851"/>
      <c r="CA1905" s="5851"/>
      <c r="CB1905" s="5851"/>
      <c r="CC1905" s="6839"/>
      <c r="CD1905" s="6839"/>
      <c r="CE1905" s="6840"/>
      <c r="CF1905" s="6840"/>
      <c r="CG1905" s="6840"/>
      <c r="CH1905" s="6840"/>
    </row>
    <row r="1906" s="4998" customFormat="1" ht="43.35" customHeight="1" spans="1:86">
      <c r="A1906" s="3812"/>
      <c r="B1906" s="3812"/>
      <c r="C1906" s="3812"/>
      <c r="D1906" s="6587"/>
      <c r="E1906" s="6587"/>
      <c r="F1906" s="6587"/>
      <c r="G1906" s="6587"/>
      <c r="H1906" s="4099"/>
      <c r="I1906" s="4099"/>
      <c r="J1906" s="6587"/>
      <c r="K1906" s="6587"/>
      <c r="L1906" s="6587"/>
      <c r="M1906" s="4099"/>
      <c r="N1906" s="4099"/>
      <c r="O1906" s="4099"/>
      <c r="P1906" s="4099"/>
      <c r="Q1906" s="4099"/>
      <c r="R1906" s="4099"/>
      <c r="S1906" s="4099"/>
      <c r="T1906" s="4099"/>
      <c r="U1906" s="4099"/>
      <c r="V1906" s="4099"/>
      <c r="W1906" s="4099"/>
      <c r="X1906" s="4099"/>
      <c r="Y1906" s="4099"/>
      <c r="Z1906" s="4099"/>
      <c r="AA1906" s="4099"/>
      <c r="AB1906" s="6587"/>
      <c r="AC1906" s="4099" t="s">
        <v>1115</v>
      </c>
      <c r="AD1906" s="2358" t="s">
        <v>3402</v>
      </c>
      <c r="AE1906" s="2358">
        <v>0.4</v>
      </c>
      <c r="AF1906" s="4099">
        <f>M1902*AE1906</f>
        <v>808092.64</v>
      </c>
      <c r="AG1906" s="4099">
        <f t="shared" si="422"/>
        <v>163001.32</v>
      </c>
      <c r="AH1906" s="4099" t="s">
        <v>122</v>
      </c>
      <c r="AI1906" s="4099">
        <v>44305</v>
      </c>
      <c r="AJ1906" s="4099">
        <v>163001.32</v>
      </c>
      <c r="AK1906" s="4099">
        <v>44305</v>
      </c>
      <c r="AL1906" s="4099">
        <v>163001.32</v>
      </c>
      <c r="AM1906" s="4099">
        <v>44305</v>
      </c>
      <c r="AN1906" s="4099">
        <f t="shared" si="423"/>
        <v>163001.32</v>
      </c>
      <c r="AO1906" s="4099">
        <v>44315</v>
      </c>
      <c r="AP1906" s="4099">
        <f t="shared" si="424"/>
        <v>0</v>
      </c>
      <c r="AQ1906" s="4099"/>
      <c r="AR1906" s="4099"/>
      <c r="AS1906" s="6587"/>
      <c r="AT1906" s="4099"/>
      <c r="AU1906" s="4099"/>
      <c r="AV1906" s="4099"/>
      <c r="AW1906" s="4099"/>
      <c r="AX1906" s="4099"/>
      <c r="AY1906" s="4099"/>
      <c r="AZ1906" s="4099"/>
      <c r="BA1906" s="4099"/>
      <c r="BB1906" s="4099"/>
      <c r="BC1906" s="4099"/>
      <c r="BD1906" s="4099"/>
      <c r="BE1906" s="4099"/>
      <c r="BF1906" s="4099"/>
      <c r="BG1906" s="4099"/>
      <c r="BH1906" s="4099">
        <v>90500.31</v>
      </c>
      <c r="BI1906" s="4099"/>
      <c r="BJ1906" s="4099"/>
      <c r="BK1906" s="4099"/>
      <c r="BL1906" s="4099"/>
      <c r="BM1906" s="4099"/>
      <c r="BN1906" s="4099">
        <v>72501.01</v>
      </c>
      <c r="BO1906" s="4099"/>
      <c r="BP1906" s="4099"/>
      <c r="BQ1906" s="4099"/>
      <c r="BR1906" s="4099"/>
      <c r="BS1906" s="4099"/>
      <c r="BT1906" s="4099"/>
      <c r="BU1906" s="4099"/>
      <c r="BV1906" s="4099">
        <v>90500.31</v>
      </c>
      <c r="BW1906" s="4099"/>
      <c r="BX1906" s="4099"/>
      <c r="BY1906" s="4099"/>
      <c r="BZ1906" s="4099"/>
      <c r="CA1906" s="4099"/>
      <c r="CB1906" s="4099">
        <v>72501.01</v>
      </c>
      <c r="CC1906" s="6839"/>
      <c r="CD1906" s="6839"/>
      <c r="CE1906" s="6840"/>
      <c r="CF1906" s="6840"/>
      <c r="CG1906" s="6840"/>
      <c r="CH1906" s="6840"/>
    </row>
    <row r="1907" s="4998" customFormat="1" ht="42.5" customHeight="1" spans="1:86">
      <c r="A1907" s="3812"/>
      <c r="B1907" s="3812"/>
      <c r="C1907" s="3812"/>
      <c r="D1907" s="6587"/>
      <c r="E1907" s="6587"/>
      <c r="F1907" s="6587"/>
      <c r="G1907" s="6587"/>
      <c r="H1907" s="4099"/>
      <c r="I1907" s="4099"/>
      <c r="J1907" s="6587"/>
      <c r="K1907" s="6587"/>
      <c r="L1907" s="6587"/>
      <c r="M1907" s="4099"/>
      <c r="N1907" s="4099"/>
      <c r="O1907" s="4099"/>
      <c r="P1907" s="4099"/>
      <c r="Q1907" s="4099"/>
      <c r="R1907" s="4099"/>
      <c r="S1907" s="4099"/>
      <c r="T1907" s="4099"/>
      <c r="U1907" s="4099"/>
      <c r="V1907" s="4099"/>
      <c r="W1907" s="4099"/>
      <c r="X1907" s="4099"/>
      <c r="Y1907" s="4099"/>
      <c r="Z1907" s="4099"/>
      <c r="AA1907" s="4099"/>
      <c r="AB1907" s="6587"/>
      <c r="AC1907" s="4099"/>
      <c r="AD1907" s="2358"/>
      <c r="AE1907" s="2358"/>
      <c r="AF1907" s="4099"/>
      <c r="AG1907" s="4099">
        <f t="shared" si="422"/>
        <v>0</v>
      </c>
      <c r="AH1907" s="4099"/>
      <c r="AI1907" s="4099"/>
      <c r="AJ1907" s="4099"/>
      <c r="AK1907" s="4099"/>
      <c r="AL1907" s="4099"/>
      <c r="AM1907" s="4099"/>
      <c r="AN1907" s="4099">
        <f t="shared" si="423"/>
        <v>0</v>
      </c>
      <c r="AO1907" s="4099"/>
      <c r="AP1907" s="4099">
        <f t="shared" si="424"/>
        <v>0</v>
      </c>
      <c r="AQ1907" s="4099"/>
      <c r="AR1907" s="4099"/>
      <c r="AS1907" s="6587"/>
      <c r="AT1907" s="4099"/>
      <c r="AU1907" s="4099"/>
      <c r="AV1907" s="4099"/>
      <c r="AW1907" s="4099"/>
      <c r="AX1907" s="4099"/>
      <c r="AY1907" s="4099"/>
      <c r="AZ1907" s="4099"/>
      <c r="BA1907" s="4099"/>
      <c r="BB1907" s="4099"/>
      <c r="BC1907" s="4099"/>
      <c r="BD1907" s="4099"/>
      <c r="BE1907" s="4099"/>
      <c r="BF1907" s="4099"/>
      <c r="BG1907" s="4099"/>
      <c r="BH1907" s="4099"/>
      <c r="BI1907" s="4099"/>
      <c r="BJ1907" s="4099"/>
      <c r="BK1907" s="4099"/>
      <c r="BL1907" s="4099"/>
      <c r="BM1907" s="4099"/>
      <c r="BN1907" s="4099"/>
      <c r="BO1907" s="4099"/>
      <c r="BP1907" s="4099"/>
      <c r="BQ1907" s="4099"/>
      <c r="BR1907" s="4099"/>
      <c r="BS1907" s="4099"/>
      <c r="BT1907" s="4099"/>
      <c r="BU1907" s="4099"/>
      <c r="BV1907" s="4099"/>
      <c r="BW1907" s="4099"/>
      <c r="BX1907" s="4099"/>
      <c r="BY1907" s="4099"/>
      <c r="BZ1907" s="4099"/>
      <c r="CA1907" s="4099"/>
      <c r="CB1907" s="4099"/>
      <c r="CC1907" s="6839"/>
      <c r="CD1907" s="6839"/>
      <c r="CE1907" s="6840"/>
      <c r="CF1907" s="6840"/>
      <c r="CG1907" s="6840"/>
      <c r="CH1907" s="6840"/>
    </row>
    <row r="1908" s="4998" customFormat="1" ht="61" spans="1:86">
      <c r="A1908" s="3812"/>
      <c r="B1908" s="3812"/>
      <c r="C1908" s="3812">
        <v>44545</v>
      </c>
      <c r="D1908" s="440" t="s">
        <v>3427</v>
      </c>
      <c r="E1908" s="440" t="s">
        <v>3410</v>
      </c>
      <c r="F1908" s="440" t="s">
        <v>3428</v>
      </c>
      <c r="G1908" s="440" t="s">
        <v>3429</v>
      </c>
      <c r="H1908" s="600" t="s">
        <v>658</v>
      </c>
      <c r="I1908" s="600"/>
      <c r="J1908" s="440" t="s">
        <v>1297</v>
      </c>
      <c r="K1908" s="5196"/>
      <c r="L1908" s="5196"/>
      <c r="M1908" s="2957">
        <v>224475.26</v>
      </c>
      <c r="N1908" s="2957"/>
      <c r="O1908" s="2957"/>
      <c r="P1908" s="2957"/>
      <c r="Q1908" s="2957"/>
      <c r="R1908" s="2957"/>
      <c r="S1908" s="2957">
        <v>224475.26</v>
      </c>
      <c r="T1908" s="2957"/>
      <c r="U1908" s="2957"/>
      <c r="V1908" s="2957"/>
      <c r="W1908" s="2957"/>
      <c r="X1908" s="2957"/>
      <c r="Y1908" s="2957"/>
      <c r="Z1908" s="2957"/>
      <c r="AA1908" s="2957"/>
      <c r="AB1908" s="5196"/>
      <c r="AC1908" s="600" t="s">
        <v>3430</v>
      </c>
      <c r="AD1908" s="440" t="s">
        <v>3431</v>
      </c>
      <c r="AE1908" s="441">
        <v>0.4</v>
      </c>
      <c r="AF1908" s="2957">
        <f>M1908*AE1908</f>
        <v>89790.104</v>
      </c>
      <c r="AG1908" s="2957">
        <f t="shared" si="422"/>
        <v>89790.1</v>
      </c>
      <c r="AH1908" s="600" t="s">
        <v>122</v>
      </c>
      <c r="AI1908" s="600">
        <v>44636</v>
      </c>
      <c r="AJ1908" s="2957">
        <f>SUM(BD1908:BQ1908)</f>
        <v>89790.1</v>
      </c>
      <c r="AK1908" s="600">
        <v>44636</v>
      </c>
      <c r="AL1908" s="2957">
        <f>SUM(BF1908:BS1908)</f>
        <v>89790.1</v>
      </c>
      <c r="AM1908" s="600">
        <v>44636</v>
      </c>
      <c r="AN1908" s="2957">
        <f t="shared" si="423"/>
        <v>89790.1</v>
      </c>
      <c r="AO1908" s="600">
        <v>44648</v>
      </c>
      <c r="AP1908" s="2957">
        <f t="shared" si="424"/>
        <v>0</v>
      </c>
      <c r="AQ1908" s="2957"/>
      <c r="AR1908" s="2957"/>
      <c r="AS1908" s="5196"/>
      <c r="AT1908" s="2957"/>
      <c r="AU1908" s="4099"/>
      <c r="AV1908" s="4099"/>
      <c r="AW1908" s="4099"/>
      <c r="AX1908" s="4099"/>
      <c r="AY1908" s="4099"/>
      <c r="AZ1908" s="4099"/>
      <c r="BA1908" s="2957"/>
      <c r="BB1908" s="2957"/>
      <c r="BC1908" s="2957"/>
      <c r="BD1908" s="2957"/>
      <c r="BE1908" s="2957"/>
      <c r="BF1908" s="2957">
        <v>89790.1</v>
      </c>
      <c r="BG1908" s="2957"/>
      <c r="BH1908" s="2957"/>
      <c r="BI1908" s="2957"/>
      <c r="BJ1908" s="2957"/>
      <c r="BK1908" s="2957"/>
      <c r="BL1908" s="2957"/>
      <c r="BM1908" s="2957"/>
      <c r="BN1908" s="2957"/>
      <c r="BO1908" s="2957"/>
      <c r="BP1908" s="2957"/>
      <c r="BQ1908" s="2957"/>
      <c r="BR1908" s="2957"/>
      <c r="BS1908" s="2957"/>
      <c r="BT1908" s="2957">
        <v>89790.1</v>
      </c>
      <c r="BU1908" s="2957"/>
      <c r="BV1908" s="2957"/>
      <c r="BW1908" s="2957"/>
      <c r="BX1908" s="2957"/>
      <c r="BY1908" s="2957"/>
      <c r="BZ1908" s="2957"/>
      <c r="CA1908" s="2957"/>
      <c r="CB1908" s="2957"/>
      <c r="CC1908" s="6841"/>
      <c r="CD1908" s="6841"/>
      <c r="CE1908" s="6840"/>
      <c r="CF1908" s="6840"/>
      <c r="CG1908" s="6840"/>
      <c r="CH1908" s="6840"/>
    </row>
    <row r="1909" s="4998" customFormat="1" ht="42.5" customHeight="1" spans="1:86">
      <c r="A1909" s="3812"/>
      <c r="B1909" s="3812"/>
      <c r="C1909" s="3812"/>
      <c r="D1909" s="5196"/>
      <c r="E1909" s="5196"/>
      <c r="F1909" s="5196"/>
      <c r="G1909" s="5196"/>
      <c r="H1909" s="2957"/>
      <c r="I1909" s="2957"/>
      <c r="J1909" s="5196"/>
      <c r="K1909" s="5196"/>
      <c r="L1909" s="5196"/>
      <c r="M1909" s="2957"/>
      <c r="N1909" s="2957"/>
      <c r="O1909" s="2957"/>
      <c r="P1909" s="2957"/>
      <c r="Q1909" s="2957"/>
      <c r="R1909" s="2957"/>
      <c r="S1909" s="2957"/>
      <c r="T1909" s="2957"/>
      <c r="U1909" s="2957"/>
      <c r="V1909" s="2957"/>
      <c r="W1909" s="2957"/>
      <c r="X1909" s="2957"/>
      <c r="Y1909" s="2957"/>
      <c r="Z1909" s="2957"/>
      <c r="AA1909" s="2957"/>
      <c r="AB1909" s="5196"/>
      <c r="AC1909" s="600" t="s">
        <v>3432</v>
      </c>
      <c r="AD1909" s="440" t="s">
        <v>3433</v>
      </c>
      <c r="AE1909" s="441">
        <v>0.4</v>
      </c>
      <c r="AF1909" s="2957">
        <f>M1908*AE1909</f>
        <v>89790.104</v>
      </c>
      <c r="AG1909" s="2957">
        <f t="shared" si="422"/>
        <v>89790.1</v>
      </c>
      <c r="AH1909" s="600" t="s">
        <v>122</v>
      </c>
      <c r="AI1909" s="600">
        <v>44921</v>
      </c>
      <c r="AJ1909" s="2957">
        <v>89790.1</v>
      </c>
      <c r="AK1909" s="2957">
        <v>44921</v>
      </c>
      <c r="AL1909" s="2957"/>
      <c r="AM1909" s="2957"/>
      <c r="AN1909" s="5395">
        <f t="shared" si="423"/>
        <v>89790.1</v>
      </c>
      <c r="AO1909" s="5395"/>
      <c r="AP1909" s="2957">
        <f t="shared" si="424"/>
        <v>0</v>
      </c>
      <c r="AQ1909" s="2957"/>
      <c r="AR1909" s="2957"/>
      <c r="AS1909" s="5196"/>
      <c r="AT1909" s="2957"/>
      <c r="AU1909" s="4099"/>
      <c r="AV1909" s="4099"/>
      <c r="AW1909" s="4099"/>
      <c r="AX1909" s="4099"/>
      <c r="AY1909" s="4099"/>
      <c r="AZ1909" s="4099"/>
      <c r="BA1909" s="2957"/>
      <c r="BB1909" s="2957"/>
      <c r="BC1909" s="2957"/>
      <c r="BD1909" s="2957"/>
      <c r="BE1909" s="2957"/>
      <c r="BF1909" s="2957">
        <v>89790.1</v>
      </c>
      <c r="BG1909" s="2957"/>
      <c r="BH1909" s="2957"/>
      <c r="BI1909" s="2957"/>
      <c r="BJ1909" s="2957"/>
      <c r="BK1909" s="2957"/>
      <c r="BL1909" s="2957"/>
      <c r="BM1909" s="2957"/>
      <c r="BN1909" s="2957"/>
      <c r="BO1909" s="2957"/>
      <c r="BP1909" s="2957"/>
      <c r="BQ1909" s="2957"/>
      <c r="BR1909" s="2957"/>
      <c r="BS1909" s="2957"/>
      <c r="BT1909" s="2957">
        <v>89790.1</v>
      </c>
      <c r="BU1909" s="2957"/>
      <c r="BV1909" s="2957"/>
      <c r="BW1909" s="2957"/>
      <c r="BX1909" s="2957"/>
      <c r="BY1909" s="2957"/>
      <c r="BZ1909" s="2957"/>
      <c r="CA1909" s="2957"/>
      <c r="CB1909" s="2957"/>
      <c r="CC1909" s="6841"/>
      <c r="CD1909" s="6841"/>
      <c r="CE1909" s="6840"/>
      <c r="CF1909" s="6840"/>
      <c r="CG1909" s="6840"/>
      <c r="CH1909" s="6840"/>
    </row>
    <row r="1910" s="4998" customFormat="1" ht="42.5" customHeight="1" spans="1:86">
      <c r="A1910" s="3812"/>
      <c r="B1910" s="3812"/>
      <c r="C1910" s="3812"/>
      <c r="D1910" s="5196"/>
      <c r="E1910" s="5196"/>
      <c r="F1910" s="5196"/>
      <c r="G1910" s="5196"/>
      <c r="H1910" s="2957"/>
      <c r="I1910" s="2957"/>
      <c r="J1910" s="5196"/>
      <c r="K1910" s="5196"/>
      <c r="L1910" s="5196"/>
      <c r="M1910" s="2957"/>
      <c r="N1910" s="2957"/>
      <c r="O1910" s="2957"/>
      <c r="P1910" s="2957"/>
      <c r="Q1910" s="2957"/>
      <c r="R1910" s="2957"/>
      <c r="S1910" s="2957"/>
      <c r="T1910" s="2957"/>
      <c r="U1910" s="2957"/>
      <c r="V1910" s="2957"/>
      <c r="W1910" s="2957"/>
      <c r="X1910" s="2957"/>
      <c r="Y1910" s="2957"/>
      <c r="Z1910" s="2957"/>
      <c r="AA1910" s="2957"/>
      <c r="AB1910" s="5196"/>
      <c r="AC1910" s="600" t="s">
        <v>3434</v>
      </c>
      <c r="AD1910" s="440" t="s">
        <v>3395</v>
      </c>
      <c r="AE1910" s="441">
        <v>0.1</v>
      </c>
      <c r="AF1910" s="2957">
        <f>M1908*AE1910</f>
        <v>22447.526</v>
      </c>
      <c r="AG1910" s="2957">
        <v>22447.53</v>
      </c>
      <c r="AH1910" s="600" t="s">
        <v>122</v>
      </c>
      <c r="AI1910" s="2957">
        <v>45279</v>
      </c>
      <c r="AJ1910" s="2957">
        <v>22447.53</v>
      </c>
      <c r="AK1910" s="2957">
        <v>45279</v>
      </c>
      <c r="AL1910" s="2957"/>
      <c r="AM1910" s="2957"/>
      <c r="AN1910" s="5395">
        <f t="shared" si="423"/>
        <v>22447.53</v>
      </c>
      <c r="AO1910" s="5395"/>
      <c r="AP1910" s="2957">
        <f t="shared" si="424"/>
        <v>0</v>
      </c>
      <c r="AQ1910" s="2957"/>
      <c r="AR1910" s="2957"/>
      <c r="AS1910" s="5196"/>
      <c r="AT1910" s="2957"/>
      <c r="AU1910" s="4099"/>
      <c r="AV1910" s="4099"/>
      <c r="AW1910" s="4099"/>
      <c r="AX1910" s="4099"/>
      <c r="AY1910" s="4099"/>
      <c r="AZ1910" s="4099"/>
      <c r="BA1910" s="2957"/>
      <c r="BB1910" s="2957"/>
      <c r="BC1910" s="2957"/>
      <c r="BD1910" s="2957"/>
      <c r="BE1910" s="2957"/>
      <c r="BF1910" s="2957">
        <v>22447.53</v>
      </c>
      <c r="BG1910" s="2957"/>
      <c r="BH1910" s="2957"/>
      <c r="BI1910" s="2957"/>
      <c r="BJ1910" s="2957"/>
      <c r="BK1910" s="2957"/>
      <c r="BL1910" s="2957"/>
      <c r="BM1910" s="2957"/>
      <c r="BN1910" s="2957"/>
      <c r="BO1910" s="2957"/>
      <c r="BP1910" s="2957"/>
      <c r="BQ1910" s="2957"/>
      <c r="BR1910" s="2957"/>
      <c r="BS1910" s="2957"/>
      <c r="BT1910" s="2957">
        <v>22447.53</v>
      </c>
      <c r="BU1910" s="2957"/>
      <c r="BV1910" s="2957"/>
      <c r="BW1910" s="2957"/>
      <c r="BX1910" s="2957"/>
      <c r="BY1910" s="2957"/>
      <c r="BZ1910" s="2957"/>
      <c r="CA1910" s="2957"/>
      <c r="CB1910" s="2957"/>
      <c r="CC1910" s="6841"/>
      <c r="CD1910" s="6841"/>
      <c r="CE1910" s="6840"/>
      <c r="CF1910" s="6840"/>
      <c r="CG1910" s="6840"/>
      <c r="CH1910" s="6840"/>
    </row>
    <row r="1911" s="4998" customFormat="1" ht="42.5" customHeight="1" spans="1:86">
      <c r="A1911" s="3812"/>
      <c r="B1911" s="3812"/>
      <c r="C1911" s="3812"/>
      <c r="D1911" s="5196"/>
      <c r="E1911" s="5196"/>
      <c r="F1911" s="5196"/>
      <c r="G1911" s="5196"/>
      <c r="H1911" s="2957"/>
      <c r="I1911" s="2957"/>
      <c r="J1911" s="5196"/>
      <c r="K1911" s="5196"/>
      <c r="L1911" s="5196"/>
      <c r="M1911" s="2957"/>
      <c r="N1911" s="2957"/>
      <c r="O1911" s="2957"/>
      <c r="P1911" s="2957"/>
      <c r="Q1911" s="2957"/>
      <c r="R1911" s="2957"/>
      <c r="S1911" s="2957"/>
      <c r="T1911" s="2957"/>
      <c r="U1911" s="2957"/>
      <c r="V1911" s="2957"/>
      <c r="W1911" s="2957"/>
      <c r="X1911" s="2957"/>
      <c r="Y1911" s="2957"/>
      <c r="Z1911" s="2957"/>
      <c r="AA1911" s="2957"/>
      <c r="AB1911" s="5196"/>
      <c r="AC1911" s="600" t="s">
        <v>3435</v>
      </c>
      <c r="AD1911" s="440" t="s">
        <v>3436</v>
      </c>
      <c r="AE1911" s="441">
        <v>0.1</v>
      </c>
      <c r="AF1911" s="2957">
        <f>M1908*AE1911</f>
        <v>22447.526</v>
      </c>
      <c r="AG1911" s="2957">
        <v>22447.53</v>
      </c>
      <c r="AH1911" s="600" t="s">
        <v>122</v>
      </c>
      <c r="AI1911" s="2957">
        <v>45279</v>
      </c>
      <c r="AJ1911" s="2957">
        <v>22447.53</v>
      </c>
      <c r="AK1911" s="2957">
        <v>45279</v>
      </c>
      <c r="AL1911" s="2957"/>
      <c r="AM1911" s="2957"/>
      <c r="AN1911" s="5395">
        <f t="shared" si="423"/>
        <v>22447.53</v>
      </c>
      <c r="AO1911" s="5395"/>
      <c r="AP1911" s="2957">
        <f t="shared" si="424"/>
        <v>0</v>
      </c>
      <c r="AQ1911" s="2957"/>
      <c r="AR1911" s="2957"/>
      <c r="AS1911" s="5196"/>
      <c r="AT1911" s="2957"/>
      <c r="AU1911" s="4099"/>
      <c r="AV1911" s="4099"/>
      <c r="AW1911" s="4099"/>
      <c r="AX1911" s="4099"/>
      <c r="AY1911" s="4099"/>
      <c r="AZ1911" s="4099"/>
      <c r="BA1911" s="2957"/>
      <c r="BB1911" s="2957"/>
      <c r="BC1911" s="2957"/>
      <c r="BD1911" s="2957"/>
      <c r="BE1911" s="2957"/>
      <c r="BF1911" s="2957">
        <v>22447.53</v>
      </c>
      <c r="BG1911" s="2957"/>
      <c r="BH1911" s="2957"/>
      <c r="BI1911" s="2957"/>
      <c r="BJ1911" s="2957"/>
      <c r="BK1911" s="2957"/>
      <c r="BL1911" s="2957"/>
      <c r="BM1911" s="2957"/>
      <c r="BN1911" s="2957"/>
      <c r="BO1911" s="2957"/>
      <c r="BP1911" s="2957"/>
      <c r="BQ1911" s="2957"/>
      <c r="BR1911" s="2957"/>
      <c r="BS1911" s="2957"/>
      <c r="BT1911" s="2957">
        <v>22447.53</v>
      </c>
      <c r="BU1911" s="2957"/>
      <c r="BV1911" s="2957"/>
      <c r="BW1911" s="2957"/>
      <c r="BX1911" s="2957"/>
      <c r="BY1911" s="2957"/>
      <c r="BZ1911" s="2957"/>
      <c r="CA1911" s="2957"/>
      <c r="CB1911" s="2957"/>
      <c r="CC1911" s="6841"/>
      <c r="CD1911" s="6841"/>
      <c r="CE1911" s="6840"/>
      <c r="CF1911" s="6840"/>
      <c r="CG1911" s="6840"/>
      <c r="CH1911" s="6840"/>
    </row>
    <row r="1912" s="4998" customFormat="1" ht="46" spans="1:86">
      <c r="A1912" s="3812"/>
      <c r="B1912" s="3812" t="s">
        <v>1003</v>
      </c>
      <c r="C1912" s="3812">
        <v>44263</v>
      </c>
      <c r="D1912" s="1125" t="s">
        <v>3437</v>
      </c>
      <c r="E1912" s="5056" t="s">
        <v>3438</v>
      </c>
      <c r="F1912" s="5056" t="s">
        <v>3439</v>
      </c>
      <c r="G1912" s="5056" t="s">
        <v>3440</v>
      </c>
      <c r="H1912" s="3057" t="s">
        <v>240</v>
      </c>
      <c r="I1912" s="4183"/>
      <c r="J1912" s="5056" t="s">
        <v>1297</v>
      </c>
      <c r="K1912" s="5056">
        <v>26546.33</v>
      </c>
      <c r="L1912" s="5056" t="s">
        <v>3441</v>
      </c>
      <c r="M1912" s="3057">
        <f>SUM(N1912:AA1915)</f>
        <v>610565.66</v>
      </c>
      <c r="N1912" s="3057"/>
      <c r="O1912" s="3057"/>
      <c r="P1912" s="3057"/>
      <c r="Q1912" s="3057"/>
      <c r="R1912" s="3057">
        <v>265596.03</v>
      </c>
      <c r="S1912" s="3057">
        <v>155694.23</v>
      </c>
      <c r="T1912" s="3057"/>
      <c r="U1912" s="3057">
        <v>94637.7</v>
      </c>
      <c r="V1912" s="3057"/>
      <c r="W1912" s="3057"/>
      <c r="X1912" s="3057"/>
      <c r="Y1912" s="3057"/>
      <c r="Z1912" s="3057"/>
      <c r="AA1912" s="3057">
        <v>94637.7</v>
      </c>
      <c r="AB1912" s="5056"/>
      <c r="AC1912" s="3057" t="s">
        <v>1055</v>
      </c>
      <c r="AD1912" s="1082" t="s">
        <v>3442</v>
      </c>
      <c r="AE1912" s="1082">
        <v>0.2</v>
      </c>
      <c r="AF1912" s="3057">
        <f>M1912*AE1912</f>
        <v>122113.132</v>
      </c>
      <c r="AG1912" s="3057">
        <f t="shared" ref="AG1912:AG1920" si="425">SUM(BA1912:BN1912)</f>
        <v>122113.12</v>
      </c>
      <c r="AH1912" s="3057" t="s">
        <v>122</v>
      </c>
      <c r="AI1912" s="584" t="s">
        <v>171</v>
      </c>
      <c r="AJ1912" s="3057">
        <v>122113.12</v>
      </c>
      <c r="AK1912" s="3057">
        <v>44330</v>
      </c>
      <c r="AL1912" s="3057">
        <v>122113.12</v>
      </c>
      <c r="AM1912" s="3057">
        <v>44330</v>
      </c>
      <c r="AN1912" s="3057">
        <f t="shared" si="423"/>
        <v>122113.12</v>
      </c>
      <c r="AO1912" s="3057">
        <v>44344</v>
      </c>
      <c r="AP1912" s="3057">
        <f t="shared" ref="AP1912:AP1920" si="426">AG1912-AN1912</f>
        <v>0</v>
      </c>
      <c r="AQ1912" s="3057"/>
      <c r="AR1912" s="3057"/>
      <c r="AS1912" s="5056"/>
      <c r="AT1912" s="3057"/>
      <c r="AU1912" s="3057"/>
      <c r="AV1912" s="3057"/>
      <c r="AW1912" s="3057"/>
      <c r="AX1912" s="3057"/>
      <c r="AY1912" s="3057"/>
      <c r="AZ1912" s="3057"/>
      <c r="BA1912" s="3057"/>
      <c r="BB1912" s="3057"/>
      <c r="BC1912" s="3057"/>
      <c r="BD1912" s="3057"/>
      <c r="BE1912" s="3057">
        <v>30528.28</v>
      </c>
      <c r="BF1912" s="3057">
        <v>30528.28</v>
      </c>
      <c r="BG1912" s="3057"/>
      <c r="BH1912" s="3057">
        <v>30528.28</v>
      </c>
      <c r="BI1912" s="3057"/>
      <c r="BJ1912" s="3057"/>
      <c r="BK1912" s="3057"/>
      <c r="BL1912" s="3057"/>
      <c r="BM1912" s="3057"/>
      <c r="BN1912" s="3057">
        <v>30528.28</v>
      </c>
      <c r="BO1912" s="3057"/>
      <c r="BP1912" s="3057"/>
      <c r="BQ1912" s="3057"/>
      <c r="BR1912" s="3057"/>
      <c r="BS1912" s="3057">
        <v>30528.28</v>
      </c>
      <c r="BT1912" s="3057">
        <v>30528.28</v>
      </c>
      <c r="BU1912" s="3057"/>
      <c r="BV1912" s="3057">
        <v>30528.28</v>
      </c>
      <c r="BW1912" s="3057"/>
      <c r="BX1912" s="3057"/>
      <c r="BY1912" s="3057"/>
      <c r="BZ1912" s="3057"/>
      <c r="CA1912" s="3057"/>
      <c r="CB1912" s="3057">
        <v>30528.28</v>
      </c>
      <c r="CC1912" s="6778"/>
      <c r="CD1912" s="6778"/>
      <c r="CE1912" s="6840"/>
      <c r="CF1912" s="6840"/>
      <c r="CG1912" s="6840"/>
      <c r="CH1912" s="6840"/>
    </row>
    <row r="1913" s="4998" customFormat="1" ht="46" spans="1:86">
      <c r="A1913" s="3812"/>
      <c r="B1913" s="3812"/>
      <c r="C1913" s="3812"/>
      <c r="D1913" s="5056"/>
      <c r="E1913" s="5056"/>
      <c r="F1913" s="5056"/>
      <c r="G1913" s="5056"/>
      <c r="H1913" s="3057"/>
      <c r="I1913" s="4184"/>
      <c r="J1913" s="5056"/>
      <c r="K1913" s="5056"/>
      <c r="L1913" s="5056"/>
      <c r="M1913" s="3057"/>
      <c r="N1913" s="3057"/>
      <c r="O1913" s="3057"/>
      <c r="P1913" s="3057"/>
      <c r="Q1913" s="3057"/>
      <c r="R1913" s="3057"/>
      <c r="S1913" s="3057"/>
      <c r="T1913" s="3057"/>
      <c r="U1913" s="3057"/>
      <c r="V1913" s="3057"/>
      <c r="W1913" s="3057"/>
      <c r="X1913" s="3057"/>
      <c r="Y1913" s="3057"/>
      <c r="Z1913" s="3057"/>
      <c r="AA1913" s="3057"/>
      <c r="AB1913" s="5056"/>
      <c r="AC1913" s="3057" t="s">
        <v>1057</v>
      </c>
      <c r="AD1913" s="1082" t="s">
        <v>3443</v>
      </c>
      <c r="AE1913" s="1082">
        <v>0.3</v>
      </c>
      <c r="AF1913" s="3057">
        <f>M1912*AE1913</f>
        <v>183169.698</v>
      </c>
      <c r="AG1913" s="3057">
        <f t="shared" si="425"/>
        <v>427395.91</v>
      </c>
      <c r="AH1913" s="3057" t="s">
        <v>122</v>
      </c>
      <c r="AI1913" s="3057">
        <v>44364</v>
      </c>
      <c r="AJ1913" s="3057">
        <v>427395.91</v>
      </c>
      <c r="AK1913" s="3057">
        <v>44364</v>
      </c>
      <c r="AL1913" s="3057">
        <v>427395.91</v>
      </c>
      <c r="AM1913" s="3057">
        <v>44370</v>
      </c>
      <c r="AN1913" s="3057">
        <f t="shared" si="423"/>
        <v>427395.91</v>
      </c>
      <c r="AO1913" s="3057">
        <v>44384</v>
      </c>
      <c r="AP1913" s="3057">
        <f t="shared" si="426"/>
        <v>0</v>
      </c>
      <c r="AQ1913" s="3057"/>
      <c r="AR1913" s="3057"/>
      <c r="AS1913" s="5056"/>
      <c r="AT1913" s="3057"/>
      <c r="AU1913" s="3057"/>
      <c r="AV1913" s="3057"/>
      <c r="AW1913" s="3057"/>
      <c r="AX1913" s="3057"/>
      <c r="AY1913" s="3057"/>
      <c r="AZ1913" s="3057"/>
      <c r="BA1913" s="3057"/>
      <c r="BB1913" s="3057"/>
      <c r="BC1913" s="3057"/>
      <c r="BD1913" s="3057"/>
      <c r="BE1913" s="3057">
        <v>235067.75</v>
      </c>
      <c r="BF1913" s="3057">
        <v>64109.39</v>
      </c>
      <c r="BG1913" s="3057"/>
      <c r="BH1913" s="3057">
        <v>64109.39</v>
      </c>
      <c r="BI1913" s="3057"/>
      <c r="BJ1913" s="3057"/>
      <c r="BK1913" s="3057"/>
      <c r="BL1913" s="3057"/>
      <c r="BM1913" s="3057"/>
      <c r="BN1913" s="3057">
        <v>64109.38</v>
      </c>
      <c r="BO1913" s="3057"/>
      <c r="BP1913" s="3057"/>
      <c r="BQ1913" s="3057"/>
      <c r="BR1913" s="3057"/>
      <c r="BS1913" s="3057">
        <v>235067.75</v>
      </c>
      <c r="BT1913" s="3057">
        <v>64109.39</v>
      </c>
      <c r="BU1913" s="3057"/>
      <c r="BV1913" s="3057">
        <v>64109.39</v>
      </c>
      <c r="BW1913" s="3057"/>
      <c r="BX1913" s="3057"/>
      <c r="BY1913" s="3057"/>
      <c r="BZ1913" s="3057"/>
      <c r="CA1913" s="3057"/>
      <c r="CB1913" s="3057">
        <v>64109.38</v>
      </c>
      <c r="CC1913" s="6778"/>
      <c r="CD1913" s="6778"/>
      <c r="CE1913" s="6840"/>
      <c r="CF1913" s="6840"/>
      <c r="CG1913" s="6840"/>
      <c r="CH1913" s="6840"/>
    </row>
    <row r="1914" s="4998" customFormat="1" ht="42.5" customHeight="1" spans="1:86">
      <c r="A1914" s="3812"/>
      <c r="B1914" s="3812"/>
      <c r="C1914" s="3812"/>
      <c r="D1914" s="5056"/>
      <c r="E1914" s="5056"/>
      <c r="F1914" s="5056"/>
      <c r="G1914" s="5056"/>
      <c r="H1914" s="3057"/>
      <c r="I1914" s="4184"/>
      <c r="J1914" s="5056"/>
      <c r="K1914" s="5056"/>
      <c r="L1914" s="5056"/>
      <c r="M1914" s="3057"/>
      <c r="N1914" s="3057"/>
      <c r="O1914" s="3057"/>
      <c r="P1914" s="3057"/>
      <c r="Q1914" s="3057"/>
      <c r="R1914" s="3057"/>
      <c r="S1914" s="3057"/>
      <c r="T1914" s="3057"/>
      <c r="U1914" s="3057"/>
      <c r="V1914" s="3057"/>
      <c r="W1914" s="3057"/>
      <c r="X1914" s="3057"/>
      <c r="Y1914" s="3057"/>
      <c r="Z1914" s="3057"/>
      <c r="AA1914" s="3057"/>
      <c r="AB1914" s="5056"/>
      <c r="AC1914" s="3057" t="s">
        <v>1059</v>
      </c>
      <c r="AD1914" s="1082" t="s">
        <v>3444</v>
      </c>
      <c r="AE1914" s="1082">
        <v>0.4</v>
      </c>
      <c r="AF1914" s="3057">
        <f>M1912*AE1914</f>
        <v>244226.264</v>
      </c>
      <c r="AG1914" s="3057"/>
      <c r="AH1914" s="3057"/>
      <c r="AI1914" s="3057"/>
      <c r="AJ1914" s="3057"/>
      <c r="AK1914" s="3057"/>
      <c r="AL1914" s="3057"/>
      <c r="AM1914" s="3057"/>
      <c r="AN1914" s="3057"/>
      <c r="AO1914" s="3057"/>
      <c r="AP1914" s="3057">
        <f t="shared" si="426"/>
        <v>0</v>
      </c>
      <c r="AQ1914" s="3057"/>
      <c r="AR1914" s="3057"/>
      <c r="AS1914" s="5056"/>
      <c r="AT1914" s="3057"/>
      <c r="AU1914" s="3057"/>
      <c r="AV1914" s="3057"/>
      <c r="AW1914" s="3057"/>
      <c r="AX1914" s="3057"/>
      <c r="AY1914" s="3057"/>
      <c r="AZ1914" s="3057"/>
      <c r="BA1914" s="3057"/>
      <c r="BB1914" s="3057"/>
      <c r="BC1914" s="3057"/>
      <c r="BD1914" s="3057"/>
      <c r="BE1914" s="3057"/>
      <c r="BF1914" s="3057"/>
      <c r="BG1914" s="3057"/>
      <c r="BH1914" s="3057"/>
      <c r="BI1914" s="3057"/>
      <c r="BJ1914" s="3057"/>
      <c r="BK1914" s="3057"/>
      <c r="BL1914" s="3057"/>
      <c r="BM1914" s="3057"/>
      <c r="BN1914" s="3057"/>
      <c r="BO1914" s="3057"/>
      <c r="BP1914" s="3057"/>
      <c r="BQ1914" s="3057"/>
      <c r="BR1914" s="3057"/>
      <c r="BS1914" s="3057"/>
      <c r="BT1914" s="3057"/>
      <c r="BU1914" s="3057"/>
      <c r="BV1914" s="3057"/>
      <c r="BW1914" s="3057"/>
      <c r="BX1914" s="3057"/>
      <c r="BY1914" s="3057"/>
      <c r="BZ1914" s="3057"/>
      <c r="CA1914" s="3057"/>
      <c r="CB1914" s="3057"/>
      <c r="CC1914" s="6778"/>
      <c r="CD1914" s="6778"/>
      <c r="CE1914" s="6840"/>
      <c r="CF1914" s="6840"/>
      <c r="CG1914" s="6840"/>
      <c r="CH1914" s="6840"/>
    </row>
    <row r="1915" s="4998" customFormat="1" ht="61" spans="1:86">
      <c r="A1915" s="3812"/>
      <c r="B1915" s="3812"/>
      <c r="C1915" s="3812"/>
      <c r="D1915" s="5056"/>
      <c r="E1915" s="5056"/>
      <c r="F1915" s="5056"/>
      <c r="G1915" s="5056"/>
      <c r="H1915" s="3057"/>
      <c r="I1915" s="4185"/>
      <c r="J1915" s="5056"/>
      <c r="K1915" s="5056"/>
      <c r="L1915" s="5056"/>
      <c r="M1915" s="3057"/>
      <c r="N1915" s="3057"/>
      <c r="O1915" s="3057"/>
      <c r="P1915" s="3057"/>
      <c r="Q1915" s="3057"/>
      <c r="R1915" s="3057"/>
      <c r="S1915" s="3057"/>
      <c r="T1915" s="3057"/>
      <c r="U1915" s="3057"/>
      <c r="V1915" s="3057"/>
      <c r="W1915" s="3057"/>
      <c r="X1915" s="3057"/>
      <c r="Y1915" s="3057"/>
      <c r="Z1915" s="3057"/>
      <c r="AA1915" s="3057"/>
      <c r="AB1915" s="5056"/>
      <c r="AC1915" s="3057" t="s">
        <v>1061</v>
      </c>
      <c r="AD1915" s="1082" t="s">
        <v>3445</v>
      </c>
      <c r="AE1915" s="1082">
        <v>0.1</v>
      </c>
      <c r="AF1915" s="3057">
        <f>M1912*AE1915</f>
        <v>61056.566</v>
      </c>
      <c r="AG1915" s="3057">
        <f t="shared" si="425"/>
        <v>57847.37</v>
      </c>
      <c r="AH1915" s="584" t="s">
        <v>122</v>
      </c>
      <c r="AI1915" s="3057">
        <v>44921</v>
      </c>
      <c r="AJ1915" s="3057">
        <v>57847.37</v>
      </c>
      <c r="AK1915" s="3057">
        <v>44921</v>
      </c>
      <c r="AL1915" s="3057">
        <v>57847.37</v>
      </c>
      <c r="AM1915" s="3057">
        <v>44979</v>
      </c>
      <c r="AN1915" s="3057">
        <f t="shared" ref="AN1915:AN1920" si="427">SUM(BO1915:CB1915)</f>
        <v>57847.37</v>
      </c>
      <c r="AO1915" s="3057">
        <v>45072</v>
      </c>
      <c r="AP1915" s="3057">
        <f t="shared" si="426"/>
        <v>0</v>
      </c>
      <c r="AQ1915" s="3057"/>
      <c r="AR1915" s="3057"/>
      <c r="AS1915" s="5056"/>
      <c r="AT1915" s="3057"/>
      <c r="AU1915" s="3057"/>
      <c r="AV1915" s="3057"/>
      <c r="AW1915" s="3057"/>
      <c r="AX1915" s="3057"/>
      <c r="AY1915" s="3057"/>
      <c r="AZ1915" s="3057"/>
      <c r="BA1915" s="3057"/>
      <c r="BB1915" s="3057"/>
      <c r="BC1915" s="3057"/>
      <c r="BD1915" s="3057"/>
      <c r="BE1915" s="3057"/>
      <c r="BF1915" s="3057">
        <v>57847.37</v>
      </c>
      <c r="BG1915" s="3057"/>
      <c r="BH1915" s="3057"/>
      <c r="BI1915" s="3057"/>
      <c r="BJ1915" s="3057"/>
      <c r="BK1915" s="3057"/>
      <c r="BL1915" s="3057"/>
      <c r="BM1915" s="3057"/>
      <c r="BN1915" s="3057"/>
      <c r="BO1915" s="3057"/>
      <c r="BP1915" s="3057"/>
      <c r="BQ1915" s="3057"/>
      <c r="BR1915" s="3057"/>
      <c r="BS1915" s="3057"/>
      <c r="BT1915" s="3057">
        <v>57847.37</v>
      </c>
      <c r="BU1915" s="3057"/>
      <c r="BV1915" s="3057"/>
      <c r="BW1915" s="3057"/>
      <c r="BX1915" s="3057"/>
      <c r="BY1915" s="3057"/>
      <c r="BZ1915" s="3057"/>
      <c r="CA1915" s="3057"/>
      <c r="CB1915" s="3057"/>
      <c r="CC1915" s="6778"/>
      <c r="CD1915" s="6778"/>
      <c r="CE1915" s="6840"/>
      <c r="CF1915" s="6840"/>
      <c r="CG1915" s="6840"/>
      <c r="CH1915" s="6840"/>
    </row>
    <row r="1916" s="4998" customFormat="1" ht="46" spans="1:86">
      <c r="A1916" s="3812"/>
      <c r="B1916" s="3812"/>
      <c r="C1916" s="3812">
        <v>44263</v>
      </c>
      <c r="D1916" s="440" t="s">
        <v>3446</v>
      </c>
      <c r="E1916" s="5196" t="s">
        <v>3438</v>
      </c>
      <c r="F1916" s="5196" t="s">
        <v>3439</v>
      </c>
      <c r="G1916" s="5196" t="s">
        <v>3440</v>
      </c>
      <c r="H1916" s="2957" t="s">
        <v>658</v>
      </c>
      <c r="I1916" s="3245"/>
      <c r="J1916" s="5196" t="s">
        <v>1297</v>
      </c>
      <c r="K1916" s="5196">
        <v>26546.33</v>
      </c>
      <c r="L1916" s="5196" t="s">
        <v>3447</v>
      </c>
      <c r="M1916" s="6822">
        <f>SUM(N1916:AA1919)</f>
        <v>982214.21</v>
      </c>
      <c r="N1916" s="2957"/>
      <c r="O1916" s="2957"/>
      <c r="P1916" s="2957"/>
      <c r="Q1916" s="2957"/>
      <c r="R1916" s="2957">
        <v>115599.9</v>
      </c>
      <c r="S1916" s="2957">
        <v>771768.6</v>
      </c>
      <c r="T1916" s="2957"/>
      <c r="U1916" s="2957">
        <v>53223.16</v>
      </c>
      <c r="V1916" s="2957"/>
      <c r="W1916" s="2957"/>
      <c r="X1916" s="2957"/>
      <c r="Y1916" s="2957"/>
      <c r="Z1916" s="2957"/>
      <c r="AA1916" s="6822">
        <v>41622.55</v>
      </c>
      <c r="AB1916" s="5196"/>
      <c r="AC1916" s="2957" t="s">
        <v>2792</v>
      </c>
      <c r="AD1916" s="441" t="s">
        <v>3448</v>
      </c>
      <c r="AE1916" s="441">
        <v>0.2</v>
      </c>
      <c r="AF1916" s="2957">
        <f>M1916*AE1916</f>
        <v>196442.842</v>
      </c>
      <c r="AG1916" s="2957">
        <f t="shared" si="425"/>
        <v>196442.84</v>
      </c>
      <c r="AH1916" s="2957" t="s">
        <v>122</v>
      </c>
      <c r="AI1916" s="2957">
        <v>44330</v>
      </c>
      <c r="AJ1916" s="2957">
        <v>196442.84</v>
      </c>
      <c r="AK1916" s="2957">
        <v>44330</v>
      </c>
      <c r="AL1916" s="2957">
        <v>196442.84</v>
      </c>
      <c r="AM1916" s="2957">
        <v>44330</v>
      </c>
      <c r="AN1916" s="2957">
        <f t="shared" si="427"/>
        <v>196442.84</v>
      </c>
      <c r="AO1916" s="2957">
        <v>44344</v>
      </c>
      <c r="AP1916" s="2957">
        <f t="shared" si="426"/>
        <v>0</v>
      </c>
      <c r="AQ1916" s="2957"/>
      <c r="AR1916" s="2957"/>
      <c r="AS1916" s="5196"/>
      <c r="AT1916" s="2957"/>
      <c r="AU1916" s="2957"/>
      <c r="AV1916" s="2957"/>
      <c r="AW1916" s="2957"/>
      <c r="AX1916" s="2957"/>
      <c r="AY1916" s="2957"/>
      <c r="AZ1916" s="2957"/>
      <c r="BA1916" s="2957"/>
      <c r="BB1916" s="2957"/>
      <c r="BC1916" s="2957"/>
      <c r="BD1916" s="2957"/>
      <c r="BE1916" s="2957">
        <v>49110.71</v>
      </c>
      <c r="BF1916" s="2957">
        <v>49110.71</v>
      </c>
      <c r="BG1916" s="2957"/>
      <c r="BH1916" s="2957">
        <v>49110.71</v>
      </c>
      <c r="BI1916" s="2957"/>
      <c r="BJ1916" s="2957"/>
      <c r="BK1916" s="2957"/>
      <c r="BL1916" s="2957"/>
      <c r="BM1916" s="2957"/>
      <c r="BN1916" s="2957">
        <v>49110.71</v>
      </c>
      <c r="BO1916" s="2957"/>
      <c r="BP1916" s="2957"/>
      <c r="BQ1916" s="2957"/>
      <c r="BR1916" s="2957"/>
      <c r="BS1916" s="2957">
        <v>49110.71</v>
      </c>
      <c r="BT1916" s="2957">
        <v>49110.71</v>
      </c>
      <c r="BU1916" s="2957"/>
      <c r="BV1916" s="2957">
        <v>49110.71</v>
      </c>
      <c r="BW1916" s="2957"/>
      <c r="BX1916" s="2957"/>
      <c r="BY1916" s="2957"/>
      <c r="BZ1916" s="2957"/>
      <c r="CA1916" s="2957"/>
      <c r="CB1916" s="2957">
        <v>49110.71</v>
      </c>
      <c r="CC1916" s="6841"/>
      <c r="CD1916" s="6841"/>
      <c r="CE1916" s="6840"/>
      <c r="CF1916" s="6840"/>
      <c r="CG1916" s="6840"/>
      <c r="CH1916" s="6840"/>
    </row>
    <row r="1917" s="4998" customFormat="1" ht="61" spans="1:86">
      <c r="A1917" s="3812"/>
      <c r="B1917" s="3812"/>
      <c r="C1917" s="3812"/>
      <c r="D1917" s="5196"/>
      <c r="E1917" s="5196"/>
      <c r="F1917" s="5196"/>
      <c r="G1917" s="5196"/>
      <c r="H1917" s="2957"/>
      <c r="I1917" s="5371"/>
      <c r="J1917" s="5196"/>
      <c r="K1917" s="5196"/>
      <c r="L1917" s="5196"/>
      <c r="M1917" s="6822"/>
      <c r="N1917" s="2957"/>
      <c r="O1917" s="2957"/>
      <c r="P1917" s="2957"/>
      <c r="Q1917" s="2957"/>
      <c r="R1917" s="2957"/>
      <c r="S1917" s="2957"/>
      <c r="T1917" s="2957"/>
      <c r="U1917" s="2957"/>
      <c r="V1917" s="2957"/>
      <c r="W1917" s="2957"/>
      <c r="X1917" s="2957"/>
      <c r="Y1917" s="2957"/>
      <c r="Z1917" s="2957"/>
      <c r="AA1917" s="6822"/>
      <c r="AB1917" s="5196"/>
      <c r="AC1917" s="2957" t="s">
        <v>2794</v>
      </c>
      <c r="AD1917" s="441" t="s">
        <v>3449</v>
      </c>
      <c r="AE1917" s="441">
        <v>0.6</v>
      </c>
      <c r="AF1917" s="2957">
        <f>M1916*AE1917</f>
        <v>589328.526</v>
      </c>
      <c r="AG1917" s="2957">
        <f t="shared" si="425"/>
        <v>589328.53</v>
      </c>
      <c r="AH1917" s="2957" t="s">
        <v>122</v>
      </c>
      <c r="AI1917" s="2957">
        <v>44397</v>
      </c>
      <c r="AJ1917" s="2957">
        <v>589328.53</v>
      </c>
      <c r="AK1917" s="2957">
        <v>44397</v>
      </c>
      <c r="AL1917" s="2957">
        <v>589328.53</v>
      </c>
      <c r="AM1917" s="2957">
        <v>44397</v>
      </c>
      <c r="AN1917" s="2957">
        <f t="shared" si="427"/>
        <v>589328.53</v>
      </c>
      <c r="AO1917" s="2957">
        <v>44411</v>
      </c>
      <c r="AP1917" s="2957">
        <f t="shared" si="426"/>
        <v>0</v>
      </c>
      <c r="AQ1917" s="2957"/>
      <c r="AR1917" s="2957"/>
      <c r="AS1917" s="5196"/>
      <c r="AT1917" s="2957"/>
      <c r="AU1917" s="2957"/>
      <c r="AV1917" s="2957"/>
      <c r="AW1917" s="2957"/>
      <c r="AX1917" s="2957"/>
      <c r="AY1917" s="2957"/>
      <c r="AZ1917" s="2957"/>
      <c r="BA1917" s="2957"/>
      <c r="BB1917" s="2957"/>
      <c r="BC1917" s="2957"/>
      <c r="BD1917" s="2957"/>
      <c r="BE1917" s="2957">
        <v>66489.18</v>
      </c>
      <c r="BF1917" s="2957">
        <v>518726.9</v>
      </c>
      <c r="BG1917" s="2957"/>
      <c r="BH1917" s="2957">
        <v>4112.45</v>
      </c>
      <c r="BI1917" s="2957"/>
      <c r="BJ1917" s="2957"/>
      <c r="BK1917" s="2957"/>
      <c r="BL1917" s="2957"/>
      <c r="BM1917" s="2957"/>
      <c r="BN1917" s="2957"/>
      <c r="BO1917" s="5395"/>
      <c r="BP1917" s="5395"/>
      <c r="BQ1917" s="5395"/>
      <c r="BR1917" s="5395"/>
      <c r="BS1917" s="2957">
        <v>66489.18</v>
      </c>
      <c r="BT1917" s="2957">
        <v>518726.9</v>
      </c>
      <c r="BU1917" s="2957"/>
      <c r="BV1917" s="2957">
        <v>4112.45</v>
      </c>
      <c r="BW1917" s="5395"/>
      <c r="BX1917" s="5395"/>
      <c r="BY1917" s="5395"/>
      <c r="BZ1917" s="5395"/>
      <c r="CA1917" s="5395"/>
      <c r="CB1917" s="5395"/>
      <c r="CC1917" s="6841"/>
      <c r="CD1917" s="6841"/>
      <c r="CE1917" s="6840"/>
      <c r="CF1917" s="6840"/>
      <c r="CG1917" s="6840"/>
      <c r="CH1917" s="6840"/>
    </row>
    <row r="1918" s="4998" customFormat="1" ht="42.5" customHeight="1" spans="1:86">
      <c r="A1918" s="3812"/>
      <c r="B1918" s="3812"/>
      <c r="C1918" s="3812"/>
      <c r="D1918" s="5196"/>
      <c r="E1918" s="5196"/>
      <c r="F1918" s="5196"/>
      <c r="G1918" s="5196"/>
      <c r="H1918" s="2957"/>
      <c r="I1918" s="5371"/>
      <c r="J1918" s="5196"/>
      <c r="K1918" s="5196"/>
      <c r="L1918" s="5196"/>
      <c r="M1918" s="6822"/>
      <c r="N1918" s="2957"/>
      <c r="O1918" s="2957"/>
      <c r="P1918" s="2957"/>
      <c r="Q1918" s="2957"/>
      <c r="R1918" s="2957"/>
      <c r="S1918" s="2957"/>
      <c r="T1918" s="2957"/>
      <c r="U1918" s="2957"/>
      <c r="V1918" s="2957"/>
      <c r="W1918" s="2957"/>
      <c r="X1918" s="2957"/>
      <c r="Y1918" s="2957"/>
      <c r="Z1918" s="2957"/>
      <c r="AA1918" s="6822"/>
      <c r="AB1918" s="5196"/>
      <c r="AC1918" s="2957" t="s">
        <v>2796</v>
      </c>
      <c r="AD1918" s="441" t="s">
        <v>3450</v>
      </c>
      <c r="AE1918" s="441">
        <v>0.1</v>
      </c>
      <c r="AF1918" s="2957">
        <f>M1916*AE1918</f>
        <v>98221.421</v>
      </c>
      <c r="AG1918" s="2957">
        <f t="shared" si="425"/>
        <v>98221.43</v>
      </c>
      <c r="AH1918" s="600" t="s">
        <v>122</v>
      </c>
      <c r="AI1918" s="2957">
        <v>44699</v>
      </c>
      <c r="AJ1918" s="2957">
        <v>98221.43</v>
      </c>
      <c r="AK1918" s="2957">
        <v>44699</v>
      </c>
      <c r="AL1918" s="2957">
        <v>98221.43</v>
      </c>
      <c r="AM1918" s="2957">
        <v>44699</v>
      </c>
      <c r="AN1918" s="2957">
        <f t="shared" si="427"/>
        <v>98221.42</v>
      </c>
      <c r="AO1918" s="2957">
        <v>44775</v>
      </c>
      <c r="AP1918" s="2957">
        <f t="shared" si="426"/>
        <v>0.00999999999476131</v>
      </c>
      <c r="AQ1918" s="440" t="s">
        <v>3451</v>
      </c>
      <c r="AR1918" s="2957"/>
      <c r="AS1918" s="5196"/>
      <c r="AT1918" s="2957"/>
      <c r="AU1918" s="2957"/>
      <c r="AV1918" s="2957"/>
      <c r="AW1918" s="2957"/>
      <c r="AX1918" s="2957"/>
      <c r="AY1918" s="2957"/>
      <c r="AZ1918" s="2957"/>
      <c r="BA1918" s="2957"/>
      <c r="BB1918" s="2957"/>
      <c r="BC1918" s="2957"/>
      <c r="BD1918" s="2957"/>
      <c r="BE1918" s="2957"/>
      <c r="BF1918" s="2957">
        <v>98221.43</v>
      </c>
      <c r="BG1918" s="2957"/>
      <c r="BH1918" s="2957"/>
      <c r="BI1918" s="2957"/>
      <c r="BJ1918" s="2957"/>
      <c r="BK1918" s="2957"/>
      <c r="BL1918" s="2957"/>
      <c r="BM1918" s="2957"/>
      <c r="BN1918" s="2957"/>
      <c r="BO1918" s="2957"/>
      <c r="BP1918" s="2957"/>
      <c r="BQ1918" s="2957"/>
      <c r="BR1918" s="2957"/>
      <c r="BS1918" s="2957"/>
      <c r="BT1918" s="2957">
        <v>98221.42</v>
      </c>
      <c r="BU1918" s="2957"/>
      <c r="BV1918" s="2957"/>
      <c r="BW1918" s="2957"/>
      <c r="BX1918" s="2957"/>
      <c r="BY1918" s="2957"/>
      <c r="BZ1918" s="2957"/>
      <c r="CA1918" s="2957"/>
      <c r="CB1918" s="2957"/>
      <c r="CC1918" s="6841"/>
      <c r="CD1918" s="6841"/>
      <c r="CE1918" s="6840"/>
      <c r="CF1918" s="6840"/>
      <c r="CG1918" s="6840"/>
      <c r="CH1918" s="6840"/>
    </row>
    <row r="1919" s="4998" customFormat="1" ht="61" spans="1:86">
      <c r="A1919" s="3812"/>
      <c r="B1919" s="3812"/>
      <c r="C1919" s="3812"/>
      <c r="D1919" s="5196"/>
      <c r="E1919" s="5196"/>
      <c r="F1919" s="5196"/>
      <c r="G1919" s="5196"/>
      <c r="H1919" s="2957"/>
      <c r="I1919" s="3244"/>
      <c r="J1919" s="5196"/>
      <c r="K1919" s="5196"/>
      <c r="L1919" s="5196"/>
      <c r="M1919" s="6822"/>
      <c r="N1919" s="2957"/>
      <c r="O1919" s="2957"/>
      <c r="P1919" s="2957"/>
      <c r="Q1919" s="2957"/>
      <c r="R1919" s="2957"/>
      <c r="S1919" s="2957"/>
      <c r="T1919" s="2957"/>
      <c r="U1919" s="2957"/>
      <c r="V1919" s="2957"/>
      <c r="W1919" s="2957"/>
      <c r="X1919" s="2957"/>
      <c r="Y1919" s="2957"/>
      <c r="Z1919" s="2957"/>
      <c r="AA1919" s="6822"/>
      <c r="AB1919" s="5196"/>
      <c r="AC1919" s="2957" t="s">
        <v>2798</v>
      </c>
      <c r="AD1919" s="441" t="s">
        <v>3445</v>
      </c>
      <c r="AE1919" s="441">
        <v>0.1</v>
      </c>
      <c r="AF1919" s="2957">
        <f>M1916*AE1919</f>
        <v>98221.421</v>
      </c>
      <c r="AG1919" s="2957">
        <f t="shared" si="425"/>
        <v>93058.81</v>
      </c>
      <c r="AH1919" s="600" t="s">
        <v>122</v>
      </c>
      <c r="AI1919" s="2957">
        <v>44921</v>
      </c>
      <c r="AJ1919" s="2957">
        <v>93058.81</v>
      </c>
      <c r="AK1919" s="2957">
        <v>44921</v>
      </c>
      <c r="AL1919" s="2957">
        <v>93058.81</v>
      </c>
      <c r="AM1919" s="2957">
        <v>44979</v>
      </c>
      <c r="AN1919" s="2957">
        <f t="shared" si="427"/>
        <v>93058.81</v>
      </c>
      <c r="AO1919" s="2957">
        <v>45072</v>
      </c>
      <c r="AP1919" s="2957">
        <f t="shared" si="426"/>
        <v>0</v>
      </c>
      <c r="AQ1919" s="2957"/>
      <c r="AR1919" s="2957"/>
      <c r="AS1919" s="5196"/>
      <c r="AT1919" s="2957"/>
      <c r="AU1919" s="2957"/>
      <c r="AV1919" s="2957"/>
      <c r="AW1919" s="2957"/>
      <c r="AX1919" s="2957"/>
      <c r="AY1919" s="2957"/>
      <c r="AZ1919" s="2957"/>
      <c r="BA1919" s="2957"/>
      <c r="BB1919" s="2957"/>
      <c r="BC1919" s="2957"/>
      <c r="BD1919" s="2957"/>
      <c r="BE1919" s="2957"/>
      <c r="BF1919" s="2957">
        <v>93058.81</v>
      </c>
      <c r="BG1919" s="2957"/>
      <c r="BH1919" s="2957"/>
      <c r="BI1919" s="2957"/>
      <c r="BJ1919" s="2957"/>
      <c r="BK1919" s="2957"/>
      <c r="BL1919" s="2957"/>
      <c r="BM1919" s="2957"/>
      <c r="BN1919" s="2957"/>
      <c r="BO1919" s="2957"/>
      <c r="BP1919" s="2957"/>
      <c r="BQ1919" s="2957"/>
      <c r="BR1919" s="2957"/>
      <c r="BS1919" s="2957"/>
      <c r="BT1919" s="2957">
        <v>93058.81</v>
      </c>
      <c r="BU1919" s="2957"/>
      <c r="BV1919" s="2957"/>
      <c r="BW1919" s="2957"/>
      <c r="BX1919" s="2957"/>
      <c r="BY1919" s="2957"/>
      <c r="BZ1919" s="2957"/>
      <c r="CA1919" s="2957"/>
      <c r="CB1919" s="2957"/>
      <c r="CC1919" s="6841"/>
      <c r="CD1919" s="6841"/>
      <c r="CE1919" s="6840"/>
      <c r="CF1919" s="6840"/>
      <c r="CG1919" s="6840"/>
      <c r="CH1919" s="6840"/>
    </row>
    <row r="1920" s="4998" customFormat="1" ht="46" spans="1:86">
      <c r="A1920" s="3812"/>
      <c r="B1920" s="3812" t="s">
        <v>1003</v>
      </c>
      <c r="C1920" s="3812">
        <v>44263</v>
      </c>
      <c r="D1920" s="6733" t="s">
        <v>3452</v>
      </c>
      <c r="E1920" s="6748" t="s">
        <v>3438</v>
      </c>
      <c r="F1920" s="6748" t="s">
        <v>3439</v>
      </c>
      <c r="G1920" s="6748" t="s">
        <v>3440</v>
      </c>
      <c r="H1920" s="6744" t="s">
        <v>3453</v>
      </c>
      <c r="I1920" s="6744"/>
      <c r="J1920" s="6748" t="s">
        <v>1297</v>
      </c>
      <c r="K1920" s="6748">
        <v>26546.33</v>
      </c>
      <c r="L1920" s="6748"/>
      <c r="M1920" s="6744">
        <f>SUBTOTAL(9,N1920:AA1922)</f>
        <v>23394.66</v>
      </c>
      <c r="N1920" s="6744"/>
      <c r="O1920" s="6744"/>
      <c r="P1920" s="6744"/>
      <c r="Q1920" s="6744"/>
      <c r="R1920" s="6744"/>
      <c r="S1920" s="6744"/>
      <c r="T1920" s="6744"/>
      <c r="U1920" s="6744"/>
      <c r="V1920" s="6744"/>
      <c r="W1920" s="6744"/>
      <c r="X1920" s="6744"/>
      <c r="Y1920" s="6744"/>
      <c r="Z1920" s="6744"/>
      <c r="AA1920" s="6744">
        <v>23394.66</v>
      </c>
      <c r="AB1920" s="6744" t="s">
        <v>126</v>
      </c>
      <c r="AC1920" s="6744" t="s">
        <v>3454</v>
      </c>
      <c r="AD1920" s="6827" t="s">
        <v>3455</v>
      </c>
      <c r="AE1920" s="6827">
        <v>0.2</v>
      </c>
      <c r="AF1920" s="6744">
        <f>M1920*AE1920</f>
        <v>4678.932</v>
      </c>
      <c r="AG1920" s="6744">
        <f t="shared" si="425"/>
        <v>4678.93</v>
      </c>
      <c r="AH1920" s="6744" t="s">
        <v>122</v>
      </c>
      <c r="AI1920" s="6744">
        <v>44547</v>
      </c>
      <c r="AJ1920" s="6744">
        <v>4678.93</v>
      </c>
      <c r="AK1920" s="6744">
        <v>44547</v>
      </c>
      <c r="AL1920" s="6744">
        <v>4678.93</v>
      </c>
      <c r="AM1920" s="6744">
        <v>44547</v>
      </c>
      <c r="AN1920" s="6744">
        <f t="shared" si="427"/>
        <v>4678.93</v>
      </c>
      <c r="AO1920" s="6744">
        <v>44554</v>
      </c>
      <c r="AP1920" s="6744">
        <f t="shared" si="426"/>
        <v>0</v>
      </c>
      <c r="AQ1920" s="6744"/>
      <c r="AR1920" s="6744"/>
      <c r="AS1920" s="6748"/>
      <c r="AT1920" s="6744"/>
      <c r="AU1920" s="6744"/>
      <c r="AV1920" s="6744"/>
      <c r="AW1920" s="6744"/>
      <c r="AX1920" s="6744"/>
      <c r="AY1920" s="6744"/>
      <c r="AZ1920" s="6744"/>
      <c r="BA1920" s="6744"/>
      <c r="BB1920" s="6744"/>
      <c r="BC1920" s="6744"/>
      <c r="BD1920" s="6744"/>
      <c r="BE1920" s="6744"/>
      <c r="BF1920" s="6744"/>
      <c r="BG1920" s="6744"/>
      <c r="BH1920" s="6744"/>
      <c r="BI1920" s="6744"/>
      <c r="BJ1920" s="6744"/>
      <c r="BK1920" s="6744"/>
      <c r="BL1920" s="6744"/>
      <c r="BM1920" s="6744"/>
      <c r="BN1920" s="6744">
        <v>4678.93</v>
      </c>
      <c r="BO1920" s="6809"/>
      <c r="BP1920" s="6809"/>
      <c r="BQ1920" s="6809"/>
      <c r="BR1920" s="6809"/>
      <c r="BS1920" s="6809"/>
      <c r="BT1920" s="6809"/>
      <c r="BU1920" s="6809"/>
      <c r="BV1920" s="6809"/>
      <c r="BW1920" s="6809"/>
      <c r="BX1920" s="6809"/>
      <c r="BY1920" s="6809"/>
      <c r="BZ1920" s="6809"/>
      <c r="CA1920" s="6809"/>
      <c r="CB1920" s="6809">
        <v>4678.93</v>
      </c>
      <c r="CC1920" s="6842"/>
      <c r="CD1920" s="6842"/>
      <c r="CE1920" s="6840"/>
      <c r="CF1920" s="6840"/>
      <c r="CG1920" s="6840"/>
      <c r="CH1920" s="6840"/>
    </row>
    <row r="1921" s="4998" customFormat="1" ht="33" customHeight="1" spans="1:86">
      <c r="A1921" s="3812"/>
      <c r="B1921" s="3812"/>
      <c r="C1921" s="3812"/>
      <c r="D1921" s="6748"/>
      <c r="E1921" s="6748"/>
      <c r="F1921" s="6748"/>
      <c r="G1921" s="6748"/>
      <c r="H1921" s="6744"/>
      <c r="I1921" s="6744"/>
      <c r="J1921" s="6748"/>
      <c r="K1921" s="6748"/>
      <c r="L1921" s="6748"/>
      <c r="M1921" s="6744"/>
      <c r="N1921" s="6744"/>
      <c r="O1921" s="6744"/>
      <c r="P1921" s="6744"/>
      <c r="Q1921" s="6744"/>
      <c r="R1921" s="6744"/>
      <c r="S1921" s="6744"/>
      <c r="T1921" s="6744"/>
      <c r="U1921" s="6744"/>
      <c r="V1921" s="6744"/>
      <c r="W1921" s="6744"/>
      <c r="X1921" s="6744"/>
      <c r="Y1921" s="6744"/>
      <c r="Z1921" s="6744"/>
      <c r="AA1921" s="6744"/>
      <c r="AB1921" s="6744"/>
      <c r="AC1921" s="6744" t="s">
        <v>3456</v>
      </c>
      <c r="AD1921" s="6827" t="s">
        <v>3457</v>
      </c>
      <c r="AE1921" s="6827">
        <v>0.6</v>
      </c>
      <c r="AF1921" s="6744">
        <f>M1920*AE1921</f>
        <v>14036.796</v>
      </c>
      <c r="AG1921" s="6744">
        <f t="shared" ref="AG1921:AG1946" si="428">SUM(BA1921:BN1921)</f>
        <v>14036.8</v>
      </c>
      <c r="AH1921" s="1089" t="s">
        <v>122</v>
      </c>
      <c r="AI1921" s="6744">
        <v>44568</v>
      </c>
      <c r="AJ1921" s="6744">
        <v>14036.8</v>
      </c>
      <c r="AK1921" s="6744">
        <v>44568</v>
      </c>
      <c r="AL1921" s="6744">
        <v>14036.8</v>
      </c>
      <c r="AM1921" s="6744">
        <v>44503</v>
      </c>
      <c r="AN1921" s="6744">
        <f t="shared" ref="AN1921:AN1934" si="429">SUM(BO1921:CB1921)</f>
        <v>14036.8</v>
      </c>
      <c r="AO1921" s="6744">
        <v>44582</v>
      </c>
      <c r="AP1921" s="6744">
        <f t="shared" ref="AP1921:AP1934" si="430">AG1921-AN1921</f>
        <v>0</v>
      </c>
      <c r="AQ1921" s="6744"/>
      <c r="AR1921" s="6744"/>
      <c r="AS1921" s="6748"/>
      <c r="AT1921" s="6744"/>
      <c r="AU1921" s="6744"/>
      <c r="AV1921" s="6744"/>
      <c r="AW1921" s="6744"/>
      <c r="AX1921" s="6744"/>
      <c r="AY1921" s="6744"/>
      <c r="AZ1921" s="6744"/>
      <c r="BA1921" s="6744"/>
      <c r="BB1921" s="6744"/>
      <c r="BC1921" s="6744"/>
      <c r="BD1921" s="6744"/>
      <c r="BE1921" s="6744"/>
      <c r="BF1921" s="6744"/>
      <c r="BG1921" s="6744"/>
      <c r="BH1921" s="6744"/>
      <c r="BI1921" s="6744"/>
      <c r="BJ1921" s="6744"/>
      <c r="BK1921" s="6744"/>
      <c r="BL1921" s="6744"/>
      <c r="BM1921" s="6744"/>
      <c r="BN1921" s="6744">
        <v>14036.8</v>
      </c>
      <c r="BO1921" s="6809"/>
      <c r="BP1921" s="6809"/>
      <c r="BQ1921" s="6809"/>
      <c r="BR1921" s="6809"/>
      <c r="BS1921" s="6809"/>
      <c r="BT1921" s="6809"/>
      <c r="BU1921" s="6809"/>
      <c r="BV1921" s="6809"/>
      <c r="BW1921" s="6809"/>
      <c r="BX1921" s="6809"/>
      <c r="BY1921" s="6809"/>
      <c r="BZ1921" s="6809"/>
      <c r="CA1921" s="6809"/>
      <c r="CB1921" s="6809">
        <v>14036.8</v>
      </c>
      <c r="CC1921" s="6842"/>
      <c r="CD1921" s="6842"/>
      <c r="CE1921" s="6840"/>
      <c r="CF1921" s="6840"/>
      <c r="CG1921" s="6840"/>
      <c r="CH1921" s="6840"/>
    </row>
    <row r="1922" s="4998" customFormat="1" ht="39" customHeight="1" spans="1:86">
      <c r="A1922" s="3812"/>
      <c r="B1922" s="3812"/>
      <c r="C1922" s="3812"/>
      <c r="D1922" s="6748"/>
      <c r="E1922" s="6748"/>
      <c r="F1922" s="6748"/>
      <c r="G1922" s="6748"/>
      <c r="H1922" s="6744"/>
      <c r="I1922" s="6744"/>
      <c r="J1922" s="6748"/>
      <c r="K1922" s="6748"/>
      <c r="L1922" s="6748"/>
      <c r="M1922" s="6744"/>
      <c r="N1922" s="6744"/>
      <c r="O1922" s="6744"/>
      <c r="P1922" s="6744"/>
      <c r="Q1922" s="6744"/>
      <c r="R1922" s="6744"/>
      <c r="S1922" s="6744"/>
      <c r="T1922" s="6744"/>
      <c r="U1922" s="6744"/>
      <c r="V1922" s="6744"/>
      <c r="W1922" s="6744"/>
      <c r="X1922" s="6744"/>
      <c r="Y1922" s="6744"/>
      <c r="Z1922" s="6744"/>
      <c r="AA1922" s="6744"/>
      <c r="AB1922" s="6744"/>
      <c r="AC1922" s="6744" t="s">
        <v>3458</v>
      </c>
      <c r="AD1922" s="6827" t="s">
        <v>3459</v>
      </c>
      <c r="AE1922" s="6827">
        <v>0.2</v>
      </c>
      <c r="AF1922" s="6744">
        <f>M1920*AE1922</f>
        <v>4678.932</v>
      </c>
      <c r="AG1922" s="6744">
        <f t="shared" si="428"/>
        <v>4678.92</v>
      </c>
      <c r="AH1922" s="1089" t="s">
        <v>122</v>
      </c>
      <c r="AI1922" s="6744">
        <v>44979</v>
      </c>
      <c r="AJ1922" s="6744">
        <v>4678.92</v>
      </c>
      <c r="AK1922" s="6744">
        <v>44979</v>
      </c>
      <c r="AL1922" s="6744">
        <v>4678.92</v>
      </c>
      <c r="AM1922" s="6744">
        <v>44979</v>
      </c>
      <c r="AN1922" s="6744">
        <f t="shared" si="429"/>
        <v>4678.92</v>
      </c>
      <c r="AO1922" s="6744">
        <v>45072</v>
      </c>
      <c r="AP1922" s="6744">
        <f t="shared" si="430"/>
        <v>0</v>
      </c>
      <c r="AQ1922" s="6733" t="s">
        <v>3460</v>
      </c>
      <c r="AR1922" s="6744"/>
      <c r="AS1922" s="6748"/>
      <c r="AT1922" s="6744"/>
      <c r="AU1922" s="6744"/>
      <c r="AV1922" s="6744"/>
      <c r="AW1922" s="6744"/>
      <c r="AX1922" s="6744"/>
      <c r="AY1922" s="6744"/>
      <c r="AZ1922" s="6744"/>
      <c r="BA1922" s="6744"/>
      <c r="BB1922" s="6744"/>
      <c r="BC1922" s="6744"/>
      <c r="BD1922" s="6744"/>
      <c r="BE1922" s="6744"/>
      <c r="BF1922" s="6744"/>
      <c r="BG1922" s="6744"/>
      <c r="BH1922" s="6744"/>
      <c r="BI1922" s="6744"/>
      <c r="BJ1922" s="6744"/>
      <c r="BK1922" s="6744"/>
      <c r="BL1922" s="6744"/>
      <c r="BM1922" s="6744"/>
      <c r="BN1922" s="6744">
        <v>4678.92</v>
      </c>
      <c r="BO1922" s="6744"/>
      <c r="BP1922" s="6744"/>
      <c r="BQ1922" s="6744"/>
      <c r="BR1922" s="6744"/>
      <c r="BS1922" s="6744"/>
      <c r="BT1922" s="6744"/>
      <c r="BU1922" s="6744"/>
      <c r="BV1922" s="6744"/>
      <c r="BW1922" s="6744"/>
      <c r="BX1922" s="6744"/>
      <c r="BY1922" s="6744"/>
      <c r="BZ1922" s="6744"/>
      <c r="CA1922" s="6744"/>
      <c r="CB1922" s="6744">
        <v>4678.92</v>
      </c>
      <c r="CC1922" s="6842"/>
      <c r="CD1922" s="6842"/>
      <c r="CE1922" s="6840"/>
      <c r="CF1922" s="6840"/>
      <c r="CG1922" s="6840"/>
      <c r="CH1922" s="6840"/>
    </row>
    <row r="1923" s="4998" customFormat="1" ht="33" customHeight="1" spans="1:86">
      <c r="A1923" s="3812"/>
      <c r="B1923" s="3812"/>
      <c r="C1923" s="3812">
        <v>44263</v>
      </c>
      <c r="D1923" s="6748"/>
      <c r="E1923" s="6748"/>
      <c r="F1923" s="6748"/>
      <c r="G1923" s="6748"/>
      <c r="H1923" s="6744" t="s">
        <v>3461</v>
      </c>
      <c r="I1923" s="6744"/>
      <c r="J1923" s="6748"/>
      <c r="K1923" s="6748"/>
      <c r="L1923" s="6748"/>
      <c r="M1923" s="6744">
        <f>SUBTOTAL(9,N1923:AA1925)</f>
        <v>35000</v>
      </c>
      <c r="N1923" s="6744"/>
      <c r="O1923" s="6744"/>
      <c r="P1923" s="6744"/>
      <c r="Q1923" s="6744"/>
      <c r="R1923" s="6744"/>
      <c r="S1923" s="6744"/>
      <c r="T1923" s="6744"/>
      <c r="U1923" s="6744"/>
      <c r="V1923" s="6744"/>
      <c r="W1923" s="6744"/>
      <c r="X1923" s="6744"/>
      <c r="Y1923" s="6744"/>
      <c r="Z1923" s="6744"/>
      <c r="AA1923" s="6744">
        <v>35000</v>
      </c>
      <c r="AB1923" s="6744" t="s">
        <v>126</v>
      </c>
      <c r="AC1923" s="6744" t="s">
        <v>3462</v>
      </c>
      <c r="AD1923" s="6827" t="s">
        <v>3455</v>
      </c>
      <c r="AE1923" s="6827">
        <v>0.2</v>
      </c>
      <c r="AF1923" s="6744">
        <f>M1923*AE1923</f>
        <v>7000</v>
      </c>
      <c r="AG1923" s="6744">
        <f t="shared" si="428"/>
        <v>7000</v>
      </c>
      <c r="AH1923" s="6744" t="s">
        <v>122</v>
      </c>
      <c r="AI1923" s="6744">
        <v>44397</v>
      </c>
      <c r="AJ1923" s="6744">
        <v>7000</v>
      </c>
      <c r="AK1923" s="6744">
        <v>44397</v>
      </c>
      <c r="AL1923" s="6744">
        <v>7000</v>
      </c>
      <c r="AM1923" s="6744">
        <v>44397</v>
      </c>
      <c r="AN1923" s="6744">
        <f t="shared" si="429"/>
        <v>7000</v>
      </c>
      <c r="AO1923" s="6744">
        <v>44411</v>
      </c>
      <c r="AP1923" s="6744">
        <f t="shared" si="430"/>
        <v>0</v>
      </c>
      <c r="AQ1923" s="6744"/>
      <c r="AR1923" s="6744"/>
      <c r="AS1923" s="6748"/>
      <c r="AT1923" s="6744"/>
      <c r="AU1923" s="6744"/>
      <c r="AV1923" s="6744"/>
      <c r="AW1923" s="6744"/>
      <c r="AX1923" s="6744"/>
      <c r="AY1923" s="6744"/>
      <c r="AZ1923" s="6744"/>
      <c r="BA1923" s="6744"/>
      <c r="BB1923" s="6744"/>
      <c r="BC1923" s="6744"/>
      <c r="BD1923" s="6744"/>
      <c r="BE1923" s="6744"/>
      <c r="BF1923" s="6744"/>
      <c r="BG1923" s="6744"/>
      <c r="BH1923" s="6744"/>
      <c r="BI1923" s="6744"/>
      <c r="BJ1923" s="6744"/>
      <c r="BK1923" s="6744"/>
      <c r="BL1923" s="6744"/>
      <c r="BM1923" s="6744"/>
      <c r="BN1923" s="6744">
        <v>7000</v>
      </c>
      <c r="BO1923" s="6809"/>
      <c r="BP1923" s="6809"/>
      <c r="BQ1923" s="6809"/>
      <c r="BR1923" s="6809"/>
      <c r="BS1923" s="6809"/>
      <c r="BT1923" s="6809"/>
      <c r="BU1923" s="6809"/>
      <c r="BV1923" s="6809"/>
      <c r="BW1923" s="6809"/>
      <c r="BX1923" s="6809"/>
      <c r="BY1923" s="6809"/>
      <c r="BZ1923" s="6809"/>
      <c r="CA1923" s="6809"/>
      <c r="CB1923" s="6744">
        <v>7000</v>
      </c>
      <c r="CC1923" s="6842"/>
      <c r="CD1923" s="6842"/>
      <c r="CE1923" s="6840"/>
      <c r="CF1923" s="6840"/>
      <c r="CG1923" s="6840"/>
      <c r="CH1923" s="6840"/>
    </row>
    <row r="1924" s="4998" customFormat="1" ht="40.5" customHeight="1" spans="1:86">
      <c r="A1924" s="3812"/>
      <c r="B1924" s="3812"/>
      <c r="C1924" s="3812"/>
      <c r="D1924" s="6748"/>
      <c r="E1924" s="6748"/>
      <c r="F1924" s="6748"/>
      <c r="G1924" s="6748"/>
      <c r="H1924" s="6744"/>
      <c r="I1924" s="6744"/>
      <c r="J1924" s="6748"/>
      <c r="K1924" s="6748"/>
      <c r="L1924" s="6748"/>
      <c r="M1924" s="6744"/>
      <c r="N1924" s="6744"/>
      <c r="O1924" s="6744"/>
      <c r="P1924" s="6744"/>
      <c r="Q1924" s="6744"/>
      <c r="R1924" s="6744"/>
      <c r="S1924" s="6744"/>
      <c r="T1924" s="6744"/>
      <c r="U1924" s="6744"/>
      <c r="V1924" s="6744"/>
      <c r="W1924" s="6744"/>
      <c r="X1924" s="6744"/>
      <c r="Y1924" s="6744"/>
      <c r="Z1924" s="6744"/>
      <c r="AA1924" s="6744"/>
      <c r="AB1924" s="6744"/>
      <c r="AC1924" s="6744" t="s">
        <v>3463</v>
      </c>
      <c r="AD1924" s="6827" t="s">
        <v>3457</v>
      </c>
      <c r="AE1924" s="6827">
        <v>0.6</v>
      </c>
      <c r="AF1924" s="6744">
        <f>M1923*AE1924</f>
        <v>21000</v>
      </c>
      <c r="AG1924" s="6744">
        <f t="shared" si="428"/>
        <v>21000</v>
      </c>
      <c r="AH1924" s="6744" t="s">
        <v>122</v>
      </c>
      <c r="AI1924" s="6744">
        <v>44397</v>
      </c>
      <c r="AJ1924" s="6744">
        <v>21000</v>
      </c>
      <c r="AK1924" s="6744">
        <v>44397</v>
      </c>
      <c r="AL1924" s="6744">
        <v>21000</v>
      </c>
      <c r="AM1924" s="6744">
        <v>44397</v>
      </c>
      <c r="AN1924" s="6744">
        <f t="shared" si="429"/>
        <v>21000</v>
      </c>
      <c r="AO1924" s="6744">
        <v>44411</v>
      </c>
      <c r="AP1924" s="6744">
        <f t="shared" si="430"/>
        <v>0</v>
      </c>
      <c r="AQ1924" s="6744"/>
      <c r="AR1924" s="6744"/>
      <c r="AS1924" s="6748"/>
      <c r="AT1924" s="6744"/>
      <c r="AU1924" s="6744"/>
      <c r="AV1924" s="6744"/>
      <c r="AW1924" s="6744"/>
      <c r="AX1924" s="6744"/>
      <c r="AY1924" s="6744"/>
      <c r="AZ1924" s="6744"/>
      <c r="BA1924" s="6744"/>
      <c r="BB1924" s="6744"/>
      <c r="BC1924" s="6744"/>
      <c r="BD1924" s="6744"/>
      <c r="BE1924" s="6744"/>
      <c r="BF1924" s="6744"/>
      <c r="BG1924" s="6744"/>
      <c r="BH1924" s="6744"/>
      <c r="BI1924" s="6744"/>
      <c r="BJ1924" s="6744"/>
      <c r="BK1924" s="6744"/>
      <c r="BL1924" s="6744"/>
      <c r="BM1924" s="6744"/>
      <c r="BN1924" s="6744">
        <v>21000</v>
      </c>
      <c r="BO1924" s="6809"/>
      <c r="BP1924" s="6809"/>
      <c r="BQ1924" s="6809"/>
      <c r="BR1924" s="6809"/>
      <c r="BS1924" s="6809"/>
      <c r="BT1924" s="6809"/>
      <c r="BU1924" s="6809"/>
      <c r="BV1924" s="6809"/>
      <c r="BW1924" s="6809"/>
      <c r="BX1924" s="6809"/>
      <c r="BY1924" s="6809"/>
      <c r="BZ1924" s="6809"/>
      <c r="CA1924" s="6809"/>
      <c r="CB1924" s="6744">
        <v>21000</v>
      </c>
      <c r="CC1924" s="6842"/>
      <c r="CD1924" s="6842"/>
      <c r="CE1924" s="6840"/>
      <c r="CF1924" s="6840"/>
      <c r="CG1924" s="6840"/>
      <c r="CH1924" s="6840"/>
    </row>
    <row r="1925" s="4998" customFormat="1" ht="32.25" customHeight="1" spans="1:86">
      <c r="A1925" s="3812"/>
      <c r="B1925" s="3812"/>
      <c r="C1925" s="3812"/>
      <c r="D1925" s="6748"/>
      <c r="E1925" s="6748"/>
      <c r="F1925" s="6748"/>
      <c r="G1925" s="6748"/>
      <c r="H1925" s="6744"/>
      <c r="I1925" s="6744"/>
      <c r="J1925" s="6748"/>
      <c r="K1925" s="6748"/>
      <c r="L1925" s="6748"/>
      <c r="M1925" s="6744"/>
      <c r="N1925" s="6744"/>
      <c r="O1925" s="6744"/>
      <c r="P1925" s="6744"/>
      <c r="Q1925" s="6744"/>
      <c r="R1925" s="6744"/>
      <c r="S1925" s="6744"/>
      <c r="T1925" s="6744"/>
      <c r="U1925" s="6744"/>
      <c r="V1925" s="6744"/>
      <c r="W1925" s="6744"/>
      <c r="X1925" s="6744"/>
      <c r="Y1925" s="6744"/>
      <c r="Z1925" s="6744"/>
      <c r="AA1925" s="6744"/>
      <c r="AB1925" s="6744"/>
      <c r="AC1925" s="6744" t="s">
        <v>3464</v>
      </c>
      <c r="AD1925" s="6827" t="s">
        <v>3459</v>
      </c>
      <c r="AE1925" s="6827">
        <v>0.2</v>
      </c>
      <c r="AF1925" s="6744">
        <f>M1923*AE1925</f>
        <v>7000</v>
      </c>
      <c r="AG1925" s="6744">
        <f t="shared" si="428"/>
        <v>7000</v>
      </c>
      <c r="AH1925" s="1089" t="s">
        <v>122</v>
      </c>
      <c r="AI1925" s="6744">
        <v>44979</v>
      </c>
      <c r="AJ1925" s="6744">
        <v>7000</v>
      </c>
      <c r="AK1925" s="6744">
        <v>44979</v>
      </c>
      <c r="AL1925" s="6744">
        <v>7000</v>
      </c>
      <c r="AM1925" s="6744">
        <v>44979</v>
      </c>
      <c r="AN1925" s="6744">
        <f t="shared" si="429"/>
        <v>7000</v>
      </c>
      <c r="AO1925" s="6744">
        <v>45072</v>
      </c>
      <c r="AP1925" s="6744">
        <f t="shared" si="430"/>
        <v>0</v>
      </c>
      <c r="AQ1925" s="6744"/>
      <c r="AR1925" s="6744"/>
      <c r="AS1925" s="6748"/>
      <c r="AT1925" s="6744"/>
      <c r="AU1925" s="6744"/>
      <c r="AV1925" s="6744"/>
      <c r="AW1925" s="6744"/>
      <c r="AX1925" s="6744"/>
      <c r="AY1925" s="6744"/>
      <c r="AZ1925" s="6744"/>
      <c r="BA1925" s="6744"/>
      <c r="BB1925" s="6744"/>
      <c r="BC1925" s="6744"/>
      <c r="BD1925" s="6744"/>
      <c r="BE1925" s="6744"/>
      <c r="BF1925" s="6744"/>
      <c r="BG1925" s="6744"/>
      <c r="BH1925" s="6744"/>
      <c r="BI1925" s="6744"/>
      <c r="BJ1925" s="6744"/>
      <c r="BK1925" s="6744"/>
      <c r="BL1925" s="6744"/>
      <c r="BM1925" s="6744"/>
      <c r="BN1925" s="6744">
        <v>7000</v>
      </c>
      <c r="BO1925" s="6744"/>
      <c r="BP1925" s="6744"/>
      <c r="BQ1925" s="6744"/>
      <c r="BR1925" s="6744"/>
      <c r="BS1925" s="6744"/>
      <c r="BT1925" s="6744"/>
      <c r="BU1925" s="6744"/>
      <c r="BV1925" s="6744"/>
      <c r="BW1925" s="6744"/>
      <c r="BX1925" s="6744"/>
      <c r="BY1925" s="6744"/>
      <c r="BZ1925" s="6744"/>
      <c r="CA1925" s="6744"/>
      <c r="CB1925" s="6744">
        <v>7000</v>
      </c>
      <c r="CC1925" s="6842"/>
      <c r="CD1925" s="6842"/>
      <c r="CE1925" s="6840"/>
      <c r="CF1925" s="6840"/>
      <c r="CG1925" s="6840"/>
      <c r="CH1925" s="6840"/>
    </row>
    <row r="1926" s="4998" customFormat="1" ht="27.75" customHeight="1" spans="1:86">
      <c r="A1926" s="3812"/>
      <c r="B1926" s="3812"/>
      <c r="C1926" s="3812">
        <v>44263</v>
      </c>
      <c r="D1926" s="6748"/>
      <c r="E1926" s="6748"/>
      <c r="F1926" s="6748"/>
      <c r="G1926" s="6748"/>
      <c r="H1926" s="6744" t="s">
        <v>3465</v>
      </c>
      <c r="I1926" s="6744"/>
      <c r="J1926" s="6748"/>
      <c r="K1926" s="6748"/>
      <c r="L1926" s="6748"/>
      <c r="M1926" s="6744">
        <f>SUBTOTAL(9,N1926:AA1928)</f>
        <v>35283.57</v>
      </c>
      <c r="N1926" s="6744"/>
      <c r="O1926" s="6744"/>
      <c r="P1926" s="6744"/>
      <c r="Q1926" s="6744"/>
      <c r="R1926" s="6744"/>
      <c r="S1926" s="6744"/>
      <c r="T1926" s="6744"/>
      <c r="U1926" s="6744"/>
      <c r="V1926" s="6744"/>
      <c r="W1926" s="6744"/>
      <c r="X1926" s="6744"/>
      <c r="Y1926" s="6744"/>
      <c r="Z1926" s="6744"/>
      <c r="AA1926" s="6744">
        <v>35283.57</v>
      </c>
      <c r="AB1926" s="6744" t="s">
        <v>126</v>
      </c>
      <c r="AC1926" s="6744" t="s">
        <v>3466</v>
      </c>
      <c r="AD1926" s="6827" t="s">
        <v>3455</v>
      </c>
      <c r="AE1926" s="6827">
        <v>0.2</v>
      </c>
      <c r="AF1926" s="6744">
        <f>M1926*AE1926</f>
        <v>7056.714</v>
      </c>
      <c r="AG1926" s="6744">
        <f t="shared" si="428"/>
        <v>7056.71</v>
      </c>
      <c r="AH1926" s="6744" t="s">
        <v>122</v>
      </c>
      <c r="AI1926" s="6744">
        <v>44397</v>
      </c>
      <c r="AJ1926" s="6744">
        <v>7056.71</v>
      </c>
      <c r="AK1926" s="6744">
        <v>44397</v>
      </c>
      <c r="AL1926" s="6744">
        <v>7056.71</v>
      </c>
      <c r="AM1926" s="6744">
        <v>44397</v>
      </c>
      <c r="AN1926" s="6744">
        <f t="shared" si="429"/>
        <v>7056.71</v>
      </c>
      <c r="AO1926" s="6744">
        <v>44411</v>
      </c>
      <c r="AP1926" s="6744">
        <f t="shared" si="430"/>
        <v>0</v>
      </c>
      <c r="AQ1926" s="6744"/>
      <c r="AR1926" s="6744"/>
      <c r="AS1926" s="6748"/>
      <c r="AT1926" s="6744"/>
      <c r="AU1926" s="6744"/>
      <c r="AV1926" s="6744"/>
      <c r="AW1926" s="6744"/>
      <c r="AX1926" s="6744"/>
      <c r="AY1926" s="6744"/>
      <c r="AZ1926" s="6744"/>
      <c r="BA1926" s="6744"/>
      <c r="BB1926" s="6744"/>
      <c r="BC1926" s="6744"/>
      <c r="BD1926" s="6744"/>
      <c r="BE1926" s="6744"/>
      <c r="BF1926" s="6744"/>
      <c r="BG1926" s="6744"/>
      <c r="BH1926" s="6744"/>
      <c r="BI1926" s="6744"/>
      <c r="BJ1926" s="6744"/>
      <c r="BK1926" s="6744"/>
      <c r="BL1926" s="6744"/>
      <c r="BM1926" s="6744"/>
      <c r="BN1926" s="6744">
        <v>7056.71</v>
      </c>
      <c r="BO1926" s="6809"/>
      <c r="BP1926" s="6809"/>
      <c r="BQ1926" s="6809"/>
      <c r="BR1926" s="6809"/>
      <c r="BS1926" s="6809"/>
      <c r="BT1926" s="6809"/>
      <c r="BU1926" s="6809"/>
      <c r="BV1926" s="6809"/>
      <c r="BW1926" s="6809"/>
      <c r="BX1926" s="6809"/>
      <c r="BY1926" s="6809"/>
      <c r="BZ1926" s="6809"/>
      <c r="CA1926" s="6809"/>
      <c r="CB1926" s="6744">
        <v>7056.71</v>
      </c>
      <c r="CC1926" s="6842"/>
      <c r="CD1926" s="6842"/>
      <c r="CE1926" s="6840"/>
      <c r="CF1926" s="6840"/>
      <c r="CG1926" s="6840"/>
      <c r="CH1926" s="6840"/>
    </row>
    <row r="1927" s="4998" customFormat="1" ht="38.25" customHeight="1" spans="1:86">
      <c r="A1927" s="3812"/>
      <c r="B1927" s="3812"/>
      <c r="C1927" s="3812"/>
      <c r="D1927" s="6748"/>
      <c r="E1927" s="6748"/>
      <c r="F1927" s="6748"/>
      <c r="G1927" s="6748"/>
      <c r="H1927" s="6744"/>
      <c r="I1927" s="6744"/>
      <c r="J1927" s="6748"/>
      <c r="K1927" s="6748"/>
      <c r="L1927" s="6748"/>
      <c r="M1927" s="6744"/>
      <c r="N1927" s="6744"/>
      <c r="O1927" s="6744"/>
      <c r="P1927" s="6744"/>
      <c r="Q1927" s="6744"/>
      <c r="R1927" s="6744"/>
      <c r="S1927" s="6744"/>
      <c r="T1927" s="6744"/>
      <c r="U1927" s="6744"/>
      <c r="V1927" s="6744"/>
      <c r="W1927" s="6744"/>
      <c r="X1927" s="6744"/>
      <c r="Y1927" s="6744"/>
      <c r="Z1927" s="6744"/>
      <c r="AA1927" s="6744"/>
      <c r="AB1927" s="6744"/>
      <c r="AC1927" s="6744" t="s">
        <v>3467</v>
      </c>
      <c r="AD1927" s="6827" t="s">
        <v>3457</v>
      </c>
      <c r="AE1927" s="6827">
        <v>0.6</v>
      </c>
      <c r="AF1927" s="6744">
        <f>M1926*AE1927</f>
        <v>21170.142</v>
      </c>
      <c r="AG1927" s="6744">
        <f t="shared" si="428"/>
        <v>21170.15</v>
      </c>
      <c r="AH1927" s="6744" t="s">
        <v>122</v>
      </c>
      <c r="AI1927" s="6744">
        <v>44397</v>
      </c>
      <c r="AJ1927" s="6744">
        <v>21170.15</v>
      </c>
      <c r="AK1927" s="6744">
        <v>44397</v>
      </c>
      <c r="AL1927" s="6744">
        <v>21170.15</v>
      </c>
      <c r="AM1927" s="6744">
        <v>44397</v>
      </c>
      <c r="AN1927" s="6744">
        <f t="shared" si="429"/>
        <v>21170.15</v>
      </c>
      <c r="AO1927" s="6744">
        <v>44411</v>
      </c>
      <c r="AP1927" s="6744">
        <f t="shared" si="430"/>
        <v>0</v>
      </c>
      <c r="AQ1927" s="6744"/>
      <c r="AR1927" s="6744"/>
      <c r="AS1927" s="6748"/>
      <c r="AT1927" s="6744"/>
      <c r="AU1927" s="6744"/>
      <c r="AV1927" s="6744"/>
      <c r="AW1927" s="6744"/>
      <c r="AX1927" s="6744"/>
      <c r="AY1927" s="6744"/>
      <c r="AZ1927" s="6744"/>
      <c r="BA1927" s="6744"/>
      <c r="BB1927" s="6744"/>
      <c r="BC1927" s="6744"/>
      <c r="BD1927" s="6744"/>
      <c r="BE1927" s="6744"/>
      <c r="BF1927" s="6744"/>
      <c r="BG1927" s="6744"/>
      <c r="BH1927" s="6744"/>
      <c r="BI1927" s="6744"/>
      <c r="BJ1927" s="6744"/>
      <c r="BK1927" s="6744"/>
      <c r="BL1927" s="6744"/>
      <c r="BM1927" s="6744"/>
      <c r="BN1927" s="6744">
        <v>21170.15</v>
      </c>
      <c r="BO1927" s="6809"/>
      <c r="BP1927" s="6809"/>
      <c r="BQ1927" s="6809"/>
      <c r="BR1927" s="6809"/>
      <c r="BS1927" s="6809"/>
      <c r="BT1927" s="6809"/>
      <c r="BU1927" s="6809"/>
      <c r="BV1927" s="6809"/>
      <c r="BW1927" s="6809"/>
      <c r="BX1927" s="6809"/>
      <c r="BY1927" s="6809"/>
      <c r="BZ1927" s="6809"/>
      <c r="CA1927" s="6809"/>
      <c r="CB1927" s="6744">
        <v>21170.15</v>
      </c>
      <c r="CC1927" s="6842"/>
      <c r="CD1927" s="6842"/>
      <c r="CE1927" s="6840"/>
      <c r="CF1927" s="6840"/>
      <c r="CG1927" s="6840"/>
      <c r="CH1927" s="6840"/>
    </row>
    <row r="1928" s="4998" customFormat="1" ht="31.5" customHeight="1" spans="1:86">
      <c r="A1928" s="3812"/>
      <c r="B1928" s="3812"/>
      <c r="C1928" s="3812"/>
      <c r="D1928" s="6748"/>
      <c r="E1928" s="6748"/>
      <c r="F1928" s="6748"/>
      <c r="G1928" s="6748"/>
      <c r="H1928" s="6744"/>
      <c r="I1928" s="6744"/>
      <c r="J1928" s="6748"/>
      <c r="K1928" s="6748"/>
      <c r="L1928" s="6748"/>
      <c r="M1928" s="6744"/>
      <c r="N1928" s="6744"/>
      <c r="O1928" s="6744"/>
      <c r="P1928" s="6744"/>
      <c r="Q1928" s="6744"/>
      <c r="R1928" s="6744"/>
      <c r="S1928" s="6744"/>
      <c r="T1928" s="6744"/>
      <c r="U1928" s="6744"/>
      <c r="V1928" s="6744"/>
      <c r="W1928" s="6744"/>
      <c r="X1928" s="6744"/>
      <c r="Y1928" s="6744"/>
      <c r="Z1928" s="6744"/>
      <c r="AA1928" s="6744"/>
      <c r="AB1928" s="6744"/>
      <c r="AC1928" s="6744" t="s">
        <v>3468</v>
      </c>
      <c r="AD1928" s="6827" t="s">
        <v>3459</v>
      </c>
      <c r="AE1928" s="6827">
        <v>0.2</v>
      </c>
      <c r="AF1928" s="6744">
        <f>M1926*AE1928</f>
        <v>7056.714</v>
      </c>
      <c r="AG1928" s="6744">
        <f t="shared" si="428"/>
        <v>6955.28</v>
      </c>
      <c r="AH1928" s="1089" t="s">
        <v>122</v>
      </c>
      <c r="AI1928" s="6744">
        <v>44979</v>
      </c>
      <c r="AJ1928" s="6744">
        <v>6955.28</v>
      </c>
      <c r="AK1928" s="6744">
        <v>44979</v>
      </c>
      <c r="AL1928" s="6744">
        <v>6955.28</v>
      </c>
      <c r="AM1928" s="6744">
        <v>44979</v>
      </c>
      <c r="AN1928" s="6744">
        <f t="shared" si="429"/>
        <v>6955.28</v>
      </c>
      <c r="AO1928" s="6744">
        <v>45072</v>
      </c>
      <c r="AP1928" s="6744">
        <f t="shared" si="430"/>
        <v>0</v>
      </c>
      <c r="AQ1928" s="6744"/>
      <c r="AR1928" s="6744"/>
      <c r="AS1928" s="6748"/>
      <c r="AT1928" s="6744"/>
      <c r="AU1928" s="6744"/>
      <c r="AV1928" s="6744"/>
      <c r="AW1928" s="6744"/>
      <c r="AX1928" s="6744"/>
      <c r="AY1928" s="6744"/>
      <c r="AZ1928" s="6744"/>
      <c r="BA1928" s="6744"/>
      <c r="BB1928" s="6744"/>
      <c r="BC1928" s="6744"/>
      <c r="BD1928" s="6744"/>
      <c r="BE1928" s="6744"/>
      <c r="BF1928" s="6744"/>
      <c r="BG1928" s="6744"/>
      <c r="BH1928" s="6744"/>
      <c r="BI1928" s="6744"/>
      <c r="BJ1928" s="6744"/>
      <c r="BK1928" s="6744"/>
      <c r="BL1928" s="6744"/>
      <c r="BM1928" s="6744"/>
      <c r="BN1928" s="6744">
        <v>6955.28</v>
      </c>
      <c r="BO1928" s="6744"/>
      <c r="BP1928" s="6744"/>
      <c r="BQ1928" s="6744"/>
      <c r="BR1928" s="6744"/>
      <c r="BS1928" s="6744"/>
      <c r="BT1928" s="6744"/>
      <c r="BU1928" s="6744"/>
      <c r="BV1928" s="6744"/>
      <c r="BW1928" s="6744"/>
      <c r="BX1928" s="6744"/>
      <c r="BY1928" s="6744"/>
      <c r="BZ1928" s="6744"/>
      <c r="CA1928" s="6744"/>
      <c r="CB1928" s="6744">
        <v>6955.28</v>
      </c>
      <c r="CC1928" s="6842"/>
      <c r="CD1928" s="6842"/>
      <c r="CE1928" s="6840"/>
      <c r="CF1928" s="6840"/>
      <c r="CG1928" s="6840"/>
      <c r="CH1928" s="6840"/>
    </row>
    <row r="1929" s="4998" customFormat="1" ht="30.75" customHeight="1" spans="1:86">
      <c r="A1929" s="3812"/>
      <c r="B1929" s="3812"/>
      <c r="C1929" s="3812">
        <v>44263</v>
      </c>
      <c r="D1929" s="6748"/>
      <c r="E1929" s="6748"/>
      <c r="F1929" s="6748"/>
      <c r="G1929" s="6748"/>
      <c r="H1929" s="6744" t="s">
        <v>3469</v>
      </c>
      <c r="I1929" s="6744"/>
      <c r="J1929" s="6748"/>
      <c r="K1929" s="6748"/>
      <c r="L1929" s="6748"/>
      <c r="M1929" s="6744">
        <v>79638.99</v>
      </c>
      <c r="N1929" s="6744"/>
      <c r="O1929" s="6744"/>
      <c r="P1929" s="6744"/>
      <c r="Q1929" s="6744"/>
      <c r="R1929" s="6744"/>
      <c r="S1929" s="6744"/>
      <c r="T1929" s="6744"/>
      <c r="U1929" s="6744"/>
      <c r="V1929" s="6744"/>
      <c r="W1929" s="6744"/>
      <c r="X1929" s="6744"/>
      <c r="Y1929" s="6744"/>
      <c r="Z1929" s="6744"/>
      <c r="AA1929" s="6744">
        <v>79638.99</v>
      </c>
      <c r="AB1929" s="6744" t="s">
        <v>126</v>
      </c>
      <c r="AC1929" s="6744" t="s">
        <v>3470</v>
      </c>
      <c r="AD1929" s="6827" t="s">
        <v>3455</v>
      </c>
      <c r="AE1929" s="6827">
        <v>0.2</v>
      </c>
      <c r="AF1929" s="6744">
        <f>M1929*AE1929</f>
        <v>15927.798</v>
      </c>
      <c r="AG1929" s="6744">
        <v>15927.8</v>
      </c>
      <c r="AH1929" s="6744" t="s">
        <v>122</v>
      </c>
      <c r="AI1929" s="6744">
        <v>44547</v>
      </c>
      <c r="AJ1929" s="6744">
        <v>15927.79</v>
      </c>
      <c r="AK1929" s="6744">
        <v>44547</v>
      </c>
      <c r="AL1929" s="6744">
        <v>15927.79</v>
      </c>
      <c r="AM1929" s="6744">
        <v>44547</v>
      </c>
      <c r="AN1929" s="6744">
        <f t="shared" si="429"/>
        <v>15927.8</v>
      </c>
      <c r="AO1929" s="6744">
        <v>44554</v>
      </c>
      <c r="AP1929" s="6744">
        <f t="shared" si="430"/>
        <v>0</v>
      </c>
      <c r="AQ1929" s="6744"/>
      <c r="AR1929" s="6744"/>
      <c r="AS1929" s="6748"/>
      <c r="AT1929" s="6744"/>
      <c r="AU1929" s="6744"/>
      <c r="AV1929" s="6744"/>
      <c r="AW1929" s="6744"/>
      <c r="AX1929" s="6744"/>
      <c r="AY1929" s="6744"/>
      <c r="AZ1929" s="6744"/>
      <c r="BA1929" s="6744"/>
      <c r="BB1929" s="6744"/>
      <c r="BC1929" s="6744"/>
      <c r="BD1929" s="6744"/>
      <c r="BE1929" s="6744"/>
      <c r="BF1929" s="6744"/>
      <c r="BG1929" s="6744"/>
      <c r="BH1929" s="6744"/>
      <c r="BI1929" s="6744"/>
      <c r="BJ1929" s="6744"/>
      <c r="BK1929" s="6744"/>
      <c r="BL1929" s="6744"/>
      <c r="BM1929" s="6744"/>
      <c r="BN1929" s="6744">
        <v>15927.8</v>
      </c>
      <c r="BO1929" s="6809"/>
      <c r="BP1929" s="6809"/>
      <c r="BQ1929" s="6809"/>
      <c r="BR1929" s="6809"/>
      <c r="BS1929" s="6809"/>
      <c r="BT1929" s="6809"/>
      <c r="BU1929" s="6809"/>
      <c r="BV1929" s="6809"/>
      <c r="BW1929" s="6809"/>
      <c r="BX1929" s="6809"/>
      <c r="BY1929" s="6809"/>
      <c r="BZ1929" s="6809"/>
      <c r="CA1929" s="6809"/>
      <c r="CB1929" s="6809">
        <v>15927.8</v>
      </c>
      <c r="CC1929" s="6842"/>
      <c r="CD1929" s="6842"/>
      <c r="CE1929" s="6840"/>
      <c r="CF1929" s="6840"/>
      <c r="CG1929" s="6840"/>
      <c r="CH1929" s="6840"/>
    </row>
    <row r="1930" s="4998" customFormat="1" ht="55.5" customHeight="1" spans="1:86">
      <c r="A1930" s="3812"/>
      <c r="B1930" s="3812"/>
      <c r="C1930" s="3812"/>
      <c r="D1930" s="6748"/>
      <c r="E1930" s="6748"/>
      <c r="F1930" s="6748"/>
      <c r="G1930" s="6748"/>
      <c r="H1930" s="6744"/>
      <c r="I1930" s="6744"/>
      <c r="J1930" s="6748"/>
      <c r="K1930" s="6748"/>
      <c r="L1930" s="6748"/>
      <c r="M1930" s="6744"/>
      <c r="N1930" s="6744"/>
      <c r="O1930" s="6744"/>
      <c r="P1930" s="6744"/>
      <c r="Q1930" s="6744"/>
      <c r="R1930" s="6744"/>
      <c r="S1930" s="6744"/>
      <c r="T1930" s="6744"/>
      <c r="U1930" s="6744"/>
      <c r="V1930" s="6744"/>
      <c r="W1930" s="6744"/>
      <c r="X1930" s="6744"/>
      <c r="Y1930" s="6744"/>
      <c r="Z1930" s="6744"/>
      <c r="AA1930" s="6744"/>
      <c r="AB1930" s="6744"/>
      <c r="AC1930" s="6744" t="s">
        <v>3471</v>
      </c>
      <c r="AD1930" s="6827" t="s">
        <v>3457</v>
      </c>
      <c r="AE1930" s="6827">
        <v>0.6</v>
      </c>
      <c r="AF1930" s="6744">
        <f>M1929*AE1930</f>
        <v>47783.394</v>
      </c>
      <c r="AG1930" s="6744">
        <v>47783.39</v>
      </c>
      <c r="AH1930" s="6744" t="s">
        <v>122</v>
      </c>
      <c r="AI1930" s="6744">
        <v>44547</v>
      </c>
      <c r="AJ1930" s="6744">
        <v>47783.39</v>
      </c>
      <c r="AK1930" s="6744">
        <v>44547</v>
      </c>
      <c r="AL1930" s="6744">
        <v>47783.39</v>
      </c>
      <c r="AM1930" s="6744">
        <v>44547</v>
      </c>
      <c r="AN1930" s="6744">
        <f t="shared" si="429"/>
        <v>47783.39</v>
      </c>
      <c r="AO1930" s="6744">
        <v>44554</v>
      </c>
      <c r="AP1930" s="6744">
        <f t="shared" si="430"/>
        <v>0</v>
      </c>
      <c r="AQ1930" s="6744"/>
      <c r="AR1930" s="6744"/>
      <c r="AS1930" s="6748"/>
      <c r="AT1930" s="6744"/>
      <c r="AU1930" s="6744"/>
      <c r="AV1930" s="6744"/>
      <c r="AW1930" s="6744"/>
      <c r="AX1930" s="6744"/>
      <c r="AY1930" s="6744"/>
      <c r="AZ1930" s="6744"/>
      <c r="BA1930" s="6744"/>
      <c r="BB1930" s="6744"/>
      <c r="BC1930" s="6744"/>
      <c r="BD1930" s="6744"/>
      <c r="BE1930" s="6744"/>
      <c r="BF1930" s="6744"/>
      <c r="BG1930" s="6744"/>
      <c r="BH1930" s="6744"/>
      <c r="BI1930" s="6744"/>
      <c r="BJ1930" s="6744"/>
      <c r="BK1930" s="6744"/>
      <c r="BL1930" s="6744"/>
      <c r="BM1930" s="6744"/>
      <c r="BN1930" s="6744">
        <v>47783.39</v>
      </c>
      <c r="BO1930" s="6809"/>
      <c r="BP1930" s="6809"/>
      <c r="BQ1930" s="6809"/>
      <c r="BR1930" s="6809"/>
      <c r="BS1930" s="6809"/>
      <c r="BT1930" s="6809"/>
      <c r="BU1930" s="6809"/>
      <c r="BV1930" s="6809"/>
      <c r="BW1930" s="6809"/>
      <c r="BX1930" s="6809"/>
      <c r="BY1930" s="6809"/>
      <c r="BZ1930" s="6809"/>
      <c r="CA1930" s="6809"/>
      <c r="CB1930" s="6809">
        <v>47783.39</v>
      </c>
      <c r="CC1930" s="6842"/>
      <c r="CD1930" s="6842"/>
      <c r="CE1930" s="6840"/>
      <c r="CF1930" s="6840"/>
      <c r="CG1930" s="6840"/>
      <c r="CH1930" s="6840"/>
    </row>
    <row r="1931" s="4998" customFormat="1" ht="38.25" customHeight="1" spans="1:86">
      <c r="A1931" s="3812"/>
      <c r="B1931" s="3812"/>
      <c r="C1931" s="3812"/>
      <c r="D1931" s="6748"/>
      <c r="E1931" s="6748"/>
      <c r="F1931" s="6748"/>
      <c r="G1931" s="6748"/>
      <c r="H1931" s="6744"/>
      <c r="I1931" s="6744"/>
      <c r="J1931" s="6748"/>
      <c r="K1931" s="6748"/>
      <c r="L1931" s="6748"/>
      <c r="M1931" s="6744"/>
      <c r="N1931" s="6744"/>
      <c r="O1931" s="6744"/>
      <c r="P1931" s="6744"/>
      <c r="Q1931" s="6744"/>
      <c r="R1931" s="6744"/>
      <c r="S1931" s="6744"/>
      <c r="T1931" s="6744"/>
      <c r="U1931" s="6744"/>
      <c r="V1931" s="6744"/>
      <c r="W1931" s="6744"/>
      <c r="X1931" s="6744"/>
      <c r="Y1931" s="6744"/>
      <c r="Z1931" s="6744"/>
      <c r="AA1931" s="6744"/>
      <c r="AB1931" s="6744"/>
      <c r="AC1931" s="6744" t="s">
        <v>3472</v>
      </c>
      <c r="AD1931" s="6827" t="s">
        <v>3459</v>
      </c>
      <c r="AE1931" s="6827">
        <v>0.2</v>
      </c>
      <c r="AF1931" s="6744">
        <f>M1929*AE1931</f>
        <v>15927.798</v>
      </c>
      <c r="AG1931" s="6744">
        <f t="shared" si="428"/>
        <v>15509.21</v>
      </c>
      <c r="AH1931" s="1089" t="s">
        <v>122</v>
      </c>
      <c r="AI1931" s="6744">
        <v>44979</v>
      </c>
      <c r="AJ1931" s="6744">
        <v>15509.21</v>
      </c>
      <c r="AK1931" s="6744">
        <v>44979</v>
      </c>
      <c r="AL1931" s="6744">
        <v>15509.21</v>
      </c>
      <c r="AM1931" s="6744">
        <v>44979</v>
      </c>
      <c r="AN1931" s="6744">
        <f t="shared" si="429"/>
        <v>15509.21</v>
      </c>
      <c r="AO1931" s="6744">
        <v>45072</v>
      </c>
      <c r="AP1931" s="6744">
        <f t="shared" si="430"/>
        <v>0</v>
      </c>
      <c r="AQ1931" s="6744"/>
      <c r="AR1931" s="6744"/>
      <c r="AS1931" s="6748"/>
      <c r="AT1931" s="6744"/>
      <c r="AU1931" s="6744"/>
      <c r="AV1931" s="6744"/>
      <c r="AW1931" s="6744"/>
      <c r="AX1931" s="6744"/>
      <c r="AY1931" s="6744"/>
      <c r="AZ1931" s="6744"/>
      <c r="BA1931" s="6744"/>
      <c r="BB1931" s="6744"/>
      <c r="BC1931" s="6744"/>
      <c r="BD1931" s="6744"/>
      <c r="BE1931" s="6744"/>
      <c r="BF1931" s="6744"/>
      <c r="BG1931" s="6744"/>
      <c r="BH1931" s="6744"/>
      <c r="BI1931" s="6744"/>
      <c r="BJ1931" s="6744"/>
      <c r="BK1931" s="6744"/>
      <c r="BL1931" s="6744"/>
      <c r="BM1931" s="6744"/>
      <c r="BN1931" s="6744">
        <v>15509.21</v>
      </c>
      <c r="BO1931" s="6744"/>
      <c r="BP1931" s="6744"/>
      <c r="BQ1931" s="6744"/>
      <c r="BR1931" s="6744"/>
      <c r="BS1931" s="6744"/>
      <c r="BT1931" s="6744"/>
      <c r="BU1931" s="6744"/>
      <c r="BV1931" s="6744"/>
      <c r="BW1931" s="6744"/>
      <c r="BX1931" s="6744"/>
      <c r="BY1931" s="6744"/>
      <c r="BZ1931" s="6744"/>
      <c r="CA1931" s="6744"/>
      <c r="CB1931" s="6744">
        <v>15509.21</v>
      </c>
      <c r="CC1931" s="6842"/>
      <c r="CD1931" s="6842"/>
      <c r="CE1931" s="6840"/>
      <c r="CF1931" s="6840"/>
      <c r="CG1931" s="6840"/>
      <c r="CH1931" s="6840"/>
    </row>
    <row r="1932" s="4998" customFormat="1" ht="57" customHeight="1" spans="1:86">
      <c r="A1932" s="3812"/>
      <c r="B1932" s="3812"/>
      <c r="C1932" s="3812">
        <v>44263</v>
      </c>
      <c r="D1932" s="6748"/>
      <c r="E1932" s="6748"/>
      <c r="F1932" s="6748"/>
      <c r="G1932" s="6748"/>
      <c r="H1932" s="6744" t="s">
        <v>3473</v>
      </c>
      <c r="I1932" s="6744"/>
      <c r="J1932" s="6748"/>
      <c r="K1932" s="6748"/>
      <c r="L1932" s="6748"/>
      <c r="M1932" s="6744">
        <f>SUBTOTAL(9,N1932:AA1934)</f>
        <v>58000</v>
      </c>
      <c r="N1932" s="6744"/>
      <c r="O1932" s="6744"/>
      <c r="P1932" s="6744"/>
      <c r="Q1932" s="6744"/>
      <c r="R1932" s="6744"/>
      <c r="S1932" s="6744"/>
      <c r="T1932" s="6744"/>
      <c r="U1932" s="6744"/>
      <c r="V1932" s="6744"/>
      <c r="W1932" s="6744"/>
      <c r="X1932" s="6744"/>
      <c r="Y1932" s="6744"/>
      <c r="Z1932" s="6744"/>
      <c r="AA1932" s="6744">
        <v>58000</v>
      </c>
      <c r="AB1932" s="6744" t="s">
        <v>126</v>
      </c>
      <c r="AC1932" s="6744" t="s">
        <v>3474</v>
      </c>
      <c r="AD1932" s="6827" t="s">
        <v>3455</v>
      </c>
      <c r="AE1932" s="6827">
        <v>0.2</v>
      </c>
      <c r="AF1932" s="6744">
        <f>M1932*AE1932</f>
        <v>11600</v>
      </c>
      <c r="AG1932" s="6744">
        <f t="shared" si="428"/>
        <v>11600</v>
      </c>
      <c r="AH1932" s="6744" t="s">
        <v>122</v>
      </c>
      <c r="AI1932" s="6744">
        <v>44425</v>
      </c>
      <c r="AJ1932" s="6744">
        <v>11600</v>
      </c>
      <c r="AK1932" s="6744">
        <v>44425</v>
      </c>
      <c r="AL1932" s="6744">
        <v>11600</v>
      </c>
      <c r="AM1932" s="6744">
        <v>44426</v>
      </c>
      <c r="AN1932" s="6744">
        <f t="shared" si="429"/>
        <v>11600</v>
      </c>
      <c r="AO1932" s="6744">
        <v>44439</v>
      </c>
      <c r="AP1932" s="6744">
        <f t="shared" si="430"/>
        <v>0</v>
      </c>
      <c r="AQ1932" s="6744"/>
      <c r="AR1932" s="6744"/>
      <c r="AS1932" s="6748"/>
      <c r="AT1932" s="6744"/>
      <c r="AU1932" s="6744"/>
      <c r="AV1932" s="6744"/>
      <c r="AW1932" s="6744"/>
      <c r="AX1932" s="6744"/>
      <c r="AY1932" s="6744"/>
      <c r="AZ1932" s="6744"/>
      <c r="BA1932" s="6744"/>
      <c r="BB1932" s="6744"/>
      <c r="BC1932" s="6744"/>
      <c r="BD1932" s="6744"/>
      <c r="BE1932" s="6744"/>
      <c r="BF1932" s="6744"/>
      <c r="BG1932" s="6744"/>
      <c r="BH1932" s="6744"/>
      <c r="BI1932" s="6744"/>
      <c r="BJ1932" s="6744"/>
      <c r="BK1932" s="6744"/>
      <c r="BL1932" s="6744"/>
      <c r="BM1932" s="6744"/>
      <c r="BN1932" s="6744">
        <v>11600</v>
      </c>
      <c r="BO1932" s="6809"/>
      <c r="BP1932" s="6809"/>
      <c r="BQ1932" s="6809"/>
      <c r="BR1932" s="6809"/>
      <c r="BS1932" s="6809"/>
      <c r="BT1932" s="6809"/>
      <c r="BU1932" s="6809"/>
      <c r="BV1932" s="6809"/>
      <c r="BW1932" s="6809"/>
      <c r="BX1932" s="6809"/>
      <c r="BY1932" s="6809"/>
      <c r="BZ1932" s="6809"/>
      <c r="CA1932" s="6809"/>
      <c r="CB1932" s="6809">
        <v>11600</v>
      </c>
      <c r="CC1932" s="6842"/>
      <c r="CD1932" s="6842"/>
      <c r="CE1932" s="6840"/>
      <c r="CF1932" s="6840"/>
      <c r="CG1932" s="6840"/>
      <c r="CH1932" s="6840"/>
    </row>
    <row r="1933" s="4998" customFormat="1" ht="48.75" customHeight="1" spans="1:86">
      <c r="A1933" s="3812"/>
      <c r="B1933" s="3812"/>
      <c r="C1933" s="3812"/>
      <c r="D1933" s="6748"/>
      <c r="E1933" s="6748"/>
      <c r="F1933" s="6748"/>
      <c r="G1933" s="6748"/>
      <c r="H1933" s="6744"/>
      <c r="I1933" s="6744"/>
      <c r="J1933" s="6748"/>
      <c r="K1933" s="6748"/>
      <c r="L1933" s="6748"/>
      <c r="M1933" s="6744"/>
      <c r="N1933" s="6744"/>
      <c r="O1933" s="6744"/>
      <c r="P1933" s="6744"/>
      <c r="Q1933" s="6744"/>
      <c r="R1933" s="6744"/>
      <c r="S1933" s="6744"/>
      <c r="T1933" s="6744"/>
      <c r="U1933" s="6744"/>
      <c r="V1933" s="6744"/>
      <c r="W1933" s="6744"/>
      <c r="X1933" s="6744"/>
      <c r="Y1933" s="6744"/>
      <c r="Z1933" s="6744"/>
      <c r="AA1933" s="6744"/>
      <c r="AB1933" s="6744"/>
      <c r="AC1933" s="6744" t="s">
        <v>3475</v>
      </c>
      <c r="AD1933" s="6827" t="s">
        <v>3457</v>
      </c>
      <c r="AE1933" s="6827">
        <v>0.6</v>
      </c>
      <c r="AF1933" s="6744">
        <f>M1932*AE1933</f>
        <v>34800</v>
      </c>
      <c r="AG1933" s="6744">
        <f t="shared" si="428"/>
        <v>34800</v>
      </c>
      <c r="AH1933" s="6744" t="s">
        <v>122</v>
      </c>
      <c r="AI1933" s="6744">
        <v>44457</v>
      </c>
      <c r="AJ1933" s="6744">
        <v>34800</v>
      </c>
      <c r="AK1933" s="6744">
        <v>44457</v>
      </c>
      <c r="AL1933" s="6744">
        <v>34800</v>
      </c>
      <c r="AM1933" s="6744">
        <v>44457</v>
      </c>
      <c r="AN1933" s="6744">
        <f t="shared" si="429"/>
        <v>34800</v>
      </c>
      <c r="AO1933" s="6744">
        <v>44468</v>
      </c>
      <c r="AP1933" s="6744">
        <f t="shared" si="430"/>
        <v>0</v>
      </c>
      <c r="AQ1933" s="6744"/>
      <c r="AR1933" s="6744"/>
      <c r="AS1933" s="6748"/>
      <c r="AT1933" s="6744"/>
      <c r="AU1933" s="6744"/>
      <c r="AV1933" s="6744"/>
      <c r="AW1933" s="6744"/>
      <c r="AX1933" s="6744"/>
      <c r="AY1933" s="6744"/>
      <c r="AZ1933" s="6744"/>
      <c r="BA1933" s="6744"/>
      <c r="BB1933" s="6744"/>
      <c r="BC1933" s="6744"/>
      <c r="BD1933" s="6744"/>
      <c r="BE1933" s="6744"/>
      <c r="BF1933" s="6744"/>
      <c r="BG1933" s="6744"/>
      <c r="BH1933" s="6744"/>
      <c r="BI1933" s="6744"/>
      <c r="BJ1933" s="6744"/>
      <c r="BK1933" s="6744"/>
      <c r="BL1933" s="6744"/>
      <c r="BM1933" s="6744"/>
      <c r="BN1933" s="6744">
        <v>34800</v>
      </c>
      <c r="BO1933" s="6809"/>
      <c r="BP1933" s="6809"/>
      <c r="BQ1933" s="6809"/>
      <c r="BR1933" s="6809"/>
      <c r="BS1933" s="6809"/>
      <c r="BT1933" s="6809"/>
      <c r="BU1933" s="6809"/>
      <c r="BV1933" s="6809"/>
      <c r="BW1933" s="6809"/>
      <c r="BX1933" s="6809"/>
      <c r="BY1933" s="6809"/>
      <c r="BZ1933" s="6809"/>
      <c r="CA1933" s="6809"/>
      <c r="CB1933" s="6809">
        <v>34800</v>
      </c>
      <c r="CC1933" s="6842"/>
      <c r="CD1933" s="6842"/>
      <c r="CE1933" s="6840"/>
      <c r="CF1933" s="6840"/>
      <c r="CG1933" s="6840"/>
      <c r="CH1933" s="6840"/>
    </row>
    <row r="1934" s="4998" customFormat="1" ht="53.25" customHeight="1" spans="1:86">
      <c r="A1934" s="3812"/>
      <c r="B1934" s="3812"/>
      <c r="C1934" s="3812"/>
      <c r="D1934" s="6748"/>
      <c r="E1934" s="6748"/>
      <c r="F1934" s="6748"/>
      <c r="G1934" s="6748"/>
      <c r="H1934" s="6744"/>
      <c r="I1934" s="6744"/>
      <c r="J1934" s="6748"/>
      <c r="K1934" s="6748"/>
      <c r="L1934" s="6748"/>
      <c r="M1934" s="6744"/>
      <c r="N1934" s="6744"/>
      <c r="O1934" s="6744"/>
      <c r="P1934" s="6744"/>
      <c r="Q1934" s="6744"/>
      <c r="R1934" s="6744"/>
      <c r="S1934" s="6744"/>
      <c r="T1934" s="6744"/>
      <c r="U1934" s="6744"/>
      <c r="V1934" s="6744"/>
      <c r="W1934" s="6744"/>
      <c r="X1934" s="6744"/>
      <c r="Y1934" s="6744"/>
      <c r="Z1934" s="6744"/>
      <c r="AA1934" s="6744"/>
      <c r="AB1934" s="6744"/>
      <c r="AC1934" s="6744" t="s">
        <v>3476</v>
      </c>
      <c r="AD1934" s="6827" t="s">
        <v>3459</v>
      </c>
      <c r="AE1934" s="6827">
        <v>0.2</v>
      </c>
      <c r="AF1934" s="6744">
        <f>M1932*AE1934</f>
        <v>11600</v>
      </c>
      <c r="AG1934" s="6744">
        <f t="shared" si="428"/>
        <v>11600</v>
      </c>
      <c r="AH1934" s="1089" t="s">
        <v>122</v>
      </c>
      <c r="AI1934" s="6744">
        <v>44979</v>
      </c>
      <c r="AJ1934" s="6744">
        <v>11600</v>
      </c>
      <c r="AK1934" s="6744">
        <v>44979</v>
      </c>
      <c r="AL1934" s="6744">
        <v>11600</v>
      </c>
      <c r="AM1934" s="6744">
        <v>44979</v>
      </c>
      <c r="AN1934" s="6744">
        <f t="shared" si="429"/>
        <v>11600</v>
      </c>
      <c r="AO1934" s="6744">
        <v>45072</v>
      </c>
      <c r="AP1934" s="6744">
        <f t="shared" si="430"/>
        <v>0</v>
      </c>
      <c r="AQ1934" s="6744"/>
      <c r="AR1934" s="6744"/>
      <c r="AS1934" s="6748"/>
      <c r="AT1934" s="6744"/>
      <c r="AU1934" s="6744"/>
      <c r="AV1934" s="6744"/>
      <c r="AW1934" s="6744"/>
      <c r="AX1934" s="6744"/>
      <c r="AY1934" s="6744"/>
      <c r="AZ1934" s="6744"/>
      <c r="BA1934" s="6744"/>
      <c r="BB1934" s="6744"/>
      <c r="BC1934" s="6744"/>
      <c r="BD1934" s="6744"/>
      <c r="BE1934" s="6744"/>
      <c r="BF1934" s="6744"/>
      <c r="BG1934" s="6744"/>
      <c r="BH1934" s="6744"/>
      <c r="BI1934" s="6744"/>
      <c r="BJ1934" s="6744"/>
      <c r="BK1934" s="6744"/>
      <c r="BL1934" s="6744"/>
      <c r="BM1934" s="6744"/>
      <c r="BN1934" s="6744">
        <v>11600</v>
      </c>
      <c r="BO1934" s="6744"/>
      <c r="BP1934" s="6744"/>
      <c r="BQ1934" s="6744"/>
      <c r="BR1934" s="6744"/>
      <c r="BS1934" s="6744"/>
      <c r="BT1934" s="6744"/>
      <c r="BU1934" s="6744"/>
      <c r="BV1934" s="6744"/>
      <c r="BW1934" s="6744"/>
      <c r="BX1934" s="6744"/>
      <c r="BY1934" s="6744"/>
      <c r="BZ1934" s="6744"/>
      <c r="CA1934" s="6744"/>
      <c r="CB1934" s="6744">
        <v>11600</v>
      </c>
      <c r="CC1934" s="6842"/>
      <c r="CD1934" s="6842"/>
      <c r="CE1934" s="6840"/>
      <c r="CF1934" s="6840"/>
      <c r="CG1934" s="6840"/>
      <c r="CH1934" s="6840"/>
    </row>
    <row r="1935" s="4998" customFormat="1" ht="52.5" customHeight="1" spans="1:86">
      <c r="A1935" s="3812"/>
      <c r="B1935" s="3812"/>
      <c r="C1935" s="3812">
        <v>44263</v>
      </c>
      <c r="D1935" s="6748"/>
      <c r="E1935" s="6748"/>
      <c r="F1935" s="6748"/>
      <c r="G1935" s="6748"/>
      <c r="H1935" s="6744" t="s">
        <v>3477</v>
      </c>
      <c r="I1935" s="6744"/>
      <c r="J1935" s="6748"/>
      <c r="K1935" s="6748"/>
      <c r="L1935" s="6748"/>
      <c r="M1935" s="6744">
        <v>50000</v>
      </c>
      <c r="N1935" s="6744"/>
      <c r="O1935" s="6744"/>
      <c r="P1935" s="6744"/>
      <c r="Q1935" s="6744"/>
      <c r="R1935" s="6744"/>
      <c r="S1935" s="6744"/>
      <c r="T1935" s="6744"/>
      <c r="U1935" s="6744"/>
      <c r="V1935" s="6744"/>
      <c r="W1935" s="6744"/>
      <c r="X1935" s="6744"/>
      <c r="Y1935" s="6744"/>
      <c r="Z1935" s="6744"/>
      <c r="AA1935" s="6744">
        <v>50000</v>
      </c>
      <c r="AB1935" s="6744" t="s">
        <v>126</v>
      </c>
      <c r="AC1935" s="6744" t="s">
        <v>3478</v>
      </c>
      <c r="AD1935" s="6827" t="s">
        <v>3455</v>
      </c>
      <c r="AE1935" s="6827">
        <v>0.2</v>
      </c>
      <c r="AF1935" s="6744">
        <f>M1935*AE1935</f>
        <v>10000</v>
      </c>
      <c r="AG1935" s="6744">
        <f t="shared" si="428"/>
        <v>10000</v>
      </c>
      <c r="AH1935" s="6744" t="s">
        <v>122</v>
      </c>
      <c r="AI1935" s="6744">
        <v>44547</v>
      </c>
      <c r="AJ1935" s="6744">
        <v>10000</v>
      </c>
      <c r="AK1935" s="6744">
        <v>44547</v>
      </c>
      <c r="AL1935" s="6744">
        <v>10000</v>
      </c>
      <c r="AM1935" s="6744">
        <v>44547</v>
      </c>
      <c r="AN1935" s="6744">
        <f t="shared" ref="AN1935:AN1946" si="431">SUM(BO1935:CB1935)</f>
        <v>10000</v>
      </c>
      <c r="AO1935" s="6744">
        <v>44554</v>
      </c>
      <c r="AP1935" s="6744">
        <f t="shared" ref="AP1935:AP1946" si="432">AG1935-AN1935</f>
        <v>0</v>
      </c>
      <c r="AQ1935" s="6744"/>
      <c r="AR1935" s="6744"/>
      <c r="AS1935" s="6748"/>
      <c r="AT1935" s="6744"/>
      <c r="AU1935" s="6744"/>
      <c r="AV1935" s="6744"/>
      <c r="AW1935" s="6744"/>
      <c r="AX1935" s="6744"/>
      <c r="AY1935" s="6744"/>
      <c r="AZ1935" s="6744"/>
      <c r="BA1935" s="6744"/>
      <c r="BB1935" s="6744"/>
      <c r="BC1935" s="6744"/>
      <c r="BD1935" s="6744"/>
      <c r="BE1935" s="6744"/>
      <c r="BF1935" s="6744"/>
      <c r="BG1935" s="6744"/>
      <c r="BH1935" s="6744"/>
      <c r="BI1935" s="6744"/>
      <c r="BJ1935" s="6744"/>
      <c r="BK1935" s="6744"/>
      <c r="BL1935" s="6744"/>
      <c r="BM1935" s="6744"/>
      <c r="BN1935" s="6744">
        <v>10000</v>
      </c>
      <c r="BO1935" s="6744"/>
      <c r="BP1935" s="6744"/>
      <c r="BQ1935" s="6744"/>
      <c r="BR1935" s="6744"/>
      <c r="BS1935" s="6744"/>
      <c r="BT1935" s="6744"/>
      <c r="BU1935" s="6744"/>
      <c r="BV1935" s="6744"/>
      <c r="BW1935" s="6744"/>
      <c r="BX1935" s="6744"/>
      <c r="BY1935" s="6744"/>
      <c r="BZ1935" s="6744"/>
      <c r="CA1935" s="6744"/>
      <c r="CB1935" s="6744">
        <v>10000</v>
      </c>
      <c r="CC1935" s="6842"/>
      <c r="CD1935" s="6842"/>
      <c r="CE1935" s="6840"/>
      <c r="CF1935" s="6840"/>
      <c r="CG1935" s="6840"/>
      <c r="CH1935" s="6840"/>
    </row>
    <row r="1936" s="4998" customFormat="1" ht="31.5" customHeight="1" spans="1:86">
      <c r="A1936" s="3812"/>
      <c r="B1936" s="3812"/>
      <c r="C1936" s="3812"/>
      <c r="D1936" s="6748"/>
      <c r="E1936" s="6748"/>
      <c r="F1936" s="6748"/>
      <c r="G1936" s="6748"/>
      <c r="H1936" s="6744"/>
      <c r="I1936" s="6744"/>
      <c r="J1936" s="6748"/>
      <c r="K1936" s="6748"/>
      <c r="L1936" s="6748"/>
      <c r="M1936" s="6744"/>
      <c r="N1936" s="6744"/>
      <c r="O1936" s="6744"/>
      <c r="P1936" s="6744"/>
      <c r="Q1936" s="6744"/>
      <c r="R1936" s="6744"/>
      <c r="S1936" s="6744"/>
      <c r="T1936" s="6744"/>
      <c r="U1936" s="6744"/>
      <c r="V1936" s="6744"/>
      <c r="W1936" s="6744"/>
      <c r="X1936" s="6744"/>
      <c r="Y1936" s="6744"/>
      <c r="Z1936" s="6744"/>
      <c r="AA1936" s="6744"/>
      <c r="AB1936" s="6744"/>
      <c r="AC1936" s="6744" t="s">
        <v>3479</v>
      </c>
      <c r="AD1936" s="6827" t="s">
        <v>3480</v>
      </c>
      <c r="AE1936" s="6827">
        <v>0.6</v>
      </c>
      <c r="AF1936" s="6744">
        <f>M1935*AE1936</f>
        <v>30000</v>
      </c>
      <c r="AG1936" s="6744">
        <f t="shared" si="428"/>
        <v>30000</v>
      </c>
      <c r="AH1936" s="1089" t="s">
        <v>122</v>
      </c>
      <c r="AI1936" s="6744">
        <v>44979</v>
      </c>
      <c r="AJ1936" s="6744">
        <v>30000</v>
      </c>
      <c r="AK1936" s="6744">
        <v>44979</v>
      </c>
      <c r="AL1936" s="6744">
        <v>30000</v>
      </c>
      <c r="AM1936" s="6744">
        <v>44979</v>
      </c>
      <c r="AN1936" s="6744">
        <f t="shared" si="431"/>
        <v>30000</v>
      </c>
      <c r="AO1936" s="6744">
        <v>45072</v>
      </c>
      <c r="AP1936" s="6744">
        <f t="shared" si="432"/>
        <v>0</v>
      </c>
      <c r="AQ1936" s="6744"/>
      <c r="AR1936" s="6744"/>
      <c r="AS1936" s="6748"/>
      <c r="AT1936" s="6744"/>
      <c r="AU1936" s="6744"/>
      <c r="AV1936" s="6744"/>
      <c r="AW1936" s="6744"/>
      <c r="AX1936" s="6744"/>
      <c r="AY1936" s="6744"/>
      <c r="AZ1936" s="6744"/>
      <c r="BA1936" s="6744"/>
      <c r="BB1936" s="6744"/>
      <c r="BC1936" s="6744"/>
      <c r="BD1936" s="6744"/>
      <c r="BE1936" s="6744"/>
      <c r="BF1936" s="6744"/>
      <c r="BG1936" s="6744"/>
      <c r="BH1936" s="6744"/>
      <c r="BI1936" s="6744"/>
      <c r="BJ1936" s="6744"/>
      <c r="BK1936" s="6744"/>
      <c r="BL1936" s="6744"/>
      <c r="BM1936" s="6744"/>
      <c r="BN1936" s="6744">
        <v>30000</v>
      </c>
      <c r="BO1936" s="6744"/>
      <c r="BP1936" s="6744"/>
      <c r="BQ1936" s="6744"/>
      <c r="BR1936" s="6744"/>
      <c r="BS1936" s="6744"/>
      <c r="BT1936" s="6744"/>
      <c r="BU1936" s="6744"/>
      <c r="BV1936" s="6744"/>
      <c r="BW1936" s="6744"/>
      <c r="BX1936" s="6744"/>
      <c r="BY1936" s="6744"/>
      <c r="BZ1936" s="6744"/>
      <c r="CA1936" s="6744"/>
      <c r="CB1936" s="6744">
        <v>30000</v>
      </c>
      <c r="CC1936" s="6842"/>
      <c r="CD1936" s="6842"/>
      <c r="CE1936" s="6840"/>
      <c r="CF1936" s="6840"/>
      <c r="CG1936" s="6840"/>
      <c r="CH1936" s="6840"/>
    </row>
    <row r="1937" s="4998" customFormat="1" ht="36" customHeight="1" spans="1:86">
      <c r="A1937" s="3812"/>
      <c r="B1937" s="3812"/>
      <c r="C1937" s="3812"/>
      <c r="D1937" s="6748"/>
      <c r="E1937" s="6748"/>
      <c r="F1937" s="6748"/>
      <c r="G1937" s="6748"/>
      <c r="H1937" s="6744"/>
      <c r="I1937" s="6744"/>
      <c r="J1937" s="6748"/>
      <c r="K1937" s="6748"/>
      <c r="L1937" s="6748"/>
      <c r="M1937" s="6744"/>
      <c r="N1937" s="6744"/>
      <c r="O1937" s="6744"/>
      <c r="P1937" s="6744"/>
      <c r="Q1937" s="6744"/>
      <c r="R1937" s="6744"/>
      <c r="S1937" s="6744"/>
      <c r="T1937" s="6744"/>
      <c r="U1937" s="6744"/>
      <c r="V1937" s="6744"/>
      <c r="W1937" s="6744"/>
      <c r="X1937" s="6744"/>
      <c r="Y1937" s="6744"/>
      <c r="Z1937" s="6744"/>
      <c r="AA1937" s="6744"/>
      <c r="AB1937" s="6744"/>
      <c r="AC1937" s="6744" t="s">
        <v>3481</v>
      </c>
      <c r="AD1937" s="6827" t="s">
        <v>3459</v>
      </c>
      <c r="AE1937" s="6827">
        <v>0.2</v>
      </c>
      <c r="AF1937" s="6744">
        <f>M1935*AE1937</f>
        <v>10000</v>
      </c>
      <c r="AG1937" s="6744">
        <f t="shared" si="428"/>
        <v>10000</v>
      </c>
      <c r="AH1937" s="1089" t="s">
        <v>122</v>
      </c>
      <c r="AI1937" s="6744">
        <v>44979</v>
      </c>
      <c r="AJ1937" s="6744">
        <v>10000</v>
      </c>
      <c r="AK1937" s="6744">
        <v>44979</v>
      </c>
      <c r="AL1937" s="6744">
        <v>10000</v>
      </c>
      <c r="AM1937" s="6744">
        <v>44979</v>
      </c>
      <c r="AN1937" s="6744">
        <f t="shared" si="431"/>
        <v>10000</v>
      </c>
      <c r="AO1937" s="6744">
        <v>45072</v>
      </c>
      <c r="AP1937" s="6744">
        <f t="shared" si="432"/>
        <v>0</v>
      </c>
      <c r="AQ1937" s="6744"/>
      <c r="AR1937" s="6744"/>
      <c r="AS1937" s="6748"/>
      <c r="AT1937" s="6744"/>
      <c r="AU1937" s="6744"/>
      <c r="AV1937" s="6744"/>
      <c r="AW1937" s="6744"/>
      <c r="AX1937" s="6744"/>
      <c r="AY1937" s="6744"/>
      <c r="AZ1937" s="6744"/>
      <c r="BA1937" s="6744"/>
      <c r="BB1937" s="6744"/>
      <c r="BC1937" s="6744"/>
      <c r="BD1937" s="6744"/>
      <c r="BE1937" s="6744"/>
      <c r="BF1937" s="6744"/>
      <c r="BG1937" s="6744"/>
      <c r="BH1937" s="6744"/>
      <c r="BI1937" s="6744"/>
      <c r="BJ1937" s="6744"/>
      <c r="BK1937" s="6744"/>
      <c r="BL1937" s="6744"/>
      <c r="BM1937" s="6744"/>
      <c r="BN1937" s="6744">
        <v>10000</v>
      </c>
      <c r="BO1937" s="6744"/>
      <c r="BP1937" s="6744"/>
      <c r="BQ1937" s="6744"/>
      <c r="BR1937" s="6744"/>
      <c r="BS1937" s="6744"/>
      <c r="BT1937" s="6744"/>
      <c r="BU1937" s="6744"/>
      <c r="BV1937" s="6744"/>
      <c r="BW1937" s="6744"/>
      <c r="BX1937" s="6744"/>
      <c r="BY1937" s="6744"/>
      <c r="BZ1937" s="6744"/>
      <c r="CA1937" s="6744"/>
      <c r="CB1937" s="6744">
        <v>10000</v>
      </c>
      <c r="CC1937" s="6842"/>
      <c r="CD1937" s="6842"/>
      <c r="CE1937" s="6840"/>
      <c r="CF1937" s="6840"/>
      <c r="CG1937" s="6840"/>
      <c r="CH1937" s="6840"/>
    </row>
    <row r="1938" s="4998" customFormat="1" ht="26.25" customHeight="1" spans="1:86">
      <c r="A1938" s="3812"/>
      <c r="B1938" s="3812"/>
      <c r="C1938" s="3812">
        <v>44263</v>
      </c>
      <c r="D1938" s="6748"/>
      <c r="E1938" s="6748"/>
      <c r="F1938" s="6748"/>
      <c r="G1938" s="6748"/>
      <c r="H1938" s="1089" t="s">
        <v>3482</v>
      </c>
      <c r="I1938" s="1089"/>
      <c r="J1938" s="6748"/>
      <c r="K1938" s="6748"/>
      <c r="L1938" s="6748"/>
      <c r="M1938" s="6744">
        <v>79000</v>
      </c>
      <c r="N1938" s="6744"/>
      <c r="O1938" s="6744"/>
      <c r="P1938" s="6744"/>
      <c r="Q1938" s="6744"/>
      <c r="R1938" s="6744"/>
      <c r="S1938" s="6744"/>
      <c r="T1938" s="6744"/>
      <c r="U1938" s="6744"/>
      <c r="V1938" s="6744"/>
      <c r="W1938" s="6744"/>
      <c r="X1938" s="6744"/>
      <c r="Y1938" s="6744"/>
      <c r="Z1938" s="6744"/>
      <c r="AA1938" s="6744">
        <v>79000</v>
      </c>
      <c r="AB1938" s="1089" t="s">
        <v>126</v>
      </c>
      <c r="AC1938" s="6744" t="s">
        <v>3483</v>
      </c>
      <c r="AD1938" s="6733" t="s">
        <v>3455</v>
      </c>
      <c r="AE1938" s="6827">
        <v>0.2</v>
      </c>
      <c r="AF1938" s="6744">
        <f>M1938*AE1938</f>
        <v>15800</v>
      </c>
      <c r="AG1938" s="6744">
        <f t="shared" si="428"/>
        <v>15800</v>
      </c>
      <c r="AH1938" s="1089" t="s">
        <v>122</v>
      </c>
      <c r="AI1938" s="6744">
        <v>44568</v>
      </c>
      <c r="AJ1938" s="6744">
        <v>15800</v>
      </c>
      <c r="AK1938" s="6744">
        <v>44568</v>
      </c>
      <c r="AL1938" s="6744">
        <v>15800</v>
      </c>
      <c r="AM1938" s="6744">
        <v>44568</v>
      </c>
      <c r="AN1938" s="6744">
        <f t="shared" si="431"/>
        <v>15800</v>
      </c>
      <c r="AO1938" s="6744">
        <v>44582</v>
      </c>
      <c r="AP1938" s="6744">
        <f t="shared" si="432"/>
        <v>0</v>
      </c>
      <c r="AQ1938" s="6744"/>
      <c r="AR1938" s="6744"/>
      <c r="AS1938" s="6748"/>
      <c r="AT1938" s="6744"/>
      <c r="AU1938" s="6744"/>
      <c r="AV1938" s="6744"/>
      <c r="AW1938" s="6744"/>
      <c r="AX1938" s="6744"/>
      <c r="AY1938" s="6744"/>
      <c r="AZ1938" s="6744"/>
      <c r="BA1938" s="6744"/>
      <c r="BB1938" s="6744"/>
      <c r="BC1938" s="6744"/>
      <c r="BD1938" s="6744"/>
      <c r="BE1938" s="6744"/>
      <c r="BF1938" s="6744"/>
      <c r="BG1938" s="6744"/>
      <c r="BH1938" s="6744"/>
      <c r="BI1938" s="6744"/>
      <c r="BJ1938" s="6744"/>
      <c r="BK1938" s="6744"/>
      <c r="BL1938" s="6744"/>
      <c r="BM1938" s="6744"/>
      <c r="BN1938" s="6744">
        <v>15800</v>
      </c>
      <c r="BO1938" s="6744"/>
      <c r="BP1938" s="6744"/>
      <c r="BQ1938" s="6744"/>
      <c r="BR1938" s="6744"/>
      <c r="BS1938" s="6744"/>
      <c r="BT1938" s="6744"/>
      <c r="BU1938" s="6744"/>
      <c r="BV1938" s="6744"/>
      <c r="BW1938" s="6744"/>
      <c r="BX1938" s="6744"/>
      <c r="BY1938" s="6744"/>
      <c r="BZ1938" s="6744"/>
      <c r="CA1938" s="6744"/>
      <c r="CB1938" s="6744">
        <v>15800</v>
      </c>
      <c r="CC1938" s="6842"/>
      <c r="CD1938" s="6842"/>
      <c r="CE1938" s="6840"/>
      <c r="CF1938" s="6840"/>
      <c r="CG1938" s="6840"/>
      <c r="CH1938" s="6840"/>
    </row>
    <row r="1939" s="4998" customFormat="1" ht="46" spans="1:86">
      <c r="A1939" s="3812"/>
      <c r="B1939" s="3812"/>
      <c r="C1939" s="3812"/>
      <c r="D1939" s="6748"/>
      <c r="E1939" s="6748"/>
      <c r="F1939" s="6748"/>
      <c r="G1939" s="6748"/>
      <c r="H1939" s="6744"/>
      <c r="I1939" s="6744"/>
      <c r="J1939" s="6748"/>
      <c r="K1939" s="6748"/>
      <c r="L1939" s="6748"/>
      <c r="M1939" s="6744"/>
      <c r="N1939" s="6744"/>
      <c r="O1939" s="6744"/>
      <c r="P1939" s="6744"/>
      <c r="Q1939" s="6744"/>
      <c r="R1939" s="6744"/>
      <c r="S1939" s="6744"/>
      <c r="T1939" s="6744"/>
      <c r="U1939" s="6744"/>
      <c r="V1939" s="6744"/>
      <c r="W1939" s="6744"/>
      <c r="X1939" s="6744"/>
      <c r="Y1939" s="6744"/>
      <c r="Z1939" s="6744"/>
      <c r="AA1939" s="6744"/>
      <c r="AB1939" s="6744"/>
      <c r="AC1939" s="6744" t="s">
        <v>3484</v>
      </c>
      <c r="AD1939" s="6733" t="s">
        <v>3480</v>
      </c>
      <c r="AE1939" s="6827">
        <v>0.6</v>
      </c>
      <c r="AF1939" s="6744">
        <f>M1938*AE1939</f>
        <v>47400</v>
      </c>
      <c r="AG1939" s="6744">
        <f t="shared" si="428"/>
        <v>47400</v>
      </c>
      <c r="AH1939" s="1089" t="s">
        <v>122</v>
      </c>
      <c r="AI1939" s="6744">
        <v>44670</v>
      </c>
      <c r="AJ1939" s="6744">
        <f>SUM(BD1939:BQ1939)</f>
        <v>47400</v>
      </c>
      <c r="AK1939" s="6744">
        <v>44670</v>
      </c>
      <c r="AL1939" s="6744">
        <f>SUM(BF1939:BS1939)</f>
        <v>47400</v>
      </c>
      <c r="AM1939" s="6744">
        <v>44670</v>
      </c>
      <c r="AN1939" s="6744">
        <f t="shared" si="431"/>
        <v>47400</v>
      </c>
      <c r="AO1939" s="6744">
        <v>45013</v>
      </c>
      <c r="AP1939" s="6744">
        <f t="shared" si="432"/>
        <v>0</v>
      </c>
      <c r="AQ1939" s="6744"/>
      <c r="AR1939" s="6744"/>
      <c r="AS1939" s="6748"/>
      <c r="AT1939" s="6744"/>
      <c r="AU1939" s="6744"/>
      <c r="AV1939" s="6744"/>
      <c r="AW1939" s="6744"/>
      <c r="AX1939" s="6744"/>
      <c r="AY1939" s="6744"/>
      <c r="AZ1939" s="6744"/>
      <c r="BA1939" s="6744"/>
      <c r="BB1939" s="6744"/>
      <c r="BC1939" s="6744"/>
      <c r="BD1939" s="6744"/>
      <c r="BE1939" s="6744"/>
      <c r="BF1939" s="6744"/>
      <c r="BG1939" s="6744"/>
      <c r="BH1939" s="6744"/>
      <c r="BI1939" s="6744"/>
      <c r="BJ1939" s="6744"/>
      <c r="BK1939" s="6744"/>
      <c r="BL1939" s="6744"/>
      <c r="BM1939" s="6744"/>
      <c r="BN1939" s="6744">
        <v>47400</v>
      </c>
      <c r="BO1939" s="6744"/>
      <c r="BP1939" s="6744"/>
      <c r="BQ1939" s="6809"/>
      <c r="BR1939" s="6809"/>
      <c r="BS1939" s="6809"/>
      <c r="BT1939" s="6809"/>
      <c r="BU1939" s="6809"/>
      <c r="BV1939" s="6809"/>
      <c r="BW1939" s="6809"/>
      <c r="BX1939" s="6809"/>
      <c r="BY1939" s="6744"/>
      <c r="BZ1939" s="6744"/>
      <c r="CA1939" s="6744"/>
      <c r="CB1939" s="6809">
        <v>47400</v>
      </c>
      <c r="CC1939" s="6842"/>
      <c r="CD1939" s="6842"/>
      <c r="CE1939" s="6840"/>
      <c r="CF1939" s="6840"/>
      <c r="CG1939" s="6840"/>
      <c r="CH1939" s="6840"/>
    </row>
    <row r="1940" s="4998" customFormat="1" ht="61" spans="1:86">
      <c r="A1940" s="3812"/>
      <c r="B1940" s="3812"/>
      <c r="C1940" s="3812"/>
      <c r="D1940" s="6748"/>
      <c r="E1940" s="6748"/>
      <c r="F1940" s="6748"/>
      <c r="G1940" s="6748"/>
      <c r="H1940" s="6744"/>
      <c r="I1940" s="6744"/>
      <c r="J1940" s="6748"/>
      <c r="K1940" s="6748"/>
      <c r="L1940" s="6748"/>
      <c r="M1940" s="6744"/>
      <c r="N1940" s="6744"/>
      <c r="O1940" s="6744"/>
      <c r="P1940" s="6744"/>
      <c r="Q1940" s="6744"/>
      <c r="R1940" s="6744"/>
      <c r="S1940" s="6744"/>
      <c r="T1940" s="6744"/>
      <c r="U1940" s="6744"/>
      <c r="V1940" s="6744"/>
      <c r="W1940" s="6744"/>
      <c r="X1940" s="6744"/>
      <c r="Y1940" s="6744"/>
      <c r="Z1940" s="6744"/>
      <c r="AA1940" s="6744"/>
      <c r="AB1940" s="6744"/>
      <c r="AC1940" s="6744" t="s">
        <v>3485</v>
      </c>
      <c r="AD1940" s="6733" t="s">
        <v>3459</v>
      </c>
      <c r="AE1940" s="6827">
        <v>0.2</v>
      </c>
      <c r="AF1940" s="6744">
        <f>M1938*AE1940</f>
        <v>15800</v>
      </c>
      <c r="AG1940" s="6744">
        <f t="shared" si="428"/>
        <v>15800</v>
      </c>
      <c r="AH1940" s="1089" t="s">
        <v>122</v>
      </c>
      <c r="AI1940" s="6744">
        <v>44979</v>
      </c>
      <c r="AJ1940" s="6744">
        <v>15800</v>
      </c>
      <c r="AK1940" s="6744">
        <v>44979</v>
      </c>
      <c r="AL1940" s="6744">
        <v>15800</v>
      </c>
      <c r="AM1940" s="6744">
        <v>44979</v>
      </c>
      <c r="AN1940" s="6744">
        <f t="shared" si="431"/>
        <v>15800</v>
      </c>
      <c r="AO1940" s="6744">
        <v>45072</v>
      </c>
      <c r="AP1940" s="6744">
        <f t="shared" si="432"/>
        <v>0</v>
      </c>
      <c r="AQ1940" s="6744"/>
      <c r="AR1940" s="6744"/>
      <c r="AS1940" s="6748"/>
      <c r="AT1940" s="6744"/>
      <c r="AU1940" s="6744"/>
      <c r="AV1940" s="6744"/>
      <c r="AW1940" s="6744"/>
      <c r="AX1940" s="6744"/>
      <c r="AY1940" s="6744"/>
      <c r="AZ1940" s="6744"/>
      <c r="BA1940" s="6744"/>
      <c r="BB1940" s="6744"/>
      <c r="BC1940" s="6744"/>
      <c r="BD1940" s="6744"/>
      <c r="BE1940" s="6744"/>
      <c r="BF1940" s="6744"/>
      <c r="BG1940" s="6744"/>
      <c r="BH1940" s="6744"/>
      <c r="BI1940" s="6744"/>
      <c r="BJ1940" s="6744"/>
      <c r="BK1940" s="6744"/>
      <c r="BL1940" s="6744"/>
      <c r="BM1940" s="6744"/>
      <c r="BN1940" s="6744">
        <v>15800</v>
      </c>
      <c r="BO1940" s="6744"/>
      <c r="BP1940" s="6744"/>
      <c r="BQ1940" s="6744"/>
      <c r="BR1940" s="6744"/>
      <c r="BS1940" s="6744"/>
      <c r="BT1940" s="6744"/>
      <c r="BU1940" s="6744"/>
      <c r="BV1940" s="6744"/>
      <c r="BW1940" s="6744"/>
      <c r="BX1940" s="6744"/>
      <c r="BY1940" s="6744"/>
      <c r="BZ1940" s="6744"/>
      <c r="CA1940" s="6744"/>
      <c r="CB1940" s="6744">
        <v>15800</v>
      </c>
      <c r="CC1940" s="6842"/>
      <c r="CD1940" s="6842"/>
      <c r="CE1940" s="6840"/>
      <c r="CF1940" s="6840"/>
      <c r="CG1940" s="6840"/>
      <c r="CH1940" s="6840"/>
    </row>
    <row r="1941" s="4998" customFormat="1" ht="46" spans="1:86">
      <c r="A1941" s="3812"/>
      <c r="B1941" s="3812"/>
      <c r="C1941" s="3812">
        <v>44263</v>
      </c>
      <c r="D1941" s="6748"/>
      <c r="E1941" s="6748"/>
      <c r="F1941" s="6748"/>
      <c r="G1941" s="6748"/>
      <c r="H1941" s="1089" t="s">
        <v>3486</v>
      </c>
      <c r="I1941" s="1089"/>
      <c r="J1941" s="6748"/>
      <c r="K1941" s="6748"/>
      <c r="L1941" s="6748"/>
      <c r="M1941" s="6744">
        <v>40000</v>
      </c>
      <c r="N1941" s="6744"/>
      <c r="O1941" s="6744"/>
      <c r="P1941" s="6744"/>
      <c r="Q1941" s="6744"/>
      <c r="R1941" s="6744"/>
      <c r="S1941" s="6744"/>
      <c r="T1941" s="6744"/>
      <c r="U1941" s="6744"/>
      <c r="V1941" s="6744"/>
      <c r="W1941" s="6744"/>
      <c r="X1941" s="6744"/>
      <c r="Y1941" s="6744"/>
      <c r="Z1941" s="6744"/>
      <c r="AA1941" s="6744">
        <v>40000</v>
      </c>
      <c r="AB1941" s="1089" t="s">
        <v>126</v>
      </c>
      <c r="AC1941" s="6733" t="s">
        <v>3487</v>
      </c>
      <c r="AD1941" s="6733" t="s">
        <v>3455</v>
      </c>
      <c r="AE1941" s="6827">
        <v>0.2</v>
      </c>
      <c r="AF1941" s="6744">
        <f>M1941*AE1941</f>
        <v>8000</v>
      </c>
      <c r="AG1941" s="6744">
        <f t="shared" si="428"/>
        <v>8000</v>
      </c>
      <c r="AH1941" s="6744" t="s">
        <v>122</v>
      </c>
      <c r="AI1941" s="6744">
        <v>44547</v>
      </c>
      <c r="AJ1941" s="6744">
        <v>8000</v>
      </c>
      <c r="AK1941" s="6744">
        <v>44547</v>
      </c>
      <c r="AL1941" s="6744">
        <v>8000</v>
      </c>
      <c r="AM1941" s="6744">
        <v>44547</v>
      </c>
      <c r="AN1941" s="6744">
        <f t="shared" si="431"/>
        <v>8000</v>
      </c>
      <c r="AO1941" s="6744">
        <v>44554</v>
      </c>
      <c r="AP1941" s="6744">
        <f t="shared" si="432"/>
        <v>0</v>
      </c>
      <c r="AQ1941" s="6744"/>
      <c r="AR1941" s="6744"/>
      <c r="AS1941" s="6748"/>
      <c r="AT1941" s="6744"/>
      <c r="AU1941" s="6744"/>
      <c r="AV1941" s="6744"/>
      <c r="AW1941" s="6744"/>
      <c r="AX1941" s="6744"/>
      <c r="AY1941" s="6744"/>
      <c r="AZ1941" s="6744"/>
      <c r="BA1941" s="6744"/>
      <c r="BB1941" s="6744"/>
      <c r="BC1941" s="6744"/>
      <c r="BD1941" s="6744"/>
      <c r="BE1941" s="6744"/>
      <c r="BF1941" s="6744"/>
      <c r="BG1941" s="6744"/>
      <c r="BH1941" s="6744"/>
      <c r="BI1941" s="6744"/>
      <c r="BJ1941" s="6744"/>
      <c r="BK1941" s="6744"/>
      <c r="BL1941" s="6744"/>
      <c r="BM1941" s="6744"/>
      <c r="BN1941" s="6744">
        <v>8000</v>
      </c>
      <c r="BO1941" s="6744"/>
      <c r="BP1941" s="6744"/>
      <c r="BQ1941" s="6744"/>
      <c r="BR1941" s="6744"/>
      <c r="BS1941" s="6744"/>
      <c r="BT1941" s="6744"/>
      <c r="BU1941" s="6744"/>
      <c r="BV1941" s="6744"/>
      <c r="BW1941" s="6744"/>
      <c r="BX1941" s="6744"/>
      <c r="BY1941" s="6744"/>
      <c r="BZ1941" s="6744"/>
      <c r="CA1941" s="6744"/>
      <c r="CB1941" s="6744">
        <v>8000</v>
      </c>
      <c r="CC1941" s="6842"/>
      <c r="CD1941" s="6842"/>
      <c r="CE1941" s="6840"/>
      <c r="CF1941" s="6840"/>
      <c r="CG1941" s="6840"/>
      <c r="CH1941" s="6840"/>
    </row>
    <row r="1942" s="4998" customFormat="1" ht="46" spans="1:86">
      <c r="A1942" s="3812"/>
      <c r="B1942" s="3812"/>
      <c r="C1942" s="3812"/>
      <c r="D1942" s="6748"/>
      <c r="E1942" s="6748"/>
      <c r="F1942" s="6748"/>
      <c r="G1942" s="6748"/>
      <c r="H1942" s="6744"/>
      <c r="I1942" s="6744"/>
      <c r="J1942" s="6748"/>
      <c r="K1942" s="6748"/>
      <c r="L1942" s="6748"/>
      <c r="M1942" s="6744"/>
      <c r="N1942" s="6744"/>
      <c r="O1942" s="6744"/>
      <c r="P1942" s="6744"/>
      <c r="Q1942" s="6744"/>
      <c r="R1942" s="6744"/>
      <c r="S1942" s="6744"/>
      <c r="T1942" s="6744"/>
      <c r="U1942" s="6744"/>
      <c r="V1942" s="6744"/>
      <c r="W1942" s="6744"/>
      <c r="X1942" s="6744"/>
      <c r="Y1942" s="6744"/>
      <c r="Z1942" s="6744"/>
      <c r="AA1942" s="6744"/>
      <c r="AB1942" s="6744"/>
      <c r="AC1942" s="6733" t="s">
        <v>3488</v>
      </c>
      <c r="AD1942" s="6733" t="s">
        <v>3480</v>
      </c>
      <c r="AE1942" s="6827">
        <v>0.6</v>
      </c>
      <c r="AF1942" s="6744">
        <f>M1941*AE1942</f>
        <v>24000</v>
      </c>
      <c r="AG1942" s="6744">
        <f t="shared" si="428"/>
        <v>24000</v>
      </c>
      <c r="AH1942" s="6744" t="s">
        <v>122</v>
      </c>
      <c r="AI1942" s="6744">
        <v>44547</v>
      </c>
      <c r="AJ1942" s="6744">
        <v>24000</v>
      </c>
      <c r="AK1942" s="6744">
        <v>44547</v>
      </c>
      <c r="AL1942" s="6744">
        <v>24000</v>
      </c>
      <c r="AM1942" s="6744">
        <v>44547</v>
      </c>
      <c r="AN1942" s="6744">
        <f t="shared" si="431"/>
        <v>24000</v>
      </c>
      <c r="AO1942" s="6744">
        <v>44554</v>
      </c>
      <c r="AP1942" s="6744">
        <f t="shared" si="432"/>
        <v>0</v>
      </c>
      <c r="AQ1942" s="6744"/>
      <c r="AR1942" s="6744"/>
      <c r="AS1942" s="6748"/>
      <c r="AT1942" s="6744"/>
      <c r="AU1942" s="6744"/>
      <c r="AV1942" s="6744"/>
      <c r="AW1942" s="6744"/>
      <c r="AX1942" s="6744"/>
      <c r="AY1942" s="6744"/>
      <c r="AZ1942" s="6744"/>
      <c r="BA1942" s="6744"/>
      <c r="BB1942" s="6744"/>
      <c r="BC1942" s="6744"/>
      <c r="BD1942" s="6744"/>
      <c r="BE1942" s="6744"/>
      <c r="BF1942" s="6744"/>
      <c r="BG1942" s="6744"/>
      <c r="BH1942" s="6744"/>
      <c r="BI1942" s="6744"/>
      <c r="BJ1942" s="6744"/>
      <c r="BK1942" s="6744"/>
      <c r="BL1942" s="6744"/>
      <c r="BM1942" s="6744"/>
      <c r="BN1942" s="6744">
        <v>24000</v>
      </c>
      <c r="BO1942" s="6744"/>
      <c r="BP1942" s="6744"/>
      <c r="BQ1942" s="6744"/>
      <c r="BR1942" s="6744"/>
      <c r="BS1942" s="6744"/>
      <c r="BT1942" s="6744"/>
      <c r="BU1942" s="6744"/>
      <c r="BV1942" s="6744"/>
      <c r="BW1942" s="6744"/>
      <c r="BX1942" s="6744"/>
      <c r="BY1942" s="6744"/>
      <c r="BZ1942" s="6744"/>
      <c r="CA1942" s="6744"/>
      <c r="CB1942" s="6744">
        <v>24000</v>
      </c>
      <c r="CC1942" s="6842"/>
      <c r="CD1942" s="6842"/>
      <c r="CE1942" s="6840"/>
      <c r="CF1942" s="6840"/>
      <c r="CG1942" s="6840"/>
      <c r="CH1942" s="6840"/>
    </row>
    <row r="1943" s="4998" customFormat="1" ht="35.25" customHeight="1" spans="1:86">
      <c r="A1943" s="3812"/>
      <c r="B1943" s="3812"/>
      <c r="C1943" s="3812"/>
      <c r="D1943" s="6748"/>
      <c r="E1943" s="6748"/>
      <c r="F1943" s="6748"/>
      <c r="G1943" s="6748"/>
      <c r="H1943" s="6744"/>
      <c r="I1943" s="6744"/>
      <c r="J1943" s="6748"/>
      <c r="K1943" s="6748"/>
      <c r="L1943" s="6748"/>
      <c r="M1943" s="6744"/>
      <c r="N1943" s="6744"/>
      <c r="O1943" s="6744"/>
      <c r="P1943" s="6744"/>
      <c r="Q1943" s="6744"/>
      <c r="R1943" s="6744"/>
      <c r="S1943" s="6744"/>
      <c r="T1943" s="6744"/>
      <c r="U1943" s="6744"/>
      <c r="V1943" s="6744"/>
      <c r="W1943" s="6744"/>
      <c r="X1943" s="6744"/>
      <c r="Y1943" s="6744"/>
      <c r="Z1943" s="6744"/>
      <c r="AA1943" s="6744"/>
      <c r="AB1943" s="6744"/>
      <c r="AC1943" s="6733" t="s">
        <v>3489</v>
      </c>
      <c r="AD1943" s="6733" t="s">
        <v>3490</v>
      </c>
      <c r="AE1943" s="6827">
        <v>0.2</v>
      </c>
      <c r="AF1943" s="6744">
        <f>M1941*AE1943</f>
        <v>8000</v>
      </c>
      <c r="AG1943" s="6744">
        <f t="shared" si="428"/>
        <v>8000</v>
      </c>
      <c r="AH1943" s="1089" t="s">
        <v>122</v>
      </c>
      <c r="AI1943" s="6744">
        <v>44979</v>
      </c>
      <c r="AJ1943" s="6744">
        <v>8000</v>
      </c>
      <c r="AK1943" s="6744">
        <v>44979</v>
      </c>
      <c r="AL1943" s="6744">
        <v>8000</v>
      </c>
      <c r="AM1943" s="6744">
        <v>44979</v>
      </c>
      <c r="AN1943" s="6744">
        <f t="shared" si="431"/>
        <v>8000</v>
      </c>
      <c r="AO1943" s="6744">
        <v>45072</v>
      </c>
      <c r="AP1943" s="6744">
        <f t="shared" si="432"/>
        <v>0</v>
      </c>
      <c r="AQ1943" s="6744"/>
      <c r="AR1943" s="6744"/>
      <c r="AS1943" s="6748"/>
      <c r="AT1943" s="6744"/>
      <c r="AU1943" s="6744"/>
      <c r="AV1943" s="6744"/>
      <c r="AW1943" s="6744"/>
      <c r="AX1943" s="6744"/>
      <c r="AY1943" s="6744"/>
      <c r="AZ1943" s="6744"/>
      <c r="BA1943" s="6744"/>
      <c r="BB1943" s="6744"/>
      <c r="BC1943" s="6744"/>
      <c r="BD1943" s="6744"/>
      <c r="BE1943" s="6744"/>
      <c r="BF1943" s="6744"/>
      <c r="BG1943" s="6744"/>
      <c r="BH1943" s="6744"/>
      <c r="BI1943" s="6744"/>
      <c r="BJ1943" s="6744"/>
      <c r="BK1943" s="6744"/>
      <c r="BL1943" s="6744"/>
      <c r="BM1943" s="6744"/>
      <c r="BN1943" s="6744">
        <v>8000</v>
      </c>
      <c r="BO1943" s="6744"/>
      <c r="BP1943" s="6744"/>
      <c r="BQ1943" s="6744"/>
      <c r="BR1943" s="6744"/>
      <c r="BS1943" s="6744"/>
      <c r="BT1943" s="6744"/>
      <c r="BU1943" s="6744"/>
      <c r="BV1943" s="6744"/>
      <c r="BW1943" s="6744"/>
      <c r="BX1943" s="6744"/>
      <c r="BY1943" s="6744"/>
      <c r="BZ1943" s="6744"/>
      <c r="CA1943" s="6744"/>
      <c r="CB1943" s="6744">
        <v>8000</v>
      </c>
      <c r="CC1943" s="6842"/>
      <c r="CD1943" s="6842"/>
      <c r="CE1943" s="6840"/>
      <c r="CF1943" s="6840"/>
      <c r="CG1943" s="6840"/>
      <c r="CH1943" s="6840"/>
    </row>
    <row r="1944" s="4998" customFormat="1" ht="46" spans="1:86">
      <c r="A1944" s="3812"/>
      <c r="B1944" s="3812"/>
      <c r="C1944" s="3812">
        <v>44263</v>
      </c>
      <c r="D1944" s="6748"/>
      <c r="E1944" s="6748"/>
      <c r="F1944" s="6748"/>
      <c r="G1944" s="6748"/>
      <c r="H1944" s="6733" t="s">
        <v>3491</v>
      </c>
      <c r="I1944" s="6733"/>
      <c r="J1944" s="6748"/>
      <c r="K1944" s="6748"/>
      <c r="L1944" s="6748"/>
      <c r="M1944" s="6744">
        <v>53092.66</v>
      </c>
      <c r="N1944" s="6744"/>
      <c r="O1944" s="6744"/>
      <c r="P1944" s="6744"/>
      <c r="Q1944" s="6744"/>
      <c r="R1944" s="6744"/>
      <c r="S1944" s="6744">
        <v>53092.66</v>
      </c>
      <c r="T1944" s="6744"/>
      <c r="U1944" s="6744"/>
      <c r="V1944" s="6744"/>
      <c r="W1944" s="6744"/>
      <c r="X1944" s="6744"/>
      <c r="Y1944" s="6744"/>
      <c r="Z1944" s="6744"/>
      <c r="AA1944" s="6744"/>
      <c r="AB1944" s="6744"/>
      <c r="AC1944" s="6733" t="s">
        <v>3492</v>
      </c>
      <c r="AD1944" s="6733" t="s">
        <v>3455</v>
      </c>
      <c r="AE1944" s="6827">
        <v>0.2</v>
      </c>
      <c r="AF1944" s="6744">
        <f>M1944*AE1944</f>
        <v>10618.532</v>
      </c>
      <c r="AG1944" s="6744">
        <f t="shared" si="428"/>
        <v>10618.53</v>
      </c>
      <c r="AH1944" s="6744" t="s">
        <v>122</v>
      </c>
      <c r="AI1944" s="6744">
        <v>44547</v>
      </c>
      <c r="AJ1944" s="6744">
        <v>10618.53</v>
      </c>
      <c r="AK1944" s="6744">
        <v>44547</v>
      </c>
      <c r="AL1944" s="6744">
        <v>10618.53</v>
      </c>
      <c r="AM1944" s="6744">
        <v>44568</v>
      </c>
      <c r="AN1944" s="6744">
        <f t="shared" si="431"/>
        <v>10618.53</v>
      </c>
      <c r="AO1944" s="6744">
        <v>44582</v>
      </c>
      <c r="AP1944" s="6744">
        <f t="shared" si="432"/>
        <v>0</v>
      </c>
      <c r="AQ1944" s="6744"/>
      <c r="AR1944" s="6744"/>
      <c r="AS1944" s="6748"/>
      <c r="AT1944" s="6744"/>
      <c r="AU1944" s="6744"/>
      <c r="AV1944" s="6744"/>
      <c r="AW1944" s="6744"/>
      <c r="AX1944" s="6744"/>
      <c r="AY1944" s="6744"/>
      <c r="AZ1944" s="6744"/>
      <c r="BA1944" s="6744"/>
      <c r="BB1944" s="6744"/>
      <c r="BC1944" s="6744"/>
      <c r="BD1944" s="6744"/>
      <c r="BE1944" s="6744"/>
      <c r="BF1944" s="6744">
        <v>10618.53</v>
      </c>
      <c r="BG1944" s="6744"/>
      <c r="BH1944" s="6744"/>
      <c r="BI1944" s="6744"/>
      <c r="BJ1944" s="6744"/>
      <c r="BK1944" s="6744"/>
      <c r="BL1944" s="6744"/>
      <c r="BM1944" s="6744"/>
      <c r="BN1944" s="6744"/>
      <c r="BO1944" s="6744"/>
      <c r="BP1944" s="6744"/>
      <c r="BQ1944" s="6744"/>
      <c r="BR1944" s="6744"/>
      <c r="BS1944" s="6744"/>
      <c r="BT1944" s="6744">
        <v>10618.53</v>
      </c>
      <c r="BU1944" s="6744"/>
      <c r="BV1944" s="6744"/>
      <c r="BW1944" s="6744"/>
      <c r="BX1944" s="6744"/>
      <c r="BY1944" s="6744"/>
      <c r="BZ1944" s="6744"/>
      <c r="CA1944" s="6744"/>
      <c r="CB1944" s="6744"/>
      <c r="CC1944" s="6842"/>
      <c r="CD1944" s="6842"/>
      <c r="CE1944" s="6840"/>
      <c r="CF1944" s="6840"/>
      <c r="CG1944" s="6840"/>
      <c r="CH1944" s="6840"/>
    </row>
    <row r="1945" s="4998" customFormat="1" ht="46" spans="1:86">
      <c r="A1945" s="3812"/>
      <c r="B1945" s="3812"/>
      <c r="C1945" s="3812"/>
      <c r="D1945" s="6748"/>
      <c r="E1945" s="6748"/>
      <c r="F1945" s="6748"/>
      <c r="G1945" s="6748"/>
      <c r="H1945" s="6748"/>
      <c r="I1945" s="6748"/>
      <c r="J1945" s="6748"/>
      <c r="K1945" s="6748"/>
      <c r="L1945" s="6748"/>
      <c r="M1945" s="6744"/>
      <c r="N1945" s="6744"/>
      <c r="O1945" s="6744"/>
      <c r="P1945" s="6744"/>
      <c r="Q1945" s="6744"/>
      <c r="R1945" s="6744"/>
      <c r="S1945" s="6744"/>
      <c r="T1945" s="6744"/>
      <c r="U1945" s="6744"/>
      <c r="V1945" s="6744"/>
      <c r="W1945" s="6744"/>
      <c r="X1945" s="6744"/>
      <c r="Y1945" s="6744"/>
      <c r="Z1945" s="6744"/>
      <c r="AA1945" s="6744"/>
      <c r="AB1945" s="6744"/>
      <c r="AC1945" s="6733" t="s">
        <v>3493</v>
      </c>
      <c r="AD1945" s="6733" t="s">
        <v>3480</v>
      </c>
      <c r="AE1945" s="6827">
        <v>0.6</v>
      </c>
      <c r="AF1945" s="6744">
        <f>M1944*AE1945</f>
        <v>31855.596</v>
      </c>
      <c r="AG1945" s="6744">
        <f t="shared" si="428"/>
        <v>31855.6</v>
      </c>
      <c r="AH1945" s="6744" t="s">
        <v>122</v>
      </c>
      <c r="AI1945" s="6744">
        <v>44547</v>
      </c>
      <c r="AJ1945" s="6744">
        <v>31855.6</v>
      </c>
      <c r="AK1945" s="6744">
        <v>44547</v>
      </c>
      <c r="AL1945" s="6744">
        <v>31855.6</v>
      </c>
      <c r="AM1945" s="6744">
        <v>44568</v>
      </c>
      <c r="AN1945" s="6744">
        <f t="shared" si="431"/>
        <v>31855.6</v>
      </c>
      <c r="AO1945" s="6744">
        <v>44582</v>
      </c>
      <c r="AP1945" s="6744">
        <f t="shared" si="432"/>
        <v>0</v>
      </c>
      <c r="AQ1945" s="6744"/>
      <c r="AR1945" s="6744"/>
      <c r="AS1945" s="6748"/>
      <c r="AT1945" s="6744"/>
      <c r="AU1945" s="6744"/>
      <c r="AV1945" s="6744"/>
      <c r="AW1945" s="6744"/>
      <c r="AX1945" s="6744"/>
      <c r="AY1945" s="6744"/>
      <c r="AZ1945" s="6744"/>
      <c r="BA1945" s="6744"/>
      <c r="BB1945" s="6744"/>
      <c r="BC1945" s="6744"/>
      <c r="BD1945" s="6744"/>
      <c r="BE1945" s="6744"/>
      <c r="BF1945" s="6744">
        <v>31855.6</v>
      </c>
      <c r="BG1945" s="6744"/>
      <c r="BH1945" s="6744"/>
      <c r="BI1945" s="6744"/>
      <c r="BJ1945" s="6744"/>
      <c r="BK1945" s="6744"/>
      <c r="BL1945" s="6744"/>
      <c r="BM1945" s="6744"/>
      <c r="BN1945" s="6744"/>
      <c r="BO1945" s="6744"/>
      <c r="BP1945" s="6744"/>
      <c r="BQ1945" s="6744"/>
      <c r="BR1945" s="6744"/>
      <c r="BS1945" s="6744"/>
      <c r="BT1945" s="6744">
        <v>31855.6</v>
      </c>
      <c r="BU1945" s="6744"/>
      <c r="BV1945" s="6744"/>
      <c r="BW1945" s="6744"/>
      <c r="BX1945" s="6744"/>
      <c r="BY1945" s="6744"/>
      <c r="BZ1945" s="6744"/>
      <c r="CA1945" s="6744"/>
      <c r="CB1945" s="6744"/>
      <c r="CC1945" s="6842"/>
      <c r="CD1945" s="6842"/>
      <c r="CE1945" s="6840"/>
      <c r="CF1945" s="6840"/>
      <c r="CG1945" s="6840"/>
      <c r="CH1945" s="6840"/>
    </row>
    <row r="1946" s="4998" customFormat="1" ht="61" spans="1:86">
      <c r="A1946" s="3812"/>
      <c r="B1946" s="3812"/>
      <c r="C1946" s="3812"/>
      <c r="D1946" s="6748"/>
      <c r="E1946" s="6748"/>
      <c r="F1946" s="6748"/>
      <c r="G1946" s="6748"/>
      <c r="H1946" s="6748"/>
      <c r="I1946" s="6748"/>
      <c r="J1946" s="6748"/>
      <c r="K1946" s="6748"/>
      <c r="L1946" s="6748"/>
      <c r="M1946" s="6744"/>
      <c r="N1946" s="6744"/>
      <c r="O1946" s="6744"/>
      <c r="P1946" s="6744"/>
      <c r="Q1946" s="6744"/>
      <c r="R1946" s="6744"/>
      <c r="S1946" s="6744"/>
      <c r="T1946" s="6744"/>
      <c r="U1946" s="6744"/>
      <c r="V1946" s="6744"/>
      <c r="W1946" s="6744"/>
      <c r="X1946" s="6744"/>
      <c r="Y1946" s="6744"/>
      <c r="Z1946" s="6744"/>
      <c r="AA1946" s="6744"/>
      <c r="AB1946" s="6744"/>
      <c r="AC1946" s="6733" t="s">
        <v>3494</v>
      </c>
      <c r="AD1946" s="6733" t="s">
        <v>3459</v>
      </c>
      <c r="AE1946" s="6827">
        <v>0.2</v>
      </c>
      <c r="AF1946" s="6744">
        <f>M1944*AE1946</f>
        <v>10618.532</v>
      </c>
      <c r="AG1946" s="6744">
        <f t="shared" si="428"/>
        <v>10339.47</v>
      </c>
      <c r="AH1946" s="1089" t="s">
        <v>122</v>
      </c>
      <c r="AI1946" s="6744">
        <v>44921</v>
      </c>
      <c r="AJ1946" s="6744">
        <v>10339.47</v>
      </c>
      <c r="AK1946" s="6744">
        <v>44921</v>
      </c>
      <c r="AL1946" s="6744">
        <v>10339.47</v>
      </c>
      <c r="AM1946" s="6744">
        <v>44979</v>
      </c>
      <c r="AN1946" s="6744">
        <f t="shared" si="431"/>
        <v>10339.47</v>
      </c>
      <c r="AO1946" s="6744">
        <v>45072</v>
      </c>
      <c r="AP1946" s="6744">
        <f t="shared" si="432"/>
        <v>0</v>
      </c>
      <c r="AQ1946" s="6744"/>
      <c r="AR1946" s="6744"/>
      <c r="AS1946" s="6748"/>
      <c r="AT1946" s="6744"/>
      <c r="AU1946" s="6744"/>
      <c r="AV1946" s="6744"/>
      <c r="AW1946" s="6744"/>
      <c r="AX1946" s="6744"/>
      <c r="AY1946" s="6744"/>
      <c r="AZ1946" s="6744"/>
      <c r="BA1946" s="6744"/>
      <c r="BB1946" s="6744"/>
      <c r="BC1946" s="6744"/>
      <c r="BD1946" s="6744"/>
      <c r="BE1946" s="6744"/>
      <c r="BF1946" s="6744">
        <v>10339.47</v>
      </c>
      <c r="BG1946" s="6744"/>
      <c r="BH1946" s="6744"/>
      <c r="BI1946" s="6744"/>
      <c r="BJ1946" s="6744"/>
      <c r="BK1946" s="6744"/>
      <c r="BL1946" s="6744"/>
      <c r="BM1946" s="6744"/>
      <c r="BN1946" s="6744"/>
      <c r="BO1946" s="6744"/>
      <c r="BP1946" s="6744"/>
      <c r="BQ1946" s="6744"/>
      <c r="BR1946" s="6744"/>
      <c r="BS1946" s="6744"/>
      <c r="BT1946" s="6744">
        <v>10339.47</v>
      </c>
      <c r="BU1946" s="6744"/>
      <c r="BV1946" s="6744"/>
      <c r="BW1946" s="6744"/>
      <c r="BX1946" s="6744"/>
      <c r="BY1946" s="6744"/>
      <c r="BZ1946" s="6744"/>
      <c r="CA1946" s="6744"/>
      <c r="CB1946" s="6744"/>
      <c r="CC1946" s="6842"/>
      <c r="CD1946" s="6842"/>
      <c r="CE1946" s="6840"/>
      <c r="CF1946" s="6840"/>
      <c r="CG1946" s="6840"/>
      <c r="CH1946" s="6840"/>
    </row>
    <row r="1947" s="4998" customFormat="1" ht="46" spans="1:86">
      <c r="A1947" s="3812"/>
      <c r="B1947" s="3812" t="s">
        <v>1003</v>
      </c>
      <c r="C1947" s="3812">
        <v>44263</v>
      </c>
      <c r="D1947" s="5056" t="s">
        <v>3495</v>
      </c>
      <c r="E1947" s="5056" t="s">
        <v>3438</v>
      </c>
      <c r="F1947" s="5056" t="s">
        <v>3496</v>
      </c>
      <c r="G1947" s="5056" t="s">
        <v>3497</v>
      </c>
      <c r="H1947" s="3057" t="s">
        <v>240</v>
      </c>
      <c r="I1947" s="4183"/>
      <c r="J1947" s="5056" t="s">
        <v>1297</v>
      </c>
      <c r="K1947" s="5056">
        <v>105995.01</v>
      </c>
      <c r="L1947" s="5056" t="s">
        <v>3441</v>
      </c>
      <c r="M1947" s="3057">
        <f>SUM(O1947:AA1950)</f>
        <v>2437885.23</v>
      </c>
      <c r="N1947" s="6843"/>
      <c r="O1947" s="3057"/>
      <c r="P1947" s="3057"/>
      <c r="Q1947" s="3057"/>
      <c r="R1947" s="3057">
        <v>1415613.79</v>
      </c>
      <c r="S1947" s="3057"/>
      <c r="T1947" s="3057"/>
      <c r="U1947" s="3057">
        <v>531344.98</v>
      </c>
      <c r="V1947" s="3057"/>
      <c r="W1947" s="3057"/>
      <c r="X1947" s="3057"/>
      <c r="Y1947" s="3057"/>
      <c r="Z1947" s="3057"/>
      <c r="AA1947" s="3057">
        <v>490926.46</v>
      </c>
      <c r="AB1947" s="5056"/>
      <c r="AC1947" s="3057" t="s">
        <v>1055</v>
      </c>
      <c r="AD1947" s="1082" t="s">
        <v>3442</v>
      </c>
      <c r="AE1947" s="1082">
        <v>0.2</v>
      </c>
      <c r="AF1947" s="3057">
        <f>M1947*AE1947</f>
        <v>487577.046</v>
      </c>
      <c r="AG1947" s="3057">
        <f t="shared" ref="AG1947:AG1962" si="433">SUM(BA1947:BN1947)</f>
        <v>487577.05</v>
      </c>
      <c r="AH1947" s="3057" t="s">
        <v>122</v>
      </c>
      <c r="AI1947" s="3057">
        <v>44330</v>
      </c>
      <c r="AJ1947" s="3057">
        <v>487577.05</v>
      </c>
      <c r="AK1947" s="3057">
        <v>44330</v>
      </c>
      <c r="AL1947" s="3057">
        <v>487577.05</v>
      </c>
      <c r="AM1947" s="3057">
        <v>44330</v>
      </c>
      <c r="AN1947" s="3057">
        <f t="shared" ref="AN1947:AN1962" si="434">SUM(BO1947:CB1947)</f>
        <v>487577.05</v>
      </c>
      <c r="AO1947" s="3057">
        <v>44344</v>
      </c>
      <c r="AP1947" s="3057">
        <f t="shared" ref="AP1947:AP1962" si="435">AG1947-AN1947</f>
        <v>0</v>
      </c>
      <c r="AQ1947" s="3057"/>
      <c r="AR1947" s="3057"/>
      <c r="AS1947" s="5056"/>
      <c r="AT1947" s="3057"/>
      <c r="AU1947" s="3057"/>
      <c r="AV1947" s="3057"/>
      <c r="AW1947" s="3057"/>
      <c r="AX1947" s="3057"/>
      <c r="AY1947" s="3057"/>
      <c r="AZ1947" s="3057"/>
      <c r="BA1947" s="3057"/>
      <c r="BB1947" s="3057"/>
      <c r="BC1947" s="3057"/>
      <c r="BD1947" s="3057"/>
      <c r="BE1947" s="3057">
        <v>121894.26</v>
      </c>
      <c r="BF1947" s="3057">
        <v>121894.26</v>
      </c>
      <c r="BG1947" s="3057"/>
      <c r="BH1947" s="3057">
        <v>121894.26</v>
      </c>
      <c r="BI1947" s="3057"/>
      <c r="BJ1947" s="3057"/>
      <c r="BK1947" s="3057"/>
      <c r="BL1947" s="3057"/>
      <c r="BM1947" s="3057"/>
      <c r="BN1947" s="3057">
        <v>121894.27</v>
      </c>
      <c r="BO1947" s="3057"/>
      <c r="BP1947" s="3057"/>
      <c r="BQ1947" s="3057"/>
      <c r="BR1947" s="3057"/>
      <c r="BS1947" s="3057">
        <v>121894.26</v>
      </c>
      <c r="BT1947" s="3057">
        <v>121894.26</v>
      </c>
      <c r="BU1947" s="3057"/>
      <c r="BV1947" s="3057">
        <v>121894.26</v>
      </c>
      <c r="BW1947" s="3057"/>
      <c r="BX1947" s="3057"/>
      <c r="BY1947" s="3057"/>
      <c r="BZ1947" s="3057"/>
      <c r="CA1947" s="3057"/>
      <c r="CB1947" s="3057">
        <v>121894.27</v>
      </c>
      <c r="CC1947" s="6778"/>
      <c r="CD1947" s="6778"/>
      <c r="CE1947" s="6840"/>
      <c r="CF1947" s="6840"/>
      <c r="CG1947" s="6840"/>
      <c r="CH1947" s="6840"/>
    </row>
    <row r="1948" s="4998" customFormat="1" ht="46" spans="1:86">
      <c r="A1948" s="3812"/>
      <c r="B1948" s="3812"/>
      <c r="C1948" s="3812"/>
      <c r="D1948" s="5056"/>
      <c r="E1948" s="5056"/>
      <c r="F1948" s="5056"/>
      <c r="G1948" s="5056"/>
      <c r="H1948" s="3057"/>
      <c r="I1948" s="4184"/>
      <c r="J1948" s="5056"/>
      <c r="K1948" s="5056"/>
      <c r="L1948" s="5056"/>
      <c r="M1948" s="3057"/>
      <c r="N1948" s="6843"/>
      <c r="O1948" s="3057"/>
      <c r="P1948" s="3057"/>
      <c r="Q1948" s="3057"/>
      <c r="R1948" s="3057"/>
      <c r="S1948" s="3057"/>
      <c r="T1948" s="3057"/>
      <c r="U1948" s="3057"/>
      <c r="V1948" s="3057"/>
      <c r="W1948" s="3057"/>
      <c r="X1948" s="3057"/>
      <c r="Y1948" s="3057"/>
      <c r="Z1948" s="3057"/>
      <c r="AA1948" s="3057"/>
      <c r="AB1948" s="5056"/>
      <c r="AC1948" s="3057" t="s">
        <v>1057</v>
      </c>
      <c r="AD1948" s="1082" t="s">
        <v>3443</v>
      </c>
      <c r="AE1948" s="1082">
        <v>0.3</v>
      </c>
      <c r="AF1948" s="3057">
        <f>M1947*AE1948</f>
        <v>731365.569</v>
      </c>
      <c r="AG1948" s="3057">
        <f t="shared" si="433"/>
        <v>731365.57</v>
      </c>
      <c r="AH1948" s="3057" t="s">
        <v>122</v>
      </c>
      <c r="AI1948" s="3057">
        <v>44364</v>
      </c>
      <c r="AJ1948" s="3057">
        <v>731365.57</v>
      </c>
      <c r="AK1948" s="3057">
        <v>44364</v>
      </c>
      <c r="AL1948" s="3057">
        <v>731365.57</v>
      </c>
      <c r="AM1948" s="3057">
        <v>44370</v>
      </c>
      <c r="AN1948" s="3057">
        <f t="shared" si="434"/>
        <v>731365.57</v>
      </c>
      <c r="AO1948" s="3057">
        <v>44377</v>
      </c>
      <c r="AP1948" s="3057">
        <f t="shared" si="435"/>
        <v>0</v>
      </c>
      <c r="AQ1948" s="3057"/>
      <c r="AR1948" s="3057"/>
      <c r="AS1948" s="5056"/>
      <c r="AT1948" s="3057"/>
      <c r="AU1948" s="3057"/>
      <c r="AV1948" s="3057"/>
      <c r="AW1948" s="3057"/>
      <c r="AX1948" s="3057"/>
      <c r="AY1948" s="3057"/>
      <c r="AZ1948" s="3057"/>
      <c r="BA1948" s="3057"/>
      <c r="BB1948" s="3057"/>
      <c r="BC1948" s="3057"/>
      <c r="BD1948" s="3057"/>
      <c r="BE1948" s="3057">
        <v>658229.01</v>
      </c>
      <c r="BF1948" s="3057"/>
      <c r="BG1948" s="3057"/>
      <c r="BH1948" s="3057">
        <v>36568.28</v>
      </c>
      <c r="BI1948" s="3057"/>
      <c r="BJ1948" s="3057"/>
      <c r="BK1948" s="3057"/>
      <c r="BL1948" s="3057"/>
      <c r="BM1948" s="3057"/>
      <c r="BN1948" s="3057">
        <v>36568.28</v>
      </c>
      <c r="BO1948" s="3057"/>
      <c r="BP1948" s="3057"/>
      <c r="BQ1948" s="3057"/>
      <c r="BR1948" s="3057"/>
      <c r="BS1948" s="3057">
        <v>658229.01</v>
      </c>
      <c r="BT1948" s="3057"/>
      <c r="BU1948" s="3057"/>
      <c r="BV1948" s="3057">
        <v>36568.28</v>
      </c>
      <c r="BW1948" s="3057"/>
      <c r="BX1948" s="3057"/>
      <c r="BY1948" s="3057"/>
      <c r="BZ1948" s="3057"/>
      <c r="CA1948" s="3057"/>
      <c r="CB1948" s="3057">
        <v>36568.28</v>
      </c>
      <c r="CC1948" s="6778"/>
      <c r="CD1948" s="6778"/>
      <c r="CE1948" s="6840"/>
      <c r="CF1948" s="6840"/>
      <c r="CG1948" s="6840"/>
      <c r="CH1948" s="6840"/>
    </row>
    <row r="1949" s="4998" customFormat="1" ht="42.5" customHeight="1" spans="1:86">
      <c r="A1949" s="3812"/>
      <c r="B1949" s="3812"/>
      <c r="C1949" s="3812"/>
      <c r="D1949" s="5056"/>
      <c r="E1949" s="5056"/>
      <c r="F1949" s="5056"/>
      <c r="G1949" s="5056"/>
      <c r="H1949" s="3057"/>
      <c r="I1949" s="4184"/>
      <c r="J1949" s="5056"/>
      <c r="K1949" s="5056"/>
      <c r="L1949" s="5056"/>
      <c r="M1949" s="3057"/>
      <c r="N1949" s="6843"/>
      <c r="O1949" s="3057"/>
      <c r="P1949" s="3057"/>
      <c r="Q1949" s="3057"/>
      <c r="R1949" s="3057"/>
      <c r="S1949" s="3057"/>
      <c r="T1949" s="3057"/>
      <c r="U1949" s="3057"/>
      <c r="V1949" s="3057"/>
      <c r="W1949" s="3057"/>
      <c r="X1949" s="3057"/>
      <c r="Y1949" s="3057"/>
      <c r="Z1949" s="3057"/>
      <c r="AA1949" s="3057"/>
      <c r="AB1949" s="5056"/>
      <c r="AC1949" s="3057" t="s">
        <v>1059</v>
      </c>
      <c r="AD1949" s="1082" t="s">
        <v>3444</v>
      </c>
      <c r="AE1949" s="1082">
        <v>0.4</v>
      </c>
      <c r="AF1949" s="3057">
        <f>M1947*AE1949</f>
        <v>975154.092</v>
      </c>
      <c r="AG1949" s="3057">
        <f t="shared" si="433"/>
        <v>975154.09</v>
      </c>
      <c r="AH1949" s="3057" t="s">
        <v>122</v>
      </c>
      <c r="AI1949" s="3057">
        <v>44402</v>
      </c>
      <c r="AJ1949" s="3057">
        <v>975154.09</v>
      </c>
      <c r="AK1949" s="3057">
        <v>44397</v>
      </c>
      <c r="AL1949" s="3057">
        <v>975154.09</v>
      </c>
      <c r="AM1949" s="3057">
        <v>44397</v>
      </c>
      <c r="AN1949" s="3057">
        <f t="shared" si="434"/>
        <v>975154.09</v>
      </c>
      <c r="AO1949" s="3057">
        <v>44411</v>
      </c>
      <c r="AP1949" s="3057">
        <f t="shared" si="435"/>
        <v>0</v>
      </c>
      <c r="AQ1949" s="5056"/>
      <c r="AR1949" s="3057"/>
      <c r="AS1949" s="5056"/>
      <c r="AT1949" s="3057"/>
      <c r="AU1949" s="3057"/>
      <c r="AV1949" s="3057"/>
      <c r="AW1949" s="3057"/>
      <c r="AX1949" s="3057"/>
      <c r="AY1949" s="3057"/>
      <c r="AZ1949" s="3057"/>
      <c r="BA1949" s="3057"/>
      <c r="BB1949" s="3057"/>
      <c r="BC1949" s="3057">
        <v>200000</v>
      </c>
      <c r="BD1949" s="3057">
        <v>145000</v>
      </c>
      <c r="BE1949" s="3057">
        <v>48631.78</v>
      </c>
      <c r="BF1949" s="3057">
        <v>474263.4</v>
      </c>
      <c r="BG1949" s="3057"/>
      <c r="BH1949" s="3057">
        <v>107258.91</v>
      </c>
      <c r="BI1949" s="3057"/>
      <c r="BJ1949" s="3057"/>
      <c r="BK1949" s="3057"/>
      <c r="BL1949" s="3057"/>
      <c r="BM1949" s="3057"/>
      <c r="BN1949" s="3057"/>
      <c r="BO1949" s="4059"/>
      <c r="BP1949" s="4059"/>
      <c r="BQ1949" s="3057">
        <v>200000</v>
      </c>
      <c r="BR1949" s="3057">
        <v>145000</v>
      </c>
      <c r="BS1949" s="3057">
        <v>48631.78</v>
      </c>
      <c r="BT1949" s="3057">
        <v>474263.4</v>
      </c>
      <c r="BU1949" s="3057"/>
      <c r="BV1949" s="3057">
        <v>107258.91</v>
      </c>
      <c r="BW1949" s="4059"/>
      <c r="BX1949" s="4059"/>
      <c r="BY1949" s="4059"/>
      <c r="BZ1949" s="4059"/>
      <c r="CA1949" s="4059"/>
      <c r="CB1949" s="4059"/>
      <c r="CC1949" s="6778"/>
      <c r="CD1949" s="6778"/>
      <c r="CE1949" s="6840"/>
      <c r="CF1949" s="6840"/>
      <c r="CG1949" s="6840"/>
      <c r="CH1949" s="6840"/>
    </row>
    <row r="1950" s="4998" customFormat="1" ht="61" spans="1:86">
      <c r="A1950" s="3812"/>
      <c r="B1950" s="3812"/>
      <c r="C1950" s="3812"/>
      <c r="D1950" s="5056"/>
      <c r="E1950" s="5056"/>
      <c r="F1950" s="5056"/>
      <c r="G1950" s="5056"/>
      <c r="H1950" s="3057"/>
      <c r="I1950" s="4185"/>
      <c r="J1950" s="5056"/>
      <c r="K1950" s="5056"/>
      <c r="L1950" s="5056"/>
      <c r="M1950" s="3057"/>
      <c r="N1950" s="6843"/>
      <c r="O1950" s="3057"/>
      <c r="P1950" s="3057"/>
      <c r="Q1950" s="3057"/>
      <c r="R1950" s="3057"/>
      <c r="S1950" s="3057"/>
      <c r="T1950" s="3057"/>
      <c r="U1950" s="3057"/>
      <c r="V1950" s="3057"/>
      <c r="W1950" s="3057"/>
      <c r="X1950" s="3057"/>
      <c r="Y1950" s="3057"/>
      <c r="Z1950" s="3057"/>
      <c r="AA1950" s="3057"/>
      <c r="AB1950" s="5056"/>
      <c r="AC1950" s="3057" t="s">
        <v>1061</v>
      </c>
      <c r="AD1950" s="1082" t="s">
        <v>3445</v>
      </c>
      <c r="AE1950" s="1082">
        <v>0.1</v>
      </c>
      <c r="AF1950" s="3057">
        <f>M1947*AE1950</f>
        <v>243788.523</v>
      </c>
      <c r="AG1950" s="3057">
        <f t="shared" si="433"/>
        <v>180879.84</v>
      </c>
      <c r="AH1950" s="584" t="s">
        <v>122</v>
      </c>
      <c r="AI1950" s="3057">
        <v>44921</v>
      </c>
      <c r="AJ1950" s="3057">
        <v>180879.84</v>
      </c>
      <c r="AK1950" s="3057">
        <v>44921</v>
      </c>
      <c r="AL1950" s="3057">
        <v>180879.84</v>
      </c>
      <c r="AM1950" s="3057">
        <v>45512</v>
      </c>
      <c r="AN1950" s="4059">
        <f t="shared" si="434"/>
        <v>180879.84</v>
      </c>
      <c r="AO1950" s="4059"/>
      <c r="AP1950" s="3057">
        <f t="shared" si="435"/>
        <v>0</v>
      </c>
      <c r="AQ1950" s="3057"/>
      <c r="AR1950" s="3057"/>
      <c r="AS1950" s="5056"/>
      <c r="AT1950" s="3057"/>
      <c r="AU1950" s="3057"/>
      <c r="AV1950" s="3057"/>
      <c r="AW1950" s="3057"/>
      <c r="AX1950" s="3057"/>
      <c r="AY1950" s="3057"/>
      <c r="AZ1950" s="3057"/>
      <c r="BA1950" s="3057"/>
      <c r="BB1950" s="3057"/>
      <c r="BC1950" s="3057"/>
      <c r="BD1950" s="3057"/>
      <c r="BE1950" s="3057"/>
      <c r="BF1950" s="3057">
        <v>131777.42</v>
      </c>
      <c r="BG1950" s="3057"/>
      <c r="BH1950" s="3057">
        <v>40893.14</v>
      </c>
      <c r="BI1950" s="3057"/>
      <c r="BJ1950" s="3057"/>
      <c r="BK1950" s="3057"/>
      <c r="BL1950" s="3057"/>
      <c r="BM1950" s="3057"/>
      <c r="BN1950" s="3057">
        <v>8209.28</v>
      </c>
      <c r="BO1950" s="3057"/>
      <c r="BP1950" s="3057"/>
      <c r="BQ1950" s="3057"/>
      <c r="BR1950" s="3057"/>
      <c r="BS1950" s="3057"/>
      <c r="BT1950" s="3057">
        <v>131777.42</v>
      </c>
      <c r="BU1950" s="3057"/>
      <c r="BV1950" s="3057">
        <v>40893.14</v>
      </c>
      <c r="BW1950" s="3057"/>
      <c r="BX1950" s="3057"/>
      <c r="BY1950" s="3057"/>
      <c r="BZ1950" s="3057"/>
      <c r="CA1950" s="3057"/>
      <c r="CB1950" s="3057">
        <v>8209.28</v>
      </c>
      <c r="CC1950" s="6778"/>
      <c r="CD1950" s="6778"/>
      <c r="CE1950" s="6840"/>
      <c r="CF1950" s="6840"/>
      <c r="CG1950" s="6840"/>
      <c r="CH1950" s="6840"/>
    </row>
    <row r="1951" s="4998" customFormat="1" ht="46" spans="1:86">
      <c r="A1951" s="3812"/>
      <c r="B1951" s="3812"/>
      <c r="C1951" s="3812">
        <v>44263</v>
      </c>
      <c r="D1951" s="5196" t="s">
        <v>3498</v>
      </c>
      <c r="E1951" s="5196" t="s">
        <v>3438</v>
      </c>
      <c r="F1951" s="5196" t="s">
        <v>3496</v>
      </c>
      <c r="G1951" s="5196" t="s">
        <v>3497</v>
      </c>
      <c r="H1951" s="2957" t="s">
        <v>658</v>
      </c>
      <c r="I1951" s="3245"/>
      <c r="J1951" s="5196" t="s">
        <v>1297</v>
      </c>
      <c r="K1951" s="5196">
        <v>105995.01</v>
      </c>
      <c r="L1951" s="5196" t="s">
        <v>3447</v>
      </c>
      <c r="M1951" s="2957">
        <f>SUM(N1951:AA1954)</f>
        <v>3921815.37</v>
      </c>
      <c r="N1951" s="2957"/>
      <c r="O1951" s="2957"/>
      <c r="P1951" s="2957"/>
      <c r="Q1951" s="2957"/>
      <c r="R1951" s="2957"/>
      <c r="S1951" s="2957">
        <v>3809639.3</v>
      </c>
      <c r="T1951" s="2957"/>
      <c r="U1951" s="2957">
        <v>59038.33</v>
      </c>
      <c r="V1951" s="2957"/>
      <c r="W1951" s="2957"/>
      <c r="X1951" s="2957"/>
      <c r="Y1951" s="2957"/>
      <c r="Z1951" s="2957"/>
      <c r="AA1951" s="2957">
        <v>53137.74</v>
      </c>
      <c r="AB1951" s="5196"/>
      <c r="AC1951" s="2957" t="s">
        <v>2792</v>
      </c>
      <c r="AD1951" s="441" t="s">
        <v>3448</v>
      </c>
      <c r="AE1951" s="441">
        <v>0.2</v>
      </c>
      <c r="AF1951" s="2957">
        <f>M1951*AE1951</f>
        <v>784363.074</v>
      </c>
      <c r="AG1951" s="2957">
        <f t="shared" si="433"/>
        <v>784363.07</v>
      </c>
      <c r="AH1951" s="2957" t="s">
        <v>122</v>
      </c>
      <c r="AI1951" s="2957">
        <v>44330</v>
      </c>
      <c r="AJ1951" s="2957">
        <v>784363.07</v>
      </c>
      <c r="AK1951" s="2957">
        <v>44330</v>
      </c>
      <c r="AL1951" s="2957">
        <v>784363.07</v>
      </c>
      <c r="AM1951" s="2957">
        <v>44330</v>
      </c>
      <c r="AN1951" s="2957">
        <f t="shared" si="434"/>
        <v>784363.07</v>
      </c>
      <c r="AO1951" s="2957">
        <v>44344</v>
      </c>
      <c r="AP1951" s="2957">
        <f t="shared" si="435"/>
        <v>0</v>
      </c>
      <c r="AQ1951" s="2957"/>
      <c r="AR1951" s="2957"/>
      <c r="AS1951" s="5196"/>
      <c r="AT1951" s="2957"/>
      <c r="AU1951" s="2957"/>
      <c r="AV1951" s="2957"/>
      <c r="AW1951" s="2957"/>
      <c r="AX1951" s="2957"/>
      <c r="AY1951" s="2957"/>
      <c r="AZ1951" s="2957"/>
      <c r="BA1951" s="2957"/>
      <c r="BB1951" s="2957"/>
      <c r="BC1951" s="2957"/>
      <c r="BD1951" s="2957"/>
      <c r="BE1951" s="2957">
        <v>196090.77</v>
      </c>
      <c r="BF1951" s="2957">
        <v>196090.77</v>
      </c>
      <c r="BG1951" s="2957"/>
      <c r="BH1951" s="2957">
        <v>196090.77</v>
      </c>
      <c r="BI1951" s="2957"/>
      <c r="BJ1951" s="2957"/>
      <c r="BK1951" s="2957"/>
      <c r="BL1951" s="2957"/>
      <c r="BM1951" s="2957"/>
      <c r="BN1951" s="2957">
        <v>196090.76</v>
      </c>
      <c r="BO1951" s="2957"/>
      <c r="BP1951" s="2957"/>
      <c r="BQ1951" s="2957"/>
      <c r="BR1951" s="2957"/>
      <c r="BS1951" s="2957">
        <v>196090.77</v>
      </c>
      <c r="BT1951" s="2957">
        <v>196090.77</v>
      </c>
      <c r="BU1951" s="2957"/>
      <c r="BV1951" s="2957">
        <v>196090.77</v>
      </c>
      <c r="BW1951" s="2957"/>
      <c r="BX1951" s="2957"/>
      <c r="BY1951" s="2957"/>
      <c r="BZ1951" s="2957"/>
      <c r="CA1951" s="2957"/>
      <c r="CB1951" s="2957">
        <v>196090.76</v>
      </c>
      <c r="CC1951" s="6841"/>
      <c r="CD1951" s="6841"/>
      <c r="CE1951" s="6840"/>
      <c r="CF1951" s="6840"/>
      <c r="CG1951" s="6840"/>
      <c r="CH1951" s="6840"/>
    </row>
    <row r="1952" s="4998" customFormat="1" ht="61" spans="1:86">
      <c r="A1952" s="3812"/>
      <c r="B1952" s="3812"/>
      <c r="C1952" s="3812"/>
      <c r="D1952" s="5196"/>
      <c r="E1952" s="5196"/>
      <c r="F1952" s="5196"/>
      <c r="G1952" s="5196"/>
      <c r="H1952" s="2957"/>
      <c r="I1952" s="5371"/>
      <c r="J1952" s="5196"/>
      <c r="K1952" s="5196"/>
      <c r="L1952" s="5196"/>
      <c r="M1952" s="2957"/>
      <c r="N1952" s="2957"/>
      <c r="O1952" s="2957"/>
      <c r="P1952" s="2957"/>
      <c r="Q1952" s="2957"/>
      <c r="R1952" s="2957"/>
      <c r="S1952" s="2957"/>
      <c r="T1952" s="2957"/>
      <c r="U1952" s="2957"/>
      <c r="V1952" s="2957"/>
      <c r="W1952" s="2957"/>
      <c r="X1952" s="2957"/>
      <c r="Y1952" s="2957"/>
      <c r="Z1952" s="2957"/>
      <c r="AA1952" s="2957"/>
      <c r="AB1952" s="5196"/>
      <c r="AC1952" s="2957" t="s">
        <v>2794</v>
      </c>
      <c r="AD1952" s="441" t="s">
        <v>3449</v>
      </c>
      <c r="AE1952" s="441">
        <v>0.6</v>
      </c>
      <c r="AF1952" s="2957">
        <f>M1951*AE1952</f>
        <v>2353089.222</v>
      </c>
      <c r="AG1952" s="2957">
        <f t="shared" si="433"/>
        <v>2353089.22</v>
      </c>
      <c r="AH1952" s="600" t="s">
        <v>122</v>
      </c>
      <c r="AI1952" s="2957">
        <v>44489</v>
      </c>
      <c r="AJ1952" s="2957">
        <v>2353089.22</v>
      </c>
      <c r="AK1952" s="2957">
        <v>44489</v>
      </c>
      <c r="AL1952" s="2957">
        <v>2353089.22</v>
      </c>
      <c r="AM1952" s="2957">
        <v>44489</v>
      </c>
      <c r="AN1952" s="2957">
        <f t="shared" si="434"/>
        <v>2353089.22</v>
      </c>
      <c r="AO1952" s="2957">
        <v>44554</v>
      </c>
      <c r="AP1952" s="2957">
        <f t="shared" si="435"/>
        <v>0</v>
      </c>
      <c r="AQ1952" s="440" t="s">
        <v>3499</v>
      </c>
      <c r="AR1952" s="2957"/>
      <c r="AS1952" s="5196"/>
      <c r="AT1952" s="2957"/>
      <c r="AU1952" s="2957"/>
      <c r="AV1952" s="2957"/>
      <c r="AW1952" s="2957"/>
      <c r="AX1952" s="2957"/>
      <c r="AY1952" s="2957"/>
      <c r="AZ1952" s="2957"/>
      <c r="BA1952" s="2957"/>
      <c r="BB1952" s="2957"/>
      <c r="BC1952" s="2957"/>
      <c r="BD1952" s="2957"/>
      <c r="BE1952" s="2957"/>
      <c r="BF1952" s="2957">
        <v>2162482.43</v>
      </c>
      <c r="BG1952" s="2957"/>
      <c r="BH1952" s="2957">
        <v>19648.43</v>
      </c>
      <c r="BI1952" s="2957"/>
      <c r="BJ1952" s="2957"/>
      <c r="BK1952" s="2957"/>
      <c r="BL1952" s="2957"/>
      <c r="BM1952" s="2957"/>
      <c r="BN1952" s="2957">
        <v>170958.36</v>
      </c>
      <c r="BO1952" s="5395"/>
      <c r="BP1952" s="5395"/>
      <c r="BQ1952" s="5395"/>
      <c r="BR1952" s="5395"/>
      <c r="BS1952" s="5395"/>
      <c r="BT1952" s="2957">
        <v>2162482.43</v>
      </c>
      <c r="BU1952" s="5395"/>
      <c r="BV1952" s="5395">
        <v>19648.43</v>
      </c>
      <c r="BW1952" s="5395"/>
      <c r="BX1952" s="5395"/>
      <c r="BY1952" s="5395"/>
      <c r="BZ1952" s="5395"/>
      <c r="CA1952" s="5395"/>
      <c r="CB1952" s="5395">
        <v>170958.36</v>
      </c>
      <c r="CC1952" s="6841"/>
      <c r="CD1952" s="6841"/>
      <c r="CE1952" s="6840"/>
      <c r="CF1952" s="6840"/>
      <c r="CG1952" s="6840"/>
      <c r="CH1952" s="6840"/>
    </row>
    <row r="1953" s="4998" customFormat="1" ht="42.5" customHeight="1" spans="1:86">
      <c r="A1953" s="3812"/>
      <c r="B1953" s="3812"/>
      <c r="C1953" s="3812"/>
      <c r="D1953" s="5196"/>
      <c r="E1953" s="5196"/>
      <c r="F1953" s="5196"/>
      <c r="G1953" s="5196"/>
      <c r="H1953" s="2957"/>
      <c r="I1953" s="5371"/>
      <c r="J1953" s="5196"/>
      <c r="K1953" s="5196"/>
      <c r="L1953" s="5196"/>
      <c r="M1953" s="2957"/>
      <c r="N1953" s="2957"/>
      <c r="O1953" s="2957"/>
      <c r="P1953" s="2957"/>
      <c r="Q1953" s="2957"/>
      <c r="R1953" s="2957"/>
      <c r="S1953" s="2957"/>
      <c r="T1953" s="2957"/>
      <c r="U1953" s="2957"/>
      <c r="V1953" s="2957"/>
      <c r="W1953" s="2957"/>
      <c r="X1953" s="2957"/>
      <c r="Y1953" s="2957"/>
      <c r="Z1953" s="2957"/>
      <c r="AA1953" s="2957"/>
      <c r="AB1953" s="5196"/>
      <c r="AC1953" s="2957" t="s">
        <v>2796</v>
      </c>
      <c r="AD1953" s="441" t="s">
        <v>3450</v>
      </c>
      <c r="AE1953" s="441">
        <v>0.1</v>
      </c>
      <c r="AF1953" s="2957">
        <f>M1951*AE1953</f>
        <v>392181.537</v>
      </c>
      <c r="AG1953" s="2957">
        <f t="shared" si="433"/>
        <v>392181.53</v>
      </c>
      <c r="AH1953" s="600" t="s">
        <v>122</v>
      </c>
      <c r="AI1953" s="2957">
        <v>44889</v>
      </c>
      <c r="AJ1953" s="2957">
        <v>392181.53</v>
      </c>
      <c r="AK1953" s="2957">
        <v>44889</v>
      </c>
      <c r="AL1953" s="2957">
        <v>392181.53</v>
      </c>
      <c r="AM1953" s="2957">
        <v>44889</v>
      </c>
      <c r="AN1953" s="2957">
        <f t="shared" si="434"/>
        <v>392181.53</v>
      </c>
      <c r="AO1953" s="2957">
        <v>45013</v>
      </c>
      <c r="AP1953" s="2957">
        <f t="shared" si="435"/>
        <v>0</v>
      </c>
      <c r="AQ1953" s="2957"/>
      <c r="AR1953" s="2957"/>
      <c r="AS1953" s="5196"/>
      <c r="AT1953" s="2957"/>
      <c r="AU1953" s="2957"/>
      <c r="AV1953" s="2957"/>
      <c r="AW1953" s="2957"/>
      <c r="AX1953" s="2957"/>
      <c r="AY1953" s="2957"/>
      <c r="AZ1953" s="2957"/>
      <c r="BA1953" s="2957"/>
      <c r="BB1953" s="2957"/>
      <c r="BC1953" s="2957"/>
      <c r="BD1953" s="2957"/>
      <c r="BE1953" s="2957"/>
      <c r="BF1953" s="2957">
        <v>337066.06</v>
      </c>
      <c r="BG1953" s="2957"/>
      <c r="BH1953" s="2957">
        <v>55115.47</v>
      </c>
      <c r="BI1953" s="2957"/>
      <c r="BJ1953" s="2957"/>
      <c r="BK1953" s="2957"/>
      <c r="BL1953" s="2957"/>
      <c r="BM1953" s="2957"/>
      <c r="BN1953" s="2957"/>
      <c r="BO1953" s="2957"/>
      <c r="BP1953" s="2957"/>
      <c r="BQ1953" s="2957"/>
      <c r="BR1953" s="2957"/>
      <c r="BS1953" s="2957"/>
      <c r="BT1953" s="2957">
        <v>337066.06</v>
      </c>
      <c r="BU1953" s="2957"/>
      <c r="BV1953" s="2957">
        <v>55115.47</v>
      </c>
      <c r="BW1953" s="2957"/>
      <c r="BX1953" s="2957"/>
      <c r="BY1953" s="2957"/>
      <c r="BZ1953" s="2957"/>
      <c r="CA1953" s="2957"/>
      <c r="CB1953" s="2957"/>
      <c r="CC1953" s="6841"/>
      <c r="CD1953" s="6841"/>
      <c r="CE1953" s="6840"/>
      <c r="CF1953" s="6840"/>
      <c r="CG1953" s="6840"/>
      <c r="CH1953" s="6840"/>
    </row>
    <row r="1954" s="4998" customFormat="1" ht="61" spans="1:86">
      <c r="A1954" s="3812"/>
      <c r="B1954" s="3812"/>
      <c r="C1954" s="3812"/>
      <c r="D1954" s="5196"/>
      <c r="E1954" s="5196"/>
      <c r="F1954" s="5196"/>
      <c r="G1954" s="5196"/>
      <c r="H1954" s="2957"/>
      <c r="I1954" s="3244"/>
      <c r="J1954" s="5196"/>
      <c r="K1954" s="5196"/>
      <c r="L1954" s="5196"/>
      <c r="M1954" s="2957"/>
      <c r="N1954" s="2957"/>
      <c r="O1954" s="2957"/>
      <c r="P1954" s="2957"/>
      <c r="Q1954" s="2957"/>
      <c r="R1954" s="2957"/>
      <c r="S1954" s="2957"/>
      <c r="T1954" s="2957"/>
      <c r="U1954" s="2957"/>
      <c r="V1954" s="2957"/>
      <c r="W1954" s="2957"/>
      <c r="X1954" s="2957"/>
      <c r="Y1954" s="2957"/>
      <c r="Z1954" s="2957"/>
      <c r="AA1954" s="2957"/>
      <c r="AB1954" s="5196"/>
      <c r="AC1954" s="2957" t="s">
        <v>2798</v>
      </c>
      <c r="AD1954" s="441" t="s">
        <v>3445</v>
      </c>
      <c r="AE1954" s="441">
        <v>0.1</v>
      </c>
      <c r="AF1954" s="2957">
        <f>M1951*AE1954</f>
        <v>392181.537</v>
      </c>
      <c r="AG1954" s="2957">
        <f t="shared" si="433"/>
        <v>290980.63</v>
      </c>
      <c r="AH1954" s="600" t="s">
        <v>122</v>
      </c>
      <c r="AI1954" s="2957">
        <v>44921</v>
      </c>
      <c r="AJ1954" s="2957">
        <v>290980.63</v>
      </c>
      <c r="AK1954" s="2957">
        <v>44921</v>
      </c>
      <c r="AL1954" s="2957">
        <v>290980.63</v>
      </c>
      <c r="AM1954" s="2957">
        <v>45512</v>
      </c>
      <c r="AN1954" s="5395">
        <f t="shared" si="434"/>
        <v>290980.63</v>
      </c>
      <c r="AO1954" s="5395"/>
      <c r="AP1954" s="2957">
        <f t="shared" si="435"/>
        <v>0</v>
      </c>
      <c r="AQ1954" s="2957"/>
      <c r="AR1954" s="2957"/>
      <c r="AS1954" s="5196"/>
      <c r="AT1954" s="2957"/>
      <c r="AU1954" s="2957"/>
      <c r="AV1954" s="2957"/>
      <c r="AW1954" s="2957"/>
      <c r="AX1954" s="2957"/>
      <c r="AY1954" s="2957"/>
      <c r="AZ1954" s="2957"/>
      <c r="BA1954" s="2957"/>
      <c r="BB1954" s="2957"/>
      <c r="BC1954" s="2957"/>
      <c r="BD1954" s="2957"/>
      <c r="BE1954" s="2957"/>
      <c r="BF1954" s="2957">
        <v>290980.63</v>
      </c>
      <c r="BG1954" s="2957"/>
      <c r="BH1954" s="2957"/>
      <c r="BI1954" s="2957"/>
      <c r="BJ1954" s="2957"/>
      <c r="BK1954" s="2957"/>
      <c r="BL1954" s="2957"/>
      <c r="BM1954" s="2957"/>
      <c r="BN1954" s="2957"/>
      <c r="BO1954" s="2957"/>
      <c r="BP1954" s="2957"/>
      <c r="BQ1954" s="2957"/>
      <c r="BR1954" s="2957"/>
      <c r="BS1954" s="2957"/>
      <c r="BT1954" s="2957">
        <v>290980.63</v>
      </c>
      <c r="BU1954" s="2957"/>
      <c r="BV1954" s="2957"/>
      <c r="BW1954" s="2957"/>
      <c r="BX1954" s="2957"/>
      <c r="BY1954" s="2957"/>
      <c r="BZ1954" s="2957"/>
      <c r="CA1954" s="2957"/>
      <c r="CB1954" s="2957"/>
      <c r="CC1954" s="6841"/>
      <c r="CD1954" s="6841"/>
      <c r="CE1954" s="6840"/>
      <c r="CF1954" s="6840"/>
      <c r="CG1954" s="6840"/>
      <c r="CH1954" s="6840"/>
    </row>
    <row r="1955" s="4998" customFormat="1" ht="49.15" customHeight="1" spans="1:86">
      <c r="A1955" s="3812"/>
      <c r="B1955" s="3812" t="s">
        <v>1003</v>
      </c>
      <c r="C1955" s="3812">
        <v>44263</v>
      </c>
      <c r="D1955" s="6748" t="s">
        <v>3500</v>
      </c>
      <c r="E1955" s="6748" t="s">
        <v>3438</v>
      </c>
      <c r="F1955" s="6748" t="s">
        <v>3496</v>
      </c>
      <c r="G1955" s="6748" t="s">
        <v>3497</v>
      </c>
      <c r="H1955" s="6744" t="s">
        <v>3453</v>
      </c>
      <c r="I1955" s="6744"/>
      <c r="J1955" s="6748" t="s">
        <v>1297</v>
      </c>
      <c r="K1955" s="6748">
        <v>105995.01</v>
      </c>
      <c r="L1955" s="6748"/>
      <c r="M1955" s="6744">
        <f>SUM(N1955:AA1957)</f>
        <v>51638.4</v>
      </c>
      <c r="N1955" s="6744"/>
      <c r="O1955" s="6827"/>
      <c r="P1955" s="6827"/>
      <c r="Q1955" s="6744"/>
      <c r="R1955" s="6744"/>
      <c r="S1955" s="6744"/>
      <c r="T1955" s="6744"/>
      <c r="U1955" s="6744"/>
      <c r="V1955" s="6744"/>
      <c r="W1955" s="6744"/>
      <c r="X1955" s="6744"/>
      <c r="Y1955" s="6744"/>
      <c r="Z1955" s="6744"/>
      <c r="AA1955" s="6744">
        <v>51638.4</v>
      </c>
      <c r="AB1955" s="6744" t="s">
        <v>126</v>
      </c>
      <c r="AC1955" s="6744" t="s">
        <v>3454</v>
      </c>
      <c r="AD1955" s="6827" t="s">
        <v>3455</v>
      </c>
      <c r="AE1955" s="6827">
        <v>0.2</v>
      </c>
      <c r="AF1955" s="6744">
        <f>M1955*AE1955</f>
        <v>10327.68</v>
      </c>
      <c r="AG1955" s="6744">
        <f t="shared" si="433"/>
        <v>10327.68</v>
      </c>
      <c r="AH1955" s="6744" t="s">
        <v>122</v>
      </c>
      <c r="AI1955" s="6744">
        <v>44547</v>
      </c>
      <c r="AJ1955" s="6744">
        <v>10327.68</v>
      </c>
      <c r="AK1955" s="6744">
        <v>44547</v>
      </c>
      <c r="AL1955" s="6744">
        <v>10327.68</v>
      </c>
      <c r="AM1955" s="6744">
        <v>44547</v>
      </c>
      <c r="AN1955" s="6744">
        <f t="shared" si="434"/>
        <v>10327.68</v>
      </c>
      <c r="AO1955" s="6744">
        <v>44554</v>
      </c>
      <c r="AP1955" s="6744">
        <f t="shared" si="435"/>
        <v>0</v>
      </c>
      <c r="AQ1955" s="6744"/>
      <c r="AR1955" s="6744"/>
      <c r="AS1955" s="6744"/>
      <c r="AT1955" s="6744"/>
      <c r="AU1955" s="6744"/>
      <c r="AV1955" s="6744"/>
      <c r="AW1955" s="6744"/>
      <c r="AX1955" s="6744"/>
      <c r="AY1955" s="6744"/>
      <c r="AZ1955" s="6744"/>
      <c r="BA1955" s="6744"/>
      <c r="BB1955" s="6744"/>
      <c r="BC1955" s="6744"/>
      <c r="BD1955" s="6744"/>
      <c r="BE1955" s="6744"/>
      <c r="BF1955" s="6744"/>
      <c r="BG1955" s="6744"/>
      <c r="BH1955" s="6744"/>
      <c r="BI1955" s="6744"/>
      <c r="BJ1955" s="6744"/>
      <c r="BK1955" s="6744"/>
      <c r="BL1955" s="6744"/>
      <c r="BM1955" s="6744"/>
      <c r="BN1955" s="6744">
        <v>10327.68</v>
      </c>
      <c r="BO1955" s="6809"/>
      <c r="BP1955" s="6809"/>
      <c r="BQ1955" s="6809"/>
      <c r="BR1955" s="6809"/>
      <c r="BS1955" s="6809"/>
      <c r="BT1955" s="6809"/>
      <c r="BU1955" s="6809"/>
      <c r="BV1955" s="6809"/>
      <c r="BW1955" s="6809"/>
      <c r="BX1955" s="6809"/>
      <c r="BY1955" s="6809"/>
      <c r="BZ1955" s="6809"/>
      <c r="CA1955" s="6809"/>
      <c r="CB1955" s="6809">
        <v>10327.68</v>
      </c>
      <c r="CC1955" s="6842"/>
      <c r="CD1955" s="6842"/>
      <c r="CE1955" s="6840"/>
      <c r="CF1955" s="6840"/>
      <c r="CG1955" s="6840"/>
      <c r="CH1955" s="6840"/>
    </row>
    <row r="1956" s="4998" customFormat="1" ht="53.35" customHeight="1" spans="1:86">
      <c r="A1956" s="3812"/>
      <c r="B1956" s="3812"/>
      <c r="C1956" s="3812"/>
      <c r="D1956" s="6748"/>
      <c r="E1956" s="6748"/>
      <c r="F1956" s="6748"/>
      <c r="G1956" s="6748"/>
      <c r="H1956" s="6744"/>
      <c r="I1956" s="6744"/>
      <c r="J1956" s="6748"/>
      <c r="K1956" s="6748"/>
      <c r="L1956" s="6748"/>
      <c r="M1956" s="6744"/>
      <c r="N1956" s="6744"/>
      <c r="O1956" s="6827"/>
      <c r="P1956" s="6827"/>
      <c r="Q1956" s="6744"/>
      <c r="R1956" s="6744"/>
      <c r="S1956" s="6744"/>
      <c r="T1956" s="6744"/>
      <c r="U1956" s="6744"/>
      <c r="V1956" s="6744"/>
      <c r="W1956" s="6744"/>
      <c r="X1956" s="6744"/>
      <c r="Y1956" s="6744"/>
      <c r="Z1956" s="6744"/>
      <c r="AA1956" s="6744"/>
      <c r="AB1956" s="6744"/>
      <c r="AC1956" s="6744" t="s">
        <v>3456</v>
      </c>
      <c r="AD1956" s="6827" t="s">
        <v>3457</v>
      </c>
      <c r="AE1956" s="6827">
        <v>0.6</v>
      </c>
      <c r="AF1956" s="6744">
        <f>M1955*AE1956</f>
        <v>30983.04</v>
      </c>
      <c r="AG1956" s="6744">
        <f t="shared" ref="AG1956:AG1964" si="436">SUM(BA1956:BN1956)</f>
        <v>30983.04</v>
      </c>
      <c r="AH1956" s="1089" t="s">
        <v>122</v>
      </c>
      <c r="AI1956" s="6744">
        <v>44568</v>
      </c>
      <c r="AJ1956" s="6744">
        <v>30983.04</v>
      </c>
      <c r="AK1956" s="6744">
        <v>44568</v>
      </c>
      <c r="AL1956" s="6744">
        <v>30983.04</v>
      </c>
      <c r="AM1956" s="6744">
        <v>44568</v>
      </c>
      <c r="AN1956" s="6744">
        <f t="shared" ref="AN1956:AN1964" si="437">SUM(BO1956:CB1956)</f>
        <v>30983.04</v>
      </c>
      <c r="AO1956" s="6744">
        <v>44582</v>
      </c>
      <c r="AP1956" s="6744">
        <f t="shared" si="435"/>
        <v>0</v>
      </c>
      <c r="AQ1956" s="6744"/>
      <c r="AR1956" s="6744"/>
      <c r="AS1956" s="6744"/>
      <c r="AT1956" s="6744"/>
      <c r="AU1956" s="6744"/>
      <c r="AV1956" s="6744"/>
      <c r="AW1956" s="6744"/>
      <c r="AX1956" s="6744"/>
      <c r="AY1956" s="6744"/>
      <c r="AZ1956" s="6744"/>
      <c r="BA1956" s="6744"/>
      <c r="BB1956" s="6744"/>
      <c r="BC1956" s="6744"/>
      <c r="BD1956" s="6744"/>
      <c r="BE1956" s="6744"/>
      <c r="BF1956" s="6744"/>
      <c r="BG1956" s="6744"/>
      <c r="BH1956" s="6744"/>
      <c r="BI1956" s="6744"/>
      <c r="BJ1956" s="6744"/>
      <c r="BK1956" s="6744"/>
      <c r="BL1956" s="6744"/>
      <c r="BM1956" s="6744"/>
      <c r="BN1956" s="6744">
        <v>30983.04</v>
      </c>
      <c r="BO1956" s="6809"/>
      <c r="BP1956" s="6809"/>
      <c r="BQ1956" s="6809"/>
      <c r="BR1956" s="6809"/>
      <c r="BS1956" s="6809"/>
      <c r="BT1956" s="6809"/>
      <c r="BU1956" s="6809"/>
      <c r="BV1956" s="6809"/>
      <c r="BW1956" s="6809"/>
      <c r="BX1956" s="6809"/>
      <c r="BY1956" s="6809"/>
      <c r="BZ1956" s="6809"/>
      <c r="CA1956" s="6809"/>
      <c r="CB1956" s="6809">
        <v>30983.04</v>
      </c>
      <c r="CC1956" s="6842"/>
      <c r="CD1956" s="6842"/>
      <c r="CE1956" s="6840"/>
      <c r="CF1956" s="6840"/>
      <c r="CG1956" s="6840"/>
      <c r="CH1956" s="6840"/>
    </row>
    <row r="1957" s="4998" customFormat="1" ht="48.35" customHeight="1" spans="1:86">
      <c r="A1957" s="3812"/>
      <c r="B1957" s="3812"/>
      <c r="C1957" s="3812"/>
      <c r="D1957" s="6748"/>
      <c r="E1957" s="6748"/>
      <c r="F1957" s="6748"/>
      <c r="G1957" s="6748"/>
      <c r="H1957" s="6744"/>
      <c r="I1957" s="6744"/>
      <c r="J1957" s="6748"/>
      <c r="K1957" s="6748"/>
      <c r="L1957" s="6748"/>
      <c r="M1957" s="6744"/>
      <c r="N1957" s="6744"/>
      <c r="O1957" s="6827"/>
      <c r="P1957" s="6827"/>
      <c r="Q1957" s="6744"/>
      <c r="R1957" s="6744"/>
      <c r="S1957" s="6744"/>
      <c r="T1957" s="6744"/>
      <c r="U1957" s="6744"/>
      <c r="V1957" s="6744"/>
      <c r="W1957" s="6744"/>
      <c r="X1957" s="6744"/>
      <c r="Y1957" s="6744"/>
      <c r="Z1957" s="6744"/>
      <c r="AA1957" s="6744"/>
      <c r="AB1957" s="6744"/>
      <c r="AC1957" s="6744" t="s">
        <v>3458</v>
      </c>
      <c r="AD1957" s="6827" t="s">
        <v>3459</v>
      </c>
      <c r="AE1957" s="6827">
        <v>0.2</v>
      </c>
      <c r="AF1957" s="6744">
        <f>M1955*AE1957</f>
        <v>10327.68</v>
      </c>
      <c r="AG1957" s="6744">
        <f t="shared" si="436"/>
        <v>10327.68</v>
      </c>
      <c r="AH1957" s="1089" t="s">
        <v>122</v>
      </c>
      <c r="AI1957" s="6744">
        <v>45287</v>
      </c>
      <c r="AJ1957" s="6744">
        <v>10327.68</v>
      </c>
      <c r="AK1957" s="6744">
        <v>45286</v>
      </c>
      <c r="AL1957" s="6744">
        <v>10327.68</v>
      </c>
      <c r="AM1957" s="6744">
        <v>45512</v>
      </c>
      <c r="AN1957" s="6809">
        <f t="shared" si="437"/>
        <v>10327.68</v>
      </c>
      <c r="AO1957" s="6809"/>
      <c r="AP1957" s="6744">
        <f t="shared" si="435"/>
        <v>0</v>
      </c>
      <c r="AQ1957" s="6744"/>
      <c r="AR1957" s="6744"/>
      <c r="AS1957" s="6744"/>
      <c r="AT1957" s="6744"/>
      <c r="AU1957" s="6744"/>
      <c r="AV1957" s="6744"/>
      <c r="AW1957" s="6744"/>
      <c r="AX1957" s="6744"/>
      <c r="AY1957" s="6744"/>
      <c r="AZ1957" s="6744"/>
      <c r="BA1957" s="6744"/>
      <c r="BB1957" s="6744"/>
      <c r="BC1957" s="6744"/>
      <c r="BD1957" s="6809"/>
      <c r="BE1957" s="6809"/>
      <c r="BF1957" s="6809"/>
      <c r="BG1957" s="6809"/>
      <c r="BH1957" s="6809"/>
      <c r="BI1957" s="6809"/>
      <c r="BJ1957" s="6809"/>
      <c r="BK1957" s="6809"/>
      <c r="BL1957" s="6809"/>
      <c r="BM1957" s="6809"/>
      <c r="BN1957" s="6744">
        <v>10327.68</v>
      </c>
      <c r="BO1957" s="6842"/>
      <c r="BP1957" s="6744"/>
      <c r="BQ1957" s="6744"/>
      <c r="BR1957" s="6744"/>
      <c r="BS1957" s="6744"/>
      <c r="BT1957" s="6744"/>
      <c r="BU1957" s="6744"/>
      <c r="BV1957" s="6744"/>
      <c r="BW1957" s="6744"/>
      <c r="BX1957" s="6744"/>
      <c r="BY1957" s="6744"/>
      <c r="BZ1957" s="6744"/>
      <c r="CA1957" s="6744"/>
      <c r="CB1957" s="6744">
        <v>10327.68</v>
      </c>
      <c r="CC1957" s="6842"/>
      <c r="CD1957" s="6842"/>
      <c r="CE1957" s="6840"/>
      <c r="CF1957" s="6840"/>
      <c r="CG1957" s="6840"/>
      <c r="CH1957" s="6840"/>
    </row>
    <row r="1958" s="4998" customFormat="1" ht="45.85" customHeight="1" spans="1:86">
      <c r="A1958" s="3812"/>
      <c r="B1958" s="3812"/>
      <c r="C1958" s="3812">
        <v>44263</v>
      </c>
      <c r="D1958" s="6748"/>
      <c r="E1958" s="6748"/>
      <c r="F1958" s="6748"/>
      <c r="G1958" s="6748"/>
      <c r="H1958" s="6744" t="s">
        <v>3461</v>
      </c>
      <c r="I1958" s="6744"/>
      <c r="J1958" s="6748"/>
      <c r="K1958" s="6748"/>
      <c r="L1958" s="6748"/>
      <c r="M1958" s="6744">
        <f>SUM(N1958:AA1960)</f>
        <v>85000</v>
      </c>
      <c r="N1958" s="6744"/>
      <c r="O1958" s="6827"/>
      <c r="P1958" s="6827"/>
      <c r="Q1958" s="6744"/>
      <c r="R1958" s="6744"/>
      <c r="S1958" s="6744"/>
      <c r="T1958" s="6744"/>
      <c r="U1958" s="6744"/>
      <c r="V1958" s="6744"/>
      <c r="W1958" s="6744"/>
      <c r="X1958" s="6744"/>
      <c r="Y1958" s="6744"/>
      <c r="Z1958" s="6744"/>
      <c r="AA1958" s="6744">
        <v>85000</v>
      </c>
      <c r="AB1958" s="6744" t="s">
        <v>126</v>
      </c>
      <c r="AC1958" s="6744" t="s">
        <v>3462</v>
      </c>
      <c r="AD1958" s="6827" t="s">
        <v>3455</v>
      </c>
      <c r="AE1958" s="6827">
        <v>0.2</v>
      </c>
      <c r="AF1958" s="6744">
        <f>M1958*AE1958</f>
        <v>17000</v>
      </c>
      <c r="AG1958" s="6744">
        <f t="shared" si="436"/>
        <v>17000</v>
      </c>
      <c r="AH1958" s="6744" t="s">
        <v>122</v>
      </c>
      <c r="AI1958" s="6744">
        <v>44425</v>
      </c>
      <c r="AJ1958" s="6744">
        <v>17000</v>
      </c>
      <c r="AK1958" s="6744">
        <v>44426</v>
      </c>
      <c r="AL1958" s="6744">
        <v>17000</v>
      </c>
      <c r="AM1958" s="6744">
        <v>44426</v>
      </c>
      <c r="AN1958" s="6744">
        <f t="shared" si="437"/>
        <v>17000</v>
      </c>
      <c r="AO1958" s="6744">
        <v>44439</v>
      </c>
      <c r="AP1958" s="6744">
        <f t="shared" si="435"/>
        <v>0</v>
      </c>
      <c r="AQ1958" s="6744"/>
      <c r="AR1958" s="6744"/>
      <c r="AS1958" s="6744"/>
      <c r="AT1958" s="6744"/>
      <c r="AU1958" s="6744"/>
      <c r="AV1958" s="6744"/>
      <c r="AW1958" s="6744"/>
      <c r="AX1958" s="6744"/>
      <c r="AY1958" s="6744"/>
      <c r="AZ1958" s="6744"/>
      <c r="BA1958" s="6744"/>
      <c r="BB1958" s="6744"/>
      <c r="BC1958" s="6744"/>
      <c r="BD1958" s="6744"/>
      <c r="BE1958" s="6744"/>
      <c r="BF1958" s="6744"/>
      <c r="BG1958" s="6744"/>
      <c r="BH1958" s="6744"/>
      <c r="BI1958" s="6744"/>
      <c r="BJ1958" s="6744"/>
      <c r="BK1958" s="6744"/>
      <c r="BL1958" s="6744"/>
      <c r="BM1958" s="6744"/>
      <c r="BN1958" s="6744">
        <v>17000</v>
      </c>
      <c r="BO1958" s="6809"/>
      <c r="BP1958" s="6809"/>
      <c r="BQ1958" s="6809"/>
      <c r="BR1958" s="6809"/>
      <c r="BS1958" s="6809"/>
      <c r="BT1958" s="6809"/>
      <c r="BU1958" s="6809"/>
      <c r="BV1958" s="6809"/>
      <c r="BW1958" s="6809"/>
      <c r="BX1958" s="6809"/>
      <c r="BY1958" s="6809"/>
      <c r="BZ1958" s="6809"/>
      <c r="CA1958" s="6809"/>
      <c r="CB1958" s="6809">
        <v>17000</v>
      </c>
      <c r="CC1958" s="6842"/>
      <c r="CD1958" s="6842"/>
      <c r="CE1958" s="6840"/>
      <c r="CF1958" s="6840"/>
      <c r="CG1958" s="6840"/>
      <c r="CH1958" s="6840"/>
    </row>
    <row r="1959" s="4998" customFormat="1" ht="56.65" customHeight="1" spans="1:86">
      <c r="A1959" s="3812"/>
      <c r="B1959" s="3812"/>
      <c r="C1959" s="3812"/>
      <c r="D1959" s="6748"/>
      <c r="E1959" s="6748"/>
      <c r="F1959" s="6748"/>
      <c r="G1959" s="6748"/>
      <c r="H1959" s="6744"/>
      <c r="I1959" s="6744"/>
      <c r="J1959" s="6748"/>
      <c r="K1959" s="6748"/>
      <c r="L1959" s="6748"/>
      <c r="M1959" s="6744"/>
      <c r="N1959" s="6744"/>
      <c r="O1959" s="6827"/>
      <c r="P1959" s="6827"/>
      <c r="Q1959" s="6744"/>
      <c r="R1959" s="6744"/>
      <c r="S1959" s="6744"/>
      <c r="T1959" s="6744"/>
      <c r="U1959" s="6744"/>
      <c r="V1959" s="6744"/>
      <c r="W1959" s="6744"/>
      <c r="X1959" s="6744"/>
      <c r="Y1959" s="6744"/>
      <c r="Z1959" s="6744"/>
      <c r="AA1959" s="6744"/>
      <c r="AB1959" s="6744"/>
      <c r="AC1959" s="6744" t="s">
        <v>3463</v>
      </c>
      <c r="AD1959" s="6827" t="s">
        <v>3457</v>
      </c>
      <c r="AE1959" s="6827">
        <v>0.6</v>
      </c>
      <c r="AF1959" s="6744">
        <f>M1958*AE1959</f>
        <v>51000</v>
      </c>
      <c r="AG1959" s="6744">
        <f t="shared" si="436"/>
        <v>51000</v>
      </c>
      <c r="AH1959" s="6744" t="s">
        <v>122</v>
      </c>
      <c r="AI1959" s="6744">
        <v>44425</v>
      </c>
      <c r="AJ1959" s="6744">
        <v>51000</v>
      </c>
      <c r="AK1959" s="6744">
        <v>44426</v>
      </c>
      <c r="AL1959" s="6744">
        <v>51000</v>
      </c>
      <c r="AM1959" s="6744">
        <v>44426</v>
      </c>
      <c r="AN1959" s="6744">
        <f t="shared" si="437"/>
        <v>51000</v>
      </c>
      <c r="AO1959" s="6744">
        <v>44439</v>
      </c>
      <c r="AP1959" s="6744">
        <f t="shared" si="435"/>
        <v>0</v>
      </c>
      <c r="AQ1959" s="6744"/>
      <c r="AR1959" s="6744"/>
      <c r="AS1959" s="6744"/>
      <c r="AT1959" s="6744"/>
      <c r="AU1959" s="6744"/>
      <c r="AV1959" s="6744"/>
      <c r="AW1959" s="6744"/>
      <c r="AX1959" s="6744"/>
      <c r="AY1959" s="6744"/>
      <c r="AZ1959" s="6744"/>
      <c r="BA1959" s="6744"/>
      <c r="BB1959" s="6744"/>
      <c r="BC1959" s="6744"/>
      <c r="BD1959" s="6744"/>
      <c r="BE1959" s="6744"/>
      <c r="BF1959" s="6744"/>
      <c r="BG1959" s="6744"/>
      <c r="BH1959" s="6744"/>
      <c r="BI1959" s="6744"/>
      <c r="BJ1959" s="6744"/>
      <c r="BK1959" s="6744"/>
      <c r="BL1959" s="6744"/>
      <c r="BM1959" s="6744"/>
      <c r="BN1959" s="6744">
        <v>51000</v>
      </c>
      <c r="BO1959" s="6809"/>
      <c r="BP1959" s="6809"/>
      <c r="BQ1959" s="6809"/>
      <c r="BR1959" s="6809"/>
      <c r="BS1959" s="6809"/>
      <c r="BT1959" s="6809"/>
      <c r="BU1959" s="6809"/>
      <c r="BV1959" s="6809"/>
      <c r="BW1959" s="6809"/>
      <c r="BX1959" s="6809"/>
      <c r="BY1959" s="6809"/>
      <c r="BZ1959" s="6809"/>
      <c r="CA1959" s="6809"/>
      <c r="CB1959" s="6809">
        <v>51000</v>
      </c>
      <c r="CC1959" s="6842"/>
      <c r="CD1959" s="6842"/>
      <c r="CE1959" s="6840"/>
      <c r="CF1959" s="6840"/>
      <c r="CG1959" s="6840"/>
      <c r="CH1959" s="6840"/>
    </row>
    <row r="1960" s="4998" customFormat="1" ht="50.85" customHeight="1" spans="1:86">
      <c r="A1960" s="3812"/>
      <c r="B1960" s="3812"/>
      <c r="C1960" s="3812"/>
      <c r="D1960" s="6748"/>
      <c r="E1960" s="6748"/>
      <c r="F1960" s="6748"/>
      <c r="G1960" s="6748"/>
      <c r="H1960" s="6744"/>
      <c r="I1960" s="6744"/>
      <c r="J1960" s="6748"/>
      <c r="K1960" s="6748"/>
      <c r="L1960" s="6748"/>
      <c r="M1960" s="6744"/>
      <c r="N1960" s="6744"/>
      <c r="O1960" s="6827"/>
      <c r="P1960" s="6827"/>
      <c r="Q1960" s="6744"/>
      <c r="R1960" s="6744"/>
      <c r="S1960" s="6744"/>
      <c r="T1960" s="6744"/>
      <c r="U1960" s="6744"/>
      <c r="V1960" s="6744"/>
      <c r="W1960" s="6744"/>
      <c r="X1960" s="6744"/>
      <c r="Y1960" s="6744"/>
      <c r="Z1960" s="6744"/>
      <c r="AA1960" s="6744"/>
      <c r="AB1960" s="6744"/>
      <c r="AC1960" s="6744" t="s">
        <v>3464</v>
      </c>
      <c r="AD1960" s="6827" t="s">
        <v>3459</v>
      </c>
      <c r="AE1960" s="6827">
        <v>0.2</v>
      </c>
      <c r="AF1960" s="6744">
        <f>M1958*AE1960</f>
        <v>17000</v>
      </c>
      <c r="AG1960" s="6744">
        <f t="shared" si="436"/>
        <v>17000</v>
      </c>
      <c r="AH1960" s="1089" t="s">
        <v>122</v>
      </c>
      <c r="AI1960" s="6744">
        <v>45287</v>
      </c>
      <c r="AJ1960" s="6744">
        <v>17000</v>
      </c>
      <c r="AK1960" s="6744">
        <v>45286</v>
      </c>
      <c r="AL1960" s="6744">
        <v>17000</v>
      </c>
      <c r="AM1960" s="6744">
        <v>45512</v>
      </c>
      <c r="AN1960" s="6809">
        <f t="shared" si="437"/>
        <v>17000</v>
      </c>
      <c r="AO1960" s="6809"/>
      <c r="AP1960" s="6744">
        <f t="shared" si="435"/>
        <v>0</v>
      </c>
      <c r="AQ1960" s="6744"/>
      <c r="AR1960" s="6744"/>
      <c r="AS1960" s="6744"/>
      <c r="AT1960" s="6744"/>
      <c r="AU1960" s="6744"/>
      <c r="AV1960" s="6744"/>
      <c r="AW1960" s="6744"/>
      <c r="AX1960" s="6744"/>
      <c r="AY1960" s="6744"/>
      <c r="AZ1960" s="6744"/>
      <c r="BA1960" s="6744"/>
      <c r="BB1960" s="6744"/>
      <c r="BC1960" s="6744"/>
      <c r="BD1960" s="6809"/>
      <c r="BE1960" s="6809"/>
      <c r="BF1960" s="6809"/>
      <c r="BG1960" s="6809"/>
      <c r="BH1960" s="6809"/>
      <c r="BI1960" s="6809"/>
      <c r="BJ1960" s="6809"/>
      <c r="BK1960" s="6809"/>
      <c r="BL1960" s="6809"/>
      <c r="BM1960" s="6809"/>
      <c r="BN1960" s="6744">
        <v>17000</v>
      </c>
      <c r="BO1960" s="6842"/>
      <c r="BP1960" s="6744"/>
      <c r="BQ1960" s="6744"/>
      <c r="BR1960" s="6744"/>
      <c r="BS1960" s="6744"/>
      <c r="BT1960" s="6744"/>
      <c r="BU1960" s="6744"/>
      <c r="BV1960" s="6744"/>
      <c r="BW1960" s="6744"/>
      <c r="BX1960" s="6744"/>
      <c r="BY1960" s="6744"/>
      <c r="BZ1960" s="6744"/>
      <c r="CA1960" s="6744"/>
      <c r="CB1960" s="6744">
        <v>17000</v>
      </c>
      <c r="CC1960" s="6842"/>
      <c r="CD1960" s="6842"/>
      <c r="CE1960" s="6840"/>
      <c r="CF1960" s="6840"/>
      <c r="CG1960" s="6840"/>
      <c r="CH1960" s="6840"/>
    </row>
    <row r="1961" s="4998" customFormat="1" ht="50.85" customHeight="1" spans="1:86">
      <c r="A1961" s="3812"/>
      <c r="B1961" s="3812"/>
      <c r="C1961" s="3812">
        <v>44666</v>
      </c>
      <c r="D1961" s="6748"/>
      <c r="E1961" s="6748"/>
      <c r="F1961" s="6748"/>
      <c r="G1961" s="6748"/>
      <c r="H1961" s="6733" t="s">
        <v>3501</v>
      </c>
      <c r="I1961" s="6733"/>
      <c r="J1961" s="6748"/>
      <c r="K1961" s="6748"/>
      <c r="L1961" s="6748"/>
      <c r="M1961" s="6744">
        <f>SUM(N1961:AA1964)</f>
        <v>30000</v>
      </c>
      <c r="N1961" s="6744"/>
      <c r="O1961" s="6744"/>
      <c r="P1961" s="6744"/>
      <c r="Q1961" s="6744"/>
      <c r="R1961" s="6744"/>
      <c r="S1961" s="6744"/>
      <c r="T1961" s="6744"/>
      <c r="U1961" s="6744"/>
      <c r="V1961" s="6744"/>
      <c r="W1961" s="6744"/>
      <c r="X1961" s="6744"/>
      <c r="Y1961" s="6744"/>
      <c r="Z1961" s="6744"/>
      <c r="AA1961" s="6744">
        <v>30000</v>
      </c>
      <c r="AB1961" s="6744" t="s">
        <v>126</v>
      </c>
      <c r="AC1961" s="1089" t="s">
        <v>3502</v>
      </c>
      <c r="AD1961" s="6733" t="s">
        <v>3503</v>
      </c>
      <c r="AE1961" s="6827">
        <v>0.2</v>
      </c>
      <c r="AF1961" s="6744">
        <v>4000</v>
      </c>
      <c r="AG1961" s="6744">
        <f t="shared" si="436"/>
        <v>4000</v>
      </c>
      <c r="AH1961" s="6744" t="s">
        <v>122</v>
      </c>
      <c r="AI1961" s="6744">
        <v>44699</v>
      </c>
      <c r="AJ1961" s="6744">
        <v>4000</v>
      </c>
      <c r="AK1961" s="6744">
        <v>44699</v>
      </c>
      <c r="AL1961" s="6744">
        <v>4000</v>
      </c>
      <c r="AM1961" s="6744">
        <v>44699</v>
      </c>
      <c r="AN1961" s="6744">
        <f t="shared" si="437"/>
        <v>4000</v>
      </c>
      <c r="AO1961" s="6744">
        <v>44757</v>
      </c>
      <c r="AP1961" s="6744">
        <f t="shared" si="435"/>
        <v>0</v>
      </c>
      <c r="AQ1961" s="6744"/>
      <c r="AR1961" s="6744"/>
      <c r="AS1961" s="6744"/>
      <c r="AT1961" s="6744"/>
      <c r="AU1961" s="6744"/>
      <c r="AV1961" s="6744"/>
      <c r="AW1961" s="6744"/>
      <c r="AX1961" s="6744"/>
      <c r="AY1961" s="6744"/>
      <c r="AZ1961" s="6744"/>
      <c r="BA1961" s="6744"/>
      <c r="BB1961" s="6744"/>
      <c r="BC1961" s="6744"/>
      <c r="BD1961" s="6744"/>
      <c r="BE1961" s="6744"/>
      <c r="BF1961" s="6744"/>
      <c r="BG1961" s="6744"/>
      <c r="BH1961" s="6744"/>
      <c r="BI1961" s="6744"/>
      <c r="BJ1961" s="6744"/>
      <c r="BK1961" s="6744"/>
      <c r="BL1961" s="6744"/>
      <c r="BM1961" s="6744"/>
      <c r="BN1961" s="6744">
        <v>4000</v>
      </c>
      <c r="BO1961" s="6842"/>
      <c r="BP1961" s="6744"/>
      <c r="BQ1961" s="6744"/>
      <c r="BR1961" s="6744"/>
      <c r="BS1961" s="6744"/>
      <c r="BT1961" s="6744"/>
      <c r="BU1961" s="6744"/>
      <c r="BV1961" s="6744"/>
      <c r="BW1961" s="6744"/>
      <c r="BX1961" s="6744"/>
      <c r="BY1961" s="6744"/>
      <c r="BZ1961" s="6744"/>
      <c r="CA1961" s="6744"/>
      <c r="CB1961" s="6744">
        <v>4000</v>
      </c>
      <c r="CC1961" s="6842"/>
      <c r="CD1961" s="6842"/>
      <c r="CE1961" s="6840"/>
      <c r="CF1961" s="6840"/>
      <c r="CG1961" s="6840"/>
      <c r="CH1961" s="6840"/>
    </row>
    <row r="1962" s="4998" customFormat="1" ht="50.85" customHeight="1" spans="1:86">
      <c r="A1962" s="3812"/>
      <c r="B1962" s="3812"/>
      <c r="C1962" s="3812"/>
      <c r="D1962" s="6748"/>
      <c r="E1962" s="6748"/>
      <c r="F1962" s="6748"/>
      <c r="G1962" s="6748"/>
      <c r="H1962" s="6733"/>
      <c r="I1962" s="6733"/>
      <c r="J1962" s="6748"/>
      <c r="K1962" s="6748"/>
      <c r="L1962" s="6748"/>
      <c r="M1962" s="6744"/>
      <c r="N1962" s="6744"/>
      <c r="O1962" s="6744"/>
      <c r="P1962" s="6744"/>
      <c r="Q1962" s="6744"/>
      <c r="R1962" s="6744"/>
      <c r="S1962" s="6744"/>
      <c r="T1962" s="6744"/>
      <c r="U1962" s="6744"/>
      <c r="V1962" s="6744"/>
      <c r="W1962" s="6744"/>
      <c r="X1962" s="6744"/>
      <c r="Y1962" s="6744"/>
      <c r="Z1962" s="6744"/>
      <c r="AA1962" s="6744"/>
      <c r="AB1962" s="6744"/>
      <c r="AC1962" s="1089" t="s">
        <v>3504</v>
      </c>
      <c r="AD1962" s="6733" t="s">
        <v>3505</v>
      </c>
      <c r="AE1962" s="6827">
        <v>0.6</v>
      </c>
      <c r="AF1962" s="6744">
        <v>12000</v>
      </c>
      <c r="AG1962" s="6744">
        <f t="shared" si="436"/>
        <v>12000</v>
      </c>
      <c r="AH1962" s="6744" t="s">
        <v>122</v>
      </c>
      <c r="AI1962" s="6744">
        <v>44699</v>
      </c>
      <c r="AJ1962" s="6744">
        <v>12000</v>
      </c>
      <c r="AK1962" s="6744">
        <v>44699</v>
      </c>
      <c r="AL1962" s="6744">
        <v>12000</v>
      </c>
      <c r="AM1962" s="6744">
        <v>44699</v>
      </c>
      <c r="AN1962" s="6744">
        <f t="shared" si="437"/>
        <v>12000</v>
      </c>
      <c r="AO1962" s="6744">
        <v>44757</v>
      </c>
      <c r="AP1962" s="6744">
        <f t="shared" si="435"/>
        <v>0</v>
      </c>
      <c r="AQ1962" s="6744"/>
      <c r="AR1962" s="6744"/>
      <c r="AS1962" s="6744"/>
      <c r="AT1962" s="6744"/>
      <c r="AU1962" s="6744"/>
      <c r="AV1962" s="6744"/>
      <c r="AW1962" s="6744"/>
      <c r="AX1962" s="6744"/>
      <c r="AY1962" s="6744"/>
      <c r="AZ1962" s="6744"/>
      <c r="BA1962" s="6744"/>
      <c r="BB1962" s="6744"/>
      <c r="BC1962" s="6744"/>
      <c r="BD1962" s="6744"/>
      <c r="BE1962" s="6744"/>
      <c r="BF1962" s="6744"/>
      <c r="BG1962" s="6744"/>
      <c r="BH1962" s="6744"/>
      <c r="BI1962" s="6744"/>
      <c r="BJ1962" s="6744"/>
      <c r="BK1962" s="6744"/>
      <c r="BL1962" s="6744"/>
      <c r="BM1962" s="6744"/>
      <c r="BN1962" s="6744">
        <v>12000</v>
      </c>
      <c r="BO1962" s="6842"/>
      <c r="BP1962" s="6744"/>
      <c r="BQ1962" s="6744"/>
      <c r="BR1962" s="6744"/>
      <c r="BS1962" s="6744"/>
      <c r="BT1962" s="6744"/>
      <c r="BU1962" s="6744"/>
      <c r="BV1962" s="6744"/>
      <c r="BW1962" s="6744"/>
      <c r="BX1962" s="6744"/>
      <c r="BY1962" s="6744"/>
      <c r="BZ1962" s="6744"/>
      <c r="CA1962" s="6744"/>
      <c r="CB1962" s="6744">
        <v>12000</v>
      </c>
      <c r="CC1962" s="6842"/>
      <c r="CD1962" s="6842"/>
      <c r="CE1962" s="6840"/>
      <c r="CF1962" s="6840"/>
      <c r="CG1962" s="6840"/>
      <c r="CH1962" s="6840"/>
    </row>
    <row r="1963" s="4998" customFormat="1" ht="50.85" customHeight="1" spans="1:86">
      <c r="A1963" s="3812"/>
      <c r="B1963" s="3812"/>
      <c r="C1963" s="3812"/>
      <c r="D1963" s="6748"/>
      <c r="E1963" s="6748"/>
      <c r="F1963" s="6748"/>
      <c r="G1963" s="6748"/>
      <c r="H1963" s="6744"/>
      <c r="I1963" s="6744"/>
      <c r="J1963" s="6748"/>
      <c r="K1963" s="6748"/>
      <c r="L1963" s="6748"/>
      <c r="M1963" s="6744"/>
      <c r="N1963" s="6744"/>
      <c r="O1963" s="6744"/>
      <c r="P1963" s="6744"/>
      <c r="Q1963" s="6744"/>
      <c r="R1963" s="6744"/>
      <c r="S1963" s="6744"/>
      <c r="T1963" s="6744"/>
      <c r="U1963" s="6744"/>
      <c r="V1963" s="6744"/>
      <c r="W1963" s="6744"/>
      <c r="X1963" s="6744"/>
      <c r="Y1963" s="6744"/>
      <c r="Z1963" s="6744"/>
      <c r="AA1963" s="6744"/>
      <c r="AB1963" s="6744"/>
      <c r="AC1963" s="1089" t="s">
        <v>3504</v>
      </c>
      <c r="AD1963" s="6733" t="s">
        <v>3506</v>
      </c>
      <c r="AE1963" s="6733" t="s">
        <v>171</v>
      </c>
      <c r="AF1963" s="6744">
        <v>10000</v>
      </c>
      <c r="AG1963" s="6744">
        <f t="shared" si="436"/>
        <v>0</v>
      </c>
      <c r="AH1963" s="6844"/>
      <c r="AI1963" s="6809"/>
      <c r="AJ1963" s="6744"/>
      <c r="AK1963" s="6744"/>
      <c r="AL1963" s="6744"/>
      <c r="AM1963" s="6744"/>
      <c r="AN1963" s="6744">
        <f t="shared" si="437"/>
        <v>0</v>
      </c>
      <c r="AO1963" s="6744"/>
      <c r="AP1963" s="6744"/>
      <c r="AQ1963" s="6744"/>
      <c r="AR1963" s="6744"/>
      <c r="AS1963" s="6744"/>
      <c r="AT1963" s="6744"/>
      <c r="AU1963" s="6744"/>
      <c r="AV1963" s="6744"/>
      <c r="AW1963" s="6744"/>
      <c r="AX1963" s="6744"/>
      <c r="AY1963" s="6744"/>
      <c r="AZ1963" s="6744"/>
      <c r="BA1963" s="6744"/>
      <c r="BB1963" s="6744"/>
      <c r="BC1963" s="6744"/>
      <c r="BD1963" s="6744"/>
      <c r="BE1963" s="6744"/>
      <c r="BF1963" s="6744"/>
      <c r="BG1963" s="6744"/>
      <c r="BH1963" s="6744"/>
      <c r="BI1963" s="6744"/>
      <c r="BJ1963" s="6744"/>
      <c r="BK1963" s="6744"/>
      <c r="BL1963" s="6744"/>
      <c r="BM1963" s="6744"/>
      <c r="BN1963" s="6842"/>
      <c r="BO1963" s="6842"/>
      <c r="BP1963" s="6744"/>
      <c r="BQ1963" s="6744"/>
      <c r="BR1963" s="6744"/>
      <c r="BS1963" s="6744"/>
      <c r="BT1963" s="6744"/>
      <c r="BU1963" s="6744"/>
      <c r="BV1963" s="6744"/>
      <c r="BW1963" s="6744"/>
      <c r="BX1963" s="6744"/>
      <c r="BY1963" s="6744"/>
      <c r="BZ1963" s="6744"/>
      <c r="CA1963" s="6744"/>
      <c r="CB1963" s="6842"/>
      <c r="CC1963" s="6842"/>
      <c r="CD1963" s="6842"/>
      <c r="CE1963" s="6840"/>
      <c r="CF1963" s="6840"/>
      <c r="CG1963" s="6840"/>
      <c r="CH1963" s="6840"/>
    </row>
    <row r="1964" s="4998" customFormat="1" ht="50.85" customHeight="1" spans="1:86">
      <c r="A1964" s="3812"/>
      <c r="B1964" s="3812"/>
      <c r="C1964" s="3812"/>
      <c r="D1964" s="6748"/>
      <c r="E1964" s="6748"/>
      <c r="F1964" s="6748"/>
      <c r="G1964" s="6748"/>
      <c r="H1964" s="6744"/>
      <c r="I1964" s="6744"/>
      <c r="J1964" s="6748"/>
      <c r="K1964" s="6748"/>
      <c r="L1964" s="6748"/>
      <c r="M1964" s="6744"/>
      <c r="N1964" s="6744"/>
      <c r="O1964" s="6744"/>
      <c r="P1964" s="6744"/>
      <c r="Q1964" s="6744"/>
      <c r="R1964" s="6744"/>
      <c r="S1964" s="6744"/>
      <c r="T1964" s="6744"/>
      <c r="U1964" s="6744"/>
      <c r="V1964" s="6744"/>
      <c r="W1964" s="6744"/>
      <c r="X1964" s="6744"/>
      <c r="Y1964" s="6744"/>
      <c r="Z1964" s="6744"/>
      <c r="AA1964" s="6744"/>
      <c r="AB1964" s="6744"/>
      <c r="AC1964" s="1089" t="s">
        <v>3507</v>
      </c>
      <c r="AD1964" s="6733" t="s">
        <v>3508</v>
      </c>
      <c r="AE1964" s="6827">
        <v>0.2</v>
      </c>
      <c r="AF1964" s="6744">
        <v>4000</v>
      </c>
      <c r="AG1964" s="6744">
        <f t="shared" si="436"/>
        <v>4000</v>
      </c>
      <c r="AH1964" s="1089" t="s">
        <v>122</v>
      </c>
      <c r="AI1964" s="6744">
        <v>45287</v>
      </c>
      <c r="AJ1964" s="6744">
        <f>SUM(BD1964:BQ1964)</f>
        <v>4000</v>
      </c>
      <c r="AK1964" s="6744">
        <v>45286</v>
      </c>
      <c r="AL1964" s="6744">
        <v>4000</v>
      </c>
      <c r="AM1964" s="6744">
        <v>45512</v>
      </c>
      <c r="AN1964" s="6809">
        <f t="shared" si="437"/>
        <v>4000</v>
      </c>
      <c r="AO1964" s="6809"/>
      <c r="AP1964" s="6744"/>
      <c r="AQ1964" s="6744"/>
      <c r="AR1964" s="6744"/>
      <c r="AS1964" s="6744"/>
      <c r="AT1964" s="6744"/>
      <c r="AU1964" s="6744"/>
      <c r="AV1964" s="6744"/>
      <c r="AW1964" s="6744"/>
      <c r="AX1964" s="6744"/>
      <c r="AY1964" s="6744"/>
      <c r="AZ1964" s="6744"/>
      <c r="BA1964" s="6744"/>
      <c r="BB1964" s="6744"/>
      <c r="BC1964" s="6744"/>
      <c r="BD1964" s="6809"/>
      <c r="BE1964" s="6809"/>
      <c r="BF1964" s="6809"/>
      <c r="BG1964" s="6809"/>
      <c r="BH1964" s="6809"/>
      <c r="BI1964" s="6809"/>
      <c r="BJ1964" s="6809"/>
      <c r="BK1964" s="6809"/>
      <c r="BL1964" s="6809"/>
      <c r="BM1964" s="6809"/>
      <c r="BN1964" s="6744">
        <v>4000</v>
      </c>
      <c r="BO1964" s="6842"/>
      <c r="BP1964" s="6744"/>
      <c r="BQ1964" s="6744"/>
      <c r="BR1964" s="6744"/>
      <c r="BS1964" s="6744"/>
      <c r="BT1964" s="6744"/>
      <c r="BU1964" s="6744"/>
      <c r="BV1964" s="6744"/>
      <c r="BW1964" s="6744"/>
      <c r="BX1964" s="6744"/>
      <c r="BY1964" s="6744"/>
      <c r="BZ1964" s="6744"/>
      <c r="CA1964" s="6744"/>
      <c r="CB1964" s="6744">
        <v>4000</v>
      </c>
      <c r="CC1964" s="6842"/>
      <c r="CD1964" s="6842"/>
      <c r="CE1964" s="6840"/>
      <c r="CF1964" s="6840"/>
      <c r="CG1964" s="6840"/>
      <c r="CH1964" s="6840"/>
    </row>
    <row r="1965" s="4998" customFormat="1" ht="47.5" customHeight="1" spans="1:86">
      <c r="A1965" s="3812"/>
      <c r="B1965" s="3812"/>
      <c r="C1965" s="3812">
        <v>44263</v>
      </c>
      <c r="D1965" s="6748"/>
      <c r="E1965" s="6748"/>
      <c r="F1965" s="6748"/>
      <c r="G1965" s="6748"/>
      <c r="H1965" s="6744" t="s">
        <v>3465</v>
      </c>
      <c r="I1965" s="6744"/>
      <c r="J1965" s="6748"/>
      <c r="K1965" s="6748"/>
      <c r="L1965" s="6748"/>
      <c r="M1965" s="6744">
        <f>SUM(N1965:AA1967)</f>
        <v>61914.93</v>
      </c>
      <c r="N1965" s="6744"/>
      <c r="O1965" s="6827"/>
      <c r="P1965" s="6827"/>
      <c r="Q1965" s="6744"/>
      <c r="R1965" s="6744"/>
      <c r="S1965" s="6744"/>
      <c r="T1965" s="6744"/>
      <c r="U1965" s="6744"/>
      <c r="V1965" s="6744"/>
      <c r="W1965" s="6744"/>
      <c r="X1965" s="6744"/>
      <c r="Y1965" s="6744"/>
      <c r="Z1965" s="6744"/>
      <c r="AA1965" s="6744">
        <v>61914.93</v>
      </c>
      <c r="AB1965" s="6744" t="s">
        <v>126</v>
      </c>
      <c r="AC1965" s="6744" t="s">
        <v>3466</v>
      </c>
      <c r="AD1965" s="6827" t="s">
        <v>3455</v>
      </c>
      <c r="AE1965" s="6827">
        <v>0.2</v>
      </c>
      <c r="AF1965" s="6744">
        <f>M1965*AE1965</f>
        <v>12382.986</v>
      </c>
      <c r="AG1965" s="6744">
        <f t="shared" ref="AG1965:AG1997" si="438">SUM(BA1965:BN1965)</f>
        <v>49531.94</v>
      </c>
      <c r="AH1965" s="6744" t="s">
        <v>122</v>
      </c>
      <c r="AI1965" s="6744">
        <v>44457</v>
      </c>
      <c r="AJ1965" s="6744">
        <v>49531.94</v>
      </c>
      <c r="AK1965" s="6744">
        <v>44457</v>
      </c>
      <c r="AL1965" s="6744">
        <v>49531.94</v>
      </c>
      <c r="AM1965" s="6744">
        <v>44457</v>
      </c>
      <c r="AN1965" s="6744">
        <f t="shared" ref="AN1965:AN1996" si="439">SUM(BO1965:CB1965)</f>
        <v>49531.94</v>
      </c>
      <c r="AO1965" s="6744">
        <v>44468</v>
      </c>
      <c r="AP1965" s="6744">
        <f t="shared" ref="AP1965:AP1996" si="440">AG1965-AN1965</f>
        <v>0</v>
      </c>
      <c r="AQ1965" s="6744"/>
      <c r="AR1965" s="6744"/>
      <c r="AS1965" s="6744"/>
      <c r="AT1965" s="6744"/>
      <c r="AU1965" s="6744"/>
      <c r="AV1965" s="6744"/>
      <c r="AW1965" s="6744"/>
      <c r="AX1965" s="6744"/>
      <c r="AY1965" s="6744"/>
      <c r="AZ1965" s="6744"/>
      <c r="BA1965" s="6744"/>
      <c r="BB1965" s="6744"/>
      <c r="BC1965" s="6744"/>
      <c r="BD1965" s="6744"/>
      <c r="BE1965" s="6744"/>
      <c r="BF1965" s="6744"/>
      <c r="BG1965" s="6744"/>
      <c r="BH1965" s="6744"/>
      <c r="BI1965" s="6744"/>
      <c r="BJ1965" s="6744"/>
      <c r="BK1965" s="6744"/>
      <c r="BL1965" s="6744"/>
      <c r="BM1965" s="6744"/>
      <c r="BN1965" s="6744">
        <v>49531.94</v>
      </c>
      <c r="BO1965" s="6809"/>
      <c r="BP1965" s="6809"/>
      <c r="BQ1965" s="6809"/>
      <c r="BR1965" s="6809"/>
      <c r="BS1965" s="6809"/>
      <c r="BT1965" s="6809"/>
      <c r="BU1965" s="6809"/>
      <c r="BV1965" s="6809"/>
      <c r="BW1965" s="6809"/>
      <c r="BX1965" s="6809"/>
      <c r="BY1965" s="6809"/>
      <c r="BZ1965" s="6809"/>
      <c r="CA1965" s="6809"/>
      <c r="CB1965" s="6809">
        <v>49531.94</v>
      </c>
      <c r="CC1965" s="6842"/>
      <c r="CD1965" s="6842"/>
      <c r="CE1965" s="6840"/>
      <c r="CF1965" s="6840"/>
      <c r="CG1965" s="6840"/>
      <c r="CH1965" s="6840"/>
    </row>
    <row r="1966" s="4998" customFormat="1" ht="59.15" customHeight="1" spans="1:86">
      <c r="A1966" s="3812"/>
      <c r="B1966" s="3812"/>
      <c r="C1966" s="3812"/>
      <c r="D1966" s="6748"/>
      <c r="E1966" s="6748"/>
      <c r="F1966" s="6748"/>
      <c r="G1966" s="6748"/>
      <c r="H1966" s="6744"/>
      <c r="I1966" s="6744"/>
      <c r="J1966" s="6748"/>
      <c r="K1966" s="6748"/>
      <c r="L1966" s="6748"/>
      <c r="M1966" s="6744"/>
      <c r="N1966" s="6744"/>
      <c r="O1966" s="6827"/>
      <c r="P1966" s="6827"/>
      <c r="Q1966" s="6744"/>
      <c r="R1966" s="6744"/>
      <c r="S1966" s="6744"/>
      <c r="T1966" s="6744"/>
      <c r="U1966" s="6744"/>
      <c r="V1966" s="6744"/>
      <c r="W1966" s="6744"/>
      <c r="X1966" s="6744"/>
      <c r="Y1966" s="6744"/>
      <c r="Z1966" s="6744"/>
      <c r="AA1966" s="6744"/>
      <c r="AB1966" s="6744"/>
      <c r="AC1966" s="6744" t="s">
        <v>3467</v>
      </c>
      <c r="AD1966" s="6827" t="s">
        <v>3457</v>
      </c>
      <c r="AE1966" s="6827">
        <v>0.6</v>
      </c>
      <c r="AF1966" s="6744">
        <f>M1965*AE1966</f>
        <v>37148.958</v>
      </c>
      <c r="AG1966" s="6744"/>
      <c r="AH1966" s="6744"/>
      <c r="AI1966" s="6744"/>
      <c r="AJ1966" s="6744"/>
      <c r="AK1966" s="6744"/>
      <c r="AL1966" s="6744"/>
      <c r="AM1966" s="6744"/>
      <c r="AN1966" s="6744"/>
      <c r="AO1966" s="6744"/>
      <c r="AP1966" s="6744"/>
      <c r="AQ1966" s="6744"/>
      <c r="AR1966" s="6744"/>
      <c r="AS1966" s="6744"/>
      <c r="AT1966" s="6744"/>
      <c r="AU1966" s="6744"/>
      <c r="AV1966" s="6744"/>
      <c r="AW1966" s="6744"/>
      <c r="AX1966" s="6744"/>
      <c r="AY1966" s="6744"/>
      <c r="AZ1966" s="6744"/>
      <c r="BA1966" s="6744"/>
      <c r="BB1966" s="6744"/>
      <c r="BC1966" s="6744"/>
      <c r="BD1966" s="6744"/>
      <c r="BE1966" s="6744"/>
      <c r="BF1966" s="6744"/>
      <c r="BG1966" s="6744"/>
      <c r="BH1966" s="6744"/>
      <c r="BI1966" s="6744"/>
      <c r="BJ1966" s="6744"/>
      <c r="BK1966" s="6744"/>
      <c r="BL1966" s="6744"/>
      <c r="BM1966" s="6744"/>
      <c r="BN1966" s="6744"/>
      <c r="BO1966" s="6809"/>
      <c r="BP1966" s="6809"/>
      <c r="BQ1966" s="6809"/>
      <c r="BR1966" s="6809"/>
      <c r="BS1966" s="6809"/>
      <c r="BT1966" s="6809"/>
      <c r="BU1966" s="6809"/>
      <c r="BV1966" s="6809"/>
      <c r="BW1966" s="6809"/>
      <c r="BX1966" s="6809"/>
      <c r="BY1966" s="6809"/>
      <c r="BZ1966" s="6809"/>
      <c r="CA1966" s="6809"/>
      <c r="CB1966" s="6809"/>
      <c r="CC1966" s="6842"/>
      <c r="CD1966" s="6842"/>
      <c r="CE1966" s="6840"/>
      <c r="CF1966" s="6840"/>
      <c r="CG1966" s="6840"/>
      <c r="CH1966" s="6840"/>
    </row>
    <row r="1967" s="4998" customFormat="1" ht="52.5" customHeight="1" spans="1:86">
      <c r="A1967" s="3812"/>
      <c r="B1967" s="3812"/>
      <c r="C1967" s="3812"/>
      <c r="D1967" s="6748"/>
      <c r="E1967" s="6748"/>
      <c r="F1967" s="6748"/>
      <c r="G1967" s="6748"/>
      <c r="H1967" s="6744"/>
      <c r="I1967" s="6744"/>
      <c r="J1967" s="6748"/>
      <c r="K1967" s="6748"/>
      <c r="L1967" s="6748"/>
      <c r="M1967" s="6744"/>
      <c r="N1967" s="6744"/>
      <c r="O1967" s="6827"/>
      <c r="P1967" s="6827"/>
      <c r="Q1967" s="6744"/>
      <c r="R1967" s="6744"/>
      <c r="S1967" s="6744"/>
      <c r="T1967" s="6744"/>
      <c r="U1967" s="6744"/>
      <c r="V1967" s="6744"/>
      <c r="W1967" s="6744"/>
      <c r="X1967" s="6744"/>
      <c r="Y1967" s="6744"/>
      <c r="Z1967" s="6744"/>
      <c r="AA1967" s="6744"/>
      <c r="AB1967" s="6744"/>
      <c r="AC1967" s="6744" t="s">
        <v>3468</v>
      </c>
      <c r="AD1967" s="6827" t="s">
        <v>3459</v>
      </c>
      <c r="AE1967" s="6827">
        <v>0.2</v>
      </c>
      <c r="AF1967" s="6744">
        <f>M1965*AE1967</f>
        <v>12382.986</v>
      </c>
      <c r="AG1967" s="6744">
        <f t="shared" si="438"/>
        <v>14146.15</v>
      </c>
      <c r="AH1967" s="1089" t="s">
        <v>122</v>
      </c>
      <c r="AI1967" s="6744">
        <v>45287</v>
      </c>
      <c r="AJ1967" s="6744">
        <v>14146.15</v>
      </c>
      <c r="AK1967" s="6744">
        <v>45286</v>
      </c>
      <c r="AL1967" s="6744">
        <v>14146.15</v>
      </c>
      <c r="AM1967" s="6744">
        <v>45512</v>
      </c>
      <c r="AN1967" s="6809">
        <f t="shared" si="439"/>
        <v>14146.15</v>
      </c>
      <c r="AO1967" s="6809"/>
      <c r="AP1967" s="6744">
        <f t="shared" si="440"/>
        <v>0</v>
      </c>
      <c r="AQ1967" s="6744"/>
      <c r="AR1967" s="6744"/>
      <c r="AS1967" s="6744"/>
      <c r="AT1967" s="6744"/>
      <c r="AU1967" s="6744"/>
      <c r="AV1967" s="6744"/>
      <c r="AW1967" s="6744"/>
      <c r="AX1967" s="6744"/>
      <c r="AY1967" s="6744"/>
      <c r="AZ1967" s="6744"/>
      <c r="BA1967" s="6744"/>
      <c r="BB1967" s="6744"/>
      <c r="BC1967" s="6744"/>
      <c r="BD1967" s="6809"/>
      <c r="BE1967" s="6809"/>
      <c r="BF1967" s="6809"/>
      <c r="BG1967" s="6809"/>
      <c r="BH1967" s="6809"/>
      <c r="BI1967" s="6809"/>
      <c r="BJ1967" s="6809"/>
      <c r="BK1967" s="6809"/>
      <c r="BL1967" s="6809"/>
      <c r="BM1967" s="6809"/>
      <c r="BN1967" s="6744">
        <v>14146.15</v>
      </c>
      <c r="BO1967" s="6842"/>
      <c r="BP1967" s="6744"/>
      <c r="BQ1967" s="6744"/>
      <c r="BR1967" s="6744"/>
      <c r="BS1967" s="6744"/>
      <c r="BT1967" s="6744"/>
      <c r="BU1967" s="6744"/>
      <c r="BV1967" s="6744"/>
      <c r="BW1967" s="6744"/>
      <c r="BX1967" s="6744"/>
      <c r="BY1967" s="6744"/>
      <c r="BZ1967" s="6744"/>
      <c r="CA1967" s="6744"/>
      <c r="CB1967" s="6842">
        <v>14146.15</v>
      </c>
      <c r="CC1967" s="6842"/>
      <c r="CD1967" s="6842"/>
      <c r="CE1967" s="6840"/>
      <c r="CF1967" s="6840"/>
      <c r="CG1967" s="6840"/>
      <c r="CH1967" s="6840"/>
    </row>
    <row r="1968" s="4998" customFormat="1" ht="44.15" customHeight="1" spans="1:86">
      <c r="A1968" s="3812"/>
      <c r="B1968" s="3812"/>
      <c r="C1968" s="3812">
        <v>44263</v>
      </c>
      <c r="D1968" s="6748"/>
      <c r="E1968" s="6748"/>
      <c r="F1968" s="6748"/>
      <c r="G1968" s="6748"/>
      <c r="H1968" s="6744" t="s">
        <v>3469</v>
      </c>
      <c r="I1968" s="6744"/>
      <c r="J1968" s="6748"/>
      <c r="K1968" s="6748"/>
      <c r="L1968" s="6748"/>
      <c r="M1968" s="6744">
        <f>SUM(N1968:AA1970)</f>
        <v>264987.53</v>
      </c>
      <c r="N1968" s="6744"/>
      <c r="O1968" s="6827"/>
      <c r="P1968" s="6827"/>
      <c r="Q1968" s="6744"/>
      <c r="R1968" s="6744"/>
      <c r="S1968" s="6744"/>
      <c r="T1968" s="6744"/>
      <c r="U1968" s="6744"/>
      <c r="V1968" s="6744"/>
      <c r="W1968" s="6744"/>
      <c r="X1968" s="6744"/>
      <c r="Y1968" s="6744"/>
      <c r="Z1968" s="6744"/>
      <c r="AA1968" s="6744">
        <v>264987.53</v>
      </c>
      <c r="AB1968" s="6744" t="s">
        <v>126</v>
      </c>
      <c r="AC1968" s="6744" t="s">
        <v>3470</v>
      </c>
      <c r="AD1968" s="6827" t="s">
        <v>3455</v>
      </c>
      <c r="AE1968" s="6827">
        <v>0.2</v>
      </c>
      <c r="AF1968" s="6744">
        <f>M1968*AE1968</f>
        <v>52997.506</v>
      </c>
      <c r="AG1968" s="6744">
        <f t="shared" si="438"/>
        <v>52997.51</v>
      </c>
      <c r="AH1968" s="6744" t="s">
        <v>122</v>
      </c>
      <c r="AI1968" s="6744">
        <v>44547</v>
      </c>
      <c r="AJ1968" s="6744">
        <v>52997.51</v>
      </c>
      <c r="AK1968" s="6744">
        <v>44547</v>
      </c>
      <c r="AL1968" s="6744">
        <v>52997.51</v>
      </c>
      <c r="AM1968" s="6744">
        <v>44547</v>
      </c>
      <c r="AN1968" s="6744">
        <f t="shared" si="439"/>
        <v>52997.51</v>
      </c>
      <c r="AO1968" s="6744">
        <v>44554</v>
      </c>
      <c r="AP1968" s="6744">
        <f t="shared" si="440"/>
        <v>0</v>
      </c>
      <c r="AQ1968" s="6744"/>
      <c r="AR1968" s="6744"/>
      <c r="AS1968" s="6744"/>
      <c r="AT1968" s="6744"/>
      <c r="AU1968" s="6744"/>
      <c r="AV1968" s="6744"/>
      <c r="AW1968" s="6744"/>
      <c r="AX1968" s="6744"/>
      <c r="AY1968" s="6744"/>
      <c r="AZ1968" s="6744"/>
      <c r="BA1968" s="6744"/>
      <c r="BB1968" s="6744"/>
      <c r="BC1968" s="6744"/>
      <c r="BD1968" s="6744"/>
      <c r="BE1968" s="6744"/>
      <c r="BF1968" s="6744"/>
      <c r="BG1968" s="6744"/>
      <c r="BH1968" s="6744"/>
      <c r="BI1968" s="6744"/>
      <c r="BJ1968" s="6744"/>
      <c r="BK1968" s="6744"/>
      <c r="BL1968" s="6744"/>
      <c r="BM1968" s="6744"/>
      <c r="BN1968" s="6744">
        <v>52997.51</v>
      </c>
      <c r="BO1968" s="6809"/>
      <c r="BP1968" s="6809"/>
      <c r="BQ1968" s="6809"/>
      <c r="BR1968" s="6809"/>
      <c r="BS1968" s="6809"/>
      <c r="BT1968" s="6809"/>
      <c r="BU1968" s="6809"/>
      <c r="BV1968" s="6809"/>
      <c r="BW1968" s="6809"/>
      <c r="BX1968" s="6809"/>
      <c r="BY1968" s="6809"/>
      <c r="BZ1968" s="6809"/>
      <c r="CA1968" s="6809"/>
      <c r="CB1968" s="6809">
        <v>52997.51</v>
      </c>
      <c r="CC1968" s="6842"/>
      <c r="CD1968" s="6842"/>
      <c r="CE1968" s="6840"/>
      <c r="CF1968" s="6840"/>
      <c r="CG1968" s="6840"/>
      <c r="CH1968" s="6840"/>
    </row>
    <row r="1969" s="4998" customFormat="1" ht="57.5" customHeight="1" spans="1:86">
      <c r="A1969" s="3812"/>
      <c r="B1969" s="3812"/>
      <c r="C1969" s="3812"/>
      <c r="D1969" s="6748"/>
      <c r="E1969" s="6748"/>
      <c r="F1969" s="6748"/>
      <c r="G1969" s="6748"/>
      <c r="H1969" s="6744"/>
      <c r="I1969" s="6744"/>
      <c r="J1969" s="6748"/>
      <c r="K1969" s="6748"/>
      <c r="L1969" s="6748"/>
      <c r="M1969" s="6744"/>
      <c r="N1969" s="6744"/>
      <c r="O1969" s="6827"/>
      <c r="P1969" s="6827"/>
      <c r="Q1969" s="6744"/>
      <c r="R1969" s="6744"/>
      <c r="S1969" s="6744"/>
      <c r="T1969" s="6744"/>
      <c r="U1969" s="6744"/>
      <c r="V1969" s="6744"/>
      <c r="W1969" s="6744"/>
      <c r="X1969" s="6744"/>
      <c r="Y1969" s="6744"/>
      <c r="Z1969" s="6744"/>
      <c r="AA1969" s="6744"/>
      <c r="AB1969" s="6744"/>
      <c r="AC1969" s="6744" t="s">
        <v>3471</v>
      </c>
      <c r="AD1969" s="6827" t="s">
        <v>3457</v>
      </c>
      <c r="AE1969" s="6827">
        <v>0.6</v>
      </c>
      <c r="AF1969" s="6744">
        <f>M1968*AE1969</f>
        <v>158992.518</v>
      </c>
      <c r="AG1969" s="6744">
        <f t="shared" si="438"/>
        <v>158992.52</v>
      </c>
      <c r="AH1969" s="1089" t="s">
        <v>122</v>
      </c>
      <c r="AI1969" s="6744">
        <v>44568</v>
      </c>
      <c r="AJ1969" s="6744">
        <v>158992.52</v>
      </c>
      <c r="AK1969" s="6744">
        <v>44568</v>
      </c>
      <c r="AL1969" s="6744">
        <v>158992.52</v>
      </c>
      <c r="AM1969" s="6744">
        <v>44568</v>
      </c>
      <c r="AN1969" s="6744">
        <f t="shared" si="439"/>
        <v>158992.52</v>
      </c>
      <c r="AO1969" s="6744">
        <v>44582</v>
      </c>
      <c r="AP1969" s="6744">
        <f t="shared" si="440"/>
        <v>0</v>
      </c>
      <c r="AQ1969" s="6744"/>
      <c r="AR1969" s="6744"/>
      <c r="AS1969" s="6744"/>
      <c r="AT1969" s="6744"/>
      <c r="AU1969" s="6744"/>
      <c r="AV1969" s="6744"/>
      <c r="AW1969" s="6744"/>
      <c r="AX1969" s="6744"/>
      <c r="AY1969" s="6744"/>
      <c r="AZ1969" s="6744"/>
      <c r="BA1969" s="6744"/>
      <c r="BB1969" s="6744"/>
      <c r="BC1969" s="6744"/>
      <c r="BD1969" s="6744"/>
      <c r="BE1969" s="6744"/>
      <c r="BF1969" s="6744"/>
      <c r="BG1969" s="6744"/>
      <c r="BH1969" s="6744"/>
      <c r="BI1969" s="6744"/>
      <c r="BJ1969" s="6744"/>
      <c r="BK1969" s="6744"/>
      <c r="BL1969" s="6744"/>
      <c r="BM1969" s="6744"/>
      <c r="BN1969" s="6744">
        <v>158992.52</v>
      </c>
      <c r="BO1969" s="6809"/>
      <c r="BP1969" s="6809"/>
      <c r="BQ1969" s="6809"/>
      <c r="BR1969" s="6809"/>
      <c r="BS1969" s="6809"/>
      <c r="BT1969" s="6809"/>
      <c r="BU1969" s="6809"/>
      <c r="BV1969" s="6809"/>
      <c r="BW1969" s="6809"/>
      <c r="BX1969" s="6809"/>
      <c r="BY1969" s="6809"/>
      <c r="BZ1969" s="6809"/>
      <c r="CA1969" s="6809"/>
      <c r="CB1969" s="6809">
        <v>158992.52</v>
      </c>
      <c r="CC1969" s="6842"/>
      <c r="CD1969" s="6842"/>
      <c r="CE1969" s="6840"/>
      <c r="CF1969" s="6840"/>
      <c r="CG1969" s="6840"/>
      <c r="CH1969" s="6840"/>
    </row>
    <row r="1970" s="4998" customFormat="1" ht="59.15" customHeight="1" spans="1:86">
      <c r="A1970" s="3812"/>
      <c r="B1970" s="3812"/>
      <c r="C1970" s="3812"/>
      <c r="D1970" s="6748"/>
      <c r="E1970" s="6748"/>
      <c r="F1970" s="6748"/>
      <c r="G1970" s="6748"/>
      <c r="H1970" s="6744"/>
      <c r="I1970" s="6744"/>
      <c r="J1970" s="6748"/>
      <c r="K1970" s="6748"/>
      <c r="L1970" s="6748"/>
      <c r="M1970" s="6744"/>
      <c r="N1970" s="6744"/>
      <c r="O1970" s="6827"/>
      <c r="P1970" s="6827"/>
      <c r="Q1970" s="6744"/>
      <c r="R1970" s="6744"/>
      <c r="S1970" s="6744"/>
      <c r="T1970" s="6744"/>
      <c r="U1970" s="6744"/>
      <c r="V1970" s="6744"/>
      <c r="W1970" s="6744"/>
      <c r="X1970" s="6744"/>
      <c r="Y1970" s="6744"/>
      <c r="Z1970" s="6744"/>
      <c r="AA1970" s="6744"/>
      <c r="AB1970" s="6744"/>
      <c r="AC1970" s="6744" t="s">
        <v>3472</v>
      </c>
      <c r="AD1970" s="6827" t="s">
        <v>3459</v>
      </c>
      <c r="AE1970" s="6827">
        <v>0.2</v>
      </c>
      <c r="AF1970" s="6744">
        <f>M1968*AE1970</f>
        <v>52997.506</v>
      </c>
      <c r="AG1970" s="6744">
        <f t="shared" si="438"/>
        <v>46159.6</v>
      </c>
      <c r="AH1970" s="1089" t="s">
        <v>122</v>
      </c>
      <c r="AI1970" s="6744">
        <v>45287</v>
      </c>
      <c r="AJ1970" s="6744">
        <v>46159.6</v>
      </c>
      <c r="AK1970" s="6744">
        <v>45286</v>
      </c>
      <c r="AL1970" s="6744">
        <v>46159.6</v>
      </c>
      <c r="AM1970" s="6744">
        <v>45512</v>
      </c>
      <c r="AN1970" s="6809">
        <f>SUM(BO1970:CC1970)</f>
        <v>46159.6</v>
      </c>
      <c r="AO1970" s="6809"/>
      <c r="AP1970" s="6744">
        <f t="shared" si="440"/>
        <v>0</v>
      </c>
      <c r="AQ1970" s="6744"/>
      <c r="AR1970" s="6744"/>
      <c r="AS1970" s="6744"/>
      <c r="AT1970" s="6744"/>
      <c r="AU1970" s="6744"/>
      <c r="AV1970" s="6744"/>
      <c r="AW1970" s="6744"/>
      <c r="AX1970" s="6744"/>
      <c r="AY1970" s="6744"/>
      <c r="AZ1970" s="6744"/>
      <c r="BA1970" s="6744"/>
      <c r="BB1970" s="6744"/>
      <c r="BC1970" s="6744"/>
      <c r="BD1970" s="6809"/>
      <c r="BE1970" s="6809"/>
      <c r="BF1970" s="6809"/>
      <c r="BG1970" s="6809"/>
      <c r="BH1970" s="6809"/>
      <c r="BI1970" s="6809"/>
      <c r="BJ1970" s="6809"/>
      <c r="BK1970" s="6809"/>
      <c r="BL1970" s="6809"/>
      <c r="BM1970" s="6809"/>
      <c r="BN1970" s="6744">
        <v>46159.6</v>
      </c>
      <c r="BO1970" s="6842"/>
      <c r="BP1970" s="6744"/>
      <c r="BQ1970" s="6744"/>
      <c r="BR1970" s="6744"/>
      <c r="BS1970" s="6744"/>
      <c r="BT1970" s="6744"/>
      <c r="BU1970" s="6744"/>
      <c r="BV1970" s="6744"/>
      <c r="BW1970" s="6744"/>
      <c r="BX1970" s="6744"/>
      <c r="BY1970" s="6744"/>
      <c r="BZ1970" s="6744"/>
      <c r="CA1970" s="6744"/>
      <c r="CB1970" s="6744">
        <v>46159.6</v>
      </c>
      <c r="CC1970" s="6809"/>
      <c r="CD1970" s="6842"/>
      <c r="CE1970" s="6840"/>
      <c r="CF1970" s="6840"/>
      <c r="CG1970" s="6840"/>
      <c r="CH1970" s="6840"/>
    </row>
    <row r="1971" s="4998" customFormat="1" ht="48.35" customHeight="1" spans="1:86">
      <c r="A1971" s="3812"/>
      <c r="B1971" s="3812"/>
      <c r="C1971" s="3812">
        <v>44263</v>
      </c>
      <c r="D1971" s="6748"/>
      <c r="E1971" s="6748"/>
      <c r="F1971" s="6748"/>
      <c r="G1971" s="6748"/>
      <c r="H1971" s="6744" t="s">
        <v>3473</v>
      </c>
      <c r="I1971" s="6744"/>
      <c r="J1971" s="6748"/>
      <c r="K1971" s="6748"/>
      <c r="L1971" s="6748"/>
      <c r="M1971" s="6744">
        <f>SUM(N1971:AA1973)</f>
        <v>128000</v>
      </c>
      <c r="N1971" s="6744"/>
      <c r="O1971" s="6827"/>
      <c r="P1971" s="6827"/>
      <c r="Q1971" s="6744"/>
      <c r="R1971" s="6744"/>
      <c r="S1971" s="6744"/>
      <c r="T1971" s="6744"/>
      <c r="U1971" s="6744"/>
      <c r="V1971" s="6744"/>
      <c r="W1971" s="6744"/>
      <c r="X1971" s="6744"/>
      <c r="Y1971" s="6744"/>
      <c r="Z1971" s="6744"/>
      <c r="AA1971" s="6744">
        <v>128000</v>
      </c>
      <c r="AB1971" s="6744" t="s">
        <v>126</v>
      </c>
      <c r="AC1971" s="6744" t="s">
        <v>3474</v>
      </c>
      <c r="AD1971" s="6827" t="s">
        <v>3455</v>
      </c>
      <c r="AE1971" s="6827">
        <v>0.2</v>
      </c>
      <c r="AF1971" s="6744">
        <f>M1971*AE1971</f>
        <v>25600</v>
      </c>
      <c r="AG1971" s="6744">
        <f t="shared" si="438"/>
        <v>25600</v>
      </c>
      <c r="AH1971" s="6744" t="s">
        <v>122</v>
      </c>
      <c r="AI1971" s="6744">
        <v>44547</v>
      </c>
      <c r="AJ1971" s="6744">
        <v>25600</v>
      </c>
      <c r="AK1971" s="6744">
        <v>44547</v>
      </c>
      <c r="AL1971" s="6744">
        <v>25600</v>
      </c>
      <c r="AM1971" s="6744">
        <v>44547</v>
      </c>
      <c r="AN1971" s="6744">
        <f t="shared" si="439"/>
        <v>25600</v>
      </c>
      <c r="AO1971" s="6744">
        <v>44554</v>
      </c>
      <c r="AP1971" s="6744">
        <f t="shared" si="440"/>
        <v>0</v>
      </c>
      <c r="AQ1971" s="6744"/>
      <c r="AR1971" s="6744"/>
      <c r="AS1971" s="6744"/>
      <c r="AT1971" s="6744"/>
      <c r="AU1971" s="6744"/>
      <c r="AV1971" s="6744"/>
      <c r="AW1971" s="6744"/>
      <c r="AX1971" s="6744"/>
      <c r="AY1971" s="6744"/>
      <c r="AZ1971" s="6744"/>
      <c r="BA1971" s="6744"/>
      <c r="BB1971" s="6744"/>
      <c r="BC1971" s="6744"/>
      <c r="BD1971" s="6744"/>
      <c r="BE1971" s="6744"/>
      <c r="BF1971" s="6744"/>
      <c r="BG1971" s="6744"/>
      <c r="BH1971" s="6744"/>
      <c r="BI1971" s="6744"/>
      <c r="BJ1971" s="6744"/>
      <c r="BK1971" s="6744"/>
      <c r="BL1971" s="6744"/>
      <c r="BM1971" s="6744"/>
      <c r="BN1971" s="6744">
        <v>25600</v>
      </c>
      <c r="BO1971" s="6809"/>
      <c r="BP1971" s="6809"/>
      <c r="BQ1971" s="6809"/>
      <c r="BR1971" s="6809"/>
      <c r="BS1971" s="6809"/>
      <c r="BT1971" s="6809"/>
      <c r="BU1971" s="6809"/>
      <c r="BV1971" s="6809"/>
      <c r="BW1971" s="6809"/>
      <c r="BX1971" s="6809"/>
      <c r="BY1971" s="6809"/>
      <c r="BZ1971" s="6809"/>
      <c r="CA1971" s="6809"/>
      <c r="CB1971" s="6809">
        <v>25600</v>
      </c>
      <c r="CC1971" s="6842"/>
      <c r="CD1971" s="6842"/>
      <c r="CE1971" s="6840"/>
      <c r="CF1971" s="6840"/>
      <c r="CG1971" s="6840"/>
      <c r="CH1971" s="6840"/>
    </row>
    <row r="1972" s="4998" customFormat="1" ht="55.85" customHeight="1" spans="1:86">
      <c r="A1972" s="3812"/>
      <c r="B1972" s="3812"/>
      <c r="C1972" s="3812"/>
      <c r="D1972" s="6748"/>
      <c r="E1972" s="6748"/>
      <c r="F1972" s="6748"/>
      <c r="G1972" s="6748"/>
      <c r="H1972" s="6744"/>
      <c r="I1972" s="6744"/>
      <c r="J1972" s="6748"/>
      <c r="K1972" s="6748"/>
      <c r="L1972" s="6748"/>
      <c r="M1972" s="6744"/>
      <c r="N1972" s="6744"/>
      <c r="O1972" s="6827"/>
      <c r="P1972" s="6827"/>
      <c r="Q1972" s="6744"/>
      <c r="R1972" s="6744"/>
      <c r="S1972" s="6744"/>
      <c r="T1972" s="6744"/>
      <c r="U1972" s="6744"/>
      <c r="V1972" s="6744"/>
      <c r="W1972" s="6744"/>
      <c r="X1972" s="6744"/>
      <c r="Y1972" s="6744"/>
      <c r="Z1972" s="6744"/>
      <c r="AA1972" s="6744"/>
      <c r="AB1972" s="6744"/>
      <c r="AC1972" s="6744" t="s">
        <v>3475</v>
      </c>
      <c r="AD1972" s="6827" t="s">
        <v>3457</v>
      </c>
      <c r="AE1972" s="6827">
        <v>0.6</v>
      </c>
      <c r="AF1972" s="6744">
        <f>M1971*AE1972</f>
        <v>76800</v>
      </c>
      <c r="AG1972" s="6744">
        <f t="shared" si="438"/>
        <v>0</v>
      </c>
      <c r="AH1972" s="6809"/>
      <c r="AI1972" s="6809"/>
      <c r="AJ1972" s="6744"/>
      <c r="AK1972" s="6744"/>
      <c r="AL1972" s="6744"/>
      <c r="AM1972" s="6744"/>
      <c r="AN1972" s="6744">
        <f t="shared" si="439"/>
        <v>0</v>
      </c>
      <c r="AO1972" s="6809"/>
      <c r="AP1972" s="6744">
        <f t="shared" si="440"/>
        <v>0</v>
      </c>
      <c r="AQ1972" s="1089" t="s">
        <v>3509</v>
      </c>
      <c r="AR1972" s="6744"/>
      <c r="AS1972" s="6744"/>
      <c r="AT1972" s="6744"/>
      <c r="AU1972" s="6744"/>
      <c r="AV1972" s="6744"/>
      <c r="AW1972" s="6744"/>
      <c r="AX1972" s="6744"/>
      <c r="AY1972" s="6744"/>
      <c r="AZ1972" s="6744"/>
      <c r="BA1972" s="6809"/>
      <c r="BB1972" s="6809"/>
      <c r="BC1972" s="6809"/>
      <c r="BD1972" s="6809"/>
      <c r="BE1972" s="6809"/>
      <c r="BF1972" s="6809"/>
      <c r="BG1972" s="6809"/>
      <c r="BH1972" s="6809"/>
      <c r="BI1972" s="6809"/>
      <c r="BJ1972" s="6809"/>
      <c r="BK1972" s="6809"/>
      <c r="BL1972" s="6809"/>
      <c r="BM1972" s="6809"/>
      <c r="BN1972" s="6809"/>
      <c r="BO1972" s="6809"/>
      <c r="BP1972" s="6809"/>
      <c r="BQ1972" s="6809"/>
      <c r="BR1972" s="6809"/>
      <c r="BS1972" s="6809"/>
      <c r="BT1972" s="6809"/>
      <c r="BU1972" s="6809"/>
      <c r="BV1972" s="6809"/>
      <c r="BW1972" s="6809"/>
      <c r="BX1972" s="6809"/>
      <c r="BY1972" s="6809"/>
      <c r="BZ1972" s="6809"/>
      <c r="CA1972" s="6809"/>
      <c r="CB1972" s="6809"/>
      <c r="CC1972" s="6842"/>
      <c r="CD1972" s="6842"/>
      <c r="CE1972" s="6840"/>
      <c r="CF1972" s="6840"/>
      <c r="CG1972" s="6840"/>
      <c r="CH1972" s="6840"/>
    </row>
    <row r="1973" s="4998" customFormat="1" ht="54.15" customHeight="1" spans="1:86">
      <c r="A1973" s="3812"/>
      <c r="B1973" s="3812"/>
      <c r="C1973" s="3812"/>
      <c r="D1973" s="6748"/>
      <c r="E1973" s="6748"/>
      <c r="F1973" s="6748"/>
      <c r="G1973" s="6748"/>
      <c r="H1973" s="6744"/>
      <c r="I1973" s="6744"/>
      <c r="J1973" s="6748"/>
      <c r="K1973" s="6748"/>
      <c r="L1973" s="6748"/>
      <c r="M1973" s="6744"/>
      <c r="N1973" s="6744"/>
      <c r="O1973" s="6827"/>
      <c r="P1973" s="6827"/>
      <c r="Q1973" s="6744"/>
      <c r="R1973" s="6744"/>
      <c r="S1973" s="6744"/>
      <c r="T1973" s="6744"/>
      <c r="U1973" s="6744"/>
      <c r="V1973" s="6744"/>
      <c r="W1973" s="6744"/>
      <c r="X1973" s="6744"/>
      <c r="Y1973" s="6744"/>
      <c r="Z1973" s="6744"/>
      <c r="AA1973" s="6744"/>
      <c r="AB1973" s="6744"/>
      <c r="AC1973" s="6744" t="s">
        <v>3476</v>
      </c>
      <c r="AD1973" s="6827" t="s">
        <v>3459</v>
      </c>
      <c r="AE1973" s="6827">
        <v>0.2</v>
      </c>
      <c r="AF1973" s="6744">
        <f>M1971*AE1973</f>
        <v>25600</v>
      </c>
      <c r="AG1973" s="6744">
        <f t="shared" si="438"/>
        <v>0</v>
      </c>
      <c r="AH1973" s="6744"/>
      <c r="AI1973" s="6744"/>
      <c r="AJ1973" s="6744"/>
      <c r="AK1973" s="6744"/>
      <c r="AL1973" s="6744"/>
      <c r="AM1973" s="6744"/>
      <c r="AN1973" s="6744">
        <f t="shared" si="439"/>
        <v>0</v>
      </c>
      <c r="AO1973" s="6744"/>
      <c r="AP1973" s="6744">
        <f t="shared" si="440"/>
        <v>0</v>
      </c>
      <c r="AQ1973" s="6744"/>
      <c r="AR1973" s="6744"/>
      <c r="AS1973" s="6744"/>
      <c r="AT1973" s="6744"/>
      <c r="AU1973" s="6744"/>
      <c r="AV1973" s="6744"/>
      <c r="AW1973" s="6744"/>
      <c r="AX1973" s="6744"/>
      <c r="AY1973" s="6744"/>
      <c r="AZ1973" s="6744"/>
      <c r="BA1973" s="6744"/>
      <c r="BB1973" s="6744"/>
      <c r="BC1973" s="6744"/>
      <c r="BD1973" s="6744"/>
      <c r="BE1973" s="6744"/>
      <c r="BF1973" s="6744"/>
      <c r="BG1973" s="6744"/>
      <c r="BH1973" s="6744"/>
      <c r="BI1973" s="6744"/>
      <c r="BJ1973" s="6744"/>
      <c r="BK1973" s="6744"/>
      <c r="BL1973" s="6744"/>
      <c r="BM1973" s="6744"/>
      <c r="BN1973" s="6842"/>
      <c r="BO1973" s="6842"/>
      <c r="BP1973" s="6744"/>
      <c r="BQ1973" s="6744"/>
      <c r="BR1973" s="6744"/>
      <c r="BS1973" s="6744"/>
      <c r="BT1973" s="6744"/>
      <c r="BU1973" s="6744"/>
      <c r="BV1973" s="6744"/>
      <c r="BW1973" s="6744"/>
      <c r="BX1973" s="6744"/>
      <c r="BY1973" s="6744"/>
      <c r="BZ1973" s="6744"/>
      <c r="CA1973" s="6744"/>
      <c r="CB1973" s="6744"/>
      <c r="CC1973" s="6842"/>
      <c r="CD1973" s="6842"/>
      <c r="CE1973" s="6840"/>
      <c r="CF1973" s="6840"/>
      <c r="CG1973" s="6840"/>
      <c r="CH1973" s="6840"/>
    </row>
    <row r="1974" s="4998" customFormat="1" ht="54.15" customHeight="1" spans="1:86">
      <c r="A1974" s="3812"/>
      <c r="B1974" s="3812"/>
      <c r="C1974" s="3812">
        <v>44263</v>
      </c>
      <c r="D1974" s="6748"/>
      <c r="E1974" s="6748"/>
      <c r="F1974" s="6748"/>
      <c r="G1974" s="6748"/>
      <c r="H1974" s="1089" t="s">
        <v>3482</v>
      </c>
      <c r="I1974" s="1089"/>
      <c r="J1974" s="6748"/>
      <c r="K1974" s="6748"/>
      <c r="L1974" s="6748"/>
      <c r="M1974" s="6744">
        <v>170000</v>
      </c>
      <c r="N1974" s="6744"/>
      <c r="O1974" s="6827"/>
      <c r="P1974" s="6827"/>
      <c r="Q1974" s="6744"/>
      <c r="R1974" s="6744"/>
      <c r="S1974" s="6744"/>
      <c r="T1974" s="6744"/>
      <c r="U1974" s="6744"/>
      <c r="V1974" s="6744"/>
      <c r="W1974" s="6744"/>
      <c r="X1974" s="6744"/>
      <c r="Y1974" s="6744"/>
      <c r="Z1974" s="6744"/>
      <c r="AA1974" s="6744">
        <v>170000</v>
      </c>
      <c r="AB1974" s="1089" t="s">
        <v>126</v>
      </c>
      <c r="AC1974" s="6744" t="s">
        <v>3483</v>
      </c>
      <c r="AD1974" s="6733" t="s">
        <v>3455</v>
      </c>
      <c r="AE1974" s="6827">
        <v>0.2</v>
      </c>
      <c r="AF1974" s="6744">
        <f>M1974*AE1974</f>
        <v>34000</v>
      </c>
      <c r="AG1974" s="6744">
        <f t="shared" si="438"/>
        <v>34000</v>
      </c>
      <c r="AH1974" s="1089" t="s">
        <v>122</v>
      </c>
      <c r="AI1974" s="6744">
        <v>44568</v>
      </c>
      <c r="AJ1974" s="6744">
        <v>34000</v>
      </c>
      <c r="AK1974" s="6744">
        <v>44568</v>
      </c>
      <c r="AL1974" s="6744">
        <v>34000</v>
      </c>
      <c r="AM1974" s="6744">
        <v>44568</v>
      </c>
      <c r="AN1974" s="6744">
        <f t="shared" si="439"/>
        <v>34000</v>
      </c>
      <c r="AO1974" s="6744">
        <v>44582</v>
      </c>
      <c r="AP1974" s="6744">
        <f t="shared" si="440"/>
        <v>0</v>
      </c>
      <c r="AQ1974" s="6744"/>
      <c r="AR1974" s="6744"/>
      <c r="AS1974" s="6744"/>
      <c r="AT1974" s="6744"/>
      <c r="AU1974" s="6744"/>
      <c r="AV1974" s="6744"/>
      <c r="AW1974" s="6744"/>
      <c r="AX1974" s="6744"/>
      <c r="AY1974" s="6744"/>
      <c r="AZ1974" s="6744"/>
      <c r="BA1974" s="6744"/>
      <c r="BB1974" s="6744"/>
      <c r="BC1974" s="6744"/>
      <c r="BD1974" s="6744"/>
      <c r="BE1974" s="6744"/>
      <c r="BF1974" s="6744"/>
      <c r="BG1974" s="6744"/>
      <c r="BH1974" s="6744"/>
      <c r="BI1974" s="6744"/>
      <c r="BJ1974" s="6744"/>
      <c r="BK1974" s="6744"/>
      <c r="BL1974" s="6744"/>
      <c r="BM1974" s="6744"/>
      <c r="BN1974" s="6744">
        <v>34000</v>
      </c>
      <c r="BO1974" s="6842"/>
      <c r="BP1974" s="6744"/>
      <c r="BQ1974" s="6744"/>
      <c r="BR1974" s="6744"/>
      <c r="BS1974" s="6744"/>
      <c r="BT1974" s="6744"/>
      <c r="BU1974" s="6744"/>
      <c r="BV1974" s="6744"/>
      <c r="BW1974" s="6744"/>
      <c r="BX1974" s="6744"/>
      <c r="BY1974" s="6744"/>
      <c r="BZ1974" s="6744"/>
      <c r="CA1974" s="6744"/>
      <c r="CB1974" s="6842">
        <v>34000</v>
      </c>
      <c r="CC1974" s="6842"/>
      <c r="CD1974" s="6842"/>
      <c r="CE1974" s="6840"/>
      <c r="CF1974" s="6840"/>
      <c r="CG1974" s="6840"/>
      <c r="CH1974" s="6840"/>
    </row>
    <row r="1975" s="4998" customFormat="1" ht="54.15" customHeight="1" spans="1:86">
      <c r="A1975" s="3812"/>
      <c r="B1975" s="3812"/>
      <c r="C1975" s="3812"/>
      <c r="D1975" s="6748"/>
      <c r="E1975" s="6748"/>
      <c r="F1975" s="6748"/>
      <c r="G1975" s="6748"/>
      <c r="H1975" s="6744"/>
      <c r="I1975" s="6744"/>
      <c r="J1975" s="6748"/>
      <c r="K1975" s="6748"/>
      <c r="L1975" s="6748"/>
      <c r="M1975" s="6744"/>
      <c r="N1975" s="6744"/>
      <c r="O1975" s="6827"/>
      <c r="P1975" s="6827"/>
      <c r="Q1975" s="6744"/>
      <c r="R1975" s="6744"/>
      <c r="S1975" s="6744"/>
      <c r="T1975" s="6744"/>
      <c r="U1975" s="6744"/>
      <c r="V1975" s="6744"/>
      <c r="W1975" s="6744"/>
      <c r="X1975" s="6744"/>
      <c r="Y1975" s="6744"/>
      <c r="Z1975" s="6744"/>
      <c r="AA1975" s="6744"/>
      <c r="AB1975" s="6744"/>
      <c r="AC1975" s="6744" t="s">
        <v>3484</v>
      </c>
      <c r="AD1975" s="6733" t="s">
        <v>3480</v>
      </c>
      <c r="AE1975" s="6827">
        <v>0.6</v>
      </c>
      <c r="AF1975" s="6744">
        <f>M1974*AE1975</f>
        <v>102000</v>
      </c>
      <c r="AG1975" s="6744">
        <f t="shared" si="438"/>
        <v>102000</v>
      </c>
      <c r="AH1975" s="1089" t="s">
        <v>122</v>
      </c>
      <c r="AI1975" s="6744">
        <v>44568</v>
      </c>
      <c r="AJ1975" s="6744">
        <v>102000</v>
      </c>
      <c r="AK1975" s="6744">
        <v>44568</v>
      </c>
      <c r="AL1975" s="6744">
        <v>102000</v>
      </c>
      <c r="AM1975" s="6744">
        <v>44568</v>
      </c>
      <c r="AN1975" s="6744">
        <f t="shared" si="439"/>
        <v>102000</v>
      </c>
      <c r="AO1975" s="6744">
        <v>44582</v>
      </c>
      <c r="AP1975" s="6744">
        <f t="shared" si="440"/>
        <v>0</v>
      </c>
      <c r="AQ1975" s="6744"/>
      <c r="AR1975" s="6744"/>
      <c r="AS1975" s="6744"/>
      <c r="AT1975" s="6744"/>
      <c r="AU1975" s="6744"/>
      <c r="AV1975" s="6744"/>
      <c r="AW1975" s="6744"/>
      <c r="AX1975" s="6744"/>
      <c r="AY1975" s="6744"/>
      <c r="AZ1975" s="6744"/>
      <c r="BA1975" s="6744"/>
      <c r="BB1975" s="6744"/>
      <c r="BC1975" s="6744"/>
      <c r="BD1975" s="6744"/>
      <c r="BE1975" s="6744"/>
      <c r="BF1975" s="6744"/>
      <c r="BG1975" s="6744"/>
      <c r="BH1975" s="6744"/>
      <c r="BI1975" s="6744"/>
      <c r="BJ1975" s="6744"/>
      <c r="BK1975" s="6744"/>
      <c r="BL1975" s="6744"/>
      <c r="BM1975" s="6744"/>
      <c r="BN1975" s="6744">
        <v>102000</v>
      </c>
      <c r="BO1975" s="6842"/>
      <c r="BP1975" s="6744"/>
      <c r="BQ1975" s="6744"/>
      <c r="BR1975" s="6744"/>
      <c r="BS1975" s="6744"/>
      <c r="BT1975" s="6744"/>
      <c r="BU1975" s="6744"/>
      <c r="BV1975" s="6744"/>
      <c r="BW1975" s="6744"/>
      <c r="BX1975" s="6744"/>
      <c r="BY1975" s="6744"/>
      <c r="BZ1975" s="6744"/>
      <c r="CA1975" s="6744"/>
      <c r="CB1975" s="6842">
        <v>102000</v>
      </c>
      <c r="CC1975" s="6842"/>
      <c r="CD1975" s="6842"/>
      <c r="CE1975" s="6840"/>
      <c r="CF1975" s="6840"/>
      <c r="CG1975" s="6840"/>
      <c r="CH1975" s="6840"/>
    </row>
    <row r="1976" s="4998" customFormat="1" ht="54.15" customHeight="1" spans="1:86">
      <c r="A1976" s="3812"/>
      <c r="B1976" s="3812"/>
      <c r="C1976" s="3812"/>
      <c r="D1976" s="6748"/>
      <c r="E1976" s="6748"/>
      <c r="F1976" s="6748"/>
      <c r="G1976" s="6748"/>
      <c r="H1976" s="6744"/>
      <c r="I1976" s="6744"/>
      <c r="J1976" s="6748"/>
      <c r="K1976" s="6748"/>
      <c r="L1976" s="6748"/>
      <c r="M1976" s="6744"/>
      <c r="N1976" s="6744"/>
      <c r="O1976" s="6827"/>
      <c r="P1976" s="6827"/>
      <c r="Q1976" s="6744"/>
      <c r="R1976" s="6744"/>
      <c r="S1976" s="6744"/>
      <c r="T1976" s="6744"/>
      <c r="U1976" s="6744"/>
      <c r="V1976" s="6744"/>
      <c r="W1976" s="6744"/>
      <c r="X1976" s="6744"/>
      <c r="Y1976" s="6744"/>
      <c r="Z1976" s="6744"/>
      <c r="AA1976" s="6744"/>
      <c r="AB1976" s="6744"/>
      <c r="AC1976" s="6744" t="s">
        <v>3485</v>
      </c>
      <c r="AD1976" s="6733" t="s">
        <v>3459</v>
      </c>
      <c r="AE1976" s="6827">
        <v>0.2</v>
      </c>
      <c r="AF1976" s="6744">
        <f>M1974*AE1976</f>
        <v>34000</v>
      </c>
      <c r="AG1976" s="6744">
        <f t="shared" si="438"/>
        <v>34000</v>
      </c>
      <c r="AH1976" s="1089" t="s">
        <v>122</v>
      </c>
      <c r="AI1976" s="6744">
        <v>45287</v>
      </c>
      <c r="AJ1976" s="6744">
        <v>34000</v>
      </c>
      <c r="AK1976" s="6744">
        <v>45286</v>
      </c>
      <c r="AL1976" s="6744">
        <v>34000</v>
      </c>
      <c r="AM1976" s="6744">
        <v>45512</v>
      </c>
      <c r="AN1976" s="6809">
        <f t="shared" si="439"/>
        <v>34000</v>
      </c>
      <c r="AO1976" s="6809"/>
      <c r="AP1976" s="6744">
        <f t="shared" si="440"/>
        <v>0</v>
      </c>
      <c r="AQ1976" s="6744"/>
      <c r="AR1976" s="6744"/>
      <c r="AS1976" s="6744"/>
      <c r="AT1976" s="6744"/>
      <c r="AU1976" s="6744"/>
      <c r="AV1976" s="6744"/>
      <c r="AW1976" s="6744"/>
      <c r="AX1976" s="6744"/>
      <c r="AY1976" s="6744"/>
      <c r="AZ1976" s="6744"/>
      <c r="BA1976" s="6744"/>
      <c r="BB1976" s="6744"/>
      <c r="BC1976" s="6744"/>
      <c r="BD1976" s="6809"/>
      <c r="BE1976" s="6809"/>
      <c r="BF1976" s="6809"/>
      <c r="BG1976" s="6809"/>
      <c r="BH1976" s="6809"/>
      <c r="BI1976" s="6809"/>
      <c r="BJ1976" s="6809"/>
      <c r="BK1976" s="6809"/>
      <c r="BL1976" s="6809"/>
      <c r="BM1976" s="6809"/>
      <c r="BN1976" s="6744">
        <v>34000</v>
      </c>
      <c r="BO1976" s="6842"/>
      <c r="BP1976" s="6744"/>
      <c r="BQ1976" s="6744"/>
      <c r="BR1976" s="6744"/>
      <c r="BS1976" s="6744"/>
      <c r="BT1976" s="6744"/>
      <c r="BU1976" s="6744"/>
      <c r="BV1976" s="6744"/>
      <c r="BW1976" s="6744"/>
      <c r="BX1976" s="6744"/>
      <c r="BY1976" s="6744"/>
      <c r="BZ1976" s="6744"/>
      <c r="CA1976" s="6744"/>
      <c r="CB1976" s="6744">
        <v>34000</v>
      </c>
      <c r="CC1976" s="6842"/>
      <c r="CD1976" s="6842"/>
      <c r="CE1976" s="6840"/>
      <c r="CF1976" s="6840"/>
      <c r="CG1976" s="6840"/>
      <c r="CH1976" s="6840"/>
    </row>
    <row r="1977" s="4998" customFormat="1" ht="54.15" customHeight="1" spans="1:86">
      <c r="A1977" s="3812"/>
      <c r="B1977" s="3812"/>
      <c r="C1977" s="3812">
        <v>44263</v>
      </c>
      <c r="D1977" s="6748"/>
      <c r="E1977" s="6748"/>
      <c r="F1977" s="6748"/>
      <c r="G1977" s="6748"/>
      <c r="H1977" s="1089" t="s">
        <v>3486</v>
      </c>
      <c r="I1977" s="1089"/>
      <c r="J1977" s="6748"/>
      <c r="K1977" s="6748"/>
      <c r="L1977" s="6748"/>
      <c r="M1977" s="6744">
        <v>110000</v>
      </c>
      <c r="N1977" s="6744"/>
      <c r="O1977" s="6827"/>
      <c r="P1977" s="6827"/>
      <c r="Q1977" s="6744"/>
      <c r="R1977" s="6744"/>
      <c r="S1977" s="6744"/>
      <c r="T1977" s="6744"/>
      <c r="U1977" s="6744"/>
      <c r="V1977" s="6744"/>
      <c r="W1977" s="6744"/>
      <c r="X1977" s="6744"/>
      <c r="Y1977" s="6744"/>
      <c r="Z1977" s="6744"/>
      <c r="AA1977" s="6744">
        <v>110000</v>
      </c>
      <c r="AB1977" s="1089" t="s">
        <v>126</v>
      </c>
      <c r="AC1977" s="6733" t="s">
        <v>3487</v>
      </c>
      <c r="AD1977" s="6733" t="s">
        <v>3455</v>
      </c>
      <c r="AE1977" s="6827">
        <v>0.2</v>
      </c>
      <c r="AF1977" s="6744">
        <f>M1977*AE1977</f>
        <v>22000</v>
      </c>
      <c r="AG1977" s="6744">
        <f t="shared" si="438"/>
        <v>22000</v>
      </c>
      <c r="AH1977" s="6744" t="s">
        <v>122</v>
      </c>
      <c r="AI1977" s="6744">
        <v>44547</v>
      </c>
      <c r="AJ1977" s="6744">
        <v>22000</v>
      </c>
      <c r="AK1977" s="6744">
        <v>44547</v>
      </c>
      <c r="AL1977" s="6744">
        <v>22000</v>
      </c>
      <c r="AM1977" s="6744">
        <v>44547</v>
      </c>
      <c r="AN1977" s="6744">
        <f t="shared" si="439"/>
        <v>22000</v>
      </c>
      <c r="AO1977" s="6744">
        <v>44554</v>
      </c>
      <c r="AP1977" s="6744">
        <f t="shared" si="440"/>
        <v>0</v>
      </c>
      <c r="AQ1977" s="6744"/>
      <c r="AR1977" s="6744"/>
      <c r="AS1977" s="6744"/>
      <c r="AT1977" s="6744"/>
      <c r="AU1977" s="6744"/>
      <c r="AV1977" s="6744"/>
      <c r="AW1977" s="6744"/>
      <c r="AX1977" s="6744"/>
      <c r="AY1977" s="6744"/>
      <c r="AZ1977" s="6744"/>
      <c r="BA1977" s="6744"/>
      <c r="BB1977" s="6744"/>
      <c r="BC1977" s="6744"/>
      <c r="BD1977" s="6744"/>
      <c r="BE1977" s="6744"/>
      <c r="BF1977" s="6744"/>
      <c r="BG1977" s="6744"/>
      <c r="BH1977" s="6744"/>
      <c r="BI1977" s="6744"/>
      <c r="BJ1977" s="6744"/>
      <c r="BK1977" s="6744"/>
      <c r="BL1977" s="6744"/>
      <c r="BM1977" s="6744"/>
      <c r="BN1977" s="6744">
        <v>22000</v>
      </c>
      <c r="BO1977" s="6842"/>
      <c r="BP1977" s="6744"/>
      <c r="BQ1977" s="6744"/>
      <c r="BR1977" s="6744"/>
      <c r="BS1977" s="6744"/>
      <c r="BT1977" s="6744"/>
      <c r="BU1977" s="6744"/>
      <c r="BV1977" s="6744"/>
      <c r="BW1977" s="6744"/>
      <c r="BX1977" s="6744"/>
      <c r="BY1977" s="6744"/>
      <c r="BZ1977" s="6744"/>
      <c r="CA1977" s="6744"/>
      <c r="CB1977" s="6744">
        <v>22000</v>
      </c>
      <c r="CC1977" s="6842"/>
      <c r="CD1977" s="6842"/>
      <c r="CE1977" s="6840"/>
      <c r="CF1977" s="6840"/>
      <c r="CG1977" s="6840"/>
      <c r="CH1977" s="6840"/>
    </row>
    <row r="1978" s="4998" customFormat="1" ht="54.15" customHeight="1" spans="1:86">
      <c r="A1978" s="3812"/>
      <c r="B1978" s="3812"/>
      <c r="C1978" s="3812"/>
      <c r="D1978" s="6748"/>
      <c r="E1978" s="6748"/>
      <c r="F1978" s="6748"/>
      <c r="G1978" s="6748"/>
      <c r="H1978" s="6744"/>
      <c r="I1978" s="6744"/>
      <c r="J1978" s="6748"/>
      <c r="K1978" s="6748"/>
      <c r="L1978" s="6748"/>
      <c r="M1978" s="6744"/>
      <c r="N1978" s="6744"/>
      <c r="O1978" s="6827"/>
      <c r="P1978" s="6827"/>
      <c r="Q1978" s="6744"/>
      <c r="R1978" s="6744"/>
      <c r="S1978" s="6744"/>
      <c r="T1978" s="6744"/>
      <c r="U1978" s="6744"/>
      <c r="V1978" s="6744"/>
      <c r="W1978" s="6744"/>
      <c r="X1978" s="6744"/>
      <c r="Y1978" s="6744"/>
      <c r="Z1978" s="6744"/>
      <c r="AA1978" s="6744"/>
      <c r="AB1978" s="6744"/>
      <c r="AC1978" s="6733" t="s">
        <v>3488</v>
      </c>
      <c r="AD1978" s="6733" t="s">
        <v>3480</v>
      </c>
      <c r="AE1978" s="6827">
        <v>0.6</v>
      </c>
      <c r="AF1978" s="6744">
        <f>M1977*AE1978</f>
        <v>66000</v>
      </c>
      <c r="AG1978" s="6744">
        <f t="shared" si="438"/>
        <v>66000</v>
      </c>
      <c r="AH1978" s="1089" t="s">
        <v>122</v>
      </c>
      <c r="AI1978" s="6744">
        <v>44568</v>
      </c>
      <c r="AJ1978" s="6744">
        <v>66000</v>
      </c>
      <c r="AK1978" s="6744">
        <v>44568</v>
      </c>
      <c r="AL1978" s="6744">
        <v>66000</v>
      </c>
      <c r="AM1978" s="6744">
        <v>44568</v>
      </c>
      <c r="AN1978" s="6744">
        <f t="shared" si="439"/>
        <v>66000</v>
      </c>
      <c r="AO1978" s="6744">
        <v>44582</v>
      </c>
      <c r="AP1978" s="6744">
        <f t="shared" si="440"/>
        <v>0</v>
      </c>
      <c r="AQ1978" s="6744"/>
      <c r="AR1978" s="6744"/>
      <c r="AS1978" s="6744"/>
      <c r="AT1978" s="6744"/>
      <c r="AU1978" s="6744"/>
      <c r="AV1978" s="6744"/>
      <c r="AW1978" s="6744"/>
      <c r="AX1978" s="6744"/>
      <c r="AY1978" s="6744"/>
      <c r="AZ1978" s="6744"/>
      <c r="BA1978" s="6744"/>
      <c r="BB1978" s="6744"/>
      <c r="BC1978" s="6744"/>
      <c r="BD1978" s="6744"/>
      <c r="BE1978" s="6744"/>
      <c r="BF1978" s="6744"/>
      <c r="BG1978" s="6744"/>
      <c r="BH1978" s="6744"/>
      <c r="BI1978" s="6744"/>
      <c r="BJ1978" s="6744"/>
      <c r="BK1978" s="6744"/>
      <c r="BL1978" s="6744"/>
      <c r="BM1978" s="6744"/>
      <c r="BN1978" s="6744">
        <v>66000</v>
      </c>
      <c r="BO1978" s="6842"/>
      <c r="BP1978" s="6744"/>
      <c r="BQ1978" s="6744"/>
      <c r="BR1978" s="6744"/>
      <c r="BS1978" s="6744"/>
      <c r="BT1978" s="6744"/>
      <c r="BU1978" s="6744"/>
      <c r="BV1978" s="6744"/>
      <c r="BW1978" s="6744"/>
      <c r="BX1978" s="6744"/>
      <c r="BY1978" s="6744"/>
      <c r="BZ1978" s="6744"/>
      <c r="CA1978" s="6744"/>
      <c r="CB1978" s="6744">
        <v>66000</v>
      </c>
      <c r="CC1978" s="6842"/>
      <c r="CD1978" s="6842"/>
      <c r="CE1978" s="6840"/>
      <c r="CF1978" s="6840"/>
      <c r="CG1978" s="6840"/>
      <c r="CH1978" s="6840"/>
    </row>
    <row r="1979" s="4998" customFormat="1" ht="54.15" customHeight="1" spans="1:86">
      <c r="A1979" s="3812"/>
      <c r="B1979" s="3812"/>
      <c r="C1979" s="3812"/>
      <c r="D1979" s="6748"/>
      <c r="E1979" s="6748"/>
      <c r="F1979" s="6748"/>
      <c r="G1979" s="6748"/>
      <c r="H1979" s="6744"/>
      <c r="I1979" s="6744"/>
      <c r="J1979" s="6748"/>
      <c r="K1979" s="6748"/>
      <c r="L1979" s="6748"/>
      <c r="M1979" s="6744"/>
      <c r="N1979" s="6744"/>
      <c r="O1979" s="6827"/>
      <c r="P1979" s="6827"/>
      <c r="Q1979" s="6744"/>
      <c r="R1979" s="6744"/>
      <c r="S1979" s="6744"/>
      <c r="T1979" s="6744"/>
      <c r="U1979" s="6744"/>
      <c r="V1979" s="6744"/>
      <c r="W1979" s="6744"/>
      <c r="X1979" s="6744"/>
      <c r="Y1979" s="6744"/>
      <c r="Z1979" s="6744"/>
      <c r="AA1979" s="6744"/>
      <c r="AB1979" s="6744"/>
      <c r="AC1979" s="6733" t="s">
        <v>3489</v>
      </c>
      <c r="AD1979" s="6733" t="s">
        <v>3490</v>
      </c>
      <c r="AE1979" s="6827">
        <v>0.2</v>
      </c>
      <c r="AF1979" s="6744">
        <f>M1977*AE1979</f>
        <v>22000</v>
      </c>
      <c r="AG1979" s="6744">
        <f t="shared" si="438"/>
        <v>22000</v>
      </c>
      <c r="AH1979" s="1089" t="s">
        <v>122</v>
      </c>
      <c r="AI1979" s="6744">
        <v>45287</v>
      </c>
      <c r="AJ1979" s="6744">
        <v>22000</v>
      </c>
      <c r="AK1979" s="6744">
        <v>45286</v>
      </c>
      <c r="AL1979" s="6744">
        <v>22000</v>
      </c>
      <c r="AM1979" s="6744">
        <v>45512</v>
      </c>
      <c r="AN1979" s="6809">
        <f t="shared" si="439"/>
        <v>22000</v>
      </c>
      <c r="AO1979" s="6809"/>
      <c r="AP1979" s="6744">
        <f t="shared" si="440"/>
        <v>0</v>
      </c>
      <c r="AQ1979" s="6744"/>
      <c r="AR1979" s="6744"/>
      <c r="AS1979" s="6744"/>
      <c r="AT1979" s="6744"/>
      <c r="AU1979" s="6744"/>
      <c r="AV1979" s="6744"/>
      <c r="AW1979" s="6744"/>
      <c r="AX1979" s="6744"/>
      <c r="AY1979" s="6744"/>
      <c r="AZ1979" s="6744"/>
      <c r="BA1979" s="6744"/>
      <c r="BB1979" s="6744"/>
      <c r="BC1979" s="6744"/>
      <c r="BD1979" s="6809"/>
      <c r="BE1979" s="6809"/>
      <c r="BF1979" s="6809"/>
      <c r="BG1979" s="6809"/>
      <c r="BH1979" s="6809"/>
      <c r="BI1979" s="6809"/>
      <c r="BJ1979" s="6809"/>
      <c r="BK1979" s="6809"/>
      <c r="BL1979" s="6809"/>
      <c r="BM1979" s="6809"/>
      <c r="BN1979" s="6744">
        <v>22000</v>
      </c>
      <c r="BO1979" s="6842"/>
      <c r="BP1979" s="6744"/>
      <c r="BQ1979" s="6744"/>
      <c r="BR1979" s="6744"/>
      <c r="BS1979" s="6744"/>
      <c r="BT1979" s="6744"/>
      <c r="BU1979" s="6744"/>
      <c r="BV1979" s="6744"/>
      <c r="BW1979" s="6744"/>
      <c r="BX1979" s="6744"/>
      <c r="BY1979" s="6744"/>
      <c r="BZ1979" s="6744"/>
      <c r="CA1979" s="6744"/>
      <c r="CB1979" s="6744">
        <v>22000</v>
      </c>
      <c r="CC1979" s="6842"/>
      <c r="CD1979" s="6842"/>
      <c r="CE1979" s="6840"/>
      <c r="CF1979" s="6840"/>
      <c r="CG1979" s="6840"/>
      <c r="CH1979" s="6840"/>
    </row>
    <row r="1980" s="4998" customFormat="1" ht="54.15" customHeight="1" spans="1:86">
      <c r="A1980" s="3812"/>
      <c r="B1980" s="3812"/>
      <c r="C1980" s="3812">
        <v>44263</v>
      </c>
      <c r="D1980" s="6748"/>
      <c r="E1980" s="6748"/>
      <c r="F1980" s="6748"/>
      <c r="G1980" s="6748"/>
      <c r="H1980" s="6733" t="s">
        <v>3491</v>
      </c>
      <c r="I1980" s="6733"/>
      <c r="J1980" s="6748"/>
      <c r="K1980" s="6748"/>
      <c r="L1980" s="6748"/>
      <c r="M1980" s="6744">
        <v>211990.02</v>
      </c>
      <c r="N1980" s="6744"/>
      <c r="O1980" s="6827"/>
      <c r="P1980" s="6827"/>
      <c r="Q1980" s="6744"/>
      <c r="R1980" s="6744"/>
      <c r="S1980" s="6744">
        <v>211990.02</v>
      </c>
      <c r="T1980" s="6744"/>
      <c r="U1980" s="6744"/>
      <c r="V1980" s="6744"/>
      <c r="W1980" s="6744"/>
      <c r="X1980" s="6744"/>
      <c r="Y1980" s="6744"/>
      <c r="Z1980" s="6744"/>
      <c r="AA1980" s="6744"/>
      <c r="AB1980" s="6744"/>
      <c r="AC1980" s="6733" t="s">
        <v>3492</v>
      </c>
      <c r="AD1980" s="6733" t="s">
        <v>3455</v>
      </c>
      <c r="AE1980" s="6827">
        <v>0.2</v>
      </c>
      <c r="AF1980" s="6744">
        <f>M1980*AE1980</f>
        <v>42398.004</v>
      </c>
      <c r="AG1980" s="6744">
        <f t="shared" si="438"/>
        <v>42398.01</v>
      </c>
      <c r="AH1980" s="6744" t="s">
        <v>122</v>
      </c>
      <c r="AI1980" s="6744">
        <v>44547</v>
      </c>
      <c r="AJ1980" s="6744">
        <v>42398.01</v>
      </c>
      <c r="AK1980" s="6744">
        <v>44547</v>
      </c>
      <c r="AL1980" s="6744">
        <v>42398.01</v>
      </c>
      <c r="AM1980" s="6744">
        <v>44568</v>
      </c>
      <c r="AN1980" s="6744">
        <f t="shared" si="439"/>
        <v>42398.01</v>
      </c>
      <c r="AO1980" s="6744">
        <v>44582</v>
      </c>
      <c r="AP1980" s="6744">
        <f t="shared" si="440"/>
        <v>0</v>
      </c>
      <c r="AQ1980" s="6744"/>
      <c r="AR1980" s="6744"/>
      <c r="AS1980" s="6744"/>
      <c r="AT1980" s="6744"/>
      <c r="AU1980" s="6744"/>
      <c r="AV1980" s="6744"/>
      <c r="AW1980" s="6744"/>
      <c r="AX1980" s="6744"/>
      <c r="AY1980" s="6744"/>
      <c r="AZ1980" s="6744"/>
      <c r="BA1980" s="6744"/>
      <c r="BB1980" s="6744"/>
      <c r="BC1980" s="6744"/>
      <c r="BD1980" s="6744"/>
      <c r="BE1980" s="6744"/>
      <c r="BF1980" s="6744">
        <v>42398.01</v>
      </c>
      <c r="BG1980" s="6744"/>
      <c r="BH1980" s="6744"/>
      <c r="BI1980" s="6744"/>
      <c r="BJ1980" s="6744"/>
      <c r="BK1980" s="6744"/>
      <c r="BL1980" s="6744"/>
      <c r="BM1980" s="6744"/>
      <c r="BN1980" s="6744"/>
      <c r="BO1980" s="6842"/>
      <c r="BP1980" s="6744"/>
      <c r="BQ1980" s="6744"/>
      <c r="BR1980" s="6744"/>
      <c r="BS1980" s="6744"/>
      <c r="BT1980" s="6744">
        <v>42398.01</v>
      </c>
      <c r="BU1980" s="6744"/>
      <c r="BV1980" s="6744"/>
      <c r="BW1980" s="6744"/>
      <c r="BX1980" s="6744"/>
      <c r="BY1980" s="6744"/>
      <c r="BZ1980" s="6744"/>
      <c r="CA1980" s="6744"/>
      <c r="CB1980" s="6744"/>
      <c r="CC1980" s="6842"/>
      <c r="CD1980" s="6842"/>
      <c r="CE1980" s="6840"/>
      <c r="CF1980" s="6840"/>
      <c r="CG1980" s="6840"/>
      <c r="CH1980" s="6840"/>
    </row>
    <row r="1981" s="4998" customFormat="1" ht="54.15" customHeight="1" spans="1:86">
      <c r="A1981" s="3812"/>
      <c r="B1981" s="3812"/>
      <c r="C1981" s="3812"/>
      <c r="D1981" s="6748"/>
      <c r="E1981" s="6748"/>
      <c r="F1981" s="6748"/>
      <c r="G1981" s="6748"/>
      <c r="H1981" s="6748"/>
      <c r="I1981" s="6748"/>
      <c r="J1981" s="6748"/>
      <c r="K1981" s="6748"/>
      <c r="L1981" s="6748"/>
      <c r="M1981" s="6744"/>
      <c r="N1981" s="6744"/>
      <c r="O1981" s="6827"/>
      <c r="P1981" s="6827"/>
      <c r="Q1981" s="6744"/>
      <c r="R1981" s="6744"/>
      <c r="S1981" s="6744"/>
      <c r="T1981" s="6744"/>
      <c r="U1981" s="6744"/>
      <c r="V1981" s="6744"/>
      <c r="W1981" s="6744"/>
      <c r="X1981" s="6744"/>
      <c r="Y1981" s="6744"/>
      <c r="Z1981" s="6744"/>
      <c r="AA1981" s="6744"/>
      <c r="AB1981" s="6744"/>
      <c r="AC1981" s="6733" t="s">
        <v>3493</v>
      </c>
      <c r="AD1981" s="6733" t="s">
        <v>3480</v>
      </c>
      <c r="AE1981" s="6827">
        <v>0.6</v>
      </c>
      <c r="AF1981" s="6744">
        <f>M1980*AE1981</f>
        <v>127194.012</v>
      </c>
      <c r="AG1981" s="6744">
        <f t="shared" si="438"/>
        <v>127194.01</v>
      </c>
      <c r="AH1981" s="6744" t="s">
        <v>122</v>
      </c>
      <c r="AI1981" s="6744">
        <v>44547</v>
      </c>
      <c r="AJ1981" s="6744">
        <v>127194.01</v>
      </c>
      <c r="AK1981" s="6744">
        <v>44547</v>
      </c>
      <c r="AL1981" s="6744">
        <v>127194.01</v>
      </c>
      <c r="AM1981" s="6744">
        <v>44568</v>
      </c>
      <c r="AN1981" s="6744">
        <f t="shared" si="439"/>
        <v>127194.01</v>
      </c>
      <c r="AO1981" s="6744">
        <v>44582</v>
      </c>
      <c r="AP1981" s="6744">
        <f t="shared" si="440"/>
        <v>0</v>
      </c>
      <c r="AQ1981" s="6744"/>
      <c r="AR1981" s="6744"/>
      <c r="AS1981" s="6744"/>
      <c r="AT1981" s="6744"/>
      <c r="AU1981" s="6744"/>
      <c r="AV1981" s="6744"/>
      <c r="AW1981" s="6744"/>
      <c r="AX1981" s="6744"/>
      <c r="AY1981" s="6744"/>
      <c r="AZ1981" s="6744"/>
      <c r="BA1981" s="6744"/>
      <c r="BB1981" s="6744"/>
      <c r="BC1981" s="6744"/>
      <c r="BD1981" s="6744"/>
      <c r="BE1981" s="6744"/>
      <c r="BF1981" s="6744">
        <v>127194.01</v>
      </c>
      <c r="BG1981" s="6744"/>
      <c r="BH1981" s="6744"/>
      <c r="BI1981" s="6744"/>
      <c r="BJ1981" s="6744"/>
      <c r="BK1981" s="6744"/>
      <c r="BL1981" s="6744"/>
      <c r="BM1981" s="6744"/>
      <c r="BN1981" s="6744"/>
      <c r="BO1981" s="6842"/>
      <c r="BP1981" s="6744"/>
      <c r="BQ1981" s="6744"/>
      <c r="BR1981" s="6744"/>
      <c r="BS1981" s="6744"/>
      <c r="BT1981" s="6744">
        <v>127194.01</v>
      </c>
      <c r="BU1981" s="6744"/>
      <c r="BV1981" s="6744"/>
      <c r="BW1981" s="6744"/>
      <c r="BX1981" s="6744"/>
      <c r="BY1981" s="6744"/>
      <c r="BZ1981" s="6744"/>
      <c r="CA1981" s="6744"/>
      <c r="CB1981" s="6744"/>
      <c r="CC1981" s="6842"/>
      <c r="CD1981" s="6842"/>
      <c r="CE1981" s="6840"/>
      <c r="CF1981" s="6840"/>
      <c r="CG1981" s="6840"/>
      <c r="CH1981" s="6840"/>
    </row>
    <row r="1982" s="4998" customFormat="1" ht="54.15" customHeight="1" spans="1:86">
      <c r="A1982" s="3812"/>
      <c r="B1982" s="3812"/>
      <c r="C1982" s="3812"/>
      <c r="D1982" s="6748"/>
      <c r="E1982" s="6748"/>
      <c r="F1982" s="6748"/>
      <c r="G1982" s="6748"/>
      <c r="H1982" s="6748"/>
      <c r="I1982" s="6748"/>
      <c r="J1982" s="6748"/>
      <c r="K1982" s="6748"/>
      <c r="L1982" s="6748"/>
      <c r="M1982" s="6744"/>
      <c r="N1982" s="6744"/>
      <c r="O1982" s="6827"/>
      <c r="P1982" s="6827"/>
      <c r="Q1982" s="6744"/>
      <c r="R1982" s="6744"/>
      <c r="S1982" s="6744"/>
      <c r="T1982" s="6744"/>
      <c r="U1982" s="6744"/>
      <c r="V1982" s="6744"/>
      <c r="W1982" s="6744"/>
      <c r="X1982" s="6744"/>
      <c r="Y1982" s="6744"/>
      <c r="Z1982" s="6744"/>
      <c r="AA1982" s="6744"/>
      <c r="AB1982" s="6744"/>
      <c r="AC1982" s="6733" t="s">
        <v>3494</v>
      </c>
      <c r="AD1982" s="6733" t="s">
        <v>3459</v>
      </c>
      <c r="AE1982" s="6827">
        <v>0.2</v>
      </c>
      <c r="AF1982" s="6744">
        <f>M1980*AE1982</f>
        <v>42398.004</v>
      </c>
      <c r="AG1982" s="6744">
        <f t="shared" si="438"/>
        <v>36927.68</v>
      </c>
      <c r="AH1982" s="1089" t="s">
        <v>122</v>
      </c>
      <c r="AI1982" s="6744">
        <v>44921</v>
      </c>
      <c r="AJ1982" s="6744">
        <v>36927.68</v>
      </c>
      <c r="AK1982" s="6744">
        <v>44921</v>
      </c>
      <c r="AL1982" s="6744">
        <v>36927.68</v>
      </c>
      <c r="AM1982" s="6744">
        <v>45512</v>
      </c>
      <c r="AN1982" s="6809">
        <f t="shared" si="439"/>
        <v>36927.68</v>
      </c>
      <c r="AO1982" s="6809"/>
      <c r="AP1982" s="6744">
        <f t="shared" si="440"/>
        <v>0</v>
      </c>
      <c r="AQ1982" s="6744"/>
      <c r="AR1982" s="6744"/>
      <c r="AS1982" s="6744"/>
      <c r="AT1982" s="6744"/>
      <c r="AU1982" s="6744"/>
      <c r="AV1982" s="6744"/>
      <c r="AW1982" s="6744"/>
      <c r="AX1982" s="6744"/>
      <c r="AY1982" s="6744"/>
      <c r="AZ1982" s="6744"/>
      <c r="BA1982" s="6744"/>
      <c r="BB1982" s="6744"/>
      <c r="BC1982" s="6744"/>
      <c r="BD1982" s="6744"/>
      <c r="BE1982" s="6744"/>
      <c r="BF1982" s="6744">
        <v>36927.68</v>
      </c>
      <c r="BG1982" s="6744"/>
      <c r="BH1982" s="6744"/>
      <c r="BI1982" s="6744"/>
      <c r="BJ1982" s="6744"/>
      <c r="BK1982" s="6744"/>
      <c r="BL1982" s="6744"/>
      <c r="BM1982" s="6744"/>
      <c r="BN1982" s="6744"/>
      <c r="BO1982" s="6842"/>
      <c r="BP1982" s="6744"/>
      <c r="BQ1982" s="6744"/>
      <c r="BR1982" s="6744"/>
      <c r="BS1982" s="6744"/>
      <c r="BT1982" s="6744">
        <v>36927.68</v>
      </c>
      <c r="BU1982" s="6744"/>
      <c r="BV1982" s="6744"/>
      <c r="BW1982" s="6744"/>
      <c r="BX1982" s="6744"/>
      <c r="BY1982" s="6744"/>
      <c r="BZ1982" s="6744"/>
      <c r="CA1982" s="6744"/>
      <c r="CB1982" s="6744"/>
      <c r="CC1982" s="6842"/>
      <c r="CD1982" s="6842"/>
      <c r="CE1982" s="6840"/>
      <c r="CF1982" s="6840"/>
      <c r="CG1982" s="6840"/>
      <c r="CH1982" s="6840"/>
    </row>
    <row r="1983" s="4998" customFormat="1" ht="54.15" customHeight="1" spans="1:86">
      <c r="A1983" s="3812"/>
      <c r="B1983" s="857" t="s">
        <v>1003</v>
      </c>
      <c r="C1983" s="3812">
        <v>44889</v>
      </c>
      <c r="D1983" s="440" t="s">
        <v>3510</v>
      </c>
      <c r="E1983" s="440" t="s">
        <v>3438</v>
      </c>
      <c r="F1983" s="440" t="s">
        <v>3511</v>
      </c>
      <c r="G1983" s="440" t="s">
        <v>3512</v>
      </c>
      <c r="H1983" s="440" t="s">
        <v>3513</v>
      </c>
      <c r="I1983" s="5370"/>
      <c r="J1983" s="440" t="s">
        <v>1297</v>
      </c>
      <c r="K1983" s="5196">
        <v>105995.01</v>
      </c>
      <c r="L1983" s="5196"/>
      <c r="M1983" s="2957">
        <v>900000</v>
      </c>
      <c r="N1983" s="6744"/>
      <c r="O1983" s="6827"/>
      <c r="P1983" s="6827"/>
      <c r="Q1983" s="6744">
        <v>235980</v>
      </c>
      <c r="R1983" s="6744"/>
      <c r="S1983" s="6744">
        <v>566640</v>
      </c>
      <c r="T1983" s="6744"/>
      <c r="U1983" s="6744">
        <v>27000</v>
      </c>
      <c r="V1983" s="6744"/>
      <c r="W1983" s="6744"/>
      <c r="X1983" s="6744"/>
      <c r="Y1983" s="6744"/>
      <c r="Z1983" s="6744"/>
      <c r="AA1983" s="6744">
        <v>70380</v>
      </c>
      <c r="AB1983" s="6744"/>
      <c r="AC1983" s="440">
        <v>1</v>
      </c>
      <c r="AD1983" s="440" t="s">
        <v>3514</v>
      </c>
      <c r="AE1983" s="441">
        <v>0.4</v>
      </c>
      <c r="AF1983" s="2957">
        <f>M1983*AE1983</f>
        <v>360000</v>
      </c>
      <c r="AG1983" s="2957">
        <f t="shared" si="438"/>
        <v>360000</v>
      </c>
      <c r="AH1983" s="600" t="s">
        <v>122</v>
      </c>
      <c r="AI1983" s="2957">
        <v>44889</v>
      </c>
      <c r="AJ1983" s="2957">
        <v>360000</v>
      </c>
      <c r="AK1983" s="2957">
        <v>44889</v>
      </c>
      <c r="AL1983" s="2957">
        <v>360000</v>
      </c>
      <c r="AM1983" s="2957">
        <v>44889</v>
      </c>
      <c r="AN1983" s="2957">
        <f t="shared" si="439"/>
        <v>360000</v>
      </c>
      <c r="AO1983" s="2957">
        <v>44945</v>
      </c>
      <c r="AP1983" s="2957">
        <f t="shared" si="440"/>
        <v>0</v>
      </c>
      <c r="AQ1983" s="2957"/>
      <c r="AR1983" s="2957"/>
      <c r="AS1983" s="2957"/>
      <c r="AT1983" s="2957"/>
      <c r="AU1983" s="2957"/>
      <c r="AV1983" s="2957"/>
      <c r="AW1983" s="2957"/>
      <c r="AX1983" s="2957"/>
      <c r="AY1983" s="2957"/>
      <c r="AZ1983" s="2957"/>
      <c r="BA1983" s="2957"/>
      <c r="BB1983" s="2957"/>
      <c r="BC1983" s="2957">
        <v>94392</v>
      </c>
      <c r="BD1983" s="2957"/>
      <c r="BE1983" s="2957"/>
      <c r="BF1983" s="2957">
        <v>226656</v>
      </c>
      <c r="BG1983" s="2957"/>
      <c r="BH1983" s="2957">
        <v>10800</v>
      </c>
      <c r="BI1983" s="2957"/>
      <c r="BJ1983" s="2957"/>
      <c r="BK1983" s="2957"/>
      <c r="BL1983" s="2957"/>
      <c r="BM1983" s="2957"/>
      <c r="BN1983" s="2957">
        <v>28152</v>
      </c>
      <c r="BO1983" s="6841"/>
      <c r="BP1983" s="2957"/>
      <c r="BQ1983" s="2957">
        <v>94392</v>
      </c>
      <c r="BR1983" s="2957"/>
      <c r="BS1983" s="2957"/>
      <c r="BT1983" s="2957">
        <v>226656</v>
      </c>
      <c r="BU1983" s="2957"/>
      <c r="BV1983" s="2957">
        <v>10800</v>
      </c>
      <c r="BW1983" s="2957"/>
      <c r="BX1983" s="2957"/>
      <c r="BY1983" s="2957"/>
      <c r="BZ1983" s="2957"/>
      <c r="CA1983" s="2957"/>
      <c r="CB1983" s="2957">
        <v>28152</v>
      </c>
      <c r="CC1983" s="600" t="s">
        <v>166</v>
      </c>
      <c r="CD1983" s="600" t="s">
        <v>154</v>
      </c>
      <c r="CE1983" s="6840"/>
      <c r="CF1983" s="6840"/>
      <c r="CG1983" s="6840"/>
      <c r="CH1983" s="6840"/>
    </row>
    <row r="1984" s="4998" customFormat="1" ht="54.15" customHeight="1" spans="1:86">
      <c r="A1984" s="3812"/>
      <c r="B1984" s="3812"/>
      <c r="C1984" s="3812"/>
      <c r="D1984" s="5196"/>
      <c r="E1984" s="5196"/>
      <c r="F1984" s="5196"/>
      <c r="G1984" s="5196"/>
      <c r="H1984" s="5196"/>
      <c r="I1984" s="5421"/>
      <c r="J1984" s="5196"/>
      <c r="K1984" s="5196"/>
      <c r="L1984" s="5196"/>
      <c r="M1984" s="2957"/>
      <c r="N1984" s="6744"/>
      <c r="O1984" s="6827"/>
      <c r="P1984" s="6827"/>
      <c r="Q1984" s="6744"/>
      <c r="R1984" s="6744"/>
      <c r="S1984" s="6744"/>
      <c r="T1984" s="6744"/>
      <c r="U1984" s="6744"/>
      <c r="V1984" s="6744"/>
      <c r="W1984" s="6744"/>
      <c r="X1984" s="6744"/>
      <c r="Y1984" s="6744"/>
      <c r="Z1984" s="6744"/>
      <c r="AA1984" s="6744"/>
      <c r="AB1984" s="6744"/>
      <c r="AC1984" s="440">
        <v>2</v>
      </c>
      <c r="AD1984" s="440" t="s">
        <v>3515</v>
      </c>
      <c r="AE1984" s="441">
        <v>0.4</v>
      </c>
      <c r="AF1984" s="2957">
        <f>M1983*AE1984</f>
        <v>360000</v>
      </c>
      <c r="AG1984" s="2957">
        <f t="shared" si="438"/>
        <v>360000</v>
      </c>
      <c r="AH1984" s="600" t="s">
        <v>122</v>
      </c>
      <c r="AI1984" s="2957">
        <v>44889</v>
      </c>
      <c r="AJ1984" s="2957">
        <v>360000</v>
      </c>
      <c r="AK1984" s="2957">
        <v>44889</v>
      </c>
      <c r="AL1984" s="2957">
        <v>360000</v>
      </c>
      <c r="AM1984" s="2957">
        <v>44889</v>
      </c>
      <c r="AN1984" s="2957">
        <f t="shared" si="439"/>
        <v>360000</v>
      </c>
      <c r="AO1984" s="2957">
        <v>44945</v>
      </c>
      <c r="AP1984" s="2957">
        <f t="shared" si="440"/>
        <v>0</v>
      </c>
      <c r="AQ1984" s="2957"/>
      <c r="AR1984" s="2957"/>
      <c r="AS1984" s="2957"/>
      <c r="AT1984" s="2957"/>
      <c r="AU1984" s="2957"/>
      <c r="AV1984" s="2957"/>
      <c r="AW1984" s="2957"/>
      <c r="AX1984" s="2957"/>
      <c r="AY1984" s="2957"/>
      <c r="AZ1984" s="2957"/>
      <c r="BA1984" s="2957"/>
      <c r="BB1984" s="2957"/>
      <c r="BC1984" s="2957">
        <v>94392</v>
      </c>
      <c r="BD1984" s="2957"/>
      <c r="BE1984" s="2957"/>
      <c r="BF1984" s="2957">
        <v>226656</v>
      </c>
      <c r="BG1984" s="2957"/>
      <c r="BH1984" s="2957">
        <v>10800</v>
      </c>
      <c r="BI1984" s="2957"/>
      <c r="BJ1984" s="2957"/>
      <c r="BK1984" s="2957"/>
      <c r="BL1984" s="2957"/>
      <c r="BM1984" s="2957"/>
      <c r="BN1984" s="2957">
        <v>28152</v>
      </c>
      <c r="BO1984" s="6841"/>
      <c r="BP1984" s="2957"/>
      <c r="BQ1984" s="2957">
        <v>94392</v>
      </c>
      <c r="BR1984" s="2957"/>
      <c r="BS1984" s="2957"/>
      <c r="BT1984" s="2957">
        <v>226656</v>
      </c>
      <c r="BU1984" s="2957"/>
      <c r="BV1984" s="2957">
        <v>10800</v>
      </c>
      <c r="BW1984" s="2957"/>
      <c r="BX1984" s="2957"/>
      <c r="BY1984" s="2957"/>
      <c r="BZ1984" s="2957"/>
      <c r="CA1984" s="2957"/>
      <c r="CB1984" s="2957">
        <v>28152</v>
      </c>
      <c r="CC1984" s="2957"/>
      <c r="CD1984" s="2957"/>
      <c r="CE1984" s="6840"/>
      <c r="CF1984" s="6840"/>
      <c r="CG1984" s="6840"/>
      <c r="CH1984" s="6840"/>
    </row>
    <row r="1985" s="4998" customFormat="1" ht="54.15" customHeight="1" spans="1:86">
      <c r="A1985" s="3812"/>
      <c r="B1985" s="3812"/>
      <c r="C1985" s="3812"/>
      <c r="D1985" s="5196"/>
      <c r="E1985" s="5196"/>
      <c r="F1985" s="5196"/>
      <c r="G1985" s="5196"/>
      <c r="H1985" s="5196"/>
      <c r="I1985" s="5421"/>
      <c r="J1985" s="5196"/>
      <c r="K1985" s="5196"/>
      <c r="L1985" s="5196"/>
      <c r="M1985" s="2957"/>
      <c r="N1985" s="6744"/>
      <c r="O1985" s="6827"/>
      <c r="P1985" s="6827"/>
      <c r="Q1985" s="6744"/>
      <c r="R1985" s="6744"/>
      <c r="S1985" s="6744"/>
      <c r="T1985" s="6744"/>
      <c r="U1985" s="6744"/>
      <c r="V1985" s="6744"/>
      <c r="W1985" s="6744"/>
      <c r="X1985" s="6744"/>
      <c r="Y1985" s="6744"/>
      <c r="Z1985" s="6744"/>
      <c r="AA1985" s="6744"/>
      <c r="AB1985" s="6744"/>
      <c r="AC1985" s="440">
        <v>3</v>
      </c>
      <c r="AD1985" s="440" t="s">
        <v>3516</v>
      </c>
      <c r="AE1985" s="441">
        <v>0.2</v>
      </c>
      <c r="AF1985" s="2957">
        <f>M1983*AE1985</f>
        <v>180000</v>
      </c>
      <c r="AG1985" s="2957">
        <f t="shared" si="438"/>
        <v>60000</v>
      </c>
      <c r="AH1985" s="600" t="s">
        <v>122</v>
      </c>
      <c r="AI1985" s="2957">
        <v>44921</v>
      </c>
      <c r="AJ1985" s="2957">
        <v>60000</v>
      </c>
      <c r="AK1985" s="2957">
        <v>44921</v>
      </c>
      <c r="AL1985" s="2957">
        <v>60000</v>
      </c>
      <c r="AM1985" s="2957">
        <v>45512</v>
      </c>
      <c r="AN1985" s="5395">
        <f t="shared" si="439"/>
        <v>60000</v>
      </c>
      <c r="AO1985" s="5395"/>
      <c r="AP1985" s="2957"/>
      <c r="AQ1985" s="2957"/>
      <c r="AR1985" s="2957"/>
      <c r="AS1985" s="2957"/>
      <c r="AT1985" s="2957"/>
      <c r="AU1985" s="2957"/>
      <c r="AV1985" s="2957"/>
      <c r="AW1985" s="2957"/>
      <c r="AX1985" s="2957"/>
      <c r="AY1985" s="2957"/>
      <c r="AZ1985" s="2957"/>
      <c r="BA1985" s="2957"/>
      <c r="BB1985" s="2957"/>
      <c r="BC1985" s="2957">
        <v>49000</v>
      </c>
      <c r="BD1985" s="2957"/>
      <c r="BE1985" s="2957"/>
      <c r="BF1985" s="2957"/>
      <c r="BG1985" s="2957"/>
      <c r="BH1985" s="2957">
        <v>11000</v>
      </c>
      <c r="BI1985" s="2957"/>
      <c r="BJ1985" s="2957"/>
      <c r="BK1985" s="2957"/>
      <c r="BL1985" s="2957"/>
      <c r="BM1985" s="2957"/>
      <c r="BN1985" s="2957"/>
      <c r="BO1985" s="6841"/>
      <c r="BP1985" s="2957"/>
      <c r="BQ1985" s="2957">
        <v>49000</v>
      </c>
      <c r="BR1985" s="2957"/>
      <c r="BS1985" s="2957"/>
      <c r="BT1985" s="2957"/>
      <c r="BU1985" s="2957"/>
      <c r="BV1985" s="2957">
        <v>11000</v>
      </c>
      <c r="BW1985" s="2957"/>
      <c r="BX1985" s="2957"/>
      <c r="BY1985" s="2957"/>
      <c r="BZ1985" s="2957"/>
      <c r="CA1985" s="2957"/>
      <c r="CB1985" s="2957"/>
      <c r="CC1985" s="2957"/>
      <c r="CD1985" s="2957"/>
      <c r="CE1985" s="6840"/>
      <c r="CF1985" s="6840"/>
      <c r="CG1985" s="6840"/>
      <c r="CH1985" s="6840"/>
    </row>
    <row r="1986" s="4998" customFormat="1" ht="54.15" customHeight="1" spans="1:86">
      <c r="A1986" s="3812"/>
      <c r="B1986" s="3812"/>
      <c r="C1986" s="3812"/>
      <c r="D1986" s="5196"/>
      <c r="E1986" s="5196"/>
      <c r="F1986" s="5196"/>
      <c r="G1986" s="5196"/>
      <c r="H1986" s="5196"/>
      <c r="I1986" s="5422"/>
      <c r="J1986" s="5196"/>
      <c r="K1986" s="5196"/>
      <c r="L1986" s="5196"/>
      <c r="M1986" s="2957"/>
      <c r="N1986" s="6744"/>
      <c r="O1986" s="6827"/>
      <c r="P1986" s="6827"/>
      <c r="Q1986" s="6744"/>
      <c r="R1986" s="6744"/>
      <c r="S1986" s="6744"/>
      <c r="T1986" s="6744"/>
      <c r="U1986" s="6744"/>
      <c r="V1986" s="6744"/>
      <c r="W1986" s="6744"/>
      <c r="X1986" s="6744"/>
      <c r="Y1986" s="6744"/>
      <c r="Z1986" s="6744"/>
      <c r="AA1986" s="6744"/>
      <c r="AB1986" s="6744"/>
      <c r="AC1986" s="440">
        <v>3</v>
      </c>
      <c r="AD1986" s="440" t="s">
        <v>3516</v>
      </c>
      <c r="AE1986" s="441"/>
      <c r="AF1986" s="2957"/>
      <c r="AG1986" s="2957">
        <f t="shared" si="438"/>
        <v>120000</v>
      </c>
      <c r="AH1986" s="600" t="s">
        <v>122</v>
      </c>
      <c r="AI1986" s="2957">
        <v>45287</v>
      </c>
      <c r="AJ1986" s="2957">
        <v>120000</v>
      </c>
      <c r="AK1986" s="2957">
        <v>45286</v>
      </c>
      <c r="AL1986" s="2957">
        <v>120000</v>
      </c>
      <c r="AM1986" s="2957">
        <v>45512</v>
      </c>
      <c r="AN1986" s="5395">
        <f t="shared" ref="AN1986:AN1997" si="441">SUM(BO1986:CB1986)</f>
        <v>120000</v>
      </c>
      <c r="AO1986" s="5395"/>
      <c r="AP1986" s="2957">
        <f t="shared" ref="AP1986:AP1997" si="442">AG1986-AN1986</f>
        <v>0</v>
      </c>
      <c r="AQ1986" s="2957"/>
      <c r="AR1986" s="2957"/>
      <c r="AS1986" s="2957"/>
      <c r="AT1986" s="2957"/>
      <c r="AU1986" s="2957"/>
      <c r="AV1986" s="2957"/>
      <c r="AW1986" s="2957"/>
      <c r="AX1986" s="2957"/>
      <c r="AY1986" s="2957"/>
      <c r="AZ1986" s="2957"/>
      <c r="BA1986" s="2957"/>
      <c r="BB1986" s="2957"/>
      <c r="BC1986" s="2957"/>
      <c r="BD1986" s="2957"/>
      <c r="BE1986" s="2957"/>
      <c r="BF1986" s="2957">
        <v>120000</v>
      </c>
      <c r="BG1986" s="2957"/>
      <c r="BH1986" s="2957"/>
      <c r="BI1986" s="2957"/>
      <c r="BJ1986" s="2957"/>
      <c r="BK1986" s="2957"/>
      <c r="BL1986" s="2957"/>
      <c r="BM1986" s="2957"/>
      <c r="BN1986" s="2957"/>
      <c r="BO1986" s="6841"/>
      <c r="BP1986" s="2957"/>
      <c r="BQ1986" s="2957"/>
      <c r="BR1986" s="2957"/>
      <c r="BS1986" s="2957"/>
      <c r="BT1986" s="2957">
        <v>120000</v>
      </c>
      <c r="BU1986" s="2957"/>
      <c r="BV1986" s="2957"/>
      <c r="BW1986" s="2957"/>
      <c r="BX1986" s="2957"/>
      <c r="BY1986" s="2957"/>
      <c r="BZ1986" s="2957"/>
      <c r="CA1986" s="2957"/>
      <c r="CB1986" s="2957"/>
      <c r="CC1986" s="2957"/>
      <c r="CD1986" s="2957"/>
      <c r="CE1986" s="6840"/>
      <c r="CF1986" s="6840"/>
      <c r="CG1986" s="6840"/>
      <c r="CH1986" s="6840"/>
    </row>
    <row r="1987" s="4998" customFormat="1" ht="46" spans="1:86">
      <c r="A1987" s="3812"/>
      <c r="B1987" s="3812" t="s">
        <v>1003</v>
      </c>
      <c r="C1987" s="3812">
        <v>44316</v>
      </c>
      <c r="D1987" s="6388" t="s">
        <v>3517</v>
      </c>
      <c r="E1987" s="6518" t="s">
        <v>3438</v>
      </c>
      <c r="F1987" s="6518" t="s">
        <v>3518</v>
      </c>
      <c r="G1987" s="6518" t="s">
        <v>3519</v>
      </c>
      <c r="H1987" s="3065" t="s">
        <v>240</v>
      </c>
      <c r="I1987" s="4129"/>
      <c r="J1987" s="6518" t="s">
        <v>1297</v>
      </c>
      <c r="K1987" s="6518" t="s">
        <v>3520</v>
      </c>
      <c r="L1987" s="6518" t="s">
        <v>3521</v>
      </c>
      <c r="M1987" s="3065">
        <f>SUM(O1987:AB1990)</f>
        <v>1653000</v>
      </c>
      <c r="N1987" s="6848"/>
      <c r="O1987" s="3065"/>
      <c r="P1987" s="3065"/>
      <c r="Q1987" s="3065"/>
      <c r="R1987" s="3065">
        <v>1496973.35</v>
      </c>
      <c r="S1987" s="3065">
        <v>25683.99</v>
      </c>
      <c r="T1987" s="3065"/>
      <c r="U1987" s="3065">
        <v>64222.66</v>
      </c>
      <c r="V1987" s="3065"/>
      <c r="W1987" s="3065"/>
      <c r="X1987" s="4129"/>
      <c r="Y1987" s="4129"/>
      <c r="Z1987" s="4129"/>
      <c r="AA1987" s="3065">
        <v>66120</v>
      </c>
      <c r="AB1987" s="6518"/>
      <c r="AC1987" s="3065" t="s">
        <v>1055</v>
      </c>
      <c r="AD1987" s="2087" t="s">
        <v>3442</v>
      </c>
      <c r="AE1987" s="2087">
        <v>0.2</v>
      </c>
      <c r="AF1987" s="3065">
        <f>M1987*AE1987</f>
        <v>330600</v>
      </c>
      <c r="AG1987" s="3065">
        <f t="shared" si="438"/>
        <v>330600</v>
      </c>
      <c r="AH1987" s="3065" t="s">
        <v>122</v>
      </c>
      <c r="AI1987" s="3065">
        <v>44364</v>
      </c>
      <c r="AJ1987" s="3065">
        <v>330600</v>
      </c>
      <c r="AK1987" s="3065">
        <v>44364</v>
      </c>
      <c r="AL1987" s="3065">
        <v>330600</v>
      </c>
      <c r="AM1987" s="3065">
        <v>44370</v>
      </c>
      <c r="AN1987" s="3065">
        <f t="shared" si="441"/>
        <v>330600</v>
      </c>
      <c r="AO1987" s="3065">
        <v>44377</v>
      </c>
      <c r="AP1987" s="3065">
        <f t="shared" si="442"/>
        <v>0</v>
      </c>
      <c r="AQ1987" s="3065"/>
      <c r="AR1987" s="3065"/>
      <c r="AS1987" s="6518"/>
      <c r="AT1987" s="3065"/>
      <c r="AU1987" s="3065"/>
      <c r="AV1987" s="3065"/>
      <c r="AW1987" s="3065"/>
      <c r="AX1987" s="3065"/>
      <c r="AY1987" s="3065"/>
      <c r="AZ1987" s="3065"/>
      <c r="BA1987" s="3065"/>
      <c r="BB1987" s="3065"/>
      <c r="BC1987" s="3065"/>
      <c r="BD1987" s="3065"/>
      <c r="BE1987" s="3065">
        <v>231420</v>
      </c>
      <c r="BF1987" s="3065"/>
      <c r="BG1987" s="3065"/>
      <c r="BH1987" s="3065">
        <v>33060</v>
      </c>
      <c r="BI1987" s="3065"/>
      <c r="BJ1987" s="3065"/>
      <c r="BK1987" s="3065"/>
      <c r="BL1987" s="3065"/>
      <c r="BM1987" s="3065"/>
      <c r="BN1987" s="3065">
        <v>66120</v>
      </c>
      <c r="BO1987" s="3065"/>
      <c r="BP1987" s="3065"/>
      <c r="BQ1987" s="3065"/>
      <c r="BR1987" s="3065"/>
      <c r="BS1987" s="3065">
        <v>231420</v>
      </c>
      <c r="BT1987" s="3065"/>
      <c r="BU1987" s="3065"/>
      <c r="BV1987" s="3065">
        <v>33060</v>
      </c>
      <c r="BW1987" s="3065"/>
      <c r="BX1987" s="3065"/>
      <c r="BY1987" s="3065"/>
      <c r="BZ1987" s="3065"/>
      <c r="CA1987" s="3065"/>
      <c r="CB1987" s="3065">
        <v>66120</v>
      </c>
      <c r="CC1987" s="6874"/>
      <c r="CD1987" s="6874"/>
      <c r="CE1987" s="6840"/>
      <c r="CF1987" s="6840"/>
      <c r="CG1987" s="6840"/>
      <c r="CH1987" s="6840"/>
    </row>
    <row r="1988" s="4998" customFormat="1" ht="46" spans="1:86">
      <c r="A1988" s="3812"/>
      <c r="B1988" s="3812"/>
      <c r="C1988" s="3812"/>
      <c r="D1988" s="6388"/>
      <c r="E1988" s="6518"/>
      <c r="F1988" s="6518"/>
      <c r="G1988" s="6518"/>
      <c r="H1988" s="3065"/>
      <c r="I1988" s="4131"/>
      <c r="J1988" s="6518"/>
      <c r="K1988" s="6518"/>
      <c r="L1988" s="6518"/>
      <c r="M1988" s="3065"/>
      <c r="N1988" s="6848"/>
      <c r="O1988" s="3065"/>
      <c r="P1988" s="3065"/>
      <c r="Q1988" s="3065"/>
      <c r="R1988" s="3065"/>
      <c r="S1988" s="3065"/>
      <c r="T1988" s="3065"/>
      <c r="U1988" s="3065"/>
      <c r="V1988" s="3065"/>
      <c r="W1988" s="3065"/>
      <c r="X1988" s="4131"/>
      <c r="Y1988" s="4131"/>
      <c r="Z1988" s="4131"/>
      <c r="AA1988" s="3065"/>
      <c r="AB1988" s="6518"/>
      <c r="AC1988" s="3065" t="s">
        <v>1057</v>
      </c>
      <c r="AD1988" s="2087" t="s">
        <v>3443</v>
      </c>
      <c r="AE1988" s="2087">
        <v>0.3</v>
      </c>
      <c r="AF1988" s="3065">
        <f>M1987*AE1988</f>
        <v>495900</v>
      </c>
      <c r="AG1988" s="6527">
        <f t="shared" si="438"/>
        <v>300000</v>
      </c>
      <c r="AH1988" s="6452"/>
      <c r="AI1988" s="6527"/>
      <c r="AJ1988" s="3065"/>
      <c r="AK1988" s="6867"/>
      <c r="AL1988" s="3065"/>
      <c r="AM1988" s="3065"/>
      <c r="AN1988" s="6527">
        <f t="shared" si="441"/>
        <v>0</v>
      </c>
      <c r="AO1988" s="6527"/>
      <c r="AP1988" s="3065">
        <f t="shared" si="442"/>
        <v>300000</v>
      </c>
      <c r="AQ1988" s="3065"/>
      <c r="AR1988" s="3065"/>
      <c r="AS1988" s="6518"/>
      <c r="AT1988" s="3065"/>
      <c r="AU1988" s="3065"/>
      <c r="AV1988" s="3065"/>
      <c r="AW1988" s="3065"/>
      <c r="AX1988" s="3065"/>
      <c r="AY1988" s="3065"/>
      <c r="AZ1988" s="3065"/>
      <c r="BA1988" s="6527"/>
      <c r="BB1988" s="6527"/>
      <c r="BC1988" s="6527"/>
      <c r="BD1988" s="6527">
        <v>300000</v>
      </c>
      <c r="BE1988" s="6527"/>
      <c r="BF1988" s="6527"/>
      <c r="BG1988" s="6527"/>
      <c r="BH1988" s="6527"/>
      <c r="BI1988" s="6527"/>
      <c r="BJ1988" s="6527"/>
      <c r="BK1988" s="6527"/>
      <c r="BL1988" s="6527"/>
      <c r="BM1988" s="6527"/>
      <c r="BN1988" s="6527"/>
      <c r="BO1988" s="6527"/>
      <c r="BP1988" s="6527"/>
      <c r="BQ1988" s="6527"/>
      <c r="BR1988" s="6527"/>
      <c r="BS1988" s="6527"/>
      <c r="BT1988" s="6527"/>
      <c r="BU1988" s="6527"/>
      <c r="BV1988" s="6527"/>
      <c r="BW1988" s="6527"/>
      <c r="BX1988" s="6527"/>
      <c r="BY1988" s="6527"/>
      <c r="BZ1988" s="6527"/>
      <c r="CA1988" s="6527"/>
      <c r="CB1988" s="6527"/>
      <c r="CC1988" s="6874"/>
      <c r="CD1988" s="6874"/>
      <c r="CE1988" s="6840"/>
      <c r="CF1988" s="6840"/>
      <c r="CG1988" s="6840"/>
      <c r="CH1988" s="6840"/>
    </row>
    <row r="1989" s="4998" customFormat="1" ht="46" spans="1:86">
      <c r="A1989" s="3812"/>
      <c r="B1989" s="3812"/>
      <c r="C1989" s="3812"/>
      <c r="D1989" s="6388"/>
      <c r="E1989" s="6518"/>
      <c r="F1989" s="6518"/>
      <c r="G1989" s="6518"/>
      <c r="H1989" s="3065"/>
      <c r="I1989" s="4131"/>
      <c r="J1989" s="6518"/>
      <c r="K1989" s="6518"/>
      <c r="L1989" s="6518"/>
      <c r="M1989" s="3065"/>
      <c r="N1989" s="6848"/>
      <c r="O1989" s="3065"/>
      <c r="P1989" s="3065"/>
      <c r="Q1989" s="3065"/>
      <c r="R1989" s="3065"/>
      <c r="S1989" s="3065"/>
      <c r="T1989" s="3065"/>
      <c r="U1989" s="3065"/>
      <c r="V1989" s="3065"/>
      <c r="W1989" s="3065"/>
      <c r="X1989" s="4131"/>
      <c r="Y1989" s="4131"/>
      <c r="Z1989" s="4131"/>
      <c r="AA1989" s="3065"/>
      <c r="AB1989" s="6518"/>
      <c r="AC1989" s="3065" t="s">
        <v>1059</v>
      </c>
      <c r="AD1989" s="2087" t="s">
        <v>3444</v>
      </c>
      <c r="AE1989" s="2087">
        <v>0.4</v>
      </c>
      <c r="AF1989" s="3065">
        <f>M1987*AE1989</f>
        <v>661200</v>
      </c>
      <c r="AG1989" s="6527">
        <f t="shared" si="438"/>
        <v>0</v>
      </c>
      <c r="AH1989" s="6527"/>
      <c r="AI1989" s="6527"/>
      <c r="AJ1989" s="3065"/>
      <c r="AK1989" s="6867"/>
      <c r="AL1989" s="3065"/>
      <c r="AM1989" s="3065"/>
      <c r="AN1989" s="6527">
        <f t="shared" si="441"/>
        <v>0</v>
      </c>
      <c r="AO1989" s="6527"/>
      <c r="AP1989" s="3065">
        <f t="shared" si="442"/>
        <v>0</v>
      </c>
      <c r="AQ1989" s="3065"/>
      <c r="AR1989" s="3065"/>
      <c r="AS1989" s="6518"/>
      <c r="AT1989" s="3065"/>
      <c r="AU1989" s="3065"/>
      <c r="AV1989" s="3065"/>
      <c r="AW1989" s="3065"/>
      <c r="AX1989" s="3065"/>
      <c r="AY1989" s="3065"/>
      <c r="AZ1989" s="3065"/>
      <c r="BA1989" s="6527"/>
      <c r="BB1989" s="6527"/>
      <c r="BC1989" s="6527"/>
      <c r="BD1989" s="6527"/>
      <c r="BE1989" s="6527"/>
      <c r="BF1989" s="6527"/>
      <c r="BG1989" s="6527"/>
      <c r="BH1989" s="6527"/>
      <c r="BI1989" s="6527"/>
      <c r="BJ1989" s="6527"/>
      <c r="BK1989" s="6527"/>
      <c r="BL1989" s="6527"/>
      <c r="BM1989" s="6527"/>
      <c r="BN1989" s="6527"/>
      <c r="BO1989" s="6527"/>
      <c r="BP1989" s="6527"/>
      <c r="BQ1989" s="6527"/>
      <c r="BR1989" s="6527"/>
      <c r="BS1989" s="6527"/>
      <c r="BT1989" s="6527"/>
      <c r="BU1989" s="6527"/>
      <c r="BV1989" s="6527"/>
      <c r="BW1989" s="6527"/>
      <c r="BX1989" s="6527"/>
      <c r="BY1989" s="6527"/>
      <c r="BZ1989" s="6527"/>
      <c r="CA1989" s="6527"/>
      <c r="CB1989" s="6527"/>
      <c r="CC1989" s="6874"/>
      <c r="CD1989" s="6874"/>
      <c r="CE1989" s="6840"/>
      <c r="CF1989" s="6840"/>
      <c r="CG1989" s="6840"/>
      <c r="CH1989" s="6840"/>
    </row>
    <row r="1990" s="4998" customFormat="1" ht="61" spans="1:86">
      <c r="A1990" s="3812"/>
      <c r="B1990" s="3812"/>
      <c r="C1990" s="3812"/>
      <c r="D1990" s="6388"/>
      <c r="E1990" s="6518"/>
      <c r="F1990" s="6518"/>
      <c r="G1990" s="6518"/>
      <c r="H1990" s="3065"/>
      <c r="I1990" s="4131"/>
      <c r="J1990" s="6518"/>
      <c r="K1990" s="6518"/>
      <c r="L1990" s="6518"/>
      <c r="M1990" s="3065"/>
      <c r="N1990" s="6848"/>
      <c r="O1990" s="3065"/>
      <c r="P1990" s="3065"/>
      <c r="Q1990" s="3065"/>
      <c r="R1990" s="3065"/>
      <c r="S1990" s="3065"/>
      <c r="T1990" s="3065"/>
      <c r="U1990" s="3065"/>
      <c r="V1990" s="3065"/>
      <c r="W1990" s="3065"/>
      <c r="X1990" s="6602"/>
      <c r="Y1990" s="6602"/>
      <c r="Z1990" s="6602"/>
      <c r="AA1990" s="3065"/>
      <c r="AB1990" s="6518"/>
      <c r="AC1990" s="3065" t="s">
        <v>1061</v>
      </c>
      <c r="AD1990" s="2087" t="s">
        <v>3445</v>
      </c>
      <c r="AE1990" s="2087">
        <v>0.1</v>
      </c>
      <c r="AF1990" s="3065">
        <f>M1987*AE1990</f>
        <v>165300</v>
      </c>
      <c r="AG1990" s="6527">
        <f t="shared" si="438"/>
        <v>0</v>
      </c>
      <c r="AH1990" s="3065"/>
      <c r="AI1990" s="3065"/>
      <c r="AJ1990" s="3065"/>
      <c r="AK1990" s="6867"/>
      <c r="AL1990" s="3065"/>
      <c r="AM1990" s="3065"/>
      <c r="AN1990" s="6527">
        <f t="shared" si="441"/>
        <v>0</v>
      </c>
      <c r="AO1990" s="3065"/>
      <c r="AP1990" s="3065">
        <f t="shared" si="442"/>
        <v>0</v>
      </c>
      <c r="AQ1990" s="3065"/>
      <c r="AR1990" s="3065"/>
      <c r="AS1990" s="6518"/>
      <c r="AT1990" s="3065"/>
      <c r="AU1990" s="3065"/>
      <c r="AV1990" s="3065"/>
      <c r="AW1990" s="3065"/>
      <c r="AX1990" s="3065"/>
      <c r="AY1990" s="3065"/>
      <c r="AZ1990" s="3065"/>
      <c r="BA1990" s="3065"/>
      <c r="BB1990" s="3065"/>
      <c r="BC1990" s="3065"/>
      <c r="BD1990" s="3065"/>
      <c r="BE1990" s="3065"/>
      <c r="BF1990" s="6527"/>
      <c r="BG1990" s="6527"/>
      <c r="BH1990" s="6527"/>
      <c r="BI1990" s="3065"/>
      <c r="BJ1990" s="3065"/>
      <c r="BK1990" s="3065"/>
      <c r="BL1990" s="3065"/>
      <c r="BM1990" s="3065"/>
      <c r="BN1990" s="6527"/>
      <c r="BO1990" s="3065"/>
      <c r="BP1990" s="3065"/>
      <c r="BQ1990" s="3065"/>
      <c r="BR1990" s="3065"/>
      <c r="BS1990" s="3065"/>
      <c r="BT1990" s="6527"/>
      <c r="BU1990" s="6527"/>
      <c r="BV1990" s="6527"/>
      <c r="BW1990" s="3065"/>
      <c r="BX1990" s="3065"/>
      <c r="BY1990" s="3065"/>
      <c r="BZ1990" s="3065"/>
      <c r="CA1990" s="3065"/>
      <c r="CB1990" s="6527"/>
      <c r="CC1990" s="6874"/>
      <c r="CD1990" s="6874"/>
      <c r="CE1990" s="6840"/>
      <c r="CF1990" s="6840"/>
      <c r="CG1990" s="6840"/>
      <c r="CH1990" s="6840"/>
    </row>
    <row r="1991" s="4998" customFormat="1" ht="46" spans="1:86">
      <c r="A1991" s="3812"/>
      <c r="B1991" s="3812"/>
      <c r="C1991" s="3812">
        <v>44316</v>
      </c>
      <c r="D1991" s="5418" t="s">
        <v>3522</v>
      </c>
      <c r="E1991" s="6587" t="s">
        <v>3438</v>
      </c>
      <c r="F1991" s="6587" t="s">
        <v>3518</v>
      </c>
      <c r="G1991" s="6587" t="s">
        <v>3519</v>
      </c>
      <c r="H1991" s="4099" t="s">
        <v>658</v>
      </c>
      <c r="I1991" s="4131"/>
      <c r="J1991" s="6587" t="s">
        <v>1297</v>
      </c>
      <c r="K1991" s="6587" t="s">
        <v>3523</v>
      </c>
      <c r="L1991" s="6587" t="s">
        <v>3524</v>
      </c>
      <c r="M1991" s="4099">
        <f>SUM(N1991:AB1995)</f>
        <v>3231000</v>
      </c>
      <c r="N1991" s="4099"/>
      <c r="O1991" s="4099"/>
      <c r="P1991" s="4099"/>
      <c r="Q1991" s="4099"/>
      <c r="R1991" s="4099"/>
      <c r="S1991" s="4099">
        <v>2582867.03</v>
      </c>
      <c r="T1991" s="4099"/>
      <c r="U1991" s="4099">
        <v>406457.09</v>
      </c>
      <c r="V1991" s="4099"/>
      <c r="W1991" s="4099"/>
      <c r="X1991" s="5227"/>
      <c r="Y1991" s="5227"/>
      <c r="Z1991" s="5227"/>
      <c r="AA1991" s="4099">
        <v>241675.88</v>
      </c>
      <c r="AB1991" s="6587"/>
      <c r="AC1991" s="4099" t="s">
        <v>2792</v>
      </c>
      <c r="AD1991" s="2358" t="s">
        <v>3448</v>
      </c>
      <c r="AE1991" s="2358">
        <v>0.2</v>
      </c>
      <c r="AF1991" s="4099">
        <f>M1991*AE1991</f>
        <v>646200</v>
      </c>
      <c r="AG1991" s="4099">
        <f t="shared" si="438"/>
        <v>646200</v>
      </c>
      <c r="AH1991" s="5491" t="s">
        <v>122</v>
      </c>
      <c r="AI1991" s="4099">
        <v>44889</v>
      </c>
      <c r="AJ1991" s="4099">
        <v>646200</v>
      </c>
      <c r="AK1991" s="4099">
        <v>44889</v>
      </c>
      <c r="AL1991" s="4099">
        <v>646200</v>
      </c>
      <c r="AM1991" s="4099">
        <v>44889</v>
      </c>
      <c r="AN1991" s="4099">
        <f t="shared" si="441"/>
        <v>646200</v>
      </c>
      <c r="AO1991" s="5491">
        <v>44945</v>
      </c>
      <c r="AP1991" s="4099">
        <f t="shared" si="442"/>
        <v>0</v>
      </c>
      <c r="AQ1991" s="4099"/>
      <c r="AR1991" s="4099"/>
      <c r="AS1991" s="6587"/>
      <c r="AT1991" s="4099"/>
      <c r="AU1991" s="4099"/>
      <c r="AV1991" s="4099"/>
      <c r="AW1991" s="4099"/>
      <c r="AX1991" s="4099"/>
      <c r="AY1991" s="4099"/>
      <c r="AZ1991" s="4099"/>
      <c r="BA1991" s="4099"/>
      <c r="BB1991" s="4099"/>
      <c r="BC1991" s="4099"/>
      <c r="BD1991" s="4099"/>
      <c r="BE1991" s="4099"/>
      <c r="BF1991" s="5490">
        <v>576281.16</v>
      </c>
      <c r="BG1991" s="4099"/>
      <c r="BH1991" s="5490">
        <v>50532.84</v>
      </c>
      <c r="BI1991" s="4099"/>
      <c r="BJ1991" s="4099"/>
      <c r="BK1991" s="4099"/>
      <c r="BL1991" s="4099"/>
      <c r="BM1991" s="4099"/>
      <c r="BN1991" s="5490">
        <v>19386</v>
      </c>
      <c r="BO1991" s="5851"/>
      <c r="BP1991" s="5851"/>
      <c r="BQ1991" s="5851"/>
      <c r="BR1991" s="5851"/>
      <c r="BS1991" s="5851"/>
      <c r="BT1991" s="5490">
        <v>576281.16</v>
      </c>
      <c r="BU1991" s="4099"/>
      <c r="BV1991" s="5490">
        <v>50532.84</v>
      </c>
      <c r="BW1991" s="4099"/>
      <c r="BX1991" s="4099"/>
      <c r="BY1991" s="4099"/>
      <c r="BZ1991" s="4099"/>
      <c r="CA1991" s="4099"/>
      <c r="CB1991" s="5490">
        <v>19386</v>
      </c>
      <c r="CC1991" s="6839"/>
      <c r="CD1991" s="6839"/>
      <c r="CE1991" s="6840"/>
      <c r="CF1991" s="6840"/>
      <c r="CG1991" s="6840"/>
      <c r="CH1991" s="6840"/>
    </row>
    <row r="1992" s="4998" customFormat="1" ht="40.5" customHeight="1" spans="1:86">
      <c r="A1992" s="3812"/>
      <c r="B1992" s="3812"/>
      <c r="C1992" s="3812"/>
      <c r="D1992" s="6587"/>
      <c r="E1992" s="6587"/>
      <c r="F1992" s="6587"/>
      <c r="G1992" s="6587"/>
      <c r="H1992" s="4099"/>
      <c r="I1992" s="4131"/>
      <c r="J1992" s="6587"/>
      <c r="K1992" s="6587"/>
      <c r="L1992" s="6587"/>
      <c r="M1992" s="4099"/>
      <c r="N1992" s="4099"/>
      <c r="O1992" s="4099"/>
      <c r="P1992" s="4099"/>
      <c r="Q1992" s="4099"/>
      <c r="R1992" s="4099"/>
      <c r="S1992" s="4099"/>
      <c r="T1992" s="4099"/>
      <c r="U1992" s="4099"/>
      <c r="V1992" s="4099"/>
      <c r="W1992" s="4099"/>
      <c r="X1992" s="5228"/>
      <c r="Y1992" s="5228"/>
      <c r="Z1992" s="5228"/>
      <c r="AA1992" s="4099"/>
      <c r="AB1992" s="6587"/>
      <c r="AC1992" s="4099" t="s">
        <v>2794</v>
      </c>
      <c r="AD1992" s="2358" t="s">
        <v>3449</v>
      </c>
      <c r="AE1992" s="2358">
        <v>0.6</v>
      </c>
      <c r="AF1992" s="4099">
        <f>M1991*AE1992</f>
        <v>1938600</v>
      </c>
      <c r="AG1992" s="4099">
        <f t="shared" si="438"/>
        <v>1938600</v>
      </c>
      <c r="AH1992" s="5491" t="s">
        <v>122</v>
      </c>
      <c r="AI1992" s="4099">
        <v>44921</v>
      </c>
      <c r="AJ1992" s="4099">
        <v>1938600</v>
      </c>
      <c r="AK1992" s="4099">
        <v>44921</v>
      </c>
      <c r="AL1992" s="4099">
        <v>1938600</v>
      </c>
      <c r="AM1992" s="4099">
        <v>44965</v>
      </c>
      <c r="AN1992" s="4099">
        <f t="shared" si="441"/>
        <v>969300</v>
      </c>
      <c r="AO1992" s="4099">
        <v>45072</v>
      </c>
      <c r="AP1992" s="5227">
        <f>AG1992-AN1992-AN1993</f>
        <v>0</v>
      </c>
      <c r="AQ1992" s="4099"/>
      <c r="AR1992" s="4099"/>
      <c r="AS1992" s="6587"/>
      <c r="AT1992" s="4099"/>
      <c r="AU1992" s="4099"/>
      <c r="AV1992" s="4099"/>
      <c r="AW1992" s="4099"/>
      <c r="AX1992" s="4099"/>
      <c r="AY1992" s="4099"/>
      <c r="AZ1992" s="4099"/>
      <c r="BA1992" s="5227"/>
      <c r="BB1992" s="5227"/>
      <c r="BC1992" s="5227"/>
      <c r="BD1992" s="5227"/>
      <c r="BE1992" s="5227"/>
      <c r="BF1992" s="5227">
        <v>1745373.48</v>
      </c>
      <c r="BG1992" s="5227"/>
      <c r="BH1992" s="5227">
        <v>151598.52</v>
      </c>
      <c r="BI1992" s="5227"/>
      <c r="BJ1992" s="5227"/>
      <c r="BK1992" s="5227"/>
      <c r="BL1992" s="5227"/>
      <c r="BM1992" s="5227"/>
      <c r="BN1992" s="5227">
        <v>41628</v>
      </c>
      <c r="BO1992" s="5851"/>
      <c r="BP1992" s="5851"/>
      <c r="BQ1992" s="5851"/>
      <c r="BR1992" s="5851"/>
      <c r="BS1992" s="5851"/>
      <c r="BT1992" s="5490">
        <v>872686.74</v>
      </c>
      <c r="BU1992" s="4099"/>
      <c r="BV1992" s="5457">
        <v>75799.26</v>
      </c>
      <c r="BW1992" s="4099"/>
      <c r="BX1992" s="4099"/>
      <c r="BY1992" s="4099"/>
      <c r="BZ1992" s="4099"/>
      <c r="CA1992" s="4099"/>
      <c r="CB1992" s="5490">
        <v>20814</v>
      </c>
      <c r="CC1992" s="6839"/>
      <c r="CD1992" s="6839"/>
      <c r="CE1992" s="6840"/>
      <c r="CF1992" s="6840"/>
      <c r="CG1992" s="6840"/>
      <c r="CH1992" s="6840"/>
    </row>
    <row r="1993" s="4998" customFormat="1" ht="36.75" customHeight="1" spans="1:86">
      <c r="A1993" s="3812"/>
      <c r="B1993" s="3812"/>
      <c r="C1993" s="3812"/>
      <c r="D1993" s="6587"/>
      <c r="E1993" s="6587"/>
      <c r="F1993" s="6587"/>
      <c r="G1993" s="6587"/>
      <c r="H1993" s="4099"/>
      <c r="I1993" s="4131"/>
      <c r="J1993" s="6587"/>
      <c r="K1993" s="6587"/>
      <c r="L1993" s="6587"/>
      <c r="M1993" s="4099"/>
      <c r="N1993" s="4099"/>
      <c r="O1993" s="4099"/>
      <c r="P1993" s="4099"/>
      <c r="Q1993" s="4099"/>
      <c r="R1993" s="4099"/>
      <c r="S1993" s="4099"/>
      <c r="T1993" s="4099"/>
      <c r="U1993" s="4099"/>
      <c r="V1993" s="4099"/>
      <c r="W1993" s="4099"/>
      <c r="X1993" s="5228"/>
      <c r="Y1993" s="5228"/>
      <c r="Z1993" s="5228"/>
      <c r="AA1993" s="4099"/>
      <c r="AB1993" s="6587"/>
      <c r="AC1993" s="4099"/>
      <c r="AD1993" s="2358"/>
      <c r="AE1993" s="2358"/>
      <c r="AF1993" s="4099"/>
      <c r="AG1993" s="4099"/>
      <c r="AH1993" s="5491"/>
      <c r="AI1993" s="4099"/>
      <c r="AJ1993" s="4099"/>
      <c r="AK1993" s="4099"/>
      <c r="AL1993" s="4099"/>
      <c r="AM1993" s="4099"/>
      <c r="AN1993" s="4099">
        <v>969300</v>
      </c>
      <c r="AO1993" s="4099">
        <v>45117</v>
      </c>
      <c r="AP1993" s="6852"/>
      <c r="AQ1993" s="4099"/>
      <c r="AR1993" s="4099"/>
      <c r="AS1993" s="6587"/>
      <c r="AT1993" s="4099"/>
      <c r="AU1993" s="4099"/>
      <c r="AV1993" s="4099"/>
      <c r="AW1993" s="4099"/>
      <c r="AX1993" s="4099"/>
      <c r="AY1993" s="4099"/>
      <c r="AZ1993" s="4099"/>
      <c r="BA1993" s="6852"/>
      <c r="BB1993" s="6852"/>
      <c r="BC1993" s="6852"/>
      <c r="BD1993" s="6852"/>
      <c r="BE1993" s="6852"/>
      <c r="BF1993" s="6852"/>
      <c r="BG1993" s="6852"/>
      <c r="BH1993" s="6852"/>
      <c r="BI1993" s="6852"/>
      <c r="BJ1993" s="6852"/>
      <c r="BK1993" s="6852"/>
      <c r="BL1993" s="6852"/>
      <c r="BM1993" s="6852"/>
      <c r="BN1993" s="6852"/>
      <c r="BO1993" s="4099"/>
      <c r="BP1993" s="4099"/>
      <c r="BQ1993" s="4099"/>
      <c r="BR1993" s="4099"/>
      <c r="BS1993" s="4099"/>
      <c r="BT1993" s="4099">
        <v>872686.74</v>
      </c>
      <c r="BU1993" s="5851"/>
      <c r="BV1993" s="4099">
        <v>75799.26</v>
      </c>
      <c r="BW1993" s="5851"/>
      <c r="BX1993" s="5851"/>
      <c r="BY1993" s="5851"/>
      <c r="BZ1993" s="5851"/>
      <c r="CA1993" s="5851"/>
      <c r="CB1993" s="4099">
        <v>20814</v>
      </c>
      <c r="CC1993" s="6839"/>
      <c r="CD1993" s="6839"/>
      <c r="CE1993" s="6840"/>
      <c r="CF1993" s="6840"/>
      <c r="CG1993" s="6840"/>
      <c r="CH1993" s="6840"/>
    </row>
    <row r="1994" s="4998" customFormat="1" ht="31" spans="1:86">
      <c r="A1994" s="3812"/>
      <c r="B1994" s="3812"/>
      <c r="C1994" s="3812"/>
      <c r="D1994" s="6587"/>
      <c r="E1994" s="6587"/>
      <c r="F1994" s="6587"/>
      <c r="G1994" s="6587"/>
      <c r="H1994" s="4099"/>
      <c r="I1994" s="4131"/>
      <c r="J1994" s="6587"/>
      <c r="K1994" s="6587"/>
      <c r="L1994" s="6587"/>
      <c r="M1994" s="4099"/>
      <c r="N1994" s="4099"/>
      <c r="O1994" s="4099"/>
      <c r="P1994" s="4099"/>
      <c r="Q1994" s="4099"/>
      <c r="R1994" s="4099"/>
      <c r="S1994" s="4099"/>
      <c r="T1994" s="4099"/>
      <c r="U1994" s="4099"/>
      <c r="V1994" s="4099"/>
      <c r="W1994" s="4099"/>
      <c r="X1994" s="5228"/>
      <c r="Y1994" s="5228"/>
      <c r="Z1994" s="5228"/>
      <c r="AA1994" s="4099"/>
      <c r="AB1994" s="6587"/>
      <c r="AC1994" s="4099" t="s">
        <v>2796</v>
      </c>
      <c r="AD1994" s="2358" t="s">
        <v>3450</v>
      </c>
      <c r="AE1994" s="2358">
        <v>0.1</v>
      </c>
      <c r="AF1994" s="4099">
        <f>M1991*AE1994</f>
        <v>323100</v>
      </c>
      <c r="AG1994" s="5851">
        <f t="shared" ref="AG1994:AG1999" si="443">SUM(BA1994:BN1994)</f>
        <v>323100</v>
      </c>
      <c r="AH1994" s="6451" t="s">
        <v>349</v>
      </c>
      <c r="AI1994" s="5851"/>
      <c r="AJ1994" s="4099"/>
      <c r="AK1994" s="4099"/>
      <c r="AL1994" s="4099"/>
      <c r="AM1994" s="4099"/>
      <c r="AN1994" s="5851">
        <f t="shared" ref="AN1994:AN2000" si="444">SUM(BO1994:CB1994)</f>
        <v>323100</v>
      </c>
      <c r="AO1994" s="4099"/>
      <c r="AP1994" s="4099">
        <f t="shared" ref="AP1994:AP2001" si="445">AG1994-AN1994</f>
        <v>0</v>
      </c>
      <c r="AQ1994" s="4099"/>
      <c r="AR1994" s="4099"/>
      <c r="AS1994" s="6587"/>
      <c r="AT1994" s="4099"/>
      <c r="AU1994" s="4099"/>
      <c r="AV1994" s="4099"/>
      <c r="AW1994" s="4099"/>
      <c r="AX1994" s="4099"/>
      <c r="AY1994" s="4099"/>
      <c r="AZ1994" s="4099"/>
      <c r="BA1994" s="4099"/>
      <c r="BB1994" s="4099"/>
      <c r="BC1994" s="4099"/>
      <c r="BD1994" s="4099"/>
      <c r="BE1994" s="4099"/>
      <c r="BF1994" s="5524">
        <v>230140.58</v>
      </c>
      <c r="BG1994" s="5851"/>
      <c r="BH1994" s="5524">
        <v>83266.42</v>
      </c>
      <c r="BI1994" s="5851"/>
      <c r="BJ1994" s="5851"/>
      <c r="BK1994" s="5851"/>
      <c r="BL1994" s="5851"/>
      <c r="BM1994" s="5851"/>
      <c r="BN1994" s="5524">
        <v>9693</v>
      </c>
      <c r="BO1994" s="4099"/>
      <c r="BP1994" s="4099"/>
      <c r="BQ1994" s="4099"/>
      <c r="BR1994" s="4099"/>
      <c r="BS1994" s="4099"/>
      <c r="BT1994" s="5524">
        <v>230140.58</v>
      </c>
      <c r="BU1994" s="5851"/>
      <c r="BV1994" s="5524">
        <v>83266.42</v>
      </c>
      <c r="BW1994" s="5851"/>
      <c r="BX1994" s="5851"/>
      <c r="BY1994" s="5851"/>
      <c r="BZ1994" s="5851"/>
      <c r="CA1994" s="5851"/>
      <c r="CB1994" s="5524">
        <v>9693</v>
      </c>
      <c r="CC1994" s="6839"/>
      <c r="CD1994" s="6839"/>
      <c r="CE1994" s="6840"/>
      <c r="CF1994" s="6840"/>
      <c r="CG1994" s="6840"/>
      <c r="CH1994" s="6840"/>
    </row>
    <row r="1995" s="4998" customFormat="1" ht="61" spans="1:86">
      <c r="A1995" s="3812"/>
      <c r="B1995" s="3812"/>
      <c r="C1995" s="3812"/>
      <c r="D1995" s="6587"/>
      <c r="E1995" s="6587"/>
      <c r="F1995" s="6587"/>
      <c r="G1995" s="6587"/>
      <c r="H1995" s="4099"/>
      <c r="I1995" s="4131"/>
      <c r="J1995" s="6587"/>
      <c r="K1995" s="6587"/>
      <c r="L1995" s="6587"/>
      <c r="M1995" s="4099"/>
      <c r="N1995" s="4099"/>
      <c r="O1995" s="4099"/>
      <c r="P1995" s="4099"/>
      <c r="Q1995" s="4099"/>
      <c r="R1995" s="4099"/>
      <c r="S1995" s="4099"/>
      <c r="T1995" s="4099"/>
      <c r="U1995" s="4099"/>
      <c r="V1995" s="4099"/>
      <c r="W1995" s="4099"/>
      <c r="X1995" s="6852"/>
      <c r="Y1995" s="6852"/>
      <c r="Z1995" s="6852"/>
      <c r="AA1995" s="4099"/>
      <c r="AB1995" s="6587"/>
      <c r="AC1995" s="4099" t="s">
        <v>2798</v>
      </c>
      <c r="AD1995" s="2358" t="s">
        <v>3445</v>
      </c>
      <c r="AE1995" s="2358">
        <v>0.1</v>
      </c>
      <c r="AF1995" s="4099">
        <f>M1991*AE1995</f>
        <v>323100</v>
      </c>
      <c r="AG1995" s="5851">
        <f t="shared" si="443"/>
        <v>323100</v>
      </c>
      <c r="AH1995" s="6451" t="s">
        <v>349</v>
      </c>
      <c r="AI1995" s="5851"/>
      <c r="AJ1995" s="4099"/>
      <c r="AK1995" s="4099"/>
      <c r="AL1995" s="4099"/>
      <c r="AM1995" s="4099"/>
      <c r="AN1995" s="5851">
        <f t="shared" si="444"/>
        <v>323100</v>
      </c>
      <c r="AO1995" s="4099"/>
      <c r="AP1995" s="4099">
        <f t="shared" si="445"/>
        <v>0</v>
      </c>
      <c r="AQ1995" s="4099"/>
      <c r="AR1995" s="4099"/>
      <c r="AS1995" s="6587"/>
      <c r="AT1995" s="4099"/>
      <c r="AU1995" s="4099"/>
      <c r="AV1995" s="4099"/>
      <c r="AW1995" s="4099"/>
      <c r="AX1995" s="4099"/>
      <c r="AY1995" s="4099"/>
      <c r="AZ1995" s="4099"/>
      <c r="BA1995" s="4099"/>
      <c r="BB1995" s="4099"/>
      <c r="BC1995" s="4099"/>
      <c r="BD1995" s="4099"/>
      <c r="BE1995" s="4099"/>
      <c r="BF1995" s="5524">
        <v>288140.58</v>
      </c>
      <c r="BG1995" s="4099"/>
      <c r="BH1995" s="5524">
        <v>25266.42</v>
      </c>
      <c r="BI1995" s="4099"/>
      <c r="BJ1995" s="4099"/>
      <c r="BK1995" s="4099"/>
      <c r="BL1995" s="4099"/>
      <c r="BM1995" s="4099"/>
      <c r="BN1995" s="5524">
        <v>9693</v>
      </c>
      <c r="BO1995" s="4099"/>
      <c r="BP1995" s="4099"/>
      <c r="BQ1995" s="4099"/>
      <c r="BR1995" s="4099"/>
      <c r="BS1995" s="4099"/>
      <c r="BT1995" s="5524">
        <v>288140.58</v>
      </c>
      <c r="BU1995" s="4099"/>
      <c r="BV1995" s="5524">
        <v>25266.42</v>
      </c>
      <c r="BW1995" s="4099"/>
      <c r="BX1995" s="4099"/>
      <c r="BY1995" s="4099"/>
      <c r="BZ1995" s="4099"/>
      <c r="CA1995" s="4099"/>
      <c r="CB1995" s="5524">
        <v>9693</v>
      </c>
      <c r="CC1995" s="6839"/>
      <c r="CD1995" s="6839"/>
      <c r="CE1995" s="6840"/>
      <c r="CF1995" s="6840"/>
      <c r="CG1995" s="6840"/>
      <c r="CH1995" s="6840"/>
    </row>
    <row r="1996" s="4998" customFormat="1" ht="46" spans="1:86">
      <c r="A1996" s="3812"/>
      <c r="B1996" s="3812"/>
      <c r="C1996" s="3812">
        <v>44302</v>
      </c>
      <c r="D1996" s="440" t="s">
        <v>3525</v>
      </c>
      <c r="E1996" s="440" t="s">
        <v>3438</v>
      </c>
      <c r="F1996" s="440" t="s">
        <v>3518</v>
      </c>
      <c r="G1996" s="440" t="s">
        <v>3519</v>
      </c>
      <c r="H1996" s="600" t="s">
        <v>3461</v>
      </c>
      <c r="I1996" s="4131"/>
      <c r="J1996" s="440" t="s">
        <v>1297</v>
      </c>
      <c r="K1996" s="5196"/>
      <c r="L1996" s="440" t="s">
        <v>2887</v>
      </c>
      <c r="M1996" s="2957">
        <f>SUM(N1996:AA1998)</f>
        <v>160000</v>
      </c>
      <c r="N1996" s="2957"/>
      <c r="O1996" s="2957"/>
      <c r="P1996" s="2957"/>
      <c r="Q1996" s="2957"/>
      <c r="R1996" s="2957"/>
      <c r="S1996" s="2957"/>
      <c r="T1996" s="2957"/>
      <c r="U1996" s="2957"/>
      <c r="V1996" s="2957"/>
      <c r="W1996" s="2957"/>
      <c r="X1996" s="2957"/>
      <c r="Y1996" s="3245"/>
      <c r="Z1996" s="3245"/>
      <c r="AA1996" s="2957">
        <v>160000</v>
      </c>
      <c r="AB1996" s="440" t="s">
        <v>3526</v>
      </c>
      <c r="AC1996" s="600" t="s">
        <v>3462</v>
      </c>
      <c r="AD1996" s="441" t="s">
        <v>3455</v>
      </c>
      <c r="AE1996" s="441">
        <v>0.2</v>
      </c>
      <c r="AF1996" s="2957">
        <f>AA1996*AE1996</f>
        <v>32000</v>
      </c>
      <c r="AG1996" s="2957">
        <f t="shared" si="443"/>
        <v>32000</v>
      </c>
      <c r="AH1996" s="600" t="s">
        <v>122</v>
      </c>
      <c r="AI1996" s="2957">
        <v>44799</v>
      </c>
      <c r="AJ1996" s="2957">
        <v>32000</v>
      </c>
      <c r="AK1996" s="2957">
        <v>44799</v>
      </c>
      <c r="AL1996" s="2957">
        <v>32000</v>
      </c>
      <c r="AM1996" s="2957">
        <v>44083</v>
      </c>
      <c r="AN1996" s="2957">
        <f t="shared" si="444"/>
        <v>32000</v>
      </c>
      <c r="AO1996" s="2957">
        <v>44883</v>
      </c>
      <c r="AP1996" s="2957">
        <f t="shared" si="445"/>
        <v>0</v>
      </c>
      <c r="AQ1996" s="2957"/>
      <c r="AR1996" s="2957"/>
      <c r="AS1996" s="5196"/>
      <c r="AT1996" s="2957"/>
      <c r="AU1996" s="2957"/>
      <c r="AV1996" s="2957"/>
      <c r="AW1996" s="2957"/>
      <c r="AX1996" s="2957"/>
      <c r="AY1996" s="2957"/>
      <c r="AZ1996" s="2957"/>
      <c r="BA1996" s="2957"/>
      <c r="BB1996" s="2957"/>
      <c r="BC1996" s="2957"/>
      <c r="BD1996" s="2957"/>
      <c r="BE1996" s="2957"/>
      <c r="BF1996" s="2957"/>
      <c r="BG1996" s="2957"/>
      <c r="BH1996" s="2957"/>
      <c r="BI1996" s="2957"/>
      <c r="BJ1996" s="2957"/>
      <c r="BK1996" s="2957"/>
      <c r="BL1996" s="2957"/>
      <c r="BM1996" s="2957"/>
      <c r="BN1996" s="2957">
        <v>32000</v>
      </c>
      <c r="BO1996" s="2957"/>
      <c r="BP1996" s="2957"/>
      <c r="BQ1996" s="2957"/>
      <c r="BR1996" s="2957"/>
      <c r="BS1996" s="2957"/>
      <c r="BT1996" s="2957"/>
      <c r="BU1996" s="2957"/>
      <c r="BV1996" s="2957"/>
      <c r="BW1996" s="2957"/>
      <c r="BX1996" s="2957"/>
      <c r="BY1996" s="2957"/>
      <c r="BZ1996" s="2957"/>
      <c r="CA1996" s="2957"/>
      <c r="CB1996" s="5395">
        <v>32000</v>
      </c>
      <c r="CC1996" s="6841"/>
      <c r="CD1996" s="6841"/>
      <c r="CE1996" s="6840"/>
      <c r="CF1996" s="6840"/>
      <c r="CG1996" s="6840"/>
      <c r="CH1996" s="6840"/>
    </row>
    <row r="1997" s="4998" customFormat="1" ht="61" spans="1:86">
      <c r="A1997" s="3812"/>
      <c r="B1997" s="3812"/>
      <c r="C1997" s="3812"/>
      <c r="D1997" s="440"/>
      <c r="E1997" s="440"/>
      <c r="F1997" s="440"/>
      <c r="G1997" s="440"/>
      <c r="H1997" s="2957"/>
      <c r="I1997" s="4131"/>
      <c r="J1997" s="440"/>
      <c r="K1997" s="5196"/>
      <c r="L1997" s="5196"/>
      <c r="M1997" s="2957"/>
      <c r="N1997" s="2957"/>
      <c r="O1997" s="2957"/>
      <c r="P1997" s="2957"/>
      <c r="Q1997" s="2957"/>
      <c r="R1997" s="2957"/>
      <c r="S1997" s="2957"/>
      <c r="T1997" s="2957"/>
      <c r="U1997" s="2957"/>
      <c r="V1997" s="2957"/>
      <c r="W1997" s="2957"/>
      <c r="X1997" s="2957"/>
      <c r="Y1997" s="5371"/>
      <c r="Z1997" s="5371"/>
      <c r="AA1997" s="2957"/>
      <c r="AB1997" s="5196"/>
      <c r="AC1997" s="600" t="s">
        <v>3463</v>
      </c>
      <c r="AD1997" s="441" t="s">
        <v>3457</v>
      </c>
      <c r="AE1997" s="441">
        <v>0.6</v>
      </c>
      <c r="AF1997" s="2957">
        <f>AA1996*AE1997</f>
        <v>96000</v>
      </c>
      <c r="AG1997" s="2957">
        <f t="shared" si="443"/>
        <v>96000</v>
      </c>
      <c r="AH1997" s="600" t="s">
        <v>122</v>
      </c>
      <c r="AI1997" s="2957">
        <v>44889</v>
      </c>
      <c r="AJ1997" s="2957">
        <v>96000</v>
      </c>
      <c r="AK1997" s="2957">
        <v>44889</v>
      </c>
      <c r="AL1997" s="2957">
        <v>96000</v>
      </c>
      <c r="AM1997" s="2957">
        <v>44889</v>
      </c>
      <c r="AN1997" s="2957">
        <f t="shared" si="444"/>
        <v>96000</v>
      </c>
      <c r="AO1997" s="2957">
        <v>44945</v>
      </c>
      <c r="AP1997" s="2957">
        <f t="shared" si="445"/>
        <v>0</v>
      </c>
      <c r="AQ1997" s="2957"/>
      <c r="AR1997" s="2957"/>
      <c r="AS1997" s="5196"/>
      <c r="AT1997" s="2957"/>
      <c r="AU1997" s="2957"/>
      <c r="AV1997" s="2957"/>
      <c r="AW1997" s="2957"/>
      <c r="AX1997" s="2957"/>
      <c r="AY1997" s="2957"/>
      <c r="AZ1997" s="2957"/>
      <c r="BA1997" s="2957"/>
      <c r="BB1997" s="2957"/>
      <c r="BC1997" s="2957"/>
      <c r="BD1997" s="2957"/>
      <c r="BE1997" s="2957"/>
      <c r="BF1997" s="2957"/>
      <c r="BG1997" s="2957"/>
      <c r="BH1997" s="2957"/>
      <c r="BI1997" s="2957"/>
      <c r="BJ1997" s="2957"/>
      <c r="BK1997" s="2957"/>
      <c r="BL1997" s="2957"/>
      <c r="BM1997" s="2957"/>
      <c r="BN1997" s="2957">
        <v>96000</v>
      </c>
      <c r="BO1997" s="2957"/>
      <c r="BP1997" s="2957"/>
      <c r="BQ1997" s="2957"/>
      <c r="BR1997" s="2957"/>
      <c r="BS1997" s="2957"/>
      <c r="BT1997" s="2957"/>
      <c r="BU1997" s="2957"/>
      <c r="BV1997" s="2957"/>
      <c r="BW1997" s="2957"/>
      <c r="BX1997" s="2957"/>
      <c r="BY1997" s="2957"/>
      <c r="BZ1997" s="2957"/>
      <c r="CA1997" s="2957"/>
      <c r="CB1997" s="2957">
        <v>96000</v>
      </c>
      <c r="CC1997" s="6841"/>
      <c r="CD1997" s="6841"/>
      <c r="CE1997" s="6840"/>
      <c r="CF1997" s="6840"/>
      <c r="CG1997" s="6840"/>
      <c r="CH1997" s="6840"/>
    </row>
    <row r="1998" s="4998" customFormat="1" ht="61" spans="1:86">
      <c r="A1998" s="3812"/>
      <c r="B1998" s="3812"/>
      <c r="C1998" s="3812"/>
      <c r="D1998" s="440"/>
      <c r="E1998" s="440"/>
      <c r="F1998" s="440"/>
      <c r="G1998" s="440"/>
      <c r="H1998" s="2957"/>
      <c r="I1998" s="4131"/>
      <c r="J1998" s="440"/>
      <c r="K1998" s="5196"/>
      <c r="L1998" s="5196"/>
      <c r="M1998" s="2957"/>
      <c r="N1998" s="2957"/>
      <c r="O1998" s="2957"/>
      <c r="P1998" s="2957"/>
      <c r="Q1998" s="2957"/>
      <c r="R1998" s="2957"/>
      <c r="S1998" s="2957"/>
      <c r="T1998" s="2957"/>
      <c r="U1998" s="2957"/>
      <c r="V1998" s="2957"/>
      <c r="W1998" s="2957"/>
      <c r="X1998" s="2957"/>
      <c r="Y1998" s="3244"/>
      <c r="Z1998" s="3244"/>
      <c r="AA1998" s="2957"/>
      <c r="AB1998" s="5196"/>
      <c r="AC1998" s="600" t="s">
        <v>3464</v>
      </c>
      <c r="AD1998" s="441" t="s">
        <v>3459</v>
      </c>
      <c r="AE1998" s="441">
        <v>0.2</v>
      </c>
      <c r="AF1998" s="2957">
        <f>AE1998*AA1996</f>
        <v>32000</v>
      </c>
      <c r="AG1998" s="5395">
        <f t="shared" si="443"/>
        <v>32000</v>
      </c>
      <c r="AH1998" s="5394" t="s">
        <v>349</v>
      </c>
      <c r="AI1998" s="6864"/>
      <c r="AJ1998" s="2957"/>
      <c r="AK1998" s="2957"/>
      <c r="AL1998" s="2957"/>
      <c r="AM1998" s="2957"/>
      <c r="AN1998" s="5395">
        <f t="shared" si="444"/>
        <v>32000</v>
      </c>
      <c r="AO1998" s="2957"/>
      <c r="AP1998" s="2957">
        <f t="shared" si="445"/>
        <v>0</v>
      </c>
      <c r="AQ1998" s="2957"/>
      <c r="AR1998" s="2957"/>
      <c r="AS1998" s="5196"/>
      <c r="AT1998" s="2957"/>
      <c r="AU1998" s="2957"/>
      <c r="AV1998" s="2957"/>
      <c r="AW1998" s="2957"/>
      <c r="AX1998" s="2957"/>
      <c r="AY1998" s="2957"/>
      <c r="AZ1998" s="2957"/>
      <c r="BA1998" s="2957"/>
      <c r="BB1998" s="2957"/>
      <c r="BC1998" s="2957"/>
      <c r="BD1998" s="2957"/>
      <c r="BE1998" s="2957"/>
      <c r="BF1998" s="2957"/>
      <c r="BG1998" s="2957"/>
      <c r="BH1998" s="2957"/>
      <c r="BI1998" s="2957"/>
      <c r="BJ1998" s="2957"/>
      <c r="BK1998" s="2957"/>
      <c r="BL1998" s="2957"/>
      <c r="BM1998" s="2957"/>
      <c r="BN1998" s="6864">
        <v>32000</v>
      </c>
      <c r="BO1998" s="2957"/>
      <c r="BP1998" s="2957"/>
      <c r="BQ1998" s="2957"/>
      <c r="BR1998" s="2957"/>
      <c r="BS1998" s="2957"/>
      <c r="BT1998" s="2957"/>
      <c r="BU1998" s="2957"/>
      <c r="BV1998" s="2957"/>
      <c r="BW1998" s="2957"/>
      <c r="BX1998" s="2957"/>
      <c r="BY1998" s="2957"/>
      <c r="BZ1998" s="2957"/>
      <c r="CA1998" s="2957"/>
      <c r="CB1998" s="5395">
        <v>32000</v>
      </c>
      <c r="CC1998" s="6841"/>
      <c r="CD1998" s="6841"/>
      <c r="CE1998" s="6840"/>
      <c r="CF1998" s="6840"/>
      <c r="CG1998" s="6840"/>
      <c r="CH1998" s="6840"/>
    </row>
    <row r="1999" s="4998" customFormat="1" ht="46" spans="1:86">
      <c r="A1999" s="3812"/>
      <c r="B1999" s="3812"/>
      <c r="C1999" s="3812"/>
      <c r="D1999" s="440"/>
      <c r="E1999" s="440"/>
      <c r="F1999" s="440"/>
      <c r="G1999" s="440"/>
      <c r="H1999" s="600" t="s">
        <v>3465</v>
      </c>
      <c r="I1999" s="4131"/>
      <c r="J1999" s="440"/>
      <c r="K1999" s="5196"/>
      <c r="L1999" s="440" t="s">
        <v>3527</v>
      </c>
      <c r="M1999" s="2957">
        <f>SUM(N1999:AA2002)</f>
        <v>287280</v>
      </c>
      <c r="N1999" s="2957"/>
      <c r="O1999" s="2957"/>
      <c r="P1999" s="2957"/>
      <c r="Q1999" s="2957"/>
      <c r="R1999" s="2957"/>
      <c r="S1999" s="2957"/>
      <c r="T1999" s="2957"/>
      <c r="U1999" s="2957"/>
      <c r="V1999" s="2957"/>
      <c r="W1999" s="2957"/>
      <c r="X1999" s="2957"/>
      <c r="Y1999" s="3245"/>
      <c r="Z1999" s="3245"/>
      <c r="AA1999" s="2957">
        <v>287280</v>
      </c>
      <c r="AB1999" s="440" t="s">
        <v>126</v>
      </c>
      <c r="AC1999" s="600" t="s">
        <v>3466</v>
      </c>
      <c r="AD1999" s="441" t="s">
        <v>3455</v>
      </c>
      <c r="AE1999" s="441">
        <v>0.2</v>
      </c>
      <c r="AF1999" s="2957">
        <f>AA1999*AE1999</f>
        <v>57456</v>
      </c>
      <c r="AG1999" s="2957">
        <f t="shared" si="443"/>
        <v>57546</v>
      </c>
      <c r="AH1999" s="600" t="s">
        <v>122</v>
      </c>
      <c r="AI1999" s="2957">
        <v>44799</v>
      </c>
      <c r="AJ1999" s="2957">
        <v>57546</v>
      </c>
      <c r="AK1999" s="2957">
        <v>44799</v>
      </c>
      <c r="AL1999" s="2957">
        <v>57456</v>
      </c>
      <c r="AM1999" s="2957">
        <v>44083</v>
      </c>
      <c r="AN1999" s="2957">
        <f t="shared" si="444"/>
        <v>57456</v>
      </c>
      <c r="AO1999" s="2957">
        <v>44883</v>
      </c>
      <c r="AP1999" s="2957">
        <f t="shared" si="445"/>
        <v>90</v>
      </c>
      <c r="AQ1999" s="440" t="s">
        <v>3528</v>
      </c>
      <c r="AR1999" s="2957"/>
      <c r="AS1999" s="5196"/>
      <c r="AT1999" s="2957"/>
      <c r="AU1999" s="2957"/>
      <c r="AV1999" s="2957"/>
      <c r="AW1999" s="2957"/>
      <c r="AX1999" s="2957"/>
      <c r="AY1999" s="2957"/>
      <c r="AZ1999" s="2957"/>
      <c r="BA1999" s="2957"/>
      <c r="BB1999" s="2957"/>
      <c r="BC1999" s="2957"/>
      <c r="BD1999" s="2957"/>
      <c r="BE1999" s="2957"/>
      <c r="BF1999" s="2957"/>
      <c r="BG1999" s="2957"/>
      <c r="BH1999" s="2957"/>
      <c r="BI1999" s="2957"/>
      <c r="BJ1999" s="2957"/>
      <c r="BK1999" s="2957"/>
      <c r="BL1999" s="2957"/>
      <c r="BM1999" s="2957"/>
      <c r="BN1999" s="2957">
        <v>57546</v>
      </c>
      <c r="BO1999" s="2957"/>
      <c r="BP1999" s="2957"/>
      <c r="BQ1999" s="2957"/>
      <c r="BR1999" s="2957"/>
      <c r="BS1999" s="2957"/>
      <c r="BT1999" s="2957"/>
      <c r="BU1999" s="2957"/>
      <c r="BV1999" s="2957"/>
      <c r="BW1999" s="2957"/>
      <c r="BX1999" s="2957"/>
      <c r="BY1999" s="2957"/>
      <c r="BZ1999" s="2957"/>
      <c r="CA1999" s="2957"/>
      <c r="CB1999" s="5395">
        <v>57456</v>
      </c>
      <c r="CC1999" s="6841"/>
      <c r="CD1999" s="6841"/>
      <c r="CE1999" s="6840"/>
      <c r="CF1999" s="6840"/>
      <c r="CG1999" s="6840"/>
      <c r="CH1999" s="6840"/>
    </row>
    <row r="2000" s="4998" customFormat="1" ht="27" customHeight="1" spans="1:86">
      <c r="A2000" s="3812"/>
      <c r="B2000" s="3812"/>
      <c r="C2000" s="3812"/>
      <c r="D2000" s="440"/>
      <c r="E2000" s="440"/>
      <c r="F2000" s="440"/>
      <c r="G2000" s="440"/>
      <c r="H2000" s="600"/>
      <c r="I2000" s="4131"/>
      <c r="J2000" s="440"/>
      <c r="K2000" s="5196"/>
      <c r="L2000" s="440"/>
      <c r="M2000" s="2957"/>
      <c r="N2000" s="2957"/>
      <c r="O2000" s="2957"/>
      <c r="P2000" s="2957"/>
      <c r="Q2000" s="2957"/>
      <c r="R2000" s="2957"/>
      <c r="S2000" s="2957"/>
      <c r="T2000" s="2957"/>
      <c r="U2000" s="2957"/>
      <c r="V2000" s="2957"/>
      <c r="W2000" s="2957"/>
      <c r="X2000" s="2957"/>
      <c r="Y2000" s="5371"/>
      <c r="Z2000" s="5371"/>
      <c r="AA2000" s="2957"/>
      <c r="AB2000" s="440"/>
      <c r="AC2000" s="905" t="s">
        <v>3467</v>
      </c>
      <c r="AD2000" s="2096" t="s">
        <v>3457</v>
      </c>
      <c r="AE2000" s="2096">
        <v>0.6</v>
      </c>
      <c r="AF2000" s="3245">
        <f>AA1999*AE2000</f>
        <v>172368</v>
      </c>
      <c r="AG2000" s="3245">
        <v>172368</v>
      </c>
      <c r="AH2000" s="905" t="s">
        <v>122</v>
      </c>
      <c r="AI2000" s="3245">
        <v>45103</v>
      </c>
      <c r="AJ2000" s="3245">
        <v>172368</v>
      </c>
      <c r="AK2000" s="3245">
        <v>45103</v>
      </c>
      <c r="AL2000" s="3245">
        <v>172368</v>
      </c>
      <c r="AM2000" s="3245">
        <v>45103</v>
      </c>
      <c r="AN2000" s="2957">
        <f t="shared" si="444"/>
        <v>86184</v>
      </c>
      <c r="AO2000" s="600">
        <v>45196</v>
      </c>
      <c r="AP2000" s="2957">
        <f t="shared" si="445"/>
        <v>86184</v>
      </c>
      <c r="AQ2000" s="905" t="s">
        <v>3529</v>
      </c>
      <c r="AR2000" s="2957"/>
      <c r="AS2000" s="5196"/>
      <c r="AT2000" s="2957"/>
      <c r="AU2000" s="2957"/>
      <c r="AV2000" s="2957"/>
      <c r="AW2000" s="2957"/>
      <c r="AX2000" s="2957"/>
      <c r="AY2000" s="2957"/>
      <c r="AZ2000" s="2957"/>
      <c r="BA2000" s="2957"/>
      <c r="BB2000" s="2957"/>
      <c r="BC2000" s="2957"/>
      <c r="BD2000" s="2957"/>
      <c r="BE2000" s="2957"/>
      <c r="BF2000" s="2957"/>
      <c r="BG2000" s="2957"/>
      <c r="BH2000" s="2957"/>
      <c r="BI2000" s="2957"/>
      <c r="BJ2000" s="2957"/>
      <c r="BK2000" s="2957"/>
      <c r="BL2000" s="2957"/>
      <c r="BM2000" s="3245"/>
      <c r="BN2000" s="3245">
        <v>172368</v>
      </c>
      <c r="BO2000" s="2957"/>
      <c r="BP2000" s="2957"/>
      <c r="BQ2000" s="2957"/>
      <c r="BR2000" s="2957"/>
      <c r="BS2000" s="2957"/>
      <c r="BT2000" s="2957"/>
      <c r="BU2000" s="2957"/>
      <c r="BV2000" s="2957"/>
      <c r="BW2000" s="2957"/>
      <c r="BX2000" s="2957"/>
      <c r="BY2000" s="2957"/>
      <c r="BZ2000" s="2957"/>
      <c r="CA2000" s="2957"/>
      <c r="CB2000" s="5395">
        <v>86184</v>
      </c>
      <c r="CC2000" s="6841"/>
      <c r="CD2000" s="6841"/>
      <c r="CE2000" s="6840"/>
      <c r="CF2000" s="6840"/>
      <c r="CG2000" s="6840"/>
      <c r="CH2000" s="6840"/>
    </row>
    <row r="2001" s="4998" customFormat="1" ht="31.5" customHeight="1" spans="1:86">
      <c r="A2001" s="3812"/>
      <c r="B2001" s="3812"/>
      <c r="C2001" s="3812"/>
      <c r="D2001" s="440"/>
      <c r="E2001" s="440"/>
      <c r="F2001" s="440"/>
      <c r="G2001" s="440"/>
      <c r="H2001" s="2957"/>
      <c r="I2001" s="4131"/>
      <c r="J2001" s="440"/>
      <c r="K2001" s="5196"/>
      <c r="L2001" s="5196"/>
      <c r="M2001" s="2957"/>
      <c r="N2001" s="2957"/>
      <c r="O2001" s="2957"/>
      <c r="P2001" s="2957"/>
      <c r="Q2001" s="2957"/>
      <c r="R2001" s="2957"/>
      <c r="S2001" s="2957"/>
      <c r="T2001" s="2957"/>
      <c r="U2001" s="2957"/>
      <c r="V2001" s="2957"/>
      <c r="W2001" s="2957"/>
      <c r="X2001" s="2957"/>
      <c r="Y2001" s="5371"/>
      <c r="Z2001" s="5371"/>
      <c r="AA2001" s="2957"/>
      <c r="AB2001" s="5196"/>
      <c r="AC2001" s="907"/>
      <c r="AD2001" s="2098"/>
      <c r="AE2001" s="2098"/>
      <c r="AF2001" s="3244"/>
      <c r="AG2001" s="3244"/>
      <c r="AH2001" s="907"/>
      <c r="AI2001" s="3244"/>
      <c r="AJ2001" s="3244"/>
      <c r="AK2001" s="3244"/>
      <c r="AL2001" s="3244"/>
      <c r="AM2001" s="3244"/>
      <c r="AN2001" s="2957">
        <f t="shared" ref="AN2001:AN2025" si="446">SUM(BO2001:CB2001)</f>
        <v>86184</v>
      </c>
      <c r="AO2001" s="2957">
        <v>45379</v>
      </c>
      <c r="AP2001" s="2957">
        <f t="shared" si="445"/>
        <v>-86184</v>
      </c>
      <c r="AQ2001" s="907"/>
      <c r="AR2001" s="2957"/>
      <c r="AS2001" s="5196"/>
      <c r="AT2001" s="2957"/>
      <c r="AU2001" s="2957"/>
      <c r="AV2001" s="2957"/>
      <c r="AW2001" s="2957"/>
      <c r="AX2001" s="2957"/>
      <c r="AY2001" s="2957"/>
      <c r="AZ2001" s="2957"/>
      <c r="BA2001" s="2957"/>
      <c r="BB2001" s="2957"/>
      <c r="BC2001" s="2957"/>
      <c r="BD2001" s="2957"/>
      <c r="BE2001" s="2957"/>
      <c r="BF2001" s="2957"/>
      <c r="BG2001" s="2957"/>
      <c r="BH2001" s="2957"/>
      <c r="BI2001" s="2957"/>
      <c r="BJ2001" s="2957"/>
      <c r="BK2001" s="2957"/>
      <c r="BL2001" s="2957"/>
      <c r="BM2001" s="3244"/>
      <c r="BN2001" s="3244"/>
      <c r="BO2001" s="2957"/>
      <c r="BP2001" s="2957"/>
      <c r="BQ2001" s="2957"/>
      <c r="BR2001" s="2957"/>
      <c r="BS2001" s="2957"/>
      <c r="BT2001" s="2957"/>
      <c r="BU2001" s="2957"/>
      <c r="BV2001" s="2957"/>
      <c r="BW2001" s="2957"/>
      <c r="BX2001" s="2957"/>
      <c r="BY2001" s="2957"/>
      <c r="BZ2001" s="2957"/>
      <c r="CA2001" s="2957"/>
      <c r="CB2001" s="2957">
        <v>86184</v>
      </c>
      <c r="CC2001" s="6841"/>
      <c r="CD2001" s="6841"/>
      <c r="CE2001" s="6840"/>
      <c r="CF2001" s="6840"/>
      <c r="CG2001" s="6840"/>
      <c r="CH2001" s="6840"/>
    </row>
    <row r="2002" s="4998" customFormat="1" ht="61" spans="1:86">
      <c r="A2002" s="3812"/>
      <c r="B2002" s="3812"/>
      <c r="C2002" s="3812"/>
      <c r="D2002" s="440"/>
      <c r="E2002" s="440"/>
      <c r="F2002" s="440"/>
      <c r="G2002" s="440"/>
      <c r="H2002" s="2957"/>
      <c r="I2002" s="4131"/>
      <c r="J2002" s="440"/>
      <c r="K2002" s="5196"/>
      <c r="L2002" s="5196"/>
      <c r="M2002" s="2957"/>
      <c r="N2002" s="2957"/>
      <c r="O2002" s="2957"/>
      <c r="P2002" s="2957"/>
      <c r="Q2002" s="2957"/>
      <c r="R2002" s="2957"/>
      <c r="S2002" s="2957"/>
      <c r="T2002" s="2957"/>
      <c r="U2002" s="2957"/>
      <c r="V2002" s="2957"/>
      <c r="W2002" s="2957"/>
      <c r="X2002" s="2957"/>
      <c r="Y2002" s="3244"/>
      <c r="Z2002" s="3244"/>
      <c r="AA2002" s="2957"/>
      <c r="AB2002" s="5196"/>
      <c r="AC2002" s="600" t="s">
        <v>3468</v>
      </c>
      <c r="AD2002" s="441" t="s">
        <v>3459</v>
      </c>
      <c r="AE2002" s="441">
        <v>0.2</v>
      </c>
      <c r="AF2002" s="2957">
        <f>AA1999*AE2002</f>
        <v>57456</v>
      </c>
      <c r="AG2002" s="5395">
        <f>SUM(BA2002:BN2002)</f>
        <v>57456</v>
      </c>
      <c r="AH2002" s="5394" t="s">
        <v>349</v>
      </c>
      <c r="AI2002" s="6864"/>
      <c r="AJ2002" s="2957"/>
      <c r="AK2002" s="2957"/>
      <c r="AL2002" s="2957"/>
      <c r="AM2002" s="2957"/>
      <c r="AN2002" s="5395">
        <f t="shared" si="446"/>
        <v>57456</v>
      </c>
      <c r="AO2002" s="2957"/>
      <c r="AP2002" s="2957">
        <f t="shared" ref="AP2001:AP2025" si="447">AG2002-AN2002</f>
        <v>0</v>
      </c>
      <c r="AQ2002" s="2957"/>
      <c r="AR2002" s="2957"/>
      <c r="AS2002" s="5196"/>
      <c r="AT2002" s="2957"/>
      <c r="AU2002" s="2957"/>
      <c r="AV2002" s="2957"/>
      <c r="AW2002" s="2957"/>
      <c r="AX2002" s="2957"/>
      <c r="AY2002" s="2957"/>
      <c r="AZ2002" s="2957"/>
      <c r="BA2002" s="2957"/>
      <c r="BB2002" s="2957"/>
      <c r="BC2002" s="2957"/>
      <c r="BD2002" s="2957"/>
      <c r="BE2002" s="2957"/>
      <c r="BF2002" s="2957"/>
      <c r="BG2002" s="2957"/>
      <c r="BH2002" s="2957"/>
      <c r="BI2002" s="2957"/>
      <c r="BJ2002" s="2957"/>
      <c r="BK2002" s="2957"/>
      <c r="BL2002" s="2957"/>
      <c r="BM2002" s="2957"/>
      <c r="BN2002" s="5395">
        <v>57456</v>
      </c>
      <c r="BO2002" s="2957"/>
      <c r="BP2002" s="2957"/>
      <c r="BQ2002" s="2957"/>
      <c r="BR2002" s="2957"/>
      <c r="BS2002" s="2957"/>
      <c r="BT2002" s="2957"/>
      <c r="BU2002" s="2957"/>
      <c r="BV2002" s="2957"/>
      <c r="BW2002" s="2957"/>
      <c r="BX2002" s="2957"/>
      <c r="BY2002" s="2957"/>
      <c r="BZ2002" s="2957"/>
      <c r="CA2002" s="2957"/>
      <c r="CB2002" s="5395">
        <v>57456</v>
      </c>
      <c r="CC2002" s="6841"/>
      <c r="CD2002" s="6841"/>
      <c r="CE2002" s="6840"/>
      <c r="CF2002" s="6840"/>
      <c r="CG2002" s="6840"/>
      <c r="CH2002" s="6840"/>
    </row>
    <row r="2003" s="4998" customFormat="1" ht="46" spans="1:86">
      <c r="A2003" s="3812"/>
      <c r="B2003" s="3812"/>
      <c r="C2003" s="3812"/>
      <c r="D2003" s="440"/>
      <c r="E2003" s="440"/>
      <c r="F2003" s="440"/>
      <c r="G2003" s="440"/>
      <c r="H2003" s="600" t="s">
        <v>3453</v>
      </c>
      <c r="I2003" s="4131"/>
      <c r="J2003" s="440"/>
      <c r="K2003" s="5196"/>
      <c r="L2003" s="5196"/>
      <c r="M2003" s="2957">
        <f>SUM(N2003:AA2005)</f>
        <v>27414</v>
      </c>
      <c r="N2003" s="2957"/>
      <c r="O2003" s="2957"/>
      <c r="P2003" s="2957"/>
      <c r="Q2003" s="2957"/>
      <c r="R2003" s="2957"/>
      <c r="S2003" s="2957"/>
      <c r="T2003" s="2957"/>
      <c r="U2003" s="2957"/>
      <c r="V2003" s="2957"/>
      <c r="W2003" s="2957"/>
      <c r="X2003" s="2957"/>
      <c r="Y2003" s="3245"/>
      <c r="Z2003" s="3245"/>
      <c r="AA2003" s="2957">
        <v>27414</v>
      </c>
      <c r="AB2003" s="440" t="s">
        <v>126</v>
      </c>
      <c r="AC2003" s="600" t="s">
        <v>3454</v>
      </c>
      <c r="AD2003" s="441" t="s">
        <v>3455</v>
      </c>
      <c r="AE2003" s="441">
        <v>0.2</v>
      </c>
      <c r="AF2003" s="2957">
        <f>AA2003*AE2003</f>
        <v>5482.8</v>
      </c>
      <c r="AG2003" s="2957">
        <f>SUM(BA2003:BN2003)</f>
        <v>5392.8</v>
      </c>
      <c r="AH2003" s="600" t="s">
        <v>122</v>
      </c>
      <c r="AI2003" s="2957">
        <v>44889</v>
      </c>
      <c r="AJ2003" s="2957">
        <v>5392.8</v>
      </c>
      <c r="AK2003" s="2957">
        <v>44889</v>
      </c>
      <c r="AL2003" s="2957">
        <v>5482.8</v>
      </c>
      <c r="AM2003" s="2957">
        <v>44889</v>
      </c>
      <c r="AN2003" s="2957">
        <f t="shared" si="446"/>
        <v>5482.8</v>
      </c>
      <c r="AO2003" s="2957">
        <v>44945</v>
      </c>
      <c r="AP2003" s="2957">
        <f t="shared" si="447"/>
        <v>-90</v>
      </c>
      <c r="AQ2003" s="440" t="s">
        <v>3530</v>
      </c>
      <c r="AR2003" s="2957"/>
      <c r="AS2003" s="5196"/>
      <c r="AT2003" s="2957"/>
      <c r="AU2003" s="2957"/>
      <c r="AV2003" s="2957"/>
      <c r="AW2003" s="2957"/>
      <c r="AX2003" s="2957"/>
      <c r="AY2003" s="2957"/>
      <c r="AZ2003" s="2957"/>
      <c r="BA2003" s="2957"/>
      <c r="BB2003" s="2957"/>
      <c r="BC2003" s="2957"/>
      <c r="BD2003" s="2957"/>
      <c r="BE2003" s="2957"/>
      <c r="BF2003" s="5401"/>
      <c r="BG2003" s="5401"/>
      <c r="BH2003" s="5401"/>
      <c r="BI2003" s="5401"/>
      <c r="BJ2003" s="5401"/>
      <c r="BK2003" s="5401"/>
      <c r="BL2003" s="5401"/>
      <c r="BM2003" s="5401"/>
      <c r="BN2003" s="2957">
        <v>5392.8</v>
      </c>
      <c r="BO2003" s="2957"/>
      <c r="BP2003" s="2957"/>
      <c r="BQ2003" s="2957"/>
      <c r="BR2003" s="2957"/>
      <c r="BS2003" s="2957"/>
      <c r="BT2003" s="2957"/>
      <c r="BU2003" s="2957"/>
      <c r="BV2003" s="2957"/>
      <c r="BW2003" s="2957"/>
      <c r="BX2003" s="2957"/>
      <c r="BY2003" s="2957"/>
      <c r="BZ2003" s="2957"/>
      <c r="CA2003" s="2957"/>
      <c r="CB2003" s="2957">
        <v>5482.8</v>
      </c>
      <c r="CC2003" s="6841"/>
      <c r="CD2003" s="6841"/>
      <c r="CE2003" s="6840"/>
      <c r="CF2003" s="6840"/>
      <c r="CG2003" s="6840"/>
      <c r="CH2003" s="6840"/>
    </row>
    <row r="2004" s="4998" customFormat="1" ht="61" spans="1:86">
      <c r="A2004" s="3812"/>
      <c r="B2004" s="3812"/>
      <c r="C2004" s="3812"/>
      <c r="D2004" s="440"/>
      <c r="E2004" s="440"/>
      <c r="F2004" s="440"/>
      <c r="G2004" s="440"/>
      <c r="H2004" s="2957"/>
      <c r="I2004" s="4131"/>
      <c r="J2004" s="440"/>
      <c r="K2004" s="5196"/>
      <c r="L2004" s="5196"/>
      <c r="M2004" s="2957"/>
      <c r="N2004" s="2957"/>
      <c r="O2004" s="2957"/>
      <c r="P2004" s="2957"/>
      <c r="Q2004" s="2957"/>
      <c r="R2004" s="2957"/>
      <c r="S2004" s="2957"/>
      <c r="T2004" s="2957"/>
      <c r="U2004" s="2957"/>
      <c r="V2004" s="2957"/>
      <c r="W2004" s="2957"/>
      <c r="X2004" s="2957"/>
      <c r="Y2004" s="5371"/>
      <c r="Z2004" s="5371"/>
      <c r="AA2004" s="2957"/>
      <c r="AB2004" s="5196"/>
      <c r="AC2004" s="600" t="s">
        <v>3456</v>
      </c>
      <c r="AD2004" s="441" t="s">
        <v>3457</v>
      </c>
      <c r="AE2004" s="441">
        <v>0.6</v>
      </c>
      <c r="AF2004" s="2957">
        <f>AA2003*AE2004</f>
        <v>16448.4</v>
      </c>
      <c r="AG2004" s="2957">
        <v>16448.4</v>
      </c>
      <c r="AH2004" s="600" t="s">
        <v>122</v>
      </c>
      <c r="AI2004" s="2957">
        <v>45287</v>
      </c>
      <c r="AJ2004" s="2957">
        <v>16448.4</v>
      </c>
      <c r="AK2004" s="2957">
        <v>45286</v>
      </c>
      <c r="AL2004" s="2957">
        <v>16448.4</v>
      </c>
      <c r="AM2004" s="2957">
        <v>45447</v>
      </c>
      <c r="AN2004" s="5395">
        <f t="shared" si="446"/>
        <v>16448.4</v>
      </c>
      <c r="AO2004" s="5395"/>
      <c r="AP2004" s="2957">
        <f t="shared" si="447"/>
        <v>0</v>
      </c>
      <c r="AQ2004" s="2957"/>
      <c r="AR2004" s="2957"/>
      <c r="AS2004" s="5196"/>
      <c r="AT2004" s="2957"/>
      <c r="AU2004" s="2957"/>
      <c r="AV2004" s="2957"/>
      <c r="AW2004" s="2957"/>
      <c r="AX2004" s="2957"/>
      <c r="AY2004" s="2957"/>
      <c r="AZ2004" s="2957"/>
      <c r="BA2004" s="2957"/>
      <c r="BB2004" s="2957"/>
      <c r="BC2004" s="2957"/>
      <c r="BD2004" s="2957"/>
      <c r="BE2004" s="2957"/>
      <c r="BF2004" s="2957"/>
      <c r="BG2004" s="2957"/>
      <c r="BH2004" s="2957"/>
      <c r="BI2004" s="2957"/>
      <c r="BJ2004" s="2957"/>
      <c r="BK2004" s="2957"/>
      <c r="BL2004" s="2957"/>
      <c r="BM2004" s="2957"/>
      <c r="BN2004" s="2957">
        <v>16448.4</v>
      </c>
      <c r="BO2004" s="2957"/>
      <c r="BP2004" s="2957"/>
      <c r="BQ2004" s="2957"/>
      <c r="BR2004" s="2957"/>
      <c r="BS2004" s="2957"/>
      <c r="BT2004" s="2957"/>
      <c r="BU2004" s="2957"/>
      <c r="BV2004" s="2957"/>
      <c r="BW2004" s="2957"/>
      <c r="BX2004" s="2957"/>
      <c r="BY2004" s="2957"/>
      <c r="BZ2004" s="2957"/>
      <c r="CA2004" s="2957"/>
      <c r="CB2004" s="5395">
        <v>16448.4</v>
      </c>
      <c r="CC2004" s="6841"/>
      <c r="CD2004" s="6841"/>
      <c r="CE2004" s="6840"/>
      <c r="CF2004" s="6840"/>
      <c r="CG2004" s="6840"/>
      <c r="CH2004" s="6840"/>
    </row>
    <row r="2005" s="4998" customFormat="1" ht="61" spans="1:86">
      <c r="A2005" s="3812"/>
      <c r="B2005" s="3812"/>
      <c r="C2005" s="3812"/>
      <c r="D2005" s="440"/>
      <c r="E2005" s="440"/>
      <c r="F2005" s="440"/>
      <c r="G2005" s="440"/>
      <c r="H2005" s="2957"/>
      <c r="I2005" s="4131"/>
      <c r="J2005" s="440"/>
      <c r="K2005" s="5196"/>
      <c r="L2005" s="5196"/>
      <c r="M2005" s="2957"/>
      <c r="N2005" s="2957"/>
      <c r="O2005" s="2957"/>
      <c r="P2005" s="2957"/>
      <c r="Q2005" s="2957"/>
      <c r="R2005" s="2957"/>
      <c r="S2005" s="2957"/>
      <c r="T2005" s="2957"/>
      <c r="U2005" s="2957"/>
      <c r="V2005" s="2957"/>
      <c r="W2005" s="2957"/>
      <c r="X2005" s="2957"/>
      <c r="Y2005" s="3244"/>
      <c r="Z2005" s="3244"/>
      <c r="AA2005" s="2957"/>
      <c r="AB2005" s="5196"/>
      <c r="AC2005" s="600" t="s">
        <v>3458</v>
      </c>
      <c r="AD2005" s="441" t="s">
        <v>3459</v>
      </c>
      <c r="AE2005" s="441">
        <v>0.2</v>
      </c>
      <c r="AF2005" s="2957">
        <f>AA2003*AE2005</f>
        <v>5482.8</v>
      </c>
      <c r="AG2005" s="5395">
        <f>SUM(BA2005:BN2005)</f>
        <v>5482</v>
      </c>
      <c r="AH2005" s="5394" t="s">
        <v>349</v>
      </c>
      <c r="AI2005" s="6864"/>
      <c r="AJ2005" s="2957"/>
      <c r="AK2005" s="2957"/>
      <c r="AL2005" s="2957"/>
      <c r="AM2005" s="2957"/>
      <c r="AN2005" s="5395">
        <f t="shared" si="446"/>
        <v>5482</v>
      </c>
      <c r="AO2005" s="2957"/>
      <c r="AP2005" s="2957">
        <f t="shared" si="447"/>
        <v>0</v>
      </c>
      <c r="AQ2005" s="2957"/>
      <c r="AR2005" s="2957"/>
      <c r="AS2005" s="5196"/>
      <c r="AT2005" s="2957"/>
      <c r="AU2005" s="2957"/>
      <c r="AV2005" s="2957"/>
      <c r="AW2005" s="2957"/>
      <c r="AX2005" s="2957"/>
      <c r="AY2005" s="2957"/>
      <c r="AZ2005" s="2957"/>
      <c r="BA2005" s="2957"/>
      <c r="BB2005" s="2957"/>
      <c r="BC2005" s="2957"/>
      <c r="BD2005" s="2957"/>
      <c r="BE2005" s="2957"/>
      <c r="BF2005" s="2957"/>
      <c r="BG2005" s="2957"/>
      <c r="BH2005" s="2957"/>
      <c r="BI2005" s="2957"/>
      <c r="BJ2005" s="2957"/>
      <c r="BK2005" s="2957"/>
      <c r="BL2005" s="2957"/>
      <c r="BM2005" s="2957"/>
      <c r="BN2005" s="5395">
        <v>5482</v>
      </c>
      <c r="BO2005" s="2957"/>
      <c r="BP2005" s="2957"/>
      <c r="BQ2005" s="2957"/>
      <c r="BR2005" s="2957"/>
      <c r="BS2005" s="2957"/>
      <c r="BT2005" s="2957"/>
      <c r="BU2005" s="2957"/>
      <c r="BV2005" s="2957"/>
      <c r="BW2005" s="2957"/>
      <c r="BX2005" s="2957"/>
      <c r="BY2005" s="2957"/>
      <c r="BZ2005" s="2957"/>
      <c r="CA2005" s="2957"/>
      <c r="CB2005" s="5395">
        <v>5482</v>
      </c>
      <c r="CC2005" s="6841"/>
      <c r="CD2005" s="6841"/>
      <c r="CE2005" s="6840"/>
      <c r="CF2005" s="6840"/>
      <c r="CG2005" s="6840"/>
      <c r="CH2005" s="6840"/>
    </row>
    <row r="2006" s="4998" customFormat="1" ht="46" spans="1:86">
      <c r="A2006" s="3812"/>
      <c r="B2006" s="3812"/>
      <c r="C2006" s="3812"/>
      <c r="D2006" s="440"/>
      <c r="E2006" s="440"/>
      <c r="F2006" s="440"/>
      <c r="G2006" s="440"/>
      <c r="H2006" s="600" t="s">
        <v>3473</v>
      </c>
      <c r="I2006" s="4131"/>
      <c r="J2006" s="440"/>
      <c r="K2006" s="5196"/>
      <c r="L2006" s="440" t="s">
        <v>2887</v>
      </c>
      <c r="M2006" s="2957">
        <f>SUM(N2006:AA2008)</f>
        <v>200000</v>
      </c>
      <c r="N2006" s="2957"/>
      <c r="O2006" s="2957"/>
      <c r="P2006" s="2957"/>
      <c r="Q2006" s="2957"/>
      <c r="R2006" s="2957"/>
      <c r="S2006" s="2957"/>
      <c r="T2006" s="2957"/>
      <c r="U2006" s="2957"/>
      <c r="V2006" s="2957"/>
      <c r="W2006" s="2957"/>
      <c r="X2006" s="2957"/>
      <c r="Y2006" s="3245"/>
      <c r="Z2006" s="3245"/>
      <c r="AA2006" s="2957">
        <v>200000</v>
      </c>
      <c r="AB2006" s="440" t="s">
        <v>126</v>
      </c>
      <c r="AC2006" s="600" t="s">
        <v>3474</v>
      </c>
      <c r="AD2006" s="441" t="s">
        <v>3455</v>
      </c>
      <c r="AE2006" s="441">
        <v>0.2</v>
      </c>
      <c r="AF2006" s="2957">
        <f>AE2006*M2006</f>
        <v>40000</v>
      </c>
      <c r="AG2006" s="2957">
        <v>40000</v>
      </c>
      <c r="AH2006" s="600" t="s">
        <v>122</v>
      </c>
      <c r="AI2006" s="2957">
        <v>44889</v>
      </c>
      <c r="AJ2006" s="2957">
        <v>40000</v>
      </c>
      <c r="AK2006" s="2957">
        <v>44889</v>
      </c>
      <c r="AL2006" s="2957">
        <v>40000</v>
      </c>
      <c r="AM2006" s="2957">
        <v>44889</v>
      </c>
      <c r="AN2006" s="2957">
        <f t="shared" si="446"/>
        <v>40000</v>
      </c>
      <c r="AO2006" s="2957">
        <v>44945</v>
      </c>
      <c r="AP2006" s="2957">
        <f t="shared" si="447"/>
        <v>0</v>
      </c>
      <c r="AQ2006" s="2957"/>
      <c r="AR2006" s="2957"/>
      <c r="AS2006" s="5196"/>
      <c r="AT2006" s="2957"/>
      <c r="AU2006" s="2957"/>
      <c r="AV2006" s="2957"/>
      <c r="AW2006" s="2957"/>
      <c r="AX2006" s="2957"/>
      <c r="AY2006" s="2957"/>
      <c r="AZ2006" s="2957"/>
      <c r="BA2006" s="2957"/>
      <c r="BB2006" s="2957"/>
      <c r="BC2006" s="2957"/>
      <c r="BD2006" s="2957"/>
      <c r="BE2006" s="2957"/>
      <c r="BF2006" s="5401"/>
      <c r="BG2006" s="5401"/>
      <c r="BH2006" s="5401"/>
      <c r="BI2006" s="5401"/>
      <c r="BJ2006" s="5401"/>
      <c r="BK2006" s="5401"/>
      <c r="BL2006" s="5401"/>
      <c r="BM2006" s="5401"/>
      <c r="BN2006" s="2957">
        <v>40000</v>
      </c>
      <c r="BO2006" s="2957"/>
      <c r="BP2006" s="2957"/>
      <c r="BQ2006" s="2957"/>
      <c r="BR2006" s="2957"/>
      <c r="BS2006" s="2957"/>
      <c r="BT2006" s="2957"/>
      <c r="BU2006" s="2957"/>
      <c r="BV2006" s="2957"/>
      <c r="BW2006" s="2957"/>
      <c r="BX2006" s="2957"/>
      <c r="BY2006" s="2957"/>
      <c r="BZ2006" s="2957"/>
      <c r="CA2006" s="2957"/>
      <c r="CB2006" s="2957">
        <v>40000</v>
      </c>
      <c r="CC2006" s="6841"/>
      <c r="CD2006" s="6841"/>
      <c r="CE2006" s="6840"/>
      <c r="CF2006" s="6840"/>
      <c r="CG2006" s="6840"/>
      <c r="CH2006" s="6840"/>
    </row>
    <row r="2007" s="4998" customFormat="1" ht="61" spans="1:86">
      <c r="A2007" s="3812"/>
      <c r="B2007" s="3812"/>
      <c r="C2007" s="3812"/>
      <c r="D2007" s="440"/>
      <c r="E2007" s="440"/>
      <c r="F2007" s="440"/>
      <c r="G2007" s="440"/>
      <c r="H2007" s="2957"/>
      <c r="I2007" s="4131"/>
      <c r="J2007" s="440"/>
      <c r="K2007" s="5196"/>
      <c r="L2007" s="5196"/>
      <c r="M2007" s="2957"/>
      <c r="N2007" s="2957"/>
      <c r="O2007" s="2957"/>
      <c r="P2007" s="2957"/>
      <c r="Q2007" s="2957"/>
      <c r="R2007" s="2957"/>
      <c r="S2007" s="2957"/>
      <c r="T2007" s="2957"/>
      <c r="U2007" s="2957"/>
      <c r="V2007" s="2957"/>
      <c r="W2007" s="2957"/>
      <c r="X2007" s="2957"/>
      <c r="Y2007" s="5371"/>
      <c r="Z2007" s="5371"/>
      <c r="AA2007" s="2957"/>
      <c r="AB2007" s="5196"/>
      <c r="AC2007" s="600" t="s">
        <v>3475</v>
      </c>
      <c r="AD2007" s="441" t="s">
        <v>3457</v>
      </c>
      <c r="AE2007" s="441">
        <v>0.6</v>
      </c>
      <c r="AF2007" s="2957">
        <f>AE2007*M2006</f>
        <v>120000</v>
      </c>
      <c r="AG2007" s="2957">
        <v>120000</v>
      </c>
      <c r="AH2007" s="600" t="s">
        <v>122</v>
      </c>
      <c r="AI2007" s="2957">
        <v>45287</v>
      </c>
      <c r="AJ2007" s="2957">
        <v>120000</v>
      </c>
      <c r="AK2007" s="2957">
        <v>45286</v>
      </c>
      <c r="AL2007" s="2957">
        <v>120000</v>
      </c>
      <c r="AM2007" s="2957">
        <v>45447</v>
      </c>
      <c r="AN2007" s="5395">
        <f t="shared" si="446"/>
        <v>120000</v>
      </c>
      <c r="AO2007" s="5395"/>
      <c r="AP2007" s="2957">
        <f t="shared" si="447"/>
        <v>0</v>
      </c>
      <c r="AQ2007" s="2957"/>
      <c r="AR2007" s="2957"/>
      <c r="AS2007" s="5196"/>
      <c r="AT2007" s="2957"/>
      <c r="AU2007" s="2957"/>
      <c r="AV2007" s="2957"/>
      <c r="AW2007" s="2957"/>
      <c r="AX2007" s="2957"/>
      <c r="AY2007" s="2957"/>
      <c r="AZ2007" s="2957"/>
      <c r="BA2007" s="2957"/>
      <c r="BB2007" s="2957"/>
      <c r="BC2007" s="2957"/>
      <c r="BD2007" s="2957"/>
      <c r="BE2007" s="2957"/>
      <c r="BF2007" s="6870"/>
      <c r="BG2007" s="6870"/>
      <c r="BH2007" s="6870"/>
      <c r="BI2007" s="6870"/>
      <c r="BJ2007" s="6870"/>
      <c r="BK2007" s="6870"/>
      <c r="BL2007" s="6870"/>
      <c r="BM2007" s="6870"/>
      <c r="BN2007" s="5401">
        <v>120000</v>
      </c>
      <c r="BO2007" s="2957"/>
      <c r="BP2007" s="2957"/>
      <c r="BQ2007" s="2957"/>
      <c r="BR2007" s="2957"/>
      <c r="BS2007" s="2957"/>
      <c r="BT2007" s="2957"/>
      <c r="BU2007" s="2957"/>
      <c r="BV2007" s="2957"/>
      <c r="BW2007" s="2957"/>
      <c r="BX2007" s="2957"/>
      <c r="BY2007" s="2957"/>
      <c r="BZ2007" s="2957"/>
      <c r="CA2007" s="2957"/>
      <c r="CB2007" s="6870">
        <v>120000</v>
      </c>
      <c r="CC2007" s="6841"/>
      <c r="CD2007" s="6841"/>
      <c r="CE2007" s="6840"/>
      <c r="CF2007" s="6840"/>
      <c r="CG2007" s="6840"/>
      <c r="CH2007" s="6840"/>
    </row>
    <row r="2008" s="4998" customFormat="1" ht="61" spans="1:86">
      <c r="A2008" s="3812"/>
      <c r="B2008" s="3812"/>
      <c r="C2008" s="3812"/>
      <c r="D2008" s="440"/>
      <c r="E2008" s="440"/>
      <c r="F2008" s="440"/>
      <c r="G2008" s="440"/>
      <c r="H2008" s="2957"/>
      <c r="I2008" s="4131"/>
      <c r="J2008" s="440"/>
      <c r="K2008" s="5196"/>
      <c r="L2008" s="5196"/>
      <c r="M2008" s="2957"/>
      <c r="N2008" s="2957"/>
      <c r="O2008" s="2957"/>
      <c r="P2008" s="2957"/>
      <c r="Q2008" s="2957"/>
      <c r="R2008" s="2957"/>
      <c r="S2008" s="2957"/>
      <c r="T2008" s="2957"/>
      <c r="U2008" s="2957"/>
      <c r="V2008" s="2957"/>
      <c r="W2008" s="2957"/>
      <c r="X2008" s="2957"/>
      <c r="Y2008" s="3244"/>
      <c r="Z2008" s="3244"/>
      <c r="AA2008" s="2957"/>
      <c r="AB2008" s="5196"/>
      <c r="AC2008" s="600" t="s">
        <v>3476</v>
      </c>
      <c r="AD2008" s="441" t="s">
        <v>3459</v>
      </c>
      <c r="AE2008" s="441">
        <v>0.2</v>
      </c>
      <c r="AF2008" s="2957">
        <f>AE2008*M2006</f>
        <v>40000</v>
      </c>
      <c r="AG2008" s="5395">
        <f>SUM(BA2008:BN2008)</f>
        <v>40000</v>
      </c>
      <c r="AH2008" s="5394" t="s">
        <v>349</v>
      </c>
      <c r="AI2008" s="6864"/>
      <c r="AJ2008" s="2957"/>
      <c r="AK2008" s="2957"/>
      <c r="AL2008" s="2957"/>
      <c r="AM2008" s="2957"/>
      <c r="AN2008" s="5395">
        <f t="shared" si="446"/>
        <v>40000</v>
      </c>
      <c r="AO2008" s="2957"/>
      <c r="AP2008" s="2957">
        <f t="shared" si="447"/>
        <v>0</v>
      </c>
      <c r="AQ2008" s="2957"/>
      <c r="AR2008" s="2957"/>
      <c r="AS2008" s="5196"/>
      <c r="AT2008" s="2957"/>
      <c r="AU2008" s="2957"/>
      <c r="AV2008" s="2957"/>
      <c r="AW2008" s="2957"/>
      <c r="AX2008" s="2957"/>
      <c r="AY2008" s="2957"/>
      <c r="AZ2008" s="2957"/>
      <c r="BA2008" s="2957"/>
      <c r="BB2008" s="2957"/>
      <c r="BC2008" s="2957"/>
      <c r="BD2008" s="2957"/>
      <c r="BE2008" s="2957"/>
      <c r="BF2008" s="6870"/>
      <c r="BG2008" s="6870"/>
      <c r="BH2008" s="6870"/>
      <c r="BI2008" s="6870"/>
      <c r="BJ2008" s="6870"/>
      <c r="BK2008" s="6870"/>
      <c r="BL2008" s="6870"/>
      <c r="BM2008" s="6870"/>
      <c r="BN2008" s="6870">
        <v>40000</v>
      </c>
      <c r="BO2008" s="2957"/>
      <c r="BP2008" s="2957"/>
      <c r="BQ2008" s="2957"/>
      <c r="BR2008" s="2957"/>
      <c r="BS2008" s="2957"/>
      <c r="BT2008" s="2957"/>
      <c r="BU2008" s="2957"/>
      <c r="BV2008" s="2957"/>
      <c r="BW2008" s="2957"/>
      <c r="BX2008" s="2957"/>
      <c r="BY2008" s="2957"/>
      <c r="BZ2008" s="2957"/>
      <c r="CA2008" s="2957"/>
      <c r="CB2008" s="5395">
        <v>40000</v>
      </c>
      <c r="CC2008" s="6841"/>
      <c r="CD2008" s="6841"/>
      <c r="CE2008" s="6840"/>
      <c r="CF2008" s="6840"/>
      <c r="CG2008" s="6840"/>
      <c r="CH2008" s="6840"/>
    </row>
    <row r="2009" s="4998" customFormat="1" ht="46" spans="1:86">
      <c r="A2009" s="3812"/>
      <c r="B2009" s="3812"/>
      <c r="C2009" s="3812"/>
      <c r="D2009" s="440"/>
      <c r="E2009" s="440"/>
      <c r="F2009" s="440"/>
      <c r="G2009" s="440"/>
      <c r="H2009" s="600" t="s">
        <v>3469</v>
      </c>
      <c r="I2009" s="4131"/>
      <c r="J2009" s="440"/>
      <c r="K2009" s="5196"/>
      <c r="L2009" s="5196"/>
      <c r="M2009" s="2957">
        <f>SUM(N2009:AA2011)</f>
        <v>180000</v>
      </c>
      <c r="N2009" s="2957"/>
      <c r="O2009" s="2957"/>
      <c r="P2009" s="2957"/>
      <c r="Q2009" s="2957"/>
      <c r="R2009" s="2957"/>
      <c r="S2009" s="2957"/>
      <c r="T2009" s="2957"/>
      <c r="U2009" s="2957"/>
      <c r="V2009" s="2957"/>
      <c r="W2009" s="2957"/>
      <c r="X2009" s="2957"/>
      <c r="Y2009" s="3245"/>
      <c r="Z2009" s="3245"/>
      <c r="AA2009" s="2957">
        <v>180000</v>
      </c>
      <c r="AB2009" s="440" t="s">
        <v>126</v>
      </c>
      <c r="AC2009" s="600" t="s">
        <v>3470</v>
      </c>
      <c r="AD2009" s="441" t="s">
        <v>3455</v>
      </c>
      <c r="AE2009" s="441">
        <v>0.2</v>
      </c>
      <c r="AF2009" s="2957">
        <f>AA2009*AE2009</f>
        <v>36000</v>
      </c>
      <c r="AG2009" s="2957">
        <f>SUM(BA2009:BN2009)</f>
        <v>36000</v>
      </c>
      <c r="AH2009" s="600" t="s">
        <v>122</v>
      </c>
      <c r="AI2009" s="2957">
        <v>44889</v>
      </c>
      <c r="AJ2009" s="2957">
        <v>36000</v>
      </c>
      <c r="AK2009" s="2957">
        <v>44889</v>
      </c>
      <c r="AL2009" s="2957">
        <v>36000</v>
      </c>
      <c r="AM2009" s="2957">
        <v>44889</v>
      </c>
      <c r="AN2009" s="2957">
        <f t="shared" si="446"/>
        <v>36000</v>
      </c>
      <c r="AO2009" s="2957">
        <v>44945</v>
      </c>
      <c r="AP2009" s="2957">
        <f t="shared" si="447"/>
        <v>0</v>
      </c>
      <c r="AQ2009" s="2957"/>
      <c r="AR2009" s="2957"/>
      <c r="AS2009" s="5196"/>
      <c r="AT2009" s="2957"/>
      <c r="AU2009" s="2957"/>
      <c r="AV2009" s="2957"/>
      <c r="AW2009" s="2957"/>
      <c r="AX2009" s="2957"/>
      <c r="AY2009" s="2957"/>
      <c r="AZ2009" s="2957"/>
      <c r="BA2009" s="2957"/>
      <c r="BB2009" s="2957"/>
      <c r="BC2009" s="2957"/>
      <c r="BD2009" s="2957"/>
      <c r="BE2009" s="2957"/>
      <c r="BF2009" s="5401"/>
      <c r="BG2009" s="5401"/>
      <c r="BH2009" s="5401"/>
      <c r="BI2009" s="5401"/>
      <c r="BJ2009" s="5401"/>
      <c r="BK2009" s="5401"/>
      <c r="BL2009" s="5401"/>
      <c r="BM2009" s="5401"/>
      <c r="BN2009" s="2957">
        <v>36000</v>
      </c>
      <c r="BO2009" s="2957"/>
      <c r="BP2009" s="2957"/>
      <c r="BQ2009" s="2957"/>
      <c r="BR2009" s="2957"/>
      <c r="BS2009" s="2957"/>
      <c r="BT2009" s="2957"/>
      <c r="BU2009" s="2957"/>
      <c r="BV2009" s="2957"/>
      <c r="BW2009" s="2957"/>
      <c r="BX2009" s="2957"/>
      <c r="BY2009" s="2957"/>
      <c r="BZ2009" s="2957"/>
      <c r="CA2009" s="2957"/>
      <c r="CB2009" s="5395">
        <v>36000</v>
      </c>
      <c r="CC2009" s="6841"/>
      <c r="CD2009" s="6841"/>
      <c r="CE2009" s="6840"/>
      <c r="CF2009" s="6840"/>
      <c r="CG2009" s="6840"/>
      <c r="CH2009" s="6840"/>
    </row>
    <row r="2010" s="4998" customFormat="1" ht="61" spans="1:86">
      <c r="A2010" s="3812"/>
      <c r="B2010" s="3812"/>
      <c r="C2010" s="3812"/>
      <c r="D2010" s="440"/>
      <c r="E2010" s="440"/>
      <c r="F2010" s="440"/>
      <c r="G2010" s="440"/>
      <c r="H2010" s="2957"/>
      <c r="I2010" s="4131"/>
      <c r="J2010" s="440"/>
      <c r="K2010" s="5196"/>
      <c r="L2010" s="5196"/>
      <c r="M2010" s="2957"/>
      <c r="N2010" s="2957"/>
      <c r="O2010" s="2957"/>
      <c r="P2010" s="2957"/>
      <c r="Q2010" s="2957"/>
      <c r="R2010" s="2957"/>
      <c r="S2010" s="2957"/>
      <c r="T2010" s="2957"/>
      <c r="U2010" s="2957"/>
      <c r="V2010" s="2957"/>
      <c r="W2010" s="2957"/>
      <c r="X2010" s="2957"/>
      <c r="Y2010" s="5371"/>
      <c r="Z2010" s="5371"/>
      <c r="AA2010" s="2957"/>
      <c r="AB2010" s="5196"/>
      <c r="AC2010" s="600" t="s">
        <v>3471</v>
      </c>
      <c r="AD2010" s="441" t="s">
        <v>3457</v>
      </c>
      <c r="AE2010" s="441">
        <v>0.6</v>
      </c>
      <c r="AF2010" s="2957">
        <f>AA2009*AE2010</f>
        <v>108000</v>
      </c>
      <c r="AG2010" s="2957">
        <f>SUM(BA2010:BN2010)</f>
        <v>108000</v>
      </c>
      <c r="AH2010" s="600" t="s">
        <v>122</v>
      </c>
      <c r="AI2010" s="2957">
        <v>45287</v>
      </c>
      <c r="AJ2010" s="2957">
        <v>108000</v>
      </c>
      <c r="AK2010" s="2957">
        <v>45286</v>
      </c>
      <c r="AL2010" s="2957">
        <v>108000</v>
      </c>
      <c r="AM2010" s="2957">
        <v>45447</v>
      </c>
      <c r="AN2010" s="5395">
        <f t="shared" si="446"/>
        <v>108000</v>
      </c>
      <c r="AO2010" s="5395"/>
      <c r="AP2010" s="2957">
        <f t="shared" si="447"/>
        <v>0</v>
      </c>
      <c r="AQ2010" s="2957"/>
      <c r="AR2010" s="2957"/>
      <c r="AS2010" s="5196"/>
      <c r="AT2010" s="2957"/>
      <c r="AU2010" s="2957"/>
      <c r="AV2010" s="2957"/>
      <c r="AW2010" s="2957"/>
      <c r="AX2010" s="2957"/>
      <c r="AY2010" s="2957"/>
      <c r="AZ2010" s="2957"/>
      <c r="BA2010" s="2957"/>
      <c r="BB2010" s="2957"/>
      <c r="BC2010" s="2957"/>
      <c r="BD2010" s="2957"/>
      <c r="BE2010" s="2957"/>
      <c r="BF2010" s="6870"/>
      <c r="BG2010" s="6870"/>
      <c r="BH2010" s="6870"/>
      <c r="BI2010" s="6870"/>
      <c r="BJ2010" s="6870"/>
      <c r="BK2010" s="6870"/>
      <c r="BL2010" s="6870"/>
      <c r="BM2010" s="6870"/>
      <c r="BN2010" s="2957">
        <v>108000</v>
      </c>
      <c r="BO2010" s="2957"/>
      <c r="BP2010" s="2957"/>
      <c r="BQ2010" s="2957"/>
      <c r="BR2010" s="2957"/>
      <c r="BS2010" s="2957"/>
      <c r="BT2010" s="2957"/>
      <c r="BU2010" s="2957"/>
      <c r="BV2010" s="2957"/>
      <c r="BW2010" s="2957"/>
      <c r="BX2010" s="2957"/>
      <c r="BY2010" s="2957"/>
      <c r="BZ2010" s="2957"/>
      <c r="CA2010" s="2957"/>
      <c r="CB2010" s="5395">
        <v>108000</v>
      </c>
      <c r="CC2010" s="6841"/>
      <c r="CD2010" s="6841"/>
      <c r="CE2010" s="6840"/>
      <c r="CF2010" s="6840"/>
      <c r="CG2010" s="6840"/>
      <c r="CH2010" s="6840"/>
    </row>
    <row r="2011" s="4998" customFormat="1" ht="61" spans="1:86">
      <c r="A2011" s="3812"/>
      <c r="B2011" s="3812"/>
      <c r="C2011" s="3812"/>
      <c r="D2011" s="440"/>
      <c r="E2011" s="440"/>
      <c r="F2011" s="440"/>
      <c r="G2011" s="440"/>
      <c r="H2011" s="2957"/>
      <c r="I2011" s="4131"/>
      <c r="J2011" s="440"/>
      <c r="K2011" s="5196"/>
      <c r="L2011" s="5196"/>
      <c r="M2011" s="2957"/>
      <c r="N2011" s="2957"/>
      <c r="O2011" s="2957"/>
      <c r="P2011" s="2957"/>
      <c r="Q2011" s="2957"/>
      <c r="R2011" s="2957"/>
      <c r="S2011" s="2957"/>
      <c r="T2011" s="2957"/>
      <c r="U2011" s="2957"/>
      <c r="V2011" s="2957"/>
      <c r="W2011" s="2957"/>
      <c r="X2011" s="2957"/>
      <c r="Y2011" s="3244"/>
      <c r="Z2011" s="3244"/>
      <c r="AA2011" s="2957"/>
      <c r="AB2011" s="5196"/>
      <c r="AC2011" s="600" t="s">
        <v>3472</v>
      </c>
      <c r="AD2011" s="441" t="s">
        <v>3459</v>
      </c>
      <c r="AE2011" s="441">
        <v>0.2</v>
      </c>
      <c r="AF2011" s="2957">
        <f>AA2009*AE2011</f>
        <v>36000</v>
      </c>
      <c r="AG2011" s="6864">
        <f>SUM(BA2011:BN2011)</f>
        <v>360000</v>
      </c>
      <c r="AH2011" s="5394" t="s">
        <v>349</v>
      </c>
      <c r="AI2011" s="6864"/>
      <c r="AJ2011" s="2957"/>
      <c r="AK2011" s="2957"/>
      <c r="AL2011" s="2957"/>
      <c r="AM2011" s="2957"/>
      <c r="AN2011" s="5395">
        <f t="shared" si="446"/>
        <v>360000</v>
      </c>
      <c r="AO2011" s="2957"/>
      <c r="AP2011" s="2957">
        <f t="shared" si="447"/>
        <v>0</v>
      </c>
      <c r="AQ2011" s="2957"/>
      <c r="AR2011" s="2957"/>
      <c r="AS2011" s="5196"/>
      <c r="AT2011" s="2957"/>
      <c r="AU2011" s="2957"/>
      <c r="AV2011" s="2957"/>
      <c r="AW2011" s="2957"/>
      <c r="AX2011" s="2957"/>
      <c r="AY2011" s="2957"/>
      <c r="AZ2011" s="2957"/>
      <c r="BA2011" s="2957"/>
      <c r="BB2011" s="2957"/>
      <c r="BC2011" s="2957"/>
      <c r="BD2011" s="2957"/>
      <c r="BE2011" s="2957"/>
      <c r="BF2011" s="6870"/>
      <c r="BG2011" s="6870"/>
      <c r="BH2011" s="6870"/>
      <c r="BI2011" s="6870"/>
      <c r="BJ2011" s="6870"/>
      <c r="BK2011" s="6870"/>
      <c r="BL2011" s="6870"/>
      <c r="BM2011" s="6870"/>
      <c r="BN2011" s="6870">
        <v>360000</v>
      </c>
      <c r="BO2011" s="2957"/>
      <c r="BP2011" s="2957"/>
      <c r="BQ2011" s="2957"/>
      <c r="BR2011" s="2957"/>
      <c r="BS2011" s="2957"/>
      <c r="BT2011" s="2957"/>
      <c r="BU2011" s="2957"/>
      <c r="BV2011" s="2957"/>
      <c r="BW2011" s="2957"/>
      <c r="BX2011" s="2957"/>
      <c r="BY2011" s="2957"/>
      <c r="BZ2011" s="2957"/>
      <c r="CA2011" s="2957"/>
      <c r="CB2011" s="6864">
        <v>360000</v>
      </c>
      <c r="CC2011" s="6841"/>
      <c r="CD2011" s="6841"/>
      <c r="CE2011" s="6840"/>
      <c r="CF2011" s="6840"/>
      <c r="CG2011" s="6840"/>
      <c r="CH2011" s="6840"/>
    </row>
    <row r="2012" s="4988" customFormat="1" spans="1:86">
      <c r="A2012" s="5201"/>
      <c r="B2012" s="5201"/>
      <c r="C2012" s="3812"/>
      <c r="D2012" s="5714"/>
      <c r="E2012" s="5714"/>
      <c r="F2012" s="5714"/>
      <c r="G2012" s="5714"/>
      <c r="H2012" s="6566" t="s">
        <v>3482</v>
      </c>
      <c r="I2012" s="4131"/>
      <c r="J2012" s="5714"/>
      <c r="K2012" s="5708"/>
      <c r="L2012" s="5698" t="s">
        <v>2887</v>
      </c>
      <c r="M2012" s="5472">
        <f>SUM(N2012:AA2015)</f>
        <v>100000</v>
      </c>
      <c r="N2012" s="2957"/>
      <c r="O2012" s="2957"/>
      <c r="P2012" s="2957"/>
      <c r="Q2012" s="2957"/>
      <c r="R2012" s="2957"/>
      <c r="S2012" s="2957"/>
      <c r="T2012" s="2957"/>
      <c r="U2012" s="2957"/>
      <c r="V2012" s="2957"/>
      <c r="W2012" s="2957"/>
      <c r="X2012" s="2957"/>
      <c r="Y2012" s="3245"/>
      <c r="Z2012" s="3245"/>
      <c r="AA2012" s="2957">
        <v>100000</v>
      </c>
      <c r="AB2012" s="440" t="s">
        <v>126</v>
      </c>
      <c r="AC2012" s="5668" t="s">
        <v>3483</v>
      </c>
      <c r="AD2012" s="2096" t="s">
        <v>3455</v>
      </c>
      <c r="AE2012" s="2096">
        <v>0.2</v>
      </c>
      <c r="AF2012" s="5669">
        <f>M2012*AE2012</f>
        <v>20000</v>
      </c>
      <c r="AG2012" s="3245">
        <f>SUM(BA2012:BN2012)</f>
        <v>20000</v>
      </c>
      <c r="AH2012" s="905" t="s">
        <v>122</v>
      </c>
      <c r="AI2012" s="3245">
        <v>45103</v>
      </c>
      <c r="AJ2012" s="5669">
        <v>20000</v>
      </c>
      <c r="AK2012" s="3245">
        <v>45103</v>
      </c>
      <c r="AL2012" s="3245">
        <v>20000</v>
      </c>
      <c r="AM2012" s="3245">
        <v>45103</v>
      </c>
      <c r="AN2012" s="2957">
        <f t="shared" si="446"/>
        <v>10000</v>
      </c>
      <c r="AO2012" s="2957">
        <v>45196</v>
      </c>
      <c r="AP2012" s="2957">
        <f t="shared" si="447"/>
        <v>10000</v>
      </c>
      <c r="AQ2012" s="6566" t="s">
        <v>3529</v>
      </c>
      <c r="AR2012" s="5472"/>
      <c r="AS2012" s="5702"/>
      <c r="AT2012" s="5472"/>
      <c r="AU2012" s="5472"/>
      <c r="AV2012" s="5472"/>
      <c r="AW2012" s="5472"/>
      <c r="AX2012" s="5472"/>
      <c r="AY2012" s="5472"/>
      <c r="AZ2012" s="5472"/>
      <c r="BA2012" s="5472"/>
      <c r="BB2012" s="5472"/>
      <c r="BC2012" s="5472"/>
      <c r="BD2012" s="5472"/>
      <c r="BE2012" s="5472"/>
      <c r="BF2012" s="5401"/>
      <c r="BG2012" s="5401"/>
      <c r="BH2012" s="5401"/>
      <c r="BI2012" s="6870"/>
      <c r="BJ2012" s="6870"/>
      <c r="BK2012" s="6870"/>
      <c r="BL2012" s="6870"/>
      <c r="BM2012" s="6871"/>
      <c r="BN2012" s="3245">
        <v>20000</v>
      </c>
      <c r="BO2012" s="5472"/>
      <c r="BP2012" s="5472"/>
      <c r="BQ2012" s="5472"/>
      <c r="BR2012" s="5472"/>
      <c r="BS2012" s="5472"/>
      <c r="BT2012" s="5472"/>
      <c r="BU2012" s="5472"/>
      <c r="BV2012" s="5472"/>
      <c r="BW2012" s="5472"/>
      <c r="BX2012" s="5472"/>
      <c r="BY2012" s="5472"/>
      <c r="BZ2012" s="5472"/>
      <c r="CA2012" s="5472"/>
      <c r="CB2012" s="5472">
        <v>10000</v>
      </c>
      <c r="CC2012" s="6875"/>
      <c r="CD2012" s="6875"/>
      <c r="CE2012" s="6752"/>
      <c r="CF2012" s="6752"/>
      <c r="CG2012" s="6752"/>
      <c r="CH2012" s="6752"/>
    </row>
    <row r="2013" s="4988" customFormat="1" ht="29.25" customHeight="1" spans="1:86">
      <c r="A2013" s="5201"/>
      <c r="B2013" s="5201"/>
      <c r="C2013" s="3812"/>
      <c r="D2013" s="5714"/>
      <c r="E2013" s="5714"/>
      <c r="F2013" s="5714"/>
      <c r="G2013" s="5714"/>
      <c r="H2013" s="6566"/>
      <c r="I2013" s="4131"/>
      <c r="J2013" s="5714"/>
      <c r="K2013" s="5708"/>
      <c r="L2013" s="5702"/>
      <c r="M2013" s="5472"/>
      <c r="N2013" s="2957"/>
      <c r="O2013" s="2957"/>
      <c r="P2013" s="2957"/>
      <c r="Q2013" s="2957"/>
      <c r="R2013" s="2957"/>
      <c r="S2013" s="2957"/>
      <c r="T2013" s="2957"/>
      <c r="U2013" s="2957"/>
      <c r="V2013" s="2957"/>
      <c r="W2013" s="2957"/>
      <c r="X2013" s="2957"/>
      <c r="Y2013" s="5371"/>
      <c r="Z2013" s="5371"/>
      <c r="AA2013" s="2957"/>
      <c r="AB2013" s="5196"/>
      <c r="AC2013" s="5671"/>
      <c r="AD2013" s="2098"/>
      <c r="AE2013" s="2098"/>
      <c r="AF2013" s="5672"/>
      <c r="AG2013" s="3244"/>
      <c r="AH2013" s="907"/>
      <c r="AI2013" s="3244"/>
      <c r="AJ2013" s="5672"/>
      <c r="AK2013" s="3244"/>
      <c r="AL2013" s="3244"/>
      <c r="AM2013" s="3244"/>
      <c r="AN2013" s="2957">
        <f t="shared" si="446"/>
        <v>10000</v>
      </c>
      <c r="AO2013" s="5472">
        <v>45379</v>
      </c>
      <c r="AP2013" s="2957">
        <f t="shared" si="447"/>
        <v>-10000</v>
      </c>
      <c r="AQ2013" s="5472"/>
      <c r="AR2013" s="5472"/>
      <c r="AS2013" s="5702"/>
      <c r="AT2013" s="5472"/>
      <c r="AU2013" s="5472"/>
      <c r="AV2013" s="5472"/>
      <c r="AW2013" s="5472"/>
      <c r="AX2013" s="5472"/>
      <c r="AY2013" s="5472"/>
      <c r="AZ2013" s="5472"/>
      <c r="BA2013" s="5472"/>
      <c r="BB2013" s="5472"/>
      <c r="BC2013" s="5472"/>
      <c r="BD2013" s="5472"/>
      <c r="BE2013" s="5472"/>
      <c r="BF2013" s="6870"/>
      <c r="BG2013" s="6870"/>
      <c r="BH2013" s="6870"/>
      <c r="BI2013" s="6870"/>
      <c r="BJ2013" s="6870"/>
      <c r="BK2013" s="6870"/>
      <c r="BL2013" s="6870"/>
      <c r="BM2013" s="6872"/>
      <c r="BN2013" s="3244"/>
      <c r="BO2013" s="5472"/>
      <c r="BP2013" s="5472"/>
      <c r="BQ2013" s="5472"/>
      <c r="BR2013" s="5472"/>
      <c r="BS2013" s="5472"/>
      <c r="BT2013" s="5472"/>
      <c r="BU2013" s="5472"/>
      <c r="BV2013" s="5472"/>
      <c r="BW2013" s="5472"/>
      <c r="BX2013" s="5472"/>
      <c r="BY2013" s="5472"/>
      <c r="BZ2013" s="5472"/>
      <c r="CA2013" s="5472"/>
      <c r="CB2013" s="5472">
        <v>10000</v>
      </c>
      <c r="CC2013" s="6875"/>
      <c r="CD2013" s="6875"/>
      <c r="CE2013" s="6752"/>
      <c r="CF2013" s="6752"/>
      <c r="CG2013" s="6752"/>
      <c r="CH2013" s="6752"/>
    </row>
    <row r="2014" s="4988" customFormat="1" ht="61" spans="1:86">
      <c r="A2014" s="5201"/>
      <c r="B2014" s="5201"/>
      <c r="C2014" s="3812"/>
      <c r="D2014" s="5714"/>
      <c r="E2014" s="5714"/>
      <c r="F2014" s="5714"/>
      <c r="G2014" s="5714"/>
      <c r="H2014" s="6566"/>
      <c r="I2014" s="4131"/>
      <c r="J2014" s="5714"/>
      <c r="K2014" s="5708"/>
      <c r="L2014" s="5702"/>
      <c r="M2014" s="5472"/>
      <c r="N2014" s="2957"/>
      <c r="O2014" s="2957"/>
      <c r="P2014" s="2957"/>
      <c r="Q2014" s="2957"/>
      <c r="R2014" s="2957"/>
      <c r="S2014" s="2957"/>
      <c r="T2014" s="2957"/>
      <c r="U2014" s="2957"/>
      <c r="V2014" s="2957"/>
      <c r="W2014" s="2957"/>
      <c r="X2014" s="2957"/>
      <c r="Y2014" s="5371"/>
      <c r="Z2014" s="5371"/>
      <c r="AA2014" s="2957"/>
      <c r="AB2014" s="5196"/>
      <c r="AC2014" s="6566" t="s">
        <v>3484</v>
      </c>
      <c r="AD2014" s="441" t="s">
        <v>3457</v>
      </c>
      <c r="AE2014" s="441">
        <v>0.6</v>
      </c>
      <c r="AF2014" s="5472">
        <f>M2012*AE2014</f>
        <v>60000</v>
      </c>
      <c r="AG2014" s="2957">
        <f>SUM(BA2014:BN2014)</f>
        <v>60000</v>
      </c>
      <c r="AH2014" s="600" t="s">
        <v>122</v>
      </c>
      <c r="AI2014" s="2957">
        <v>45287</v>
      </c>
      <c r="AJ2014" s="5472">
        <v>60000</v>
      </c>
      <c r="AK2014" s="2957">
        <v>45286</v>
      </c>
      <c r="AL2014" s="2957">
        <v>60000</v>
      </c>
      <c r="AM2014" s="2957">
        <v>45447</v>
      </c>
      <c r="AN2014" s="5395">
        <f t="shared" si="446"/>
        <v>60000</v>
      </c>
      <c r="AO2014" s="5472"/>
      <c r="AP2014" s="2957">
        <f t="shared" si="447"/>
        <v>0</v>
      </c>
      <c r="AQ2014" s="5472"/>
      <c r="AR2014" s="5472"/>
      <c r="AS2014" s="5702"/>
      <c r="AT2014" s="5472"/>
      <c r="AU2014" s="5472"/>
      <c r="AV2014" s="5472"/>
      <c r="AW2014" s="5472"/>
      <c r="AX2014" s="5472"/>
      <c r="AY2014" s="5472"/>
      <c r="AZ2014" s="5472"/>
      <c r="BA2014" s="5472"/>
      <c r="BB2014" s="5472"/>
      <c r="BC2014" s="5472"/>
      <c r="BD2014" s="5472"/>
      <c r="BE2014" s="5472"/>
      <c r="BF2014" s="6870"/>
      <c r="BG2014" s="6870"/>
      <c r="BH2014" s="6870"/>
      <c r="BI2014" s="6870"/>
      <c r="BJ2014" s="6870"/>
      <c r="BK2014" s="6870"/>
      <c r="BL2014" s="6870"/>
      <c r="BM2014" s="6870"/>
      <c r="BN2014" s="5401">
        <v>60000</v>
      </c>
      <c r="BO2014" s="5472"/>
      <c r="BP2014" s="5472"/>
      <c r="BQ2014" s="5472"/>
      <c r="BR2014" s="5472"/>
      <c r="BS2014" s="5472"/>
      <c r="BT2014" s="5472"/>
      <c r="BU2014" s="5472"/>
      <c r="BV2014" s="5472"/>
      <c r="BW2014" s="5472"/>
      <c r="BX2014" s="5472"/>
      <c r="BY2014" s="5472"/>
      <c r="BZ2014" s="5472"/>
      <c r="CA2014" s="5472"/>
      <c r="CB2014" s="5472">
        <v>60000</v>
      </c>
      <c r="CC2014" s="6875"/>
      <c r="CD2014" s="6875"/>
      <c r="CE2014" s="6752"/>
      <c r="CF2014" s="6752"/>
      <c r="CG2014" s="6752"/>
      <c r="CH2014" s="6752"/>
    </row>
    <row r="2015" s="4988" customFormat="1" ht="61" spans="1:86">
      <c r="A2015" s="5201"/>
      <c r="B2015" s="5201"/>
      <c r="C2015" s="3812"/>
      <c r="D2015" s="5714"/>
      <c r="E2015" s="5714"/>
      <c r="F2015" s="5714"/>
      <c r="G2015" s="5714"/>
      <c r="H2015" s="6566"/>
      <c r="I2015" s="4131"/>
      <c r="J2015" s="5714"/>
      <c r="K2015" s="5708"/>
      <c r="L2015" s="5702"/>
      <c r="M2015" s="5472"/>
      <c r="N2015" s="2957"/>
      <c r="O2015" s="2957"/>
      <c r="P2015" s="2957"/>
      <c r="Q2015" s="2957"/>
      <c r="R2015" s="2957"/>
      <c r="S2015" s="2957"/>
      <c r="T2015" s="2957"/>
      <c r="U2015" s="2957"/>
      <c r="V2015" s="2957"/>
      <c r="W2015" s="2957"/>
      <c r="X2015" s="2957"/>
      <c r="Y2015" s="3244"/>
      <c r="Z2015" s="3244"/>
      <c r="AA2015" s="2957"/>
      <c r="AB2015" s="5196"/>
      <c r="AC2015" s="6566" t="s">
        <v>3485</v>
      </c>
      <c r="AD2015" s="441" t="s">
        <v>3459</v>
      </c>
      <c r="AE2015" s="441">
        <v>0.2</v>
      </c>
      <c r="AF2015" s="5472">
        <f>M2012*AE2015</f>
        <v>20000</v>
      </c>
      <c r="AG2015" s="2957">
        <f>SUM(BA2015:BN2015)</f>
        <v>20000</v>
      </c>
      <c r="AH2015" s="6569" t="s">
        <v>349</v>
      </c>
      <c r="AI2015" s="6864"/>
      <c r="AJ2015" s="5472"/>
      <c r="AK2015" s="5472"/>
      <c r="AL2015" s="2957"/>
      <c r="AM2015" s="2957"/>
      <c r="AN2015" s="5395">
        <f t="shared" si="446"/>
        <v>20000</v>
      </c>
      <c r="AO2015" s="5472"/>
      <c r="AP2015" s="2957">
        <f t="shared" si="447"/>
        <v>0</v>
      </c>
      <c r="AQ2015" s="5472"/>
      <c r="AR2015" s="5472"/>
      <c r="AS2015" s="5702"/>
      <c r="AT2015" s="5472"/>
      <c r="AU2015" s="5472"/>
      <c r="AV2015" s="5472"/>
      <c r="AW2015" s="5472"/>
      <c r="AX2015" s="5472"/>
      <c r="AY2015" s="5472"/>
      <c r="AZ2015" s="5472"/>
      <c r="BA2015" s="5472"/>
      <c r="BB2015" s="5472"/>
      <c r="BC2015" s="5472"/>
      <c r="BD2015" s="5472"/>
      <c r="BE2015" s="5472"/>
      <c r="BF2015" s="5472"/>
      <c r="BG2015" s="5472"/>
      <c r="BH2015" s="5472"/>
      <c r="BI2015" s="5472"/>
      <c r="BJ2015" s="5472"/>
      <c r="BK2015" s="5472"/>
      <c r="BL2015" s="5472"/>
      <c r="BM2015" s="5472"/>
      <c r="BN2015" s="6864">
        <v>20000</v>
      </c>
      <c r="BO2015" s="5472"/>
      <c r="BP2015" s="5472"/>
      <c r="BQ2015" s="5472"/>
      <c r="BR2015" s="5472"/>
      <c r="BS2015" s="5472"/>
      <c r="BT2015" s="5472"/>
      <c r="BU2015" s="5472"/>
      <c r="BV2015" s="5472"/>
      <c r="BW2015" s="5472"/>
      <c r="BX2015" s="5472"/>
      <c r="BY2015" s="5472"/>
      <c r="BZ2015" s="5472"/>
      <c r="CA2015" s="5472"/>
      <c r="CB2015" s="6873">
        <v>20000</v>
      </c>
      <c r="CC2015" s="6875"/>
      <c r="CD2015" s="6875"/>
      <c r="CE2015" s="6752"/>
      <c r="CF2015" s="6752"/>
      <c r="CG2015" s="6752"/>
      <c r="CH2015" s="6752"/>
    </row>
    <row r="2016" s="4988" customFormat="1" spans="1:86">
      <c r="A2016" s="5201"/>
      <c r="B2016" s="5201"/>
      <c r="C2016" s="3812"/>
      <c r="D2016" s="5714"/>
      <c r="E2016" s="5714"/>
      <c r="F2016" s="5714"/>
      <c r="G2016" s="5714"/>
      <c r="H2016" s="6566" t="s">
        <v>3531</v>
      </c>
      <c r="I2016" s="4131"/>
      <c r="J2016" s="5714"/>
      <c r="K2016" s="5708"/>
      <c r="L2016" s="5698" t="s">
        <v>2887</v>
      </c>
      <c r="M2016" s="5472">
        <f>SUM(N2016:AA2019)</f>
        <v>600000</v>
      </c>
      <c r="N2016" s="3245"/>
      <c r="O2016" s="3245"/>
      <c r="P2016" s="3245"/>
      <c r="Q2016" s="3245"/>
      <c r="R2016" s="3245"/>
      <c r="S2016" s="3245"/>
      <c r="T2016" s="3245"/>
      <c r="U2016" s="3245"/>
      <c r="V2016" s="3245"/>
      <c r="W2016" s="3245"/>
      <c r="X2016" s="3245"/>
      <c r="Y2016" s="3245"/>
      <c r="Z2016" s="3245"/>
      <c r="AA2016" s="3245">
        <v>600000</v>
      </c>
      <c r="AB2016" s="5370" t="s">
        <v>126</v>
      </c>
      <c r="AC2016" s="5668" t="s">
        <v>3532</v>
      </c>
      <c r="AD2016" s="2096" t="s">
        <v>3455</v>
      </c>
      <c r="AE2016" s="2096">
        <v>0.2</v>
      </c>
      <c r="AF2016" s="5669">
        <f>M2016*AE2016</f>
        <v>120000</v>
      </c>
      <c r="AG2016" s="3245">
        <f>SUM(BA2016:BN2016)</f>
        <v>120000</v>
      </c>
      <c r="AH2016" s="905" t="s">
        <v>122</v>
      </c>
      <c r="AI2016" s="3245">
        <v>45103</v>
      </c>
      <c r="AJ2016" s="5669">
        <v>120000</v>
      </c>
      <c r="AK2016" s="5669">
        <v>45103</v>
      </c>
      <c r="AL2016" s="3245">
        <v>120000</v>
      </c>
      <c r="AM2016" s="3245">
        <v>45103</v>
      </c>
      <c r="AN2016" s="2957">
        <f t="shared" si="446"/>
        <v>60000</v>
      </c>
      <c r="AO2016" s="5472">
        <v>45196</v>
      </c>
      <c r="AP2016" s="2957">
        <f t="shared" si="447"/>
        <v>60000</v>
      </c>
      <c r="AQ2016" s="5668" t="s">
        <v>3529</v>
      </c>
      <c r="AR2016" s="5472"/>
      <c r="AS2016" s="5702"/>
      <c r="AT2016" s="5472"/>
      <c r="AU2016" s="5472"/>
      <c r="AV2016" s="5472"/>
      <c r="AW2016" s="5472"/>
      <c r="AX2016" s="5472"/>
      <c r="AY2016" s="5472"/>
      <c r="AZ2016" s="5472"/>
      <c r="BA2016" s="5472"/>
      <c r="BB2016" s="5472"/>
      <c r="BC2016" s="5472"/>
      <c r="BD2016" s="5693"/>
      <c r="BE2016" s="5693"/>
      <c r="BF2016" s="5693"/>
      <c r="BG2016" s="5693"/>
      <c r="BH2016" s="5693"/>
      <c r="BI2016" s="5693"/>
      <c r="BJ2016" s="5472"/>
      <c r="BK2016" s="5472"/>
      <c r="BL2016" s="5472"/>
      <c r="BM2016" s="5669"/>
      <c r="BN2016" s="3245">
        <v>120000</v>
      </c>
      <c r="BO2016" s="5472"/>
      <c r="BP2016" s="5472"/>
      <c r="BQ2016" s="5472"/>
      <c r="BR2016" s="5472"/>
      <c r="BS2016" s="5472"/>
      <c r="BT2016" s="5472"/>
      <c r="BU2016" s="5472"/>
      <c r="BV2016" s="5472"/>
      <c r="BW2016" s="5472"/>
      <c r="BX2016" s="5472"/>
      <c r="BY2016" s="5472"/>
      <c r="BZ2016" s="5472"/>
      <c r="CA2016" s="5472"/>
      <c r="CB2016" s="5472">
        <v>60000</v>
      </c>
      <c r="CC2016" s="6875"/>
      <c r="CD2016" s="6875"/>
      <c r="CE2016" s="6752"/>
      <c r="CF2016" s="6752"/>
      <c r="CG2016" s="6752"/>
      <c r="CH2016" s="6752"/>
    </row>
    <row r="2017" s="4988" customFormat="1" ht="31.5" customHeight="1" spans="1:86">
      <c r="A2017" s="5201"/>
      <c r="B2017" s="5201"/>
      <c r="C2017" s="3812"/>
      <c r="D2017" s="5714"/>
      <c r="E2017" s="5714"/>
      <c r="F2017" s="5714"/>
      <c r="G2017" s="5714"/>
      <c r="H2017" s="6566"/>
      <c r="I2017" s="4131"/>
      <c r="J2017" s="5714"/>
      <c r="K2017" s="5708"/>
      <c r="L2017" s="5702"/>
      <c r="M2017" s="5472"/>
      <c r="N2017" s="5371"/>
      <c r="O2017" s="5371"/>
      <c r="P2017" s="5371"/>
      <c r="Q2017" s="5371"/>
      <c r="R2017" s="5371"/>
      <c r="S2017" s="5371"/>
      <c r="T2017" s="5371"/>
      <c r="U2017" s="5371"/>
      <c r="V2017" s="5371"/>
      <c r="W2017" s="5371"/>
      <c r="X2017" s="5371"/>
      <c r="Y2017" s="5371"/>
      <c r="Z2017" s="5371"/>
      <c r="AA2017" s="5371"/>
      <c r="AB2017" s="5372"/>
      <c r="AC2017" s="5671"/>
      <c r="AD2017" s="2098"/>
      <c r="AE2017" s="2098"/>
      <c r="AF2017" s="5672"/>
      <c r="AG2017" s="3244"/>
      <c r="AH2017" s="907"/>
      <c r="AI2017" s="3244"/>
      <c r="AJ2017" s="5672"/>
      <c r="AK2017" s="5672"/>
      <c r="AL2017" s="3244"/>
      <c r="AM2017" s="3244"/>
      <c r="AN2017" s="2957">
        <f t="shared" si="446"/>
        <v>60000</v>
      </c>
      <c r="AO2017" s="5472">
        <v>45379</v>
      </c>
      <c r="AP2017" s="2957">
        <f t="shared" si="447"/>
        <v>-60000</v>
      </c>
      <c r="AQ2017" s="5671"/>
      <c r="AR2017" s="5472"/>
      <c r="AS2017" s="5702"/>
      <c r="AT2017" s="5472"/>
      <c r="AU2017" s="5472"/>
      <c r="AV2017" s="5472"/>
      <c r="AW2017" s="5472"/>
      <c r="AX2017" s="5472"/>
      <c r="AY2017" s="5472"/>
      <c r="AZ2017" s="5472"/>
      <c r="BA2017" s="5472"/>
      <c r="BB2017" s="5472"/>
      <c r="BC2017" s="5472"/>
      <c r="BD2017" s="5472"/>
      <c r="BE2017" s="5472"/>
      <c r="BF2017" s="5472"/>
      <c r="BG2017" s="5472"/>
      <c r="BH2017" s="5472"/>
      <c r="BI2017" s="5472"/>
      <c r="BJ2017" s="5472"/>
      <c r="BK2017" s="5472"/>
      <c r="BL2017" s="5472"/>
      <c r="BM2017" s="5672"/>
      <c r="BN2017" s="3244"/>
      <c r="BO2017" s="5472"/>
      <c r="BP2017" s="5472"/>
      <c r="BQ2017" s="5472"/>
      <c r="BR2017" s="5472"/>
      <c r="BS2017" s="5472"/>
      <c r="BT2017" s="5472"/>
      <c r="BU2017" s="5472"/>
      <c r="BV2017" s="5472"/>
      <c r="BW2017" s="5472"/>
      <c r="BX2017" s="5472"/>
      <c r="BY2017" s="5472"/>
      <c r="BZ2017" s="5472"/>
      <c r="CA2017" s="5472"/>
      <c r="CB2017" s="5472">
        <v>60000</v>
      </c>
      <c r="CC2017" s="6875"/>
      <c r="CD2017" s="6875"/>
      <c r="CE2017" s="6752"/>
      <c r="CF2017" s="6752"/>
      <c r="CG2017" s="6752"/>
      <c r="CH2017" s="6752"/>
    </row>
    <row r="2018" s="4988" customFormat="1" ht="61" spans="1:86">
      <c r="A2018" s="5201"/>
      <c r="B2018" s="5201"/>
      <c r="C2018" s="3812"/>
      <c r="D2018" s="5714"/>
      <c r="E2018" s="5714"/>
      <c r="F2018" s="5714"/>
      <c r="G2018" s="5714"/>
      <c r="H2018" s="6566"/>
      <c r="I2018" s="4131"/>
      <c r="J2018" s="5714"/>
      <c r="K2018" s="5708"/>
      <c r="L2018" s="5702"/>
      <c r="M2018" s="5472"/>
      <c r="N2018" s="5371"/>
      <c r="O2018" s="5371"/>
      <c r="P2018" s="5371"/>
      <c r="Q2018" s="5371"/>
      <c r="R2018" s="5371"/>
      <c r="S2018" s="5371"/>
      <c r="T2018" s="5371"/>
      <c r="U2018" s="5371"/>
      <c r="V2018" s="5371"/>
      <c r="W2018" s="5371"/>
      <c r="X2018" s="5371"/>
      <c r="Y2018" s="5371"/>
      <c r="Z2018" s="5371"/>
      <c r="AA2018" s="5371"/>
      <c r="AB2018" s="5372"/>
      <c r="AC2018" s="6566" t="s">
        <v>3533</v>
      </c>
      <c r="AD2018" s="441" t="s">
        <v>3457</v>
      </c>
      <c r="AE2018" s="441">
        <v>0.6</v>
      </c>
      <c r="AF2018" s="5472">
        <f>M2016*AE2018</f>
        <v>360000</v>
      </c>
      <c r="AG2018" s="2957">
        <f>SUM(BA2018:BN2018)</f>
        <v>360000</v>
      </c>
      <c r="AH2018" s="6566" t="s">
        <v>122</v>
      </c>
      <c r="AI2018" s="2957">
        <v>45287</v>
      </c>
      <c r="AJ2018" s="5472">
        <v>360000</v>
      </c>
      <c r="AK2018" s="5472">
        <v>45286</v>
      </c>
      <c r="AL2018" s="2957">
        <v>360000</v>
      </c>
      <c r="AM2018" s="2957">
        <v>45447</v>
      </c>
      <c r="AN2018" s="5395">
        <f t="shared" si="446"/>
        <v>360000</v>
      </c>
      <c r="AO2018" s="5472"/>
      <c r="AP2018" s="2957">
        <f t="shared" si="447"/>
        <v>0</v>
      </c>
      <c r="AQ2018" s="5472"/>
      <c r="AR2018" s="5472"/>
      <c r="AS2018" s="5702"/>
      <c r="AT2018" s="5472"/>
      <c r="AU2018" s="5472"/>
      <c r="AV2018" s="5472"/>
      <c r="AW2018" s="5472"/>
      <c r="AX2018" s="5472"/>
      <c r="AY2018" s="5472"/>
      <c r="AZ2018" s="5472"/>
      <c r="BA2018" s="5472"/>
      <c r="BB2018" s="5472"/>
      <c r="BC2018" s="5472"/>
      <c r="BD2018" s="5472"/>
      <c r="BE2018" s="5472"/>
      <c r="BF2018" s="5472"/>
      <c r="BG2018" s="5472"/>
      <c r="BH2018" s="5472"/>
      <c r="BI2018" s="5472"/>
      <c r="BJ2018" s="5472"/>
      <c r="BK2018" s="5472"/>
      <c r="BL2018" s="5472"/>
      <c r="BM2018" s="5472"/>
      <c r="BN2018" s="2957">
        <v>360000</v>
      </c>
      <c r="BO2018" s="5472"/>
      <c r="BP2018" s="5472"/>
      <c r="BQ2018" s="5472"/>
      <c r="BR2018" s="5472"/>
      <c r="BS2018" s="5472"/>
      <c r="BT2018" s="5472"/>
      <c r="BU2018" s="5472"/>
      <c r="BV2018" s="5472"/>
      <c r="BW2018" s="5472"/>
      <c r="BX2018" s="5472"/>
      <c r="BY2018" s="5472"/>
      <c r="BZ2018" s="5472"/>
      <c r="CA2018" s="5472"/>
      <c r="CB2018" s="6864">
        <v>360000</v>
      </c>
      <c r="CC2018" s="6875"/>
      <c r="CD2018" s="6875"/>
      <c r="CE2018" s="6752"/>
      <c r="CF2018" s="6752"/>
      <c r="CG2018" s="6752"/>
      <c r="CH2018" s="6752"/>
    </row>
    <row r="2019" s="4988" customFormat="1" ht="39.75" customHeight="1" spans="1:86">
      <c r="A2019" s="5201"/>
      <c r="B2019" s="5201"/>
      <c r="C2019" s="3812"/>
      <c r="D2019" s="5714"/>
      <c r="E2019" s="5714"/>
      <c r="F2019" s="5714"/>
      <c r="G2019" s="5714"/>
      <c r="H2019" s="6566"/>
      <c r="I2019" s="4131"/>
      <c r="J2019" s="5714"/>
      <c r="K2019" s="5708"/>
      <c r="L2019" s="5702"/>
      <c r="M2019" s="5472"/>
      <c r="N2019" s="3244"/>
      <c r="O2019" s="3244"/>
      <c r="P2019" s="3244"/>
      <c r="Q2019" s="3244"/>
      <c r="R2019" s="3244"/>
      <c r="S2019" s="3244"/>
      <c r="T2019" s="3244"/>
      <c r="U2019" s="3244"/>
      <c r="V2019" s="3244"/>
      <c r="W2019" s="3244"/>
      <c r="X2019" s="3244"/>
      <c r="Y2019" s="3244"/>
      <c r="Z2019" s="3244"/>
      <c r="AA2019" s="3244"/>
      <c r="AB2019" s="5373"/>
      <c r="AC2019" s="6566" t="s">
        <v>3534</v>
      </c>
      <c r="AD2019" s="441" t="s">
        <v>3459</v>
      </c>
      <c r="AE2019" s="441">
        <v>0.2</v>
      </c>
      <c r="AF2019" s="5472">
        <f>M2016*AE2019</f>
        <v>120000</v>
      </c>
      <c r="AG2019" s="2957">
        <f>SUM(BA2019:BN2019)</f>
        <v>120000</v>
      </c>
      <c r="AH2019" s="6569" t="s">
        <v>349</v>
      </c>
      <c r="AI2019" s="6864"/>
      <c r="AJ2019" s="5472"/>
      <c r="AK2019" s="5472"/>
      <c r="AL2019" s="2957"/>
      <c r="AM2019" s="2957"/>
      <c r="AN2019" s="5395">
        <f t="shared" si="446"/>
        <v>120000</v>
      </c>
      <c r="AO2019" s="5472"/>
      <c r="AP2019" s="2957">
        <f t="shared" si="447"/>
        <v>0</v>
      </c>
      <c r="AQ2019" s="5472"/>
      <c r="AR2019" s="5472"/>
      <c r="AS2019" s="5702"/>
      <c r="AT2019" s="5472"/>
      <c r="AU2019" s="5472"/>
      <c r="AV2019" s="5472"/>
      <c r="AW2019" s="5472"/>
      <c r="AX2019" s="5472"/>
      <c r="AY2019" s="5472"/>
      <c r="AZ2019" s="5472"/>
      <c r="BA2019" s="5472"/>
      <c r="BB2019" s="5472"/>
      <c r="BC2019" s="5472"/>
      <c r="BD2019" s="5472"/>
      <c r="BE2019" s="5472"/>
      <c r="BF2019" s="5472"/>
      <c r="BG2019" s="5472"/>
      <c r="BH2019" s="5472"/>
      <c r="BI2019" s="5472"/>
      <c r="BJ2019" s="5472"/>
      <c r="BK2019" s="5472"/>
      <c r="BL2019" s="5472"/>
      <c r="BM2019" s="5472"/>
      <c r="BN2019" s="6864">
        <v>120000</v>
      </c>
      <c r="BO2019" s="5472"/>
      <c r="BP2019" s="5472"/>
      <c r="BQ2019" s="5472"/>
      <c r="BR2019" s="5472"/>
      <c r="BS2019" s="5472"/>
      <c r="BT2019" s="5472"/>
      <c r="BU2019" s="5472"/>
      <c r="BV2019" s="5472"/>
      <c r="BW2019" s="5472"/>
      <c r="BX2019" s="5472"/>
      <c r="BY2019" s="5472"/>
      <c r="BZ2019" s="5472"/>
      <c r="CA2019" s="5472"/>
      <c r="CB2019" s="6873">
        <v>120000</v>
      </c>
      <c r="CC2019" s="6875"/>
      <c r="CD2019" s="6875"/>
      <c r="CE2019" s="6752"/>
      <c r="CF2019" s="6752"/>
      <c r="CG2019" s="6752"/>
      <c r="CH2019" s="6752"/>
    </row>
    <row r="2020" s="4978" customFormat="1" ht="46" spans="1:86">
      <c r="A2020" s="3812"/>
      <c r="B2020" s="3812"/>
      <c r="C2020" s="3812"/>
      <c r="D2020" s="440"/>
      <c r="E2020" s="440"/>
      <c r="F2020" s="440"/>
      <c r="G2020" s="440"/>
      <c r="H2020" s="600" t="s">
        <v>3535</v>
      </c>
      <c r="I2020" s="4131"/>
      <c r="J2020" s="440"/>
      <c r="K2020" s="5196"/>
      <c r="L2020" s="440" t="s">
        <v>2887</v>
      </c>
      <c r="M2020" s="2957">
        <f>SUM(N2020:AA2023)</f>
        <v>580000</v>
      </c>
      <c r="N2020" s="2957"/>
      <c r="O2020" s="2957"/>
      <c r="P2020" s="2957"/>
      <c r="Q2020" s="2957"/>
      <c r="R2020" s="2957"/>
      <c r="S2020" s="2957"/>
      <c r="T2020" s="2957"/>
      <c r="U2020" s="2957"/>
      <c r="V2020" s="2957"/>
      <c r="W2020" s="2957"/>
      <c r="X2020" s="2957"/>
      <c r="Y2020" s="3245"/>
      <c r="Z2020" s="3245"/>
      <c r="AA2020" s="2957">
        <v>580000</v>
      </c>
      <c r="AB2020" s="440" t="s">
        <v>126</v>
      </c>
      <c r="AC2020" s="600" t="s">
        <v>3536</v>
      </c>
      <c r="AD2020" s="5392" t="s">
        <v>3537</v>
      </c>
      <c r="AE2020" s="441">
        <v>0.2</v>
      </c>
      <c r="AF2020" s="2957">
        <f>M2020*AE2020</f>
        <v>116000</v>
      </c>
      <c r="AG2020" s="2957">
        <f>SUM(BA2020:BN2020)</f>
        <v>116000</v>
      </c>
      <c r="AH2020" s="600" t="s">
        <v>122</v>
      </c>
      <c r="AI2020" s="2957">
        <v>44799</v>
      </c>
      <c r="AJ2020" s="2957">
        <v>116000</v>
      </c>
      <c r="AK2020" s="2957">
        <v>44799</v>
      </c>
      <c r="AL2020" s="2957">
        <v>116000</v>
      </c>
      <c r="AM2020" s="2957">
        <v>44083</v>
      </c>
      <c r="AN2020" s="2957">
        <f t="shared" si="446"/>
        <v>116000</v>
      </c>
      <c r="AO2020" s="2957">
        <v>44883</v>
      </c>
      <c r="AP2020" s="2957">
        <f t="shared" si="447"/>
        <v>0</v>
      </c>
      <c r="AQ2020" s="2957"/>
      <c r="AR2020" s="2957"/>
      <c r="AS2020" s="5196"/>
      <c r="AT2020" s="2957"/>
      <c r="AU2020" s="2957"/>
      <c r="AV2020" s="2957"/>
      <c r="AW2020" s="2957"/>
      <c r="AX2020" s="2957"/>
      <c r="AY2020" s="2957"/>
      <c r="AZ2020" s="2957"/>
      <c r="BA2020" s="2957"/>
      <c r="BB2020" s="2957"/>
      <c r="BC2020" s="2957"/>
      <c r="BD2020" s="2957"/>
      <c r="BE2020" s="2957"/>
      <c r="BF2020" s="2957"/>
      <c r="BG2020" s="2957"/>
      <c r="BH2020" s="2957"/>
      <c r="BI2020" s="2957"/>
      <c r="BJ2020" s="2957"/>
      <c r="BK2020" s="2957"/>
      <c r="BL2020" s="2957"/>
      <c r="BM2020" s="2957"/>
      <c r="BN2020" s="2957">
        <v>116000</v>
      </c>
      <c r="BO2020" s="2957"/>
      <c r="BP2020" s="2957"/>
      <c r="BQ2020" s="2957"/>
      <c r="BR2020" s="2957"/>
      <c r="BS2020" s="2957"/>
      <c r="BT2020" s="2957"/>
      <c r="BU2020" s="2957"/>
      <c r="BV2020" s="2957"/>
      <c r="BW2020" s="2957"/>
      <c r="BX2020" s="2957"/>
      <c r="BY2020" s="2957"/>
      <c r="BZ2020" s="2957"/>
      <c r="CA2020" s="2957"/>
      <c r="CB2020" s="2957">
        <v>116000</v>
      </c>
      <c r="CC2020" s="6841"/>
      <c r="CD2020" s="6841"/>
      <c r="CE2020" s="5750"/>
      <c r="CF2020" s="5750"/>
      <c r="CG2020" s="5750"/>
      <c r="CH2020" s="5750"/>
    </row>
    <row r="2021" s="4978" customFormat="1" spans="1:86">
      <c r="A2021" s="3812"/>
      <c r="B2021" s="3812"/>
      <c r="C2021" s="3812"/>
      <c r="D2021" s="440"/>
      <c r="E2021" s="440"/>
      <c r="F2021" s="440"/>
      <c r="G2021" s="440"/>
      <c r="H2021" s="2957"/>
      <c r="I2021" s="4131"/>
      <c r="J2021" s="440"/>
      <c r="K2021" s="5196"/>
      <c r="L2021" s="5196"/>
      <c r="M2021" s="2957"/>
      <c r="N2021" s="2957"/>
      <c r="O2021" s="2957"/>
      <c r="P2021" s="2957"/>
      <c r="Q2021" s="2957"/>
      <c r="R2021" s="2957"/>
      <c r="S2021" s="2957"/>
      <c r="T2021" s="2957"/>
      <c r="U2021" s="2957"/>
      <c r="V2021" s="2957"/>
      <c r="W2021" s="2957"/>
      <c r="X2021" s="2957"/>
      <c r="Y2021" s="5371"/>
      <c r="Z2021" s="5371"/>
      <c r="AA2021" s="2957"/>
      <c r="AB2021" s="5196"/>
      <c r="AC2021" s="905" t="s">
        <v>3538</v>
      </c>
      <c r="AD2021" s="5370" t="s">
        <v>3539</v>
      </c>
      <c r="AE2021" s="2096">
        <v>0.6</v>
      </c>
      <c r="AF2021" s="3245">
        <f>M2020*AE2021</f>
        <v>348000</v>
      </c>
      <c r="AG2021" s="3245">
        <f>SUM(BA2021:BN2021)</f>
        <v>348000</v>
      </c>
      <c r="AH2021" s="905" t="s">
        <v>122</v>
      </c>
      <c r="AI2021" s="3245">
        <v>45103</v>
      </c>
      <c r="AJ2021" s="3245">
        <v>348000</v>
      </c>
      <c r="AK2021" s="3245">
        <v>45103</v>
      </c>
      <c r="AL2021" s="3245">
        <v>348000</v>
      </c>
      <c r="AM2021" s="3245">
        <v>45103</v>
      </c>
      <c r="AN2021" s="2957">
        <f t="shared" si="446"/>
        <v>174000</v>
      </c>
      <c r="AO2021" s="2957">
        <v>45196</v>
      </c>
      <c r="AP2021" s="2957">
        <f t="shared" si="447"/>
        <v>174000</v>
      </c>
      <c r="AQ2021" s="600" t="s">
        <v>3529</v>
      </c>
      <c r="AR2021" s="2957"/>
      <c r="AS2021" s="5196"/>
      <c r="AT2021" s="2957"/>
      <c r="AU2021" s="2957"/>
      <c r="AV2021" s="2957"/>
      <c r="AW2021" s="2957"/>
      <c r="AX2021" s="2957"/>
      <c r="AY2021" s="2957"/>
      <c r="AZ2021" s="2957"/>
      <c r="BA2021" s="2957"/>
      <c r="BB2021" s="2957"/>
      <c r="BC2021" s="2957"/>
      <c r="BD2021" s="5395"/>
      <c r="BE2021" s="5395"/>
      <c r="BF2021" s="5395"/>
      <c r="BG2021" s="5395"/>
      <c r="BH2021" s="5395"/>
      <c r="BI2021" s="5395"/>
      <c r="BJ2021" s="2957"/>
      <c r="BK2021" s="2957"/>
      <c r="BL2021" s="2957"/>
      <c r="BM2021" s="3245"/>
      <c r="BN2021" s="3245">
        <v>348000</v>
      </c>
      <c r="BO2021" s="2957"/>
      <c r="BP2021" s="2957"/>
      <c r="BQ2021" s="2957"/>
      <c r="BR2021" s="2957"/>
      <c r="BS2021" s="2957"/>
      <c r="BT2021" s="2957"/>
      <c r="BU2021" s="2957"/>
      <c r="BV2021" s="2957"/>
      <c r="BW2021" s="2957"/>
      <c r="BX2021" s="2957"/>
      <c r="BY2021" s="2957"/>
      <c r="BZ2021" s="2957"/>
      <c r="CA2021" s="2957"/>
      <c r="CB2021" s="2957">
        <v>174000</v>
      </c>
      <c r="CC2021" s="6841"/>
      <c r="CD2021" s="6841"/>
      <c r="CE2021" s="5750"/>
      <c r="CF2021" s="5750"/>
      <c r="CG2021" s="5750"/>
      <c r="CH2021" s="5750"/>
    </row>
    <row r="2022" s="4978" customFormat="1" ht="27.75" customHeight="1" spans="1:86">
      <c r="A2022" s="3812"/>
      <c r="B2022" s="3812"/>
      <c r="C2022" s="3812"/>
      <c r="D2022" s="440"/>
      <c r="E2022" s="440"/>
      <c r="F2022" s="440"/>
      <c r="G2022" s="440"/>
      <c r="H2022" s="2957"/>
      <c r="I2022" s="4131"/>
      <c r="J2022" s="440"/>
      <c r="K2022" s="5196"/>
      <c r="L2022" s="5196"/>
      <c r="M2022" s="2957"/>
      <c r="N2022" s="2957"/>
      <c r="O2022" s="2957"/>
      <c r="P2022" s="2957"/>
      <c r="Q2022" s="2957"/>
      <c r="R2022" s="2957"/>
      <c r="S2022" s="2957"/>
      <c r="T2022" s="2957"/>
      <c r="U2022" s="2957"/>
      <c r="V2022" s="2957"/>
      <c r="W2022" s="2957"/>
      <c r="X2022" s="2957"/>
      <c r="Y2022" s="5371"/>
      <c r="Z2022" s="5371"/>
      <c r="AA2022" s="2957"/>
      <c r="AB2022" s="5196"/>
      <c r="AC2022" s="907"/>
      <c r="AD2022" s="5422"/>
      <c r="AE2022" s="2098"/>
      <c r="AF2022" s="3244"/>
      <c r="AG2022" s="3244"/>
      <c r="AH2022" s="907"/>
      <c r="AI2022" s="3244"/>
      <c r="AJ2022" s="3244"/>
      <c r="AK2022" s="3244"/>
      <c r="AL2022" s="3244"/>
      <c r="AM2022" s="3244"/>
      <c r="AN2022" s="2957">
        <f t="shared" si="446"/>
        <v>174000</v>
      </c>
      <c r="AO2022" s="2957">
        <v>45379</v>
      </c>
      <c r="AP2022" s="2957">
        <f t="shared" si="447"/>
        <v>-174000</v>
      </c>
      <c r="AQ2022" s="2957"/>
      <c r="AR2022" s="2957"/>
      <c r="AS2022" s="5196"/>
      <c r="AT2022" s="2957"/>
      <c r="AU2022" s="2957"/>
      <c r="AV2022" s="2957"/>
      <c r="AW2022" s="2957"/>
      <c r="AX2022" s="2957"/>
      <c r="AY2022" s="2957"/>
      <c r="AZ2022" s="2957"/>
      <c r="BA2022" s="2957"/>
      <c r="BB2022" s="2957"/>
      <c r="BC2022" s="2957"/>
      <c r="BD2022" s="2957"/>
      <c r="BE2022" s="2957"/>
      <c r="BF2022" s="2957"/>
      <c r="BG2022" s="2957"/>
      <c r="BH2022" s="2957"/>
      <c r="BI2022" s="2957"/>
      <c r="BJ2022" s="2957"/>
      <c r="BK2022" s="2957"/>
      <c r="BL2022" s="2957"/>
      <c r="BM2022" s="3244"/>
      <c r="BN2022" s="3244"/>
      <c r="BO2022" s="2957"/>
      <c r="BP2022" s="2957"/>
      <c r="BQ2022" s="2957"/>
      <c r="BR2022" s="2957"/>
      <c r="BS2022" s="2957"/>
      <c r="BT2022" s="2957"/>
      <c r="BU2022" s="2957"/>
      <c r="BV2022" s="2957"/>
      <c r="BW2022" s="2957"/>
      <c r="BX2022" s="2957"/>
      <c r="BY2022" s="2957"/>
      <c r="BZ2022" s="2957"/>
      <c r="CA2022" s="2957"/>
      <c r="CB2022" s="2957">
        <v>174000</v>
      </c>
      <c r="CC2022" s="6841"/>
      <c r="CD2022" s="6841"/>
      <c r="CE2022" s="5750"/>
      <c r="CF2022" s="5750"/>
      <c r="CG2022" s="5750"/>
      <c r="CH2022" s="5750"/>
    </row>
    <row r="2023" s="4978" customFormat="1" ht="61" spans="1:86">
      <c r="A2023" s="3812"/>
      <c r="B2023" s="3812"/>
      <c r="C2023" s="3812"/>
      <c r="D2023" s="440"/>
      <c r="E2023" s="440"/>
      <c r="F2023" s="440"/>
      <c r="G2023" s="440"/>
      <c r="H2023" s="2957"/>
      <c r="I2023" s="4131"/>
      <c r="J2023" s="440"/>
      <c r="K2023" s="5196"/>
      <c r="L2023" s="5196"/>
      <c r="M2023" s="2957"/>
      <c r="N2023" s="2957"/>
      <c r="O2023" s="2957"/>
      <c r="P2023" s="2957"/>
      <c r="Q2023" s="2957"/>
      <c r="R2023" s="2957"/>
      <c r="S2023" s="2957"/>
      <c r="T2023" s="2957"/>
      <c r="U2023" s="2957"/>
      <c r="V2023" s="2957"/>
      <c r="W2023" s="2957"/>
      <c r="X2023" s="2957"/>
      <c r="Y2023" s="3244"/>
      <c r="Z2023" s="3244"/>
      <c r="AA2023" s="2957"/>
      <c r="AB2023" s="5196"/>
      <c r="AC2023" s="600" t="s">
        <v>3540</v>
      </c>
      <c r="AD2023" s="5392" t="s">
        <v>3541</v>
      </c>
      <c r="AE2023" s="441">
        <v>0.2</v>
      </c>
      <c r="AF2023" s="2957">
        <f>M2020*AE2023</f>
        <v>116000</v>
      </c>
      <c r="AG2023" s="2957">
        <f>SUM(BA2023:BN2023)</f>
        <v>116000</v>
      </c>
      <c r="AH2023" s="5394" t="s">
        <v>349</v>
      </c>
      <c r="AI2023" s="6864"/>
      <c r="AJ2023" s="2957"/>
      <c r="AK2023" s="2957"/>
      <c r="AL2023" s="2957"/>
      <c r="AM2023" s="2957"/>
      <c r="AN2023" s="5395">
        <f t="shared" si="446"/>
        <v>116000</v>
      </c>
      <c r="AO2023" s="2957"/>
      <c r="AP2023" s="2957">
        <f t="shared" si="447"/>
        <v>0</v>
      </c>
      <c r="AQ2023" s="2957"/>
      <c r="AR2023" s="2957"/>
      <c r="AS2023" s="5196"/>
      <c r="AT2023" s="2957"/>
      <c r="AU2023" s="2957"/>
      <c r="AV2023" s="2957"/>
      <c r="AW2023" s="2957"/>
      <c r="AX2023" s="2957"/>
      <c r="AY2023" s="2957"/>
      <c r="AZ2023" s="2957"/>
      <c r="BA2023" s="2957"/>
      <c r="BB2023" s="2957"/>
      <c r="BC2023" s="2957"/>
      <c r="BD2023" s="2957"/>
      <c r="BE2023" s="2957"/>
      <c r="BF2023" s="2957"/>
      <c r="BG2023" s="2957"/>
      <c r="BH2023" s="2957"/>
      <c r="BI2023" s="2957"/>
      <c r="BJ2023" s="2957"/>
      <c r="BK2023" s="2957"/>
      <c r="BL2023" s="2957"/>
      <c r="BM2023" s="2957"/>
      <c r="BN2023" s="6864">
        <v>116000</v>
      </c>
      <c r="BO2023" s="2957"/>
      <c r="BP2023" s="2957"/>
      <c r="BQ2023" s="2957"/>
      <c r="BR2023" s="2957"/>
      <c r="BS2023" s="2957"/>
      <c r="BT2023" s="2957"/>
      <c r="BU2023" s="2957"/>
      <c r="BV2023" s="2957"/>
      <c r="BW2023" s="2957"/>
      <c r="BX2023" s="2957"/>
      <c r="BY2023" s="2957"/>
      <c r="BZ2023" s="2957"/>
      <c r="CA2023" s="2957"/>
      <c r="CB2023" s="6864">
        <v>116000</v>
      </c>
      <c r="CC2023" s="6841"/>
      <c r="CD2023" s="6841"/>
      <c r="CE2023" s="5750"/>
      <c r="CF2023" s="5750"/>
      <c r="CG2023" s="5750"/>
      <c r="CH2023" s="5750"/>
    </row>
    <row r="2024" customFormat="1" ht="92" spans="1:86">
      <c r="A2024" s="3812"/>
      <c r="B2024" s="6444" t="s">
        <v>3542</v>
      </c>
      <c r="C2024" s="3065">
        <v>43425</v>
      </c>
      <c r="D2024" s="6388" t="s">
        <v>3543</v>
      </c>
      <c r="E2024" s="6388"/>
      <c r="F2024" s="6388" t="s">
        <v>3544</v>
      </c>
      <c r="G2024" s="6388" t="s">
        <v>3545</v>
      </c>
      <c r="H2024" s="6444" t="s">
        <v>1102</v>
      </c>
      <c r="I2024" s="6602"/>
      <c r="J2024" s="6388" t="s">
        <v>1329</v>
      </c>
      <c r="K2024" s="6388" t="s">
        <v>3546</v>
      </c>
      <c r="L2024" s="6388" t="s">
        <v>3547</v>
      </c>
      <c r="M2024" s="3065">
        <v>3225000</v>
      </c>
      <c r="N2024" s="2957"/>
      <c r="O2024" s="2957"/>
      <c r="P2024" s="2957"/>
      <c r="Q2024" s="2957"/>
      <c r="R2024" s="2957"/>
      <c r="S2024" s="2957"/>
      <c r="T2024" s="2957"/>
      <c r="U2024" s="2957"/>
      <c r="V2024" s="2957"/>
      <c r="W2024" s="2957"/>
      <c r="X2024" s="3245"/>
      <c r="Y2024" s="5371"/>
      <c r="Z2024" s="5371"/>
      <c r="AA2024" s="2957"/>
      <c r="AB2024" s="5196"/>
      <c r="AC2024" s="6444" t="s">
        <v>2647</v>
      </c>
      <c r="AD2024" s="6562" t="s">
        <v>1109</v>
      </c>
      <c r="AE2024" s="2087">
        <v>0.05</v>
      </c>
      <c r="AF2024" s="3065">
        <v>161250</v>
      </c>
      <c r="AG2024" s="6442">
        <f>SUM(BA2024:BN2024)</f>
        <v>119887</v>
      </c>
      <c r="AH2024" s="6538" t="s">
        <v>122</v>
      </c>
      <c r="AI2024" s="6442">
        <v>45464</v>
      </c>
      <c r="AJ2024" s="3065">
        <v>119887</v>
      </c>
      <c r="AK2024" s="3065">
        <v>45464</v>
      </c>
      <c r="AL2024" s="3065">
        <v>119887</v>
      </c>
      <c r="AM2024" s="3065">
        <v>45464</v>
      </c>
      <c r="AN2024" s="3065">
        <f t="shared" si="446"/>
        <v>119887</v>
      </c>
      <c r="AO2024" s="3065">
        <v>45527</v>
      </c>
      <c r="AP2024" s="3065">
        <f t="shared" si="447"/>
        <v>0</v>
      </c>
      <c r="AQ2024" s="3065"/>
      <c r="AR2024" s="3065"/>
      <c r="AS2024" s="6518"/>
      <c r="AT2024" s="3065"/>
      <c r="AU2024" s="2957"/>
      <c r="AV2024" s="2957"/>
      <c r="AW2024" s="2957"/>
      <c r="AX2024" s="2957"/>
      <c r="AY2024" s="2957"/>
      <c r="AZ2024" s="2957"/>
      <c r="BA2024" s="3065"/>
      <c r="BB2024" s="3065"/>
      <c r="BC2024" s="3065"/>
      <c r="BD2024" s="3065"/>
      <c r="BE2024" s="3065"/>
      <c r="BF2024" s="3065"/>
      <c r="BG2024" s="3065"/>
      <c r="BH2024" s="6442">
        <v>23977.4</v>
      </c>
      <c r="BI2024" s="3065"/>
      <c r="BJ2024" s="3065"/>
      <c r="BK2024" s="3065"/>
      <c r="BL2024" s="3065"/>
      <c r="BM2024" s="3065"/>
      <c r="BN2024" s="3065">
        <v>95909.6</v>
      </c>
      <c r="BO2024" s="3065"/>
      <c r="BP2024" s="3065"/>
      <c r="BQ2024" s="3065"/>
      <c r="BR2024" s="3065"/>
      <c r="BS2024" s="3065"/>
      <c r="BT2024" s="3065"/>
      <c r="BU2024" s="3065"/>
      <c r="BV2024" s="3065">
        <v>23977.4</v>
      </c>
      <c r="BW2024" s="3065"/>
      <c r="BX2024" s="3065"/>
      <c r="BY2024" s="3065"/>
      <c r="BZ2024" s="3065"/>
      <c r="CA2024" s="3065"/>
      <c r="CB2024" s="3065">
        <v>95909.6</v>
      </c>
      <c r="CC2024" s="6874"/>
      <c r="CD2024" s="6874"/>
      <c r="CE2024" s="5168"/>
      <c r="CF2024" s="5168"/>
      <c r="CG2024" s="5168"/>
      <c r="CH2024" s="5168"/>
    </row>
    <row r="2025" customFormat="1" ht="37.5" customHeight="1" spans="1:86">
      <c r="A2025" s="2678"/>
      <c r="B2025" s="6566" t="s">
        <v>3542</v>
      </c>
      <c r="C2025" s="5472">
        <v>43424</v>
      </c>
      <c r="D2025" s="5698" t="s">
        <v>3548</v>
      </c>
      <c r="E2025" s="5472"/>
      <c r="F2025" s="5698" t="s">
        <v>3549</v>
      </c>
      <c r="G2025" s="5698" t="s">
        <v>3550</v>
      </c>
      <c r="H2025" s="6566" t="s">
        <v>3551</v>
      </c>
      <c r="I2025" s="5472"/>
      <c r="J2025" s="5698" t="s">
        <v>3552</v>
      </c>
      <c r="K2025" s="5702"/>
      <c r="L2025" s="5702"/>
      <c r="M2025" s="5472">
        <v>5521485.46</v>
      </c>
      <c r="N2025" s="2678"/>
      <c r="O2025" s="2678"/>
      <c r="P2025" s="2678"/>
      <c r="Q2025" s="2678"/>
      <c r="R2025" s="2678"/>
      <c r="S2025" s="2678"/>
      <c r="T2025" s="2678"/>
      <c r="U2025" s="2678"/>
      <c r="V2025" s="2678"/>
      <c r="W2025" s="2678"/>
      <c r="X2025" s="3912"/>
      <c r="Y2025" s="3913"/>
      <c r="Z2025" s="3913"/>
      <c r="AA2025" s="2678"/>
      <c r="AB2025" s="5667"/>
      <c r="AC2025" s="6566" t="s">
        <v>2647</v>
      </c>
      <c r="AD2025" s="6857" t="s">
        <v>3553</v>
      </c>
      <c r="AE2025" s="6858">
        <v>0.05</v>
      </c>
      <c r="AF2025" s="5472">
        <f>M2025*AE2025</f>
        <v>276074.273</v>
      </c>
      <c r="AG2025" s="5472">
        <f>SUM(BA2025:BN2025)</f>
        <v>276074.27</v>
      </c>
      <c r="AH2025" s="6566" t="s">
        <v>206</v>
      </c>
      <c r="AI2025" s="5472">
        <v>45587</v>
      </c>
      <c r="AJ2025" s="6566" t="s">
        <v>171</v>
      </c>
      <c r="AK2025" s="6566" t="s">
        <v>171</v>
      </c>
      <c r="AL2025" s="5472">
        <f>SUM(BF2025:BS2025)</f>
        <v>276074.27</v>
      </c>
      <c r="AM2025" s="5472">
        <v>45587</v>
      </c>
      <c r="AN2025" s="5472">
        <f t="shared" si="446"/>
        <v>276074.27</v>
      </c>
      <c r="AO2025" s="5472">
        <v>45607</v>
      </c>
      <c r="AP2025" s="5472">
        <f t="shared" si="447"/>
        <v>0</v>
      </c>
      <c r="AQ2025" s="5472"/>
      <c r="AR2025" s="5472"/>
      <c r="AS2025" s="5702"/>
      <c r="AT2025" s="5472"/>
      <c r="AU2025" s="2678"/>
      <c r="AV2025" s="2678"/>
      <c r="AW2025" s="2678"/>
      <c r="AX2025" s="2678"/>
      <c r="AY2025" s="2678"/>
      <c r="AZ2025" s="2678"/>
      <c r="BA2025" s="5472"/>
      <c r="BB2025" s="5472"/>
      <c r="BC2025" s="5472"/>
      <c r="BD2025" s="5472"/>
      <c r="BE2025" s="5472"/>
      <c r="BF2025" s="5472"/>
      <c r="BG2025" s="5472"/>
      <c r="BH2025" s="5472"/>
      <c r="BI2025" s="5472"/>
      <c r="BJ2025" s="5472"/>
      <c r="BK2025" s="5472"/>
      <c r="BL2025" s="5472"/>
      <c r="BM2025" s="5472"/>
      <c r="BN2025" s="5472">
        <v>276074.27</v>
      </c>
      <c r="BO2025" s="5472"/>
      <c r="BP2025" s="5472"/>
      <c r="BQ2025" s="5472"/>
      <c r="BR2025" s="5472"/>
      <c r="BS2025" s="5472"/>
      <c r="BT2025" s="5472"/>
      <c r="BU2025" s="5472"/>
      <c r="BV2025" s="5472"/>
      <c r="BW2025" s="5472"/>
      <c r="BX2025" s="5472"/>
      <c r="BY2025" s="5472"/>
      <c r="BZ2025" s="5472"/>
      <c r="CA2025" s="5472"/>
      <c r="CB2025" s="5472">
        <v>276074.27</v>
      </c>
      <c r="CC2025" s="6875"/>
      <c r="CD2025" s="6875"/>
      <c r="CE2025" s="5168"/>
      <c r="CF2025" s="5168"/>
      <c r="CG2025" s="5168"/>
      <c r="CH2025" s="5168"/>
    </row>
    <row r="2026" ht="46" spans="1:86">
      <c r="A2026" s="2678">
        <v>54</v>
      </c>
      <c r="B2026" s="2678" t="s">
        <v>1003</v>
      </c>
      <c r="C2026" s="2678">
        <v>43661</v>
      </c>
      <c r="D2026" s="5667" t="s">
        <v>3554</v>
      </c>
      <c r="E2026" s="2678" t="s">
        <v>113</v>
      </c>
      <c r="F2026" s="5667" t="s">
        <v>3555</v>
      </c>
      <c r="G2026" s="5667" t="s">
        <v>3556</v>
      </c>
      <c r="H2026" s="2678" t="s">
        <v>286</v>
      </c>
      <c r="I2026" s="2678"/>
      <c r="J2026" s="5667" t="s">
        <v>1329</v>
      </c>
      <c r="K2026" s="5667" t="s">
        <v>3557</v>
      </c>
      <c r="L2026" s="5667" t="s">
        <v>3558</v>
      </c>
      <c r="M2026" s="2678">
        <f>SUM(N2026:AA2028)</f>
        <v>160000</v>
      </c>
      <c r="N2026" s="2678">
        <v>80000</v>
      </c>
      <c r="O2026" s="2678"/>
      <c r="P2026" s="2678"/>
      <c r="Q2026" s="2678">
        <v>80000</v>
      </c>
      <c r="R2026" s="2678"/>
      <c r="S2026" s="2678"/>
      <c r="T2026" s="2678"/>
      <c r="U2026" s="2678"/>
      <c r="V2026" s="2678"/>
      <c r="W2026" s="2678"/>
      <c r="X2026" s="3912"/>
      <c r="Y2026" s="3912"/>
      <c r="Z2026" s="3912"/>
      <c r="AA2026" s="2678"/>
      <c r="AB2026" s="5667" t="s">
        <v>171</v>
      </c>
      <c r="AC2026" s="6859"/>
      <c r="AD2026" s="5685" t="s">
        <v>3559</v>
      </c>
      <c r="AE2026" s="791">
        <v>0.3</v>
      </c>
      <c r="AF2026" s="2678">
        <v>36</v>
      </c>
      <c r="AG2026" s="5349"/>
      <c r="AH2026" s="2678"/>
      <c r="AI2026" s="2678"/>
      <c r="AJ2026" s="2678"/>
      <c r="AK2026" s="2678"/>
      <c r="AL2026" s="2678"/>
      <c r="AM2026" s="2678"/>
      <c r="AN2026" s="2678"/>
      <c r="AO2026" s="2678"/>
      <c r="AP2026" s="2678"/>
      <c r="AQ2026" s="2678"/>
      <c r="AR2026" s="2678"/>
      <c r="AS2026" s="5667"/>
      <c r="AT2026" s="2678"/>
      <c r="AU2026" s="2678"/>
      <c r="AV2026" s="2678"/>
      <c r="AW2026" s="2678"/>
      <c r="AX2026" s="2678"/>
      <c r="AY2026" s="2678"/>
      <c r="AZ2026" s="2678"/>
      <c r="BA2026" s="2678"/>
      <c r="BB2026" s="2678"/>
      <c r="BC2026" s="2678"/>
      <c r="BD2026" s="2678"/>
      <c r="BE2026" s="2678"/>
      <c r="BF2026" s="2678"/>
      <c r="BG2026" s="2678"/>
      <c r="BH2026" s="2678"/>
      <c r="BI2026" s="2678"/>
      <c r="BJ2026" s="2678"/>
      <c r="BK2026" s="2678"/>
      <c r="BL2026" s="2678"/>
      <c r="BM2026" s="2678"/>
      <c r="BN2026" s="2678"/>
      <c r="BO2026" s="2678"/>
      <c r="BP2026" s="2678"/>
      <c r="BQ2026" s="2678"/>
      <c r="BR2026" s="2678"/>
      <c r="BS2026" s="2678"/>
      <c r="BT2026" s="2678"/>
      <c r="BU2026" s="2678"/>
      <c r="BV2026" s="2678"/>
      <c r="BW2026" s="2678"/>
      <c r="BX2026" s="2678"/>
      <c r="BY2026" s="2678"/>
      <c r="BZ2026" s="2678"/>
      <c r="CA2026" s="2678"/>
      <c r="CB2026" s="2678"/>
      <c r="CC2026" s="6859"/>
      <c r="CD2026" s="6859"/>
      <c r="CE2026" s="5168"/>
      <c r="CF2026" s="5168"/>
      <c r="CG2026" s="5750"/>
      <c r="CH2026" s="5750"/>
    </row>
    <row r="2027" ht="46" spans="1:86">
      <c r="A2027" s="2678"/>
      <c r="B2027" s="2678"/>
      <c r="C2027" s="2678"/>
      <c r="D2027" s="5667"/>
      <c r="E2027" s="2678"/>
      <c r="F2027" s="5667"/>
      <c r="G2027" s="5667"/>
      <c r="H2027" s="2678"/>
      <c r="I2027" s="2678"/>
      <c r="J2027" s="5667"/>
      <c r="K2027" s="5667"/>
      <c r="L2027" s="5667"/>
      <c r="M2027" s="2678"/>
      <c r="N2027" s="2678"/>
      <c r="O2027" s="2678"/>
      <c r="P2027" s="2678"/>
      <c r="Q2027" s="2678"/>
      <c r="R2027" s="2678"/>
      <c r="S2027" s="2678"/>
      <c r="T2027" s="2678"/>
      <c r="U2027" s="2678"/>
      <c r="V2027" s="2678"/>
      <c r="W2027" s="2678"/>
      <c r="X2027" s="3913"/>
      <c r="Y2027" s="3913"/>
      <c r="Z2027" s="3913"/>
      <c r="AA2027" s="2678"/>
      <c r="AB2027" s="5667"/>
      <c r="AC2027" s="6859"/>
      <c r="AD2027" s="5686" t="s">
        <v>3560</v>
      </c>
      <c r="AE2027" s="791">
        <v>0.37</v>
      </c>
      <c r="AF2027" s="2678">
        <v>44</v>
      </c>
      <c r="AG2027" s="5349"/>
      <c r="AH2027" s="2678"/>
      <c r="AI2027" s="2678"/>
      <c r="AJ2027" s="2678"/>
      <c r="AK2027" s="2678"/>
      <c r="AL2027" s="2678"/>
      <c r="AM2027" s="2678"/>
      <c r="AN2027" s="2678"/>
      <c r="AO2027" s="2678"/>
      <c r="AP2027" s="2678"/>
      <c r="AQ2027" s="2678"/>
      <c r="AR2027" s="2678"/>
      <c r="AS2027" s="5667"/>
      <c r="AT2027" s="2678"/>
      <c r="AU2027" s="2678"/>
      <c r="AV2027" s="2678"/>
      <c r="AW2027" s="2678"/>
      <c r="AX2027" s="2678"/>
      <c r="AY2027" s="2678"/>
      <c r="AZ2027" s="2678"/>
      <c r="BA2027" s="2678"/>
      <c r="BB2027" s="2678"/>
      <c r="BC2027" s="2678"/>
      <c r="BD2027" s="2678"/>
      <c r="BE2027" s="2678"/>
      <c r="BF2027" s="2678"/>
      <c r="BG2027" s="2678"/>
      <c r="BH2027" s="2678"/>
      <c r="BI2027" s="2678"/>
      <c r="BJ2027" s="2678"/>
      <c r="BK2027" s="2678"/>
      <c r="BL2027" s="2678"/>
      <c r="BM2027" s="2678"/>
      <c r="BN2027" s="2678"/>
      <c r="BO2027" s="2678"/>
      <c r="BP2027" s="2678"/>
      <c r="BQ2027" s="2678"/>
      <c r="BR2027" s="2678"/>
      <c r="BS2027" s="2678"/>
      <c r="BT2027" s="2678"/>
      <c r="BU2027" s="2678"/>
      <c r="BV2027" s="2678"/>
      <c r="BW2027" s="2678"/>
      <c r="BX2027" s="2678"/>
      <c r="BY2027" s="2678"/>
      <c r="BZ2027" s="2678"/>
      <c r="CA2027" s="2678"/>
      <c r="CB2027" s="2678"/>
      <c r="CC2027" s="6859"/>
      <c r="CD2027" s="6859"/>
      <c r="CE2027" s="5168"/>
      <c r="CF2027" s="5168"/>
      <c r="CG2027" s="5750"/>
      <c r="CH2027" s="5750"/>
    </row>
    <row r="2028" s="4981" customFormat="1" ht="76" spans="1:86">
      <c r="A2028" s="6845"/>
      <c r="B2028" s="3812"/>
      <c r="C2028" s="3812"/>
      <c r="D2028" s="5059"/>
      <c r="E2028" s="3812"/>
      <c r="F2028" s="5059"/>
      <c r="G2028" s="5059"/>
      <c r="H2028" s="3812"/>
      <c r="I2028" s="3812"/>
      <c r="J2028" s="5059"/>
      <c r="K2028" s="5059"/>
      <c r="L2028" s="5059"/>
      <c r="M2028" s="3812"/>
      <c r="N2028" s="6845"/>
      <c r="O2028" s="6845"/>
      <c r="P2028" s="6845"/>
      <c r="Q2028" s="6845"/>
      <c r="R2028" s="6845"/>
      <c r="S2028" s="6845"/>
      <c r="T2028" s="3812"/>
      <c r="U2028" s="6845"/>
      <c r="V2028" s="6845"/>
      <c r="W2028" s="6845"/>
      <c r="X2028" s="4842"/>
      <c r="Y2028" s="4842"/>
      <c r="Z2028" s="4842"/>
      <c r="AA2028" s="6845"/>
      <c r="AB2028" s="6853"/>
      <c r="AC2028" s="5059" t="s">
        <v>3561</v>
      </c>
      <c r="AD2028" s="5105" t="s">
        <v>3562</v>
      </c>
      <c r="AE2028" s="1095">
        <v>0.33</v>
      </c>
      <c r="AF2028" s="3812">
        <v>40</v>
      </c>
      <c r="AG2028" s="5123">
        <f>SUM(BA2028:BN2028)</f>
        <v>160000</v>
      </c>
      <c r="AH2028" s="5123" t="s">
        <v>3563</v>
      </c>
      <c r="AI2028" s="5123"/>
      <c r="AJ2028" s="5123">
        <v>160000</v>
      </c>
      <c r="AK2028" s="5123"/>
      <c r="AL2028" s="5123">
        <v>160000</v>
      </c>
      <c r="AM2028" s="5123"/>
      <c r="AN2028" s="5123">
        <f>SUM(BO2028:CB2028)</f>
        <v>160000</v>
      </c>
      <c r="AO2028" s="5123"/>
      <c r="AP2028" s="5123"/>
      <c r="AQ2028" s="5346" t="s">
        <v>3564</v>
      </c>
      <c r="AR2028" s="5346" t="s">
        <v>3565</v>
      </c>
      <c r="AS2028" s="5346"/>
      <c r="AT2028" s="5123" t="s">
        <v>171</v>
      </c>
      <c r="AU2028" s="5123">
        <f>SUM(AG2028:AG2028)</f>
        <v>160000</v>
      </c>
      <c r="AV2028" s="5123">
        <f>SUM(AL2028:AL2028)</f>
        <v>160000</v>
      </c>
      <c r="AW2028" s="5123">
        <f>SUM(AN2028:AN2028)</f>
        <v>160000</v>
      </c>
      <c r="AX2028" s="5123">
        <f>M2026-AU2028</f>
        <v>0</v>
      </c>
      <c r="AY2028" s="5123">
        <f>AU2028-AV2028</f>
        <v>0</v>
      </c>
      <c r="AZ2028" s="5123">
        <f>AV2028-AW2028</f>
        <v>0</v>
      </c>
      <c r="BA2028" s="5123">
        <v>80000</v>
      </c>
      <c r="BB2028" s="5123"/>
      <c r="BC2028" s="5123"/>
      <c r="BD2028" s="5123">
        <v>80000</v>
      </c>
      <c r="BE2028" s="5123"/>
      <c r="BF2028" s="5123"/>
      <c r="BG2028" s="5123"/>
      <c r="BH2028" s="5123"/>
      <c r="BI2028" s="5123"/>
      <c r="BJ2028" s="5123"/>
      <c r="BK2028" s="5123"/>
      <c r="BL2028" s="5123"/>
      <c r="BM2028" s="5123"/>
      <c r="BN2028" s="5123"/>
      <c r="BO2028" s="5123">
        <v>80000</v>
      </c>
      <c r="BP2028" s="5123"/>
      <c r="BQ2028" s="5123"/>
      <c r="BR2028" s="5123">
        <v>80000</v>
      </c>
      <c r="BS2028" s="5123"/>
      <c r="BT2028" s="5123"/>
      <c r="BU2028" s="5123"/>
      <c r="BV2028" s="5123"/>
      <c r="BW2028" s="5123"/>
      <c r="BX2028" s="5123"/>
      <c r="BY2028" s="5123"/>
      <c r="BZ2028" s="5123"/>
      <c r="CA2028" s="5123"/>
      <c r="CB2028" s="5123"/>
      <c r="CC2028" s="3812" t="s">
        <v>1112</v>
      </c>
      <c r="CD2028" s="3812" t="s">
        <v>154</v>
      </c>
      <c r="CE2028" s="5920"/>
      <c r="CF2028" s="5920"/>
      <c r="CG2028" s="5920"/>
      <c r="CH2028" s="5920"/>
    </row>
    <row r="2029" s="4990" customFormat="1" ht="31" spans="1:86">
      <c r="A2029" s="3057"/>
      <c r="B2029" s="3405" t="s">
        <v>1003</v>
      </c>
      <c r="C2029" s="3057">
        <v>45239</v>
      </c>
      <c r="D2029" s="2099" t="s">
        <v>3566</v>
      </c>
      <c r="E2029" s="4183"/>
      <c r="F2029" s="2099" t="s">
        <v>3567</v>
      </c>
      <c r="G2029" s="2099" t="s">
        <v>3568</v>
      </c>
      <c r="H2029" s="3405" t="s">
        <v>3569</v>
      </c>
      <c r="I2029" s="2099" t="s">
        <v>3570</v>
      </c>
      <c r="J2029" s="1125" t="s">
        <v>3571</v>
      </c>
      <c r="K2029" s="5056">
        <v>200203.39</v>
      </c>
      <c r="L2029" s="2099" t="s">
        <v>3572</v>
      </c>
      <c r="M2029" s="4183">
        <f>SUM(N2029:AA2034)</f>
        <v>4990000</v>
      </c>
      <c r="N2029" s="6849"/>
      <c r="O2029" s="6849"/>
      <c r="P2029" s="6849"/>
      <c r="Q2029" s="6849"/>
      <c r="R2029" s="6849"/>
      <c r="S2029" s="6849"/>
      <c r="T2029" s="6849"/>
      <c r="U2029" s="6849"/>
      <c r="V2029" s="6849"/>
      <c r="W2029" s="6849"/>
      <c r="X2029" s="6849"/>
      <c r="Y2029" s="6849"/>
      <c r="Z2029" s="6849"/>
      <c r="AA2029" s="6849">
        <v>4990000</v>
      </c>
      <c r="AB2029" s="1086" t="s">
        <v>126</v>
      </c>
      <c r="AC2029" s="2100">
        <v>1</v>
      </c>
      <c r="AD2029" s="2100" t="s">
        <v>2027</v>
      </c>
      <c r="AE2029" s="2100" t="s">
        <v>3573</v>
      </c>
      <c r="AF2029" s="4183">
        <f>$AA$2029*0.2</f>
        <v>998000</v>
      </c>
      <c r="AG2029" s="3057">
        <f t="shared" ref="AG2029:AG2039" si="448">SUBTOTAL(9,BA2029:BN2029)</f>
        <v>499000</v>
      </c>
      <c r="AH2029" s="584" t="s">
        <v>122</v>
      </c>
      <c r="AI2029" s="3057">
        <v>45268</v>
      </c>
      <c r="AJ2029" s="3057">
        <f>SUBTOTAL(9,BD2029:BQ2029)</f>
        <v>499000</v>
      </c>
      <c r="AK2029" s="3057">
        <v>45268</v>
      </c>
      <c r="AL2029" s="3057">
        <f>SUBTOTAL(9,BF2029:BS2029)</f>
        <v>499000</v>
      </c>
      <c r="AM2029" s="3057">
        <v>45268</v>
      </c>
      <c r="AN2029" s="3057">
        <f>SUBTOTAL(9,BO2029:CB2029)</f>
        <v>499000</v>
      </c>
      <c r="AO2029" s="3057">
        <v>45279</v>
      </c>
      <c r="AP2029" s="4059"/>
      <c r="AQ2029" s="2099" t="s">
        <v>3574</v>
      </c>
      <c r="AR2029" s="5057"/>
      <c r="AS2029" s="5057"/>
      <c r="AT2029" s="4059"/>
      <c r="AU2029" s="5123"/>
      <c r="AV2029" s="5123"/>
      <c r="AW2029" s="5123"/>
      <c r="AX2029" s="5123"/>
      <c r="AY2029" s="5123"/>
      <c r="AZ2029" s="5123"/>
      <c r="BA2029" s="4059"/>
      <c r="BB2029" s="4059"/>
      <c r="BC2029" s="4059"/>
      <c r="BD2029" s="4059"/>
      <c r="BE2029" s="4059"/>
      <c r="BF2029" s="4059"/>
      <c r="BG2029" s="4059"/>
      <c r="BH2029" s="4059"/>
      <c r="BI2029" s="4059"/>
      <c r="BJ2029" s="4059"/>
      <c r="BK2029" s="4059"/>
      <c r="BL2029" s="4059"/>
      <c r="BM2029" s="4059"/>
      <c r="BN2029" s="3057">
        <f>998000/2</f>
        <v>499000</v>
      </c>
      <c r="BO2029" s="4059"/>
      <c r="BP2029" s="4059"/>
      <c r="BQ2029" s="4059"/>
      <c r="BR2029" s="4059"/>
      <c r="BS2029" s="4059"/>
      <c r="BT2029" s="4059"/>
      <c r="BU2029" s="4059"/>
      <c r="BV2029" s="4059"/>
      <c r="BW2029" s="4059"/>
      <c r="BX2029" s="4059"/>
      <c r="BY2029" s="4059"/>
      <c r="BZ2029" s="4059"/>
      <c r="CA2029" s="4059"/>
      <c r="CB2029" s="3057">
        <f>998000/2</f>
        <v>499000</v>
      </c>
      <c r="CC2029" s="3057"/>
      <c r="CD2029" s="3057"/>
      <c r="CE2029" s="6781"/>
      <c r="CF2029" s="6781"/>
      <c r="CG2029" s="6781"/>
      <c r="CH2029" s="6781"/>
    </row>
    <row r="2030" s="4990" customFormat="1" spans="1:86">
      <c r="A2030" s="3057"/>
      <c r="B2030" s="590"/>
      <c r="C2030" s="3057"/>
      <c r="D2030" s="6123"/>
      <c r="E2030" s="4184"/>
      <c r="F2030" s="6123"/>
      <c r="G2030" s="6123"/>
      <c r="H2030" s="590"/>
      <c r="I2030" s="6123"/>
      <c r="J2030" s="1125"/>
      <c r="K2030" s="5056"/>
      <c r="L2030" s="6123"/>
      <c r="M2030" s="4184"/>
      <c r="N2030" s="6850"/>
      <c r="O2030" s="6850"/>
      <c r="P2030" s="6850"/>
      <c r="Q2030" s="6850"/>
      <c r="R2030" s="6850"/>
      <c r="S2030" s="6850"/>
      <c r="T2030" s="6850"/>
      <c r="U2030" s="6850"/>
      <c r="V2030" s="6850"/>
      <c r="W2030" s="6850"/>
      <c r="X2030" s="6850"/>
      <c r="Y2030" s="6850"/>
      <c r="Z2030" s="6850"/>
      <c r="AA2030" s="6850"/>
      <c r="AB2030" s="1086"/>
      <c r="AC2030" s="2102"/>
      <c r="AD2030" s="2102"/>
      <c r="AE2030" s="2102"/>
      <c r="AF2030" s="4185"/>
      <c r="AG2030" s="3057">
        <f t="shared" si="448"/>
        <v>499000</v>
      </c>
      <c r="AH2030" s="584" t="s">
        <v>122</v>
      </c>
      <c r="AI2030" s="3057">
        <v>45287</v>
      </c>
      <c r="AJ2030" s="3057">
        <f>SUBTOTAL(9,BD2030:BQ2030)</f>
        <v>499000</v>
      </c>
      <c r="AK2030" s="3057">
        <v>45287</v>
      </c>
      <c r="AL2030" s="3057">
        <f>SUBTOTAL(9,BF2030:BS2030)</f>
        <v>499000</v>
      </c>
      <c r="AM2030" s="3057">
        <v>45310</v>
      </c>
      <c r="AN2030" s="3057">
        <f>SUBTOTAL(9,BO2030:CB2030)</f>
        <v>499000</v>
      </c>
      <c r="AO2030" s="3057">
        <v>45317</v>
      </c>
      <c r="AP2030" s="4059"/>
      <c r="AQ2030" s="5071"/>
      <c r="AR2030" s="5057"/>
      <c r="AS2030" s="5057"/>
      <c r="AT2030" s="4059"/>
      <c r="AU2030" s="5123"/>
      <c r="AV2030" s="5123"/>
      <c r="AW2030" s="5123"/>
      <c r="AX2030" s="5123"/>
      <c r="AY2030" s="5123"/>
      <c r="AZ2030" s="5123"/>
      <c r="BA2030" s="4059"/>
      <c r="BB2030" s="4059"/>
      <c r="BC2030" s="4059"/>
      <c r="BD2030" s="4059"/>
      <c r="BE2030" s="4059"/>
      <c r="BF2030" s="4059"/>
      <c r="BG2030" s="4059"/>
      <c r="BH2030" s="4059"/>
      <c r="BI2030" s="4059"/>
      <c r="BJ2030" s="4059"/>
      <c r="BK2030" s="4059"/>
      <c r="BL2030" s="4059"/>
      <c r="BM2030" s="4059"/>
      <c r="BN2030" s="3057">
        <f>998000/2</f>
        <v>499000</v>
      </c>
      <c r="BO2030" s="4059"/>
      <c r="BP2030" s="4059"/>
      <c r="BQ2030" s="4059"/>
      <c r="BR2030" s="4059"/>
      <c r="BS2030" s="4059"/>
      <c r="BT2030" s="4059"/>
      <c r="BU2030" s="4059"/>
      <c r="BV2030" s="4059"/>
      <c r="BW2030" s="4059"/>
      <c r="BX2030" s="4059"/>
      <c r="BY2030" s="4059"/>
      <c r="BZ2030" s="4059"/>
      <c r="CA2030" s="4059"/>
      <c r="CB2030" s="3057">
        <v>499000</v>
      </c>
      <c r="CC2030" s="3057"/>
      <c r="CD2030" s="3057"/>
      <c r="CE2030" s="6781"/>
      <c r="CF2030" s="6781"/>
      <c r="CG2030" s="6781"/>
      <c r="CH2030" s="6781"/>
    </row>
    <row r="2031" s="4990" customFormat="1" ht="61" spans="1:86">
      <c r="A2031" s="3057"/>
      <c r="B2031" s="590"/>
      <c r="C2031" s="3057"/>
      <c r="D2031" s="6123"/>
      <c r="E2031" s="4184"/>
      <c r="F2031" s="6123"/>
      <c r="G2031" s="6123"/>
      <c r="H2031" s="4184"/>
      <c r="I2031" s="6123"/>
      <c r="J2031" s="1125"/>
      <c r="K2031" s="5056"/>
      <c r="L2031" s="5071"/>
      <c r="M2031" s="4184"/>
      <c r="N2031" s="6850"/>
      <c r="O2031" s="6850"/>
      <c r="P2031" s="6850"/>
      <c r="Q2031" s="6850"/>
      <c r="R2031" s="6850"/>
      <c r="S2031" s="6850"/>
      <c r="T2031" s="6850"/>
      <c r="U2031" s="6850"/>
      <c r="V2031" s="6850"/>
      <c r="W2031" s="6850"/>
      <c r="X2031" s="6850"/>
      <c r="Y2031" s="6850"/>
      <c r="Z2031" s="6850"/>
      <c r="AA2031" s="6850"/>
      <c r="AB2031" s="6814"/>
      <c r="AC2031" s="1082">
        <v>2</v>
      </c>
      <c r="AD2031" s="1082" t="s">
        <v>2028</v>
      </c>
      <c r="AE2031" s="1082" t="s">
        <v>3575</v>
      </c>
      <c r="AF2031" s="3057">
        <f>$AA$2029*0.3</f>
        <v>1497000</v>
      </c>
      <c r="AG2031" s="3057">
        <f t="shared" si="448"/>
        <v>1497000</v>
      </c>
      <c r="AH2031" s="584" t="s">
        <v>122</v>
      </c>
      <c r="AI2031" s="3057">
        <v>45287</v>
      </c>
      <c r="AJ2031" s="3057">
        <f>SUBTOTAL(9,BD2031:BQ2031)</f>
        <v>1497000</v>
      </c>
      <c r="AK2031" s="3057">
        <v>45287</v>
      </c>
      <c r="AL2031" s="3057">
        <f>SUBTOTAL(9,BF2031:BS2031)</f>
        <v>1497000</v>
      </c>
      <c r="AM2031" s="3057">
        <v>45310</v>
      </c>
      <c r="AN2031" s="3057">
        <f>SUBTOTAL(9,BO2031:CB2031)</f>
        <v>1497000</v>
      </c>
      <c r="AO2031" s="3057">
        <v>45317</v>
      </c>
      <c r="AP2031" s="4059"/>
      <c r="AQ2031" s="5071"/>
      <c r="AR2031" s="5057"/>
      <c r="AS2031" s="5057"/>
      <c r="AT2031" s="4059"/>
      <c r="AU2031" s="5123"/>
      <c r="AV2031" s="5123"/>
      <c r="AW2031" s="5123"/>
      <c r="AX2031" s="5123"/>
      <c r="AY2031" s="5123"/>
      <c r="AZ2031" s="5123"/>
      <c r="BA2031" s="4059"/>
      <c r="BB2031" s="4059"/>
      <c r="BC2031" s="4059"/>
      <c r="BD2031" s="4059"/>
      <c r="BE2031" s="4059"/>
      <c r="BF2031" s="4059"/>
      <c r="BG2031" s="4059"/>
      <c r="BH2031" s="4059"/>
      <c r="BI2031" s="4059"/>
      <c r="BJ2031" s="4059"/>
      <c r="BK2031" s="4059"/>
      <c r="BL2031" s="4059"/>
      <c r="BM2031" s="4059"/>
      <c r="BN2031" s="3057">
        <f>1497000</f>
        <v>1497000</v>
      </c>
      <c r="BO2031" s="4059"/>
      <c r="BP2031" s="4059"/>
      <c r="BQ2031" s="4059"/>
      <c r="BR2031" s="4059"/>
      <c r="BS2031" s="4059"/>
      <c r="BT2031" s="4059"/>
      <c r="BU2031" s="4059"/>
      <c r="BV2031" s="4059"/>
      <c r="BW2031" s="4059"/>
      <c r="BX2031" s="4059"/>
      <c r="BY2031" s="4059"/>
      <c r="BZ2031" s="4059"/>
      <c r="CA2031" s="4059"/>
      <c r="CB2031" s="3057">
        <v>1497000</v>
      </c>
      <c r="CC2031" s="3057"/>
      <c r="CD2031" s="3057"/>
      <c r="CE2031" s="6781"/>
      <c r="CF2031" s="6781"/>
      <c r="CG2031" s="6781"/>
      <c r="CH2031" s="6781"/>
    </row>
    <row r="2032" s="4990" customFormat="1" ht="61" spans="1:86">
      <c r="A2032" s="3057"/>
      <c r="B2032" s="590"/>
      <c r="C2032" s="3057"/>
      <c r="D2032" s="6123"/>
      <c r="E2032" s="4184"/>
      <c r="F2032" s="6123"/>
      <c r="G2032" s="6123"/>
      <c r="H2032" s="4184"/>
      <c r="I2032" s="6123"/>
      <c r="J2032" s="1125"/>
      <c r="K2032" s="5056"/>
      <c r="L2032" s="5071"/>
      <c r="M2032" s="4184"/>
      <c r="N2032" s="6850"/>
      <c r="O2032" s="6850"/>
      <c r="P2032" s="6850"/>
      <c r="Q2032" s="6850"/>
      <c r="R2032" s="6850"/>
      <c r="S2032" s="6850"/>
      <c r="T2032" s="6850"/>
      <c r="U2032" s="6850"/>
      <c r="V2032" s="6850"/>
      <c r="W2032" s="6850"/>
      <c r="X2032" s="6850"/>
      <c r="Y2032" s="6850"/>
      <c r="Z2032" s="6850"/>
      <c r="AA2032" s="6850"/>
      <c r="AB2032" s="6814"/>
      <c r="AC2032" s="1082">
        <v>3</v>
      </c>
      <c r="AD2032" s="1125" t="s">
        <v>1785</v>
      </c>
      <c r="AE2032" s="1082" t="s">
        <v>3576</v>
      </c>
      <c r="AF2032" s="6860">
        <f>4940100*0.7-AF2029-AF2031</f>
        <v>963070</v>
      </c>
      <c r="AG2032" s="3057">
        <f t="shared" si="448"/>
        <v>963070</v>
      </c>
      <c r="AH2032" s="584" t="s">
        <v>122</v>
      </c>
      <c r="AI2032" s="3057">
        <v>45377</v>
      </c>
      <c r="AJ2032" s="3057">
        <v>963070</v>
      </c>
      <c r="AK2032" s="3057">
        <v>45377</v>
      </c>
      <c r="AL2032" s="3057">
        <v>963070</v>
      </c>
      <c r="AM2032" s="3057">
        <v>45378</v>
      </c>
      <c r="AN2032" s="3057">
        <f>SUBTOTAL(9,BO2032:CB2032)</f>
        <v>963070</v>
      </c>
      <c r="AO2032" s="3057">
        <v>45408</v>
      </c>
      <c r="AP2032" s="4059"/>
      <c r="AQ2032" s="5071"/>
      <c r="AR2032" s="5057"/>
      <c r="AS2032" s="5057"/>
      <c r="AT2032" s="4059"/>
      <c r="AU2032" s="5123"/>
      <c r="AV2032" s="5123"/>
      <c r="AW2032" s="5123"/>
      <c r="AX2032" s="5123"/>
      <c r="AY2032" s="5123"/>
      <c r="AZ2032" s="5123"/>
      <c r="BA2032" s="4059"/>
      <c r="BB2032" s="4059"/>
      <c r="BC2032" s="4059"/>
      <c r="BD2032" s="4059"/>
      <c r="BE2032" s="4059"/>
      <c r="BF2032" s="4059"/>
      <c r="BG2032" s="4059"/>
      <c r="BH2032" s="4059"/>
      <c r="BI2032" s="4059"/>
      <c r="BJ2032" s="4059"/>
      <c r="BK2032" s="4059"/>
      <c r="BL2032" s="4059"/>
      <c r="BM2032" s="4059"/>
      <c r="BN2032" s="4059">
        <f>4940100*0.7-2495000</f>
        <v>963070</v>
      </c>
      <c r="BO2032" s="4059"/>
      <c r="BP2032" s="4059"/>
      <c r="BQ2032" s="4059"/>
      <c r="BR2032" s="4059"/>
      <c r="BS2032" s="4059"/>
      <c r="BT2032" s="4059"/>
      <c r="BU2032" s="4059"/>
      <c r="BV2032" s="4059"/>
      <c r="BW2032" s="4059"/>
      <c r="BX2032" s="4059"/>
      <c r="BY2032" s="4059"/>
      <c r="BZ2032" s="4059"/>
      <c r="CA2032" s="4059"/>
      <c r="CB2032" s="4059">
        <v>963070</v>
      </c>
      <c r="CC2032" s="3057"/>
      <c r="CD2032" s="3057"/>
      <c r="CE2032" s="6781"/>
      <c r="CF2032" s="6781"/>
      <c r="CG2032" s="6781"/>
      <c r="CH2032" s="6781"/>
    </row>
    <row r="2033" s="4990" customFormat="1" ht="76" spans="1:86">
      <c r="A2033" s="3057"/>
      <c r="B2033" s="590"/>
      <c r="C2033" s="3057"/>
      <c r="D2033" s="6123"/>
      <c r="E2033" s="4184"/>
      <c r="F2033" s="6123"/>
      <c r="G2033" s="6123"/>
      <c r="H2033" s="4184"/>
      <c r="I2033" s="6123"/>
      <c r="J2033" s="1125"/>
      <c r="K2033" s="5056"/>
      <c r="L2033" s="5071"/>
      <c r="M2033" s="4184"/>
      <c r="N2033" s="6850"/>
      <c r="O2033" s="6850"/>
      <c r="P2033" s="6850"/>
      <c r="Q2033" s="6850"/>
      <c r="R2033" s="6850"/>
      <c r="S2033" s="6850"/>
      <c r="T2033" s="6850"/>
      <c r="U2033" s="6850"/>
      <c r="V2033" s="6850"/>
      <c r="W2033" s="6850"/>
      <c r="X2033" s="6850"/>
      <c r="Y2033" s="6850"/>
      <c r="Z2033" s="6850"/>
      <c r="AA2033" s="6850"/>
      <c r="AB2033" s="6814"/>
      <c r="AC2033" s="1082">
        <v>4</v>
      </c>
      <c r="AD2033" s="1082" t="s">
        <v>2088</v>
      </c>
      <c r="AE2033" s="1082" t="s">
        <v>3577</v>
      </c>
      <c r="AF2033" s="6860">
        <f>4940100*0.25</f>
        <v>1235025</v>
      </c>
      <c r="AG2033" s="3057">
        <f t="shared" si="448"/>
        <v>1235025</v>
      </c>
      <c r="AH2033" s="584" t="s">
        <v>122</v>
      </c>
      <c r="AI2033" s="3057">
        <v>45720</v>
      </c>
      <c r="AJ2033" s="3057">
        <v>1235025</v>
      </c>
      <c r="AK2033" s="3057">
        <v>45720</v>
      </c>
      <c r="AL2033" s="3057">
        <v>1235025</v>
      </c>
      <c r="AM2033" s="3057">
        <v>45726</v>
      </c>
      <c r="AN2033" s="4059">
        <f>SUBTOTAL(9,BO2033:CB2033)</f>
        <v>1235025</v>
      </c>
      <c r="AO2033" s="4059">
        <v>46021</v>
      </c>
      <c r="AP2033" s="4059"/>
      <c r="AQ2033" s="5071"/>
      <c r="AR2033" s="5057"/>
      <c r="AS2033" s="5057"/>
      <c r="AT2033" s="4059"/>
      <c r="AU2033" s="5123"/>
      <c r="AV2033" s="5123"/>
      <c r="AW2033" s="5123"/>
      <c r="AX2033" s="5123"/>
      <c r="AY2033" s="5123"/>
      <c r="AZ2033" s="5123"/>
      <c r="BA2033" s="4059"/>
      <c r="BB2033" s="4059"/>
      <c r="BC2033" s="4059"/>
      <c r="BD2033" s="4059"/>
      <c r="BE2033" s="4059"/>
      <c r="BF2033" s="4059"/>
      <c r="BG2033" s="4059"/>
      <c r="BH2033" s="4059"/>
      <c r="BI2033" s="4059"/>
      <c r="BJ2033" s="4059"/>
      <c r="BK2033" s="4059"/>
      <c r="BL2033" s="4059"/>
      <c r="BM2033" s="4059"/>
      <c r="BN2033" s="4059">
        <f>4940100*0.25</f>
        <v>1235025</v>
      </c>
      <c r="BO2033" s="4059"/>
      <c r="BP2033" s="4059"/>
      <c r="BQ2033" s="4059"/>
      <c r="BR2033" s="4059"/>
      <c r="BS2033" s="4059"/>
      <c r="BT2033" s="4059"/>
      <c r="BU2033" s="4059"/>
      <c r="BV2033" s="4059"/>
      <c r="BW2033" s="4059"/>
      <c r="BX2033" s="4059"/>
      <c r="BY2033" s="4059"/>
      <c r="BZ2033" s="4059"/>
      <c r="CA2033" s="4059"/>
      <c r="CB2033" s="4059">
        <v>1235025</v>
      </c>
      <c r="CC2033" s="3057"/>
      <c r="CD2033" s="3057"/>
      <c r="CE2033" s="6781"/>
      <c r="CF2033" s="6781"/>
      <c r="CG2033" s="6781"/>
      <c r="CH2033" s="6781"/>
    </row>
    <row r="2034" s="4990" customFormat="1" ht="76" spans="1:86">
      <c r="A2034" s="3057"/>
      <c r="B2034" s="590"/>
      <c r="C2034" s="3057"/>
      <c r="D2034" s="6123"/>
      <c r="E2034" s="4184"/>
      <c r="F2034" s="6123"/>
      <c r="G2034" s="6123"/>
      <c r="H2034" s="4185"/>
      <c r="I2034" s="6123"/>
      <c r="J2034" s="1125"/>
      <c r="K2034" s="5056"/>
      <c r="L2034" s="5072"/>
      <c r="M2034" s="4185"/>
      <c r="N2034" s="6851"/>
      <c r="O2034" s="6851"/>
      <c r="P2034" s="6851"/>
      <c r="Q2034" s="6851"/>
      <c r="R2034" s="6851"/>
      <c r="S2034" s="6851"/>
      <c r="T2034" s="6851"/>
      <c r="U2034" s="6851"/>
      <c r="V2034" s="6851"/>
      <c r="W2034" s="6851"/>
      <c r="X2034" s="6851"/>
      <c r="Y2034" s="6851"/>
      <c r="Z2034" s="6851"/>
      <c r="AA2034" s="6851"/>
      <c r="AB2034" s="6814"/>
      <c r="AC2034" s="1082">
        <v>5</v>
      </c>
      <c r="AD2034" s="1082" t="s">
        <v>2089</v>
      </c>
      <c r="AE2034" s="1082" t="s">
        <v>3578</v>
      </c>
      <c r="AF2034" s="6860">
        <f>4940100*0.05</f>
        <v>247005</v>
      </c>
      <c r="AG2034" s="4059">
        <f t="shared" si="448"/>
        <v>0</v>
      </c>
      <c r="AH2034" s="4059"/>
      <c r="AI2034" s="4059"/>
      <c r="AJ2034" s="6781"/>
      <c r="AK2034" s="4059"/>
      <c r="AL2034" s="4059"/>
      <c r="AM2034" s="4059"/>
      <c r="AN2034" s="4059"/>
      <c r="AO2034" s="4059"/>
      <c r="AP2034" s="4059"/>
      <c r="AQ2034" s="5072"/>
      <c r="AR2034" s="5057"/>
      <c r="AS2034" s="5057"/>
      <c r="AT2034" s="4059"/>
      <c r="AU2034" s="5123"/>
      <c r="AV2034" s="5123"/>
      <c r="AW2034" s="5123"/>
      <c r="AX2034" s="5123"/>
      <c r="AY2034" s="5123"/>
      <c r="AZ2034" s="5123"/>
      <c r="BA2034" s="4059"/>
      <c r="BB2034" s="4059"/>
      <c r="BC2034" s="4059"/>
      <c r="BD2034" s="4059"/>
      <c r="BE2034" s="4059"/>
      <c r="BF2034" s="4059"/>
      <c r="BG2034" s="4059"/>
      <c r="BH2034" s="4059"/>
      <c r="BI2034" s="4059"/>
      <c r="BJ2034" s="4059"/>
      <c r="BK2034" s="4059"/>
      <c r="BL2034" s="4059"/>
      <c r="BM2034" s="4059"/>
      <c r="BN2034" s="4059"/>
      <c r="BO2034" s="4059"/>
      <c r="BP2034" s="4059"/>
      <c r="BQ2034" s="4059"/>
      <c r="BR2034" s="4059"/>
      <c r="BS2034" s="4059"/>
      <c r="BT2034" s="4059"/>
      <c r="BU2034" s="4059"/>
      <c r="BV2034" s="4059"/>
      <c r="BW2034" s="4059"/>
      <c r="BX2034" s="4059"/>
      <c r="BY2034" s="4059"/>
      <c r="BZ2034" s="4059"/>
      <c r="CA2034" s="4059"/>
      <c r="CB2034" s="4059"/>
      <c r="CC2034" s="3057"/>
      <c r="CD2034" s="3057"/>
      <c r="CE2034" s="6781"/>
      <c r="CF2034" s="6781"/>
      <c r="CG2034" s="6781"/>
      <c r="CH2034" s="6781"/>
    </row>
    <row r="2035" s="4995" customFormat="1" ht="61" spans="1:86">
      <c r="A2035" s="2957"/>
      <c r="B2035" s="906"/>
      <c r="C2035" s="4184">
        <v>45239</v>
      </c>
      <c r="D2035" s="5421"/>
      <c r="E2035" s="5371"/>
      <c r="F2035" s="5421"/>
      <c r="G2035" s="5421"/>
      <c r="H2035" s="905" t="s">
        <v>3579</v>
      </c>
      <c r="I2035" s="6123"/>
      <c r="J2035" s="440" t="s">
        <v>3571</v>
      </c>
      <c r="K2035" s="5196">
        <v>200203.39</v>
      </c>
      <c r="L2035" s="5370" t="s">
        <v>3580</v>
      </c>
      <c r="M2035" s="3245">
        <f>SUM(N2035:AA2046)</f>
        <v>2169080.84</v>
      </c>
      <c r="N2035" s="6849"/>
      <c r="O2035" s="6849"/>
      <c r="P2035" s="6849"/>
      <c r="Q2035" s="6849"/>
      <c r="R2035" s="6849"/>
      <c r="S2035" s="6849"/>
      <c r="T2035" s="6849"/>
      <c r="U2035" s="6849"/>
      <c r="V2035" s="6849"/>
      <c r="W2035" s="6849"/>
      <c r="X2035" s="6849"/>
      <c r="Y2035" s="6849"/>
      <c r="Z2035" s="6849"/>
      <c r="AA2035" s="6849">
        <v>2169080.84</v>
      </c>
      <c r="AB2035" s="6854" t="s">
        <v>3581</v>
      </c>
      <c r="AC2035" s="6816">
        <v>1</v>
      </c>
      <c r="AD2035" s="2096" t="s">
        <v>2093</v>
      </c>
      <c r="AE2035" s="2096" t="s">
        <v>3582</v>
      </c>
      <c r="AF2035" s="2957">
        <f>(893260+780244)*0.1</f>
        <v>167350.4</v>
      </c>
      <c r="AG2035" s="2957">
        <f t="shared" si="448"/>
        <v>167350.4</v>
      </c>
      <c r="AH2035" s="600" t="s">
        <v>122</v>
      </c>
      <c r="AI2035" s="600">
        <v>45369</v>
      </c>
      <c r="AJ2035" s="2957">
        <v>167350.4</v>
      </c>
      <c r="AK2035" s="600">
        <v>45369</v>
      </c>
      <c r="AL2035" s="2957">
        <v>167350.4</v>
      </c>
      <c r="AM2035" s="2957">
        <v>45369</v>
      </c>
      <c r="AN2035" s="2957">
        <f>SUBTOTAL(9,BO2035:CB2035)</f>
        <v>167350.4</v>
      </c>
      <c r="AO2035" s="2957">
        <v>45379</v>
      </c>
      <c r="AP2035" s="5395"/>
      <c r="AQ2035" s="5370" t="s">
        <v>3583</v>
      </c>
      <c r="AR2035" s="6832"/>
      <c r="AS2035" s="6832"/>
      <c r="AT2035" s="5395"/>
      <c r="AU2035" s="5123"/>
      <c r="AV2035" s="5123"/>
      <c r="AW2035" s="5123"/>
      <c r="AX2035" s="5123"/>
      <c r="AY2035" s="5123"/>
      <c r="AZ2035" s="5123"/>
      <c r="BA2035" s="2957"/>
      <c r="BB2035" s="2957"/>
      <c r="BC2035" s="2957"/>
      <c r="BD2035" s="2957"/>
      <c r="BE2035" s="2957"/>
      <c r="BF2035" s="2957"/>
      <c r="BG2035" s="2957"/>
      <c r="BH2035" s="2957"/>
      <c r="BI2035" s="2957"/>
      <c r="BJ2035" s="2957"/>
      <c r="BK2035" s="2957"/>
      <c r="BL2035" s="2957"/>
      <c r="BM2035" s="2957"/>
      <c r="BN2035" s="2957">
        <v>167350.4</v>
      </c>
      <c r="BO2035" s="2957"/>
      <c r="BP2035" s="2957"/>
      <c r="BQ2035" s="2957"/>
      <c r="BR2035" s="2957"/>
      <c r="BS2035" s="2957"/>
      <c r="BT2035" s="2957"/>
      <c r="BU2035" s="2957"/>
      <c r="BV2035" s="2957"/>
      <c r="BW2035" s="2957"/>
      <c r="BX2035" s="2957"/>
      <c r="BY2035" s="2957"/>
      <c r="BZ2035" s="2957"/>
      <c r="CA2035" s="2957"/>
      <c r="CB2035" s="2957">
        <v>167350.4</v>
      </c>
      <c r="CC2035" s="2957"/>
      <c r="CD2035" s="2957"/>
      <c r="CE2035" s="6812"/>
      <c r="CF2035" s="6812"/>
      <c r="CG2035" s="6812"/>
      <c r="CH2035" s="6812"/>
    </row>
    <row r="2036" s="4995" customFormat="1" ht="46.5" customHeight="1" spans="1:86">
      <c r="A2036" s="2957"/>
      <c r="B2036" s="906"/>
      <c r="C2036" s="4184"/>
      <c r="D2036" s="5421"/>
      <c r="E2036" s="5371"/>
      <c r="F2036" s="5421"/>
      <c r="G2036" s="5421"/>
      <c r="H2036" s="5371"/>
      <c r="I2036" s="6123"/>
      <c r="J2036" s="440"/>
      <c r="K2036" s="5196"/>
      <c r="L2036" s="5372"/>
      <c r="M2036" s="5371"/>
      <c r="N2036" s="6850"/>
      <c r="O2036" s="6850"/>
      <c r="P2036" s="6850"/>
      <c r="Q2036" s="6850"/>
      <c r="R2036" s="6850"/>
      <c r="S2036" s="6850"/>
      <c r="T2036" s="6850"/>
      <c r="U2036" s="6850"/>
      <c r="V2036" s="6850"/>
      <c r="W2036" s="6850"/>
      <c r="X2036" s="6850"/>
      <c r="Y2036" s="6850"/>
      <c r="Z2036" s="6850"/>
      <c r="AA2036" s="6850"/>
      <c r="AB2036" s="6855"/>
      <c r="AC2036" s="6816">
        <v>2</v>
      </c>
      <c r="AD2036" s="2096" t="s">
        <v>2034</v>
      </c>
      <c r="AE2036" s="2096" t="s">
        <v>3584</v>
      </c>
      <c r="AF2036" s="2957">
        <f>893260*0.4</f>
        <v>357304</v>
      </c>
      <c r="AG2036" s="2957">
        <f t="shared" si="448"/>
        <v>357304</v>
      </c>
      <c r="AH2036" s="600" t="s">
        <v>122</v>
      </c>
      <c r="AI2036" s="600">
        <v>45369</v>
      </c>
      <c r="AJ2036" s="2957">
        <v>357304</v>
      </c>
      <c r="AK2036" s="600">
        <v>45369</v>
      </c>
      <c r="AL2036" s="2957">
        <v>357304</v>
      </c>
      <c r="AM2036" s="2957">
        <v>45369</v>
      </c>
      <c r="AN2036" s="2957">
        <f>SUBTOTAL(9,BO2036:CB2036)</f>
        <v>357304</v>
      </c>
      <c r="AO2036" s="2957">
        <v>45379</v>
      </c>
      <c r="AP2036" s="5395"/>
      <c r="AQ2036" s="5372"/>
      <c r="AR2036" s="6832"/>
      <c r="AS2036" s="6832"/>
      <c r="AT2036" s="5395"/>
      <c r="AU2036" s="5123"/>
      <c r="AV2036" s="5123"/>
      <c r="AW2036" s="5123"/>
      <c r="AX2036" s="5123"/>
      <c r="AY2036" s="5123"/>
      <c r="AZ2036" s="5123"/>
      <c r="BA2036" s="2957"/>
      <c r="BB2036" s="2957"/>
      <c r="BC2036" s="2957"/>
      <c r="BD2036" s="2957"/>
      <c r="BE2036" s="2957"/>
      <c r="BF2036" s="2957"/>
      <c r="BG2036" s="2957"/>
      <c r="BH2036" s="2957"/>
      <c r="BI2036" s="2957"/>
      <c r="BJ2036" s="2957"/>
      <c r="BK2036" s="2957"/>
      <c r="BL2036" s="2957"/>
      <c r="BM2036" s="2957"/>
      <c r="BN2036" s="2957">
        <v>357304</v>
      </c>
      <c r="BO2036" s="2957"/>
      <c r="BP2036" s="2957"/>
      <c r="BQ2036" s="2957"/>
      <c r="BR2036" s="2957"/>
      <c r="BS2036" s="2957"/>
      <c r="BT2036" s="2957"/>
      <c r="BU2036" s="2957"/>
      <c r="BV2036" s="2957"/>
      <c r="BW2036" s="2957"/>
      <c r="BX2036" s="2957"/>
      <c r="BY2036" s="2957"/>
      <c r="BZ2036" s="2957"/>
      <c r="CA2036" s="2957"/>
      <c r="CB2036" s="2957">
        <v>357304</v>
      </c>
      <c r="CC2036" s="2957"/>
      <c r="CD2036" s="2957"/>
      <c r="CE2036" s="6812"/>
      <c r="CF2036" s="6812"/>
      <c r="CG2036" s="6812"/>
      <c r="CH2036" s="6812"/>
    </row>
    <row r="2037" s="4995" customFormat="1" ht="61" spans="1:86">
      <c r="A2037" s="2957"/>
      <c r="B2037" s="906"/>
      <c r="C2037" s="4184"/>
      <c r="D2037" s="5421"/>
      <c r="E2037" s="5371"/>
      <c r="F2037" s="5421"/>
      <c r="G2037" s="5421"/>
      <c r="H2037" s="5371"/>
      <c r="I2037" s="6123"/>
      <c r="J2037" s="440"/>
      <c r="K2037" s="5196"/>
      <c r="L2037" s="5372"/>
      <c r="M2037" s="5371"/>
      <c r="N2037" s="6850"/>
      <c r="O2037" s="6850"/>
      <c r="P2037" s="6850"/>
      <c r="Q2037" s="6850"/>
      <c r="R2037" s="6850"/>
      <c r="S2037" s="6850"/>
      <c r="T2037" s="6850"/>
      <c r="U2037" s="6850"/>
      <c r="V2037" s="6850"/>
      <c r="W2037" s="6850"/>
      <c r="X2037" s="6850"/>
      <c r="Y2037" s="6850"/>
      <c r="Z2037" s="6850"/>
      <c r="AA2037" s="6850"/>
      <c r="AB2037" s="6855"/>
      <c r="AC2037" s="5196">
        <v>3</v>
      </c>
      <c r="AD2037" s="6861" t="s">
        <v>2037</v>
      </c>
      <c r="AE2037" s="441" t="s">
        <v>3585</v>
      </c>
      <c r="AF2037" s="2957">
        <f>893260*0.3</f>
        <v>267978</v>
      </c>
      <c r="AG2037" s="5471">
        <f t="shared" si="448"/>
        <v>267978</v>
      </c>
      <c r="AH2037" s="600" t="s">
        <v>122</v>
      </c>
      <c r="AI2037" s="600">
        <v>45602</v>
      </c>
      <c r="AJ2037" s="2957">
        <v>267978</v>
      </c>
      <c r="AK2037" s="600">
        <v>45602</v>
      </c>
      <c r="AL2037" s="5471">
        <v>267978</v>
      </c>
      <c r="AM2037" s="2957">
        <v>45604</v>
      </c>
      <c r="AN2037" s="5471">
        <f t="shared" ref="AN2037:AN2045" si="449">SUBTOTAL(9,BO2037:CB2037)</f>
        <v>267978</v>
      </c>
      <c r="AO2037" s="2957">
        <v>45623</v>
      </c>
      <c r="AP2037" s="5394"/>
      <c r="AQ2037" s="5372"/>
      <c r="AR2037" s="6832"/>
      <c r="AS2037" s="6832"/>
      <c r="AT2037" s="5395"/>
      <c r="AU2037" s="5123"/>
      <c r="AV2037" s="5123"/>
      <c r="AW2037" s="5123"/>
      <c r="AX2037" s="5123"/>
      <c r="AY2037" s="5123"/>
      <c r="AZ2037" s="5123"/>
      <c r="BA2037" s="5395"/>
      <c r="BB2037" s="5395"/>
      <c r="BC2037" s="5395"/>
      <c r="BD2037" s="5395"/>
      <c r="BE2037" s="5395"/>
      <c r="BF2037" s="5395"/>
      <c r="BG2037" s="5395"/>
      <c r="BH2037" s="5395"/>
      <c r="BI2037" s="5395"/>
      <c r="BJ2037" s="5395"/>
      <c r="BK2037" s="5395"/>
      <c r="BL2037" s="5395"/>
      <c r="BM2037" s="5395"/>
      <c r="BN2037" s="2957">
        <v>267978</v>
      </c>
      <c r="BO2037" s="5395"/>
      <c r="BP2037" s="5395"/>
      <c r="BQ2037" s="5395"/>
      <c r="BR2037" s="5395"/>
      <c r="BS2037" s="5395"/>
      <c r="BT2037" s="5395"/>
      <c r="BU2037" s="5395"/>
      <c r="BV2037" s="5395"/>
      <c r="BW2037" s="5395"/>
      <c r="BX2037" s="5395"/>
      <c r="BY2037" s="5395"/>
      <c r="BZ2037" s="5395"/>
      <c r="CA2037" s="5395"/>
      <c r="CB2037" s="5395">
        <v>267978</v>
      </c>
      <c r="CC2037" s="2957"/>
      <c r="CD2037" s="2957"/>
      <c r="CE2037" s="5169">
        <f>SUBTOTAL(9,BO2037:CB2037)</f>
        <v>267978</v>
      </c>
      <c r="CF2037" s="5169">
        <f>AN2037-CE2037</f>
        <v>0</v>
      </c>
      <c r="CG2037" s="6812"/>
      <c r="CH2037" s="6812"/>
    </row>
    <row r="2038" s="4995" customFormat="1" ht="24.75" customHeight="1" spans="1:86">
      <c r="A2038" s="2957"/>
      <c r="B2038" s="906"/>
      <c r="C2038" s="4184"/>
      <c r="D2038" s="5421"/>
      <c r="E2038" s="5371"/>
      <c r="F2038" s="5421"/>
      <c r="G2038" s="5421"/>
      <c r="H2038" s="5371"/>
      <c r="I2038" s="6123"/>
      <c r="J2038" s="440"/>
      <c r="K2038" s="5196"/>
      <c r="L2038" s="5372"/>
      <c r="M2038" s="5371"/>
      <c r="N2038" s="6850"/>
      <c r="O2038" s="6850"/>
      <c r="P2038" s="6850"/>
      <c r="Q2038" s="6850"/>
      <c r="R2038" s="6850"/>
      <c r="S2038" s="6850"/>
      <c r="T2038" s="6850"/>
      <c r="U2038" s="6850"/>
      <c r="V2038" s="6850"/>
      <c r="W2038" s="6850"/>
      <c r="X2038" s="6850"/>
      <c r="Y2038" s="6850"/>
      <c r="Z2038" s="6850"/>
      <c r="AA2038" s="6850"/>
      <c r="AB2038" s="6855"/>
      <c r="AC2038" s="6816">
        <v>4</v>
      </c>
      <c r="AD2038" s="2096" t="s">
        <v>2040</v>
      </c>
      <c r="AE2038" s="2096" t="s">
        <v>3586</v>
      </c>
      <c r="AF2038" s="3245">
        <f>893260*0.15</f>
        <v>133989</v>
      </c>
      <c r="AG2038" s="2957">
        <f t="shared" si="448"/>
        <v>105765.45</v>
      </c>
      <c r="AH2038" s="600" t="s">
        <v>122</v>
      </c>
      <c r="AI2038" s="2957">
        <v>45789</v>
      </c>
      <c r="AJ2038" s="2957">
        <f>SUBTOTAL(9,BJ2038:BW2038)</f>
        <v>105765.45</v>
      </c>
      <c r="AK2038" s="2957">
        <v>45789</v>
      </c>
      <c r="AL2038" s="2957">
        <f>SUBTOTAL(9,BL2038:BY2038)</f>
        <v>105765.45</v>
      </c>
      <c r="AM2038" s="2957">
        <v>45791</v>
      </c>
      <c r="AN2038" s="2957">
        <f t="shared" si="449"/>
        <v>105765.45</v>
      </c>
      <c r="AO2038" s="2957">
        <v>45805</v>
      </c>
      <c r="AP2038" s="5395"/>
      <c r="AQ2038" s="5372"/>
      <c r="AR2038" s="6832"/>
      <c r="AS2038" s="6832"/>
      <c r="AT2038" s="5395"/>
      <c r="AU2038" s="5123"/>
      <c r="AV2038" s="5123"/>
      <c r="AW2038" s="5123"/>
      <c r="AX2038" s="5123"/>
      <c r="AY2038" s="5123"/>
      <c r="AZ2038" s="5123"/>
      <c r="BA2038" s="5395"/>
      <c r="BB2038" s="5395"/>
      <c r="BC2038" s="5395"/>
      <c r="BD2038" s="5395"/>
      <c r="BE2038" s="5395"/>
      <c r="BF2038" s="5395"/>
      <c r="BG2038" s="5395"/>
      <c r="BH2038" s="5395"/>
      <c r="BI2038" s="5395"/>
      <c r="BJ2038" s="5395"/>
      <c r="BK2038" s="5395"/>
      <c r="BL2038" s="5395"/>
      <c r="BM2038" s="5395"/>
      <c r="BN2038" s="2957">
        <v>105765.45</v>
      </c>
      <c r="BO2038" s="5395"/>
      <c r="BP2038" s="5395"/>
      <c r="BQ2038" s="5395"/>
      <c r="BR2038" s="5395"/>
      <c r="BS2038" s="5395"/>
      <c r="BT2038" s="5395"/>
      <c r="BU2038" s="5395"/>
      <c r="BV2038" s="5395"/>
      <c r="BW2038" s="5395"/>
      <c r="BX2038" s="5395"/>
      <c r="BY2038" s="5395"/>
      <c r="BZ2038" s="5395"/>
      <c r="CA2038" s="5395"/>
      <c r="CB2038" s="5395">
        <v>105765.45</v>
      </c>
      <c r="CC2038" s="2957"/>
      <c r="CD2038" s="2957"/>
      <c r="CE2038" s="5169">
        <f>SUBTOTAL(9,BO2038:CB2038)</f>
        <v>105765.45</v>
      </c>
      <c r="CF2038" s="5169">
        <f>AN2038-CE2038</f>
        <v>0</v>
      </c>
      <c r="CG2038" s="6812"/>
      <c r="CH2038" s="6812"/>
    </row>
    <row r="2039" s="4995" customFormat="1" ht="25.5" customHeight="1" spans="1:86">
      <c r="A2039" s="2957"/>
      <c r="B2039" s="906"/>
      <c r="C2039" s="4184"/>
      <c r="D2039" s="5421"/>
      <c r="E2039" s="5371"/>
      <c r="F2039" s="5421"/>
      <c r="G2039" s="5421"/>
      <c r="H2039" s="5371"/>
      <c r="I2039" s="6123"/>
      <c r="J2039" s="440"/>
      <c r="K2039" s="5196"/>
      <c r="L2039" s="5372"/>
      <c r="M2039" s="5371"/>
      <c r="N2039" s="6850"/>
      <c r="O2039" s="6850"/>
      <c r="P2039" s="6850"/>
      <c r="Q2039" s="6850"/>
      <c r="R2039" s="6850"/>
      <c r="S2039" s="6850"/>
      <c r="T2039" s="6850"/>
      <c r="U2039" s="6850"/>
      <c r="V2039" s="6850"/>
      <c r="W2039" s="6850"/>
      <c r="X2039" s="6850"/>
      <c r="Y2039" s="6850"/>
      <c r="Z2039" s="6850"/>
      <c r="AA2039" s="6850"/>
      <c r="AB2039" s="6855"/>
      <c r="AC2039" s="5373"/>
      <c r="AD2039" s="2098"/>
      <c r="AE2039" s="2098"/>
      <c r="AF2039" s="3244"/>
      <c r="AG2039" s="2957">
        <f t="shared" si="448"/>
        <v>28223.55</v>
      </c>
      <c r="AH2039" s="600" t="s">
        <v>122</v>
      </c>
      <c r="AI2039" s="2957">
        <v>45995</v>
      </c>
      <c r="AJ2039" s="2957">
        <v>28223.55</v>
      </c>
      <c r="AK2039" s="2957">
        <v>45995</v>
      </c>
      <c r="AL2039" s="5395"/>
      <c r="AM2039" s="5395"/>
      <c r="AN2039" s="5395">
        <f t="shared" si="449"/>
        <v>28223.55</v>
      </c>
      <c r="AO2039" s="5394">
        <v>46021</v>
      </c>
      <c r="AP2039" s="5395"/>
      <c r="AQ2039" s="5372"/>
      <c r="AR2039" s="6832"/>
      <c r="AS2039" s="6832"/>
      <c r="AT2039" s="5395"/>
      <c r="AU2039" s="5123"/>
      <c r="AV2039" s="5123"/>
      <c r="AW2039" s="5123"/>
      <c r="AX2039" s="5123"/>
      <c r="AY2039" s="5123"/>
      <c r="AZ2039" s="5123"/>
      <c r="BA2039" s="5395"/>
      <c r="BB2039" s="5395"/>
      <c r="BC2039" s="5395"/>
      <c r="BD2039" s="5395"/>
      <c r="BE2039" s="5395"/>
      <c r="BF2039" s="5395"/>
      <c r="BG2039" s="5395"/>
      <c r="BH2039" s="5395"/>
      <c r="BI2039" s="5395"/>
      <c r="BJ2039" s="5395"/>
      <c r="BK2039" s="5395"/>
      <c r="BL2039" s="5395"/>
      <c r="BM2039" s="5395"/>
      <c r="BN2039" s="5395">
        <f>133989-BN2038</f>
        <v>28223.55</v>
      </c>
      <c r="BO2039" s="5395"/>
      <c r="BP2039" s="5395"/>
      <c r="BQ2039" s="5395"/>
      <c r="BR2039" s="5395"/>
      <c r="BS2039" s="5395"/>
      <c r="BT2039" s="5395"/>
      <c r="BU2039" s="5395"/>
      <c r="BV2039" s="5395"/>
      <c r="BW2039" s="5395"/>
      <c r="BX2039" s="5395"/>
      <c r="BY2039" s="5395"/>
      <c r="BZ2039" s="5395"/>
      <c r="CA2039" s="5395"/>
      <c r="CB2039" s="5395">
        <f>133989-CB2038</f>
        <v>28223.55</v>
      </c>
      <c r="CC2039" s="2957"/>
      <c r="CD2039" s="2957"/>
      <c r="CE2039" s="5169"/>
      <c r="CF2039" s="5169"/>
      <c r="CG2039" s="6812"/>
      <c r="CH2039" s="6812"/>
    </row>
    <row r="2040" s="4995" customFormat="1" ht="61" spans="1:86">
      <c r="A2040" s="2957"/>
      <c r="B2040" s="906"/>
      <c r="C2040" s="4184"/>
      <c r="D2040" s="5421"/>
      <c r="E2040" s="5371"/>
      <c r="F2040" s="5421"/>
      <c r="G2040" s="5421"/>
      <c r="H2040" s="5371"/>
      <c r="I2040" s="6123"/>
      <c r="J2040" s="440"/>
      <c r="K2040" s="5196"/>
      <c r="L2040" s="5372"/>
      <c r="M2040" s="5371"/>
      <c r="N2040" s="6850"/>
      <c r="O2040" s="6850"/>
      <c r="P2040" s="6850"/>
      <c r="Q2040" s="6850"/>
      <c r="R2040" s="6850"/>
      <c r="S2040" s="6850"/>
      <c r="T2040" s="6850"/>
      <c r="U2040" s="6850"/>
      <c r="V2040" s="6850"/>
      <c r="W2040" s="6850"/>
      <c r="X2040" s="6850"/>
      <c r="Y2040" s="6850"/>
      <c r="Z2040" s="6850"/>
      <c r="AA2040" s="6850"/>
      <c r="AB2040" s="6855"/>
      <c r="AC2040" s="5196">
        <v>5</v>
      </c>
      <c r="AD2040" s="6861" t="s">
        <v>2043</v>
      </c>
      <c r="AE2040" s="441" t="s">
        <v>3587</v>
      </c>
      <c r="AF2040" s="2957">
        <f>780244*0.15</f>
        <v>117036.6</v>
      </c>
      <c r="AG2040" s="2957">
        <f t="shared" ref="AG2040:AG2045" si="450">SUBTOTAL(9,BA2040:BN2040)</f>
        <v>117036.6</v>
      </c>
      <c r="AH2040" s="600" t="s">
        <v>122</v>
      </c>
      <c r="AI2040" s="2957">
        <v>45407</v>
      </c>
      <c r="AJ2040" s="2957">
        <v>117036.6</v>
      </c>
      <c r="AK2040" s="2957">
        <v>45407</v>
      </c>
      <c r="AL2040" s="2957">
        <v>117036.6</v>
      </c>
      <c r="AM2040" s="2957">
        <v>45408</v>
      </c>
      <c r="AN2040" s="2957">
        <f t="shared" si="449"/>
        <v>117036.6</v>
      </c>
      <c r="AO2040" s="2957">
        <v>45433</v>
      </c>
      <c r="AP2040" s="5395"/>
      <c r="AQ2040" s="5372"/>
      <c r="AR2040" s="6832"/>
      <c r="AS2040" s="6832"/>
      <c r="AT2040" s="5395"/>
      <c r="AU2040" s="5123"/>
      <c r="AV2040" s="5123"/>
      <c r="AW2040" s="5123"/>
      <c r="AX2040" s="5123"/>
      <c r="AY2040" s="5123"/>
      <c r="AZ2040" s="5123"/>
      <c r="BA2040" s="5395"/>
      <c r="BB2040" s="2957"/>
      <c r="BC2040" s="2957"/>
      <c r="BD2040" s="2957"/>
      <c r="BE2040" s="2957"/>
      <c r="BF2040" s="2957"/>
      <c r="BG2040" s="2957"/>
      <c r="BH2040" s="2957"/>
      <c r="BI2040" s="2957"/>
      <c r="BJ2040" s="2957"/>
      <c r="BK2040" s="2957"/>
      <c r="BL2040" s="2957"/>
      <c r="BM2040" s="2957"/>
      <c r="BN2040" s="2957">
        <v>117036.6</v>
      </c>
      <c r="BO2040" s="2957"/>
      <c r="BP2040" s="2957"/>
      <c r="BQ2040" s="2957"/>
      <c r="BR2040" s="2957"/>
      <c r="BS2040" s="2957"/>
      <c r="BT2040" s="2957"/>
      <c r="BU2040" s="2957"/>
      <c r="BV2040" s="2957"/>
      <c r="BW2040" s="2957"/>
      <c r="BX2040" s="2957"/>
      <c r="BY2040" s="2957"/>
      <c r="BZ2040" s="2957"/>
      <c r="CA2040" s="2957"/>
      <c r="CB2040" s="2957">
        <v>117036.6</v>
      </c>
      <c r="CC2040" s="2957"/>
      <c r="CD2040" s="2957"/>
      <c r="CE2040" s="6812"/>
      <c r="CF2040" s="6812"/>
      <c r="CG2040" s="6812"/>
      <c r="CH2040" s="6812"/>
    </row>
    <row r="2041" s="4995" customFormat="1" ht="61" spans="1:86">
      <c r="A2041" s="2957"/>
      <c r="B2041" s="906"/>
      <c r="C2041" s="4184"/>
      <c r="D2041" s="5421"/>
      <c r="E2041" s="5371"/>
      <c r="F2041" s="5421"/>
      <c r="G2041" s="5421"/>
      <c r="H2041" s="5371"/>
      <c r="I2041" s="6123"/>
      <c r="J2041" s="440"/>
      <c r="K2041" s="5196"/>
      <c r="L2041" s="5372"/>
      <c r="M2041" s="5371"/>
      <c r="N2041" s="6850"/>
      <c r="O2041" s="6850"/>
      <c r="P2041" s="6850"/>
      <c r="Q2041" s="6850"/>
      <c r="R2041" s="6850"/>
      <c r="S2041" s="6850"/>
      <c r="T2041" s="6850"/>
      <c r="U2041" s="6850"/>
      <c r="V2041" s="6850"/>
      <c r="W2041" s="6850"/>
      <c r="X2041" s="6850"/>
      <c r="Y2041" s="6850"/>
      <c r="Z2041" s="6850"/>
      <c r="AA2041" s="6850"/>
      <c r="AB2041" s="6855"/>
      <c r="AC2041" s="5196">
        <v>6</v>
      </c>
      <c r="AD2041" s="6861" t="s">
        <v>2046</v>
      </c>
      <c r="AE2041" s="441" t="s">
        <v>3588</v>
      </c>
      <c r="AF2041" s="2957">
        <f>780244*0.2</f>
        <v>156048.8</v>
      </c>
      <c r="AG2041" s="5471">
        <f t="shared" si="450"/>
        <v>156048.8</v>
      </c>
      <c r="AH2041" s="440" t="s">
        <v>122</v>
      </c>
      <c r="AI2041" s="2957">
        <v>45602</v>
      </c>
      <c r="AJ2041" s="2957">
        <v>156048.8</v>
      </c>
      <c r="AK2041" s="2957">
        <v>45602</v>
      </c>
      <c r="AL2041" s="5471">
        <v>156048.8</v>
      </c>
      <c r="AM2041" s="2957">
        <v>45604</v>
      </c>
      <c r="AN2041" s="5471">
        <f t="shared" si="449"/>
        <v>156048.8</v>
      </c>
      <c r="AO2041" s="2957">
        <v>45623</v>
      </c>
      <c r="AP2041" s="5395"/>
      <c r="AQ2041" s="5372"/>
      <c r="AR2041" s="6832"/>
      <c r="AS2041" s="6832"/>
      <c r="AT2041" s="5395"/>
      <c r="AU2041" s="5123"/>
      <c r="AV2041" s="5123"/>
      <c r="AW2041" s="5123"/>
      <c r="AX2041" s="5123"/>
      <c r="AY2041" s="5123"/>
      <c r="AZ2041" s="5123"/>
      <c r="BA2041" s="5395"/>
      <c r="BB2041" s="5395"/>
      <c r="BC2041" s="5395"/>
      <c r="BD2041" s="5395"/>
      <c r="BE2041" s="5395"/>
      <c r="BF2041" s="5395"/>
      <c r="BG2041" s="5395"/>
      <c r="BH2041" s="5395"/>
      <c r="BI2041" s="5395"/>
      <c r="BJ2041" s="5395"/>
      <c r="BK2041" s="5395"/>
      <c r="BL2041" s="5395"/>
      <c r="BM2041" s="5395"/>
      <c r="BN2041" s="2957">
        <v>156048.8</v>
      </c>
      <c r="BO2041" s="5395"/>
      <c r="BP2041" s="5395"/>
      <c r="BQ2041" s="5395"/>
      <c r="BR2041" s="5395"/>
      <c r="BS2041" s="5395"/>
      <c r="BT2041" s="5395"/>
      <c r="BU2041" s="5395"/>
      <c r="BV2041" s="5395"/>
      <c r="BW2041" s="5395"/>
      <c r="BX2041" s="5395"/>
      <c r="BY2041" s="5395"/>
      <c r="BZ2041" s="5395"/>
      <c r="CA2041" s="5395"/>
      <c r="CB2041" s="5395">
        <v>156048.8</v>
      </c>
      <c r="CC2041" s="2957"/>
      <c r="CD2041" s="2957"/>
      <c r="CE2041" s="6812"/>
      <c r="CF2041" s="6812"/>
      <c r="CG2041" s="6812"/>
      <c r="CH2041" s="6812"/>
    </row>
    <row r="2042" s="4995" customFormat="1" ht="61" spans="1:86">
      <c r="A2042" s="2957"/>
      <c r="B2042" s="906"/>
      <c r="C2042" s="4184"/>
      <c r="D2042" s="5421"/>
      <c r="E2042" s="5371"/>
      <c r="F2042" s="5421"/>
      <c r="G2042" s="5421"/>
      <c r="H2042" s="5371"/>
      <c r="I2042" s="6123"/>
      <c r="J2042" s="440"/>
      <c r="K2042" s="5196"/>
      <c r="L2042" s="5372"/>
      <c r="M2042" s="5371"/>
      <c r="N2042" s="6850"/>
      <c r="O2042" s="6850"/>
      <c r="P2042" s="6850"/>
      <c r="Q2042" s="6850"/>
      <c r="R2042" s="6850"/>
      <c r="S2042" s="6850"/>
      <c r="T2042" s="6850"/>
      <c r="U2042" s="6850"/>
      <c r="V2042" s="6850"/>
      <c r="W2042" s="6850"/>
      <c r="X2042" s="6850"/>
      <c r="Y2042" s="6850"/>
      <c r="Z2042" s="6850"/>
      <c r="AA2042" s="6850"/>
      <c r="AB2042" s="6855"/>
      <c r="AC2042" s="5196">
        <v>7</v>
      </c>
      <c r="AD2042" s="6861" t="s">
        <v>2049</v>
      </c>
      <c r="AE2042" s="441" t="s">
        <v>3589</v>
      </c>
      <c r="AF2042" s="2957">
        <f>780244*0.15</f>
        <v>117036.6</v>
      </c>
      <c r="AG2042" s="2957">
        <f t="shared" si="450"/>
        <v>117036.6</v>
      </c>
      <c r="AH2042" s="600" t="s">
        <v>122</v>
      </c>
      <c r="AI2042" s="2957">
        <v>45995</v>
      </c>
      <c r="AJ2042" s="2957">
        <v>117036.6</v>
      </c>
      <c r="AK2042" s="2957">
        <v>45995</v>
      </c>
      <c r="AL2042" s="2957">
        <f t="shared" ref="AL2042:AL2045" si="451">SUBTOTAL(9,BF2042:BS2042)</f>
        <v>117036.6</v>
      </c>
      <c r="AM2042" s="2957">
        <v>45999</v>
      </c>
      <c r="AN2042" s="5395">
        <f t="shared" si="449"/>
        <v>117036.6</v>
      </c>
      <c r="AO2042" s="5394">
        <v>46021</v>
      </c>
      <c r="AP2042" s="5395"/>
      <c r="AQ2042" s="5372"/>
      <c r="AR2042" s="6832"/>
      <c r="AS2042" s="6832"/>
      <c r="AT2042" s="5395"/>
      <c r="AU2042" s="5123"/>
      <c r="AV2042" s="5123"/>
      <c r="AW2042" s="5123"/>
      <c r="AX2042" s="5123"/>
      <c r="AY2042" s="5123"/>
      <c r="AZ2042" s="5123"/>
      <c r="BA2042" s="5395"/>
      <c r="BB2042" s="5395"/>
      <c r="BC2042" s="5395"/>
      <c r="BD2042" s="5395"/>
      <c r="BE2042" s="5395"/>
      <c r="BF2042" s="5395"/>
      <c r="BG2042" s="5395"/>
      <c r="BH2042" s="5395"/>
      <c r="BI2042" s="5395"/>
      <c r="BJ2042" s="5395"/>
      <c r="BK2042" s="5395"/>
      <c r="BL2042" s="5395"/>
      <c r="BM2042" s="5395"/>
      <c r="BN2042" s="5395">
        <v>117036.6</v>
      </c>
      <c r="BO2042" s="5395"/>
      <c r="BP2042" s="5395"/>
      <c r="BQ2042" s="5395"/>
      <c r="BR2042" s="5395"/>
      <c r="BS2042" s="5395"/>
      <c r="BT2042" s="5395"/>
      <c r="BU2042" s="5395"/>
      <c r="BV2042" s="5395"/>
      <c r="BW2042" s="5395"/>
      <c r="BX2042" s="5395"/>
      <c r="BY2042" s="5395"/>
      <c r="BZ2042" s="5395"/>
      <c r="CA2042" s="5395"/>
      <c r="CB2042" s="5395">
        <v>117036.6</v>
      </c>
      <c r="CC2042" s="2957"/>
      <c r="CD2042" s="2957"/>
      <c r="CE2042" s="6812"/>
      <c r="CF2042" s="6812"/>
      <c r="CG2042" s="6812"/>
      <c r="CH2042" s="6812"/>
    </row>
    <row r="2043" s="4995" customFormat="1" ht="61" spans="1:86">
      <c r="A2043" s="2957"/>
      <c r="B2043" s="906"/>
      <c r="C2043" s="4184"/>
      <c r="D2043" s="5421"/>
      <c r="E2043" s="5371"/>
      <c r="F2043" s="5421"/>
      <c r="G2043" s="5421"/>
      <c r="H2043" s="5371"/>
      <c r="I2043" s="6123"/>
      <c r="J2043" s="440"/>
      <c r="K2043" s="5196"/>
      <c r="L2043" s="5372"/>
      <c r="M2043" s="5371"/>
      <c r="N2043" s="6850"/>
      <c r="O2043" s="6850"/>
      <c r="P2043" s="6850"/>
      <c r="Q2043" s="6850"/>
      <c r="R2043" s="6850"/>
      <c r="S2043" s="6850"/>
      <c r="T2043" s="6850"/>
      <c r="U2043" s="6850"/>
      <c r="V2043" s="6850"/>
      <c r="W2043" s="6850"/>
      <c r="X2043" s="6850"/>
      <c r="Y2043" s="6850"/>
      <c r="Z2043" s="6850"/>
      <c r="AA2043" s="6850"/>
      <c r="AB2043" s="6855"/>
      <c r="AC2043" s="5196">
        <v>8</v>
      </c>
      <c r="AD2043" s="6861" t="s">
        <v>2051</v>
      </c>
      <c r="AE2043" s="441" t="s">
        <v>3590</v>
      </c>
      <c r="AF2043" s="2957">
        <f>780244*0.2</f>
        <v>156048.8</v>
      </c>
      <c r="AG2043" s="2957">
        <f t="shared" si="450"/>
        <v>156048.8</v>
      </c>
      <c r="AH2043" s="600" t="s">
        <v>122</v>
      </c>
      <c r="AI2043" s="2957">
        <v>45995</v>
      </c>
      <c r="AJ2043" s="2957">
        <v>156048.8</v>
      </c>
      <c r="AK2043" s="2957">
        <v>45995</v>
      </c>
      <c r="AL2043" s="2957">
        <f t="shared" si="451"/>
        <v>156048.8</v>
      </c>
      <c r="AM2043" s="2957">
        <v>45999</v>
      </c>
      <c r="AN2043" s="5395">
        <f t="shared" si="449"/>
        <v>156048.8</v>
      </c>
      <c r="AO2043" s="5395">
        <v>46021</v>
      </c>
      <c r="AP2043" s="5395"/>
      <c r="AQ2043" s="5372"/>
      <c r="AR2043" s="6832"/>
      <c r="AS2043" s="6832"/>
      <c r="AT2043" s="5395"/>
      <c r="AU2043" s="5123"/>
      <c r="AV2043" s="5123"/>
      <c r="AW2043" s="5123"/>
      <c r="AX2043" s="5123"/>
      <c r="AY2043" s="5123"/>
      <c r="AZ2043" s="5123"/>
      <c r="BA2043" s="5395"/>
      <c r="BB2043" s="5395"/>
      <c r="BC2043" s="5395"/>
      <c r="BD2043" s="5395"/>
      <c r="BE2043" s="5395"/>
      <c r="BF2043" s="5395"/>
      <c r="BG2043" s="5395"/>
      <c r="BH2043" s="5395"/>
      <c r="BI2043" s="5395"/>
      <c r="BJ2043" s="5395"/>
      <c r="BK2043" s="5395"/>
      <c r="BL2043" s="5395"/>
      <c r="BM2043" s="5395"/>
      <c r="BN2043" s="5395">
        <v>156048.8</v>
      </c>
      <c r="BO2043" s="5395"/>
      <c r="BP2043" s="5395"/>
      <c r="BQ2043" s="5395"/>
      <c r="BR2043" s="5395"/>
      <c r="BS2043" s="5395"/>
      <c r="BT2043" s="5395"/>
      <c r="BU2043" s="5395"/>
      <c r="BV2043" s="5395"/>
      <c r="BW2043" s="5395"/>
      <c r="BX2043" s="5395"/>
      <c r="BY2043" s="5395"/>
      <c r="BZ2043" s="5395"/>
      <c r="CA2043" s="5395"/>
      <c r="CB2043" s="5395">
        <v>156048.8</v>
      </c>
      <c r="CC2043" s="2957"/>
      <c r="CD2043" s="2957"/>
      <c r="CE2043" s="6812"/>
      <c r="CF2043" s="6812"/>
      <c r="CG2043" s="6812"/>
      <c r="CH2043" s="6812"/>
    </row>
    <row r="2044" s="4995" customFormat="1" ht="61" spans="1:86">
      <c r="A2044" s="2957"/>
      <c r="B2044" s="906"/>
      <c r="C2044" s="4184"/>
      <c r="D2044" s="5421"/>
      <c r="E2044" s="5371"/>
      <c r="F2044" s="5421"/>
      <c r="G2044" s="5421"/>
      <c r="H2044" s="5371"/>
      <c r="I2044" s="6123"/>
      <c r="J2044" s="440"/>
      <c r="K2044" s="5196"/>
      <c r="L2044" s="5372"/>
      <c r="M2044" s="5371"/>
      <c r="N2044" s="6850"/>
      <c r="O2044" s="6850"/>
      <c r="P2044" s="6850"/>
      <c r="Q2044" s="6850"/>
      <c r="R2044" s="6850"/>
      <c r="S2044" s="6850"/>
      <c r="T2044" s="6850"/>
      <c r="U2044" s="6850"/>
      <c r="V2044" s="6850"/>
      <c r="W2044" s="6850"/>
      <c r="X2044" s="6850"/>
      <c r="Y2044" s="6850"/>
      <c r="Z2044" s="6850"/>
      <c r="AA2044" s="6850"/>
      <c r="AB2044" s="6855"/>
      <c r="AC2044" s="5196">
        <v>9</v>
      </c>
      <c r="AD2044" s="6861" t="s">
        <v>2053</v>
      </c>
      <c r="AE2044" s="441" t="s">
        <v>3591</v>
      </c>
      <c r="AF2044" s="2957">
        <f>780244*0.15</f>
        <v>117036.6</v>
      </c>
      <c r="AG2044" s="5395">
        <f t="shared" si="450"/>
        <v>117036.6</v>
      </c>
      <c r="AH2044" s="5394" t="s">
        <v>349</v>
      </c>
      <c r="AI2044" s="5395">
        <v>46203</v>
      </c>
      <c r="AJ2044" s="5395"/>
      <c r="AK2044" s="5395"/>
      <c r="AL2044" s="5395"/>
      <c r="AM2044" s="2957"/>
      <c r="AN2044" s="5395">
        <f t="shared" si="449"/>
        <v>117036.6</v>
      </c>
      <c r="AO2044" s="5395">
        <v>46386</v>
      </c>
      <c r="AP2044" s="5395"/>
      <c r="AQ2044" s="5372"/>
      <c r="AR2044" s="6832"/>
      <c r="AS2044" s="6832"/>
      <c r="AT2044" s="5395"/>
      <c r="AU2044" s="5123"/>
      <c r="AV2044" s="5123"/>
      <c r="AW2044" s="5123"/>
      <c r="AX2044" s="5123"/>
      <c r="AY2044" s="5123"/>
      <c r="AZ2044" s="5123"/>
      <c r="BA2044" s="5395"/>
      <c r="BB2044" s="5395"/>
      <c r="BC2044" s="5395"/>
      <c r="BD2044" s="5395"/>
      <c r="BE2044" s="5395"/>
      <c r="BF2044" s="5395"/>
      <c r="BG2044" s="5395"/>
      <c r="BH2044" s="5395"/>
      <c r="BI2044" s="5395"/>
      <c r="BJ2044" s="5395"/>
      <c r="BK2044" s="5395"/>
      <c r="BL2044" s="5395"/>
      <c r="BM2044" s="5395"/>
      <c r="BN2044" s="5395">
        <v>117036.6</v>
      </c>
      <c r="BO2044" s="5395"/>
      <c r="BP2044" s="5395"/>
      <c r="BQ2044" s="5395"/>
      <c r="BR2044" s="5395"/>
      <c r="BS2044" s="5395"/>
      <c r="BT2044" s="5395"/>
      <c r="BU2044" s="5395"/>
      <c r="BV2044" s="5395"/>
      <c r="BW2044" s="5395"/>
      <c r="BX2044" s="5395"/>
      <c r="BY2044" s="5395"/>
      <c r="BZ2044" s="5395"/>
      <c r="CA2044" s="5395"/>
      <c r="CB2044" s="5395">
        <v>117036.6</v>
      </c>
      <c r="CC2044" s="2957"/>
      <c r="CD2044" s="2957"/>
      <c r="CE2044" s="6812"/>
      <c r="CF2044" s="6812"/>
      <c r="CG2044" s="6812"/>
      <c r="CH2044" s="6812"/>
    </row>
    <row r="2045" s="4995" customFormat="1" ht="36.75" customHeight="1" spans="1:86">
      <c r="A2045" s="2957"/>
      <c r="B2045" s="906"/>
      <c r="C2045" s="4184"/>
      <c r="D2045" s="5421"/>
      <c r="E2045" s="5371"/>
      <c r="F2045" s="5421"/>
      <c r="G2045" s="5421"/>
      <c r="H2045" s="5371"/>
      <c r="I2045" s="6123"/>
      <c r="J2045" s="440"/>
      <c r="K2045" s="5196"/>
      <c r="L2045" s="5372"/>
      <c r="M2045" s="5371"/>
      <c r="N2045" s="6850"/>
      <c r="O2045" s="6850"/>
      <c r="P2045" s="6850"/>
      <c r="Q2045" s="6850"/>
      <c r="R2045" s="6850"/>
      <c r="S2045" s="6850"/>
      <c r="T2045" s="6850"/>
      <c r="U2045" s="6850"/>
      <c r="V2045" s="6850"/>
      <c r="W2045" s="6850"/>
      <c r="X2045" s="6850"/>
      <c r="Y2045" s="6850"/>
      <c r="Z2045" s="6850"/>
      <c r="AA2045" s="6850"/>
      <c r="AB2045" s="6855"/>
      <c r="AC2045" s="6816">
        <v>10</v>
      </c>
      <c r="AD2045" s="2096" t="s">
        <v>2055</v>
      </c>
      <c r="AE2045" s="2096" t="s">
        <v>3592</v>
      </c>
      <c r="AF2045" s="3245">
        <f>(893260+780244)*0.05</f>
        <v>83675.2</v>
      </c>
      <c r="AG2045" s="2957">
        <f t="shared" si="450"/>
        <v>44663</v>
      </c>
      <c r="AH2045" s="600" t="s">
        <v>122</v>
      </c>
      <c r="AI2045" s="2957">
        <v>45995</v>
      </c>
      <c r="AJ2045" s="2957">
        <v>44663</v>
      </c>
      <c r="AK2045" s="2957">
        <v>45995</v>
      </c>
      <c r="AL2045" s="2957">
        <f t="shared" si="451"/>
        <v>44663</v>
      </c>
      <c r="AM2045" s="2957">
        <v>45999</v>
      </c>
      <c r="AN2045" s="5395">
        <f t="shared" si="449"/>
        <v>44663</v>
      </c>
      <c r="AO2045" s="5395">
        <v>46021</v>
      </c>
      <c r="AP2045" s="5395"/>
      <c r="AQ2045" s="5372"/>
      <c r="AR2045" s="6832"/>
      <c r="AS2045" s="6832"/>
      <c r="AT2045" s="5395"/>
      <c r="AU2045" s="5123"/>
      <c r="AV2045" s="5123"/>
      <c r="AW2045" s="5123"/>
      <c r="AX2045" s="5123"/>
      <c r="AY2045" s="5123"/>
      <c r="AZ2045" s="5123"/>
      <c r="BA2045" s="5395"/>
      <c r="BB2045" s="5395"/>
      <c r="BC2045" s="5395"/>
      <c r="BD2045" s="5395"/>
      <c r="BE2045" s="5395"/>
      <c r="BF2045" s="5395"/>
      <c r="BG2045" s="5395"/>
      <c r="BH2045" s="5395"/>
      <c r="BI2045" s="5395"/>
      <c r="BJ2045" s="5395"/>
      <c r="BK2045" s="5395"/>
      <c r="BL2045" s="5395"/>
      <c r="BM2045" s="5395"/>
      <c r="BN2045" s="5395">
        <f>893260*0.05</f>
        <v>44663</v>
      </c>
      <c r="BO2045" s="5395"/>
      <c r="BP2045" s="5395"/>
      <c r="BQ2045" s="5395"/>
      <c r="BR2045" s="5395"/>
      <c r="BS2045" s="5395"/>
      <c r="BT2045" s="5395"/>
      <c r="BU2045" s="5395"/>
      <c r="BV2045" s="5395"/>
      <c r="BW2045" s="5395"/>
      <c r="BX2045" s="5395"/>
      <c r="BY2045" s="5395"/>
      <c r="BZ2045" s="5395"/>
      <c r="CA2045" s="5395"/>
      <c r="CB2045" s="5395">
        <f>893260*0.05</f>
        <v>44663</v>
      </c>
      <c r="CC2045" s="2957"/>
      <c r="CD2045" s="2957"/>
      <c r="CE2045" s="6812"/>
      <c r="CF2045" s="6812"/>
      <c r="CG2045" s="6812"/>
      <c r="CH2045" s="6812"/>
    </row>
    <row r="2046" s="4995" customFormat="1" ht="30" customHeight="1" spans="1:86">
      <c r="A2046" s="2957"/>
      <c r="B2046" s="906"/>
      <c r="C2046" s="4184"/>
      <c r="D2046" s="5421"/>
      <c r="E2046" s="5371"/>
      <c r="F2046" s="5421"/>
      <c r="G2046" s="5421"/>
      <c r="H2046" s="3244"/>
      <c r="I2046" s="6123"/>
      <c r="J2046" s="440"/>
      <c r="K2046" s="5196"/>
      <c r="L2046" s="5373"/>
      <c r="M2046" s="3244"/>
      <c r="N2046" s="6851"/>
      <c r="O2046" s="6851"/>
      <c r="P2046" s="6851"/>
      <c r="Q2046" s="6851"/>
      <c r="R2046" s="6851"/>
      <c r="S2046" s="6851"/>
      <c r="T2046" s="6851"/>
      <c r="U2046" s="6851"/>
      <c r="V2046" s="6851"/>
      <c r="W2046" s="6851"/>
      <c r="X2046" s="6851"/>
      <c r="Y2046" s="6851"/>
      <c r="Z2046" s="6851"/>
      <c r="AA2046" s="6851"/>
      <c r="AB2046" s="6856"/>
      <c r="AC2046" s="5373"/>
      <c r="AD2046" s="6862"/>
      <c r="AE2046" s="2098"/>
      <c r="AF2046" s="3244"/>
      <c r="AG2046" s="5395">
        <f t="shared" ref="AG2046:AG2054" si="452">SUBTOTAL(9,BA2046:BN2046)</f>
        <v>0</v>
      </c>
      <c r="AH2046" s="5395"/>
      <c r="AI2046" s="5395"/>
      <c r="AJ2046" s="5395"/>
      <c r="AK2046" s="5395"/>
      <c r="AL2046" s="5395"/>
      <c r="AM2046" s="5395"/>
      <c r="AN2046" s="5395"/>
      <c r="AO2046" s="5395"/>
      <c r="AP2046" s="5395"/>
      <c r="AQ2046" s="5373"/>
      <c r="AR2046" s="6832"/>
      <c r="AS2046" s="6832"/>
      <c r="AT2046" s="5395"/>
      <c r="AU2046" s="5123"/>
      <c r="AV2046" s="5123"/>
      <c r="AW2046" s="5123"/>
      <c r="AX2046" s="5123"/>
      <c r="AY2046" s="5123"/>
      <c r="AZ2046" s="5123"/>
      <c r="BA2046" s="5395"/>
      <c r="BB2046" s="5395"/>
      <c r="BC2046" s="5395"/>
      <c r="BD2046" s="5395"/>
      <c r="BE2046" s="5395"/>
      <c r="BF2046" s="5395"/>
      <c r="BG2046" s="5395"/>
      <c r="BH2046" s="5395"/>
      <c r="BI2046" s="5395"/>
      <c r="BJ2046" s="5395"/>
      <c r="BK2046" s="5395"/>
      <c r="BL2046" s="5395"/>
      <c r="BM2046" s="5395"/>
      <c r="BN2046" s="5395"/>
      <c r="BO2046" s="5395"/>
      <c r="BP2046" s="5395"/>
      <c r="BQ2046" s="5395"/>
      <c r="BR2046" s="5395"/>
      <c r="BS2046" s="5395"/>
      <c r="BT2046" s="5395"/>
      <c r="BU2046" s="5395"/>
      <c r="BV2046" s="5395"/>
      <c r="BW2046" s="5395"/>
      <c r="BX2046" s="5395"/>
      <c r="BY2046" s="5395"/>
      <c r="BZ2046" s="5395"/>
      <c r="CA2046" s="5395"/>
      <c r="CB2046" s="5395"/>
      <c r="CC2046" s="2957"/>
      <c r="CD2046" s="2957"/>
      <c r="CE2046" s="6812"/>
      <c r="CF2046" s="6812"/>
      <c r="CG2046" s="6812"/>
      <c r="CH2046" s="6812"/>
    </row>
    <row r="2047" s="4999" customFormat="1" ht="61" spans="1:86">
      <c r="A2047" s="2960"/>
      <c r="B2047" s="6345"/>
      <c r="C2047" s="4184">
        <v>45239</v>
      </c>
      <c r="D2047" s="5572"/>
      <c r="E2047" s="4198"/>
      <c r="F2047" s="5572"/>
      <c r="G2047" s="5572"/>
      <c r="H2047" s="5585" t="s">
        <v>3593</v>
      </c>
      <c r="I2047" s="6123"/>
      <c r="J2047" s="5608" t="s">
        <v>3571</v>
      </c>
      <c r="K2047" s="5705">
        <v>200203.39</v>
      </c>
      <c r="L2047" s="6846"/>
      <c r="M2047" s="4197">
        <f>SUM(N2047:AA2064)</f>
        <v>4561320</v>
      </c>
      <c r="N2047" s="6849"/>
      <c r="O2047" s="6849"/>
      <c r="P2047" s="6849"/>
      <c r="Q2047" s="6849"/>
      <c r="R2047" s="6849"/>
      <c r="S2047" s="6849"/>
      <c r="T2047" s="6849"/>
      <c r="U2047" s="6849"/>
      <c r="V2047" s="6849"/>
      <c r="W2047" s="6849"/>
      <c r="X2047" s="6849"/>
      <c r="Y2047" s="6849"/>
      <c r="Z2047" s="6849"/>
      <c r="AA2047" s="6849">
        <f>4170320+391000</f>
        <v>4561320</v>
      </c>
      <c r="AB2047" s="6854" t="s">
        <v>3581</v>
      </c>
      <c r="AC2047" s="6846">
        <v>1</v>
      </c>
      <c r="AD2047" s="6863" t="s">
        <v>3594</v>
      </c>
      <c r="AE2047" s="6846" t="s">
        <v>3595</v>
      </c>
      <c r="AF2047" s="4036">
        <f>299200*0.15</f>
        <v>44880</v>
      </c>
      <c r="AG2047" s="4036">
        <f t="shared" si="452"/>
        <v>44880</v>
      </c>
      <c r="AH2047" s="6865" t="s">
        <v>122</v>
      </c>
      <c r="AI2047" s="4036">
        <v>45369</v>
      </c>
      <c r="AJ2047" s="6866"/>
      <c r="AK2047" s="6866"/>
      <c r="AL2047" s="4036">
        <v>44880</v>
      </c>
      <c r="AM2047" s="4036">
        <v>45369</v>
      </c>
      <c r="AN2047" s="4036">
        <f>SUBTOTAL(9,BO2047:CB2047)</f>
        <v>44880</v>
      </c>
      <c r="AO2047" s="4036">
        <v>45379</v>
      </c>
      <c r="AP2047" s="5624"/>
      <c r="AQ2047" s="5608" t="s">
        <v>3596</v>
      </c>
      <c r="AR2047" s="6868"/>
      <c r="AS2047" s="6868"/>
      <c r="AT2047" s="5624"/>
      <c r="AU2047" s="5123"/>
      <c r="AV2047" s="5123"/>
      <c r="AW2047" s="5123"/>
      <c r="AX2047" s="5123"/>
      <c r="AY2047" s="5123"/>
      <c r="AZ2047" s="5123"/>
      <c r="BA2047" s="2960"/>
      <c r="BB2047" s="2960"/>
      <c r="BC2047" s="2960"/>
      <c r="BD2047" s="2960"/>
      <c r="BE2047" s="2960"/>
      <c r="BF2047" s="2960"/>
      <c r="BG2047" s="2960"/>
      <c r="BH2047" s="2960"/>
      <c r="BI2047" s="2960"/>
      <c r="BJ2047" s="2960"/>
      <c r="BK2047" s="2960"/>
      <c r="BL2047" s="2960"/>
      <c r="BM2047" s="2960"/>
      <c r="BN2047" s="2960">
        <v>44880</v>
      </c>
      <c r="BO2047" s="2960"/>
      <c r="BP2047" s="2960"/>
      <c r="BQ2047" s="2960"/>
      <c r="BR2047" s="2960"/>
      <c r="BS2047" s="2960"/>
      <c r="BT2047" s="2960"/>
      <c r="BU2047" s="2960"/>
      <c r="BV2047" s="2960"/>
      <c r="BW2047" s="2960"/>
      <c r="BX2047" s="2960"/>
      <c r="BY2047" s="2960"/>
      <c r="BZ2047" s="2960"/>
      <c r="CA2047" s="2960"/>
      <c r="CB2047" s="2960">
        <v>44880</v>
      </c>
      <c r="CC2047" s="2960"/>
      <c r="CD2047" s="2960"/>
      <c r="CE2047" s="6876"/>
      <c r="CF2047" s="6876"/>
      <c r="CG2047" s="6876"/>
      <c r="CH2047" s="6876"/>
    </row>
    <row r="2048" s="4999" customFormat="1" ht="67.5" customHeight="1" spans="1:86">
      <c r="A2048" s="2960"/>
      <c r="B2048" s="6345"/>
      <c r="C2048" s="4184"/>
      <c r="D2048" s="5572"/>
      <c r="E2048" s="4198"/>
      <c r="F2048" s="5572"/>
      <c r="G2048" s="5572"/>
      <c r="H2048" s="6345"/>
      <c r="I2048" s="6123"/>
      <c r="J2048" s="5608"/>
      <c r="K2048" s="5705"/>
      <c r="L2048" s="6847"/>
      <c r="M2048" s="4198"/>
      <c r="N2048" s="6850"/>
      <c r="O2048" s="6850"/>
      <c r="P2048" s="6850"/>
      <c r="Q2048" s="6850"/>
      <c r="R2048" s="6850"/>
      <c r="S2048" s="6850"/>
      <c r="T2048" s="6850"/>
      <c r="U2048" s="6850"/>
      <c r="V2048" s="6850"/>
      <c r="W2048" s="6850"/>
      <c r="X2048" s="6850"/>
      <c r="Y2048" s="6850"/>
      <c r="Z2048" s="6850"/>
      <c r="AA2048" s="6850"/>
      <c r="AB2048" s="6855"/>
      <c r="AC2048" s="6847"/>
      <c r="AD2048" s="5608" t="s">
        <v>3597</v>
      </c>
      <c r="AE2048" s="6847"/>
      <c r="AF2048" s="2960">
        <f>3189750*0.15</f>
        <v>478462.5</v>
      </c>
      <c r="AG2048" s="2960">
        <f t="shared" si="452"/>
        <v>478462.5</v>
      </c>
      <c r="AH2048" s="918" t="s">
        <v>122</v>
      </c>
      <c r="AI2048" s="2960">
        <v>45369</v>
      </c>
      <c r="AJ2048" s="5624"/>
      <c r="AK2048" s="5624"/>
      <c r="AL2048" s="2960">
        <v>478462.5</v>
      </c>
      <c r="AM2048" s="2960">
        <v>45369</v>
      </c>
      <c r="AN2048" s="2960">
        <f>SUBTOTAL(9,BO2048:CB2048)</f>
        <v>478462.5</v>
      </c>
      <c r="AO2048" s="2960">
        <v>45379</v>
      </c>
      <c r="AP2048" s="5624"/>
      <c r="AQ2048" s="6869"/>
      <c r="AR2048" s="6868"/>
      <c r="AS2048" s="6868"/>
      <c r="AT2048" s="5624"/>
      <c r="AU2048" s="5123"/>
      <c r="AV2048" s="5123"/>
      <c r="AW2048" s="5123"/>
      <c r="AX2048" s="5123"/>
      <c r="AY2048" s="5123"/>
      <c r="AZ2048" s="5123"/>
      <c r="BA2048" s="2960"/>
      <c r="BB2048" s="2960"/>
      <c r="BC2048" s="2960"/>
      <c r="BD2048" s="2960"/>
      <c r="BE2048" s="2960"/>
      <c r="BF2048" s="2960"/>
      <c r="BG2048" s="2960"/>
      <c r="BH2048" s="2960"/>
      <c r="BI2048" s="2960"/>
      <c r="BJ2048" s="2960"/>
      <c r="BK2048" s="2960"/>
      <c r="BL2048" s="2960"/>
      <c r="BM2048" s="2960"/>
      <c r="BN2048" s="2960">
        <v>478462.5</v>
      </c>
      <c r="BO2048" s="2960"/>
      <c r="BP2048" s="2960"/>
      <c r="BQ2048" s="2960"/>
      <c r="BR2048" s="2960"/>
      <c r="BS2048" s="2960"/>
      <c r="BT2048" s="2960"/>
      <c r="BU2048" s="2960"/>
      <c r="BV2048" s="2960"/>
      <c r="BW2048" s="2960"/>
      <c r="BX2048" s="2960"/>
      <c r="BY2048" s="2960"/>
      <c r="BZ2048" s="2960"/>
      <c r="CA2048" s="2960"/>
      <c r="CB2048" s="2960">
        <v>478462.5</v>
      </c>
      <c r="CC2048" s="2960"/>
      <c r="CD2048" s="2960"/>
      <c r="CE2048" s="6876"/>
      <c r="CF2048" s="6876"/>
      <c r="CG2048" s="6876"/>
      <c r="CH2048" s="6876"/>
    </row>
    <row r="2049" s="4999" customFormat="1" ht="70" customHeight="1" spans="1:86">
      <c r="A2049" s="2960"/>
      <c r="B2049" s="6345"/>
      <c r="C2049" s="4184"/>
      <c r="D2049" s="5572"/>
      <c r="E2049" s="4198"/>
      <c r="F2049" s="5572"/>
      <c r="G2049" s="5572"/>
      <c r="H2049" s="6345"/>
      <c r="I2049" s="6123"/>
      <c r="J2049" s="5608"/>
      <c r="K2049" s="5705"/>
      <c r="L2049" s="6847"/>
      <c r="M2049" s="4198"/>
      <c r="N2049" s="6850"/>
      <c r="O2049" s="6850"/>
      <c r="P2049" s="6850"/>
      <c r="Q2049" s="6850"/>
      <c r="R2049" s="6850"/>
      <c r="S2049" s="6850"/>
      <c r="T2049" s="6850"/>
      <c r="U2049" s="6850"/>
      <c r="V2049" s="6850"/>
      <c r="W2049" s="6850"/>
      <c r="X2049" s="6850"/>
      <c r="Y2049" s="6850"/>
      <c r="Z2049" s="6850"/>
      <c r="AA2049" s="6850"/>
      <c r="AB2049" s="6855"/>
      <c r="AC2049" s="6911"/>
      <c r="AD2049" s="6863" t="s">
        <v>3598</v>
      </c>
      <c r="AE2049" s="6911"/>
      <c r="AF2049" s="4036">
        <f>391000*0.15</f>
        <v>58650</v>
      </c>
      <c r="AG2049" s="4036">
        <f t="shared" si="452"/>
        <v>58650</v>
      </c>
      <c r="AH2049" s="6865" t="s">
        <v>122</v>
      </c>
      <c r="AI2049" s="4036">
        <v>45268</v>
      </c>
      <c r="AJ2049" s="6866"/>
      <c r="AK2049" s="6866"/>
      <c r="AL2049" s="4036">
        <f>SUBTOTAL(9,BF2049:BS2049)</f>
        <v>58650</v>
      </c>
      <c r="AM2049" s="4036">
        <v>45268</v>
      </c>
      <c r="AN2049" s="4036">
        <f>SUBTOTAL(9,BO2049:CB2049)</f>
        <v>58650</v>
      </c>
      <c r="AO2049" s="4036">
        <v>45279</v>
      </c>
      <c r="AP2049" s="6866"/>
      <c r="AQ2049" s="7009"/>
      <c r="AR2049" s="7009"/>
      <c r="AS2049" s="7009"/>
      <c r="AT2049" s="6866"/>
      <c r="AU2049" s="5123"/>
      <c r="AV2049" s="5123"/>
      <c r="AW2049" s="5123"/>
      <c r="AX2049" s="5123"/>
      <c r="AY2049" s="5123"/>
      <c r="AZ2049" s="5123"/>
      <c r="BA2049" s="5624"/>
      <c r="BB2049" s="5624"/>
      <c r="BC2049" s="5624"/>
      <c r="BD2049" s="5624"/>
      <c r="BE2049" s="5624"/>
      <c r="BF2049" s="5624"/>
      <c r="BG2049" s="5624"/>
      <c r="BH2049" s="5624"/>
      <c r="BI2049" s="5624"/>
      <c r="BJ2049" s="5624"/>
      <c r="BK2049" s="5624"/>
      <c r="BL2049" s="5624"/>
      <c r="BM2049" s="5624"/>
      <c r="BN2049" s="4036">
        <v>58650</v>
      </c>
      <c r="BO2049" s="5624"/>
      <c r="BP2049" s="5624"/>
      <c r="BQ2049" s="5624"/>
      <c r="BR2049" s="5624"/>
      <c r="BS2049" s="5624"/>
      <c r="BT2049" s="5624"/>
      <c r="BU2049" s="5624"/>
      <c r="BV2049" s="5624"/>
      <c r="BW2049" s="5624"/>
      <c r="BX2049" s="5624"/>
      <c r="BY2049" s="5624"/>
      <c r="BZ2049" s="5624"/>
      <c r="CA2049" s="5624"/>
      <c r="CB2049" s="4036">
        <v>58650</v>
      </c>
      <c r="CC2049" s="2960"/>
      <c r="CD2049" s="2960"/>
      <c r="CE2049" s="6876"/>
      <c r="CF2049" s="6876"/>
      <c r="CG2049" s="6876"/>
      <c r="CH2049" s="6876"/>
    </row>
    <row r="2050" s="4999" customFormat="1" ht="61" spans="1:86">
      <c r="A2050" s="2960"/>
      <c r="B2050" s="6345"/>
      <c r="C2050" s="4184"/>
      <c r="D2050" s="5572"/>
      <c r="E2050" s="4198"/>
      <c r="F2050" s="5572"/>
      <c r="G2050" s="5572"/>
      <c r="H2050" s="4198"/>
      <c r="I2050" s="6123"/>
      <c r="J2050" s="5608"/>
      <c r="K2050" s="5705"/>
      <c r="L2050" s="6847"/>
      <c r="M2050" s="4198"/>
      <c r="N2050" s="6850"/>
      <c r="O2050" s="6850"/>
      <c r="P2050" s="6850"/>
      <c r="Q2050" s="6850"/>
      <c r="R2050" s="6850"/>
      <c r="S2050" s="6850"/>
      <c r="T2050" s="6850"/>
      <c r="U2050" s="6850"/>
      <c r="V2050" s="6850"/>
      <c r="W2050" s="6850"/>
      <c r="X2050" s="6850"/>
      <c r="Y2050" s="6850"/>
      <c r="Z2050" s="6850"/>
      <c r="AA2050" s="6850"/>
      <c r="AB2050" s="6933"/>
      <c r="AC2050" s="6846">
        <v>2</v>
      </c>
      <c r="AD2050" s="6863" t="s">
        <v>3599</v>
      </c>
      <c r="AE2050" s="6846" t="s">
        <v>3600</v>
      </c>
      <c r="AF2050" s="4036">
        <f>299200*0.2</f>
        <v>59840</v>
      </c>
      <c r="AG2050" s="4036">
        <f t="shared" si="452"/>
        <v>59840</v>
      </c>
      <c r="AH2050" s="6865" t="s">
        <v>122</v>
      </c>
      <c r="AI2050" s="4036">
        <v>45377</v>
      </c>
      <c r="AJ2050" s="4036">
        <v>59840</v>
      </c>
      <c r="AK2050" s="4036">
        <v>45377</v>
      </c>
      <c r="AL2050" s="4036">
        <v>59840</v>
      </c>
      <c r="AM2050" s="4036">
        <v>45378</v>
      </c>
      <c r="AN2050" s="4036">
        <f>SUBTOTAL(9,BO2050:CB2050)</f>
        <v>59840</v>
      </c>
      <c r="AO2050" s="4036">
        <v>45408</v>
      </c>
      <c r="AP2050" s="5624"/>
      <c r="AQ2050" s="6868"/>
      <c r="AR2050" s="6868"/>
      <c r="AS2050" s="6868"/>
      <c r="AT2050" s="5624"/>
      <c r="AU2050" s="5123"/>
      <c r="AV2050" s="5123"/>
      <c r="AW2050" s="5123"/>
      <c r="AX2050" s="5123"/>
      <c r="AY2050" s="5123"/>
      <c r="AZ2050" s="5123"/>
      <c r="BA2050" s="5624"/>
      <c r="BB2050" s="5624"/>
      <c r="BC2050" s="5624"/>
      <c r="BD2050" s="5624"/>
      <c r="BE2050" s="5624"/>
      <c r="BF2050" s="5624"/>
      <c r="BG2050" s="5624"/>
      <c r="BH2050" s="5624"/>
      <c r="BI2050" s="5624"/>
      <c r="BJ2050" s="5624"/>
      <c r="BK2050" s="5624"/>
      <c r="BL2050" s="5624"/>
      <c r="BM2050" s="5624"/>
      <c r="BN2050" s="5624">
        <v>59840</v>
      </c>
      <c r="BO2050" s="5624"/>
      <c r="BP2050" s="5624"/>
      <c r="BQ2050" s="5624"/>
      <c r="BR2050" s="5624"/>
      <c r="BS2050" s="5624"/>
      <c r="BT2050" s="5624"/>
      <c r="BU2050" s="5624"/>
      <c r="BV2050" s="5624"/>
      <c r="BW2050" s="5624"/>
      <c r="BX2050" s="5624"/>
      <c r="BY2050" s="5624"/>
      <c r="BZ2050" s="5624"/>
      <c r="CA2050" s="5624"/>
      <c r="CB2050" s="5624">
        <v>59840</v>
      </c>
      <c r="CC2050" s="2960"/>
      <c r="CD2050" s="2960"/>
      <c r="CE2050" s="6876"/>
      <c r="CF2050" s="6876"/>
      <c r="CG2050" s="6876"/>
      <c r="CH2050" s="6876"/>
    </row>
    <row r="2051" s="4999" customFormat="1" ht="76" spans="1:86">
      <c r="A2051" s="2960"/>
      <c r="B2051" s="6345"/>
      <c r="C2051" s="4184"/>
      <c r="D2051" s="5572"/>
      <c r="E2051" s="4198"/>
      <c r="F2051" s="5572"/>
      <c r="G2051" s="5572"/>
      <c r="H2051" s="4198"/>
      <c r="I2051" s="6123"/>
      <c r="J2051" s="5608"/>
      <c r="K2051" s="5705"/>
      <c r="L2051" s="6847"/>
      <c r="M2051" s="4198"/>
      <c r="N2051" s="6850"/>
      <c r="O2051" s="6850"/>
      <c r="P2051" s="6850"/>
      <c r="Q2051" s="6850"/>
      <c r="R2051" s="6850"/>
      <c r="S2051" s="6850"/>
      <c r="T2051" s="6850"/>
      <c r="U2051" s="6850"/>
      <c r="V2051" s="6850"/>
      <c r="W2051" s="6850"/>
      <c r="X2051" s="6850"/>
      <c r="Y2051" s="6850"/>
      <c r="Z2051" s="6850"/>
      <c r="AA2051" s="6850"/>
      <c r="AB2051" s="6933"/>
      <c r="AC2051" s="6847"/>
      <c r="AD2051" s="5608" t="s">
        <v>3601</v>
      </c>
      <c r="AE2051" s="6847"/>
      <c r="AF2051" s="2960">
        <f>3189750*0.2</f>
        <v>637950</v>
      </c>
      <c r="AG2051" s="2960">
        <f t="shared" si="452"/>
        <v>637950</v>
      </c>
      <c r="AH2051" s="918" t="s">
        <v>122</v>
      </c>
      <c r="AI2051" s="2960">
        <v>45369</v>
      </c>
      <c r="AJ2051" s="5624"/>
      <c r="AK2051" s="5624"/>
      <c r="AL2051" s="2960">
        <v>637950</v>
      </c>
      <c r="AM2051" s="2960">
        <v>45369</v>
      </c>
      <c r="AN2051" s="2960">
        <f>SUBTOTAL(9,BO2051:CB2051)</f>
        <v>637950</v>
      </c>
      <c r="AO2051" s="2960">
        <v>45379</v>
      </c>
      <c r="AP2051" s="5624"/>
      <c r="AQ2051" s="6868"/>
      <c r="AR2051" s="6868"/>
      <c r="AS2051" s="6868"/>
      <c r="AT2051" s="5624"/>
      <c r="AU2051" s="5123"/>
      <c r="AV2051" s="5123"/>
      <c r="AW2051" s="5123"/>
      <c r="AX2051" s="5123"/>
      <c r="AY2051" s="5123"/>
      <c r="AZ2051" s="5123"/>
      <c r="BA2051" s="2960"/>
      <c r="BB2051" s="2960"/>
      <c r="BC2051" s="2960"/>
      <c r="BD2051" s="2960"/>
      <c r="BE2051" s="2960"/>
      <c r="BF2051" s="2960"/>
      <c r="BG2051" s="2960"/>
      <c r="BH2051" s="2960"/>
      <c r="BI2051" s="2960"/>
      <c r="BJ2051" s="2960"/>
      <c r="BK2051" s="2960"/>
      <c r="BL2051" s="2960"/>
      <c r="BM2051" s="2960"/>
      <c r="BN2051" s="2960">
        <v>637950</v>
      </c>
      <c r="BO2051" s="2960"/>
      <c r="BP2051" s="2960"/>
      <c r="BQ2051" s="2960"/>
      <c r="BR2051" s="2960"/>
      <c r="BS2051" s="2960"/>
      <c r="BT2051" s="2960"/>
      <c r="BU2051" s="2960"/>
      <c r="BV2051" s="2960"/>
      <c r="BW2051" s="2960"/>
      <c r="BX2051" s="2960"/>
      <c r="BY2051" s="2960"/>
      <c r="BZ2051" s="2960"/>
      <c r="CA2051" s="2960"/>
      <c r="CB2051" s="2960">
        <v>637950</v>
      </c>
      <c r="CC2051" s="2960"/>
      <c r="CD2051" s="2960"/>
      <c r="CE2051" s="6876"/>
      <c r="CF2051" s="6876"/>
      <c r="CG2051" s="6876"/>
      <c r="CH2051" s="6876"/>
    </row>
    <row r="2052" s="4999" customFormat="1" ht="61" spans="1:86">
      <c r="A2052" s="2960"/>
      <c r="B2052" s="6345"/>
      <c r="C2052" s="4184"/>
      <c r="D2052" s="5572"/>
      <c r="E2052" s="4198"/>
      <c r="F2052" s="5572"/>
      <c r="G2052" s="5572"/>
      <c r="H2052" s="4198"/>
      <c r="I2052" s="6123"/>
      <c r="J2052" s="5608"/>
      <c r="K2052" s="5705"/>
      <c r="L2052" s="6847"/>
      <c r="M2052" s="4198"/>
      <c r="N2052" s="6850"/>
      <c r="O2052" s="6850"/>
      <c r="P2052" s="6850"/>
      <c r="Q2052" s="6850"/>
      <c r="R2052" s="6850"/>
      <c r="S2052" s="6850"/>
      <c r="T2052" s="6850"/>
      <c r="U2052" s="6850"/>
      <c r="V2052" s="6850"/>
      <c r="W2052" s="6850"/>
      <c r="X2052" s="6850"/>
      <c r="Y2052" s="6850"/>
      <c r="Z2052" s="6850"/>
      <c r="AA2052" s="6850"/>
      <c r="AB2052" s="6933"/>
      <c r="AC2052" s="6911"/>
      <c r="AD2052" s="6863" t="s">
        <v>3602</v>
      </c>
      <c r="AE2052" s="6911"/>
      <c r="AF2052" s="4036">
        <f>391000*0.2</f>
        <v>78200</v>
      </c>
      <c r="AG2052" s="4036">
        <f t="shared" si="452"/>
        <v>78200</v>
      </c>
      <c r="AH2052" s="6865" t="s">
        <v>122</v>
      </c>
      <c r="AI2052" s="4036">
        <v>45268</v>
      </c>
      <c r="AJ2052" s="6866"/>
      <c r="AK2052" s="6866"/>
      <c r="AL2052" s="4036">
        <f>SUBTOTAL(9,BF2052:BS2052)</f>
        <v>78200</v>
      </c>
      <c r="AM2052" s="4036">
        <v>45268</v>
      </c>
      <c r="AN2052" s="4036">
        <f t="shared" ref="AN2052:AN2062" si="453">SUBTOTAL(9,BO2052:CB2052)</f>
        <v>78200</v>
      </c>
      <c r="AO2052" s="4036">
        <v>45279</v>
      </c>
      <c r="AP2052" s="6866"/>
      <c r="AQ2052" s="7009"/>
      <c r="AR2052" s="7009"/>
      <c r="AS2052" s="7009"/>
      <c r="AT2052" s="6866"/>
      <c r="AU2052" s="5123"/>
      <c r="AV2052" s="5123"/>
      <c r="AW2052" s="5123"/>
      <c r="AX2052" s="5123"/>
      <c r="AY2052" s="5123"/>
      <c r="AZ2052" s="5123"/>
      <c r="BA2052" s="5624"/>
      <c r="BB2052" s="5624"/>
      <c r="BC2052" s="5624"/>
      <c r="BD2052" s="5624"/>
      <c r="BE2052" s="5624"/>
      <c r="BF2052" s="5624"/>
      <c r="BG2052" s="5624"/>
      <c r="BH2052" s="5624"/>
      <c r="BI2052" s="5624"/>
      <c r="BJ2052" s="5624"/>
      <c r="BK2052" s="5624"/>
      <c r="BL2052" s="5624"/>
      <c r="BM2052" s="5624"/>
      <c r="BN2052" s="4036">
        <v>78200</v>
      </c>
      <c r="BO2052" s="5624"/>
      <c r="BP2052" s="5624"/>
      <c r="BQ2052" s="5624"/>
      <c r="BR2052" s="5624"/>
      <c r="BS2052" s="5624"/>
      <c r="BT2052" s="5624"/>
      <c r="BU2052" s="5624"/>
      <c r="BV2052" s="5624"/>
      <c r="BW2052" s="5624"/>
      <c r="BX2052" s="5624"/>
      <c r="BY2052" s="5624"/>
      <c r="BZ2052" s="5624"/>
      <c r="CA2052" s="5624"/>
      <c r="CB2052" s="4036">
        <v>78200</v>
      </c>
      <c r="CC2052" s="2960"/>
      <c r="CD2052" s="2960"/>
      <c r="CE2052" s="6876"/>
      <c r="CF2052" s="6876"/>
      <c r="CG2052" s="6876"/>
      <c r="CH2052" s="6876"/>
    </row>
    <row r="2053" s="4999" customFormat="1" ht="61" spans="1:86">
      <c r="A2053" s="2960"/>
      <c r="B2053" s="6345"/>
      <c r="C2053" s="4184"/>
      <c r="D2053" s="5572"/>
      <c r="E2053" s="4198"/>
      <c r="F2053" s="5572"/>
      <c r="G2053" s="5572"/>
      <c r="H2053" s="4198"/>
      <c r="I2053" s="6123"/>
      <c r="J2053" s="5608"/>
      <c r="K2053" s="5705"/>
      <c r="L2053" s="6847"/>
      <c r="M2053" s="4198"/>
      <c r="N2053" s="6850"/>
      <c r="O2053" s="6850"/>
      <c r="P2053" s="6850"/>
      <c r="Q2053" s="6850"/>
      <c r="R2053" s="6850"/>
      <c r="S2053" s="6850"/>
      <c r="T2053" s="6850"/>
      <c r="U2053" s="6850"/>
      <c r="V2053" s="6850"/>
      <c r="W2053" s="6850"/>
      <c r="X2053" s="6850"/>
      <c r="Y2053" s="6850"/>
      <c r="Z2053" s="6850"/>
      <c r="AA2053" s="6850"/>
      <c r="AB2053" s="6933"/>
      <c r="AC2053" s="6846">
        <v>3</v>
      </c>
      <c r="AD2053" s="6863" t="s">
        <v>3603</v>
      </c>
      <c r="AE2053" s="6846" t="s">
        <v>3604</v>
      </c>
      <c r="AF2053" s="4036">
        <f>299200*0.15</f>
        <v>44880</v>
      </c>
      <c r="AG2053" s="6989">
        <f t="shared" si="452"/>
        <v>44880</v>
      </c>
      <c r="AH2053" s="6990" t="s">
        <v>122</v>
      </c>
      <c r="AI2053" s="6989">
        <v>45446</v>
      </c>
      <c r="AJ2053" s="6866"/>
      <c r="AK2053" s="6866"/>
      <c r="AL2053" s="4036">
        <v>44880</v>
      </c>
      <c r="AM2053" s="4036">
        <v>45447</v>
      </c>
      <c r="AN2053" s="4036">
        <f t="shared" si="453"/>
        <v>44880</v>
      </c>
      <c r="AO2053" s="4036">
        <v>45497</v>
      </c>
      <c r="AP2053" s="5624"/>
      <c r="AQ2053" s="6868"/>
      <c r="AR2053" s="6868"/>
      <c r="AS2053" s="6868"/>
      <c r="AT2053" s="5624"/>
      <c r="AU2053" s="5123"/>
      <c r="AV2053" s="5123"/>
      <c r="AW2053" s="5123"/>
      <c r="AX2053" s="5123"/>
      <c r="AY2053" s="5123"/>
      <c r="AZ2053" s="5123"/>
      <c r="BA2053" s="5624"/>
      <c r="BB2053" s="5624"/>
      <c r="BC2053" s="5624"/>
      <c r="BD2053" s="5624"/>
      <c r="BE2053" s="5624"/>
      <c r="BF2053" s="5624"/>
      <c r="BG2053" s="5624"/>
      <c r="BH2053" s="5624"/>
      <c r="BI2053" s="5624"/>
      <c r="BJ2053" s="5624"/>
      <c r="BK2053" s="5624"/>
      <c r="BL2053" s="5624"/>
      <c r="BM2053" s="5624"/>
      <c r="BN2053" s="5624">
        <f>299200*0.15</f>
        <v>44880</v>
      </c>
      <c r="BO2053" s="5624"/>
      <c r="BP2053" s="5624"/>
      <c r="BQ2053" s="5624"/>
      <c r="BR2053" s="5624"/>
      <c r="BS2053" s="5624"/>
      <c r="BT2053" s="5624"/>
      <c r="BU2053" s="5624"/>
      <c r="BV2053" s="5624"/>
      <c r="BW2053" s="5624"/>
      <c r="BX2053" s="5624"/>
      <c r="BY2053" s="5624"/>
      <c r="BZ2053" s="5624"/>
      <c r="CA2053" s="5624"/>
      <c r="CB2053" s="5624">
        <f>299200*0.15</f>
        <v>44880</v>
      </c>
      <c r="CC2053" s="2960"/>
      <c r="CD2053" s="2960"/>
      <c r="CE2053" s="5169">
        <f>SUBTOTAL(9,BO2053:CB2053)</f>
        <v>44880</v>
      </c>
      <c r="CF2053" s="5169">
        <f>AN2053-CE2053</f>
        <v>0</v>
      </c>
      <c r="CG2053" s="6876"/>
      <c r="CH2053" s="6876"/>
    </row>
    <row r="2054" s="4999" customFormat="1" ht="76" spans="1:86">
      <c r="A2054" s="2960"/>
      <c r="B2054" s="6345"/>
      <c r="C2054" s="4184"/>
      <c r="D2054" s="5572"/>
      <c r="E2054" s="4198"/>
      <c r="F2054" s="5572"/>
      <c r="G2054" s="5572"/>
      <c r="H2054" s="4198"/>
      <c r="I2054" s="6123"/>
      <c r="J2054" s="5608"/>
      <c r="K2054" s="5705"/>
      <c r="L2054" s="6847"/>
      <c r="M2054" s="4198"/>
      <c r="N2054" s="6850"/>
      <c r="O2054" s="6850"/>
      <c r="P2054" s="6850"/>
      <c r="Q2054" s="6850"/>
      <c r="R2054" s="6850"/>
      <c r="S2054" s="6850"/>
      <c r="T2054" s="6850"/>
      <c r="U2054" s="6850"/>
      <c r="V2054" s="6850"/>
      <c r="W2054" s="6850"/>
      <c r="X2054" s="6850"/>
      <c r="Y2054" s="6850"/>
      <c r="Z2054" s="6850"/>
      <c r="AA2054" s="6850"/>
      <c r="AB2054" s="6933"/>
      <c r="AC2054" s="6847"/>
      <c r="AD2054" s="5608" t="s">
        <v>3605</v>
      </c>
      <c r="AE2054" s="6847"/>
      <c r="AF2054" s="2960">
        <f>3189750*0.15</f>
        <v>478462.5</v>
      </c>
      <c r="AG2054" s="2960">
        <f t="shared" si="452"/>
        <v>478462.5</v>
      </c>
      <c r="AH2054" s="918" t="s">
        <v>122</v>
      </c>
      <c r="AI2054" s="2960">
        <v>45369</v>
      </c>
      <c r="AJ2054" s="5624"/>
      <c r="AK2054" s="5624"/>
      <c r="AL2054" s="2960">
        <v>478462.5</v>
      </c>
      <c r="AM2054" s="2960">
        <v>45369</v>
      </c>
      <c r="AN2054" s="2960">
        <f t="shared" si="453"/>
        <v>478462.5</v>
      </c>
      <c r="AO2054" s="2960">
        <v>45379</v>
      </c>
      <c r="AP2054" s="5624"/>
      <c r="AQ2054" s="6868"/>
      <c r="AR2054" s="6868"/>
      <c r="AS2054" s="6868"/>
      <c r="AT2054" s="5624"/>
      <c r="AU2054" s="5123"/>
      <c r="AV2054" s="5123"/>
      <c r="AW2054" s="5123"/>
      <c r="AX2054" s="5123"/>
      <c r="AY2054" s="5123"/>
      <c r="AZ2054" s="5123"/>
      <c r="BA2054" s="2960"/>
      <c r="BB2054" s="2960"/>
      <c r="BC2054" s="2960"/>
      <c r="BD2054" s="2960"/>
      <c r="BE2054" s="2960"/>
      <c r="BF2054" s="2960"/>
      <c r="BG2054" s="2960"/>
      <c r="BH2054" s="2960"/>
      <c r="BI2054" s="2960"/>
      <c r="BJ2054" s="2960"/>
      <c r="BK2054" s="2960"/>
      <c r="BL2054" s="2960"/>
      <c r="BM2054" s="2960"/>
      <c r="BN2054" s="2960">
        <v>478462.5</v>
      </c>
      <c r="BO2054" s="2960"/>
      <c r="BP2054" s="2960"/>
      <c r="BQ2054" s="2960"/>
      <c r="BR2054" s="2960"/>
      <c r="BS2054" s="2960"/>
      <c r="BT2054" s="2960"/>
      <c r="BU2054" s="2960"/>
      <c r="BV2054" s="2960"/>
      <c r="BW2054" s="2960"/>
      <c r="BX2054" s="2960"/>
      <c r="BY2054" s="2960"/>
      <c r="BZ2054" s="2960"/>
      <c r="CA2054" s="2960"/>
      <c r="CB2054" s="2960">
        <v>478462.5</v>
      </c>
      <c r="CC2054" s="2960"/>
      <c r="CD2054" s="2960"/>
      <c r="CE2054" s="6876"/>
      <c r="CF2054" s="6876"/>
      <c r="CG2054" s="6876"/>
      <c r="CH2054" s="6876"/>
    </row>
    <row r="2055" s="4999" customFormat="1" ht="61" spans="1:86">
      <c r="A2055" s="2960"/>
      <c r="B2055" s="6345"/>
      <c r="C2055" s="4184"/>
      <c r="D2055" s="5572"/>
      <c r="E2055" s="4198"/>
      <c r="F2055" s="5572"/>
      <c r="G2055" s="5572"/>
      <c r="H2055" s="4198"/>
      <c r="I2055" s="6123"/>
      <c r="J2055" s="5608"/>
      <c r="K2055" s="5705"/>
      <c r="L2055" s="6847"/>
      <c r="M2055" s="4198"/>
      <c r="N2055" s="6850"/>
      <c r="O2055" s="6850"/>
      <c r="P2055" s="6850"/>
      <c r="Q2055" s="6850"/>
      <c r="R2055" s="6850"/>
      <c r="S2055" s="6850"/>
      <c r="T2055" s="6850"/>
      <c r="U2055" s="6850"/>
      <c r="V2055" s="6850"/>
      <c r="W2055" s="6850"/>
      <c r="X2055" s="6850"/>
      <c r="Y2055" s="6850"/>
      <c r="Z2055" s="6850"/>
      <c r="AA2055" s="6850"/>
      <c r="AB2055" s="6933"/>
      <c r="AC2055" s="6911"/>
      <c r="AD2055" s="6863" t="s">
        <v>3606</v>
      </c>
      <c r="AE2055" s="6911"/>
      <c r="AF2055" s="4036">
        <f>391000*0.15</f>
        <v>58650</v>
      </c>
      <c r="AG2055" s="4036">
        <f t="shared" ref="AG2055:AG2066" si="454">SUBTOTAL(9,BA2055:BN2055)</f>
        <v>58650</v>
      </c>
      <c r="AH2055" s="6865" t="s">
        <v>122</v>
      </c>
      <c r="AI2055" s="4036">
        <v>45268</v>
      </c>
      <c r="AJ2055" s="6866"/>
      <c r="AK2055" s="6866"/>
      <c r="AL2055" s="4036">
        <f>SUBTOTAL(9,BF2055:BS2055)</f>
        <v>58650</v>
      </c>
      <c r="AM2055" s="4036">
        <v>45268</v>
      </c>
      <c r="AN2055" s="4036">
        <f t="shared" si="453"/>
        <v>58650</v>
      </c>
      <c r="AO2055" s="4036">
        <v>45279</v>
      </c>
      <c r="AP2055" s="6866"/>
      <c r="AQ2055" s="7009"/>
      <c r="AR2055" s="7009"/>
      <c r="AS2055" s="7009"/>
      <c r="AT2055" s="6866"/>
      <c r="AU2055" s="5123"/>
      <c r="AV2055" s="5123"/>
      <c r="AW2055" s="5123"/>
      <c r="AX2055" s="5123"/>
      <c r="AY2055" s="5123"/>
      <c r="AZ2055" s="5123"/>
      <c r="BA2055" s="5624"/>
      <c r="BB2055" s="5624"/>
      <c r="BC2055" s="5624"/>
      <c r="BD2055" s="5624"/>
      <c r="BE2055" s="5624"/>
      <c r="BF2055" s="5624"/>
      <c r="BG2055" s="5624"/>
      <c r="BH2055" s="5624"/>
      <c r="BI2055" s="5624"/>
      <c r="BJ2055" s="5624"/>
      <c r="BK2055" s="5624"/>
      <c r="BL2055" s="5624"/>
      <c r="BM2055" s="5624"/>
      <c r="BN2055" s="4036">
        <f>391000*0.15</f>
        <v>58650</v>
      </c>
      <c r="BO2055" s="5624"/>
      <c r="BP2055" s="5624"/>
      <c r="BQ2055" s="5624"/>
      <c r="BR2055" s="5624"/>
      <c r="BS2055" s="5624"/>
      <c r="BT2055" s="5624"/>
      <c r="BU2055" s="5624"/>
      <c r="BV2055" s="5624"/>
      <c r="BW2055" s="5624"/>
      <c r="BX2055" s="5624"/>
      <c r="BY2055" s="5624"/>
      <c r="BZ2055" s="5624"/>
      <c r="CA2055" s="5624"/>
      <c r="CB2055" s="4036">
        <f>391000*0.15</f>
        <v>58650</v>
      </c>
      <c r="CC2055" s="2960"/>
      <c r="CD2055" s="2960"/>
      <c r="CE2055" s="6876"/>
      <c r="CF2055" s="6876"/>
      <c r="CG2055" s="6876"/>
      <c r="CH2055" s="6876"/>
    </row>
    <row r="2056" s="4999" customFormat="1" ht="61" spans="1:86">
      <c r="A2056" s="2960"/>
      <c r="B2056" s="6345"/>
      <c r="C2056" s="4184"/>
      <c r="D2056" s="5572"/>
      <c r="E2056" s="4198"/>
      <c r="F2056" s="5572"/>
      <c r="G2056" s="5572"/>
      <c r="H2056" s="4198"/>
      <c r="I2056" s="6123"/>
      <c r="J2056" s="5608"/>
      <c r="K2056" s="5705"/>
      <c r="L2056" s="6847"/>
      <c r="M2056" s="4198"/>
      <c r="N2056" s="6850"/>
      <c r="O2056" s="6850"/>
      <c r="P2056" s="6850"/>
      <c r="Q2056" s="6850"/>
      <c r="R2056" s="6850"/>
      <c r="S2056" s="6850"/>
      <c r="T2056" s="6850"/>
      <c r="U2056" s="6850"/>
      <c r="V2056" s="6850"/>
      <c r="W2056" s="6850"/>
      <c r="X2056" s="6850"/>
      <c r="Y2056" s="6850"/>
      <c r="Z2056" s="6850"/>
      <c r="AA2056" s="6850"/>
      <c r="AB2056" s="6933"/>
      <c r="AC2056" s="6846">
        <v>4</v>
      </c>
      <c r="AD2056" s="6863" t="s">
        <v>3607</v>
      </c>
      <c r="AE2056" s="6846" t="s">
        <v>3608</v>
      </c>
      <c r="AF2056" s="4036">
        <f>299200*0.3</f>
        <v>89760</v>
      </c>
      <c r="AG2056" s="6989">
        <f t="shared" si="454"/>
        <v>89760</v>
      </c>
      <c r="AH2056" s="6990" t="s">
        <v>122</v>
      </c>
      <c r="AI2056" s="6989">
        <v>45446</v>
      </c>
      <c r="AJ2056" s="6866"/>
      <c r="AK2056" s="6866"/>
      <c r="AL2056" s="4036">
        <v>89760</v>
      </c>
      <c r="AM2056" s="4036">
        <v>45447</v>
      </c>
      <c r="AN2056" s="4036">
        <f t="shared" si="453"/>
        <v>89760</v>
      </c>
      <c r="AO2056" s="4036">
        <v>45497</v>
      </c>
      <c r="AP2056" s="5624"/>
      <c r="AQ2056" s="6868"/>
      <c r="AR2056" s="6868"/>
      <c r="AS2056" s="6868"/>
      <c r="AT2056" s="5624"/>
      <c r="AU2056" s="5123"/>
      <c r="AV2056" s="5123"/>
      <c r="AW2056" s="5123"/>
      <c r="AX2056" s="5123"/>
      <c r="AY2056" s="5123"/>
      <c r="AZ2056" s="5123"/>
      <c r="BA2056" s="5624"/>
      <c r="BB2056" s="5624"/>
      <c r="BC2056" s="5624"/>
      <c r="BD2056" s="5624"/>
      <c r="BE2056" s="5624"/>
      <c r="BF2056" s="5624"/>
      <c r="BG2056" s="5624"/>
      <c r="BH2056" s="5624"/>
      <c r="BI2056" s="5624"/>
      <c r="BJ2056" s="5624"/>
      <c r="BK2056" s="5624"/>
      <c r="BL2056" s="5624"/>
      <c r="BM2056" s="5624"/>
      <c r="BN2056" s="5624">
        <v>89760</v>
      </c>
      <c r="BO2056" s="5624"/>
      <c r="BP2056" s="5624"/>
      <c r="BQ2056" s="5624"/>
      <c r="BR2056" s="5624"/>
      <c r="BS2056" s="5624"/>
      <c r="BT2056" s="5624"/>
      <c r="BU2056" s="5624"/>
      <c r="BV2056" s="5624"/>
      <c r="BW2056" s="5624"/>
      <c r="BX2056" s="5624"/>
      <c r="BY2056" s="5624"/>
      <c r="BZ2056" s="5624"/>
      <c r="CA2056" s="5624"/>
      <c r="CB2056" s="5624">
        <v>89760</v>
      </c>
      <c r="CC2056" s="2960"/>
      <c r="CD2056" s="2960"/>
      <c r="CE2056" s="5169">
        <f>SUBTOTAL(9,BO2056:CB2056)</f>
        <v>89760</v>
      </c>
      <c r="CF2056" s="5169">
        <f>AN2056-CE2056</f>
        <v>0</v>
      </c>
      <c r="CG2056" s="6876"/>
      <c r="CH2056" s="6876"/>
    </row>
    <row r="2057" s="4999" customFormat="1" ht="76" spans="1:86">
      <c r="A2057" s="2960"/>
      <c r="B2057" s="6345"/>
      <c r="C2057" s="4184"/>
      <c r="D2057" s="5572"/>
      <c r="E2057" s="4198"/>
      <c r="F2057" s="5572"/>
      <c r="G2057" s="5572"/>
      <c r="H2057" s="4198"/>
      <c r="I2057" s="6123"/>
      <c r="J2057" s="5608"/>
      <c r="K2057" s="5705"/>
      <c r="L2057" s="6847"/>
      <c r="M2057" s="4198"/>
      <c r="N2057" s="6850"/>
      <c r="O2057" s="6850"/>
      <c r="P2057" s="6850"/>
      <c r="Q2057" s="6850"/>
      <c r="R2057" s="6850"/>
      <c r="S2057" s="6850"/>
      <c r="T2057" s="6850"/>
      <c r="U2057" s="6850"/>
      <c r="V2057" s="6850"/>
      <c r="W2057" s="6850"/>
      <c r="X2057" s="6850"/>
      <c r="Y2057" s="6850"/>
      <c r="Z2057" s="6850"/>
      <c r="AA2057" s="6850"/>
      <c r="AB2057" s="6933"/>
      <c r="AC2057" s="6847"/>
      <c r="AD2057" s="5608" t="s">
        <v>3609</v>
      </c>
      <c r="AE2057" s="6847"/>
      <c r="AF2057" s="2960">
        <f>3189750*0.3</f>
        <v>956925</v>
      </c>
      <c r="AG2057" s="2960">
        <f t="shared" si="454"/>
        <v>956925</v>
      </c>
      <c r="AH2057" s="5608" t="s">
        <v>122</v>
      </c>
      <c r="AI2057" s="2960">
        <v>45377</v>
      </c>
      <c r="AJ2057" s="2960">
        <v>956925</v>
      </c>
      <c r="AK2057" s="2960">
        <v>45377</v>
      </c>
      <c r="AL2057" s="2960">
        <v>956925</v>
      </c>
      <c r="AM2057" s="2960">
        <v>45378</v>
      </c>
      <c r="AN2057" s="2960">
        <f t="shared" si="453"/>
        <v>956925</v>
      </c>
      <c r="AO2057" s="2960">
        <v>45408</v>
      </c>
      <c r="AP2057" s="5624"/>
      <c r="AQ2057" s="6868"/>
      <c r="AR2057" s="6868"/>
      <c r="AS2057" s="6868"/>
      <c r="AT2057" s="5624"/>
      <c r="AU2057" s="5123"/>
      <c r="AV2057" s="5123"/>
      <c r="AW2057" s="5123"/>
      <c r="AX2057" s="5123"/>
      <c r="AY2057" s="5123"/>
      <c r="AZ2057" s="5123"/>
      <c r="BA2057" s="5624"/>
      <c r="BB2057" s="5624"/>
      <c r="BC2057" s="5624"/>
      <c r="BD2057" s="5624"/>
      <c r="BE2057" s="5624"/>
      <c r="BF2057" s="5624"/>
      <c r="BG2057" s="5624"/>
      <c r="BH2057" s="5624"/>
      <c r="BI2057" s="5624"/>
      <c r="BJ2057" s="5624"/>
      <c r="BK2057" s="5624"/>
      <c r="BL2057" s="5624"/>
      <c r="BM2057" s="5624"/>
      <c r="BN2057" s="5624">
        <v>956925</v>
      </c>
      <c r="BO2057" s="5624"/>
      <c r="BP2057" s="5624"/>
      <c r="BQ2057" s="5624"/>
      <c r="BR2057" s="5624"/>
      <c r="BS2057" s="5624"/>
      <c r="BT2057" s="5624"/>
      <c r="BU2057" s="5624"/>
      <c r="BV2057" s="5624"/>
      <c r="BW2057" s="5624"/>
      <c r="BX2057" s="5624"/>
      <c r="BY2057" s="5624"/>
      <c r="BZ2057" s="5624"/>
      <c r="CA2057" s="5624"/>
      <c r="CB2057" s="5624">
        <v>956925</v>
      </c>
      <c r="CC2057" s="2960"/>
      <c r="CD2057" s="2960"/>
      <c r="CE2057" s="6876"/>
      <c r="CF2057" s="6876"/>
      <c r="CG2057" s="6876"/>
      <c r="CH2057" s="6876"/>
    </row>
    <row r="2058" s="4999" customFormat="1" ht="61" spans="1:86">
      <c r="A2058" s="2960"/>
      <c r="B2058" s="6345"/>
      <c r="C2058" s="4184"/>
      <c r="D2058" s="5572"/>
      <c r="E2058" s="4198"/>
      <c r="F2058" s="5572"/>
      <c r="G2058" s="5572"/>
      <c r="H2058" s="4198"/>
      <c r="I2058" s="6123"/>
      <c r="J2058" s="5608"/>
      <c r="K2058" s="5705"/>
      <c r="L2058" s="6847"/>
      <c r="M2058" s="4198"/>
      <c r="N2058" s="6850"/>
      <c r="O2058" s="6850"/>
      <c r="P2058" s="6850"/>
      <c r="Q2058" s="6850"/>
      <c r="R2058" s="6850"/>
      <c r="S2058" s="6850"/>
      <c r="T2058" s="6850"/>
      <c r="U2058" s="6850"/>
      <c r="V2058" s="6850"/>
      <c r="W2058" s="6850"/>
      <c r="X2058" s="6850"/>
      <c r="Y2058" s="6850"/>
      <c r="Z2058" s="6850"/>
      <c r="AA2058" s="6850"/>
      <c r="AB2058" s="6933"/>
      <c r="AC2058" s="6911"/>
      <c r="AD2058" s="6863" t="s">
        <v>3610</v>
      </c>
      <c r="AE2058" s="6911"/>
      <c r="AF2058" s="4036">
        <f>391000*0.3</f>
        <v>117300</v>
      </c>
      <c r="AG2058" s="4036">
        <f t="shared" si="454"/>
        <v>117300</v>
      </c>
      <c r="AH2058" s="6865" t="s">
        <v>122</v>
      </c>
      <c r="AI2058" s="4036">
        <v>45287</v>
      </c>
      <c r="AJ2058" s="6866"/>
      <c r="AK2058" s="6866"/>
      <c r="AL2058" s="4036">
        <f>SUBTOTAL(9,BF2058:BS2058)</f>
        <v>117300</v>
      </c>
      <c r="AM2058" s="4036">
        <v>45310</v>
      </c>
      <c r="AN2058" s="4036">
        <f t="shared" si="453"/>
        <v>117300</v>
      </c>
      <c r="AO2058" s="4036">
        <v>45317</v>
      </c>
      <c r="AP2058" s="6866"/>
      <c r="AQ2058" s="7009"/>
      <c r="AR2058" s="7009"/>
      <c r="AS2058" s="7009"/>
      <c r="AT2058" s="6992" t="s">
        <v>3611</v>
      </c>
      <c r="AU2058" s="5123"/>
      <c r="AV2058" s="5123"/>
      <c r="AW2058" s="5123"/>
      <c r="AX2058" s="5123"/>
      <c r="AY2058" s="5123"/>
      <c r="AZ2058" s="5123"/>
      <c r="BA2058" s="5624"/>
      <c r="BB2058" s="5624"/>
      <c r="BC2058" s="5624"/>
      <c r="BD2058" s="5624"/>
      <c r="BE2058" s="5624"/>
      <c r="BF2058" s="5624"/>
      <c r="BG2058" s="5624"/>
      <c r="BH2058" s="5624"/>
      <c r="BI2058" s="5624"/>
      <c r="BJ2058" s="5624"/>
      <c r="BK2058" s="5624"/>
      <c r="BL2058" s="5624"/>
      <c r="BM2058" s="5624"/>
      <c r="BN2058" s="4036">
        <f>391000*0.3</f>
        <v>117300</v>
      </c>
      <c r="BO2058" s="5624"/>
      <c r="BP2058" s="5624"/>
      <c r="BQ2058" s="5624"/>
      <c r="BR2058" s="5624"/>
      <c r="BS2058" s="5624"/>
      <c r="BT2058" s="5624"/>
      <c r="BU2058" s="5624"/>
      <c r="BV2058" s="5624"/>
      <c r="BW2058" s="5624"/>
      <c r="BX2058" s="5624"/>
      <c r="BY2058" s="5624"/>
      <c r="BZ2058" s="5624"/>
      <c r="CA2058" s="5624"/>
      <c r="CB2058" s="2960">
        <v>117300</v>
      </c>
      <c r="CC2058" s="2960"/>
      <c r="CD2058" s="2960"/>
      <c r="CE2058" s="6876"/>
      <c r="CF2058" s="6876"/>
      <c r="CG2058" s="6876"/>
      <c r="CH2058" s="6876"/>
    </row>
    <row r="2059" s="4999" customFormat="1" ht="61" spans="1:86">
      <c r="A2059" s="2960"/>
      <c r="B2059" s="6345"/>
      <c r="C2059" s="4184"/>
      <c r="D2059" s="5572"/>
      <c r="E2059" s="4198"/>
      <c r="F2059" s="5572"/>
      <c r="G2059" s="5572"/>
      <c r="H2059" s="4198"/>
      <c r="I2059" s="6123"/>
      <c r="J2059" s="5608"/>
      <c r="K2059" s="5705"/>
      <c r="L2059" s="6847"/>
      <c r="M2059" s="4198"/>
      <c r="N2059" s="6850"/>
      <c r="O2059" s="6850"/>
      <c r="P2059" s="6850"/>
      <c r="Q2059" s="6850"/>
      <c r="R2059" s="6850"/>
      <c r="S2059" s="6850"/>
      <c r="T2059" s="6850"/>
      <c r="U2059" s="6850"/>
      <c r="V2059" s="6850"/>
      <c r="W2059" s="6850"/>
      <c r="X2059" s="6850"/>
      <c r="Y2059" s="6850"/>
      <c r="Z2059" s="6850"/>
      <c r="AA2059" s="6850"/>
      <c r="AB2059" s="6933"/>
      <c r="AC2059" s="5705">
        <v>5</v>
      </c>
      <c r="AD2059" s="6863" t="s">
        <v>3612</v>
      </c>
      <c r="AE2059" s="6846" t="s">
        <v>3613</v>
      </c>
      <c r="AF2059" s="4036">
        <f>299200*0.15</f>
        <v>44880</v>
      </c>
      <c r="AG2059" s="6989">
        <f t="shared" si="454"/>
        <v>44880</v>
      </c>
      <c r="AH2059" s="6865" t="s">
        <v>122</v>
      </c>
      <c r="AI2059" s="4036">
        <v>45602</v>
      </c>
      <c r="AJ2059" s="4036">
        <v>44880</v>
      </c>
      <c r="AK2059" s="4036">
        <v>45602</v>
      </c>
      <c r="AL2059" s="6989">
        <v>44880</v>
      </c>
      <c r="AM2059" s="4036">
        <v>45604</v>
      </c>
      <c r="AN2059" s="6989">
        <f t="shared" si="453"/>
        <v>44880</v>
      </c>
      <c r="AO2059" s="4036">
        <v>45623</v>
      </c>
      <c r="AP2059" s="5624"/>
      <c r="AQ2059" s="6868"/>
      <c r="AR2059" s="6868"/>
      <c r="AS2059" s="6868"/>
      <c r="AT2059" s="5624"/>
      <c r="AU2059" s="5123"/>
      <c r="AV2059" s="5123"/>
      <c r="AW2059" s="5123"/>
      <c r="AX2059" s="5123"/>
      <c r="AY2059" s="5123"/>
      <c r="AZ2059" s="5123"/>
      <c r="BA2059" s="5624"/>
      <c r="BB2059" s="5624"/>
      <c r="BC2059" s="5624"/>
      <c r="BD2059" s="5624"/>
      <c r="BE2059" s="5624"/>
      <c r="BF2059" s="5624"/>
      <c r="BG2059" s="5624"/>
      <c r="BH2059" s="5624"/>
      <c r="BI2059" s="5624"/>
      <c r="BJ2059" s="5624"/>
      <c r="BK2059" s="5624"/>
      <c r="BL2059" s="5624"/>
      <c r="BM2059" s="5624"/>
      <c r="BN2059" s="5624">
        <f>299200*0.15</f>
        <v>44880</v>
      </c>
      <c r="BO2059" s="5624"/>
      <c r="BP2059" s="5624"/>
      <c r="BQ2059" s="5624"/>
      <c r="BR2059" s="5624"/>
      <c r="BS2059" s="5624"/>
      <c r="BT2059" s="5624"/>
      <c r="BU2059" s="5624"/>
      <c r="BV2059" s="5624"/>
      <c r="BW2059" s="5624"/>
      <c r="BX2059" s="5624"/>
      <c r="BY2059" s="5624"/>
      <c r="BZ2059" s="5624"/>
      <c r="CA2059" s="5624"/>
      <c r="CB2059" s="5624">
        <f>299200*0.15</f>
        <v>44880</v>
      </c>
      <c r="CC2059" s="2960"/>
      <c r="CD2059" s="2960"/>
      <c r="CE2059" s="6876"/>
      <c r="CF2059" s="6876"/>
      <c r="CG2059" s="6876"/>
      <c r="CH2059" s="6876"/>
    </row>
    <row r="2060" s="4999" customFormat="1" ht="76" spans="1:86">
      <c r="A2060" s="2960"/>
      <c r="B2060" s="6345"/>
      <c r="C2060" s="4184"/>
      <c r="D2060" s="5572"/>
      <c r="E2060" s="4198"/>
      <c r="F2060" s="5572"/>
      <c r="G2060" s="5572"/>
      <c r="H2060" s="4198"/>
      <c r="I2060" s="6123"/>
      <c r="J2060" s="5608"/>
      <c r="K2060" s="5705"/>
      <c r="L2060" s="6847"/>
      <c r="M2060" s="4198"/>
      <c r="N2060" s="6850"/>
      <c r="O2060" s="6850"/>
      <c r="P2060" s="6850"/>
      <c r="Q2060" s="6850"/>
      <c r="R2060" s="6850"/>
      <c r="S2060" s="6850"/>
      <c r="T2060" s="6850"/>
      <c r="U2060" s="6850"/>
      <c r="V2060" s="6850"/>
      <c r="W2060" s="6850"/>
      <c r="X2060" s="6850"/>
      <c r="Y2060" s="6850"/>
      <c r="Z2060" s="6850"/>
      <c r="AA2060" s="6850"/>
      <c r="AB2060" s="6933"/>
      <c r="AC2060" s="5705"/>
      <c r="AD2060" s="5608" t="s">
        <v>3614</v>
      </c>
      <c r="AE2060" s="6847"/>
      <c r="AF2060" s="2960">
        <f>3189750*0.15</f>
        <v>478462.5</v>
      </c>
      <c r="AG2060" s="6991">
        <f t="shared" si="454"/>
        <v>478462.5</v>
      </c>
      <c r="AH2060" s="918" t="s">
        <v>122</v>
      </c>
      <c r="AI2060" s="2960">
        <v>45602</v>
      </c>
      <c r="AJ2060" s="2960">
        <v>478462.5</v>
      </c>
      <c r="AK2060" s="2960">
        <v>45602</v>
      </c>
      <c r="AL2060" s="6991">
        <v>478462.5</v>
      </c>
      <c r="AM2060" s="2960">
        <v>45604</v>
      </c>
      <c r="AN2060" s="6991">
        <f t="shared" si="453"/>
        <v>478462.5</v>
      </c>
      <c r="AO2060" s="2960">
        <v>45623</v>
      </c>
      <c r="AP2060" s="5624"/>
      <c r="AQ2060" s="6868"/>
      <c r="AR2060" s="6868"/>
      <c r="AS2060" s="6868"/>
      <c r="AT2060" s="5624"/>
      <c r="AU2060" s="5123"/>
      <c r="AV2060" s="5123"/>
      <c r="AW2060" s="5123"/>
      <c r="AX2060" s="5123"/>
      <c r="AY2060" s="5123"/>
      <c r="AZ2060" s="5123"/>
      <c r="BA2060" s="5624"/>
      <c r="BB2060" s="5624"/>
      <c r="BC2060" s="5624"/>
      <c r="BD2060" s="5624"/>
      <c r="BE2060" s="5624"/>
      <c r="BF2060" s="5624"/>
      <c r="BG2060" s="5624"/>
      <c r="BH2060" s="5624"/>
      <c r="BI2060" s="5624"/>
      <c r="BJ2060" s="5624"/>
      <c r="BK2060" s="5624"/>
      <c r="BL2060" s="5624"/>
      <c r="BM2060" s="5624"/>
      <c r="BN2060" s="5624">
        <f>3189750*0.15</f>
        <v>478462.5</v>
      </c>
      <c r="BO2060" s="5624"/>
      <c r="BP2060" s="5624"/>
      <c r="BQ2060" s="5624"/>
      <c r="BR2060" s="5624"/>
      <c r="BS2060" s="5624"/>
      <c r="BT2060" s="5624"/>
      <c r="BU2060" s="5624"/>
      <c r="BV2060" s="5624"/>
      <c r="BW2060" s="5624"/>
      <c r="BX2060" s="5624"/>
      <c r="BY2060" s="5624"/>
      <c r="BZ2060" s="5624"/>
      <c r="CA2060" s="5624"/>
      <c r="CB2060" s="5624">
        <f>3189750*0.15</f>
        <v>478462.5</v>
      </c>
      <c r="CC2060" s="2960"/>
      <c r="CD2060" s="2960"/>
      <c r="CE2060" s="6876"/>
      <c r="CF2060" s="6876"/>
      <c r="CG2060" s="6876"/>
      <c r="CH2060" s="6876"/>
    </row>
    <row r="2061" s="4999" customFormat="1" ht="46" spans="1:86">
      <c r="A2061" s="2960"/>
      <c r="B2061" s="6345"/>
      <c r="C2061" s="4184"/>
      <c r="D2061" s="5572"/>
      <c r="E2061" s="4198"/>
      <c r="F2061" s="5572"/>
      <c r="G2061" s="5572"/>
      <c r="H2061" s="4198"/>
      <c r="I2061" s="6123"/>
      <c r="J2061" s="5608"/>
      <c r="K2061" s="5705"/>
      <c r="L2061" s="6847"/>
      <c r="M2061" s="4198"/>
      <c r="N2061" s="6850"/>
      <c r="O2061" s="6850"/>
      <c r="P2061" s="6850"/>
      <c r="Q2061" s="6850"/>
      <c r="R2061" s="6850"/>
      <c r="S2061" s="6850"/>
      <c r="T2061" s="6850"/>
      <c r="U2061" s="6850"/>
      <c r="V2061" s="6850"/>
      <c r="W2061" s="6850"/>
      <c r="X2061" s="6850"/>
      <c r="Y2061" s="6850"/>
      <c r="Z2061" s="6850"/>
      <c r="AA2061" s="6850"/>
      <c r="AB2061" s="6933"/>
      <c r="AC2061" s="5705"/>
      <c r="AD2061" s="6863" t="s">
        <v>3615</v>
      </c>
      <c r="AE2061" s="6911"/>
      <c r="AF2061" s="4036">
        <f>391000*0.15</f>
        <v>58650</v>
      </c>
      <c r="AG2061" s="6866">
        <f t="shared" si="454"/>
        <v>58650</v>
      </c>
      <c r="AH2061" s="6992" t="s">
        <v>349</v>
      </c>
      <c r="AI2061" s="6866">
        <v>46203</v>
      </c>
      <c r="AJ2061" s="6866"/>
      <c r="AK2061" s="6866"/>
      <c r="AL2061" s="6866"/>
      <c r="AM2061" s="6866"/>
      <c r="AN2061" s="6866">
        <f t="shared" si="453"/>
        <v>58650</v>
      </c>
      <c r="AO2061" s="6866">
        <v>46233</v>
      </c>
      <c r="AP2061" s="6866"/>
      <c r="AQ2061" s="7009"/>
      <c r="AR2061" s="7009"/>
      <c r="AS2061" s="7009"/>
      <c r="AT2061" s="6866"/>
      <c r="AU2061" s="5123"/>
      <c r="AV2061" s="5123"/>
      <c r="AW2061" s="5123"/>
      <c r="AX2061" s="5123"/>
      <c r="AY2061" s="5123"/>
      <c r="AZ2061" s="5123"/>
      <c r="BA2061" s="5624"/>
      <c r="BB2061" s="5624"/>
      <c r="BC2061" s="5624"/>
      <c r="BD2061" s="5624"/>
      <c r="BE2061" s="5624"/>
      <c r="BF2061" s="5624"/>
      <c r="BG2061" s="5624"/>
      <c r="BH2061" s="5624"/>
      <c r="BI2061" s="5624"/>
      <c r="BJ2061" s="5624"/>
      <c r="BK2061" s="5624"/>
      <c r="BL2061" s="5624"/>
      <c r="BM2061" s="5624"/>
      <c r="BN2061" s="5624">
        <v>58650</v>
      </c>
      <c r="BO2061" s="5624"/>
      <c r="BP2061" s="5624"/>
      <c r="BQ2061" s="5624"/>
      <c r="BR2061" s="5624"/>
      <c r="BS2061" s="5624"/>
      <c r="BT2061" s="5624"/>
      <c r="BU2061" s="5624"/>
      <c r="BV2061" s="5624"/>
      <c r="BW2061" s="5624"/>
      <c r="BX2061" s="5624"/>
      <c r="BY2061" s="5624"/>
      <c r="BZ2061" s="5624"/>
      <c r="CA2061" s="5624"/>
      <c r="CB2061" s="5624">
        <v>58650</v>
      </c>
      <c r="CC2061" s="2960"/>
      <c r="CD2061" s="2960"/>
      <c r="CE2061" s="6876"/>
      <c r="CF2061" s="6876"/>
      <c r="CG2061" s="6876"/>
      <c r="CH2061" s="6876"/>
    </row>
    <row r="2062" s="4999" customFormat="1" ht="46" spans="1:86">
      <c r="A2062" s="2960"/>
      <c r="B2062" s="6345"/>
      <c r="C2062" s="4184"/>
      <c r="D2062" s="5572"/>
      <c r="E2062" s="4198"/>
      <c r="F2062" s="5572"/>
      <c r="G2062" s="5572"/>
      <c r="H2062" s="4198"/>
      <c r="I2062" s="6123"/>
      <c r="J2062" s="5608"/>
      <c r="K2062" s="5705"/>
      <c r="L2062" s="6847"/>
      <c r="M2062" s="4198"/>
      <c r="N2062" s="6850"/>
      <c r="O2062" s="6850"/>
      <c r="P2062" s="6850"/>
      <c r="Q2062" s="6850"/>
      <c r="R2062" s="6850"/>
      <c r="S2062" s="6850"/>
      <c r="T2062" s="6850"/>
      <c r="U2062" s="6850"/>
      <c r="V2062" s="6850"/>
      <c r="W2062" s="6850"/>
      <c r="X2062" s="6850"/>
      <c r="Y2062" s="6850"/>
      <c r="Z2062" s="6850"/>
      <c r="AA2062" s="6850"/>
      <c r="AB2062" s="6933"/>
      <c r="AC2062" s="6847">
        <v>6</v>
      </c>
      <c r="AD2062" s="6863" t="s">
        <v>3616</v>
      </c>
      <c r="AE2062" s="6846" t="s">
        <v>3617</v>
      </c>
      <c r="AF2062" s="4036">
        <f>299200*0.05</f>
        <v>14960</v>
      </c>
      <c r="AG2062" s="6866">
        <f t="shared" si="454"/>
        <v>14960</v>
      </c>
      <c r="AH2062" s="6992" t="s">
        <v>349</v>
      </c>
      <c r="AI2062" s="6866">
        <v>46203</v>
      </c>
      <c r="AJ2062" s="6866"/>
      <c r="AK2062" s="6866"/>
      <c r="AL2062" s="6866"/>
      <c r="AM2062" s="6866"/>
      <c r="AN2062" s="6866">
        <f t="shared" si="453"/>
        <v>14960</v>
      </c>
      <c r="AO2062" s="6866">
        <v>46233</v>
      </c>
      <c r="AP2062" s="5624"/>
      <c r="AQ2062" s="6868"/>
      <c r="AR2062" s="6868"/>
      <c r="AS2062" s="6868"/>
      <c r="AT2062" s="5624"/>
      <c r="AU2062" s="5123"/>
      <c r="AV2062" s="5123"/>
      <c r="AW2062" s="5123"/>
      <c r="AX2062" s="5123"/>
      <c r="AY2062" s="5123"/>
      <c r="AZ2062" s="5123"/>
      <c r="BA2062" s="5624"/>
      <c r="BB2062" s="5624"/>
      <c r="BC2062" s="5624"/>
      <c r="BD2062" s="5624"/>
      <c r="BE2062" s="5624"/>
      <c r="BF2062" s="5624"/>
      <c r="BG2062" s="5624"/>
      <c r="BH2062" s="5624"/>
      <c r="BI2062" s="5624"/>
      <c r="BJ2062" s="5624"/>
      <c r="BK2062" s="5624"/>
      <c r="BL2062" s="5624"/>
      <c r="BM2062" s="5624"/>
      <c r="BN2062" s="5624">
        <v>14960</v>
      </c>
      <c r="BO2062" s="5624"/>
      <c r="BP2062" s="5624"/>
      <c r="BQ2062" s="5624"/>
      <c r="BR2062" s="5624"/>
      <c r="BS2062" s="5624"/>
      <c r="BT2062" s="5624"/>
      <c r="BU2062" s="5624"/>
      <c r="BV2062" s="5624"/>
      <c r="BW2062" s="5624"/>
      <c r="BX2062" s="5624"/>
      <c r="BY2062" s="5624"/>
      <c r="BZ2062" s="5624"/>
      <c r="CA2062" s="5624"/>
      <c r="CB2062" s="5624">
        <v>14960</v>
      </c>
      <c r="CC2062" s="2960"/>
      <c r="CD2062" s="2960"/>
      <c r="CE2062" s="6876"/>
      <c r="CF2062" s="6876"/>
      <c r="CG2062" s="6876"/>
      <c r="CH2062" s="6876"/>
    </row>
    <row r="2063" s="4999" customFormat="1" ht="61" spans="1:86">
      <c r="A2063" s="2960"/>
      <c r="B2063" s="6345"/>
      <c r="C2063" s="4184"/>
      <c r="D2063" s="5572"/>
      <c r="E2063" s="4198"/>
      <c r="F2063" s="5572"/>
      <c r="G2063" s="5572"/>
      <c r="H2063" s="4198"/>
      <c r="I2063" s="6123"/>
      <c r="J2063" s="5608"/>
      <c r="K2063" s="5705"/>
      <c r="L2063" s="6847"/>
      <c r="M2063" s="4198"/>
      <c r="N2063" s="6850"/>
      <c r="O2063" s="6850"/>
      <c r="P2063" s="6850"/>
      <c r="Q2063" s="6850"/>
      <c r="R2063" s="6850"/>
      <c r="S2063" s="6850"/>
      <c r="T2063" s="6850"/>
      <c r="U2063" s="6850"/>
      <c r="V2063" s="6850"/>
      <c r="W2063" s="6850"/>
      <c r="X2063" s="6850"/>
      <c r="Y2063" s="6850"/>
      <c r="Z2063" s="6850"/>
      <c r="AA2063" s="6850"/>
      <c r="AB2063" s="6933"/>
      <c r="AC2063" s="6847"/>
      <c r="AD2063" s="5608" t="s">
        <v>3618</v>
      </c>
      <c r="AE2063" s="6847"/>
      <c r="AF2063" s="2960">
        <f>3189750*0.05</f>
        <v>159487.5</v>
      </c>
      <c r="AG2063" s="5624">
        <f t="shared" si="454"/>
        <v>0</v>
      </c>
      <c r="AH2063" s="5624"/>
      <c r="AI2063" s="5624"/>
      <c r="AJ2063" s="5624"/>
      <c r="AK2063" s="5624"/>
      <c r="AL2063" s="5624"/>
      <c r="AM2063" s="5624"/>
      <c r="AN2063" s="5624"/>
      <c r="AO2063" s="5624"/>
      <c r="AP2063" s="5624"/>
      <c r="AQ2063" s="6868"/>
      <c r="AR2063" s="6868"/>
      <c r="AS2063" s="6868"/>
      <c r="AT2063" s="5624"/>
      <c r="AU2063" s="5123"/>
      <c r="AV2063" s="5123"/>
      <c r="AW2063" s="5123"/>
      <c r="AX2063" s="5123"/>
      <c r="AY2063" s="5123"/>
      <c r="AZ2063" s="5123"/>
      <c r="BA2063" s="5624"/>
      <c r="BB2063" s="5624"/>
      <c r="BC2063" s="5624"/>
      <c r="BD2063" s="5624"/>
      <c r="BE2063" s="5624"/>
      <c r="BF2063" s="5624"/>
      <c r="BG2063" s="5624"/>
      <c r="BH2063" s="5624"/>
      <c r="BI2063" s="5624"/>
      <c r="BJ2063" s="5624"/>
      <c r="BK2063" s="5624"/>
      <c r="BL2063" s="5624"/>
      <c r="BM2063" s="5624"/>
      <c r="BN2063" s="5624"/>
      <c r="BO2063" s="5624"/>
      <c r="BP2063" s="5624"/>
      <c r="BQ2063" s="5624"/>
      <c r="BR2063" s="5624"/>
      <c r="BS2063" s="5624"/>
      <c r="BT2063" s="5624"/>
      <c r="BU2063" s="5624"/>
      <c r="BV2063" s="5624"/>
      <c r="BW2063" s="5624"/>
      <c r="BX2063" s="5624"/>
      <c r="BY2063" s="5624"/>
      <c r="BZ2063" s="5624"/>
      <c r="CA2063" s="5624"/>
      <c r="CB2063" s="5624"/>
      <c r="CC2063" s="2960"/>
      <c r="CD2063" s="2960"/>
      <c r="CE2063" s="6876"/>
      <c r="CF2063" s="6876"/>
      <c r="CG2063" s="6876"/>
      <c r="CH2063" s="6876"/>
    </row>
    <row r="2064" s="4999" customFormat="1" ht="46" spans="1:86">
      <c r="A2064" s="2960"/>
      <c r="B2064" s="6345"/>
      <c r="C2064" s="4184"/>
      <c r="D2064" s="5572"/>
      <c r="E2064" s="4198"/>
      <c r="F2064" s="5572"/>
      <c r="G2064" s="5572"/>
      <c r="H2064" s="3448"/>
      <c r="I2064" s="6123"/>
      <c r="J2064" s="5608"/>
      <c r="K2064" s="5705"/>
      <c r="L2064" s="6911"/>
      <c r="M2064" s="3448"/>
      <c r="N2064" s="6851"/>
      <c r="O2064" s="6851"/>
      <c r="P2064" s="6851"/>
      <c r="Q2064" s="6851"/>
      <c r="R2064" s="6851"/>
      <c r="S2064" s="6851"/>
      <c r="T2064" s="6851"/>
      <c r="U2064" s="6851"/>
      <c r="V2064" s="6851"/>
      <c r="W2064" s="6851"/>
      <c r="X2064" s="6851"/>
      <c r="Y2064" s="6851"/>
      <c r="Z2064" s="6851"/>
      <c r="AA2064" s="6851"/>
      <c r="AB2064" s="6934"/>
      <c r="AC2064" s="6911"/>
      <c r="AD2064" s="6863" t="s">
        <v>3619</v>
      </c>
      <c r="AE2064" s="6911"/>
      <c r="AF2064" s="4036">
        <f>391000*0.05</f>
        <v>19550</v>
      </c>
      <c r="AG2064" s="6866">
        <f t="shared" si="454"/>
        <v>0</v>
      </c>
      <c r="AH2064" s="6866"/>
      <c r="AI2064" s="6866"/>
      <c r="AJ2064" s="6866"/>
      <c r="AK2064" s="6866"/>
      <c r="AL2064" s="6866"/>
      <c r="AM2064" s="6866"/>
      <c r="AN2064" s="6866"/>
      <c r="AO2064" s="6866"/>
      <c r="AP2064" s="6866"/>
      <c r="AQ2064" s="7009"/>
      <c r="AR2064" s="7009"/>
      <c r="AS2064" s="7009"/>
      <c r="AT2064" s="6866"/>
      <c r="AU2064" s="5123"/>
      <c r="AV2064" s="5123"/>
      <c r="AW2064" s="5123"/>
      <c r="AX2064" s="5123"/>
      <c r="AY2064" s="5123"/>
      <c r="AZ2064" s="5123"/>
      <c r="BA2064" s="5624"/>
      <c r="BB2064" s="5624"/>
      <c r="BC2064" s="5624"/>
      <c r="BD2064" s="5624"/>
      <c r="BE2064" s="5624"/>
      <c r="BF2064" s="5624"/>
      <c r="BG2064" s="5624"/>
      <c r="BH2064" s="5624"/>
      <c r="BI2064" s="5624"/>
      <c r="BJ2064" s="5624"/>
      <c r="BK2064" s="5624"/>
      <c r="BL2064" s="5624"/>
      <c r="BM2064" s="5624"/>
      <c r="BN2064" s="5624"/>
      <c r="BO2064" s="5624"/>
      <c r="BP2064" s="5624"/>
      <c r="BQ2064" s="5624"/>
      <c r="BR2064" s="5624"/>
      <c r="BS2064" s="5624"/>
      <c r="BT2064" s="5624"/>
      <c r="BU2064" s="5624"/>
      <c r="BV2064" s="5624"/>
      <c r="BW2064" s="5624"/>
      <c r="BX2064" s="5624"/>
      <c r="BY2064" s="5624"/>
      <c r="BZ2064" s="5624"/>
      <c r="CA2064" s="5624"/>
      <c r="CB2064" s="5624"/>
      <c r="CC2064" s="2960"/>
      <c r="CD2064" s="2960"/>
      <c r="CE2064" s="6876"/>
      <c r="CF2064" s="6876"/>
      <c r="CG2064" s="6876"/>
      <c r="CH2064" s="6876"/>
    </row>
    <row r="2065" s="5000" customFormat="1" ht="31.5" customHeight="1" spans="1:86">
      <c r="A2065" s="3065"/>
      <c r="B2065" s="6500"/>
      <c r="C2065" s="4184">
        <v>45239</v>
      </c>
      <c r="D2065" s="2328"/>
      <c r="E2065" s="4131"/>
      <c r="F2065" s="2328"/>
      <c r="G2065" s="2328"/>
      <c r="H2065" s="6519" t="s">
        <v>3620</v>
      </c>
      <c r="I2065" s="6123"/>
      <c r="J2065" s="6388" t="s">
        <v>3571</v>
      </c>
      <c r="K2065" s="6518">
        <v>200203.39</v>
      </c>
      <c r="L2065" s="5232"/>
      <c r="M2065" s="4129">
        <f>SUBTOTAL(9,N2065:AA2073)</f>
        <v>1909618.1</v>
      </c>
      <c r="N2065" s="6849"/>
      <c r="O2065" s="6849"/>
      <c r="P2065" s="6849"/>
      <c r="Q2065" s="6849"/>
      <c r="R2065" s="6849"/>
      <c r="S2065" s="6849"/>
      <c r="T2065" s="6849"/>
      <c r="U2065" s="6849"/>
      <c r="V2065" s="6849"/>
      <c r="W2065" s="6849"/>
      <c r="X2065" s="6849"/>
      <c r="Y2065" s="6849">
        <v>1909618.1</v>
      </c>
      <c r="Z2065" s="6849"/>
      <c r="AA2065" s="6849">
        <v>0</v>
      </c>
      <c r="AB2065" s="6854" t="s">
        <v>35</v>
      </c>
      <c r="AC2065" s="5232">
        <v>1</v>
      </c>
      <c r="AD2065" s="2088" t="s">
        <v>3621</v>
      </c>
      <c r="AE2065" s="2088" t="s">
        <v>3622</v>
      </c>
      <c r="AF2065" s="4129">
        <f>1859425.74*0.15</f>
        <v>278913.861</v>
      </c>
      <c r="AG2065" s="3065">
        <f t="shared" si="454"/>
        <v>53701.15</v>
      </c>
      <c r="AH2065" s="6444" t="s">
        <v>122</v>
      </c>
      <c r="AI2065" s="3065">
        <v>45287</v>
      </c>
      <c r="AJ2065" s="3065" t="s">
        <v>122</v>
      </c>
      <c r="AK2065" s="3065">
        <v>45287</v>
      </c>
      <c r="AL2065" s="3065">
        <v>53701.15</v>
      </c>
      <c r="AM2065" s="3065">
        <v>45369</v>
      </c>
      <c r="AN2065" s="3065">
        <f t="shared" ref="AN2065:AN2072" si="455">SUBTOTAL(9,BO2065:CB2065)</f>
        <v>53701.15</v>
      </c>
      <c r="AO2065" s="3065">
        <v>45379</v>
      </c>
      <c r="AP2065" s="6527"/>
      <c r="AQ2065" s="2326" t="s">
        <v>3623</v>
      </c>
      <c r="AR2065" s="7010"/>
      <c r="AS2065" s="7010"/>
      <c r="AT2065" s="6388" t="s">
        <v>3624</v>
      </c>
      <c r="AU2065" s="5123"/>
      <c r="AV2065" s="5123"/>
      <c r="AW2065" s="5123"/>
      <c r="AX2065" s="5123"/>
      <c r="AY2065" s="5123"/>
      <c r="AZ2065" s="5123"/>
      <c r="BA2065" s="3065"/>
      <c r="BB2065" s="3065"/>
      <c r="BC2065" s="3065"/>
      <c r="BD2065" s="3065"/>
      <c r="BE2065" s="3065"/>
      <c r="BF2065" s="3065"/>
      <c r="BG2065" s="3065"/>
      <c r="BH2065" s="3065"/>
      <c r="BI2065" s="3065"/>
      <c r="BJ2065" s="3065"/>
      <c r="BK2065" s="3065"/>
      <c r="BL2065" s="3065">
        <f>53701.15</f>
        <v>53701.15</v>
      </c>
      <c r="BM2065" s="3065"/>
      <c r="BN2065" s="3065"/>
      <c r="BO2065" s="3065"/>
      <c r="BP2065" s="3065"/>
      <c r="BQ2065" s="3065"/>
      <c r="BR2065" s="3065"/>
      <c r="BS2065" s="3065"/>
      <c r="BT2065" s="3065"/>
      <c r="BU2065" s="3065"/>
      <c r="BV2065" s="3065"/>
      <c r="BW2065" s="3065"/>
      <c r="BX2065" s="3065"/>
      <c r="BY2065" s="3065"/>
      <c r="BZ2065" s="3065">
        <f>53701.15</f>
        <v>53701.15</v>
      </c>
      <c r="CA2065" s="3065"/>
      <c r="CB2065" s="3065"/>
      <c r="CC2065" s="3065"/>
      <c r="CD2065" s="3065"/>
      <c r="CE2065" s="7020"/>
      <c r="CF2065" s="7020"/>
      <c r="CG2065" s="7020"/>
      <c r="CH2065" s="7020"/>
    </row>
    <row r="2066" s="5000" customFormat="1" ht="27" customHeight="1" spans="1:86">
      <c r="A2066" s="3065"/>
      <c r="B2066" s="6500"/>
      <c r="C2066" s="4184"/>
      <c r="D2066" s="2328"/>
      <c r="E2066" s="4131"/>
      <c r="F2066" s="2328"/>
      <c r="G2066" s="2328"/>
      <c r="H2066" s="6500"/>
      <c r="I2066" s="6123"/>
      <c r="J2066" s="6388"/>
      <c r="K2066" s="6518"/>
      <c r="L2066" s="5233"/>
      <c r="M2066" s="4131"/>
      <c r="N2066" s="6850"/>
      <c r="O2066" s="6850"/>
      <c r="P2066" s="6850"/>
      <c r="Q2066" s="6850"/>
      <c r="R2066" s="6850"/>
      <c r="S2066" s="6850"/>
      <c r="T2066" s="6850"/>
      <c r="U2066" s="6850"/>
      <c r="V2066" s="6850"/>
      <c r="W2066" s="6850"/>
      <c r="X2066" s="6850"/>
      <c r="Y2066" s="6850"/>
      <c r="Z2066" s="6850"/>
      <c r="AA2066" s="6850"/>
      <c r="AB2066" s="6855"/>
      <c r="AC2066" s="5233"/>
      <c r="AD2066" s="2089"/>
      <c r="AE2066" s="2089"/>
      <c r="AF2066" s="4131"/>
      <c r="AG2066" s="3065">
        <f t="shared" si="454"/>
        <v>225212.71</v>
      </c>
      <c r="AH2066" s="6444" t="s">
        <v>122</v>
      </c>
      <c r="AI2066" s="6444">
        <v>45287</v>
      </c>
      <c r="AJ2066" s="4129">
        <v>232741.57</v>
      </c>
      <c r="AK2066" s="6519">
        <v>45287</v>
      </c>
      <c r="AL2066" s="3065">
        <v>225212.71</v>
      </c>
      <c r="AM2066" s="3065">
        <v>45369</v>
      </c>
      <c r="AN2066" s="3065">
        <f t="shared" si="455"/>
        <v>225212.71</v>
      </c>
      <c r="AO2066" s="3065">
        <v>45379</v>
      </c>
      <c r="AP2066" s="6527"/>
      <c r="AQ2066" s="5233"/>
      <c r="AR2066" s="7010"/>
      <c r="AS2066" s="7010"/>
      <c r="AT2066" s="6527"/>
      <c r="AU2066" s="5123"/>
      <c r="AV2066" s="5123"/>
      <c r="AW2066" s="5123"/>
      <c r="AX2066" s="5123"/>
      <c r="AY2066" s="5123"/>
      <c r="AZ2066" s="5123"/>
      <c r="BA2066" s="3065"/>
      <c r="BB2066" s="3065"/>
      <c r="BC2066" s="3065"/>
      <c r="BD2066" s="3065"/>
      <c r="BE2066" s="3065"/>
      <c r="BF2066" s="3065"/>
      <c r="BG2066" s="3065"/>
      <c r="BH2066" s="3065"/>
      <c r="BI2066" s="3065"/>
      <c r="BJ2066" s="3065"/>
      <c r="BK2066" s="3065"/>
      <c r="BL2066" s="3065">
        <v>225212.71</v>
      </c>
      <c r="BM2066" s="3065"/>
      <c r="BN2066" s="3065"/>
      <c r="BO2066" s="3065"/>
      <c r="BP2066" s="3065"/>
      <c r="BQ2066" s="3065"/>
      <c r="BR2066" s="3065"/>
      <c r="BS2066" s="3065"/>
      <c r="BT2066" s="3065"/>
      <c r="BU2066" s="3065"/>
      <c r="BV2066" s="3065"/>
      <c r="BW2066" s="3065"/>
      <c r="BX2066" s="3065"/>
      <c r="BY2066" s="3065"/>
      <c r="BZ2066" s="3065">
        <f>278913.86-BZ2065</f>
        <v>225212.71</v>
      </c>
      <c r="CA2066" s="3065"/>
      <c r="CB2066" s="3065"/>
      <c r="CC2066" s="3065"/>
      <c r="CD2066" s="3065"/>
      <c r="CE2066" s="7020"/>
      <c r="CF2066" s="7020"/>
      <c r="CG2066" s="7020"/>
      <c r="CH2066" s="7020"/>
    </row>
    <row r="2067" s="5000" customFormat="1" ht="27" customHeight="1" spans="1:86">
      <c r="A2067" s="3065"/>
      <c r="B2067" s="6500"/>
      <c r="C2067" s="4184"/>
      <c r="D2067" s="2328"/>
      <c r="E2067" s="4131"/>
      <c r="F2067" s="2328"/>
      <c r="G2067" s="2328"/>
      <c r="H2067" s="6500"/>
      <c r="I2067" s="6123"/>
      <c r="J2067" s="6388"/>
      <c r="K2067" s="6518"/>
      <c r="L2067" s="5233"/>
      <c r="M2067" s="4131"/>
      <c r="N2067" s="6850"/>
      <c r="O2067" s="6850"/>
      <c r="P2067" s="6850"/>
      <c r="Q2067" s="6850"/>
      <c r="R2067" s="6850"/>
      <c r="S2067" s="6850"/>
      <c r="T2067" s="6850"/>
      <c r="U2067" s="6850"/>
      <c r="V2067" s="6850"/>
      <c r="W2067" s="6850"/>
      <c r="X2067" s="6850"/>
      <c r="Y2067" s="6850"/>
      <c r="Z2067" s="6850"/>
      <c r="AA2067" s="6850"/>
      <c r="AB2067" s="6855"/>
      <c r="AC2067" s="6583"/>
      <c r="AD2067" s="2090"/>
      <c r="AE2067" s="2090"/>
      <c r="AF2067" s="6602"/>
      <c r="AG2067" s="3065">
        <v>7528.86000000002</v>
      </c>
      <c r="AH2067" s="6444" t="s">
        <v>122</v>
      </c>
      <c r="AI2067" s="6444">
        <v>45287</v>
      </c>
      <c r="AJ2067" s="3065">
        <v>7528.86000000002</v>
      </c>
      <c r="AK2067" s="6444">
        <v>45287</v>
      </c>
      <c r="AL2067" s="3065">
        <v>7528.86000000002</v>
      </c>
      <c r="AM2067" s="3065">
        <v>45502</v>
      </c>
      <c r="AN2067" s="3065">
        <f t="shared" si="455"/>
        <v>7528.86000000002</v>
      </c>
      <c r="AO2067" s="3065">
        <v>45524</v>
      </c>
      <c r="AP2067" s="6527"/>
      <c r="AQ2067" s="5233"/>
      <c r="AR2067" s="7010"/>
      <c r="AS2067" s="7010"/>
      <c r="AT2067" s="6527"/>
      <c r="AU2067" s="5123"/>
      <c r="AV2067" s="5123"/>
      <c r="AW2067" s="5123"/>
      <c r="AX2067" s="5123"/>
      <c r="AY2067" s="5123"/>
      <c r="AZ2067" s="5123"/>
      <c r="BA2067" s="6527"/>
      <c r="BB2067" s="6527"/>
      <c r="BC2067" s="6527"/>
      <c r="BD2067" s="6527"/>
      <c r="BE2067" s="6527"/>
      <c r="BF2067" s="6527"/>
      <c r="BG2067" s="6527"/>
      <c r="BH2067" s="6527"/>
      <c r="BI2067" s="6527"/>
      <c r="BJ2067" s="6527"/>
      <c r="BK2067" s="6527"/>
      <c r="BL2067" s="3065">
        <v>7528.86000000002</v>
      </c>
      <c r="BM2067" s="3065"/>
      <c r="BN2067" s="3065"/>
      <c r="BO2067" s="6527"/>
      <c r="BP2067" s="6527"/>
      <c r="BQ2067" s="6527"/>
      <c r="BR2067" s="6527"/>
      <c r="BS2067" s="6527"/>
      <c r="BT2067" s="6527"/>
      <c r="BU2067" s="6527"/>
      <c r="BV2067" s="6527"/>
      <c r="BW2067" s="6527"/>
      <c r="BX2067" s="6527"/>
      <c r="BY2067" s="6527"/>
      <c r="BZ2067" s="3065">
        <v>7528.86000000002</v>
      </c>
      <c r="CA2067" s="3065"/>
      <c r="CB2067" s="3065"/>
      <c r="CC2067" s="3065"/>
      <c r="CD2067" s="3065"/>
      <c r="CE2067" s="5169">
        <f>SUBTOTAL(9,BO2067:CB2067)</f>
        <v>7528.86000000002</v>
      </c>
      <c r="CF2067" s="5169">
        <f>AN2067-CE2067</f>
        <v>0</v>
      </c>
      <c r="CG2067" s="7020"/>
      <c r="CH2067" s="7020"/>
    </row>
    <row r="2068" s="5000" customFormat="1" spans="1:86">
      <c r="A2068" s="3065"/>
      <c r="B2068" s="6500"/>
      <c r="C2068" s="4184"/>
      <c r="D2068" s="2328"/>
      <c r="E2068" s="4131"/>
      <c r="F2068" s="2328"/>
      <c r="G2068" s="2328"/>
      <c r="H2068" s="4131"/>
      <c r="I2068" s="6123"/>
      <c r="J2068" s="6388"/>
      <c r="K2068" s="6518"/>
      <c r="L2068" s="5233"/>
      <c r="M2068" s="4131"/>
      <c r="N2068" s="6850"/>
      <c r="O2068" s="6850"/>
      <c r="P2068" s="6850"/>
      <c r="Q2068" s="6850"/>
      <c r="R2068" s="6850"/>
      <c r="S2068" s="6850"/>
      <c r="T2068" s="6850"/>
      <c r="U2068" s="6850"/>
      <c r="V2068" s="6850"/>
      <c r="W2068" s="6850"/>
      <c r="X2068" s="6850"/>
      <c r="Y2068" s="6850"/>
      <c r="Z2068" s="6850"/>
      <c r="AA2068" s="6850"/>
      <c r="AB2068" s="6933"/>
      <c r="AC2068" s="5232">
        <v>2</v>
      </c>
      <c r="AD2068" s="2088" t="s">
        <v>3625</v>
      </c>
      <c r="AE2068" s="2326" t="s">
        <v>3626</v>
      </c>
      <c r="AF2068" s="4129">
        <f>1859425.74*0.2</f>
        <v>371885.148</v>
      </c>
      <c r="AG2068" s="4129">
        <f>SUBTOTAL(9,BA2068:BN2068)</f>
        <v>371885.148</v>
      </c>
      <c r="AH2068" s="6519" t="s">
        <v>122</v>
      </c>
      <c r="AI2068" s="4129">
        <v>45377</v>
      </c>
      <c r="AJ2068" s="4129">
        <v>371885.148</v>
      </c>
      <c r="AK2068" s="4129">
        <v>45377</v>
      </c>
      <c r="AL2068" s="4129">
        <v>371885.148</v>
      </c>
      <c r="AM2068" s="4129">
        <v>45378</v>
      </c>
      <c r="AN2068" s="3065">
        <f t="shared" si="455"/>
        <v>371885</v>
      </c>
      <c r="AO2068" s="3065">
        <v>45408</v>
      </c>
      <c r="AP2068" s="6527">
        <f>AG2068-AN2068</f>
        <v>0.147999999986496</v>
      </c>
      <c r="AQ2068" s="5233"/>
      <c r="AR2068" s="7010"/>
      <c r="AS2068" s="7010"/>
      <c r="AT2068" s="6527"/>
      <c r="AU2068" s="5123"/>
      <c r="AV2068" s="5123"/>
      <c r="AW2068" s="5123"/>
      <c r="AX2068" s="5123"/>
      <c r="AY2068" s="5123"/>
      <c r="AZ2068" s="5123"/>
      <c r="BA2068" s="6527"/>
      <c r="BB2068" s="6527"/>
      <c r="BC2068" s="6527"/>
      <c r="BD2068" s="6527"/>
      <c r="BE2068" s="6527"/>
      <c r="BF2068" s="6527"/>
      <c r="BG2068" s="6527"/>
      <c r="BH2068" s="6527"/>
      <c r="BI2068" s="6527"/>
      <c r="BJ2068" s="6527"/>
      <c r="BK2068" s="6527"/>
      <c r="BL2068" s="3065">
        <v>371885.148</v>
      </c>
      <c r="BM2068" s="3065"/>
      <c r="BN2068" s="6527"/>
      <c r="BO2068" s="6527"/>
      <c r="BP2068" s="6527"/>
      <c r="BQ2068" s="6527"/>
      <c r="BR2068" s="6527"/>
      <c r="BS2068" s="6527"/>
      <c r="BT2068" s="6527"/>
      <c r="BU2068" s="6527"/>
      <c r="BV2068" s="6527"/>
      <c r="BW2068" s="6527"/>
      <c r="BX2068" s="6527"/>
      <c r="BY2068" s="6527"/>
      <c r="BZ2068" s="7019">
        <v>371885</v>
      </c>
      <c r="CA2068" s="7019"/>
      <c r="CB2068" s="6527"/>
      <c r="CC2068" s="3065"/>
      <c r="CD2068" s="3065"/>
      <c r="CE2068" s="7020"/>
      <c r="CF2068" s="7020"/>
      <c r="CG2068" s="7020"/>
      <c r="CH2068" s="7020"/>
    </row>
    <row r="2069" s="5000" customFormat="1" spans="1:86">
      <c r="A2069" s="3065"/>
      <c r="B2069" s="6500"/>
      <c r="C2069" s="4184"/>
      <c r="D2069" s="2328"/>
      <c r="E2069" s="4131"/>
      <c r="F2069" s="2328"/>
      <c r="G2069" s="2328"/>
      <c r="H2069" s="4131"/>
      <c r="I2069" s="6123"/>
      <c r="J2069" s="6388"/>
      <c r="K2069" s="6518"/>
      <c r="L2069" s="5233"/>
      <c r="M2069" s="4131"/>
      <c r="N2069" s="6850"/>
      <c r="O2069" s="6850"/>
      <c r="P2069" s="6850"/>
      <c r="Q2069" s="6850"/>
      <c r="R2069" s="6850"/>
      <c r="S2069" s="6850"/>
      <c r="T2069" s="6850"/>
      <c r="U2069" s="6850"/>
      <c r="V2069" s="6850"/>
      <c r="W2069" s="6850"/>
      <c r="X2069" s="6850"/>
      <c r="Y2069" s="6850"/>
      <c r="Z2069" s="6850"/>
      <c r="AA2069" s="6850"/>
      <c r="AB2069" s="6933"/>
      <c r="AC2069" s="6583"/>
      <c r="AD2069" s="2090"/>
      <c r="AE2069" s="2330"/>
      <c r="AF2069" s="6602"/>
      <c r="AG2069" s="6602"/>
      <c r="AH2069" s="6993"/>
      <c r="AI2069" s="6602"/>
      <c r="AJ2069" s="6602"/>
      <c r="AK2069" s="6602"/>
      <c r="AL2069" s="6602"/>
      <c r="AM2069" s="6602"/>
      <c r="AN2069" s="3065">
        <f t="shared" si="455"/>
        <v>0.15</v>
      </c>
      <c r="AO2069" s="3065">
        <v>45433</v>
      </c>
      <c r="AP2069" s="6527"/>
      <c r="AQ2069" s="5233"/>
      <c r="AR2069" s="7010"/>
      <c r="AS2069" s="7010"/>
      <c r="AT2069" s="6527"/>
      <c r="AU2069" s="5123"/>
      <c r="AV2069" s="5123"/>
      <c r="AW2069" s="5123"/>
      <c r="AX2069" s="5123"/>
      <c r="AY2069" s="5123"/>
      <c r="AZ2069" s="5123"/>
      <c r="BA2069" s="6527"/>
      <c r="BB2069" s="3065"/>
      <c r="BC2069" s="3065"/>
      <c r="BD2069" s="3065"/>
      <c r="BE2069" s="3065"/>
      <c r="BF2069" s="3065"/>
      <c r="BG2069" s="3065"/>
      <c r="BH2069" s="3065"/>
      <c r="BI2069" s="3065"/>
      <c r="BJ2069" s="3065"/>
      <c r="BK2069" s="3065"/>
      <c r="BL2069" s="3065"/>
      <c r="BM2069" s="3065"/>
      <c r="BN2069" s="3065"/>
      <c r="BO2069" s="3065"/>
      <c r="BP2069" s="3065"/>
      <c r="BQ2069" s="3065"/>
      <c r="BR2069" s="3065"/>
      <c r="BS2069" s="3065"/>
      <c r="BT2069" s="3065"/>
      <c r="BU2069" s="3065"/>
      <c r="BV2069" s="3065"/>
      <c r="BW2069" s="3065"/>
      <c r="BX2069" s="3065"/>
      <c r="BY2069" s="3065"/>
      <c r="BZ2069" s="3065">
        <v>0.15</v>
      </c>
      <c r="CA2069" s="3065"/>
      <c r="CB2069" s="3065"/>
      <c r="CC2069" s="3065"/>
      <c r="CD2069" s="3065"/>
      <c r="CE2069" s="7020"/>
      <c r="CF2069" s="7020"/>
      <c r="CG2069" s="7020"/>
      <c r="CH2069" s="7020"/>
    </row>
    <row r="2070" s="5000" customFormat="1" ht="107" spans="1:86">
      <c r="A2070" s="3065"/>
      <c r="B2070" s="6500"/>
      <c r="C2070" s="4184"/>
      <c r="D2070" s="2328"/>
      <c r="E2070" s="4131"/>
      <c r="F2070" s="2328"/>
      <c r="G2070" s="2328"/>
      <c r="H2070" s="4131"/>
      <c r="I2070" s="6123"/>
      <c r="J2070" s="6388"/>
      <c r="K2070" s="6518"/>
      <c r="L2070" s="5233"/>
      <c r="M2070" s="4131"/>
      <c r="N2070" s="6850"/>
      <c r="O2070" s="6850"/>
      <c r="P2070" s="6850"/>
      <c r="Q2070" s="6850"/>
      <c r="R2070" s="6850"/>
      <c r="S2070" s="6850"/>
      <c r="T2070" s="6850"/>
      <c r="U2070" s="6850"/>
      <c r="V2070" s="6850"/>
      <c r="W2070" s="6850"/>
      <c r="X2070" s="6850"/>
      <c r="Y2070" s="6850"/>
      <c r="Z2070" s="6850"/>
      <c r="AA2070" s="6850"/>
      <c r="AB2070" s="6933"/>
      <c r="AC2070" s="6518">
        <v>3</v>
      </c>
      <c r="AD2070" s="6562" t="s">
        <v>3627</v>
      </c>
      <c r="AE2070" s="6388" t="s">
        <v>3628</v>
      </c>
      <c r="AF2070" s="3065">
        <f>1859425.74*0.15</f>
        <v>278913.861</v>
      </c>
      <c r="AG2070" s="3065">
        <f t="shared" ref="AG2070:AG2101" si="456">SUBTOTAL(9,BA2070:BN2070)</f>
        <v>271385</v>
      </c>
      <c r="AH2070" s="6444" t="s">
        <v>122</v>
      </c>
      <c r="AI2070" s="3065">
        <v>45499</v>
      </c>
      <c r="AJ2070" s="3065">
        <f>SUBTOTAL(9,BD2070:BQ2070)</f>
        <v>271385</v>
      </c>
      <c r="AK2070" s="3065">
        <v>45499</v>
      </c>
      <c r="AL2070" s="6442">
        <v>271385</v>
      </c>
      <c r="AM2070" s="3065">
        <v>45502</v>
      </c>
      <c r="AN2070" s="3065">
        <f t="shared" si="455"/>
        <v>271385</v>
      </c>
      <c r="AO2070" s="3065">
        <v>45524</v>
      </c>
      <c r="AP2070" s="7011" t="s">
        <v>3629</v>
      </c>
      <c r="AQ2070" s="5233"/>
      <c r="AR2070" s="7010"/>
      <c r="AS2070" s="7010"/>
      <c r="AT2070" s="6527"/>
      <c r="AU2070" s="5123"/>
      <c r="AV2070" s="5123"/>
      <c r="AW2070" s="5123"/>
      <c r="AX2070" s="5123"/>
      <c r="AY2070" s="5123"/>
      <c r="AZ2070" s="5123"/>
      <c r="BA2070" s="6527"/>
      <c r="BB2070" s="6527"/>
      <c r="BC2070" s="6527"/>
      <c r="BD2070" s="6527"/>
      <c r="BE2070" s="6527"/>
      <c r="BF2070" s="6527"/>
      <c r="BG2070" s="6527"/>
      <c r="BH2070" s="6527"/>
      <c r="BI2070" s="6527"/>
      <c r="BJ2070" s="6527"/>
      <c r="BK2070" s="6527"/>
      <c r="BL2070" s="3065">
        <v>271385</v>
      </c>
      <c r="BM2070" s="3065"/>
      <c r="BN2070" s="3065"/>
      <c r="BO2070" s="6527"/>
      <c r="BP2070" s="6527"/>
      <c r="BQ2070" s="6527"/>
      <c r="BR2070" s="6527"/>
      <c r="BS2070" s="6527"/>
      <c r="BT2070" s="6527"/>
      <c r="BU2070" s="6527"/>
      <c r="BV2070" s="6527"/>
      <c r="BW2070" s="6527"/>
      <c r="BX2070" s="6527"/>
      <c r="BY2070" s="6527"/>
      <c r="BZ2070" s="3065">
        <v>271385</v>
      </c>
      <c r="CA2070" s="3065"/>
      <c r="CB2070" s="3065"/>
      <c r="CC2070" s="3065"/>
      <c r="CD2070" s="3065"/>
      <c r="CE2070" s="5169">
        <f>SUBTOTAL(9,BO2070:CB2070)</f>
        <v>271385</v>
      </c>
      <c r="CF2070" s="5169">
        <f>AN2070-CE2070</f>
        <v>0</v>
      </c>
      <c r="CG2070" s="7020"/>
      <c r="CH2070" s="7020"/>
    </row>
    <row r="2071" s="5000" customFormat="1" ht="107" spans="1:86">
      <c r="A2071" s="3065"/>
      <c r="B2071" s="6500"/>
      <c r="C2071" s="4184"/>
      <c r="D2071" s="2328"/>
      <c r="E2071" s="4131"/>
      <c r="F2071" s="2328"/>
      <c r="G2071" s="2328"/>
      <c r="H2071" s="4131"/>
      <c r="I2071" s="6123"/>
      <c r="J2071" s="6388"/>
      <c r="K2071" s="6518"/>
      <c r="L2071" s="5233"/>
      <c r="M2071" s="4131"/>
      <c r="N2071" s="6850"/>
      <c r="O2071" s="6850"/>
      <c r="P2071" s="6850"/>
      <c r="Q2071" s="6850"/>
      <c r="R2071" s="6850"/>
      <c r="S2071" s="6850"/>
      <c r="T2071" s="6850"/>
      <c r="U2071" s="6850"/>
      <c r="V2071" s="6850"/>
      <c r="W2071" s="6850"/>
      <c r="X2071" s="6850"/>
      <c r="Y2071" s="6850"/>
      <c r="Z2071" s="6850"/>
      <c r="AA2071" s="6850"/>
      <c r="AB2071" s="6933"/>
      <c r="AC2071" s="6518">
        <v>4</v>
      </c>
      <c r="AD2071" s="6945" t="s">
        <v>3630</v>
      </c>
      <c r="AE2071" s="2087" t="s">
        <v>3631</v>
      </c>
      <c r="AF2071" s="3065">
        <f>1859425.74*0.3</f>
        <v>557827.722</v>
      </c>
      <c r="AG2071" s="3065">
        <f t="shared" si="456"/>
        <v>557827.722</v>
      </c>
      <c r="AH2071" s="6444" t="s">
        <v>122</v>
      </c>
      <c r="AI2071" s="3065">
        <v>45531</v>
      </c>
      <c r="AJ2071" s="3065">
        <f>SUBTOTAL(9,BD2071:BQ2071)</f>
        <v>557827.722</v>
      </c>
      <c r="AK2071" s="3065">
        <v>45531</v>
      </c>
      <c r="AL2071" s="3065">
        <f>SUBTOTAL(9,BF2071:BS2071)</f>
        <v>557827.722</v>
      </c>
      <c r="AM2071" s="3065">
        <v>45532</v>
      </c>
      <c r="AN2071" s="3065">
        <f t="shared" si="455"/>
        <v>557827.722</v>
      </c>
      <c r="AO2071" s="3065">
        <v>45562</v>
      </c>
      <c r="AP2071" s="6527"/>
      <c r="AQ2071" s="5233"/>
      <c r="AR2071" s="7010"/>
      <c r="AS2071" s="7010"/>
      <c r="AT2071" s="6527"/>
      <c r="AU2071" s="5123"/>
      <c r="AV2071" s="5123"/>
      <c r="AW2071" s="5123"/>
      <c r="AX2071" s="5123"/>
      <c r="AY2071" s="5123"/>
      <c r="AZ2071" s="5123"/>
      <c r="BA2071" s="6527"/>
      <c r="BB2071" s="6527"/>
      <c r="BC2071" s="6527"/>
      <c r="BD2071" s="6527"/>
      <c r="BE2071" s="6527"/>
      <c r="BF2071" s="6527"/>
      <c r="BG2071" s="6527"/>
      <c r="BH2071" s="6527"/>
      <c r="BI2071" s="6527"/>
      <c r="BJ2071" s="6527"/>
      <c r="BK2071" s="6527"/>
      <c r="BL2071" s="3065">
        <v>557827.722</v>
      </c>
      <c r="BM2071" s="3065"/>
      <c r="BN2071" s="6527"/>
      <c r="BO2071" s="6527"/>
      <c r="BP2071" s="6527"/>
      <c r="BQ2071" s="6527"/>
      <c r="BR2071" s="6527"/>
      <c r="BS2071" s="6527"/>
      <c r="BT2071" s="6527"/>
      <c r="BU2071" s="6527"/>
      <c r="BV2071" s="6527"/>
      <c r="BW2071" s="6527"/>
      <c r="BX2071" s="6527"/>
      <c r="BY2071" s="6527"/>
      <c r="BZ2071" s="3065">
        <v>557827.722</v>
      </c>
      <c r="CA2071" s="3065"/>
      <c r="CB2071" s="6527"/>
      <c r="CC2071" s="3065"/>
      <c r="CD2071" s="3065"/>
      <c r="CE2071" s="7020"/>
      <c r="CF2071" s="7020"/>
      <c r="CG2071" s="7020"/>
      <c r="CH2071" s="7020"/>
    </row>
    <row r="2072" s="5000" customFormat="1" ht="92" spans="1:86">
      <c r="A2072" s="3065"/>
      <c r="B2072" s="6500"/>
      <c r="C2072" s="4184"/>
      <c r="D2072" s="2328"/>
      <c r="E2072" s="4131"/>
      <c r="F2072" s="2328"/>
      <c r="G2072" s="2328"/>
      <c r="H2072" s="4131"/>
      <c r="I2072" s="6123"/>
      <c r="J2072" s="6388"/>
      <c r="K2072" s="6518"/>
      <c r="L2072" s="5233"/>
      <c r="M2072" s="4131"/>
      <c r="N2072" s="6850"/>
      <c r="O2072" s="6850"/>
      <c r="P2072" s="6850"/>
      <c r="Q2072" s="6850"/>
      <c r="R2072" s="6850"/>
      <c r="S2072" s="6850"/>
      <c r="T2072" s="6850"/>
      <c r="U2072" s="6850"/>
      <c r="V2072" s="6850"/>
      <c r="W2072" s="6850"/>
      <c r="X2072" s="6850"/>
      <c r="Y2072" s="6850"/>
      <c r="Z2072" s="6850"/>
      <c r="AA2072" s="6850"/>
      <c r="AB2072" s="6933"/>
      <c r="AC2072" s="6518">
        <v>5</v>
      </c>
      <c r="AD2072" s="6945" t="s">
        <v>3632</v>
      </c>
      <c r="AE2072" s="2087" t="s">
        <v>3633</v>
      </c>
      <c r="AF2072" s="3065">
        <f>1859425.74*0.15</f>
        <v>278913.861</v>
      </c>
      <c r="AG2072" s="6527">
        <f t="shared" si="456"/>
        <v>278913.861</v>
      </c>
      <c r="AH2072" s="6452" t="s">
        <v>349</v>
      </c>
      <c r="AI2072" s="6527">
        <v>46203</v>
      </c>
      <c r="AJ2072" s="6527"/>
      <c r="AK2072" s="6527"/>
      <c r="AL2072" s="6527"/>
      <c r="AM2072" s="6527"/>
      <c r="AN2072" s="6527">
        <f t="shared" si="455"/>
        <v>278913.861</v>
      </c>
      <c r="AO2072" s="6527">
        <v>46233</v>
      </c>
      <c r="AP2072" s="6527"/>
      <c r="AQ2072" s="5233"/>
      <c r="AR2072" s="7010"/>
      <c r="AS2072" s="7010"/>
      <c r="AT2072" s="6527"/>
      <c r="AU2072" s="5123"/>
      <c r="AV2072" s="5123"/>
      <c r="AW2072" s="5123"/>
      <c r="AX2072" s="5123"/>
      <c r="AY2072" s="5123"/>
      <c r="AZ2072" s="5123"/>
      <c r="BA2072" s="6527"/>
      <c r="BB2072" s="6527"/>
      <c r="BC2072" s="6527"/>
      <c r="BD2072" s="6527"/>
      <c r="BE2072" s="6527"/>
      <c r="BF2072" s="6527"/>
      <c r="BG2072" s="6527"/>
      <c r="BH2072" s="6527"/>
      <c r="BI2072" s="6527"/>
      <c r="BJ2072" s="6527"/>
      <c r="BK2072" s="6527"/>
      <c r="BL2072" s="6527">
        <v>278913.861</v>
      </c>
      <c r="BM2072" s="6527"/>
      <c r="BN2072" s="6527"/>
      <c r="BO2072" s="6527"/>
      <c r="BP2072" s="6527"/>
      <c r="BQ2072" s="6527"/>
      <c r="BR2072" s="6527"/>
      <c r="BS2072" s="6527"/>
      <c r="BT2072" s="6527"/>
      <c r="BU2072" s="6527"/>
      <c r="BV2072" s="6527"/>
      <c r="BW2072" s="6527"/>
      <c r="BX2072" s="6527"/>
      <c r="BY2072" s="6527"/>
      <c r="BZ2072" s="6527">
        <v>278913.861</v>
      </c>
      <c r="CA2072" s="6527"/>
      <c r="CB2072" s="6527"/>
      <c r="CC2072" s="3065"/>
      <c r="CD2072" s="3065"/>
      <c r="CE2072" s="7020"/>
      <c r="CF2072" s="7020"/>
      <c r="CG2072" s="7020"/>
      <c r="CH2072" s="7020"/>
    </row>
    <row r="2073" s="5000" customFormat="1" ht="76" spans="1:86">
      <c r="A2073" s="3065"/>
      <c r="B2073" s="6500"/>
      <c r="C2073" s="4184"/>
      <c r="D2073" s="2328"/>
      <c r="E2073" s="4131"/>
      <c r="F2073" s="2328"/>
      <c r="G2073" s="2328"/>
      <c r="H2073" s="6602"/>
      <c r="I2073" s="6123"/>
      <c r="J2073" s="6388"/>
      <c r="K2073" s="6518"/>
      <c r="L2073" s="6583"/>
      <c r="M2073" s="6602"/>
      <c r="N2073" s="6851"/>
      <c r="O2073" s="6851"/>
      <c r="P2073" s="6851"/>
      <c r="Q2073" s="6851"/>
      <c r="R2073" s="6851"/>
      <c r="S2073" s="6851"/>
      <c r="T2073" s="6851"/>
      <c r="U2073" s="6851"/>
      <c r="V2073" s="6851"/>
      <c r="W2073" s="6851"/>
      <c r="X2073" s="6851"/>
      <c r="Y2073" s="6851"/>
      <c r="Z2073" s="6851"/>
      <c r="AA2073" s="6851"/>
      <c r="AB2073" s="6934"/>
      <c r="AC2073" s="6518">
        <v>6</v>
      </c>
      <c r="AD2073" s="6945" t="s">
        <v>3634</v>
      </c>
      <c r="AE2073" s="2087" t="s">
        <v>3635</v>
      </c>
      <c r="AF2073" s="3065">
        <f>1859425.74*0.05</f>
        <v>92971.287</v>
      </c>
      <c r="AG2073" s="6527">
        <f t="shared" si="456"/>
        <v>0</v>
      </c>
      <c r="AH2073" s="6527"/>
      <c r="AI2073" s="6527"/>
      <c r="AJ2073" s="6527"/>
      <c r="AK2073" s="6527"/>
      <c r="AL2073" s="6527"/>
      <c r="AM2073" s="6527"/>
      <c r="AN2073" s="6527"/>
      <c r="AO2073" s="6527"/>
      <c r="AP2073" s="6527"/>
      <c r="AQ2073" s="6583"/>
      <c r="AR2073" s="7010"/>
      <c r="AS2073" s="7010"/>
      <c r="AT2073" s="6527"/>
      <c r="AU2073" s="5123"/>
      <c r="AV2073" s="5123"/>
      <c r="AW2073" s="5123"/>
      <c r="AX2073" s="5123"/>
      <c r="AY2073" s="5123"/>
      <c r="AZ2073" s="5123"/>
      <c r="BA2073" s="6527"/>
      <c r="BB2073" s="6527"/>
      <c r="BC2073" s="6527"/>
      <c r="BD2073" s="6527"/>
      <c r="BE2073" s="6527"/>
      <c r="BF2073" s="6527"/>
      <c r="BG2073" s="6527"/>
      <c r="BH2073" s="6527"/>
      <c r="BI2073" s="6527"/>
      <c r="BJ2073" s="6527"/>
      <c r="BK2073" s="6527"/>
      <c r="BL2073" s="6527"/>
      <c r="BM2073" s="6527"/>
      <c r="BN2073" s="6527"/>
      <c r="BO2073" s="6527"/>
      <c r="BP2073" s="6527"/>
      <c r="BQ2073" s="6527"/>
      <c r="BR2073" s="6527"/>
      <c r="BS2073" s="6527"/>
      <c r="BT2073" s="6527"/>
      <c r="BU2073" s="6527"/>
      <c r="BV2073" s="6527"/>
      <c r="BW2073" s="6527"/>
      <c r="BX2073" s="6527"/>
      <c r="BY2073" s="6527"/>
      <c r="BZ2073" s="6527"/>
      <c r="CA2073" s="6527"/>
      <c r="CB2073" s="6527"/>
      <c r="CC2073" s="3065"/>
      <c r="CD2073" s="3065"/>
      <c r="CE2073" s="7020"/>
      <c r="CF2073" s="7020"/>
      <c r="CG2073" s="7020"/>
      <c r="CH2073" s="7020"/>
    </row>
    <row r="2074" s="5001" customFormat="1" ht="61" spans="1:86">
      <c r="A2074" s="5479"/>
      <c r="B2074" s="6877"/>
      <c r="C2074" s="3057">
        <v>45239</v>
      </c>
      <c r="D2074" s="443"/>
      <c r="E2074" s="4282"/>
      <c r="F2074" s="443"/>
      <c r="G2074" s="443"/>
      <c r="H2074" s="5435" t="s">
        <v>3636</v>
      </c>
      <c r="I2074" s="6123"/>
      <c r="J2074" s="5465" t="s">
        <v>3571</v>
      </c>
      <c r="K2074" s="5465" t="s">
        <v>3637</v>
      </c>
      <c r="L2074" s="5465" t="s">
        <v>393</v>
      </c>
      <c r="M2074" s="5477">
        <f>SUBTOTAL(9,N2074:AA2076)</f>
        <v>311189.27</v>
      </c>
      <c r="N2074" s="6849"/>
      <c r="O2074" s="6849"/>
      <c r="P2074" s="6849"/>
      <c r="Q2074" s="6849"/>
      <c r="R2074" s="6849"/>
      <c r="S2074" s="6849"/>
      <c r="T2074" s="6849"/>
      <c r="U2074" s="6849"/>
      <c r="V2074" s="6849">
        <v>311189.27</v>
      </c>
      <c r="W2074" s="6849"/>
      <c r="X2074" s="6849"/>
      <c r="Y2074" s="6849"/>
      <c r="Z2074" s="6849"/>
      <c r="AA2074" s="6849"/>
      <c r="AB2074" s="6854" t="s">
        <v>171</v>
      </c>
      <c r="AC2074" s="5923">
        <v>1</v>
      </c>
      <c r="AD2074" s="6946" t="s">
        <v>3358</v>
      </c>
      <c r="AE2074" s="2134" t="s">
        <v>3638</v>
      </c>
      <c r="AF2074" s="5479">
        <f>311189.27*0.4</f>
        <v>124475.708</v>
      </c>
      <c r="AG2074" s="5479">
        <f t="shared" si="456"/>
        <v>124475.708</v>
      </c>
      <c r="AH2074" s="4676" t="s">
        <v>122</v>
      </c>
      <c r="AI2074" s="5479">
        <v>45407</v>
      </c>
      <c r="AJ2074" s="5479">
        <v>124475.708</v>
      </c>
      <c r="AK2074" s="5479">
        <v>45407</v>
      </c>
      <c r="AL2074" s="5479">
        <v>124475.708</v>
      </c>
      <c r="AM2074" s="5479">
        <v>45408</v>
      </c>
      <c r="AN2074" s="5479">
        <f>SUBTOTAL(9,BO2074:CB2074)</f>
        <v>124475.708</v>
      </c>
      <c r="AO2074" s="5479">
        <v>45433</v>
      </c>
      <c r="AP2074" s="5480"/>
      <c r="AQ2074" s="7012"/>
      <c r="AR2074" s="7012"/>
      <c r="AS2074" s="7012"/>
      <c r="AT2074" s="5480"/>
      <c r="AU2074" s="5123"/>
      <c r="AV2074" s="5123"/>
      <c r="AW2074" s="5123"/>
      <c r="AX2074" s="5123"/>
      <c r="AY2074" s="5123"/>
      <c r="AZ2074" s="5123"/>
      <c r="BA2074" s="5480"/>
      <c r="BB2074" s="5479"/>
      <c r="BC2074" s="5479"/>
      <c r="BD2074" s="5479"/>
      <c r="BE2074" s="5479"/>
      <c r="BF2074" s="5479"/>
      <c r="BG2074" s="5479"/>
      <c r="BH2074" s="5479"/>
      <c r="BI2074" s="5479">
        <v>124475.708</v>
      </c>
      <c r="BJ2074" s="5479"/>
      <c r="BK2074" s="5479"/>
      <c r="BL2074" s="5479"/>
      <c r="BM2074" s="5479"/>
      <c r="BN2074" s="5479"/>
      <c r="BO2074" s="5479"/>
      <c r="BP2074" s="5479"/>
      <c r="BQ2074" s="5479"/>
      <c r="BR2074" s="5479"/>
      <c r="BS2074" s="5479"/>
      <c r="BT2074" s="5479"/>
      <c r="BU2074" s="5479"/>
      <c r="BV2074" s="5479"/>
      <c r="BW2074" s="5479">
        <v>124475.708</v>
      </c>
      <c r="BX2074" s="5479"/>
      <c r="BY2074" s="5479"/>
      <c r="BZ2074" s="5479"/>
      <c r="CA2074" s="5479"/>
      <c r="CB2074" s="5479"/>
      <c r="CC2074" s="5479"/>
      <c r="CD2074" s="5479"/>
      <c r="CE2074" s="7021"/>
      <c r="CF2074" s="7021"/>
      <c r="CG2074" s="7021"/>
      <c r="CH2074" s="7021"/>
    </row>
    <row r="2075" s="5001" customFormat="1" ht="76" spans="1:86">
      <c r="A2075" s="5479"/>
      <c r="B2075" s="6877"/>
      <c r="C2075" s="3057"/>
      <c r="D2075" s="443"/>
      <c r="E2075" s="4282"/>
      <c r="F2075" s="443"/>
      <c r="G2075" s="443"/>
      <c r="H2075" s="6896"/>
      <c r="I2075" s="6123"/>
      <c r="J2075" s="5465"/>
      <c r="K2075" s="5923"/>
      <c r="L2075" s="5923"/>
      <c r="M2075" s="5477"/>
      <c r="N2075" s="6850"/>
      <c r="O2075" s="6850"/>
      <c r="P2075" s="6850"/>
      <c r="Q2075" s="6850"/>
      <c r="R2075" s="6850"/>
      <c r="S2075" s="6850"/>
      <c r="T2075" s="6850"/>
      <c r="U2075" s="6850"/>
      <c r="V2075" s="6850"/>
      <c r="W2075" s="6850"/>
      <c r="X2075" s="6850"/>
      <c r="Y2075" s="6850"/>
      <c r="Z2075" s="6850"/>
      <c r="AA2075" s="6850"/>
      <c r="AB2075" s="6933"/>
      <c r="AC2075" s="5923">
        <v>2</v>
      </c>
      <c r="AD2075" s="6946" t="s">
        <v>3359</v>
      </c>
      <c r="AE2075" s="2134" t="s">
        <v>3639</v>
      </c>
      <c r="AF2075" s="5479">
        <f>311189.27*0.55</f>
        <v>171154.0985</v>
      </c>
      <c r="AG2075" s="5477">
        <f t="shared" si="456"/>
        <v>171154.0985</v>
      </c>
      <c r="AH2075" s="5478" t="s">
        <v>122</v>
      </c>
      <c r="AI2075" s="5477">
        <v>45639</v>
      </c>
      <c r="AJ2075" s="5479">
        <v>171154.0985</v>
      </c>
      <c r="AK2075" s="5479">
        <v>45639</v>
      </c>
      <c r="AL2075" s="5479">
        <v>171154.0985</v>
      </c>
      <c r="AM2075" s="5479">
        <v>45671</v>
      </c>
      <c r="AN2075" s="5479">
        <f>SUBTOTAL(9,BO2075:CB2075)</f>
        <v>171154.0985</v>
      </c>
      <c r="AO2075" s="5479">
        <v>45679</v>
      </c>
      <c r="AP2075" s="5480"/>
      <c r="AQ2075" s="7012"/>
      <c r="AR2075" s="7012"/>
      <c r="AS2075" s="7012"/>
      <c r="AT2075" s="5480"/>
      <c r="AU2075" s="5123"/>
      <c r="AV2075" s="5123"/>
      <c r="AW2075" s="5123"/>
      <c r="AX2075" s="5123"/>
      <c r="AY2075" s="5123"/>
      <c r="AZ2075" s="5123"/>
      <c r="BA2075" s="5480"/>
      <c r="BB2075" s="5480"/>
      <c r="BC2075" s="5480"/>
      <c r="BD2075" s="5480"/>
      <c r="BE2075" s="5480"/>
      <c r="BF2075" s="5480"/>
      <c r="BG2075" s="5480"/>
      <c r="BH2075" s="5480"/>
      <c r="BI2075" s="5480">
        <v>171154.0985</v>
      </c>
      <c r="BJ2075" s="5480"/>
      <c r="BK2075" s="5480"/>
      <c r="BL2075" s="5480"/>
      <c r="BM2075" s="5480"/>
      <c r="BN2075" s="5480"/>
      <c r="BO2075" s="5480"/>
      <c r="BP2075" s="5480"/>
      <c r="BQ2075" s="5480"/>
      <c r="BR2075" s="5480"/>
      <c r="BS2075" s="5480"/>
      <c r="BT2075" s="5480"/>
      <c r="BU2075" s="5480"/>
      <c r="BV2075" s="5479"/>
      <c r="BW2075" s="5477">
        <v>171154.0985</v>
      </c>
      <c r="BX2075" s="5480"/>
      <c r="BY2075" s="5480"/>
      <c r="BZ2075" s="5480"/>
      <c r="CA2075" s="5480"/>
      <c r="CB2075" s="5480"/>
      <c r="CC2075" s="5479"/>
      <c r="CD2075" s="5479"/>
      <c r="CE2075" s="7021"/>
      <c r="CF2075" s="7021"/>
      <c r="CG2075" s="7021"/>
      <c r="CH2075" s="7021"/>
    </row>
    <row r="2076" s="5001" customFormat="1" ht="92" spans="1:86">
      <c r="A2076" s="5479"/>
      <c r="B2076" s="6877"/>
      <c r="C2076" s="3057"/>
      <c r="D2076" s="443"/>
      <c r="E2076" s="4282"/>
      <c r="F2076" s="443"/>
      <c r="G2076" s="443"/>
      <c r="H2076" s="6897"/>
      <c r="I2076" s="6123"/>
      <c r="J2076" s="5465"/>
      <c r="K2076" s="6897"/>
      <c r="L2076" s="6897"/>
      <c r="M2076" s="5502"/>
      <c r="N2076" s="6851"/>
      <c r="O2076" s="6851"/>
      <c r="P2076" s="6851"/>
      <c r="Q2076" s="6851"/>
      <c r="R2076" s="6851"/>
      <c r="S2076" s="6851"/>
      <c r="T2076" s="6851"/>
      <c r="U2076" s="6851"/>
      <c r="V2076" s="6851"/>
      <c r="W2076" s="6851"/>
      <c r="X2076" s="6851"/>
      <c r="Y2076" s="6851"/>
      <c r="Z2076" s="6851"/>
      <c r="AA2076" s="6851"/>
      <c r="AB2076" s="6934"/>
      <c r="AC2076" s="5923">
        <v>3</v>
      </c>
      <c r="AD2076" s="6946" t="s">
        <v>3360</v>
      </c>
      <c r="AE2076" s="2134" t="s">
        <v>3640</v>
      </c>
      <c r="AF2076" s="5479">
        <f>311189.27*0.05</f>
        <v>15559.4635</v>
      </c>
      <c r="AG2076" s="5480">
        <f t="shared" si="456"/>
        <v>15559.4635</v>
      </c>
      <c r="AH2076" s="5480"/>
      <c r="AI2076" s="5480"/>
      <c r="AJ2076" s="5480"/>
      <c r="AK2076" s="5480"/>
      <c r="AL2076" s="5480"/>
      <c r="AM2076" s="5480"/>
      <c r="AN2076" s="5480"/>
      <c r="AO2076" s="5480"/>
      <c r="AP2076" s="5480"/>
      <c r="AQ2076" s="7012"/>
      <c r="AR2076" s="7012"/>
      <c r="AS2076" s="7012"/>
      <c r="AT2076" s="5480"/>
      <c r="AU2076" s="5123"/>
      <c r="AV2076" s="5123"/>
      <c r="AW2076" s="5123"/>
      <c r="AX2076" s="5123"/>
      <c r="AY2076" s="5123"/>
      <c r="AZ2076" s="5123"/>
      <c r="BA2076" s="5480"/>
      <c r="BB2076" s="5480"/>
      <c r="BC2076" s="5480"/>
      <c r="BD2076" s="5480"/>
      <c r="BE2076" s="5480"/>
      <c r="BF2076" s="5480"/>
      <c r="BG2076" s="5480"/>
      <c r="BH2076" s="5480"/>
      <c r="BI2076" s="5480">
        <v>15559.4635</v>
      </c>
      <c r="BJ2076" s="5480"/>
      <c r="BK2076" s="5480"/>
      <c r="BL2076" s="5480"/>
      <c r="BM2076" s="5480"/>
      <c r="BN2076" s="5480"/>
      <c r="BO2076" s="5480"/>
      <c r="BP2076" s="5480"/>
      <c r="BQ2076" s="5480"/>
      <c r="BR2076" s="5480"/>
      <c r="BS2076" s="5480"/>
      <c r="BT2076" s="5480"/>
      <c r="BU2076" s="5480"/>
      <c r="BV2076" s="5480"/>
      <c r="BW2076" s="5480"/>
      <c r="BX2076" s="5480"/>
      <c r="BY2076" s="5480"/>
      <c r="BZ2076" s="5480"/>
      <c r="CA2076" s="5480"/>
      <c r="CB2076" s="5480"/>
      <c r="CC2076" s="5479"/>
      <c r="CD2076" s="5479"/>
      <c r="CE2076" s="7021"/>
      <c r="CF2076" s="7021"/>
      <c r="CG2076" s="7021"/>
      <c r="CH2076" s="7021"/>
    </row>
    <row r="2077" s="4998" customFormat="1" ht="61" spans="1:86">
      <c r="A2077" s="4099"/>
      <c r="B2077" s="6344"/>
      <c r="C2077" s="3057">
        <v>45239</v>
      </c>
      <c r="D2077" s="2322"/>
      <c r="E2077" s="5228"/>
      <c r="F2077" s="2322"/>
      <c r="G2077" s="2322"/>
      <c r="H2077" s="5418" t="s">
        <v>3641</v>
      </c>
      <c r="I2077" s="6123"/>
      <c r="J2077" s="5418" t="s">
        <v>3571</v>
      </c>
      <c r="K2077" s="5418" t="s">
        <v>171</v>
      </c>
      <c r="L2077" s="5418" t="s">
        <v>3642</v>
      </c>
      <c r="M2077" s="6404">
        <f>SUBTOTAL(9,N2077:AA2077)</f>
        <v>80000</v>
      </c>
      <c r="N2077" s="5690"/>
      <c r="O2077" s="5690"/>
      <c r="P2077" s="5690"/>
      <c r="Q2077" s="5690"/>
      <c r="R2077" s="5690"/>
      <c r="S2077" s="5690"/>
      <c r="T2077" s="5690"/>
      <c r="U2077" s="5690"/>
      <c r="V2077" s="5690">
        <v>80000</v>
      </c>
      <c r="W2077" s="5690"/>
      <c r="X2077" s="5690"/>
      <c r="Y2077" s="5690"/>
      <c r="Z2077" s="5690"/>
      <c r="AA2077" s="5690"/>
      <c r="AB2077" s="1086" t="s">
        <v>171</v>
      </c>
      <c r="AC2077" s="2358">
        <v>1</v>
      </c>
      <c r="AD2077" s="6947" t="s">
        <v>3643</v>
      </c>
      <c r="AE2077" s="6947" t="s">
        <v>3644</v>
      </c>
      <c r="AF2077" s="4099">
        <f>80000</f>
        <v>80000</v>
      </c>
      <c r="AG2077" s="4099">
        <f t="shared" si="456"/>
        <v>80000</v>
      </c>
      <c r="AH2077" s="5491" t="s">
        <v>122</v>
      </c>
      <c r="AI2077" s="4099">
        <v>45369</v>
      </c>
      <c r="AJ2077" s="5851"/>
      <c r="AK2077" s="5851"/>
      <c r="AL2077" s="4099">
        <f>SUBTOTAL(9,BF2077:BS2077)</f>
        <v>80000</v>
      </c>
      <c r="AM2077" s="4099">
        <v>45369</v>
      </c>
      <c r="AN2077" s="5479">
        <f t="shared" ref="AN2077:AN2085" si="457">SUBTOTAL(9,BO2077:CB2077)</f>
        <v>80000</v>
      </c>
      <c r="AO2077" s="6878">
        <v>45379</v>
      </c>
      <c r="AP2077" s="5851"/>
      <c r="AQ2077" s="7013"/>
      <c r="AR2077" s="7013"/>
      <c r="AS2077" s="7013"/>
      <c r="AT2077" s="5851"/>
      <c r="AU2077" s="5123"/>
      <c r="AV2077" s="5123"/>
      <c r="AW2077" s="5123"/>
      <c r="AX2077" s="5123"/>
      <c r="AY2077" s="5123"/>
      <c r="AZ2077" s="5123"/>
      <c r="BA2077" s="4099"/>
      <c r="BB2077" s="4099"/>
      <c r="BC2077" s="4099"/>
      <c r="BD2077" s="4099"/>
      <c r="BE2077" s="4099"/>
      <c r="BF2077" s="4099"/>
      <c r="BG2077" s="4099"/>
      <c r="BH2077" s="4099"/>
      <c r="BI2077" s="4099">
        <v>80000</v>
      </c>
      <c r="BJ2077" s="4099"/>
      <c r="BK2077" s="4099"/>
      <c r="BL2077" s="4099"/>
      <c r="BM2077" s="4099"/>
      <c r="BN2077" s="4099"/>
      <c r="BO2077" s="4099"/>
      <c r="BP2077" s="4099"/>
      <c r="BQ2077" s="4099"/>
      <c r="BR2077" s="4099"/>
      <c r="BS2077" s="4099"/>
      <c r="BT2077" s="4099"/>
      <c r="BU2077" s="4099"/>
      <c r="BV2077" s="4099"/>
      <c r="BW2077" s="4099">
        <v>80000</v>
      </c>
      <c r="BX2077" s="4099"/>
      <c r="BY2077" s="4099"/>
      <c r="BZ2077" s="4099"/>
      <c r="CA2077" s="4099"/>
      <c r="CB2077" s="4099"/>
      <c r="CC2077" s="4099"/>
      <c r="CD2077" s="4099"/>
      <c r="CE2077" s="6840"/>
      <c r="CF2077" s="6840"/>
      <c r="CG2077" s="6840"/>
      <c r="CH2077" s="6840"/>
    </row>
    <row r="2078" s="5002" customFormat="1" ht="61" spans="1:86">
      <c r="A2078" s="6878"/>
      <c r="B2078" s="6879"/>
      <c r="C2078" s="3057">
        <v>45239</v>
      </c>
      <c r="D2078" s="6880"/>
      <c r="E2078" s="6898"/>
      <c r="F2078" s="6880"/>
      <c r="G2078" s="6880"/>
      <c r="H2078" s="6899" t="s">
        <v>3645</v>
      </c>
      <c r="I2078" s="6123"/>
      <c r="J2078" s="6912" t="s">
        <v>3571</v>
      </c>
      <c r="K2078" s="6913">
        <v>200203.39</v>
      </c>
      <c r="L2078" s="6899" t="s">
        <v>3646</v>
      </c>
      <c r="M2078" s="6929">
        <f>SUBTOTAL(9,N2078:AA2081)</f>
        <v>1001016.95</v>
      </c>
      <c r="N2078" s="6849"/>
      <c r="O2078" s="6849"/>
      <c r="P2078" s="6849"/>
      <c r="Q2078" s="6849"/>
      <c r="R2078" s="6849"/>
      <c r="S2078" s="6849"/>
      <c r="T2078" s="6849"/>
      <c r="U2078" s="6849">
        <v>1001016.95</v>
      </c>
      <c r="V2078" s="6849"/>
      <c r="W2078" s="6849"/>
      <c r="X2078" s="6849"/>
      <c r="Y2078" s="6849"/>
      <c r="Z2078" s="6849"/>
      <c r="AA2078" s="6849"/>
      <c r="AB2078" s="6854" t="s">
        <v>171</v>
      </c>
      <c r="AC2078" s="6914">
        <v>1</v>
      </c>
      <c r="AD2078" s="6948" t="s">
        <v>2072</v>
      </c>
      <c r="AE2078" s="6949" t="s">
        <v>3647</v>
      </c>
      <c r="AF2078" s="6878">
        <f>1001016.95*0.2</f>
        <v>200203.39</v>
      </c>
      <c r="AG2078" s="6878">
        <f t="shared" si="456"/>
        <v>200203.39</v>
      </c>
      <c r="AH2078" s="6994" t="s">
        <v>122</v>
      </c>
      <c r="AI2078" s="6878">
        <v>45287</v>
      </c>
      <c r="AJ2078" s="6995"/>
      <c r="AK2078" s="6995"/>
      <c r="AL2078" s="6878">
        <v>200203.39</v>
      </c>
      <c r="AM2078" s="6878">
        <v>45369</v>
      </c>
      <c r="AN2078" s="6878">
        <f t="shared" si="457"/>
        <v>200203.39</v>
      </c>
      <c r="AO2078" s="6878">
        <v>45379</v>
      </c>
      <c r="AP2078" s="6995"/>
      <c r="AQ2078" s="7014"/>
      <c r="AR2078" s="7014"/>
      <c r="AS2078" s="7014"/>
      <c r="AT2078" s="6995"/>
      <c r="AU2078" s="5123"/>
      <c r="AV2078" s="5123"/>
      <c r="AW2078" s="5123"/>
      <c r="AX2078" s="5123"/>
      <c r="AY2078" s="5123"/>
      <c r="AZ2078" s="5123"/>
      <c r="BA2078" s="6878"/>
      <c r="BB2078" s="6878"/>
      <c r="BC2078" s="6878"/>
      <c r="BD2078" s="6878"/>
      <c r="BE2078" s="6878"/>
      <c r="BF2078" s="6878"/>
      <c r="BG2078" s="6878"/>
      <c r="BH2078" s="6878">
        <v>200203.39</v>
      </c>
      <c r="BI2078" s="6878"/>
      <c r="BJ2078" s="6878"/>
      <c r="BK2078" s="6878"/>
      <c r="BL2078" s="6878"/>
      <c r="BM2078" s="6878"/>
      <c r="BN2078" s="6878"/>
      <c r="BO2078" s="6878"/>
      <c r="BP2078" s="6878"/>
      <c r="BQ2078" s="6878"/>
      <c r="BR2078" s="6878"/>
      <c r="BS2078" s="6878"/>
      <c r="BT2078" s="6878"/>
      <c r="BU2078" s="6878"/>
      <c r="BV2078" s="6878">
        <v>200203.39</v>
      </c>
      <c r="BW2078" s="6878"/>
      <c r="BX2078" s="6878"/>
      <c r="BY2078" s="6878"/>
      <c r="BZ2078" s="6878"/>
      <c r="CA2078" s="6878"/>
      <c r="CB2078" s="6878"/>
      <c r="CC2078" s="6878"/>
      <c r="CD2078" s="6878"/>
      <c r="CE2078" s="7022"/>
      <c r="CF2078" s="7022"/>
      <c r="CG2078" s="7022"/>
      <c r="CH2078" s="7022"/>
    </row>
    <row r="2079" s="5002" customFormat="1" ht="61" spans="1:86">
      <c r="A2079" s="6878"/>
      <c r="B2079" s="6879"/>
      <c r="C2079" s="3057"/>
      <c r="D2079" s="6880"/>
      <c r="E2079" s="6898"/>
      <c r="F2079" s="6880"/>
      <c r="G2079" s="6880"/>
      <c r="H2079" s="6898"/>
      <c r="I2079" s="6123"/>
      <c r="J2079" s="6912"/>
      <c r="K2079" s="6914"/>
      <c r="L2079" s="6914"/>
      <c r="M2079" s="6930"/>
      <c r="N2079" s="6850"/>
      <c r="O2079" s="6850"/>
      <c r="P2079" s="6850"/>
      <c r="Q2079" s="6850"/>
      <c r="R2079" s="6850"/>
      <c r="S2079" s="6850"/>
      <c r="T2079" s="6850"/>
      <c r="U2079" s="6850"/>
      <c r="V2079" s="6850"/>
      <c r="W2079" s="6850"/>
      <c r="X2079" s="6850"/>
      <c r="Y2079" s="6850"/>
      <c r="Z2079" s="6850"/>
      <c r="AA2079" s="6850"/>
      <c r="AB2079" s="6933"/>
      <c r="AC2079" s="6914">
        <v>2</v>
      </c>
      <c r="AD2079" s="6948" t="s">
        <v>2073</v>
      </c>
      <c r="AE2079" s="6949" t="s">
        <v>3648</v>
      </c>
      <c r="AF2079" s="6878">
        <f>1001016.95*0.5</f>
        <v>500508.475</v>
      </c>
      <c r="AG2079" s="6930">
        <f t="shared" si="456"/>
        <v>500508.475</v>
      </c>
      <c r="AH2079" s="6996" t="s">
        <v>122</v>
      </c>
      <c r="AI2079" s="6930">
        <v>45639</v>
      </c>
      <c r="AJ2079" s="6878">
        <v>500508.475</v>
      </c>
      <c r="AK2079" s="6878">
        <v>45639</v>
      </c>
      <c r="AL2079" s="6878">
        <v>500508.475</v>
      </c>
      <c r="AM2079" s="6878">
        <v>45671</v>
      </c>
      <c r="AN2079" s="6878">
        <f t="shared" si="457"/>
        <v>500508.475</v>
      </c>
      <c r="AO2079" s="6878">
        <v>45679</v>
      </c>
      <c r="AP2079" s="6995"/>
      <c r="AQ2079" s="7014"/>
      <c r="AR2079" s="7014"/>
      <c r="AS2079" s="7014"/>
      <c r="AT2079" s="6995"/>
      <c r="AU2079" s="5123"/>
      <c r="AV2079" s="5123"/>
      <c r="AW2079" s="5123"/>
      <c r="AX2079" s="5123"/>
      <c r="AY2079" s="5123"/>
      <c r="AZ2079" s="5123"/>
      <c r="BA2079" s="6995"/>
      <c r="BB2079" s="6995"/>
      <c r="BC2079" s="6995"/>
      <c r="BD2079" s="6995"/>
      <c r="BE2079" s="6995"/>
      <c r="BF2079" s="6995"/>
      <c r="BG2079" s="6995"/>
      <c r="BH2079" s="6930">
        <v>500508.475</v>
      </c>
      <c r="BI2079" s="6995"/>
      <c r="BJ2079" s="6995"/>
      <c r="BK2079" s="6995"/>
      <c r="BL2079" s="6995"/>
      <c r="BM2079" s="6995"/>
      <c r="BN2079" s="6995"/>
      <c r="BO2079" s="6995"/>
      <c r="BP2079" s="6995"/>
      <c r="BQ2079" s="6995"/>
      <c r="BR2079" s="6995"/>
      <c r="BS2079" s="6995"/>
      <c r="BT2079" s="6995"/>
      <c r="BU2079" s="6995"/>
      <c r="BV2079" s="6930">
        <v>500508.475</v>
      </c>
      <c r="BW2079" s="6995"/>
      <c r="BX2079" s="6995"/>
      <c r="BY2079" s="6995"/>
      <c r="BZ2079" s="6995"/>
      <c r="CA2079" s="6995"/>
      <c r="CB2079" s="6995"/>
      <c r="CC2079" s="6878"/>
      <c r="CD2079" s="6878"/>
      <c r="CE2079" s="5169">
        <f>SUBTOTAL(9,BO2079:CB2079)</f>
        <v>500508.475</v>
      </c>
      <c r="CF2079" s="5169">
        <f>AN2079-CE2079</f>
        <v>0</v>
      </c>
      <c r="CG2079" s="7022"/>
      <c r="CH2079" s="7022"/>
    </row>
    <row r="2080" s="5002" customFormat="1" ht="61" spans="1:86">
      <c r="A2080" s="6878"/>
      <c r="B2080" s="6879"/>
      <c r="C2080" s="3057"/>
      <c r="D2080" s="6880"/>
      <c r="E2080" s="6898"/>
      <c r="F2080" s="6880"/>
      <c r="G2080" s="6880"/>
      <c r="H2080" s="6898"/>
      <c r="I2080" s="6123"/>
      <c r="J2080" s="6912"/>
      <c r="K2080" s="6914"/>
      <c r="L2080" s="6914"/>
      <c r="M2080" s="6930"/>
      <c r="N2080" s="6850"/>
      <c r="O2080" s="6850"/>
      <c r="P2080" s="6850"/>
      <c r="Q2080" s="6850"/>
      <c r="R2080" s="6850"/>
      <c r="S2080" s="6850"/>
      <c r="T2080" s="6850"/>
      <c r="U2080" s="6850"/>
      <c r="V2080" s="6850"/>
      <c r="W2080" s="6850"/>
      <c r="X2080" s="6850"/>
      <c r="Y2080" s="6850"/>
      <c r="Z2080" s="6850"/>
      <c r="AA2080" s="6850"/>
      <c r="AB2080" s="6933"/>
      <c r="AC2080" s="6914">
        <v>3</v>
      </c>
      <c r="AD2080" s="6948" t="s">
        <v>3649</v>
      </c>
      <c r="AE2080" s="6949" t="s">
        <v>3650</v>
      </c>
      <c r="AF2080" s="6878">
        <f>1001016.95*0.25</f>
        <v>250254.2375</v>
      </c>
      <c r="AG2080" s="6878">
        <f t="shared" si="456"/>
        <v>250254.2375</v>
      </c>
      <c r="AH2080" s="6994" t="s">
        <v>122</v>
      </c>
      <c r="AI2080" s="6878">
        <v>45842</v>
      </c>
      <c r="AJ2080" s="6878">
        <v>250254.2375</v>
      </c>
      <c r="AK2080" s="6878">
        <v>45842</v>
      </c>
      <c r="AL2080" s="6878">
        <v>250254.2375</v>
      </c>
      <c r="AM2080" s="6878">
        <v>45847</v>
      </c>
      <c r="AN2080" s="6878">
        <f t="shared" si="457"/>
        <v>250254.2375</v>
      </c>
      <c r="AO2080" s="6878">
        <v>45867</v>
      </c>
      <c r="AP2080" s="6995"/>
      <c r="AQ2080" s="7014"/>
      <c r="AR2080" s="7014"/>
      <c r="AS2080" s="7014"/>
      <c r="AT2080" s="6995"/>
      <c r="AU2080" s="5123"/>
      <c r="AV2080" s="5123"/>
      <c r="AW2080" s="5123"/>
      <c r="AX2080" s="5123"/>
      <c r="AY2080" s="5123"/>
      <c r="AZ2080" s="5123"/>
      <c r="BA2080" s="6995"/>
      <c r="BB2080" s="6995"/>
      <c r="BC2080" s="6995"/>
      <c r="BD2080" s="6995"/>
      <c r="BE2080" s="6995"/>
      <c r="BF2080" s="6995"/>
      <c r="BG2080" s="6995"/>
      <c r="BH2080" s="6878">
        <f>1001016.95*0.25</f>
        <v>250254.2375</v>
      </c>
      <c r="BI2080" s="6995"/>
      <c r="BJ2080" s="6995"/>
      <c r="BK2080" s="6995"/>
      <c r="BL2080" s="6995"/>
      <c r="BM2080" s="6995"/>
      <c r="BN2080" s="6878"/>
      <c r="BO2080" s="6995"/>
      <c r="BP2080" s="6995"/>
      <c r="BQ2080" s="6995"/>
      <c r="BR2080" s="6995"/>
      <c r="BS2080" s="6995"/>
      <c r="BT2080" s="6995"/>
      <c r="BU2080" s="6995"/>
      <c r="BV2080" s="6878">
        <v>250254.2375</v>
      </c>
      <c r="BW2080" s="6995"/>
      <c r="BX2080" s="6995"/>
      <c r="BY2080" s="6995"/>
      <c r="BZ2080" s="6995"/>
      <c r="CA2080" s="6995"/>
      <c r="CB2080" s="6878"/>
      <c r="CC2080" s="6878"/>
      <c r="CD2080" s="6878"/>
      <c r="CE2080" s="7022"/>
      <c r="CF2080" s="7022"/>
      <c r="CG2080" s="7022"/>
      <c r="CH2080" s="7022"/>
    </row>
    <row r="2081" s="5002" customFormat="1" ht="76" spans="1:86">
      <c r="A2081" s="6878"/>
      <c r="B2081" s="6879"/>
      <c r="C2081" s="3057"/>
      <c r="D2081" s="6880"/>
      <c r="E2081" s="6898"/>
      <c r="F2081" s="6880"/>
      <c r="G2081" s="6880"/>
      <c r="H2081" s="6900"/>
      <c r="I2081" s="6123"/>
      <c r="J2081" s="6912"/>
      <c r="K2081" s="6915"/>
      <c r="L2081" s="6915"/>
      <c r="M2081" s="6931"/>
      <c r="N2081" s="6851"/>
      <c r="O2081" s="6851"/>
      <c r="P2081" s="6851"/>
      <c r="Q2081" s="6851"/>
      <c r="R2081" s="6851"/>
      <c r="S2081" s="6851"/>
      <c r="T2081" s="6851"/>
      <c r="U2081" s="6851"/>
      <c r="V2081" s="6851"/>
      <c r="W2081" s="6851"/>
      <c r="X2081" s="6851"/>
      <c r="Y2081" s="6851"/>
      <c r="Z2081" s="6851"/>
      <c r="AA2081" s="6851"/>
      <c r="AB2081" s="6934"/>
      <c r="AC2081" s="6914">
        <v>4</v>
      </c>
      <c r="AD2081" s="6948" t="s">
        <v>3362</v>
      </c>
      <c r="AE2081" s="6949" t="s">
        <v>3651</v>
      </c>
      <c r="AF2081" s="6878">
        <f>1001016.95*0.05</f>
        <v>50050.8475</v>
      </c>
      <c r="AG2081" s="6995">
        <f t="shared" si="456"/>
        <v>50050.8475</v>
      </c>
      <c r="AH2081" s="6997" t="s">
        <v>349</v>
      </c>
      <c r="AI2081" s="6995">
        <v>46295</v>
      </c>
      <c r="AJ2081" s="6995"/>
      <c r="AK2081" s="6995"/>
      <c r="AL2081" s="6995"/>
      <c r="AM2081" s="6995"/>
      <c r="AN2081" s="6995">
        <f t="shared" si="457"/>
        <v>50050.85</v>
      </c>
      <c r="AO2081" s="6995">
        <v>46295</v>
      </c>
      <c r="AP2081" s="6995"/>
      <c r="AQ2081" s="7014"/>
      <c r="AR2081" s="7014"/>
      <c r="AS2081" s="7014"/>
      <c r="AT2081" s="6995"/>
      <c r="AU2081" s="5123"/>
      <c r="AV2081" s="5123"/>
      <c r="AW2081" s="5123"/>
      <c r="AX2081" s="5123"/>
      <c r="AY2081" s="5123"/>
      <c r="AZ2081" s="5123"/>
      <c r="BA2081" s="6995"/>
      <c r="BB2081" s="6995"/>
      <c r="BC2081" s="6995"/>
      <c r="BD2081" s="6995"/>
      <c r="BE2081" s="6995"/>
      <c r="BF2081" s="6995"/>
      <c r="BG2081" s="6995"/>
      <c r="BH2081" s="6995">
        <v>50050.8475</v>
      </c>
      <c r="BI2081" s="6995"/>
      <c r="BJ2081" s="6995"/>
      <c r="BK2081" s="6995"/>
      <c r="BL2081" s="6995"/>
      <c r="BM2081" s="6995"/>
      <c r="BN2081" s="6995"/>
      <c r="BO2081" s="6995"/>
      <c r="BP2081" s="6995"/>
      <c r="BQ2081" s="6995"/>
      <c r="BR2081" s="6995"/>
      <c r="BS2081" s="6995"/>
      <c r="BT2081" s="6995"/>
      <c r="BU2081" s="6995"/>
      <c r="BV2081" s="6995">
        <v>50050.85</v>
      </c>
      <c r="BW2081" s="6995"/>
      <c r="BX2081" s="6995"/>
      <c r="BY2081" s="6995"/>
      <c r="BZ2081" s="6995"/>
      <c r="CA2081" s="6995"/>
      <c r="CB2081" s="6995"/>
      <c r="CC2081" s="6878"/>
      <c r="CD2081" s="6878"/>
      <c r="CE2081" s="7022"/>
      <c r="CF2081" s="7022"/>
      <c r="CG2081" s="7022"/>
      <c r="CH2081" s="7022"/>
    </row>
    <row r="2082" s="5003" customFormat="1" ht="61" spans="1:86">
      <c r="A2082" s="2667"/>
      <c r="B2082" s="6881"/>
      <c r="C2082" s="4184">
        <v>45239</v>
      </c>
      <c r="D2082" s="6484"/>
      <c r="E2082" s="6895"/>
      <c r="F2082" s="6484"/>
      <c r="G2082" s="6484"/>
      <c r="H2082" s="6901" t="s">
        <v>3652</v>
      </c>
      <c r="I2082" s="6123"/>
      <c r="J2082" s="6516" t="s">
        <v>3571</v>
      </c>
      <c r="K2082" s="6516" t="s">
        <v>171</v>
      </c>
      <c r="L2082" s="6516" t="s">
        <v>3653</v>
      </c>
      <c r="M2082" s="2667">
        <f>SUBTOTAL(9,N2082:AA2086)</f>
        <v>472480</v>
      </c>
      <c r="N2082" s="6849"/>
      <c r="O2082" s="6849"/>
      <c r="P2082" s="6849"/>
      <c r="Q2082" s="6849"/>
      <c r="R2082" s="6849"/>
      <c r="S2082" s="6849"/>
      <c r="T2082" s="6849"/>
      <c r="U2082" s="6849"/>
      <c r="V2082" s="6849"/>
      <c r="W2082" s="6849"/>
      <c r="X2082" s="6849"/>
      <c r="Y2082" s="6849"/>
      <c r="Z2082" s="6849"/>
      <c r="AA2082" s="6849">
        <v>472480</v>
      </c>
      <c r="AB2082" s="6854" t="s">
        <v>171</v>
      </c>
      <c r="AC2082" s="6916">
        <v>1</v>
      </c>
      <c r="AD2082" s="6950" t="s">
        <v>3654</v>
      </c>
      <c r="AE2082" s="6951" t="s">
        <v>3655</v>
      </c>
      <c r="AF2082" s="2667">
        <f t="shared" ref="AF2082:AF2085" si="458">472480*0.2</f>
        <v>94496</v>
      </c>
      <c r="AG2082" s="2667">
        <f t="shared" si="456"/>
        <v>94496</v>
      </c>
      <c r="AH2082" s="2711" t="s">
        <v>122</v>
      </c>
      <c r="AI2082" s="2667">
        <v>45377</v>
      </c>
      <c r="AJ2082" s="2667">
        <v>94496</v>
      </c>
      <c r="AK2082" s="2667">
        <v>45377</v>
      </c>
      <c r="AL2082" s="2667">
        <v>94496</v>
      </c>
      <c r="AM2082" s="2667">
        <v>45378</v>
      </c>
      <c r="AN2082" s="2667">
        <f t="shared" si="457"/>
        <v>94496</v>
      </c>
      <c r="AO2082" s="2667">
        <v>45408</v>
      </c>
      <c r="AP2082" s="6551"/>
      <c r="AQ2082" s="7015"/>
      <c r="AR2082" s="7015"/>
      <c r="AS2082" s="7015"/>
      <c r="AT2082" s="6551"/>
      <c r="AU2082" s="5123"/>
      <c r="AV2082" s="5123"/>
      <c r="AW2082" s="5123"/>
      <c r="AX2082" s="5123"/>
      <c r="AY2082" s="5123"/>
      <c r="AZ2082" s="5123"/>
      <c r="BA2082" s="6551"/>
      <c r="BB2082" s="6551"/>
      <c r="BC2082" s="6551"/>
      <c r="BD2082" s="6551"/>
      <c r="BE2082" s="6551"/>
      <c r="BF2082" s="6551"/>
      <c r="BG2082" s="6551"/>
      <c r="BH2082" s="6551"/>
      <c r="BI2082" s="6551"/>
      <c r="BJ2082" s="6551"/>
      <c r="BK2082" s="6551"/>
      <c r="BL2082" s="6551"/>
      <c r="BM2082" s="6551"/>
      <c r="BN2082" s="6551">
        <f>472480*0.2</f>
        <v>94496</v>
      </c>
      <c r="BO2082" s="6551"/>
      <c r="BP2082" s="6551"/>
      <c r="BQ2082" s="6551"/>
      <c r="BR2082" s="6551"/>
      <c r="BS2082" s="6551"/>
      <c r="BT2082" s="6551"/>
      <c r="BU2082" s="6551"/>
      <c r="BV2082" s="6551"/>
      <c r="BW2082" s="6551"/>
      <c r="BX2082" s="6551"/>
      <c r="BY2082" s="6551"/>
      <c r="BZ2082" s="6551"/>
      <c r="CA2082" s="6551"/>
      <c r="CB2082" s="6551">
        <v>94496</v>
      </c>
      <c r="CC2082" s="2667"/>
      <c r="CD2082" s="2667"/>
      <c r="CE2082" s="7023"/>
      <c r="CF2082" s="7023"/>
      <c r="CG2082" s="7023"/>
      <c r="CH2082" s="7023"/>
    </row>
    <row r="2083" s="5003" customFormat="1" ht="61" spans="1:86">
      <c r="A2083" s="2667"/>
      <c r="B2083" s="6881"/>
      <c r="C2083" s="4184"/>
      <c r="D2083" s="6484"/>
      <c r="E2083" s="6895"/>
      <c r="F2083" s="6484"/>
      <c r="G2083" s="6484"/>
      <c r="H2083" s="6895"/>
      <c r="I2083" s="6123"/>
      <c r="J2083" s="6516"/>
      <c r="K2083" s="6916"/>
      <c r="L2083" s="6916"/>
      <c r="M2083" s="2667"/>
      <c r="N2083" s="6850"/>
      <c r="O2083" s="6850"/>
      <c r="P2083" s="6850"/>
      <c r="Q2083" s="6850"/>
      <c r="R2083" s="6850"/>
      <c r="S2083" s="6850"/>
      <c r="T2083" s="6850"/>
      <c r="U2083" s="6850"/>
      <c r="V2083" s="6850"/>
      <c r="W2083" s="6850"/>
      <c r="X2083" s="6850"/>
      <c r="Y2083" s="6850"/>
      <c r="Z2083" s="6850"/>
      <c r="AA2083" s="6850"/>
      <c r="AB2083" s="6933"/>
      <c r="AC2083" s="6916">
        <v>2</v>
      </c>
      <c r="AD2083" s="6950" t="s">
        <v>2073</v>
      </c>
      <c r="AE2083" s="6951" t="s">
        <v>3656</v>
      </c>
      <c r="AF2083" s="2667">
        <f>472480*0.3</f>
        <v>141744</v>
      </c>
      <c r="AG2083" s="2667">
        <f t="shared" si="456"/>
        <v>141744</v>
      </c>
      <c r="AH2083" s="2711" t="s">
        <v>122</v>
      </c>
      <c r="AI2083" s="2667">
        <v>45842</v>
      </c>
      <c r="AJ2083" s="2667">
        <v>141744</v>
      </c>
      <c r="AK2083" s="2667">
        <v>45842</v>
      </c>
      <c r="AL2083" s="2667">
        <v>141744</v>
      </c>
      <c r="AM2083" s="2667">
        <v>45847</v>
      </c>
      <c r="AN2083" s="2667">
        <f t="shared" si="457"/>
        <v>141744</v>
      </c>
      <c r="AO2083" s="2667">
        <v>45867</v>
      </c>
      <c r="AP2083" s="6551"/>
      <c r="AQ2083" s="7015"/>
      <c r="AR2083" s="7015"/>
      <c r="AS2083" s="7015"/>
      <c r="AT2083" s="6551"/>
      <c r="AU2083" s="5123"/>
      <c r="AV2083" s="5123"/>
      <c r="AW2083" s="5123"/>
      <c r="AX2083" s="5123"/>
      <c r="AY2083" s="5123"/>
      <c r="AZ2083" s="5123"/>
      <c r="BA2083" s="6551"/>
      <c r="BB2083" s="6551"/>
      <c r="BC2083" s="6551"/>
      <c r="BD2083" s="6551"/>
      <c r="BE2083" s="6551"/>
      <c r="BF2083" s="6551"/>
      <c r="BG2083" s="6551"/>
      <c r="BH2083" s="6551"/>
      <c r="BI2083" s="6551"/>
      <c r="BJ2083" s="6551"/>
      <c r="BK2083" s="6551"/>
      <c r="BL2083" s="6551"/>
      <c r="BM2083" s="6551"/>
      <c r="BN2083" s="2667">
        <f>472480*0.3</f>
        <v>141744</v>
      </c>
      <c r="BO2083" s="6551"/>
      <c r="BP2083" s="6551"/>
      <c r="BQ2083" s="6551"/>
      <c r="BR2083" s="6551"/>
      <c r="BS2083" s="6551"/>
      <c r="BT2083" s="6551"/>
      <c r="BU2083" s="6551"/>
      <c r="BV2083" s="6551"/>
      <c r="BW2083" s="6551"/>
      <c r="BX2083" s="6551"/>
      <c r="BY2083" s="6551"/>
      <c r="BZ2083" s="6551"/>
      <c r="CA2083" s="6551"/>
      <c r="CB2083" s="2667">
        <v>141744</v>
      </c>
      <c r="CC2083" s="2667"/>
      <c r="CD2083" s="2667"/>
      <c r="CE2083" s="5169">
        <f>SUBTOTAL(9,BO2083:CB2083)</f>
        <v>141744</v>
      </c>
      <c r="CF2083" s="5169">
        <f>AN2083-CE2083</f>
        <v>0</v>
      </c>
      <c r="CG2083" s="7023"/>
      <c r="CH2083" s="7023"/>
    </row>
    <row r="2084" s="5003" customFormat="1" ht="61" spans="1:86">
      <c r="A2084" s="2667"/>
      <c r="B2084" s="6881"/>
      <c r="C2084" s="4184"/>
      <c r="D2084" s="6484"/>
      <c r="E2084" s="6895"/>
      <c r="F2084" s="6484"/>
      <c r="G2084" s="6484"/>
      <c r="H2084" s="6895"/>
      <c r="I2084" s="6123"/>
      <c r="J2084" s="6516"/>
      <c r="K2084" s="6916"/>
      <c r="L2084" s="6916"/>
      <c r="M2084" s="2667"/>
      <c r="N2084" s="6850"/>
      <c r="O2084" s="6850"/>
      <c r="P2084" s="6850"/>
      <c r="Q2084" s="6850"/>
      <c r="R2084" s="6850"/>
      <c r="S2084" s="6850"/>
      <c r="T2084" s="6850"/>
      <c r="U2084" s="6850"/>
      <c r="V2084" s="6850"/>
      <c r="W2084" s="6850"/>
      <c r="X2084" s="6850"/>
      <c r="Y2084" s="6850"/>
      <c r="Z2084" s="6850"/>
      <c r="AA2084" s="6850"/>
      <c r="AB2084" s="6933"/>
      <c r="AC2084" s="6916">
        <v>3</v>
      </c>
      <c r="AD2084" s="6950" t="s">
        <v>3657</v>
      </c>
      <c r="AE2084" s="6951" t="s">
        <v>3658</v>
      </c>
      <c r="AF2084" s="2667">
        <f t="shared" si="458"/>
        <v>94496</v>
      </c>
      <c r="AG2084" s="2667">
        <f t="shared" si="456"/>
        <v>94496</v>
      </c>
      <c r="AH2084" s="2711" t="s">
        <v>122</v>
      </c>
      <c r="AI2084" s="2667">
        <v>45842</v>
      </c>
      <c r="AJ2084" s="2667">
        <v>94496</v>
      </c>
      <c r="AK2084" s="2667">
        <v>45842</v>
      </c>
      <c r="AL2084" s="2667">
        <v>94496</v>
      </c>
      <c r="AM2084" s="2667">
        <v>45847</v>
      </c>
      <c r="AN2084" s="2667">
        <f t="shared" si="457"/>
        <v>94496</v>
      </c>
      <c r="AO2084" s="2667">
        <v>45867</v>
      </c>
      <c r="AP2084" s="6551"/>
      <c r="AQ2084" s="7015"/>
      <c r="AR2084" s="7015"/>
      <c r="AS2084" s="7015"/>
      <c r="AT2084" s="6551"/>
      <c r="AU2084" s="5123"/>
      <c r="AV2084" s="5123"/>
      <c r="AW2084" s="5123"/>
      <c r="AX2084" s="5123"/>
      <c r="AY2084" s="5123"/>
      <c r="AZ2084" s="5123"/>
      <c r="BA2084" s="6551"/>
      <c r="BB2084" s="6551"/>
      <c r="BC2084" s="6551"/>
      <c r="BD2084" s="6551"/>
      <c r="BE2084" s="6551"/>
      <c r="BF2084" s="6551"/>
      <c r="BG2084" s="6551"/>
      <c r="BH2084" s="6551"/>
      <c r="BI2084" s="6551"/>
      <c r="BJ2084" s="6551"/>
      <c r="BK2084" s="6551"/>
      <c r="BL2084" s="6551"/>
      <c r="BM2084" s="6551"/>
      <c r="BN2084" s="2667">
        <f>472480*0.2</f>
        <v>94496</v>
      </c>
      <c r="BO2084" s="6551"/>
      <c r="BP2084" s="6551"/>
      <c r="BQ2084" s="6551"/>
      <c r="BR2084" s="6551"/>
      <c r="BS2084" s="6551"/>
      <c r="BT2084" s="6551"/>
      <c r="BU2084" s="6551"/>
      <c r="BV2084" s="6551"/>
      <c r="BW2084" s="6551"/>
      <c r="BX2084" s="6551"/>
      <c r="BY2084" s="6551"/>
      <c r="BZ2084" s="6551"/>
      <c r="CA2084" s="6551"/>
      <c r="CB2084" s="2667">
        <v>94496</v>
      </c>
      <c r="CC2084" s="2667"/>
      <c r="CD2084" s="2667"/>
      <c r="CE2084" s="7023"/>
      <c r="CF2084" s="7023"/>
      <c r="CG2084" s="7023"/>
      <c r="CH2084" s="7023"/>
    </row>
    <row r="2085" s="5003" customFormat="1" ht="61" spans="1:86">
      <c r="A2085" s="2667"/>
      <c r="B2085" s="6881"/>
      <c r="C2085" s="4184"/>
      <c r="D2085" s="6484"/>
      <c r="E2085" s="6895"/>
      <c r="F2085" s="6484"/>
      <c r="G2085" s="6484"/>
      <c r="H2085" s="6895"/>
      <c r="I2085" s="6123"/>
      <c r="J2085" s="6516"/>
      <c r="K2085" s="6917"/>
      <c r="L2085" s="6918"/>
      <c r="M2085" s="6895"/>
      <c r="N2085" s="6850"/>
      <c r="O2085" s="6850"/>
      <c r="P2085" s="6850"/>
      <c r="Q2085" s="6850"/>
      <c r="R2085" s="6850"/>
      <c r="S2085" s="6850"/>
      <c r="T2085" s="6850"/>
      <c r="U2085" s="6850"/>
      <c r="V2085" s="6850"/>
      <c r="W2085" s="6850"/>
      <c r="X2085" s="6850"/>
      <c r="Y2085" s="6850"/>
      <c r="Z2085" s="6850"/>
      <c r="AA2085" s="6850"/>
      <c r="AB2085" s="6933"/>
      <c r="AC2085" s="6916">
        <v>4</v>
      </c>
      <c r="AD2085" s="6950" t="s">
        <v>3659</v>
      </c>
      <c r="AE2085" s="6951" t="s">
        <v>3660</v>
      </c>
      <c r="AF2085" s="2667">
        <f>472480*0.25</f>
        <v>118120</v>
      </c>
      <c r="AG2085" s="2667">
        <f t="shared" si="456"/>
        <v>118120</v>
      </c>
      <c r="AH2085" s="2711" t="s">
        <v>122</v>
      </c>
      <c r="AI2085" s="2667">
        <v>45842</v>
      </c>
      <c r="AJ2085" s="2667">
        <v>118120</v>
      </c>
      <c r="AK2085" s="2667">
        <v>45842</v>
      </c>
      <c r="AL2085" s="2667">
        <v>118120</v>
      </c>
      <c r="AM2085" s="2667">
        <v>45847</v>
      </c>
      <c r="AN2085" s="2667">
        <f t="shared" si="457"/>
        <v>118120</v>
      </c>
      <c r="AO2085" s="2667">
        <v>45867</v>
      </c>
      <c r="AP2085" s="6551"/>
      <c r="AQ2085" s="7015"/>
      <c r="AR2085" s="7015"/>
      <c r="AS2085" s="7015"/>
      <c r="AT2085" s="6551"/>
      <c r="AU2085" s="5123"/>
      <c r="AV2085" s="5123"/>
      <c r="AW2085" s="5123"/>
      <c r="AX2085" s="5123"/>
      <c r="AY2085" s="5123"/>
      <c r="AZ2085" s="5123"/>
      <c r="BA2085" s="6551"/>
      <c r="BB2085" s="6551"/>
      <c r="BC2085" s="6551"/>
      <c r="BD2085" s="6551"/>
      <c r="BE2085" s="6551"/>
      <c r="BF2085" s="6551"/>
      <c r="BG2085" s="6551"/>
      <c r="BH2085" s="6551"/>
      <c r="BI2085" s="6551"/>
      <c r="BJ2085" s="6551"/>
      <c r="BK2085" s="6551"/>
      <c r="BL2085" s="6551"/>
      <c r="BM2085" s="6551"/>
      <c r="BN2085" s="2667">
        <v>118120</v>
      </c>
      <c r="BO2085" s="6551"/>
      <c r="BP2085" s="6551"/>
      <c r="BQ2085" s="6551"/>
      <c r="BR2085" s="6551"/>
      <c r="BS2085" s="6551"/>
      <c r="BT2085" s="6551"/>
      <c r="BU2085" s="6551"/>
      <c r="BV2085" s="6551"/>
      <c r="BW2085" s="6551"/>
      <c r="BX2085" s="6551"/>
      <c r="BY2085" s="6551"/>
      <c r="BZ2085" s="6551"/>
      <c r="CA2085" s="6551"/>
      <c r="CB2085" s="2667">
        <v>118120</v>
      </c>
      <c r="CC2085" s="2667"/>
      <c r="CD2085" s="2667"/>
      <c r="CE2085" s="7023"/>
      <c r="CF2085" s="7023"/>
      <c r="CG2085" s="7023"/>
      <c r="CH2085" s="7023"/>
    </row>
    <row r="2086" s="5003" customFormat="1" ht="76" spans="1:86">
      <c r="A2086" s="2667"/>
      <c r="B2086" s="6881"/>
      <c r="C2086" s="4184"/>
      <c r="D2086" s="6484"/>
      <c r="E2086" s="6895"/>
      <c r="F2086" s="6484"/>
      <c r="G2086" s="6484"/>
      <c r="H2086" s="6902"/>
      <c r="I2086" s="6123"/>
      <c r="J2086" s="6516"/>
      <c r="K2086" s="6916"/>
      <c r="L2086" s="6917"/>
      <c r="M2086" s="6902"/>
      <c r="N2086" s="6851"/>
      <c r="O2086" s="6851"/>
      <c r="P2086" s="6851"/>
      <c r="Q2086" s="6851"/>
      <c r="R2086" s="6851"/>
      <c r="S2086" s="6851"/>
      <c r="T2086" s="6851"/>
      <c r="U2086" s="6851"/>
      <c r="V2086" s="6851"/>
      <c r="W2086" s="6851"/>
      <c r="X2086" s="6851"/>
      <c r="Y2086" s="6851"/>
      <c r="Z2086" s="6851"/>
      <c r="AA2086" s="6851"/>
      <c r="AB2086" s="6934"/>
      <c r="AC2086" s="6916">
        <v>5</v>
      </c>
      <c r="AD2086" s="6950" t="s">
        <v>3661</v>
      </c>
      <c r="AE2086" s="6951" t="s">
        <v>3662</v>
      </c>
      <c r="AF2086" s="2667">
        <f>472480*0.05</f>
        <v>23624</v>
      </c>
      <c r="AG2086" s="6551">
        <f t="shared" si="456"/>
        <v>0</v>
      </c>
      <c r="AH2086" s="6551"/>
      <c r="AI2086" s="6551"/>
      <c r="AJ2086" s="6551"/>
      <c r="AK2086" s="6551"/>
      <c r="AL2086" s="6551"/>
      <c r="AM2086" s="6551"/>
      <c r="AN2086" s="6551"/>
      <c r="AO2086" s="6551"/>
      <c r="AP2086" s="6551"/>
      <c r="AQ2086" s="7015"/>
      <c r="AR2086" s="7015"/>
      <c r="AS2086" s="7015"/>
      <c r="AT2086" s="6551"/>
      <c r="AU2086" s="5123"/>
      <c r="AV2086" s="5123"/>
      <c r="AW2086" s="5123"/>
      <c r="AX2086" s="5123"/>
      <c r="AY2086" s="5123"/>
      <c r="AZ2086" s="5123"/>
      <c r="BA2086" s="6551"/>
      <c r="BB2086" s="6551"/>
      <c r="BC2086" s="6551"/>
      <c r="BD2086" s="6551"/>
      <c r="BE2086" s="6551"/>
      <c r="BF2086" s="6551"/>
      <c r="BG2086" s="6551"/>
      <c r="BH2086" s="6551"/>
      <c r="BI2086" s="6551"/>
      <c r="BJ2086" s="6551"/>
      <c r="BK2086" s="6551"/>
      <c r="BL2086" s="6551"/>
      <c r="BM2086" s="6551"/>
      <c r="BN2086" s="6551"/>
      <c r="BO2086" s="6551"/>
      <c r="BP2086" s="6551"/>
      <c r="BQ2086" s="6551"/>
      <c r="BR2086" s="6551"/>
      <c r="BS2086" s="6551"/>
      <c r="BT2086" s="6551"/>
      <c r="BU2086" s="6551"/>
      <c r="BV2086" s="6551"/>
      <c r="BW2086" s="6551"/>
      <c r="BX2086" s="6551"/>
      <c r="BY2086" s="6551"/>
      <c r="BZ2086" s="6551"/>
      <c r="CA2086" s="6551"/>
      <c r="CB2086" s="6551"/>
      <c r="CC2086" s="2667"/>
      <c r="CD2086" s="2667"/>
      <c r="CE2086" s="7023"/>
      <c r="CF2086" s="7023"/>
      <c r="CG2086" s="7023"/>
      <c r="CH2086" s="7023"/>
    </row>
    <row r="2087" s="5004" customFormat="1" ht="61" spans="1:86">
      <c r="A2087" s="6882"/>
      <c r="B2087" s="6883"/>
      <c r="C2087" s="3057">
        <v>45239</v>
      </c>
      <c r="D2087" s="6884"/>
      <c r="E2087" s="6903"/>
      <c r="F2087" s="6884"/>
      <c r="G2087" s="6884"/>
      <c r="H2087" s="6883" t="s">
        <v>3663</v>
      </c>
      <c r="I2087" s="6123"/>
      <c r="J2087" s="6919" t="s">
        <v>3571</v>
      </c>
      <c r="K2087" s="6919" t="s">
        <v>171</v>
      </c>
      <c r="L2087" s="6920" t="s">
        <v>3664</v>
      </c>
      <c r="M2087" s="6903">
        <f>SUBTOTAL(9,N2087:AA2091)</f>
        <v>267500</v>
      </c>
      <c r="N2087" s="6849"/>
      <c r="O2087" s="6849"/>
      <c r="P2087" s="6849"/>
      <c r="Q2087" s="6849"/>
      <c r="R2087" s="6849"/>
      <c r="S2087" s="6849"/>
      <c r="T2087" s="6849"/>
      <c r="U2087" s="6849"/>
      <c r="V2087" s="6849"/>
      <c r="W2087" s="6849"/>
      <c r="X2087" s="6849"/>
      <c r="Y2087" s="6849"/>
      <c r="Z2087" s="6849"/>
      <c r="AA2087" s="6935">
        <v>267500</v>
      </c>
      <c r="AB2087" s="6936" t="s">
        <v>171</v>
      </c>
      <c r="AC2087" s="6952">
        <v>1</v>
      </c>
      <c r="AD2087" s="6953" t="s">
        <v>3665</v>
      </c>
      <c r="AE2087" s="6953" t="s">
        <v>3666</v>
      </c>
      <c r="AF2087" s="6882">
        <f>267500*0.2</f>
        <v>53500</v>
      </c>
      <c r="AG2087" s="6882">
        <f t="shared" si="456"/>
        <v>53500</v>
      </c>
      <c r="AH2087" s="6998" t="s">
        <v>122</v>
      </c>
      <c r="AI2087" s="6882">
        <v>45287</v>
      </c>
      <c r="AJ2087" s="6882">
        <v>53500</v>
      </c>
      <c r="AK2087" s="6882">
        <v>45287</v>
      </c>
      <c r="AL2087" s="6882">
        <v>53500</v>
      </c>
      <c r="AM2087" s="6882">
        <v>45310</v>
      </c>
      <c r="AN2087" s="6882">
        <f>SUBTOTAL(9,BO2087:CB2087)</f>
        <v>53500</v>
      </c>
      <c r="AO2087" s="6882">
        <v>45317</v>
      </c>
      <c r="AP2087" s="7001"/>
      <c r="AQ2087" s="7016"/>
      <c r="AR2087" s="7016"/>
      <c r="AS2087" s="7016"/>
      <c r="AT2087" s="7001"/>
      <c r="AU2087" s="5123"/>
      <c r="AV2087" s="5123"/>
      <c r="AW2087" s="5123"/>
      <c r="AX2087" s="5123"/>
      <c r="AY2087" s="5123"/>
      <c r="AZ2087" s="5123"/>
      <c r="BA2087" s="7001"/>
      <c r="BB2087" s="7001"/>
      <c r="BC2087" s="7001"/>
      <c r="BD2087" s="7001"/>
      <c r="BE2087" s="7001"/>
      <c r="BF2087" s="7001"/>
      <c r="BG2087" s="7001"/>
      <c r="BH2087" s="7001"/>
      <c r="BI2087" s="7001"/>
      <c r="BJ2087" s="7001"/>
      <c r="BK2087" s="7001"/>
      <c r="BL2087" s="7001"/>
      <c r="BM2087" s="7001"/>
      <c r="BN2087" s="6882">
        <f>267500*0.2</f>
        <v>53500</v>
      </c>
      <c r="BO2087" s="7001"/>
      <c r="BP2087" s="7001"/>
      <c r="BQ2087" s="7001"/>
      <c r="BR2087" s="7001"/>
      <c r="BS2087" s="7001"/>
      <c r="BT2087" s="7001"/>
      <c r="BU2087" s="7001"/>
      <c r="BV2087" s="7001"/>
      <c r="BW2087" s="7001"/>
      <c r="BX2087" s="7001"/>
      <c r="BY2087" s="7001"/>
      <c r="BZ2087" s="7001"/>
      <c r="CA2087" s="7001"/>
      <c r="CB2087" s="6882">
        <v>53500</v>
      </c>
      <c r="CC2087" s="6882"/>
      <c r="CD2087" s="6882"/>
      <c r="CE2087" s="7024"/>
      <c r="CF2087" s="7024"/>
      <c r="CG2087" s="7024"/>
      <c r="CH2087" s="7024"/>
    </row>
    <row r="2088" s="5004" customFormat="1" ht="61" spans="1:86">
      <c r="A2088" s="6882"/>
      <c r="B2088" s="6883"/>
      <c r="C2088" s="3057"/>
      <c r="D2088" s="6884"/>
      <c r="E2088" s="6903"/>
      <c r="F2088" s="6884"/>
      <c r="G2088" s="6884"/>
      <c r="H2088" s="6903"/>
      <c r="I2088" s="6123"/>
      <c r="J2088" s="6919"/>
      <c r="K2088" s="6921"/>
      <c r="L2088" s="6922"/>
      <c r="M2088" s="6903"/>
      <c r="N2088" s="6850"/>
      <c r="O2088" s="6850"/>
      <c r="P2088" s="6850"/>
      <c r="Q2088" s="6850"/>
      <c r="R2088" s="6850"/>
      <c r="S2088" s="6850"/>
      <c r="T2088" s="6850"/>
      <c r="U2088" s="6850"/>
      <c r="V2088" s="6850"/>
      <c r="W2088" s="6850"/>
      <c r="X2088" s="6850"/>
      <c r="Y2088" s="6850"/>
      <c r="Z2088" s="6850"/>
      <c r="AA2088" s="6937"/>
      <c r="AB2088" s="6938"/>
      <c r="AC2088" s="6952">
        <v>2</v>
      </c>
      <c r="AD2088" s="6953" t="s">
        <v>3667</v>
      </c>
      <c r="AE2088" s="6953" t="s">
        <v>3668</v>
      </c>
      <c r="AF2088" s="6882">
        <f>267500*0.3</f>
        <v>80250</v>
      </c>
      <c r="AG2088" s="6882">
        <f t="shared" si="456"/>
        <v>80250</v>
      </c>
      <c r="AH2088" s="6998" t="s">
        <v>122</v>
      </c>
      <c r="AI2088" s="6882">
        <v>45407</v>
      </c>
      <c r="AJ2088" s="6882">
        <v>80250</v>
      </c>
      <c r="AK2088" s="6882">
        <v>45407</v>
      </c>
      <c r="AL2088" s="6882">
        <v>80250</v>
      </c>
      <c r="AM2088" s="6882">
        <v>45408</v>
      </c>
      <c r="AN2088" s="6882">
        <f>SUBTOTAL(9,BO2088:CB2088)</f>
        <v>80250</v>
      </c>
      <c r="AO2088" s="6882">
        <v>45433</v>
      </c>
      <c r="AP2088" s="7001"/>
      <c r="AQ2088" s="7016"/>
      <c r="AR2088" s="7016"/>
      <c r="AS2088" s="7016"/>
      <c r="AT2088" s="7001"/>
      <c r="AU2088" s="5123"/>
      <c r="AV2088" s="5123"/>
      <c r="AW2088" s="5123"/>
      <c r="AX2088" s="5123"/>
      <c r="AY2088" s="5123"/>
      <c r="AZ2088" s="5123"/>
      <c r="BA2088" s="7001"/>
      <c r="BB2088" s="6882"/>
      <c r="BC2088" s="6882"/>
      <c r="BD2088" s="6882"/>
      <c r="BE2088" s="6882"/>
      <c r="BF2088" s="6882"/>
      <c r="BG2088" s="6882"/>
      <c r="BH2088" s="6882"/>
      <c r="BI2088" s="6882"/>
      <c r="BJ2088" s="6882"/>
      <c r="BK2088" s="6882"/>
      <c r="BL2088" s="6882"/>
      <c r="BM2088" s="6882"/>
      <c r="BN2088" s="6882">
        <v>80250</v>
      </c>
      <c r="BO2088" s="6882"/>
      <c r="BP2088" s="6882"/>
      <c r="BQ2088" s="6882"/>
      <c r="BR2088" s="6882"/>
      <c r="BS2088" s="6882"/>
      <c r="BT2088" s="6882"/>
      <c r="BU2088" s="6882"/>
      <c r="BV2088" s="6882"/>
      <c r="BW2088" s="6882"/>
      <c r="BX2088" s="6882"/>
      <c r="BY2088" s="6882"/>
      <c r="BZ2088" s="6882"/>
      <c r="CA2088" s="6882"/>
      <c r="CB2088" s="6882">
        <v>80250</v>
      </c>
      <c r="CC2088" s="6882"/>
      <c r="CD2088" s="6882"/>
      <c r="CE2088" s="7024"/>
      <c r="CF2088" s="7024"/>
      <c r="CG2088" s="7024"/>
      <c r="CH2088" s="7024"/>
    </row>
    <row r="2089" s="5004" customFormat="1" spans="1:86">
      <c r="A2089" s="6882"/>
      <c r="B2089" s="6883"/>
      <c r="C2089" s="3057"/>
      <c r="D2089" s="6884"/>
      <c r="E2089" s="6903"/>
      <c r="F2089" s="6884"/>
      <c r="G2089" s="6884"/>
      <c r="H2089" s="6903"/>
      <c r="I2089" s="6123"/>
      <c r="J2089" s="6919"/>
      <c r="K2089" s="6921"/>
      <c r="L2089" s="6922"/>
      <c r="M2089" s="6903"/>
      <c r="N2089" s="6850"/>
      <c r="O2089" s="6850"/>
      <c r="P2089" s="6850"/>
      <c r="Q2089" s="6850"/>
      <c r="R2089" s="6850"/>
      <c r="S2089" s="6850"/>
      <c r="T2089" s="6850"/>
      <c r="U2089" s="6850"/>
      <c r="V2089" s="6850"/>
      <c r="W2089" s="6850"/>
      <c r="X2089" s="6850"/>
      <c r="Y2089" s="6850"/>
      <c r="Z2089" s="6850"/>
      <c r="AA2089" s="6937"/>
      <c r="AB2089" s="6938"/>
      <c r="AC2089" s="6954">
        <v>3</v>
      </c>
      <c r="AD2089" s="6954" t="s">
        <v>3669</v>
      </c>
      <c r="AE2089" s="6954" t="s">
        <v>3670</v>
      </c>
      <c r="AF2089" s="6955">
        <f>267500*0.4</f>
        <v>107000</v>
      </c>
      <c r="AG2089" s="6955">
        <f>SUBTOTAL(9,BA2089:BN2090)</f>
        <v>107000</v>
      </c>
      <c r="AH2089" s="6999" t="s">
        <v>122</v>
      </c>
      <c r="AI2089" s="6955">
        <v>45842</v>
      </c>
      <c r="AJ2089" s="6955">
        <v>107000</v>
      </c>
      <c r="AK2089" s="6955">
        <v>45842</v>
      </c>
      <c r="AL2089" s="6955">
        <v>107000</v>
      </c>
      <c r="AM2089" s="6882">
        <v>45847</v>
      </c>
      <c r="AN2089" s="6882">
        <f>SUBTOTAL(9,BO2089:CB2089)</f>
        <v>53500</v>
      </c>
      <c r="AO2089" s="6882">
        <v>45867</v>
      </c>
      <c r="AP2089" s="7001"/>
      <c r="AQ2089" s="7016"/>
      <c r="AR2089" s="7016"/>
      <c r="AS2089" s="7016"/>
      <c r="AT2089" s="7001"/>
      <c r="AU2089" s="5123"/>
      <c r="AV2089" s="5123"/>
      <c r="AW2089" s="5123"/>
      <c r="AX2089" s="5123"/>
      <c r="AY2089" s="5123"/>
      <c r="AZ2089" s="5123"/>
      <c r="BA2089" s="6955"/>
      <c r="BB2089" s="6955"/>
      <c r="BC2089" s="6955"/>
      <c r="BD2089" s="6955"/>
      <c r="BE2089" s="6955"/>
      <c r="BF2089" s="6955"/>
      <c r="BG2089" s="6955"/>
      <c r="BH2089" s="6955"/>
      <c r="BI2089" s="6955"/>
      <c r="BJ2089" s="6955"/>
      <c r="BK2089" s="6955"/>
      <c r="BL2089" s="6955"/>
      <c r="BM2089" s="6955"/>
      <c r="BN2089" s="6955">
        <v>107000</v>
      </c>
      <c r="BO2089" s="6882"/>
      <c r="BP2089" s="6882"/>
      <c r="BQ2089" s="6882"/>
      <c r="BR2089" s="6882"/>
      <c r="BS2089" s="6882"/>
      <c r="BT2089" s="6882"/>
      <c r="BU2089" s="6882"/>
      <c r="BV2089" s="6882"/>
      <c r="BW2089" s="6882"/>
      <c r="BX2089" s="6882"/>
      <c r="BY2089" s="6882"/>
      <c r="BZ2089" s="6882"/>
      <c r="CA2089" s="6882"/>
      <c r="CB2089" s="6882">
        <f>107000/2</f>
        <v>53500</v>
      </c>
      <c r="CC2089" s="6882"/>
      <c r="CD2089" s="6882"/>
      <c r="CE2089" s="7024"/>
      <c r="CF2089" s="7024"/>
      <c r="CG2089" s="7024"/>
      <c r="CH2089" s="7024"/>
    </row>
    <row r="2090" s="5004" customFormat="1" spans="1:86">
      <c r="A2090" s="6882"/>
      <c r="B2090" s="6883"/>
      <c r="C2090" s="3057"/>
      <c r="D2090" s="6884"/>
      <c r="E2090" s="6903"/>
      <c r="F2090" s="6884"/>
      <c r="G2090" s="6884"/>
      <c r="H2090" s="6903"/>
      <c r="I2090" s="6123"/>
      <c r="J2090" s="6919"/>
      <c r="K2090" s="6921"/>
      <c r="L2090" s="6922"/>
      <c r="M2090" s="6903"/>
      <c r="N2090" s="6850"/>
      <c r="O2090" s="6850"/>
      <c r="P2090" s="6850"/>
      <c r="Q2090" s="6850"/>
      <c r="R2090" s="6850"/>
      <c r="S2090" s="6850"/>
      <c r="T2090" s="6850"/>
      <c r="U2090" s="6850"/>
      <c r="V2090" s="6850"/>
      <c r="W2090" s="6850"/>
      <c r="X2090" s="6850"/>
      <c r="Y2090" s="6850"/>
      <c r="Z2090" s="6850"/>
      <c r="AA2090" s="6937"/>
      <c r="AB2090" s="6938"/>
      <c r="AC2090" s="6956"/>
      <c r="AD2090" s="6957"/>
      <c r="AE2090" s="6957"/>
      <c r="AF2090" s="6958"/>
      <c r="AG2090" s="6958"/>
      <c r="AH2090" s="7000"/>
      <c r="AI2090" s="6958"/>
      <c r="AJ2090" s="6958"/>
      <c r="AK2090" s="6958"/>
      <c r="AL2090" s="6958"/>
      <c r="AM2090" s="6882">
        <v>45847</v>
      </c>
      <c r="AN2090" s="6882">
        <f t="shared" ref="AN2090:AN2095" si="459">SUBTOTAL(9,BO2090:CB2090)</f>
        <v>53500</v>
      </c>
      <c r="AO2090" s="6882">
        <v>45867</v>
      </c>
      <c r="AP2090" s="7001"/>
      <c r="AQ2090" s="7016"/>
      <c r="AR2090" s="7016"/>
      <c r="AS2090" s="7016"/>
      <c r="AT2090" s="7001"/>
      <c r="AU2090" s="5123"/>
      <c r="AV2090" s="5123"/>
      <c r="AW2090" s="5123"/>
      <c r="AX2090" s="5123"/>
      <c r="AY2090" s="5123"/>
      <c r="AZ2090" s="5123"/>
      <c r="BA2090" s="6958"/>
      <c r="BB2090" s="6958"/>
      <c r="BC2090" s="6958"/>
      <c r="BD2090" s="6958"/>
      <c r="BE2090" s="6958"/>
      <c r="BF2090" s="6958"/>
      <c r="BG2090" s="6958"/>
      <c r="BH2090" s="6958"/>
      <c r="BI2090" s="6958"/>
      <c r="BJ2090" s="6958"/>
      <c r="BK2090" s="6958"/>
      <c r="BL2090" s="6958"/>
      <c r="BM2090" s="6958"/>
      <c r="BN2090" s="6958"/>
      <c r="BO2090" s="7001"/>
      <c r="BP2090" s="7001"/>
      <c r="BQ2090" s="7001"/>
      <c r="BR2090" s="7001"/>
      <c r="BS2090" s="7001"/>
      <c r="BT2090" s="7001"/>
      <c r="BU2090" s="7001"/>
      <c r="BV2090" s="7001"/>
      <c r="BW2090" s="7001"/>
      <c r="BX2090" s="7001"/>
      <c r="BY2090" s="7001"/>
      <c r="BZ2090" s="7001"/>
      <c r="CA2090" s="7001"/>
      <c r="CB2090" s="6882">
        <f>107000/2</f>
        <v>53500</v>
      </c>
      <c r="CC2090" s="6882"/>
      <c r="CD2090" s="6882"/>
      <c r="CE2090" s="7024"/>
      <c r="CF2090" s="7024"/>
      <c r="CG2090" s="7024"/>
      <c r="CH2090" s="7024"/>
    </row>
    <row r="2091" s="5004" customFormat="1" ht="61" spans="1:86">
      <c r="A2091" s="6882"/>
      <c r="B2091" s="6883"/>
      <c r="C2091" s="3057"/>
      <c r="D2091" s="6884"/>
      <c r="E2091" s="6903"/>
      <c r="F2091" s="6884"/>
      <c r="G2091" s="6884"/>
      <c r="H2091" s="6903"/>
      <c r="I2091" s="6123"/>
      <c r="J2091" s="6919"/>
      <c r="K2091" s="6921"/>
      <c r="L2091" s="6923"/>
      <c r="M2091" s="6903"/>
      <c r="N2091" s="6851"/>
      <c r="O2091" s="6851"/>
      <c r="P2091" s="6851"/>
      <c r="Q2091" s="6851"/>
      <c r="R2091" s="6851"/>
      <c r="S2091" s="6851"/>
      <c r="T2091" s="6851"/>
      <c r="U2091" s="6851"/>
      <c r="V2091" s="6851"/>
      <c r="W2091" s="6851"/>
      <c r="X2091" s="6851"/>
      <c r="Y2091" s="6851"/>
      <c r="Z2091" s="6851"/>
      <c r="AA2091" s="6937"/>
      <c r="AB2091" s="6939"/>
      <c r="AC2091" s="6952">
        <v>4</v>
      </c>
      <c r="AD2091" s="6953" t="s">
        <v>3671</v>
      </c>
      <c r="AE2091" s="6953" t="s">
        <v>3672</v>
      </c>
      <c r="AF2091" s="6882">
        <f>267500*0.1</f>
        <v>26750</v>
      </c>
      <c r="AG2091" s="7001">
        <f t="shared" ref="AG2091:AG2102" si="460">SUBTOTAL(9,BA2091:BN2091)</f>
        <v>0</v>
      </c>
      <c r="AH2091" s="7001"/>
      <c r="AI2091" s="7001"/>
      <c r="AJ2091" s="7001"/>
      <c r="AK2091" s="7001"/>
      <c r="AL2091" s="7001"/>
      <c r="AM2091" s="7001"/>
      <c r="AN2091" s="7001">
        <f t="shared" si="459"/>
        <v>0</v>
      </c>
      <c r="AO2091" s="7001"/>
      <c r="AP2091" s="7001"/>
      <c r="AQ2091" s="7016"/>
      <c r="AR2091" s="7016"/>
      <c r="AS2091" s="7016"/>
      <c r="AT2091" s="7001"/>
      <c r="AU2091" s="5123"/>
      <c r="AV2091" s="5123"/>
      <c r="AW2091" s="5123"/>
      <c r="AX2091" s="5123"/>
      <c r="AY2091" s="5123"/>
      <c r="AZ2091" s="5123"/>
      <c r="BA2091" s="7001"/>
      <c r="BB2091" s="7001"/>
      <c r="BC2091" s="7001"/>
      <c r="BD2091" s="7001"/>
      <c r="BE2091" s="7001"/>
      <c r="BF2091" s="7001"/>
      <c r="BG2091" s="7001"/>
      <c r="BH2091" s="7001"/>
      <c r="BI2091" s="7001"/>
      <c r="BJ2091" s="7001"/>
      <c r="BK2091" s="7001"/>
      <c r="BL2091" s="7001"/>
      <c r="BM2091" s="7001"/>
      <c r="BN2091" s="7001"/>
      <c r="BO2091" s="7001"/>
      <c r="BP2091" s="7001"/>
      <c r="BQ2091" s="7001"/>
      <c r="BR2091" s="7001"/>
      <c r="BS2091" s="7001"/>
      <c r="BT2091" s="7001"/>
      <c r="BU2091" s="7001"/>
      <c r="BV2091" s="7001"/>
      <c r="BW2091" s="7001"/>
      <c r="BX2091" s="7001"/>
      <c r="BY2091" s="7001"/>
      <c r="BZ2091" s="7001"/>
      <c r="CA2091" s="7001"/>
      <c r="CB2091" s="7001"/>
      <c r="CC2091" s="6882"/>
      <c r="CD2091" s="6882"/>
      <c r="CE2091" s="7024"/>
      <c r="CF2091" s="7024"/>
      <c r="CG2091" s="7024"/>
      <c r="CH2091" s="7024"/>
    </row>
    <row r="2092" s="5005" customFormat="1" ht="61" spans="1:86">
      <c r="A2092" s="6885"/>
      <c r="B2092" s="6886"/>
      <c r="C2092" s="3057">
        <v>45239</v>
      </c>
      <c r="D2092" s="6887"/>
      <c r="E2092" s="6904"/>
      <c r="F2092" s="6887"/>
      <c r="G2092" s="6887"/>
      <c r="H2092" s="6905" t="s">
        <v>3673</v>
      </c>
      <c r="I2092" s="6123"/>
      <c r="J2092" s="6924" t="s">
        <v>3571</v>
      </c>
      <c r="K2092" s="6924" t="s">
        <v>171</v>
      </c>
      <c r="L2092" s="6924" t="s">
        <v>3674</v>
      </c>
      <c r="M2092" s="6906">
        <f>SUBTOTAL(9,N2092:AA2096)</f>
        <v>321000</v>
      </c>
      <c r="N2092" s="6849"/>
      <c r="O2092" s="6849"/>
      <c r="P2092" s="6849"/>
      <c r="Q2092" s="6849"/>
      <c r="R2092" s="6849"/>
      <c r="S2092" s="6849"/>
      <c r="T2092" s="6849"/>
      <c r="U2092" s="6849"/>
      <c r="V2092" s="6849"/>
      <c r="W2092" s="6849"/>
      <c r="X2092" s="6849"/>
      <c r="Y2092" s="6849"/>
      <c r="Z2092" s="6849"/>
      <c r="AA2092" s="6849">
        <v>321000</v>
      </c>
      <c r="AB2092" s="6854" t="s">
        <v>171</v>
      </c>
      <c r="AC2092" s="6959">
        <v>1</v>
      </c>
      <c r="AD2092" s="6924" t="s">
        <v>3675</v>
      </c>
      <c r="AE2092" s="6924" t="s">
        <v>3676</v>
      </c>
      <c r="AF2092" s="6906">
        <f>321000*0.2</f>
        <v>64200</v>
      </c>
      <c r="AG2092" s="6906">
        <f t="shared" si="460"/>
        <v>64200</v>
      </c>
      <c r="AH2092" s="6905" t="s">
        <v>122</v>
      </c>
      <c r="AI2092" s="6906">
        <v>45268</v>
      </c>
      <c r="AJ2092" s="7002"/>
      <c r="AK2092" s="7002"/>
      <c r="AL2092" s="6906">
        <v>64200</v>
      </c>
      <c r="AM2092" s="6906">
        <v>45268</v>
      </c>
      <c r="AN2092" s="6906">
        <f t="shared" si="459"/>
        <v>64200</v>
      </c>
      <c r="AO2092" s="6906">
        <v>45279</v>
      </c>
      <c r="AP2092" s="7002"/>
      <c r="AQ2092" s="7017"/>
      <c r="AR2092" s="7017"/>
      <c r="AS2092" s="7017"/>
      <c r="AT2092" s="7002"/>
      <c r="AU2092" s="7002"/>
      <c r="AV2092" s="7002"/>
      <c r="AW2092" s="7002"/>
      <c r="AX2092" s="7002"/>
      <c r="AY2092" s="7002"/>
      <c r="AZ2092" s="7002"/>
      <c r="BA2092" s="7002"/>
      <c r="BB2092" s="7002"/>
      <c r="BC2092" s="7002"/>
      <c r="BD2092" s="7002"/>
      <c r="BE2092" s="7002"/>
      <c r="BF2092" s="7002"/>
      <c r="BG2092" s="7002"/>
      <c r="BH2092" s="7002"/>
      <c r="BI2092" s="7002"/>
      <c r="BJ2092" s="7002"/>
      <c r="BK2092" s="7002"/>
      <c r="BL2092" s="7002"/>
      <c r="BM2092" s="7002"/>
      <c r="BN2092" s="6906">
        <f>321000*0.2</f>
        <v>64200</v>
      </c>
      <c r="BO2092" s="7002"/>
      <c r="BP2092" s="7002"/>
      <c r="BQ2092" s="7002"/>
      <c r="BR2092" s="7002"/>
      <c r="BS2092" s="7002"/>
      <c r="BT2092" s="7002"/>
      <c r="BU2092" s="7002"/>
      <c r="BV2092" s="7002"/>
      <c r="BW2092" s="7002"/>
      <c r="BX2092" s="7002"/>
      <c r="BY2092" s="7002"/>
      <c r="BZ2092" s="7002"/>
      <c r="CA2092" s="7002"/>
      <c r="CB2092" s="6906">
        <f>321000*0.2</f>
        <v>64200</v>
      </c>
      <c r="CC2092" s="6906"/>
      <c r="CD2092" s="6906"/>
      <c r="CE2092" s="7025"/>
      <c r="CF2092" s="7025"/>
      <c r="CG2092" s="7025"/>
      <c r="CH2092" s="7025"/>
    </row>
    <row r="2093" s="5005" customFormat="1" ht="46" spans="1:86">
      <c r="A2093" s="6885"/>
      <c r="B2093" s="6886"/>
      <c r="C2093" s="3057"/>
      <c r="D2093" s="6887"/>
      <c r="E2093" s="6904"/>
      <c r="F2093" s="6887"/>
      <c r="G2093" s="6887"/>
      <c r="H2093" s="6906"/>
      <c r="I2093" s="6123"/>
      <c r="J2093" s="6924"/>
      <c r="K2093" s="6925"/>
      <c r="L2093" s="6925"/>
      <c r="M2093" s="6906"/>
      <c r="N2093" s="6850"/>
      <c r="O2093" s="6850"/>
      <c r="P2093" s="6850"/>
      <c r="Q2093" s="6850"/>
      <c r="R2093" s="6850"/>
      <c r="S2093" s="6850"/>
      <c r="T2093" s="6850"/>
      <c r="U2093" s="6850"/>
      <c r="V2093" s="6850"/>
      <c r="W2093" s="6850"/>
      <c r="X2093" s="6850"/>
      <c r="Y2093" s="6850"/>
      <c r="Z2093" s="6850"/>
      <c r="AA2093" s="6850"/>
      <c r="AB2093" s="6933"/>
      <c r="AC2093" s="6959">
        <v>2</v>
      </c>
      <c r="AD2093" s="6924" t="s">
        <v>3677</v>
      </c>
      <c r="AE2093" s="6924" t="s">
        <v>3678</v>
      </c>
      <c r="AF2093" s="6906">
        <f>321000*0.3</f>
        <v>96300</v>
      </c>
      <c r="AG2093" s="7003">
        <f t="shared" si="460"/>
        <v>96300</v>
      </c>
      <c r="AH2093" s="7004" t="s">
        <v>122</v>
      </c>
      <c r="AI2093" s="7003">
        <v>45446</v>
      </c>
      <c r="AJ2093" s="7002"/>
      <c r="AK2093" s="7002"/>
      <c r="AL2093" s="6906">
        <v>96300</v>
      </c>
      <c r="AM2093" s="6906">
        <v>45447</v>
      </c>
      <c r="AN2093" s="6906">
        <f t="shared" si="459"/>
        <v>96300</v>
      </c>
      <c r="AO2093" s="6906">
        <v>45497</v>
      </c>
      <c r="AP2093" s="7002"/>
      <c r="AQ2093" s="7017"/>
      <c r="AR2093" s="7017"/>
      <c r="AS2093" s="7017"/>
      <c r="AT2093" s="7002"/>
      <c r="AU2093" s="7002"/>
      <c r="AV2093" s="7002"/>
      <c r="AW2093" s="7002"/>
      <c r="AX2093" s="7002"/>
      <c r="AY2093" s="7002"/>
      <c r="AZ2093" s="7002"/>
      <c r="BA2093" s="7002"/>
      <c r="BB2093" s="7002"/>
      <c r="BC2093" s="7002"/>
      <c r="BD2093" s="7002"/>
      <c r="BE2093" s="7002"/>
      <c r="BF2093" s="7002"/>
      <c r="BG2093" s="7002"/>
      <c r="BH2093" s="7002"/>
      <c r="BI2093" s="7002"/>
      <c r="BJ2093" s="7002"/>
      <c r="BK2093" s="7002"/>
      <c r="BL2093" s="7002"/>
      <c r="BM2093" s="7002"/>
      <c r="BN2093" s="6906">
        <f>321000*0.3</f>
        <v>96300</v>
      </c>
      <c r="BO2093" s="7002"/>
      <c r="BP2093" s="7002"/>
      <c r="BQ2093" s="7002"/>
      <c r="BR2093" s="7002"/>
      <c r="BS2093" s="7002"/>
      <c r="BT2093" s="7002"/>
      <c r="BU2093" s="7002"/>
      <c r="BV2093" s="7002"/>
      <c r="BW2093" s="7002"/>
      <c r="BX2093" s="7002"/>
      <c r="BY2093" s="7002"/>
      <c r="BZ2093" s="7002"/>
      <c r="CA2093" s="7002"/>
      <c r="CB2093" s="7002">
        <f>321000*0.3</f>
        <v>96300</v>
      </c>
      <c r="CC2093" s="6906"/>
      <c r="CD2093" s="6906"/>
      <c r="CE2093" s="5169">
        <f>SUBTOTAL(9,BO2093:CB2093)</f>
        <v>96300</v>
      </c>
      <c r="CF2093" s="5169">
        <f>AN2093-CE2093</f>
        <v>0</v>
      </c>
      <c r="CG2093" s="7025"/>
      <c r="CH2093" s="7025"/>
    </row>
    <row r="2094" s="5005" customFormat="1" spans="1:86">
      <c r="A2094" s="6885"/>
      <c r="B2094" s="6886"/>
      <c r="C2094" s="3057"/>
      <c r="D2094" s="6887"/>
      <c r="E2094" s="6904"/>
      <c r="F2094" s="6887"/>
      <c r="G2094" s="6887"/>
      <c r="H2094" s="6906"/>
      <c r="I2094" s="6123"/>
      <c r="J2094" s="6924"/>
      <c r="K2094" s="6925"/>
      <c r="L2094" s="6925"/>
      <c r="M2094" s="6906"/>
      <c r="N2094" s="6850"/>
      <c r="O2094" s="6850"/>
      <c r="P2094" s="6850"/>
      <c r="Q2094" s="6850"/>
      <c r="R2094" s="6850"/>
      <c r="S2094" s="6850"/>
      <c r="T2094" s="6850"/>
      <c r="U2094" s="6850"/>
      <c r="V2094" s="6850"/>
      <c r="W2094" s="6850"/>
      <c r="X2094" s="6850"/>
      <c r="Y2094" s="6850"/>
      <c r="Z2094" s="6850"/>
      <c r="AA2094" s="6850"/>
      <c r="AB2094" s="6933"/>
      <c r="AC2094" s="6960">
        <v>3</v>
      </c>
      <c r="AD2094" s="6961" t="s">
        <v>3679</v>
      </c>
      <c r="AE2094" s="6961" t="s">
        <v>3680</v>
      </c>
      <c r="AF2094" s="6962">
        <f>321000*0.4</f>
        <v>128400</v>
      </c>
      <c r="AG2094" s="6906">
        <f t="shared" si="460"/>
        <v>64200</v>
      </c>
      <c r="AH2094" s="6905" t="s">
        <v>122</v>
      </c>
      <c r="AI2094" s="6906">
        <v>45839</v>
      </c>
      <c r="AJ2094" s="6906">
        <v>64200</v>
      </c>
      <c r="AK2094" s="6906">
        <v>45839</v>
      </c>
      <c r="AL2094" s="6906">
        <v>64200</v>
      </c>
      <c r="AM2094" s="6906">
        <v>45847</v>
      </c>
      <c r="AN2094" s="6906">
        <f t="shared" si="459"/>
        <v>64200</v>
      </c>
      <c r="AO2094" s="6906">
        <v>45862</v>
      </c>
      <c r="AP2094" s="7002"/>
      <c r="AQ2094" s="7017"/>
      <c r="AR2094" s="7017"/>
      <c r="AS2094" s="7017"/>
      <c r="AT2094" s="7002"/>
      <c r="AU2094" s="7002"/>
      <c r="AV2094" s="7002"/>
      <c r="AW2094" s="7002"/>
      <c r="AX2094" s="7002"/>
      <c r="AY2094" s="7002"/>
      <c r="AZ2094" s="7002"/>
      <c r="BA2094" s="7002"/>
      <c r="BB2094" s="7002"/>
      <c r="BC2094" s="7002"/>
      <c r="BD2094" s="7002"/>
      <c r="BE2094" s="7002"/>
      <c r="BF2094" s="7002"/>
      <c r="BG2094" s="7002"/>
      <c r="BH2094" s="7002"/>
      <c r="BI2094" s="7002"/>
      <c r="BJ2094" s="7002"/>
      <c r="BK2094" s="7002"/>
      <c r="BL2094" s="7002"/>
      <c r="BM2094" s="7002"/>
      <c r="BN2094" s="6906">
        <f>321000*0.2</f>
        <v>64200</v>
      </c>
      <c r="BO2094" s="7002"/>
      <c r="BP2094" s="7002"/>
      <c r="BQ2094" s="7002"/>
      <c r="BR2094" s="7002"/>
      <c r="BS2094" s="7002"/>
      <c r="BT2094" s="7002"/>
      <c r="BU2094" s="7002"/>
      <c r="BV2094" s="7002"/>
      <c r="BW2094" s="7002"/>
      <c r="BX2094" s="7002"/>
      <c r="BY2094" s="7002"/>
      <c r="BZ2094" s="7002"/>
      <c r="CA2094" s="7002"/>
      <c r="CB2094" s="6906">
        <f>321000*0.2</f>
        <v>64200</v>
      </c>
      <c r="CC2094" s="6906"/>
      <c r="CD2094" s="6906"/>
      <c r="CE2094" s="5169"/>
      <c r="CF2094" s="5169"/>
      <c r="CG2094" s="7025"/>
      <c r="CH2094" s="7025"/>
    </row>
    <row r="2095" s="5005" customFormat="1" spans="1:86">
      <c r="A2095" s="6885"/>
      <c r="B2095" s="6886"/>
      <c r="C2095" s="3057"/>
      <c r="D2095" s="6887"/>
      <c r="E2095" s="6904"/>
      <c r="F2095" s="6887"/>
      <c r="G2095" s="6887"/>
      <c r="H2095" s="6906"/>
      <c r="I2095" s="6123"/>
      <c r="J2095" s="6924"/>
      <c r="K2095" s="6925"/>
      <c r="L2095" s="6925"/>
      <c r="M2095" s="6906"/>
      <c r="N2095" s="6850"/>
      <c r="O2095" s="6850"/>
      <c r="P2095" s="6850"/>
      <c r="Q2095" s="6850"/>
      <c r="R2095" s="6850"/>
      <c r="S2095" s="6850"/>
      <c r="T2095" s="6850"/>
      <c r="U2095" s="6850"/>
      <c r="V2095" s="6850"/>
      <c r="W2095" s="6850"/>
      <c r="X2095" s="6850"/>
      <c r="Y2095" s="6850"/>
      <c r="Z2095" s="6850"/>
      <c r="AA2095" s="6850"/>
      <c r="AB2095" s="6933"/>
      <c r="AC2095" s="6963"/>
      <c r="AD2095" s="6964"/>
      <c r="AE2095" s="6964"/>
      <c r="AF2095" s="6965"/>
      <c r="AG2095" s="6906">
        <f t="shared" si="460"/>
        <v>64200</v>
      </c>
      <c r="AH2095" s="6905" t="s">
        <v>122</v>
      </c>
      <c r="AI2095" s="6906">
        <v>45839</v>
      </c>
      <c r="AJ2095" s="6906">
        <v>64200</v>
      </c>
      <c r="AK2095" s="6906">
        <v>45839</v>
      </c>
      <c r="AL2095" s="6906">
        <v>64200</v>
      </c>
      <c r="AM2095" s="6906">
        <v>45847</v>
      </c>
      <c r="AN2095" s="6906">
        <f t="shared" si="459"/>
        <v>64200</v>
      </c>
      <c r="AO2095" s="6906">
        <v>45862</v>
      </c>
      <c r="AP2095" s="7002"/>
      <c r="AQ2095" s="7017"/>
      <c r="AR2095" s="7017"/>
      <c r="AS2095" s="7017"/>
      <c r="AT2095" s="7002"/>
      <c r="AU2095" s="7002"/>
      <c r="AV2095" s="7002"/>
      <c r="AW2095" s="7002"/>
      <c r="AX2095" s="7002"/>
      <c r="AY2095" s="7002"/>
      <c r="AZ2095" s="7002"/>
      <c r="BA2095" s="7002"/>
      <c r="BB2095" s="7002"/>
      <c r="BC2095" s="7002"/>
      <c r="BD2095" s="7002"/>
      <c r="BE2095" s="7002"/>
      <c r="BF2095" s="7002"/>
      <c r="BG2095" s="7002"/>
      <c r="BH2095" s="7002"/>
      <c r="BI2095" s="7002"/>
      <c r="BJ2095" s="7002"/>
      <c r="BK2095" s="7002"/>
      <c r="BL2095" s="7002"/>
      <c r="BM2095" s="7002"/>
      <c r="BN2095" s="6906">
        <f>321000*0.2</f>
        <v>64200</v>
      </c>
      <c r="BO2095" s="7002"/>
      <c r="BP2095" s="7002"/>
      <c r="BQ2095" s="7002"/>
      <c r="BR2095" s="7002"/>
      <c r="BS2095" s="7002"/>
      <c r="BT2095" s="7002"/>
      <c r="BU2095" s="7002"/>
      <c r="BV2095" s="7002"/>
      <c r="BW2095" s="7002"/>
      <c r="BX2095" s="7002"/>
      <c r="BY2095" s="7002"/>
      <c r="BZ2095" s="7002"/>
      <c r="CA2095" s="7002"/>
      <c r="CB2095" s="6906">
        <f>321000*0.2</f>
        <v>64200</v>
      </c>
      <c r="CC2095" s="6906"/>
      <c r="CD2095" s="6906"/>
      <c r="CE2095" s="7025"/>
      <c r="CF2095" s="7025"/>
      <c r="CG2095" s="7025"/>
      <c r="CH2095" s="7025"/>
    </row>
    <row r="2096" s="5005" customFormat="1" ht="61" spans="1:86">
      <c r="A2096" s="6885"/>
      <c r="B2096" s="6886"/>
      <c r="C2096" s="3057"/>
      <c r="D2096" s="6887"/>
      <c r="E2096" s="6904"/>
      <c r="F2096" s="6887"/>
      <c r="G2096" s="6887"/>
      <c r="H2096" s="6906"/>
      <c r="I2096" s="6123"/>
      <c r="J2096" s="6924"/>
      <c r="K2096" s="6925"/>
      <c r="L2096" s="6925"/>
      <c r="M2096" s="6906"/>
      <c r="N2096" s="6851"/>
      <c r="O2096" s="6851"/>
      <c r="P2096" s="6851"/>
      <c r="Q2096" s="6851"/>
      <c r="R2096" s="6851"/>
      <c r="S2096" s="6851"/>
      <c r="T2096" s="6851"/>
      <c r="U2096" s="6851"/>
      <c r="V2096" s="6851"/>
      <c r="W2096" s="6851"/>
      <c r="X2096" s="6851"/>
      <c r="Y2096" s="6851"/>
      <c r="Z2096" s="6851"/>
      <c r="AA2096" s="6851"/>
      <c r="AB2096" s="6934"/>
      <c r="AC2096" s="6959">
        <v>4</v>
      </c>
      <c r="AD2096" s="6924" t="s">
        <v>3671</v>
      </c>
      <c r="AE2096" s="6924" t="s">
        <v>3681</v>
      </c>
      <c r="AF2096" s="6906">
        <f>321000*0.1</f>
        <v>32100</v>
      </c>
      <c r="AG2096" s="7002">
        <f t="shared" si="460"/>
        <v>0</v>
      </c>
      <c r="AH2096" s="7002"/>
      <c r="AI2096" s="7002"/>
      <c r="AJ2096" s="7002"/>
      <c r="AK2096" s="7002"/>
      <c r="AL2096" s="7002"/>
      <c r="AM2096" s="7002"/>
      <c r="AN2096" s="7002"/>
      <c r="AO2096" s="7002"/>
      <c r="AP2096" s="7002"/>
      <c r="AQ2096" s="7017"/>
      <c r="AR2096" s="7017"/>
      <c r="AS2096" s="7017"/>
      <c r="AT2096" s="7002"/>
      <c r="AU2096" s="7002"/>
      <c r="AV2096" s="7002"/>
      <c r="AW2096" s="7002"/>
      <c r="AX2096" s="7002"/>
      <c r="AY2096" s="7002"/>
      <c r="AZ2096" s="7002"/>
      <c r="BA2096" s="7002"/>
      <c r="BB2096" s="7002"/>
      <c r="BC2096" s="7002"/>
      <c r="BD2096" s="7002"/>
      <c r="BE2096" s="7002"/>
      <c r="BF2096" s="7002"/>
      <c r="BG2096" s="7002"/>
      <c r="BH2096" s="7002"/>
      <c r="BI2096" s="7002"/>
      <c r="BJ2096" s="7002"/>
      <c r="BK2096" s="7002"/>
      <c r="BL2096" s="7002"/>
      <c r="BM2096" s="7002"/>
      <c r="BN2096" s="7002"/>
      <c r="BO2096" s="7002"/>
      <c r="BP2096" s="7002"/>
      <c r="BQ2096" s="7002"/>
      <c r="BR2096" s="7002"/>
      <c r="BS2096" s="7002"/>
      <c r="BT2096" s="7002"/>
      <c r="BU2096" s="7002"/>
      <c r="BV2096" s="7002"/>
      <c r="BW2096" s="7002"/>
      <c r="BX2096" s="7002"/>
      <c r="BY2096" s="7002"/>
      <c r="BZ2096" s="7002"/>
      <c r="CA2096" s="7002"/>
      <c r="CB2096" s="7002"/>
      <c r="CC2096" s="6906"/>
      <c r="CD2096" s="6906"/>
      <c r="CE2096" s="7025"/>
      <c r="CF2096" s="7025"/>
      <c r="CG2096" s="7025"/>
      <c r="CH2096" s="7025"/>
    </row>
    <row r="2097" s="5006" customFormat="1" ht="61" spans="1:86">
      <c r="A2097" s="4036"/>
      <c r="B2097" s="6888"/>
      <c r="C2097" s="3057">
        <v>45239</v>
      </c>
      <c r="D2097" s="6889"/>
      <c r="E2097" s="6907"/>
      <c r="F2097" s="6889"/>
      <c r="G2097" s="6889"/>
      <c r="H2097" s="6865" t="s">
        <v>3682</v>
      </c>
      <c r="I2097" s="6123"/>
      <c r="J2097" s="6863" t="s">
        <v>3571</v>
      </c>
      <c r="K2097" s="6863" t="s">
        <v>171</v>
      </c>
      <c r="L2097" s="6863" t="s">
        <v>3683</v>
      </c>
      <c r="M2097" s="4036">
        <f>SUBTOTAL(9,N2097:AA2101)</f>
        <v>722250</v>
      </c>
      <c r="N2097" s="6849"/>
      <c r="O2097" s="6849"/>
      <c r="P2097" s="6849"/>
      <c r="Q2097" s="6849"/>
      <c r="R2097" s="6849"/>
      <c r="S2097" s="6849"/>
      <c r="T2097" s="6849"/>
      <c r="U2097" s="6849"/>
      <c r="V2097" s="6849"/>
      <c r="W2097" s="6849"/>
      <c r="X2097" s="6849"/>
      <c r="Y2097" s="6849"/>
      <c r="Z2097" s="6849"/>
      <c r="AA2097" s="6849">
        <v>722250</v>
      </c>
      <c r="AB2097" s="6854" t="s">
        <v>171</v>
      </c>
      <c r="AC2097" s="6966">
        <v>1</v>
      </c>
      <c r="AD2097" s="6967" t="s">
        <v>3684</v>
      </c>
      <c r="AE2097" s="6863" t="s">
        <v>3685</v>
      </c>
      <c r="AF2097" s="4036">
        <f>722250*0.2</f>
        <v>144450</v>
      </c>
      <c r="AG2097" s="4036">
        <f t="shared" si="460"/>
        <v>144450</v>
      </c>
      <c r="AH2097" s="6865" t="s">
        <v>122</v>
      </c>
      <c r="AI2097" s="4036">
        <v>45499</v>
      </c>
      <c r="AJ2097" s="6866"/>
      <c r="AK2097" s="6866"/>
      <c r="AL2097" s="6989">
        <v>144450</v>
      </c>
      <c r="AM2097" s="4036">
        <v>45502</v>
      </c>
      <c r="AN2097" s="4036">
        <f>SUBTOTAL(9,BO2097:CB2097)</f>
        <v>144450</v>
      </c>
      <c r="AO2097" s="4036">
        <v>45524</v>
      </c>
      <c r="AP2097" s="6866"/>
      <c r="AQ2097" s="7009"/>
      <c r="AR2097" s="7009"/>
      <c r="AS2097" s="7009"/>
      <c r="AT2097" s="6866"/>
      <c r="AU2097" s="5123"/>
      <c r="AV2097" s="5123"/>
      <c r="AW2097" s="5123"/>
      <c r="AX2097" s="5123"/>
      <c r="AY2097" s="5123"/>
      <c r="AZ2097" s="5123"/>
      <c r="BA2097" s="6866"/>
      <c r="BB2097" s="6866"/>
      <c r="BC2097" s="6866"/>
      <c r="BD2097" s="6866"/>
      <c r="BE2097" s="6866"/>
      <c r="BF2097" s="6866"/>
      <c r="BG2097" s="6866"/>
      <c r="BH2097" s="6866"/>
      <c r="BI2097" s="6866"/>
      <c r="BJ2097" s="6866"/>
      <c r="BK2097" s="6866"/>
      <c r="BL2097" s="4036"/>
      <c r="BM2097" s="4036"/>
      <c r="BN2097" s="4036">
        <f>722250*0.2</f>
        <v>144450</v>
      </c>
      <c r="BO2097" s="6866"/>
      <c r="BP2097" s="6866"/>
      <c r="BQ2097" s="6866"/>
      <c r="BR2097" s="6866"/>
      <c r="BS2097" s="6866"/>
      <c r="BT2097" s="6866"/>
      <c r="BU2097" s="6866"/>
      <c r="BV2097" s="6866"/>
      <c r="BW2097" s="6866"/>
      <c r="BX2097" s="6866"/>
      <c r="BY2097" s="6866"/>
      <c r="BZ2097" s="4036"/>
      <c r="CA2097" s="4036"/>
      <c r="CB2097" s="4036">
        <v>144450</v>
      </c>
      <c r="CC2097" s="4036"/>
      <c r="CD2097" s="4036"/>
      <c r="CE2097" s="5169">
        <f>SUBTOTAL(9,BO2097:CB2097)</f>
        <v>144450</v>
      </c>
      <c r="CF2097" s="5169">
        <f>AN2097-CE2097</f>
        <v>0</v>
      </c>
      <c r="CG2097" s="7026"/>
      <c r="CH2097" s="7026"/>
    </row>
    <row r="2098" s="5006" customFormat="1" ht="61" spans="1:86">
      <c r="A2098" s="4036"/>
      <c r="B2098" s="6888"/>
      <c r="C2098" s="3057"/>
      <c r="D2098" s="6889"/>
      <c r="E2098" s="6907"/>
      <c r="F2098" s="6889"/>
      <c r="G2098" s="6889"/>
      <c r="H2098" s="4036"/>
      <c r="I2098" s="6123"/>
      <c r="J2098" s="6863"/>
      <c r="K2098" s="6926"/>
      <c r="L2098" s="6926"/>
      <c r="M2098" s="4036"/>
      <c r="N2098" s="6850"/>
      <c r="O2098" s="6850"/>
      <c r="P2098" s="6850"/>
      <c r="Q2098" s="6850"/>
      <c r="R2098" s="6850"/>
      <c r="S2098" s="6850"/>
      <c r="T2098" s="6850"/>
      <c r="U2098" s="6850"/>
      <c r="V2098" s="6850"/>
      <c r="W2098" s="6850"/>
      <c r="X2098" s="6850"/>
      <c r="Y2098" s="6850"/>
      <c r="Z2098" s="6850"/>
      <c r="AA2098" s="6850"/>
      <c r="AB2098" s="6933"/>
      <c r="AC2098" s="6966">
        <v>2</v>
      </c>
      <c r="AD2098" s="6967" t="s">
        <v>3686</v>
      </c>
      <c r="AE2098" s="6863" t="s">
        <v>3687</v>
      </c>
      <c r="AF2098" s="4036">
        <f>722250*0.3</f>
        <v>216675</v>
      </c>
      <c r="AG2098" s="4036">
        <f t="shared" si="460"/>
        <v>216675</v>
      </c>
      <c r="AH2098" s="6865" t="s">
        <v>122</v>
      </c>
      <c r="AI2098" s="4036">
        <v>45720</v>
      </c>
      <c r="AJ2098" s="4036">
        <v>216675</v>
      </c>
      <c r="AK2098" s="4036">
        <v>45720</v>
      </c>
      <c r="AL2098" s="4036">
        <v>216675</v>
      </c>
      <c r="AM2098" s="4036">
        <v>45726</v>
      </c>
      <c r="AN2098" s="4036">
        <f>SUBTOTAL(9,BO2098:CB2098)</f>
        <v>216675</v>
      </c>
      <c r="AO2098" s="4036">
        <v>45774</v>
      </c>
      <c r="AP2098" s="6866"/>
      <c r="AQ2098" s="6863" t="s">
        <v>3688</v>
      </c>
      <c r="AR2098" s="7009"/>
      <c r="AS2098" s="7009"/>
      <c r="AT2098" s="6866"/>
      <c r="AU2098" s="5123"/>
      <c r="AV2098" s="5123"/>
      <c r="AW2098" s="5123"/>
      <c r="AX2098" s="5123"/>
      <c r="AY2098" s="5123"/>
      <c r="AZ2098" s="5123"/>
      <c r="BA2098" s="6866"/>
      <c r="BB2098" s="6866"/>
      <c r="BC2098" s="6866"/>
      <c r="BD2098" s="6866"/>
      <c r="BE2098" s="6866"/>
      <c r="BF2098" s="6866"/>
      <c r="BG2098" s="6866"/>
      <c r="BH2098" s="6866"/>
      <c r="BI2098" s="6866"/>
      <c r="BJ2098" s="6866"/>
      <c r="BK2098" s="6866"/>
      <c r="BL2098" s="6866"/>
      <c r="BM2098" s="6866"/>
      <c r="BN2098" s="6866">
        <v>216675</v>
      </c>
      <c r="BO2098" s="6866"/>
      <c r="BP2098" s="6866"/>
      <c r="BQ2098" s="6866"/>
      <c r="BR2098" s="6866"/>
      <c r="BS2098" s="6866"/>
      <c r="BT2098" s="6866"/>
      <c r="BU2098" s="6866"/>
      <c r="BV2098" s="6866"/>
      <c r="BW2098" s="6866"/>
      <c r="BX2098" s="6866"/>
      <c r="BY2098" s="6866"/>
      <c r="BZ2098" s="6866"/>
      <c r="CA2098" s="6866"/>
      <c r="CB2098" s="6866">
        <v>216675</v>
      </c>
      <c r="CC2098" s="4036"/>
      <c r="CD2098" s="4036"/>
      <c r="CE2098" s="5169">
        <f>SUBTOTAL(9,BO2098:CB2098)</f>
        <v>216675</v>
      </c>
      <c r="CF2098" s="5169">
        <f>AN2098-CE2098</f>
        <v>0</v>
      </c>
      <c r="CG2098" s="7026"/>
      <c r="CH2098" s="7026"/>
    </row>
    <row r="2099" s="5006" customFormat="1" ht="33.35" customHeight="1" spans="1:86">
      <c r="A2099" s="4036"/>
      <c r="B2099" s="6888"/>
      <c r="C2099" s="3057"/>
      <c r="D2099" s="6889"/>
      <c r="E2099" s="6907"/>
      <c r="F2099" s="6889"/>
      <c r="G2099" s="6889"/>
      <c r="H2099" s="4036"/>
      <c r="I2099" s="6123"/>
      <c r="J2099" s="6863"/>
      <c r="K2099" s="6926"/>
      <c r="L2099" s="6926"/>
      <c r="M2099" s="4036"/>
      <c r="N2099" s="6850"/>
      <c r="O2099" s="6850"/>
      <c r="P2099" s="6850"/>
      <c r="Q2099" s="6850"/>
      <c r="R2099" s="6850"/>
      <c r="S2099" s="6850"/>
      <c r="T2099" s="6850"/>
      <c r="U2099" s="6850"/>
      <c r="V2099" s="6850"/>
      <c r="W2099" s="6850"/>
      <c r="X2099" s="6850"/>
      <c r="Y2099" s="6850"/>
      <c r="Z2099" s="6850"/>
      <c r="AA2099" s="6850"/>
      <c r="AB2099" s="6933"/>
      <c r="AC2099" s="6968">
        <v>3</v>
      </c>
      <c r="AD2099" s="6969" t="s">
        <v>3689</v>
      </c>
      <c r="AE2099" s="6969" t="s">
        <v>3690</v>
      </c>
      <c r="AF2099" s="6970">
        <f>722250*0.4</f>
        <v>288900</v>
      </c>
      <c r="AG2099" s="4036">
        <f t="shared" si="460"/>
        <v>144450</v>
      </c>
      <c r="AH2099" s="6865" t="s">
        <v>122</v>
      </c>
      <c r="AI2099" s="4036">
        <v>45842</v>
      </c>
      <c r="AJ2099" s="4036">
        <v>144450</v>
      </c>
      <c r="AK2099" s="4036">
        <v>45842</v>
      </c>
      <c r="AL2099" s="4036">
        <v>144450</v>
      </c>
      <c r="AM2099" s="4036">
        <v>45847</v>
      </c>
      <c r="AN2099" s="4036">
        <f>SUBTOTAL(9,BO2099:CB2099)</f>
        <v>144450</v>
      </c>
      <c r="AO2099" s="4036">
        <v>45867</v>
      </c>
      <c r="AP2099" s="6866"/>
      <c r="AQ2099" s="6863"/>
      <c r="AR2099" s="7009"/>
      <c r="AS2099" s="7009"/>
      <c r="AT2099" s="6866"/>
      <c r="AU2099" s="5123"/>
      <c r="AV2099" s="5123"/>
      <c r="AW2099" s="5123"/>
      <c r="AX2099" s="5123"/>
      <c r="AY2099" s="5123"/>
      <c r="AZ2099" s="5123"/>
      <c r="BA2099" s="6866"/>
      <c r="BB2099" s="6866"/>
      <c r="BC2099" s="6866"/>
      <c r="BD2099" s="6866"/>
      <c r="BE2099" s="6866"/>
      <c r="BF2099" s="6866"/>
      <c r="BG2099" s="6866"/>
      <c r="BH2099" s="6866"/>
      <c r="BI2099" s="6866"/>
      <c r="BJ2099" s="6866"/>
      <c r="BK2099" s="6866"/>
      <c r="BL2099" s="6866"/>
      <c r="BM2099" s="6866"/>
      <c r="BN2099" s="6865">
        <f>288900/2</f>
        <v>144450</v>
      </c>
      <c r="BO2099" s="6866"/>
      <c r="BP2099" s="6866"/>
      <c r="BQ2099" s="6866"/>
      <c r="BR2099" s="6866"/>
      <c r="BS2099" s="6866"/>
      <c r="BT2099" s="6866"/>
      <c r="BU2099" s="6866"/>
      <c r="BV2099" s="6866"/>
      <c r="BW2099" s="6866"/>
      <c r="BX2099" s="6866"/>
      <c r="BY2099" s="6866"/>
      <c r="BZ2099" s="6866"/>
      <c r="CA2099" s="6866"/>
      <c r="CB2099" s="6865">
        <f>288900/2</f>
        <v>144450</v>
      </c>
      <c r="CC2099" s="4036"/>
      <c r="CD2099" s="4036"/>
      <c r="CE2099" s="5169"/>
      <c r="CF2099" s="5169"/>
      <c r="CG2099" s="7026"/>
      <c r="CH2099" s="7026"/>
    </row>
    <row r="2100" s="5006" customFormat="1" ht="41.65" customHeight="1" spans="1:86">
      <c r="A2100" s="4036"/>
      <c r="B2100" s="6888"/>
      <c r="C2100" s="3057"/>
      <c r="D2100" s="6889"/>
      <c r="E2100" s="6907"/>
      <c r="F2100" s="6889"/>
      <c r="G2100" s="6889"/>
      <c r="H2100" s="4036"/>
      <c r="I2100" s="6123"/>
      <c r="J2100" s="6863"/>
      <c r="K2100" s="6926"/>
      <c r="L2100" s="6926"/>
      <c r="M2100" s="4036"/>
      <c r="N2100" s="6850"/>
      <c r="O2100" s="6850"/>
      <c r="P2100" s="6850"/>
      <c r="Q2100" s="6850"/>
      <c r="R2100" s="6850"/>
      <c r="S2100" s="6850"/>
      <c r="T2100" s="6850"/>
      <c r="U2100" s="6850"/>
      <c r="V2100" s="6850"/>
      <c r="W2100" s="6850"/>
      <c r="X2100" s="6850"/>
      <c r="Y2100" s="6850"/>
      <c r="Z2100" s="6850"/>
      <c r="AA2100" s="6850"/>
      <c r="AB2100" s="6933"/>
      <c r="AC2100" s="6971"/>
      <c r="AD2100" s="6972"/>
      <c r="AE2100" s="6973"/>
      <c r="AF2100" s="6974"/>
      <c r="AG2100" s="4036">
        <f t="shared" si="460"/>
        <v>144450</v>
      </c>
      <c r="AH2100" s="6865" t="s">
        <v>122</v>
      </c>
      <c r="AI2100" s="4036">
        <v>45842</v>
      </c>
      <c r="AJ2100" s="4036">
        <v>144450</v>
      </c>
      <c r="AK2100" s="4036">
        <v>45842</v>
      </c>
      <c r="AL2100" s="4036">
        <v>144450</v>
      </c>
      <c r="AM2100" s="4036">
        <v>45847</v>
      </c>
      <c r="AN2100" s="4036">
        <f>SUBTOTAL(9,BO2100:CB2100)</f>
        <v>144450</v>
      </c>
      <c r="AO2100" s="4036">
        <v>45867</v>
      </c>
      <c r="AP2100" s="6866"/>
      <c r="AQ2100" s="7009"/>
      <c r="AR2100" s="7009"/>
      <c r="AS2100" s="7009"/>
      <c r="AT2100" s="6866"/>
      <c r="AU2100" s="5123"/>
      <c r="AV2100" s="5123"/>
      <c r="AW2100" s="5123"/>
      <c r="AX2100" s="5123"/>
      <c r="AY2100" s="5123"/>
      <c r="AZ2100" s="5123"/>
      <c r="BA2100" s="6866"/>
      <c r="BB2100" s="6866"/>
      <c r="BC2100" s="6866"/>
      <c r="BD2100" s="6866"/>
      <c r="BE2100" s="6866"/>
      <c r="BF2100" s="6866"/>
      <c r="BG2100" s="6866"/>
      <c r="BH2100" s="6866"/>
      <c r="BI2100" s="6866"/>
      <c r="BJ2100" s="6866"/>
      <c r="BK2100" s="6866"/>
      <c r="BL2100" s="6866"/>
      <c r="BM2100" s="6866"/>
      <c r="BN2100" s="6865">
        <f>288900/2</f>
        <v>144450</v>
      </c>
      <c r="BO2100" s="6866"/>
      <c r="BP2100" s="6866"/>
      <c r="BQ2100" s="6866"/>
      <c r="BR2100" s="6866"/>
      <c r="BS2100" s="6866"/>
      <c r="BT2100" s="6866"/>
      <c r="BU2100" s="6866"/>
      <c r="BV2100" s="6866"/>
      <c r="BW2100" s="6866"/>
      <c r="BX2100" s="6866"/>
      <c r="BY2100" s="6866"/>
      <c r="BZ2100" s="6866"/>
      <c r="CA2100" s="6866"/>
      <c r="CB2100" s="6865">
        <f>288900/2</f>
        <v>144450</v>
      </c>
      <c r="CC2100" s="4036"/>
      <c r="CD2100" s="4036"/>
      <c r="CE2100" s="7026"/>
      <c r="CF2100" s="7026"/>
      <c r="CG2100" s="7026"/>
      <c r="CH2100" s="7026"/>
    </row>
    <row r="2101" s="5006" customFormat="1" ht="61" spans="1:86">
      <c r="A2101" s="4036"/>
      <c r="B2101" s="6888"/>
      <c r="C2101" s="3057"/>
      <c r="D2101" s="6889"/>
      <c r="E2101" s="6907"/>
      <c r="F2101" s="6889"/>
      <c r="G2101" s="6889"/>
      <c r="H2101" s="4036"/>
      <c r="I2101" s="6123"/>
      <c r="J2101" s="6863"/>
      <c r="K2101" s="6926"/>
      <c r="L2101" s="6926"/>
      <c r="M2101" s="4036"/>
      <c r="N2101" s="6851"/>
      <c r="O2101" s="6851"/>
      <c r="P2101" s="6851"/>
      <c r="Q2101" s="6851"/>
      <c r="R2101" s="6851"/>
      <c r="S2101" s="6851"/>
      <c r="T2101" s="6851"/>
      <c r="U2101" s="6851"/>
      <c r="V2101" s="6851"/>
      <c r="W2101" s="6851"/>
      <c r="X2101" s="6851"/>
      <c r="Y2101" s="6851"/>
      <c r="Z2101" s="6851"/>
      <c r="AA2101" s="6851"/>
      <c r="AB2101" s="6934"/>
      <c r="AC2101" s="6966">
        <v>4</v>
      </c>
      <c r="AD2101" s="6967" t="s">
        <v>3671</v>
      </c>
      <c r="AE2101" s="6966" t="s">
        <v>3681</v>
      </c>
      <c r="AF2101" s="4036">
        <f>722250*0.1</f>
        <v>72225</v>
      </c>
      <c r="AG2101" s="6866">
        <f t="shared" si="460"/>
        <v>0</v>
      </c>
      <c r="AH2101" s="6866"/>
      <c r="AI2101" s="6866"/>
      <c r="AJ2101" s="6866"/>
      <c r="AK2101" s="6866"/>
      <c r="AL2101" s="6866"/>
      <c r="AM2101" s="6866"/>
      <c r="AN2101" s="6866"/>
      <c r="AO2101" s="6866"/>
      <c r="AP2101" s="6866"/>
      <c r="AQ2101" s="7009"/>
      <c r="AR2101" s="7009"/>
      <c r="AS2101" s="7009"/>
      <c r="AT2101" s="6866"/>
      <c r="AU2101" s="5123"/>
      <c r="AV2101" s="5123"/>
      <c r="AW2101" s="5123"/>
      <c r="AX2101" s="5123"/>
      <c r="AY2101" s="5123"/>
      <c r="AZ2101" s="5123"/>
      <c r="BA2101" s="6866"/>
      <c r="BB2101" s="6866"/>
      <c r="BC2101" s="6866"/>
      <c r="BD2101" s="6866"/>
      <c r="BE2101" s="6866"/>
      <c r="BF2101" s="6866"/>
      <c r="BG2101" s="6866"/>
      <c r="BH2101" s="6866"/>
      <c r="BI2101" s="6866"/>
      <c r="BJ2101" s="6866"/>
      <c r="BK2101" s="6866"/>
      <c r="BL2101" s="6866"/>
      <c r="BM2101" s="6866"/>
      <c r="BN2101" s="6866"/>
      <c r="BO2101" s="6866"/>
      <c r="BP2101" s="6866"/>
      <c r="BQ2101" s="6866"/>
      <c r="BR2101" s="6866"/>
      <c r="BS2101" s="6866"/>
      <c r="BT2101" s="6866"/>
      <c r="BU2101" s="6866"/>
      <c r="BV2101" s="6866"/>
      <c r="BW2101" s="6866"/>
      <c r="BX2101" s="6866"/>
      <c r="BY2101" s="6866"/>
      <c r="BZ2101" s="6866"/>
      <c r="CA2101" s="6866"/>
      <c r="CB2101" s="6866"/>
      <c r="CC2101" s="4036"/>
      <c r="CD2101" s="4036"/>
      <c r="CE2101" s="7026"/>
      <c r="CF2101" s="7026"/>
      <c r="CG2101" s="7026"/>
      <c r="CH2101" s="7026"/>
    </row>
    <row r="2102" s="5007" customFormat="1" ht="61" spans="1:86">
      <c r="A2102" s="6890"/>
      <c r="B2102" s="6891"/>
      <c r="C2102" s="4183">
        <v>45239</v>
      </c>
      <c r="D2102" s="6892"/>
      <c r="E2102" s="6908"/>
      <c r="F2102" s="6892"/>
      <c r="G2102" s="6892"/>
      <c r="H2102" s="6909" t="s">
        <v>3469</v>
      </c>
      <c r="I2102" s="6123"/>
      <c r="J2102" s="6927" t="s">
        <v>3571</v>
      </c>
      <c r="K2102" s="6928">
        <v>200203.39</v>
      </c>
      <c r="L2102" s="6927" t="s">
        <v>3691</v>
      </c>
      <c r="M2102" s="6890">
        <f>SUBTOTAL(9,N2102:AA2105)</f>
        <v>214217.63</v>
      </c>
      <c r="N2102" s="6849"/>
      <c r="O2102" s="6849"/>
      <c r="P2102" s="6849"/>
      <c r="Q2102" s="6849"/>
      <c r="R2102" s="6849"/>
      <c r="S2102" s="6849"/>
      <c r="T2102" s="6849"/>
      <c r="U2102" s="6849"/>
      <c r="V2102" s="6849"/>
      <c r="W2102" s="6849"/>
      <c r="X2102" s="6849"/>
      <c r="Y2102" s="6940"/>
      <c r="Z2102" s="6940"/>
      <c r="AA2102" s="6935">
        <v>214217.63</v>
      </c>
      <c r="AB2102" s="6936" t="s">
        <v>171</v>
      </c>
      <c r="AC2102" s="6928">
        <v>1</v>
      </c>
      <c r="AD2102" s="6975" t="s">
        <v>3692</v>
      </c>
      <c r="AE2102" s="6976" t="s">
        <v>3693</v>
      </c>
      <c r="AF2102" s="6890">
        <f>214217.63*0.2</f>
        <v>42843.526</v>
      </c>
      <c r="AG2102" s="6890">
        <f t="shared" si="460"/>
        <v>42843.526</v>
      </c>
      <c r="AH2102" s="6909" t="s">
        <v>122</v>
      </c>
      <c r="AI2102" s="6890">
        <v>45407</v>
      </c>
      <c r="AJ2102" s="6890">
        <v>42843.526</v>
      </c>
      <c r="AK2102" s="6890">
        <v>45407</v>
      </c>
      <c r="AL2102" s="6890">
        <v>42843.526</v>
      </c>
      <c r="AM2102" s="6890">
        <v>45408</v>
      </c>
      <c r="AN2102" s="6890">
        <f>SUBTOTAL(9,BO2102:CB2102)</f>
        <v>42843.526</v>
      </c>
      <c r="AO2102" s="6890">
        <v>45433</v>
      </c>
      <c r="AP2102" s="7007"/>
      <c r="AQ2102" s="7018"/>
      <c r="AR2102" s="7018"/>
      <c r="AS2102" s="7018"/>
      <c r="AT2102" s="7007"/>
      <c r="AU2102" s="5123"/>
      <c r="AV2102" s="5123"/>
      <c r="AW2102" s="5123"/>
      <c r="AX2102" s="5123"/>
      <c r="AY2102" s="5123"/>
      <c r="AZ2102" s="5123"/>
      <c r="BA2102" s="7007"/>
      <c r="BB2102" s="6890"/>
      <c r="BC2102" s="6890"/>
      <c r="BD2102" s="6890"/>
      <c r="BE2102" s="6890"/>
      <c r="BF2102" s="6890"/>
      <c r="BG2102" s="6890"/>
      <c r="BH2102" s="6890"/>
      <c r="BI2102" s="6890"/>
      <c r="BJ2102" s="6890"/>
      <c r="BK2102" s="6890"/>
      <c r="BL2102" s="6890"/>
      <c r="BM2102" s="6890"/>
      <c r="BN2102" s="6890">
        <f>214217.63*0.2</f>
        <v>42843.526</v>
      </c>
      <c r="BO2102" s="6890"/>
      <c r="BP2102" s="6890"/>
      <c r="BQ2102" s="6890"/>
      <c r="BR2102" s="6890"/>
      <c r="BS2102" s="6890"/>
      <c r="BT2102" s="6890"/>
      <c r="BU2102" s="6890"/>
      <c r="BV2102" s="6890"/>
      <c r="BW2102" s="6890"/>
      <c r="BX2102" s="6890"/>
      <c r="BY2102" s="6890"/>
      <c r="BZ2102" s="6890"/>
      <c r="CA2102" s="6890"/>
      <c r="CB2102" s="6890">
        <f>214217.63*0.2</f>
        <v>42843.526</v>
      </c>
      <c r="CC2102" s="6890"/>
      <c r="CD2102" s="6890"/>
      <c r="CE2102" s="7027"/>
      <c r="CF2102" s="7027"/>
      <c r="CG2102" s="7027"/>
      <c r="CH2102" s="7027"/>
    </row>
    <row r="2103" s="5007" customFormat="1" ht="33.35" customHeight="1" spans="1:86">
      <c r="A2103" s="6890"/>
      <c r="B2103" s="6891"/>
      <c r="C2103" s="4184"/>
      <c r="D2103" s="6892"/>
      <c r="E2103" s="6908"/>
      <c r="F2103" s="6892"/>
      <c r="G2103" s="6892"/>
      <c r="H2103" s="6909"/>
      <c r="I2103" s="6123"/>
      <c r="J2103" s="6927"/>
      <c r="K2103" s="6928"/>
      <c r="L2103" s="6927"/>
      <c r="M2103" s="6890"/>
      <c r="N2103" s="6850"/>
      <c r="O2103" s="6850"/>
      <c r="P2103" s="6850"/>
      <c r="Q2103" s="6850"/>
      <c r="R2103" s="6850"/>
      <c r="S2103" s="6850"/>
      <c r="T2103" s="6850"/>
      <c r="U2103" s="6850"/>
      <c r="V2103" s="6850"/>
      <c r="W2103" s="6850"/>
      <c r="X2103" s="6850"/>
      <c r="Y2103" s="6941"/>
      <c r="Z2103" s="6941"/>
      <c r="AA2103" s="6935"/>
      <c r="AB2103" s="6942"/>
      <c r="AC2103" s="6977">
        <v>2</v>
      </c>
      <c r="AD2103" s="6978" t="s">
        <v>3694</v>
      </c>
      <c r="AE2103" s="6979" t="s">
        <v>3695</v>
      </c>
      <c r="AF2103" s="6980">
        <f>214217.63*0.7</f>
        <v>149952.341</v>
      </c>
      <c r="AG2103" s="7005">
        <f>SUBTOTAL(9,BA2103:BN2104)</f>
        <v>149952.341</v>
      </c>
      <c r="AH2103" s="7006" t="s">
        <v>122</v>
      </c>
      <c r="AI2103" s="7005">
        <v>45720</v>
      </c>
      <c r="AJ2103" s="7005">
        <v>149952.341</v>
      </c>
      <c r="AK2103" s="7005">
        <v>45720</v>
      </c>
      <c r="AL2103" s="7005">
        <v>149952.341</v>
      </c>
      <c r="AM2103" s="7005">
        <v>45726</v>
      </c>
      <c r="AN2103" s="7007">
        <f>SUBTOTAL(9,BO2103:CB2103)</f>
        <v>107108.815</v>
      </c>
      <c r="AO2103" s="7007">
        <v>46021</v>
      </c>
      <c r="AP2103" s="7007"/>
      <c r="AQ2103" s="7018"/>
      <c r="AR2103" s="7018"/>
      <c r="AS2103" s="7018"/>
      <c r="AT2103" s="7007"/>
      <c r="AU2103" s="5123"/>
      <c r="AV2103" s="5123"/>
      <c r="AW2103" s="5123"/>
      <c r="AX2103" s="5123"/>
      <c r="AY2103" s="5123"/>
      <c r="AZ2103" s="5123"/>
      <c r="BA2103" s="7007"/>
      <c r="BB2103" s="6890"/>
      <c r="BC2103" s="6890"/>
      <c r="BD2103" s="6890"/>
      <c r="BE2103" s="6890"/>
      <c r="BF2103" s="6890"/>
      <c r="BG2103" s="6890"/>
      <c r="BH2103" s="6890"/>
      <c r="BI2103" s="6890"/>
      <c r="BJ2103" s="6890"/>
      <c r="BK2103" s="6890"/>
      <c r="BL2103" s="6890"/>
      <c r="BM2103" s="6890"/>
      <c r="BN2103" s="7007">
        <f>214217.63*0.5</f>
        <v>107108.815</v>
      </c>
      <c r="BO2103" s="6890"/>
      <c r="BP2103" s="6890"/>
      <c r="BQ2103" s="6890"/>
      <c r="BR2103" s="6890"/>
      <c r="BS2103" s="6890"/>
      <c r="BT2103" s="6890"/>
      <c r="BU2103" s="6890"/>
      <c r="BV2103" s="6890"/>
      <c r="BW2103" s="6890"/>
      <c r="BX2103" s="6890"/>
      <c r="BY2103" s="6890"/>
      <c r="BZ2103" s="6890"/>
      <c r="CA2103" s="6890"/>
      <c r="CB2103" s="7007">
        <f>214217.63*0.5</f>
        <v>107108.815</v>
      </c>
      <c r="CC2103" s="6890"/>
      <c r="CD2103" s="6890"/>
      <c r="CE2103" s="7027"/>
      <c r="CF2103" s="7027"/>
      <c r="CG2103" s="7027"/>
      <c r="CH2103" s="7027"/>
    </row>
    <row r="2104" s="5007" customFormat="1" ht="30" customHeight="1" spans="1:86">
      <c r="A2104" s="6890"/>
      <c r="B2104" s="6891"/>
      <c r="C2104" s="4184"/>
      <c r="D2104" s="6892"/>
      <c r="E2104" s="6908"/>
      <c r="F2104" s="6892"/>
      <c r="G2104" s="6892"/>
      <c r="H2104" s="6890"/>
      <c r="I2104" s="6123"/>
      <c r="J2104" s="6927"/>
      <c r="K2104" s="6928"/>
      <c r="L2104" s="6928"/>
      <c r="M2104" s="6890"/>
      <c r="N2104" s="6850"/>
      <c r="O2104" s="6850"/>
      <c r="P2104" s="6850"/>
      <c r="Q2104" s="6850"/>
      <c r="R2104" s="6850"/>
      <c r="S2104" s="6850"/>
      <c r="T2104" s="6850"/>
      <c r="U2104" s="6850"/>
      <c r="V2104" s="6850"/>
      <c r="W2104" s="6850"/>
      <c r="X2104" s="6850"/>
      <c r="Y2104" s="6941"/>
      <c r="Z2104" s="6941"/>
      <c r="AA2104" s="6937"/>
      <c r="AB2104" s="6938"/>
      <c r="AC2104" s="6981"/>
      <c r="AD2104" s="6982"/>
      <c r="AE2104" s="6983"/>
      <c r="AF2104" s="6984"/>
      <c r="AG2104" s="6910"/>
      <c r="AH2104" s="6893"/>
      <c r="AI2104" s="6910"/>
      <c r="AJ2104" s="6910"/>
      <c r="AK2104" s="6910"/>
      <c r="AL2104" s="6910"/>
      <c r="AM2104" s="6910"/>
      <c r="AN2104" s="7007">
        <f>SUBTOTAL(9,BO2104:CB2104)</f>
        <v>42843.526</v>
      </c>
      <c r="AO2104" s="7007">
        <v>46021</v>
      </c>
      <c r="AP2104" s="7007"/>
      <c r="AQ2104" s="7018"/>
      <c r="AR2104" s="7018"/>
      <c r="AS2104" s="7018"/>
      <c r="AT2104" s="7007"/>
      <c r="AU2104" s="5123"/>
      <c r="AV2104" s="5123"/>
      <c r="AW2104" s="5123"/>
      <c r="AX2104" s="5123"/>
      <c r="AY2104" s="5123"/>
      <c r="AZ2104" s="5123"/>
      <c r="BA2104" s="7007"/>
      <c r="BB2104" s="7007"/>
      <c r="BC2104" s="7007"/>
      <c r="BD2104" s="7007"/>
      <c r="BE2104" s="7007"/>
      <c r="BF2104" s="7007"/>
      <c r="BG2104" s="7007"/>
      <c r="BH2104" s="7007"/>
      <c r="BI2104" s="7007"/>
      <c r="BJ2104" s="7007"/>
      <c r="BK2104" s="7007"/>
      <c r="BL2104" s="7007"/>
      <c r="BM2104" s="7007"/>
      <c r="BN2104" s="7007">
        <f>214217.63*0.2</f>
        <v>42843.526</v>
      </c>
      <c r="BO2104" s="7007"/>
      <c r="BP2104" s="7007"/>
      <c r="BQ2104" s="7007"/>
      <c r="BR2104" s="7007"/>
      <c r="BS2104" s="7007"/>
      <c r="BT2104" s="7007"/>
      <c r="BU2104" s="7007"/>
      <c r="BV2104" s="7007"/>
      <c r="BW2104" s="7007"/>
      <c r="BX2104" s="7007"/>
      <c r="BY2104" s="7007"/>
      <c r="BZ2104" s="7007"/>
      <c r="CA2104" s="7007"/>
      <c r="CB2104" s="7007">
        <f>214217.63*0.2</f>
        <v>42843.526</v>
      </c>
      <c r="CC2104" s="6890"/>
      <c r="CD2104" s="6890"/>
      <c r="CE2104" s="7027"/>
      <c r="CF2104" s="7027"/>
      <c r="CG2104" s="7027"/>
      <c r="CH2104" s="7027"/>
    </row>
    <row r="2105" s="5007" customFormat="1" ht="76" spans="1:86">
      <c r="A2105" s="6890"/>
      <c r="B2105" s="6893"/>
      <c r="C2105" s="4185"/>
      <c r="D2105" s="6894"/>
      <c r="E2105" s="6910"/>
      <c r="F2105" s="6894"/>
      <c r="G2105" s="6894"/>
      <c r="H2105" s="6890"/>
      <c r="I2105" s="4502"/>
      <c r="J2105" s="6927"/>
      <c r="K2105" s="6928"/>
      <c r="L2105" s="6928"/>
      <c r="M2105" s="6890"/>
      <c r="N2105" s="6851"/>
      <c r="O2105" s="6851"/>
      <c r="P2105" s="6851"/>
      <c r="Q2105" s="6851"/>
      <c r="R2105" s="6851"/>
      <c r="S2105" s="6851"/>
      <c r="T2105" s="6851"/>
      <c r="U2105" s="6851"/>
      <c r="V2105" s="6851"/>
      <c r="W2105" s="6851"/>
      <c r="X2105" s="6851"/>
      <c r="Y2105" s="6943"/>
      <c r="Z2105" s="6943"/>
      <c r="AA2105" s="6937"/>
      <c r="AB2105" s="6939"/>
      <c r="AC2105" s="6928">
        <v>3</v>
      </c>
      <c r="AD2105" s="6975" t="s">
        <v>3696</v>
      </c>
      <c r="AE2105" s="6976" t="s">
        <v>3697</v>
      </c>
      <c r="AF2105" s="6890">
        <f>214217.63*0.1</f>
        <v>21421.763</v>
      </c>
      <c r="AG2105" s="7007">
        <f>SUBTOTAL(9,BA2105:BN2105)</f>
        <v>0</v>
      </c>
      <c r="AH2105" s="7007"/>
      <c r="AI2105" s="7007"/>
      <c r="AJ2105" s="7007"/>
      <c r="AK2105" s="7007"/>
      <c r="AL2105" s="7007"/>
      <c r="AM2105" s="7007"/>
      <c r="AN2105" s="7007"/>
      <c r="AO2105" s="7007"/>
      <c r="AP2105" s="7007"/>
      <c r="AQ2105" s="7018"/>
      <c r="AR2105" s="7018"/>
      <c r="AS2105" s="7018"/>
      <c r="AT2105" s="7007"/>
      <c r="AU2105" s="5123"/>
      <c r="AV2105" s="5123"/>
      <c r="AW2105" s="5123"/>
      <c r="AX2105" s="5123"/>
      <c r="AY2105" s="5123"/>
      <c r="AZ2105" s="5123"/>
      <c r="BA2105" s="7007"/>
      <c r="BB2105" s="7007"/>
      <c r="BC2105" s="7007"/>
      <c r="BD2105" s="7007"/>
      <c r="BE2105" s="7007"/>
      <c r="BF2105" s="7007"/>
      <c r="BG2105" s="7007"/>
      <c r="BH2105" s="7007"/>
      <c r="BI2105" s="7007"/>
      <c r="BJ2105" s="7007"/>
      <c r="BK2105" s="7007"/>
      <c r="BL2105" s="7007"/>
      <c r="BM2105" s="7007"/>
      <c r="BN2105" s="7007"/>
      <c r="BO2105" s="7007"/>
      <c r="BP2105" s="7007"/>
      <c r="BQ2105" s="7007"/>
      <c r="BR2105" s="7007"/>
      <c r="BS2105" s="7007"/>
      <c r="BT2105" s="7007"/>
      <c r="BU2105" s="7007"/>
      <c r="BV2105" s="7007"/>
      <c r="BW2105" s="7007"/>
      <c r="BX2105" s="7007"/>
      <c r="BY2105" s="7007"/>
      <c r="BZ2105" s="7007"/>
      <c r="CA2105" s="7007"/>
      <c r="CB2105" s="7007"/>
      <c r="CC2105" s="6890"/>
      <c r="CD2105" s="6890"/>
      <c r="CE2105" s="7027"/>
      <c r="CF2105" s="7027"/>
      <c r="CG2105" s="7027"/>
      <c r="CH2105" s="7027"/>
    </row>
    <row r="2106" s="5007" customFormat="1" ht="110" spans="1:86">
      <c r="A2106" s="6890"/>
      <c r="B2106" s="6881" t="s">
        <v>888</v>
      </c>
      <c r="C2106" s="6895">
        <v>45699</v>
      </c>
      <c r="D2106" s="6484" t="s">
        <v>3566</v>
      </c>
      <c r="E2106" s="6895"/>
      <c r="F2106" s="6484" t="s">
        <v>3698</v>
      </c>
      <c r="G2106" s="6484" t="s">
        <v>3699</v>
      </c>
      <c r="H2106" s="6901" t="s">
        <v>3700</v>
      </c>
      <c r="I2106" s="6474" t="s">
        <v>3701</v>
      </c>
      <c r="J2106" s="6474" t="s">
        <v>3571</v>
      </c>
      <c r="K2106" s="6474" t="s">
        <v>171</v>
      </c>
      <c r="L2106" s="6474" t="s">
        <v>171</v>
      </c>
      <c r="M2106" s="6932">
        <f>SUM(N2106:AA2113)</f>
        <v>215365.48</v>
      </c>
      <c r="N2106" s="6850"/>
      <c r="O2106" s="6850"/>
      <c r="P2106" s="6850"/>
      <c r="Q2106" s="6850"/>
      <c r="R2106" s="6850"/>
      <c r="S2106" s="6850"/>
      <c r="T2106" s="6850"/>
      <c r="U2106" s="6850"/>
      <c r="V2106" s="6850"/>
      <c r="W2106" s="6850"/>
      <c r="X2106" s="6850"/>
      <c r="Y2106" s="6850">
        <v>215365.48</v>
      </c>
      <c r="Z2106" s="6850"/>
      <c r="AA2106" s="6850"/>
      <c r="AB2106" s="6944" t="s">
        <v>35</v>
      </c>
      <c r="AC2106" s="6985">
        <v>1</v>
      </c>
      <c r="AD2106" s="6985" t="s">
        <v>3702</v>
      </c>
      <c r="AE2106" s="6985" t="s">
        <v>3622</v>
      </c>
      <c r="AF2106" s="2667">
        <f>215365.48*0.15</f>
        <v>32304.822</v>
      </c>
      <c r="AG2106" s="2667">
        <f>SUM(BA2106:BN2106)</f>
        <v>32304.822</v>
      </c>
      <c r="AH2106" s="2711" t="s">
        <v>122</v>
      </c>
      <c r="AI2106" s="2667">
        <v>45819</v>
      </c>
      <c r="AJ2106" s="2667">
        <f>SUM(BD2106:BQ2106)</f>
        <v>32304.822</v>
      </c>
      <c r="AK2106" s="2667">
        <v>45819</v>
      </c>
      <c r="AL2106" s="2667">
        <f>SUM(BF2106:BS2106)</f>
        <v>32304.822</v>
      </c>
      <c r="AM2106" s="2667">
        <v>45820</v>
      </c>
      <c r="AN2106" s="2667">
        <f t="shared" ref="AN2106:AN2111" si="461">SUM(BO2106:CB2106)</f>
        <v>32304.822</v>
      </c>
      <c r="AO2106" s="2667">
        <v>45835</v>
      </c>
      <c r="AP2106" s="6551"/>
      <c r="AQ2106" s="7015"/>
      <c r="AR2106" s="7015"/>
      <c r="AS2106" s="7015"/>
      <c r="AT2106" s="6551"/>
      <c r="AU2106" s="6551"/>
      <c r="AV2106" s="6551"/>
      <c r="AW2106" s="6551"/>
      <c r="AX2106" s="6551"/>
      <c r="AY2106" s="6551"/>
      <c r="AZ2106" s="6551"/>
      <c r="BA2106" s="6551"/>
      <c r="BB2106" s="6551"/>
      <c r="BC2106" s="6551"/>
      <c r="BD2106" s="6551"/>
      <c r="BE2106" s="6551"/>
      <c r="BF2106" s="6551"/>
      <c r="BG2106" s="6551"/>
      <c r="BH2106" s="6551"/>
      <c r="BI2106" s="6551"/>
      <c r="BJ2106" s="6551"/>
      <c r="BK2106" s="6551"/>
      <c r="BL2106" s="6551">
        <f>215365.48*0.15</f>
        <v>32304.822</v>
      </c>
      <c r="BM2106" s="6551"/>
      <c r="BN2106" s="6551"/>
      <c r="BO2106" s="6551"/>
      <c r="BP2106" s="6551"/>
      <c r="BQ2106" s="6551"/>
      <c r="BR2106" s="6551"/>
      <c r="BS2106" s="6551"/>
      <c r="BT2106" s="6551"/>
      <c r="BU2106" s="6551"/>
      <c r="BV2106" s="6551"/>
      <c r="BW2106" s="6551"/>
      <c r="BX2106" s="6551"/>
      <c r="BY2106" s="6551"/>
      <c r="BZ2106" s="6551">
        <f>215365.48*0.15</f>
        <v>32304.822</v>
      </c>
      <c r="CA2106" s="6551"/>
      <c r="CB2106" s="6551"/>
      <c r="CC2106" s="2667"/>
      <c r="CD2106" s="2667"/>
      <c r="CE2106" s="7027"/>
      <c r="CF2106" s="7027"/>
      <c r="CG2106" s="7027"/>
      <c r="CH2106" s="7027"/>
    </row>
    <row r="2107" s="5007" customFormat="1" ht="94" spans="1:86">
      <c r="A2107" s="6890"/>
      <c r="B2107" s="6881"/>
      <c r="C2107" s="6895"/>
      <c r="D2107" s="6484"/>
      <c r="E2107" s="6895"/>
      <c r="F2107" s="6484"/>
      <c r="G2107" s="6484"/>
      <c r="H2107" s="6895"/>
      <c r="I2107" s="6918"/>
      <c r="J2107" s="6484"/>
      <c r="K2107" s="6918"/>
      <c r="L2107" s="6918"/>
      <c r="M2107" s="6895"/>
      <c r="N2107" s="6850"/>
      <c r="O2107" s="6850"/>
      <c r="P2107" s="6850"/>
      <c r="Q2107" s="6850"/>
      <c r="R2107" s="6850"/>
      <c r="S2107" s="6850"/>
      <c r="T2107" s="6850"/>
      <c r="U2107" s="6850"/>
      <c r="V2107" s="6850"/>
      <c r="W2107" s="6850"/>
      <c r="X2107" s="6850"/>
      <c r="Y2107" s="6850"/>
      <c r="Z2107" s="6850"/>
      <c r="AA2107" s="6850"/>
      <c r="AB2107" s="6850"/>
      <c r="AC2107" s="6985">
        <v>2</v>
      </c>
      <c r="AD2107" s="6985" t="s">
        <v>3703</v>
      </c>
      <c r="AE2107" s="6985" t="s">
        <v>3704</v>
      </c>
      <c r="AF2107" s="2667">
        <f>215365.48*0.2</f>
        <v>43073.096</v>
      </c>
      <c r="AG2107" s="2667">
        <f>SUM(BA2107:BN2107)</f>
        <v>43073.096</v>
      </c>
      <c r="AH2107" s="2711" t="s">
        <v>122</v>
      </c>
      <c r="AI2107" s="2667">
        <v>45819</v>
      </c>
      <c r="AJ2107" s="2667">
        <f>SUM(BD2107:BQ2107)</f>
        <v>43073.096</v>
      </c>
      <c r="AK2107" s="2667">
        <v>45819</v>
      </c>
      <c r="AL2107" s="2667">
        <f>SUM(BF2107:BS2107)</f>
        <v>43073.096</v>
      </c>
      <c r="AM2107" s="2667">
        <v>45820</v>
      </c>
      <c r="AN2107" s="2667">
        <f t="shared" si="461"/>
        <v>43073.096</v>
      </c>
      <c r="AO2107" s="2667">
        <v>45835</v>
      </c>
      <c r="AP2107" s="6551"/>
      <c r="AQ2107" s="7015"/>
      <c r="AR2107" s="7015"/>
      <c r="AS2107" s="7015"/>
      <c r="AT2107" s="6551"/>
      <c r="AU2107" s="6551"/>
      <c r="AV2107" s="6551"/>
      <c r="AW2107" s="6551"/>
      <c r="AX2107" s="6551"/>
      <c r="AY2107" s="6551"/>
      <c r="AZ2107" s="6551"/>
      <c r="BA2107" s="6551"/>
      <c r="BB2107" s="6551"/>
      <c r="BC2107" s="6551"/>
      <c r="BD2107" s="6551"/>
      <c r="BE2107" s="6551"/>
      <c r="BF2107" s="6551"/>
      <c r="BG2107" s="6551"/>
      <c r="BH2107" s="6551"/>
      <c r="BI2107" s="6551"/>
      <c r="BJ2107" s="6551"/>
      <c r="BK2107" s="6551"/>
      <c r="BL2107" s="6551">
        <f>215365.48*0.2</f>
        <v>43073.096</v>
      </c>
      <c r="BM2107" s="6551"/>
      <c r="BN2107" s="6551"/>
      <c r="BO2107" s="6551"/>
      <c r="BP2107" s="6551"/>
      <c r="BQ2107" s="6551"/>
      <c r="BR2107" s="6551"/>
      <c r="BS2107" s="6551"/>
      <c r="BT2107" s="6551"/>
      <c r="BU2107" s="6551"/>
      <c r="BV2107" s="6551"/>
      <c r="BW2107" s="6551"/>
      <c r="BX2107" s="6551"/>
      <c r="BY2107" s="6551"/>
      <c r="BZ2107" s="6551">
        <f>215365.48*0.2</f>
        <v>43073.096</v>
      </c>
      <c r="CA2107" s="6551"/>
      <c r="CB2107" s="6551"/>
      <c r="CC2107" s="2667"/>
      <c r="CD2107" s="2667"/>
      <c r="CE2107" s="7027"/>
      <c r="CF2107" s="7027"/>
      <c r="CG2107" s="7027"/>
      <c r="CH2107" s="7027"/>
    </row>
    <row r="2108" s="5007" customFormat="1" ht="110" spans="1:86">
      <c r="A2108" s="6890"/>
      <c r="B2108" s="6881"/>
      <c r="C2108" s="6895"/>
      <c r="D2108" s="6484"/>
      <c r="E2108" s="6895"/>
      <c r="F2108" s="6484"/>
      <c r="G2108" s="6484"/>
      <c r="H2108" s="6895"/>
      <c r="I2108" s="6918"/>
      <c r="J2108" s="6484"/>
      <c r="K2108" s="6918"/>
      <c r="L2108" s="6918"/>
      <c r="M2108" s="6895"/>
      <c r="N2108" s="6850"/>
      <c r="O2108" s="6850"/>
      <c r="P2108" s="6850"/>
      <c r="Q2108" s="6850"/>
      <c r="R2108" s="6850"/>
      <c r="S2108" s="6850"/>
      <c r="T2108" s="6850"/>
      <c r="U2108" s="6850"/>
      <c r="V2108" s="6850"/>
      <c r="W2108" s="6850"/>
      <c r="X2108" s="6850"/>
      <c r="Y2108" s="6850"/>
      <c r="Z2108" s="6850"/>
      <c r="AA2108" s="6850"/>
      <c r="AB2108" s="6850"/>
      <c r="AC2108" s="6985">
        <v>3</v>
      </c>
      <c r="AD2108" s="6985" t="s">
        <v>3705</v>
      </c>
      <c r="AE2108" s="6985" t="s">
        <v>3706</v>
      </c>
      <c r="AF2108" s="2667">
        <f>215365.48*0.05</f>
        <v>10768.274</v>
      </c>
      <c r="AG2108" s="2667">
        <f>SUM(BA2108:BN2108)</f>
        <v>10768.274</v>
      </c>
      <c r="AH2108" s="2711" t="s">
        <v>122</v>
      </c>
      <c r="AI2108" s="2667">
        <v>45819</v>
      </c>
      <c r="AJ2108" s="2667">
        <f>SUM(BD2108:BQ2108)</f>
        <v>10768.274</v>
      </c>
      <c r="AK2108" s="2667">
        <v>45819</v>
      </c>
      <c r="AL2108" s="2667">
        <f>SUM(BF2108:BS2108)</f>
        <v>10768.274</v>
      </c>
      <c r="AM2108" s="2667">
        <v>45820</v>
      </c>
      <c r="AN2108" s="2667">
        <f t="shared" si="461"/>
        <v>10768.274</v>
      </c>
      <c r="AO2108" s="2667">
        <v>45835</v>
      </c>
      <c r="AP2108" s="6551"/>
      <c r="AQ2108" s="7015"/>
      <c r="AR2108" s="7015"/>
      <c r="AS2108" s="7015"/>
      <c r="AT2108" s="6551"/>
      <c r="AU2108" s="6551"/>
      <c r="AV2108" s="6551"/>
      <c r="AW2108" s="6551"/>
      <c r="AX2108" s="6551"/>
      <c r="AY2108" s="6551"/>
      <c r="AZ2108" s="6551"/>
      <c r="BA2108" s="6551"/>
      <c r="BB2108" s="6551"/>
      <c r="BC2108" s="6551"/>
      <c r="BD2108" s="6551"/>
      <c r="BE2108" s="6551"/>
      <c r="BF2108" s="6551"/>
      <c r="BG2108" s="6551"/>
      <c r="BH2108" s="6551"/>
      <c r="BI2108" s="6551"/>
      <c r="BJ2108" s="6551"/>
      <c r="BK2108" s="6551"/>
      <c r="BL2108" s="6551">
        <f>215365.48*0.05</f>
        <v>10768.274</v>
      </c>
      <c r="BM2108" s="6551"/>
      <c r="BN2108" s="6551"/>
      <c r="BO2108" s="6551"/>
      <c r="BP2108" s="6551"/>
      <c r="BQ2108" s="6551"/>
      <c r="BR2108" s="6551"/>
      <c r="BS2108" s="6551"/>
      <c r="BT2108" s="6551"/>
      <c r="BU2108" s="6551"/>
      <c r="BV2108" s="6551"/>
      <c r="BW2108" s="6551"/>
      <c r="BX2108" s="6551"/>
      <c r="BY2108" s="6551"/>
      <c r="BZ2108" s="6551">
        <f>215365.48*0.05</f>
        <v>10768.274</v>
      </c>
      <c r="CA2108" s="6551"/>
      <c r="CB2108" s="6551"/>
      <c r="CC2108" s="2667"/>
      <c r="CD2108" s="2667"/>
      <c r="CE2108" s="7027"/>
      <c r="CF2108" s="7027"/>
      <c r="CG2108" s="7027"/>
      <c r="CH2108" s="7027"/>
    </row>
    <row r="2109" s="5007" customFormat="1" ht="35.85" customHeight="1" spans="1:86">
      <c r="A2109" s="6890"/>
      <c r="B2109" s="6881"/>
      <c r="C2109" s="6895"/>
      <c r="D2109" s="6484"/>
      <c r="E2109" s="6895"/>
      <c r="F2109" s="6484"/>
      <c r="G2109" s="6484"/>
      <c r="H2109" s="6895"/>
      <c r="I2109" s="6918"/>
      <c r="J2109" s="6484"/>
      <c r="K2109" s="6918"/>
      <c r="L2109" s="6918"/>
      <c r="M2109" s="6895"/>
      <c r="N2109" s="6850"/>
      <c r="O2109" s="6850"/>
      <c r="P2109" s="6850"/>
      <c r="Q2109" s="6850"/>
      <c r="R2109" s="6850"/>
      <c r="S2109" s="6850"/>
      <c r="T2109" s="6850"/>
      <c r="U2109" s="6850"/>
      <c r="V2109" s="6850"/>
      <c r="W2109" s="6850"/>
      <c r="X2109" s="6850"/>
      <c r="Y2109" s="6850"/>
      <c r="Z2109" s="6850"/>
      <c r="AA2109" s="6850"/>
      <c r="AB2109" s="6850"/>
      <c r="AC2109" s="6986">
        <v>4</v>
      </c>
      <c r="AD2109" s="6986" t="s">
        <v>3707</v>
      </c>
      <c r="AE2109" s="6986" t="s">
        <v>3708</v>
      </c>
      <c r="AF2109" s="6932">
        <f>215365.48*0.4</f>
        <v>86146.192</v>
      </c>
      <c r="AG2109" s="6932">
        <f>SUM(BA2109:BN2109)</f>
        <v>64609.644</v>
      </c>
      <c r="AH2109" s="6901" t="s">
        <v>122</v>
      </c>
      <c r="AI2109" s="6932">
        <v>45819</v>
      </c>
      <c r="AJ2109" s="6932">
        <f>SUM(BD2109:BQ2109)</f>
        <v>64609.644</v>
      </c>
      <c r="AK2109" s="6932">
        <v>45819</v>
      </c>
      <c r="AL2109" s="6932">
        <f>SUM(BF2109:BS2109)</f>
        <v>64609.644</v>
      </c>
      <c r="AM2109" s="6932">
        <v>45820</v>
      </c>
      <c r="AN2109" s="2667">
        <f t="shared" si="461"/>
        <v>34458.468</v>
      </c>
      <c r="AO2109" s="2667">
        <v>45835</v>
      </c>
      <c r="AP2109" s="6551"/>
      <c r="AQ2109" s="7015"/>
      <c r="AR2109" s="7015"/>
      <c r="AS2109" s="7015"/>
      <c r="AT2109" s="6551"/>
      <c r="AU2109" s="6551"/>
      <c r="AV2109" s="6551"/>
      <c r="AW2109" s="6551"/>
      <c r="AX2109" s="6551"/>
      <c r="AY2109" s="6551"/>
      <c r="AZ2109" s="6551"/>
      <c r="BA2109" s="6551"/>
      <c r="BB2109" s="6551"/>
      <c r="BC2109" s="6551"/>
      <c r="BD2109" s="6551"/>
      <c r="BE2109" s="6551"/>
      <c r="BF2109" s="6551"/>
      <c r="BG2109" s="6551"/>
      <c r="BH2109" s="6551"/>
      <c r="BI2109" s="6551"/>
      <c r="BJ2109" s="6551"/>
      <c r="BK2109" s="6551"/>
      <c r="BL2109" s="6551">
        <f>215365.48*0.3</f>
        <v>64609.644</v>
      </c>
      <c r="BM2109" s="6551"/>
      <c r="BN2109" s="6551"/>
      <c r="BO2109" s="6551"/>
      <c r="BP2109" s="6551"/>
      <c r="BQ2109" s="6551"/>
      <c r="BR2109" s="6551"/>
      <c r="BS2109" s="6551"/>
      <c r="BT2109" s="6551"/>
      <c r="BU2109" s="6551"/>
      <c r="BV2109" s="6551"/>
      <c r="BW2109" s="6551"/>
      <c r="BX2109" s="6551"/>
      <c r="BY2109" s="6551"/>
      <c r="BZ2109" s="6551">
        <f>120604.66-BZ2106-BZ2107-BZ2108</f>
        <v>34458.468</v>
      </c>
      <c r="CA2109" s="6551"/>
      <c r="CB2109" s="6551"/>
      <c r="CC2109" s="2667"/>
      <c r="CD2109" s="2667"/>
      <c r="CE2109" s="7027"/>
      <c r="CF2109" s="7027"/>
      <c r="CG2109" s="7027"/>
      <c r="CH2109" s="7027"/>
    </row>
    <row r="2110" s="5007" customFormat="1" ht="35.85" customHeight="1" spans="1:86">
      <c r="A2110" s="6890"/>
      <c r="B2110" s="6881"/>
      <c r="C2110" s="6895"/>
      <c r="D2110" s="6484"/>
      <c r="E2110" s="6895"/>
      <c r="F2110" s="6484"/>
      <c r="G2110" s="6484"/>
      <c r="H2110" s="6895"/>
      <c r="I2110" s="6918"/>
      <c r="J2110" s="6484"/>
      <c r="K2110" s="6918"/>
      <c r="L2110" s="6918"/>
      <c r="M2110" s="6895"/>
      <c r="N2110" s="6850"/>
      <c r="O2110" s="6850"/>
      <c r="P2110" s="6850"/>
      <c r="Q2110" s="6850"/>
      <c r="R2110" s="6850"/>
      <c r="S2110" s="6850"/>
      <c r="T2110" s="6850"/>
      <c r="U2110" s="6850"/>
      <c r="V2110" s="6850"/>
      <c r="W2110" s="6850"/>
      <c r="X2110" s="6850"/>
      <c r="Y2110" s="6850"/>
      <c r="Z2110" s="6850"/>
      <c r="AA2110" s="6850"/>
      <c r="AB2110" s="6850"/>
      <c r="AC2110" s="6987"/>
      <c r="AD2110" s="6987"/>
      <c r="AE2110" s="6987"/>
      <c r="AF2110" s="6895"/>
      <c r="AG2110" s="6902"/>
      <c r="AH2110" s="7008"/>
      <c r="AI2110" s="6902"/>
      <c r="AJ2110" s="6902"/>
      <c r="AK2110" s="6902"/>
      <c r="AL2110" s="6902"/>
      <c r="AM2110" s="6902"/>
      <c r="AN2110" s="6551">
        <f t="shared" si="461"/>
        <v>30151.172</v>
      </c>
      <c r="AO2110" s="6551">
        <v>46021</v>
      </c>
      <c r="AP2110" s="6551"/>
      <c r="AQ2110" s="7015"/>
      <c r="AR2110" s="7015"/>
      <c r="AS2110" s="7015"/>
      <c r="AT2110" s="6551"/>
      <c r="AU2110" s="6551"/>
      <c r="AV2110" s="6551"/>
      <c r="AW2110" s="6551"/>
      <c r="AX2110" s="6551"/>
      <c r="AY2110" s="6551"/>
      <c r="AZ2110" s="6551"/>
      <c r="BA2110" s="6551"/>
      <c r="BB2110" s="6551"/>
      <c r="BC2110" s="6551"/>
      <c r="BD2110" s="6551"/>
      <c r="BE2110" s="6551"/>
      <c r="BF2110" s="6551"/>
      <c r="BG2110" s="6551"/>
      <c r="BH2110" s="6551"/>
      <c r="BI2110" s="6551"/>
      <c r="BJ2110" s="6551"/>
      <c r="BK2110" s="6551"/>
      <c r="BL2110" s="6551"/>
      <c r="BM2110" s="6551"/>
      <c r="BN2110" s="6551"/>
      <c r="BO2110" s="6551"/>
      <c r="BP2110" s="6551"/>
      <c r="BQ2110" s="6551"/>
      <c r="BR2110" s="6551"/>
      <c r="BS2110" s="6551"/>
      <c r="BT2110" s="6551"/>
      <c r="BU2110" s="6551"/>
      <c r="BV2110" s="6551"/>
      <c r="BW2110" s="6551"/>
      <c r="BX2110" s="6551"/>
      <c r="BY2110" s="6551"/>
      <c r="BZ2110" s="6551">
        <f>64609.64-BZ2109</f>
        <v>30151.172</v>
      </c>
      <c r="CA2110" s="6551"/>
      <c r="CB2110" s="6551"/>
      <c r="CC2110" s="2667"/>
      <c r="CD2110" s="2667"/>
      <c r="CE2110" s="7027"/>
      <c r="CF2110" s="7027"/>
      <c r="CG2110" s="7027"/>
      <c r="CH2110" s="7027"/>
    </row>
    <row r="2111" s="5007" customFormat="1" ht="34.15" customHeight="1" spans="1:86">
      <c r="A2111" s="6890"/>
      <c r="B2111" s="6881"/>
      <c r="C2111" s="6895"/>
      <c r="D2111" s="6484"/>
      <c r="E2111" s="6895"/>
      <c r="F2111" s="6484"/>
      <c r="G2111" s="6484"/>
      <c r="H2111" s="6895"/>
      <c r="I2111" s="6918"/>
      <c r="J2111" s="6484"/>
      <c r="K2111" s="6918"/>
      <c r="L2111" s="6918"/>
      <c r="M2111" s="6895"/>
      <c r="N2111" s="6850"/>
      <c r="O2111" s="6850"/>
      <c r="P2111" s="6850"/>
      <c r="Q2111" s="6850"/>
      <c r="R2111" s="6850"/>
      <c r="S2111" s="6850"/>
      <c r="T2111" s="6850"/>
      <c r="U2111" s="6850"/>
      <c r="V2111" s="6850"/>
      <c r="W2111" s="6850"/>
      <c r="X2111" s="6850"/>
      <c r="Y2111" s="6850"/>
      <c r="Z2111" s="6850"/>
      <c r="AA2111" s="6850"/>
      <c r="AB2111" s="6850"/>
      <c r="AC2111" s="6988"/>
      <c r="AD2111" s="6988"/>
      <c r="AE2111" s="6988"/>
      <c r="AF2111" s="6902"/>
      <c r="AG2111" s="6551">
        <f>SUBTOTAL(9,BA2111:BN2111)</f>
        <v>21536.548</v>
      </c>
      <c r="AH2111" s="6551" t="s">
        <v>349</v>
      </c>
      <c r="AI2111" s="6571">
        <v>46203</v>
      </c>
      <c r="AJ2111" s="6551"/>
      <c r="AK2111" s="6551"/>
      <c r="AL2111" s="6551"/>
      <c r="AM2111" s="6551"/>
      <c r="AN2111" s="6551">
        <f t="shared" si="461"/>
        <v>21536.548</v>
      </c>
      <c r="AO2111" s="6551">
        <v>46233</v>
      </c>
      <c r="AP2111" s="6551"/>
      <c r="AQ2111" s="7015"/>
      <c r="AR2111" s="7015"/>
      <c r="AS2111" s="7015"/>
      <c r="AT2111" s="6551"/>
      <c r="AU2111" s="6551"/>
      <c r="AV2111" s="6551"/>
      <c r="AW2111" s="6551"/>
      <c r="AX2111" s="6551"/>
      <c r="AY2111" s="6551"/>
      <c r="AZ2111" s="6551"/>
      <c r="BA2111" s="6551"/>
      <c r="BB2111" s="6551"/>
      <c r="BC2111" s="6551"/>
      <c r="BD2111" s="6551"/>
      <c r="BE2111" s="6551"/>
      <c r="BF2111" s="6551"/>
      <c r="BG2111" s="6551"/>
      <c r="BH2111" s="6551"/>
      <c r="BI2111" s="6551"/>
      <c r="BJ2111" s="6551"/>
      <c r="BK2111" s="6551"/>
      <c r="BL2111" s="6551">
        <f>215365.48*0.1</f>
        <v>21536.548</v>
      </c>
      <c r="BM2111" s="6551"/>
      <c r="BN2111" s="6551"/>
      <c r="BO2111" s="6551"/>
      <c r="BP2111" s="6551"/>
      <c r="BQ2111" s="6551"/>
      <c r="BR2111" s="6551"/>
      <c r="BS2111" s="6551"/>
      <c r="BT2111" s="6551"/>
      <c r="BU2111" s="6551"/>
      <c r="BV2111" s="6551"/>
      <c r="BW2111" s="6551"/>
      <c r="BX2111" s="6551"/>
      <c r="BY2111" s="6551"/>
      <c r="BZ2111" s="6551">
        <v>21536.548</v>
      </c>
      <c r="CA2111" s="6551"/>
      <c r="CB2111" s="6551"/>
      <c r="CC2111" s="2667"/>
      <c r="CD2111" s="2667"/>
      <c r="CE2111" s="7027"/>
      <c r="CF2111" s="7027"/>
      <c r="CG2111" s="7027"/>
      <c r="CH2111" s="7027"/>
    </row>
    <row r="2112" s="5007" customFormat="1" ht="94" spans="1:86">
      <c r="A2112" s="6890"/>
      <c r="B2112" s="6881"/>
      <c r="C2112" s="6895"/>
      <c r="D2112" s="6484"/>
      <c r="E2112" s="6895"/>
      <c r="F2112" s="6484"/>
      <c r="G2112" s="6484"/>
      <c r="H2112" s="6895"/>
      <c r="I2112" s="6918"/>
      <c r="J2112" s="6484"/>
      <c r="K2112" s="6918"/>
      <c r="L2112" s="6918"/>
      <c r="M2112" s="6895"/>
      <c r="N2112" s="6850"/>
      <c r="O2112" s="6850"/>
      <c r="P2112" s="6850"/>
      <c r="Q2112" s="6850"/>
      <c r="R2112" s="6850"/>
      <c r="S2112" s="6850"/>
      <c r="T2112" s="6850"/>
      <c r="U2112" s="6850"/>
      <c r="V2112" s="6850"/>
      <c r="W2112" s="6850"/>
      <c r="X2112" s="6850"/>
      <c r="Y2112" s="6850"/>
      <c r="Z2112" s="6850"/>
      <c r="AA2112" s="6850"/>
      <c r="AB2112" s="6850"/>
      <c r="AC2112" s="6985">
        <v>5</v>
      </c>
      <c r="AD2112" s="6985" t="s">
        <v>3709</v>
      </c>
      <c r="AE2112" s="6985" t="s">
        <v>3633</v>
      </c>
      <c r="AF2112" s="2667">
        <f>215365.48*0.15</f>
        <v>32304.822</v>
      </c>
      <c r="AG2112" s="6551">
        <f>SUBTOTAL(9,BA2112:BN2112)</f>
        <v>32304.822</v>
      </c>
      <c r="AH2112" s="6551" t="s">
        <v>349</v>
      </c>
      <c r="AI2112" s="6571">
        <v>46203</v>
      </c>
      <c r="AJ2112" s="6551"/>
      <c r="AK2112" s="6551"/>
      <c r="AL2112" s="6551"/>
      <c r="AM2112" s="6551"/>
      <c r="AN2112" s="6551">
        <f t="shared" ref="AN2111:AN2117" si="462">SUM(BO2112:CB2112)</f>
        <v>32304.822</v>
      </c>
      <c r="AO2112" s="6551">
        <v>46233</v>
      </c>
      <c r="AP2112" s="6551"/>
      <c r="AQ2112" s="7015"/>
      <c r="AR2112" s="7015"/>
      <c r="AS2112" s="7015"/>
      <c r="AT2112" s="6551"/>
      <c r="AU2112" s="6551"/>
      <c r="AV2112" s="6551"/>
      <c r="AW2112" s="6551"/>
      <c r="AX2112" s="6551"/>
      <c r="AY2112" s="6551"/>
      <c r="AZ2112" s="6551"/>
      <c r="BA2112" s="6551"/>
      <c r="BB2112" s="6551"/>
      <c r="BC2112" s="6551"/>
      <c r="BD2112" s="6551"/>
      <c r="BE2112" s="6551"/>
      <c r="BF2112" s="6551"/>
      <c r="BG2112" s="6551"/>
      <c r="BH2112" s="6551"/>
      <c r="BI2112" s="6551"/>
      <c r="BJ2112" s="6551"/>
      <c r="BK2112" s="6551"/>
      <c r="BL2112" s="6551">
        <v>32304.822</v>
      </c>
      <c r="BM2112" s="6551"/>
      <c r="BN2112" s="6551"/>
      <c r="BO2112" s="6551"/>
      <c r="BP2112" s="6551"/>
      <c r="BQ2112" s="6551"/>
      <c r="BR2112" s="6551"/>
      <c r="BS2112" s="6551"/>
      <c r="BT2112" s="6551"/>
      <c r="BU2112" s="6551"/>
      <c r="BV2112" s="6551"/>
      <c r="BW2112" s="6551"/>
      <c r="BX2112" s="6551"/>
      <c r="BY2112" s="6551"/>
      <c r="BZ2112" s="6551">
        <v>32304.822</v>
      </c>
      <c r="CA2112" s="6551"/>
      <c r="CB2112" s="6551"/>
      <c r="CC2112" s="2667"/>
      <c r="CD2112" s="2667"/>
      <c r="CE2112" s="7027"/>
      <c r="CF2112" s="7027"/>
      <c r="CG2112" s="7027"/>
      <c r="CH2112" s="7027"/>
    </row>
    <row r="2113" s="5007" customFormat="1" ht="110" spans="1:86">
      <c r="A2113" s="6890"/>
      <c r="B2113" s="7008"/>
      <c r="C2113" s="6902"/>
      <c r="D2113" s="2332"/>
      <c r="E2113" s="6902"/>
      <c r="F2113" s="2332"/>
      <c r="G2113" s="2332"/>
      <c r="H2113" s="6902"/>
      <c r="I2113" s="6917"/>
      <c r="J2113" s="2332"/>
      <c r="K2113" s="6917"/>
      <c r="L2113" s="6917"/>
      <c r="M2113" s="6902"/>
      <c r="N2113" s="6851"/>
      <c r="O2113" s="6851"/>
      <c r="P2113" s="6851"/>
      <c r="Q2113" s="6851"/>
      <c r="R2113" s="6851"/>
      <c r="S2113" s="6851"/>
      <c r="T2113" s="6851"/>
      <c r="U2113" s="6851"/>
      <c r="V2113" s="6851"/>
      <c r="W2113" s="6851"/>
      <c r="X2113" s="6851"/>
      <c r="Y2113" s="6851"/>
      <c r="Z2113" s="6851"/>
      <c r="AA2113" s="6851"/>
      <c r="AB2113" s="6851"/>
      <c r="AC2113" s="6985">
        <v>6</v>
      </c>
      <c r="AD2113" s="6985" t="s">
        <v>3710</v>
      </c>
      <c r="AE2113" s="6985" t="s">
        <v>3711</v>
      </c>
      <c r="AF2113" s="2667">
        <f>215365.48*0.05</f>
        <v>10768.274</v>
      </c>
      <c r="AG2113" s="6551">
        <f t="shared" ref="AG2112:AG2117" si="463">SUM(BA2113:BN2113)</f>
        <v>0</v>
      </c>
      <c r="AH2113" s="6551"/>
      <c r="AI2113" s="6551"/>
      <c r="AJ2113" s="6551"/>
      <c r="AK2113" s="6551"/>
      <c r="AL2113" s="6551"/>
      <c r="AM2113" s="6551"/>
      <c r="AN2113" s="6551">
        <f t="shared" si="462"/>
        <v>0</v>
      </c>
      <c r="AO2113" s="6551"/>
      <c r="AP2113" s="6551"/>
      <c r="AQ2113" s="7015"/>
      <c r="AR2113" s="7015"/>
      <c r="AS2113" s="7015"/>
      <c r="AT2113" s="6551"/>
      <c r="AU2113" s="6551"/>
      <c r="AV2113" s="6551"/>
      <c r="AW2113" s="6551"/>
      <c r="AX2113" s="6551"/>
      <c r="AY2113" s="6551"/>
      <c r="AZ2113" s="6551"/>
      <c r="BA2113" s="6551"/>
      <c r="BB2113" s="6551"/>
      <c r="BC2113" s="6551"/>
      <c r="BD2113" s="6551"/>
      <c r="BE2113" s="6551"/>
      <c r="BF2113" s="6551"/>
      <c r="BG2113" s="6551"/>
      <c r="BH2113" s="6551"/>
      <c r="BI2113" s="6551"/>
      <c r="BJ2113" s="6551"/>
      <c r="BK2113" s="6551"/>
      <c r="BL2113" s="6551"/>
      <c r="BM2113" s="6551"/>
      <c r="BN2113" s="6551"/>
      <c r="BO2113" s="6551"/>
      <c r="BP2113" s="6551"/>
      <c r="BQ2113" s="6551"/>
      <c r="BR2113" s="6551"/>
      <c r="BS2113" s="6551"/>
      <c r="BT2113" s="6551"/>
      <c r="BU2113" s="6551"/>
      <c r="BV2113" s="6551"/>
      <c r="BW2113" s="6551"/>
      <c r="BX2113" s="6551"/>
      <c r="BY2113" s="6551"/>
      <c r="BZ2113" s="6551"/>
      <c r="CA2113" s="6551"/>
      <c r="CB2113" s="6551"/>
      <c r="CC2113" s="2667"/>
      <c r="CD2113" s="2667"/>
      <c r="CE2113" s="7027"/>
      <c r="CF2113" s="7027"/>
      <c r="CG2113" s="7027"/>
      <c r="CH2113" s="7027"/>
    </row>
    <row r="2114" s="5007" customFormat="1" ht="92" spans="1:86">
      <c r="A2114" s="6890"/>
      <c r="B2114" s="5583" t="s">
        <v>888</v>
      </c>
      <c r="C2114" s="6353">
        <v>45709</v>
      </c>
      <c r="D2114" s="5562" t="s">
        <v>3566</v>
      </c>
      <c r="E2114" s="6353"/>
      <c r="F2114" s="5562" t="s">
        <v>3712</v>
      </c>
      <c r="G2114" s="5562" t="s">
        <v>3713</v>
      </c>
      <c r="H2114" s="5583" t="s">
        <v>3714</v>
      </c>
      <c r="I2114" s="5562" t="s">
        <v>3715</v>
      </c>
      <c r="J2114" s="5562" t="s">
        <v>3571</v>
      </c>
      <c r="K2114" s="5562" t="s">
        <v>171</v>
      </c>
      <c r="L2114" s="5562" t="s">
        <v>171</v>
      </c>
      <c r="M2114" s="6353">
        <f>SUM(N2114:AA2116)</f>
        <v>121000</v>
      </c>
      <c r="N2114" s="6353"/>
      <c r="O2114" s="6353"/>
      <c r="P2114" s="6353"/>
      <c r="Q2114" s="6353"/>
      <c r="R2114" s="6353"/>
      <c r="S2114" s="6353"/>
      <c r="T2114" s="6353"/>
      <c r="U2114" s="6353"/>
      <c r="V2114" s="6353"/>
      <c r="W2114" s="6353"/>
      <c r="X2114" s="6353"/>
      <c r="Y2114" s="6353"/>
      <c r="Z2114" s="6353"/>
      <c r="AA2114" s="6353">
        <v>121000</v>
      </c>
      <c r="AB2114" s="5583" t="s">
        <v>126</v>
      </c>
      <c r="AC2114" s="2127">
        <v>1</v>
      </c>
      <c r="AD2114" s="7046" t="s">
        <v>3716</v>
      </c>
      <c r="AE2114" s="2127" t="s">
        <v>3628</v>
      </c>
      <c r="AF2114" s="5588">
        <f>121000*0.5</f>
        <v>60500</v>
      </c>
      <c r="AG2114" s="5618">
        <f>SUBTOTAL(9,BA2114:BN2114)</f>
        <v>60500</v>
      </c>
      <c r="AH2114" s="5619" t="s">
        <v>349</v>
      </c>
      <c r="AI2114" s="5618">
        <v>46203</v>
      </c>
      <c r="AJ2114" s="5618"/>
      <c r="AK2114" s="5618"/>
      <c r="AL2114" s="5618"/>
      <c r="AM2114" s="5618"/>
      <c r="AN2114" s="5618">
        <f t="shared" si="462"/>
        <v>60500</v>
      </c>
      <c r="AO2114" s="5618">
        <v>46233</v>
      </c>
      <c r="AP2114" s="5618"/>
      <c r="AQ2114" s="7061"/>
      <c r="AR2114" s="7061"/>
      <c r="AS2114" s="7061"/>
      <c r="AT2114" s="5618"/>
      <c r="AU2114" s="5618"/>
      <c r="AV2114" s="5618"/>
      <c r="AW2114" s="5618"/>
      <c r="AX2114" s="5618"/>
      <c r="AY2114" s="5618"/>
      <c r="AZ2114" s="5618"/>
      <c r="BA2114" s="5618"/>
      <c r="BB2114" s="5618"/>
      <c r="BC2114" s="5618"/>
      <c r="BD2114" s="5618"/>
      <c r="BE2114" s="5618"/>
      <c r="BF2114" s="5618"/>
      <c r="BG2114" s="5618"/>
      <c r="BH2114" s="5618"/>
      <c r="BI2114" s="5618"/>
      <c r="BJ2114" s="5618"/>
      <c r="BK2114" s="5618"/>
      <c r="BL2114" s="5618"/>
      <c r="BM2114" s="5618"/>
      <c r="BN2114" s="5618">
        <f>121000*0.5</f>
        <v>60500</v>
      </c>
      <c r="BO2114" s="5618"/>
      <c r="BP2114" s="5618"/>
      <c r="BQ2114" s="5618"/>
      <c r="BR2114" s="5618"/>
      <c r="BS2114" s="5618"/>
      <c r="BT2114" s="5618"/>
      <c r="BU2114" s="5618"/>
      <c r="BV2114" s="5618"/>
      <c r="BW2114" s="5618"/>
      <c r="BX2114" s="5618"/>
      <c r="BY2114" s="5618"/>
      <c r="BZ2114" s="5618"/>
      <c r="CA2114" s="5618"/>
      <c r="CB2114" s="5618">
        <f>121000*0.5</f>
        <v>60500</v>
      </c>
      <c r="CC2114" s="5588"/>
      <c r="CD2114" s="5588"/>
      <c r="CE2114" s="7065"/>
      <c r="CF2114" s="7027"/>
      <c r="CG2114" s="7027"/>
      <c r="CH2114" s="7027"/>
    </row>
    <row r="2115" s="5007" customFormat="1" ht="122" spans="1:86">
      <c r="A2115" s="6890"/>
      <c r="B2115" s="5583"/>
      <c r="C2115" s="6353"/>
      <c r="D2115" s="5562"/>
      <c r="E2115" s="6353"/>
      <c r="F2115" s="5562"/>
      <c r="G2115" s="5562"/>
      <c r="H2115" s="6353"/>
      <c r="I2115" s="6596"/>
      <c r="J2115" s="5562"/>
      <c r="K2115" s="6596"/>
      <c r="L2115" s="6596"/>
      <c r="M2115" s="6353"/>
      <c r="N2115" s="6353"/>
      <c r="O2115" s="6353"/>
      <c r="P2115" s="6353"/>
      <c r="Q2115" s="6353"/>
      <c r="R2115" s="6353"/>
      <c r="S2115" s="6353"/>
      <c r="T2115" s="6353"/>
      <c r="U2115" s="6353"/>
      <c r="V2115" s="6353"/>
      <c r="W2115" s="6353"/>
      <c r="X2115" s="6353"/>
      <c r="Y2115" s="6353"/>
      <c r="Z2115" s="6353"/>
      <c r="AA2115" s="6353"/>
      <c r="AB2115" s="6353"/>
      <c r="AC2115" s="2127">
        <v>2</v>
      </c>
      <c r="AD2115" s="7046" t="s">
        <v>3717</v>
      </c>
      <c r="AE2115" s="2127" t="s">
        <v>3718</v>
      </c>
      <c r="AF2115" s="5588">
        <f>121000*0.45</f>
        <v>54450</v>
      </c>
      <c r="AG2115" s="5618">
        <f>SUBTOTAL(9,BA2115:BN2115)</f>
        <v>54450</v>
      </c>
      <c r="AH2115" s="5619" t="s">
        <v>349</v>
      </c>
      <c r="AI2115" s="5618">
        <v>46203</v>
      </c>
      <c r="AJ2115" s="5618"/>
      <c r="AK2115" s="5618"/>
      <c r="AL2115" s="5618"/>
      <c r="AM2115" s="5618"/>
      <c r="AN2115" s="5618">
        <f t="shared" si="462"/>
        <v>54450</v>
      </c>
      <c r="AO2115" s="5618">
        <v>46233</v>
      </c>
      <c r="AP2115" s="5618"/>
      <c r="AQ2115" s="7061"/>
      <c r="AR2115" s="7061"/>
      <c r="AS2115" s="7061"/>
      <c r="AT2115" s="5618"/>
      <c r="AU2115" s="5618"/>
      <c r="AV2115" s="5618"/>
      <c r="AW2115" s="5618"/>
      <c r="AX2115" s="5618"/>
      <c r="AY2115" s="5618"/>
      <c r="AZ2115" s="5618"/>
      <c r="BA2115" s="5618"/>
      <c r="BB2115" s="5618"/>
      <c r="BC2115" s="5618"/>
      <c r="BD2115" s="5618"/>
      <c r="BE2115" s="5618"/>
      <c r="BF2115" s="5618"/>
      <c r="BG2115" s="5618"/>
      <c r="BH2115" s="5618"/>
      <c r="BI2115" s="5618"/>
      <c r="BJ2115" s="5618"/>
      <c r="BK2115" s="5618"/>
      <c r="BL2115" s="5618"/>
      <c r="BM2115" s="5618"/>
      <c r="BN2115" s="5618">
        <f>121000*0.45</f>
        <v>54450</v>
      </c>
      <c r="BO2115" s="5618"/>
      <c r="BP2115" s="5618"/>
      <c r="BQ2115" s="5618"/>
      <c r="BR2115" s="5618"/>
      <c r="BS2115" s="5618"/>
      <c r="BT2115" s="5618"/>
      <c r="BU2115" s="5618"/>
      <c r="BV2115" s="5618"/>
      <c r="BW2115" s="5618"/>
      <c r="BX2115" s="5618"/>
      <c r="BY2115" s="5618"/>
      <c r="BZ2115" s="5618"/>
      <c r="CA2115" s="5618"/>
      <c r="CB2115" s="5618">
        <f>121000*0.45</f>
        <v>54450</v>
      </c>
      <c r="CC2115" s="5588"/>
      <c r="CD2115" s="5588"/>
      <c r="CE2115" s="7065"/>
      <c r="CF2115" s="7027"/>
      <c r="CG2115" s="7027"/>
      <c r="CH2115" s="7027"/>
    </row>
    <row r="2116" s="5007" customFormat="1" ht="92" spans="1:86">
      <c r="A2116" s="6890"/>
      <c r="B2116" s="5659"/>
      <c r="C2116" s="6355"/>
      <c r="D2116" s="5564"/>
      <c r="E2116" s="6355"/>
      <c r="F2116" s="5564"/>
      <c r="G2116" s="5564"/>
      <c r="H2116" s="6355"/>
      <c r="I2116" s="6596"/>
      <c r="J2116" s="5564"/>
      <c r="K2116" s="6597"/>
      <c r="L2116" s="6597"/>
      <c r="M2116" s="6355"/>
      <c r="N2116" s="6355"/>
      <c r="O2116" s="6355"/>
      <c r="P2116" s="6355"/>
      <c r="Q2116" s="6355"/>
      <c r="R2116" s="6355"/>
      <c r="S2116" s="6355"/>
      <c r="T2116" s="6355"/>
      <c r="U2116" s="6355"/>
      <c r="V2116" s="6355"/>
      <c r="W2116" s="6355"/>
      <c r="X2116" s="6355"/>
      <c r="Y2116" s="6355"/>
      <c r="Z2116" s="6355"/>
      <c r="AA2116" s="6355"/>
      <c r="AB2116" s="6355"/>
      <c r="AC2116" s="2127">
        <v>3</v>
      </c>
      <c r="AD2116" s="7046" t="s">
        <v>3719</v>
      </c>
      <c r="AE2116" s="2127" t="s">
        <v>3720</v>
      </c>
      <c r="AF2116" s="5588">
        <f>121000*0.05</f>
        <v>6050</v>
      </c>
      <c r="AG2116" s="5618">
        <f t="shared" si="463"/>
        <v>0</v>
      </c>
      <c r="AH2116" s="5618"/>
      <c r="AI2116" s="5618"/>
      <c r="AJ2116" s="5618"/>
      <c r="AK2116" s="5618"/>
      <c r="AL2116" s="5618"/>
      <c r="AM2116" s="5618"/>
      <c r="AN2116" s="5618">
        <f t="shared" si="462"/>
        <v>0</v>
      </c>
      <c r="AO2116" s="5618"/>
      <c r="AP2116" s="5618"/>
      <c r="AQ2116" s="7061"/>
      <c r="AR2116" s="7061"/>
      <c r="AS2116" s="7061"/>
      <c r="AT2116" s="5618"/>
      <c r="AU2116" s="5618"/>
      <c r="AV2116" s="5618"/>
      <c r="AW2116" s="5618"/>
      <c r="AX2116" s="5618"/>
      <c r="AY2116" s="5618"/>
      <c r="AZ2116" s="5618"/>
      <c r="BA2116" s="5618"/>
      <c r="BB2116" s="5618"/>
      <c r="BC2116" s="5618"/>
      <c r="BD2116" s="5618"/>
      <c r="BE2116" s="5618"/>
      <c r="BF2116" s="5618"/>
      <c r="BG2116" s="5618"/>
      <c r="BH2116" s="5618"/>
      <c r="BI2116" s="5618"/>
      <c r="BJ2116" s="5618"/>
      <c r="BK2116" s="5618"/>
      <c r="BL2116" s="5618"/>
      <c r="BM2116" s="5618"/>
      <c r="BN2116" s="5618"/>
      <c r="BO2116" s="5618"/>
      <c r="BP2116" s="5618"/>
      <c r="BQ2116" s="5618"/>
      <c r="BR2116" s="5618"/>
      <c r="BS2116" s="5618"/>
      <c r="BT2116" s="5618"/>
      <c r="BU2116" s="5618"/>
      <c r="BV2116" s="5618"/>
      <c r="BW2116" s="5618"/>
      <c r="BX2116" s="5618"/>
      <c r="BY2116" s="5618"/>
      <c r="BZ2116" s="5618"/>
      <c r="CA2116" s="5618"/>
      <c r="CB2116" s="5618"/>
      <c r="CC2116" s="5588"/>
      <c r="CD2116" s="5588"/>
      <c r="CE2116" s="7065"/>
      <c r="CF2116" s="7027"/>
      <c r="CG2116" s="7027"/>
      <c r="CH2116" s="7027"/>
    </row>
    <row r="2117" s="5007" customFormat="1" ht="61" spans="1:86">
      <c r="A2117" s="6890"/>
      <c r="B2117" s="6879" t="s">
        <v>888</v>
      </c>
      <c r="C2117" s="6898">
        <v>45965</v>
      </c>
      <c r="D2117" s="6880" t="s">
        <v>3566</v>
      </c>
      <c r="E2117" s="6898"/>
      <c r="F2117" s="6880" t="s">
        <v>3721</v>
      </c>
      <c r="G2117" s="6880" t="s">
        <v>3722</v>
      </c>
      <c r="H2117" s="4364" t="s">
        <v>3723</v>
      </c>
      <c r="I2117" s="6880" t="s">
        <v>3724</v>
      </c>
      <c r="J2117" s="6880" t="s">
        <v>3571</v>
      </c>
      <c r="K2117" s="5711"/>
      <c r="L2117" s="5711"/>
      <c r="M2117" s="4364">
        <f>SUM(N2117:AA2122)</f>
        <v>111448.8</v>
      </c>
      <c r="N2117" s="4045"/>
      <c r="O2117" s="4045"/>
      <c r="P2117" s="4045"/>
      <c r="Q2117" s="4045"/>
      <c r="R2117" s="4045"/>
      <c r="S2117" s="4045"/>
      <c r="T2117" s="4045"/>
      <c r="U2117" s="4045"/>
      <c r="V2117" s="4045"/>
      <c r="W2117" s="4045"/>
      <c r="X2117" s="4045"/>
      <c r="Y2117" s="4045"/>
      <c r="Z2117" s="4045"/>
      <c r="AA2117" s="4364">
        <v>111448.8</v>
      </c>
      <c r="AB2117" s="4751" t="s">
        <v>126</v>
      </c>
      <c r="AC2117" s="4127">
        <v>1</v>
      </c>
      <c r="AD2117" s="7047" t="s">
        <v>3725</v>
      </c>
      <c r="AE2117" s="4127" t="s">
        <v>3726</v>
      </c>
      <c r="AF2117" s="4045">
        <f>111448.8*0.25</f>
        <v>27862.2</v>
      </c>
      <c r="AG2117" s="4045">
        <f t="shared" si="463"/>
        <v>27862.2</v>
      </c>
      <c r="AH2117" s="4364" t="s">
        <v>122</v>
      </c>
      <c r="AI2117" s="4045">
        <v>45995</v>
      </c>
      <c r="AJ2117" s="4045">
        <f>SUM(BD2117:BQ2117)</f>
        <v>27862.2</v>
      </c>
      <c r="AK2117" s="4045">
        <v>45995</v>
      </c>
      <c r="AL2117" s="4045">
        <f>SUM(BF2117:BS2117)</f>
        <v>27862.2</v>
      </c>
      <c r="AM2117" s="4045">
        <v>45999</v>
      </c>
      <c r="AN2117" s="5732">
        <f t="shared" si="462"/>
        <v>27862.2</v>
      </c>
      <c r="AO2117" s="5732">
        <v>46021</v>
      </c>
      <c r="AP2117" s="5732"/>
      <c r="AQ2117" s="5972"/>
      <c r="AR2117" s="5972"/>
      <c r="AS2117" s="5972"/>
      <c r="AT2117" s="5732"/>
      <c r="AU2117" s="5732"/>
      <c r="AV2117" s="5732"/>
      <c r="AW2117" s="5732"/>
      <c r="AX2117" s="5732"/>
      <c r="AY2117" s="5732"/>
      <c r="AZ2117" s="5732"/>
      <c r="BA2117" s="5732"/>
      <c r="BB2117" s="5732"/>
      <c r="BC2117" s="5732"/>
      <c r="BD2117" s="5732"/>
      <c r="BE2117" s="5732"/>
      <c r="BF2117" s="5732"/>
      <c r="BG2117" s="5732"/>
      <c r="BH2117" s="5732"/>
      <c r="BI2117" s="5732"/>
      <c r="BJ2117" s="5732"/>
      <c r="BK2117" s="5732"/>
      <c r="BL2117" s="5732"/>
      <c r="BM2117" s="5732"/>
      <c r="BN2117" s="5732">
        <v>27862.2</v>
      </c>
      <c r="BO2117" s="5732"/>
      <c r="BP2117" s="5732"/>
      <c r="BQ2117" s="5732"/>
      <c r="BR2117" s="5732"/>
      <c r="BS2117" s="5732"/>
      <c r="BT2117" s="5732"/>
      <c r="BU2117" s="5732"/>
      <c r="BV2117" s="5732"/>
      <c r="BW2117" s="5732"/>
      <c r="BX2117" s="5732"/>
      <c r="BY2117" s="5732"/>
      <c r="BZ2117" s="5732"/>
      <c r="CA2117" s="5732"/>
      <c r="CB2117" s="5732">
        <v>27862.2</v>
      </c>
      <c r="CC2117" s="4045"/>
      <c r="CD2117" s="4045"/>
      <c r="CE2117" s="7065"/>
      <c r="CF2117" s="7027"/>
      <c r="CG2117" s="7027"/>
      <c r="CH2117" s="7027"/>
    </row>
    <row r="2118" s="5007" customFormat="1" ht="61" spans="1:86">
      <c r="A2118" s="6890"/>
      <c r="B2118" s="6879"/>
      <c r="C2118" s="6898"/>
      <c r="D2118" s="6880"/>
      <c r="E2118" s="6898"/>
      <c r="F2118" s="6880"/>
      <c r="G2118" s="6880"/>
      <c r="H2118" s="4364"/>
      <c r="I2118" s="6880"/>
      <c r="J2118" s="6880"/>
      <c r="K2118" s="5711"/>
      <c r="L2118" s="5711"/>
      <c r="M2118" s="4364"/>
      <c r="N2118" s="4045"/>
      <c r="O2118" s="4045"/>
      <c r="P2118" s="4045"/>
      <c r="Q2118" s="4045"/>
      <c r="R2118" s="4045"/>
      <c r="S2118" s="4045"/>
      <c r="T2118" s="4045"/>
      <c r="U2118" s="4045"/>
      <c r="V2118" s="4045"/>
      <c r="W2118" s="4045"/>
      <c r="X2118" s="4045"/>
      <c r="Y2118" s="4045"/>
      <c r="Z2118" s="4045"/>
      <c r="AA2118" s="4364"/>
      <c r="AB2118" s="4287"/>
      <c r="AC2118" s="5726">
        <v>2</v>
      </c>
      <c r="AD2118" s="7047" t="s">
        <v>3727</v>
      </c>
      <c r="AE2118" s="4127" t="s">
        <v>3728</v>
      </c>
      <c r="AF2118" s="4045">
        <f>111448.8*0.2</f>
        <v>22289.76</v>
      </c>
      <c r="AG2118" s="5732">
        <f t="shared" ref="AG2118:AG2123" si="464">SUM(BA2118:BN2118)</f>
        <v>22289.76</v>
      </c>
      <c r="AH2118" s="7058" t="s">
        <v>349</v>
      </c>
      <c r="AI2118" s="5732">
        <v>46233</v>
      </c>
      <c r="AJ2118" s="5732"/>
      <c r="AK2118" s="5732"/>
      <c r="AL2118" s="5732"/>
      <c r="AM2118" s="5732"/>
      <c r="AN2118" s="5732">
        <f t="shared" ref="AN2118:AN2123" si="465">SUM(BO2118:CB2118)</f>
        <v>22289.76</v>
      </c>
      <c r="AO2118" s="5732">
        <v>46264</v>
      </c>
      <c r="AP2118" s="5732"/>
      <c r="AQ2118" s="5972"/>
      <c r="AR2118" s="5972"/>
      <c r="AS2118" s="5972"/>
      <c r="AT2118" s="5732"/>
      <c r="AU2118" s="5732"/>
      <c r="AV2118" s="5732"/>
      <c r="AW2118" s="5732"/>
      <c r="AX2118" s="5732"/>
      <c r="AY2118" s="5732"/>
      <c r="AZ2118" s="5732"/>
      <c r="BA2118" s="5732"/>
      <c r="BB2118" s="5732"/>
      <c r="BC2118" s="5732"/>
      <c r="BD2118" s="5732"/>
      <c r="BE2118" s="5732"/>
      <c r="BF2118" s="5732"/>
      <c r="BG2118" s="5732"/>
      <c r="BH2118" s="5732"/>
      <c r="BI2118" s="5732"/>
      <c r="BJ2118" s="5732"/>
      <c r="BK2118" s="5732"/>
      <c r="BL2118" s="5732"/>
      <c r="BM2118" s="5732"/>
      <c r="BN2118" s="5732">
        <v>22289.76</v>
      </c>
      <c r="BO2118" s="5732"/>
      <c r="BP2118" s="5732"/>
      <c r="BQ2118" s="5732"/>
      <c r="BR2118" s="5732"/>
      <c r="BS2118" s="5732"/>
      <c r="BT2118" s="5732"/>
      <c r="BU2118" s="5732"/>
      <c r="BV2118" s="5732"/>
      <c r="BW2118" s="5732"/>
      <c r="BX2118" s="5732"/>
      <c r="BY2118" s="5732"/>
      <c r="BZ2118" s="5732"/>
      <c r="CA2118" s="5732"/>
      <c r="CB2118" s="5732">
        <v>22289.76</v>
      </c>
      <c r="CC2118" s="4045"/>
      <c r="CD2118" s="4045"/>
      <c r="CE2118" s="7065"/>
      <c r="CF2118" s="7027"/>
      <c r="CG2118" s="7027"/>
      <c r="CH2118" s="7027"/>
    </row>
    <row r="2119" s="5007" customFormat="1" ht="61" spans="1:86">
      <c r="A2119" s="6890"/>
      <c r="B2119" s="6879"/>
      <c r="C2119" s="6898"/>
      <c r="D2119" s="6880"/>
      <c r="E2119" s="6898"/>
      <c r="F2119" s="6880"/>
      <c r="G2119" s="6880"/>
      <c r="H2119" s="4364"/>
      <c r="I2119" s="6880"/>
      <c r="J2119" s="6880"/>
      <c r="K2119" s="5711"/>
      <c r="L2119" s="5711"/>
      <c r="M2119" s="4364"/>
      <c r="N2119" s="4045"/>
      <c r="O2119" s="4045"/>
      <c r="P2119" s="4045"/>
      <c r="Q2119" s="4045"/>
      <c r="R2119" s="4045"/>
      <c r="S2119" s="4045"/>
      <c r="T2119" s="4045"/>
      <c r="U2119" s="4045"/>
      <c r="V2119" s="4045"/>
      <c r="W2119" s="4045"/>
      <c r="X2119" s="4045"/>
      <c r="Y2119" s="4045"/>
      <c r="Z2119" s="4045"/>
      <c r="AA2119" s="4364"/>
      <c r="AB2119" s="4287"/>
      <c r="AC2119" s="5726">
        <v>3</v>
      </c>
      <c r="AD2119" s="7047" t="s">
        <v>3729</v>
      </c>
      <c r="AE2119" s="4127" t="s">
        <v>3730</v>
      </c>
      <c r="AF2119" s="4045">
        <f>111448.8*0.15</f>
        <v>16717.32</v>
      </c>
      <c r="AG2119" s="5732">
        <f t="shared" si="464"/>
        <v>16717.32</v>
      </c>
      <c r="AH2119" s="7058" t="s">
        <v>349</v>
      </c>
      <c r="AI2119" s="5732">
        <v>46233</v>
      </c>
      <c r="AJ2119" s="5732"/>
      <c r="AK2119" s="5732"/>
      <c r="AL2119" s="5732"/>
      <c r="AM2119" s="5732"/>
      <c r="AN2119" s="5732">
        <f t="shared" si="465"/>
        <v>16717.32</v>
      </c>
      <c r="AO2119" s="5732">
        <v>46264</v>
      </c>
      <c r="AP2119" s="5732"/>
      <c r="AQ2119" s="5972"/>
      <c r="AR2119" s="5972"/>
      <c r="AS2119" s="5972"/>
      <c r="AT2119" s="5732"/>
      <c r="AU2119" s="5732"/>
      <c r="AV2119" s="5732"/>
      <c r="AW2119" s="5732"/>
      <c r="AX2119" s="5732"/>
      <c r="AY2119" s="5732"/>
      <c r="AZ2119" s="5732"/>
      <c r="BA2119" s="5732"/>
      <c r="BB2119" s="5732"/>
      <c r="BC2119" s="5732"/>
      <c r="BD2119" s="5732"/>
      <c r="BE2119" s="5732"/>
      <c r="BF2119" s="5732"/>
      <c r="BG2119" s="5732"/>
      <c r="BH2119" s="5732"/>
      <c r="BI2119" s="5732"/>
      <c r="BJ2119" s="5732"/>
      <c r="BK2119" s="5732"/>
      <c r="BL2119" s="5732"/>
      <c r="BM2119" s="5732"/>
      <c r="BN2119" s="5732">
        <v>16717.32</v>
      </c>
      <c r="BO2119" s="5732"/>
      <c r="BP2119" s="5732"/>
      <c r="BQ2119" s="5732"/>
      <c r="BR2119" s="5732"/>
      <c r="BS2119" s="5732"/>
      <c r="BT2119" s="5732"/>
      <c r="BU2119" s="5732"/>
      <c r="BV2119" s="5732"/>
      <c r="BW2119" s="5732"/>
      <c r="BX2119" s="5732"/>
      <c r="BY2119" s="5732"/>
      <c r="BZ2119" s="5732"/>
      <c r="CA2119" s="5732"/>
      <c r="CB2119" s="5732">
        <v>16717.32</v>
      </c>
      <c r="CC2119" s="4045"/>
      <c r="CD2119" s="4045"/>
      <c r="CE2119" s="7065"/>
      <c r="CF2119" s="7027"/>
      <c r="CG2119" s="7027"/>
      <c r="CH2119" s="7027"/>
    </row>
    <row r="2120" s="5007" customFormat="1" ht="61" spans="1:86">
      <c r="A2120" s="6890"/>
      <c r="B2120" s="6879"/>
      <c r="C2120" s="6898"/>
      <c r="D2120" s="6880"/>
      <c r="E2120" s="6898"/>
      <c r="F2120" s="6880"/>
      <c r="G2120" s="6880"/>
      <c r="H2120" s="4364"/>
      <c r="I2120" s="6880"/>
      <c r="J2120" s="6880"/>
      <c r="K2120" s="5711"/>
      <c r="L2120" s="5711"/>
      <c r="M2120" s="4364"/>
      <c r="N2120" s="4045"/>
      <c r="O2120" s="4045"/>
      <c r="P2120" s="4045"/>
      <c r="Q2120" s="4045"/>
      <c r="R2120" s="4045"/>
      <c r="S2120" s="4045"/>
      <c r="T2120" s="4045"/>
      <c r="U2120" s="4045"/>
      <c r="V2120" s="4045"/>
      <c r="W2120" s="4045"/>
      <c r="X2120" s="4045"/>
      <c r="Y2120" s="4045"/>
      <c r="Z2120" s="4045"/>
      <c r="AA2120" s="4364"/>
      <c r="AB2120" s="4287"/>
      <c r="AC2120" s="5726">
        <v>4</v>
      </c>
      <c r="AD2120" s="7047" t="s">
        <v>3731</v>
      </c>
      <c r="AE2120" s="4127" t="s">
        <v>3732</v>
      </c>
      <c r="AF2120" s="4045">
        <f>111448.8*0.2</f>
        <v>22289.76</v>
      </c>
      <c r="AG2120" s="5732">
        <f t="shared" si="464"/>
        <v>22289.76</v>
      </c>
      <c r="AH2120" s="7058" t="s">
        <v>349</v>
      </c>
      <c r="AI2120" s="5732">
        <v>46233</v>
      </c>
      <c r="AJ2120" s="5732"/>
      <c r="AK2120" s="5732"/>
      <c r="AL2120" s="5732"/>
      <c r="AM2120" s="5732"/>
      <c r="AN2120" s="5732">
        <f t="shared" si="465"/>
        <v>22289.76</v>
      </c>
      <c r="AO2120" s="5732">
        <v>46264</v>
      </c>
      <c r="AP2120" s="5732"/>
      <c r="AQ2120" s="5972"/>
      <c r="AR2120" s="5972"/>
      <c r="AS2120" s="5972"/>
      <c r="AT2120" s="5732"/>
      <c r="AU2120" s="5732"/>
      <c r="AV2120" s="5732"/>
      <c r="AW2120" s="5732"/>
      <c r="AX2120" s="5732"/>
      <c r="AY2120" s="5732"/>
      <c r="AZ2120" s="5732"/>
      <c r="BA2120" s="5732"/>
      <c r="BB2120" s="5732"/>
      <c r="BC2120" s="5732"/>
      <c r="BD2120" s="5732"/>
      <c r="BE2120" s="5732"/>
      <c r="BF2120" s="5732"/>
      <c r="BG2120" s="5732"/>
      <c r="BH2120" s="5732"/>
      <c r="BI2120" s="5732"/>
      <c r="BJ2120" s="5732"/>
      <c r="BK2120" s="5732"/>
      <c r="BL2120" s="5732"/>
      <c r="BM2120" s="5732"/>
      <c r="BN2120" s="5732">
        <v>22289.76</v>
      </c>
      <c r="BO2120" s="5732"/>
      <c r="BP2120" s="5732"/>
      <c r="BQ2120" s="5732"/>
      <c r="BR2120" s="5732"/>
      <c r="BS2120" s="5732"/>
      <c r="BT2120" s="5732"/>
      <c r="BU2120" s="5732"/>
      <c r="BV2120" s="5732"/>
      <c r="BW2120" s="5732"/>
      <c r="BX2120" s="5732"/>
      <c r="BY2120" s="5732"/>
      <c r="BZ2120" s="5732"/>
      <c r="CA2120" s="5732"/>
      <c r="CB2120" s="5732">
        <v>22289.76</v>
      </c>
      <c r="CC2120" s="4045"/>
      <c r="CD2120" s="4045"/>
      <c r="CE2120" s="7065"/>
      <c r="CF2120" s="7027"/>
      <c r="CG2120" s="7027"/>
      <c r="CH2120" s="7027"/>
    </row>
    <row r="2121" s="5007" customFormat="1" ht="61" spans="1:86">
      <c r="A2121" s="6890"/>
      <c r="B2121" s="6879"/>
      <c r="C2121" s="6898"/>
      <c r="D2121" s="6880"/>
      <c r="E2121" s="6898"/>
      <c r="F2121" s="6880"/>
      <c r="G2121" s="6880"/>
      <c r="H2121" s="4364"/>
      <c r="I2121" s="6880"/>
      <c r="J2121" s="6880"/>
      <c r="K2121" s="5711"/>
      <c r="L2121" s="5711"/>
      <c r="M2121" s="4364"/>
      <c r="N2121" s="4045"/>
      <c r="O2121" s="4045"/>
      <c r="P2121" s="4045"/>
      <c r="Q2121" s="4045"/>
      <c r="R2121" s="4045"/>
      <c r="S2121" s="4045"/>
      <c r="T2121" s="4045"/>
      <c r="U2121" s="4045"/>
      <c r="V2121" s="4045"/>
      <c r="W2121" s="4045"/>
      <c r="X2121" s="4045"/>
      <c r="Y2121" s="4045"/>
      <c r="Z2121" s="4045"/>
      <c r="AA2121" s="4364"/>
      <c r="AB2121" s="4287"/>
      <c r="AC2121" s="4127">
        <v>5</v>
      </c>
      <c r="AD2121" s="7047" t="s">
        <v>3733</v>
      </c>
      <c r="AE2121" s="4127" t="s">
        <v>3734</v>
      </c>
      <c r="AF2121" s="4045">
        <f>111448.8*0.15</f>
        <v>16717.32</v>
      </c>
      <c r="AG2121" s="5732">
        <f t="shared" si="464"/>
        <v>16717.32</v>
      </c>
      <c r="AH2121" s="7058" t="s">
        <v>349</v>
      </c>
      <c r="AI2121" s="5732">
        <v>46233</v>
      </c>
      <c r="AJ2121" s="5732"/>
      <c r="AK2121" s="5732"/>
      <c r="AL2121" s="5732"/>
      <c r="AM2121" s="5732"/>
      <c r="AN2121" s="5732">
        <f t="shared" si="465"/>
        <v>16717.32</v>
      </c>
      <c r="AO2121" s="5732">
        <v>46264</v>
      </c>
      <c r="AP2121" s="5732"/>
      <c r="AQ2121" s="5972"/>
      <c r="AR2121" s="5972"/>
      <c r="AS2121" s="5972"/>
      <c r="AT2121" s="5732"/>
      <c r="AU2121" s="5732"/>
      <c r="AV2121" s="5732"/>
      <c r="AW2121" s="5732"/>
      <c r="AX2121" s="5732"/>
      <c r="AY2121" s="5732"/>
      <c r="AZ2121" s="5732"/>
      <c r="BA2121" s="5732"/>
      <c r="BB2121" s="5732"/>
      <c r="BC2121" s="5732"/>
      <c r="BD2121" s="5732"/>
      <c r="BE2121" s="5732"/>
      <c r="BF2121" s="5732"/>
      <c r="BG2121" s="5732"/>
      <c r="BH2121" s="5732"/>
      <c r="BI2121" s="5732"/>
      <c r="BJ2121" s="5732"/>
      <c r="BK2121" s="5732"/>
      <c r="BL2121" s="5732"/>
      <c r="BM2121" s="5732"/>
      <c r="BN2121" s="5732">
        <v>16717.32</v>
      </c>
      <c r="BO2121" s="5732"/>
      <c r="BP2121" s="5732"/>
      <c r="BQ2121" s="5732"/>
      <c r="BR2121" s="5732"/>
      <c r="BS2121" s="5732"/>
      <c r="BT2121" s="5732"/>
      <c r="BU2121" s="5732"/>
      <c r="BV2121" s="5732"/>
      <c r="BW2121" s="5732"/>
      <c r="BX2121" s="5732"/>
      <c r="BY2121" s="5732"/>
      <c r="BZ2121" s="5732"/>
      <c r="CA2121" s="5732"/>
      <c r="CB2121" s="5732">
        <v>16717.32</v>
      </c>
      <c r="CC2121" s="4045"/>
      <c r="CD2121" s="4045"/>
      <c r="CE2121" s="7065"/>
      <c r="CF2121" s="7027"/>
      <c r="CG2121" s="7027"/>
      <c r="CH2121" s="7027"/>
    </row>
    <row r="2122" s="5007" customFormat="1" ht="76" spans="1:86">
      <c r="A2122" s="6890"/>
      <c r="B2122" s="6879"/>
      <c r="C2122" s="6898"/>
      <c r="D2122" s="6880"/>
      <c r="E2122" s="6898"/>
      <c r="F2122" s="6880"/>
      <c r="G2122" s="6880"/>
      <c r="H2122" s="4364"/>
      <c r="I2122" s="6880"/>
      <c r="J2122" s="6880"/>
      <c r="K2122" s="5711"/>
      <c r="L2122" s="5711"/>
      <c r="M2122" s="4364"/>
      <c r="N2122" s="4045"/>
      <c r="O2122" s="4045"/>
      <c r="P2122" s="4045"/>
      <c r="Q2122" s="4045"/>
      <c r="R2122" s="4045"/>
      <c r="S2122" s="4045"/>
      <c r="T2122" s="4045"/>
      <c r="U2122" s="4045"/>
      <c r="V2122" s="4045"/>
      <c r="W2122" s="4045"/>
      <c r="X2122" s="4045"/>
      <c r="Y2122" s="4045"/>
      <c r="Z2122" s="4045"/>
      <c r="AA2122" s="4364"/>
      <c r="AB2122" s="4288"/>
      <c r="AC2122" s="5726">
        <v>6</v>
      </c>
      <c r="AD2122" s="7047" t="s">
        <v>3735</v>
      </c>
      <c r="AE2122" s="4127" t="s">
        <v>3592</v>
      </c>
      <c r="AF2122" s="4045">
        <f>111448.8*0.05</f>
        <v>5572.44</v>
      </c>
      <c r="AG2122" s="5732">
        <f t="shared" si="464"/>
        <v>5572.44</v>
      </c>
      <c r="AH2122" s="7058"/>
      <c r="AI2122" s="5732"/>
      <c r="AJ2122" s="5732"/>
      <c r="AK2122" s="5732"/>
      <c r="AL2122" s="5732"/>
      <c r="AM2122" s="5732"/>
      <c r="AN2122" s="5732"/>
      <c r="AO2122" s="5732"/>
      <c r="AP2122" s="5732"/>
      <c r="AQ2122" s="5972"/>
      <c r="AR2122" s="5972"/>
      <c r="AS2122" s="5972"/>
      <c r="AT2122" s="5732"/>
      <c r="AU2122" s="5732"/>
      <c r="AV2122" s="5732"/>
      <c r="AW2122" s="5732"/>
      <c r="AX2122" s="5732"/>
      <c r="AY2122" s="5732"/>
      <c r="AZ2122" s="5732"/>
      <c r="BA2122" s="5732"/>
      <c r="BB2122" s="5732"/>
      <c r="BC2122" s="5732"/>
      <c r="BD2122" s="5732"/>
      <c r="BE2122" s="5732"/>
      <c r="BF2122" s="5732"/>
      <c r="BG2122" s="5732"/>
      <c r="BH2122" s="5732"/>
      <c r="BI2122" s="5732"/>
      <c r="BJ2122" s="5732"/>
      <c r="BK2122" s="5732"/>
      <c r="BL2122" s="5732"/>
      <c r="BM2122" s="5732"/>
      <c r="BN2122" s="5732">
        <v>5572.44</v>
      </c>
      <c r="BO2122" s="5732"/>
      <c r="BP2122" s="5732"/>
      <c r="BQ2122" s="5732"/>
      <c r="BR2122" s="5732"/>
      <c r="BS2122" s="5732"/>
      <c r="BT2122" s="5732"/>
      <c r="BU2122" s="5732"/>
      <c r="BV2122" s="5732"/>
      <c r="BW2122" s="5732"/>
      <c r="BX2122" s="5732"/>
      <c r="BY2122" s="5732"/>
      <c r="BZ2122" s="5732"/>
      <c r="CA2122" s="5732"/>
      <c r="CB2122" s="5732">
        <v>5572.44</v>
      </c>
      <c r="CC2122" s="4045"/>
      <c r="CD2122" s="4045"/>
      <c r="CE2122" s="7065"/>
      <c r="CF2122" s="7027"/>
      <c r="CG2122" s="7027"/>
      <c r="CH2122" s="7027"/>
    </row>
    <row r="2123" s="5007" customFormat="1" ht="61" spans="1:86">
      <c r="A2123" s="6890"/>
      <c r="B2123" s="6879"/>
      <c r="C2123" s="6898"/>
      <c r="D2123" s="6880"/>
      <c r="E2123" s="6898"/>
      <c r="F2123" s="6880"/>
      <c r="G2123" s="6880"/>
      <c r="H2123" s="5613" t="s">
        <v>3736</v>
      </c>
      <c r="I2123" s="6880"/>
      <c r="J2123" s="6880"/>
      <c r="K2123" s="6597"/>
      <c r="L2123" s="6597"/>
      <c r="M2123" s="6353">
        <f>SUM(N2123:AA2128)</f>
        <v>632535</v>
      </c>
      <c r="N2123" s="6355"/>
      <c r="O2123" s="6355"/>
      <c r="P2123" s="6355"/>
      <c r="Q2123" s="6355"/>
      <c r="R2123" s="6355"/>
      <c r="S2123" s="6355"/>
      <c r="T2123" s="6355"/>
      <c r="U2123" s="6355"/>
      <c r="V2123" s="6355"/>
      <c r="W2123" s="6355"/>
      <c r="X2123" s="6355"/>
      <c r="Y2123" s="6355"/>
      <c r="Z2123" s="6355"/>
      <c r="AA2123" s="6353">
        <v>632535</v>
      </c>
      <c r="AB2123" s="5583" t="s">
        <v>126</v>
      </c>
      <c r="AC2123" s="2125">
        <v>1</v>
      </c>
      <c r="AD2123" s="7048" t="s">
        <v>3737</v>
      </c>
      <c r="AE2123" s="5564" t="s">
        <v>3738</v>
      </c>
      <c r="AF2123" s="5588">
        <f>632535*0.15</f>
        <v>94880.25</v>
      </c>
      <c r="AG2123" s="5618">
        <f t="shared" si="464"/>
        <v>94880.25</v>
      </c>
      <c r="AH2123" s="5619" t="s">
        <v>349</v>
      </c>
      <c r="AI2123" s="5618">
        <v>46142</v>
      </c>
      <c r="AJ2123" s="5618"/>
      <c r="AK2123" s="5618"/>
      <c r="AL2123" s="5618"/>
      <c r="AM2123" s="5618"/>
      <c r="AN2123" s="5618">
        <f t="shared" si="465"/>
        <v>94880.25</v>
      </c>
      <c r="AO2123" s="5618">
        <v>46142</v>
      </c>
      <c r="AP2123" s="5618"/>
      <c r="AQ2123" s="7061"/>
      <c r="AR2123" s="7061"/>
      <c r="AS2123" s="7061"/>
      <c r="AT2123" s="5618"/>
      <c r="AU2123" s="5618"/>
      <c r="AV2123" s="5618"/>
      <c r="AW2123" s="5618"/>
      <c r="AX2123" s="5618"/>
      <c r="AY2123" s="5618"/>
      <c r="AZ2123" s="5618"/>
      <c r="BA2123" s="5618"/>
      <c r="BB2123" s="5618"/>
      <c r="BC2123" s="5618"/>
      <c r="BD2123" s="5618"/>
      <c r="BE2123" s="5618"/>
      <c r="BF2123" s="5618"/>
      <c r="BG2123" s="5618"/>
      <c r="BH2123" s="5618"/>
      <c r="BI2123" s="5618"/>
      <c r="BJ2123" s="5618"/>
      <c r="BK2123" s="5618"/>
      <c r="BL2123" s="5618"/>
      <c r="BM2123" s="5618"/>
      <c r="BN2123" s="5618">
        <v>94880.25</v>
      </c>
      <c r="BO2123" s="5618"/>
      <c r="BP2123" s="5618"/>
      <c r="BQ2123" s="5618"/>
      <c r="BR2123" s="5618"/>
      <c r="BS2123" s="5618"/>
      <c r="BT2123" s="5618"/>
      <c r="BU2123" s="5618"/>
      <c r="BV2123" s="5618"/>
      <c r="BW2123" s="5618"/>
      <c r="BX2123" s="5618"/>
      <c r="BY2123" s="5618"/>
      <c r="BZ2123" s="5618"/>
      <c r="CA2123" s="5618"/>
      <c r="CB2123" s="5618">
        <v>94880.25</v>
      </c>
      <c r="CC2123" s="5588"/>
      <c r="CD2123" s="5588"/>
      <c r="CE2123" s="7065"/>
      <c r="CF2123" s="7027"/>
      <c r="CG2123" s="7027"/>
      <c r="CH2123" s="7027"/>
    </row>
    <row r="2124" s="5007" customFormat="1" ht="61" spans="1:86">
      <c r="A2124" s="6890"/>
      <c r="B2124" s="6879"/>
      <c r="C2124" s="6898"/>
      <c r="D2124" s="6880"/>
      <c r="E2124" s="6898"/>
      <c r="F2124" s="6880"/>
      <c r="G2124" s="6880"/>
      <c r="H2124" s="5613"/>
      <c r="I2124" s="6880"/>
      <c r="J2124" s="6880"/>
      <c r="K2124" s="6597"/>
      <c r="L2124" s="6597"/>
      <c r="M2124" s="6353"/>
      <c r="N2124" s="6355"/>
      <c r="O2124" s="6355"/>
      <c r="P2124" s="6355"/>
      <c r="Q2124" s="6355"/>
      <c r="R2124" s="6355"/>
      <c r="S2124" s="6355"/>
      <c r="T2124" s="6355"/>
      <c r="U2124" s="6355"/>
      <c r="V2124" s="6355"/>
      <c r="W2124" s="6355"/>
      <c r="X2124" s="6355"/>
      <c r="Y2124" s="6355"/>
      <c r="Z2124" s="6355"/>
      <c r="AA2124" s="6353"/>
      <c r="AB2124" s="5583"/>
      <c r="AC2124" s="2125">
        <v>2</v>
      </c>
      <c r="AD2124" s="7048" t="s">
        <v>3739</v>
      </c>
      <c r="AE2124" s="5564" t="s">
        <v>3740</v>
      </c>
      <c r="AF2124" s="5588">
        <f>632535*0.2</f>
        <v>126507</v>
      </c>
      <c r="AG2124" s="5618">
        <f t="shared" ref="AG2124:AG2133" si="466">SUM(BA2124:BN2124)</f>
        <v>126507</v>
      </c>
      <c r="AH2124" s="5619" t="s">
        <v>349</v>
      </c>
      <c r="AI2124" s="5618">
        <v>46142</v>
      </c>
      <c r="AJ2124" s="5618"/>
      <c r="AK2124" s="5618"/>
      <c r="AL2124" s="5618"/>
      <c r="AM2124" s="5618"/>
      <c r="AN2124" s="5618">
        <f t="shared" ref="AN2124:AN2133" si="467">SUM(BO2124:CB2124)</f>
        <v>126507</v>
      </c>
      <c r="AO2124" s="5618">
        <v>46142</v>
      </c>
      <c r="AP2124" s="5618"/>
      <c r="AQ2124" s="7061"/>
      <c r="AR2124" s="7061"/>
      <c r="AS2124" s="7061"/>
      <c r="AT2124" s="5618"/>
      <c r="AU2124" s="5618"/>
      <c r="AV2124" s="5618"/>
      <c r="AW2124" s="5618"/>
      <c r="AX2124" s="5618"/>
      <c r="AY2124" s="5618"/>
      <c r="AZ2124" s="5618"/>
      <c r="BA2124" s="5618"/>
      <c r="BB2124" s="5618"/>
      <c r="BC2124" s="5618"/>
      <c r="BD2124" s="5618"/>
      <c r="BE2124" s="5618"/>
      <c r="BF2124" s="5618"/>
      <c r="BG2124" s="5618"/>
      <c r="BH2124" s="5618"/>
      <c r="BI2124" s="5618"/>
      <c r="BJ2124" s="5618"/>
      <c r="BK2124" s="5618"/>
      <c r="BL2124" s="5618"/>
      <c r="BM2124" s="5618"/>
      <c r="BN2124" s="5618">
        <v>126507</v>
      </c>
      <c r="BO2124" s="5618"/>
      <c r="BP2124" s="5618"/>
      <c r="BQ2124" s="5618"/>
      <c r="BR2124" s="5618"/>
      <c r="BS2124" s="5618"/>
      <c r="BT2124" s="5618"/>
      <c r="BU2124" s="5618"/>
      <c r="BV2124" s="5618"/>
      <c r="BW2124" s="5618"/>
      <c r="BX2124" s="5618"/>
      <c r="BY2124" s="5618"/>
      <c r="BZ2124" s="5618"/>
      <c r="CA2124" s="5618"/>
      <c r="CB2124" s="5618">
        <v>126507</v>
      </c>
      <c r="CC2124" s="5588"/>
      <c r="CD2124" s="5588"/>
      <c r="CE2124" s="7065"/>
      <c r="CF2124" s="7027"/>
      <c r="CG2124" s="7027"/>
      <c r="CH2124" s="7027"/>
    </row>
    <row r="2125" s="5007" customFormat="1" ht="61" spans="1:86">
      <c r="A2125" s="6890"/>
      <c r="B2125" s="6879"/>
      <c r="C2125" s="6898"/>
      <c r="D2125" s="6880"/>
      <c r="E2125" s="6898"/>
      <c r="F2125" s="6880"/>
      <c r="G2125" s="6880"/>
      <c r="H2125" s="5613"/>
      <c r="I2125" s="6880"/>
      <c r="J2125" s="6880"/>
      <c r="K2125" s="6597"/>
      <c r="L2125" s="6597"/>
      <c r="M2125" s="6353"/>
      <c r="N2125" s="6355"/>
      <c r="O2125" s="6355"/>
      <c r="P2125" s="6355"/>
      <c r="Q2125" s="6355"/>
      <c r="R2125" s="6355"/>
      <c r="S2125" s="6355"/>
      <c r="T2125" s="6355"/>
      <c r="U2125" s="6355"/>
      <c r="V2125" s="6355"/>
      <c r="W2125" s="6355"/>
      <c r="X2125" s="6355"/>
      <c r="Y2125" s="6355"/>
      <c r="Z2125" s="6355"/>
      <c r="AA2125" s="6353"/>
      <c r="AB2125" s="5583"/>
      <c r="AC2125" s="2125">
        <v>3</v>
      </c>
      <c r="AD2125" s="7048" t="s">
        <v>3741</v>
      </c>
      <c r="AE2125" s="5564" t="s">
        <v>3742</v>
      </c>
      <c r="AF2125" s="5588">
        <f>632535*0.15</f>
        <v>94880.25</v>
      </c>
      <c r="AG2125" s="5618">
        <f t="shared" si="466"/>
        <v>94880.25</v>
      </c>
      <c r="AH2125" s="5619" t="s">
        <v>349</v>
      </c>
      <c r="AI2125" s="5618">
        <v>46142</v>
      </c>
      <c r="AJ2125" s="5618"/>
      <c r="AK2125" s="5618"/>
      <c r="AL2125" s="5618"/>
      <c r="AM2125" s="5618"/>
      <c r="AN2125" s="5618">
        <f t="shared" si="467"/>
        <v>94880.25</v>
      </c>
      <c r="AO2125" s="5618">
        <v>46142</v>
      </c>
      <c r="AP2125" s="5618"/>
      <c r="AQ2125" s="7061"/>
      <c r="AR2125" s="7061"/>
      <c r="AS2125" s="7061"/>
      <c r="AT2125" s="5618"/>
      <c r="AU2125" s="5618"/>
      <c r="AV2125" s="5618"/>
      <c r="AW2125" s="5618"/>
      <c r="AX2125" s="5618"/>
      <c r="AY2125" s="5618"/>
      <c r="AZ2125" s="5618"/>
      <c r="BA2125" s="5618"/>
      <c r="BB2125" s="5618"/>
      <c r="BC2125" s="5618"/>
      <c r="BD2125" s="5618"/>
      <c r="BE2125" s="5618"/>
      <c r="BF2125" s="5618"/>
      <c r="BG2125" s="5618"/>
      <c r="BH2125" s="5618"/>
      <c r="BI2125" s="5618"/>
      <c r="BJ2125" s="5618"/>
      <c r="BK2125" s="5618"/>
      <c r="BL2125" s="5618"/>
      <c r="BM2125" s="5618"/>
      <c r="BN2125" s="5618">
        <v>94880.25</v>
      </c>
      <c r="BO2125" s="5618"/>
      <c r="BP2125" s="5618"/>
      <c r="BQ2125" s="5618"/>
      <c r="BR2125" s="5618"/>
      <c r="BS2125" s="5618"/>
      <c r="BT2125" s="5618"/>
      <c r="BU2125" s="5618"/>
      <c r="BV2125" s="5618"/>
      <c r="BW2125" s="5618"/>
      <c r="BX2125" s="5618"/>
      <c r="BY2125" s="5618"/>
      <c r="BZ2125" s="5618"/>
      <c r="CA2125" s="5618"/>
      <c r="CB2125" s="5618">
        <v>94880.25</v>
      </c>
      <c r="CC2125" s="5588"/>
      <c r="CD2125" s="5588"/>
      <c r="CE2125" s="7065"/>
      <c r="CF2125" s="7027"/>
      <c r="CG2125" s="7027"/>
      <c r="CH2125" s="7027"/>
    </row>
    <row r="2126" s="5007" customFormat="1" ht="61" spans="1:86">
      <c r="A2126" s="6890"/>
      <c r="B2126" s="6879"/>
      <c r="C2126" s="6898"/>
      <c r="D2126" s="6880"/>
      <c r="E2126" s="6898"/>
      <c r="F2126" s="6880"/>
      <c r="G2126" s="6880"/>
      <c r="H2126" s="5613"/>
      <c r="I2126" s="6880"/>
      <c r="J2126" s="6880"/>
      <c r="K2126" s="6597"/>
      <c r="L2126" s="6597"/>
      <c r="M2126" s="6353"/>
      <c r="N2126" s="6355"/>
      <c r="O2126" s="6355"/>
      <c r="P2126" s="6355"/>
      <c r="Q2126" s="6355"/>
      <c r="R2126" s="6355"/>
      <c r="S2126" s="6355"/>
      <c r="T2126" s="6355"/>
      <c r="U2126" s="6355"/>
      <c r="V2126" s="6355"/>
      <c r="W2126" s="6355"/>
      <c r="X2126" s="6355"/>
      <c r="Y2126" s="6355"/>
      <c r="Z2126" s="6355"/>
      <c r="AA2126" s="6353"/>
      <c r="AB2126" s="5583"/>
      <c r="AC2126" s="2125">
        <v>4</v>
      </c>
      <c r="AD2126" s="7048" t="s">
        <v>3743</v>
      </c>
      <c r="AE2126" s="5564" t="s">
        <v>3744</v>
      </c>
      <c r="AF2126" s="5588">
        <f>632535*0.3</f>
        <v>189760.5</v>
      </c>
      <c r="AG2126" s="5618">
        <f t="shared" si="466"/>
        <v>189760.5</v>
      </c>
      <c r="AH2126" s="5619" t="s">
        <v>349</v>
      </c>
      <c r="AI2126" s="5618">
        <v>46142</v>
      </c>
      <c r="AJ2126" s="5618"/>
      <c r="AK2126" s="5618"/>
      <c r="AL2126" s="5618"/>
      <c r="AM2126" s="5618"/>
      <c r="AN2126" s="5618">
        <f t="shared" si="467"/>
        <v>189760.5</v>
      </c>
      <c r="AO2126" s="5618">
        <v>46142</v>
      </c>
      <c r="AP2126" s="5618"/>
      <c r="AQ2126" s="7061"/>
      <c r="AR2126" s="7061"/>
      <c r="AS2126" s="7061"/>
      <c r="AT2126" s="5618"/>
      <c r="AU2126" s="5618"/>
      <c r="AV2126" s="5618"/>
      <c r="AW2126" s="5618"/>
      <c r="AX2126" s="5618"/>
      <c r="AY2126" s="5618"/>
      <c r="AZ2126" s="5618"/>
      <c r="BA2126" s="5618"/>
      <c r="BB2126" s="5618"/>
      <c r="BC2126" s="5618"/>
      <c r="BD2126" s="5618"/>
      <c r="BE2126" s="5618"/>
      <c r="BF2126" s="5618"/>
      <c r="BG2126" s="5618"/>
      <c r="BH2126" s="5618"/>
      <c r="BI2126" s="5618"/>
      <c r="BJ2126" s="5618"/>
      <c r="BK2126" s="5618"/>
      <c r="BL2126" s="5618"/>
      <c r="BM2126" s="5618"/>
      <c r="BN2126" s="5618">
        <v>189760.5</v>
      </c>
      <c r="BO2126" s="5618"/>
      <c r="BP2126" s="5618"/>
      <c r="BQ2126" s="5618"/>
      <c r="BR2126" s="5618"/>
      <c r="BS2126" s="5618"/>
      <c r="BT2126" s="5618"/>
      <c r="BU2126" s="5618"/>
      <c r="BV2126" s="5618"/>
      <c r="BW2126" s="5618"/>
      <c r="BX2126" s="5618"/>
      <c r="BY2126" s="5618"/>
      <c r="BZ2126" s="5618"/>
      <c r="CA2126" s="5618"/>
      <c r="CB2126" s="5618">
        <v>189760.5</v>
      </c>
      <c r="CC2126" s="5588"/>
      <c r="CD2126" s="5588"/>
      <c r="CE2126" s="7065"/>
      <c r="CF2126" s="7027"/>
      <c r="CG2126" s="7027"/>
      <c r="CH2126" s="7027"/>
    </row>
    <row r="2127" s="5007" customFormat="1" ht="61" spans="1:86">
      <c r="A2127" s="6890"/>
      <c r="B2127" s="6879"/>
      <c r="C2127" s="6898"/>
      <c r="D2127" s="6880"/>
      <c r="E2127" s="6898"/>
      <c r="F2127" s="6880"/>
      <c r="G2127" s="6880"/>
      <c r="H2127" s="5613"/>
      <c r="I2127" s="6880"/>
      <c r="J2127" s="6880"/>
      <c r="K2127" s="6597"/>
      <c r="L2127" s="6597"/>
      <c r="M2127" s="6353"/>
      <c r="N2127" s="6355"/>
      <c r="O2127" s="6355"/>
      <c r="P2127" s="6355"/>
      <c r="Q2127" s="6355"/>
      <c r="R2127" s="6355"/>
      <c r="S2127" s="6355"/>
      <c r="T2127" s="6355"/>
      <c r="U2127" s="6355"/>
      <c r="V2127" s="6355"/>
      <c r="W2127" s="6355"/>
      <c r="X2127" s="6355"/>
      <c r="Y2127" s="6355"/>
      <c r="Z2127" s="6355"/>
      <c r="AA2127" s="6353"/>
      <c r="AB2127" s="5583"/>
      <c r="AC2127" s="2125">
        <v>5</v>
      </c>
      <c r="AD2127" s="7048" t="s">
        <v>3745</v>
      </c>
      <c r="AE2127" s="5564" t="s">
        <v>3746</v>
      </c>
      <c r="AF2127" s="5588">
        <f>632535*0.15</f>
        <v>94880.25</v>
      </c>
      <c r="AG2127" s="5618">
        <f t="shared" si="466"/>
        <v>94880.25</v>
      </c>
      <c r="AH2127" s="5619" t="s">
        <v>349</v>
      </c>
      <c r="AI2127" s="5618">
        <v>46142</v>
      </c>
      <c r="AJ2127" s="5618"/>
      <c r="AK2127" s="5618"/>
      <c r="AL2127" s="5618"/>
      <c r="AM2127" s="5618"/>
      <c r="AN2127" s="5618">
        <f t="shared" si="467"/>
        <v>94880.25</v>
      </c>
      <c r="AO2127" s="5618">
        <v>46142</v>
      </c>
      <c r="AP2127" s="5618"/>
      <c r="AQ2127" s="7061"/>
      <c r="AR2127" s="7061"/>
      <c r="AS2127" s="7061"/>
      <c r="AT2127" s="5618"/>
      <c r="AU2127" s="5618"/>
      <c r="AV2127" s="5618"/>
      <c r="AW2127" s="5618"/>
      <c r="AX2127" s="5618"/>
      <c r="AY2127" s="5618"/>
      <c r="AZ2127" s="5618"/>
      <c r="BA2127" s="5618"/>
      <c r="BB2127" s="5618"/>
      <c r="BC2127" s="5618"/>
      <c r="BD2127" s="5618"/>
      <c r="BE2127" s="5618"/>
      <c r="BF2127" s="5618"/>
      <c r="BG2127" s="5618"/>
      <c r="BH2127" s="5618"/>
      <c r="BI2127" s="5618"/>
      <c r="BJ2127" s="5618"/>
      <c r="BK2127" s="5618"/>
      <c r="BL2127" s="5618"/>
      <c r="BM2127" s="5618"/>
      <c r="BN2127" s="5618">
        <v>94880.25</v>
      </c>
      <c r="BO2127" s="5618"/>
      <c r="BP2127" s="5618"/>
      <c r="BQ2127" s="5618"/>
      <c r="BR2127" s="5618"/>
      <c r="BS2127" s="5618"/>
      <c r="BT2127" s="5618"/>
      <c r="BU2127" s="5618"/>
      <c r="BV2127" s="5618"/>
      <c r="BW2127" s="5618"/>
      <c r="BX2127" s="5618"/>
      <c r="BY2127" s="5618"/>
      <c r="BZ2127" s="5618"/>
      <c r="CA2127" s="5618"/>
      <c r="CB2127" s="5618">
        <v>94880.25</v>
      </c>
      <c r="CC2127" s="5588"/>
      <c r="CD2127" s="5588"/>
      <c r="CE2127" s="7065"/>
      <c r="CF2127" s="7027"/>
      <c r="CG2127" s="7027"/>
      <c r="CH2127" s="7027"/>
    </row>
    <row r="2128" s="5007" customFormat="1" ht="76" spans="1:86">
      <c r="A2128" s="6890"/>
      <c r="B2128" s="6879"/>
      <c r="C2128" s="6898"/>
      <c r="D2128" s="6880"/>
      <c r="E2128" s="6898"/>
      <c r="F2128" s="6880"/>
      <c r="G2128" s="6880"/>
      <c r="H2128" s="5613"/>
      <c r="I2128" s="6880"/>
      <c r="J2128" s="6880"/>
      <c r="K2128" s="6597"/>
      <c r="L2128" s="6597"/>
      <c r="M2128" s="6355"/>
      <c r="N2128" s="6355"/>
      <c r="O2128" s="6355"/>
      <c r="P2128" s="6355"/>
      <c r="Q2128" s="6355"/>
      <c r="R2128" s="6355"/>
      <c r="S2128" s="6355"/>
      <c r="T2128" s="6355"/>
      <c r="U2128" s="6355"/>
      <c r="V2128" s="6355"/>
      <c r="W2128" s="6355"/>
      <c r="X2128" s="6355"/>
      <c r="Y2128" s="6355"/>
      <c r="Z2128" s="6355"/>
      <c r="AA2128" s="6355"/>
      <c r="AB2128" s="5659"/>
      <c r="AC2128" s="2127">
        <v>6</v>
      </c>
      <c r="AD2128" s="6429" t="s">
        <v>3747</v>
      </c>
      <c r="AE2128" s="2127" t="s">
        <v>3748</v>
      </c>
      <c r="AF2128" s="5588">
        <f>632535*0.05</f>
        <v>31626.75</v>
      </c>
      <c r="AG2128" s="5618"/>
      <c r="AH2128" s="5618"/>
      <c r="AI2128" s="5618"/>
      <c r="AJ2128" s="5618"/>
      <c r="AK2128" s="5618"/>
      <c r="AL2128" s="5618"/>
      <c r="AM2128" s="5618"/>
      <c r="AN2128" s="5618"/>
      <c r="AO2128" s="5618"/>
      <c r="AP2128" s="5618"/>
      <c r="AQ2128" s="7061"/>
      <c r="AR2128" s="7061"/>
      <c r="AS2128" s="7061"/>
      <c r="AT2128" s="5618"/>
      <c r="AU2128" s="5618"/>
      <c r="AV2128" s="5618"/>
      <c r="AW2128" s="5618"/>
      <c r="AX2128" s="5618"/>
      <c r="AY2128" s="5618"/>
      <c r="AZ2128" s="5618"/>
      <c r="BA2128" s="5618"/>
      <c r="BB2128" s="5618"/>
      <c r="BC2128" s="5618"/>
      <c r="BD2128" s="5618"/>
      <c r="BE2128" s="5618"/>
      <c r="BF2128" s="5618"/>
      <c r="BG2128" s="5618"/>
      <c r="BH2128" s="5618"/>
      <c r="BI2128" s="5618"/>
      <c r="BJ2128" s="5618"/>
      <c r="BK2128" s="5618"/>
      <c r="BL2128" s="5618"/>
      <c r="BM2128" s="5618"/>
      <c r="BN2128" s="5618">
        <v>31626.75</v>
      </c>
      <c r="BO2128" s="5618"/>
      <c r="BP2128" s="5618"/>
      <c r="BQ2128" s="5618"/>
      <c r="BR2128" s="5618"/>
      <c r="BS2128" s="5618"/>
      <c r="BT2128" s="5618"/>
      <c r="BU2128" s="5618"/>
      <c r="BV2128" s="5618"/>
      <c r="BW2128" s="5618"/>
      <c r="BX2128" s="5618"/>
      <c r="BY2128" s="5618"/>
      <c r="BZ2128" s="5618"/>
      <c r="CA2128" s="5618"/>
      <c r="CB2128" s="5618">
        <v>31626.75</v>
      </c>
      <c r="CC2128" s="5588"/>
      <c r="CD2128" s="5588"/>
      <c r="CE2128" s="7065"/>
      <c r="CF2128" s="7027"/>
      <c r="CG2128" s="7027"/>
      <c r="CH2128" s="7027"/>
    </row>
    <row r="2129" s="5007" customFormat="1" ht="61" spans="1:86">
      <c r="A2129" s="6890"/>
      <c r="B2129" s="6879"/>
      <c r="C2129" s="6898"/>
      <c r="D2129" s="6880"/>
      <c r="E2129" s="6898"/>
      <c r="F2129" s="6880"/>
      <c r="G2129" s="6880"/>
      <c r="H2129" s="2707" t="s">
        <v>3749</v>
      </c>
      <c r="I2129" s="6880"/>
      <c r="J2129" s="6880"/>
      <c r="K2129" s="7035"/>
      <c r="L2129" s="7035"/>
      <c r="M2129" s="4203">
        <f>SUM(N2129:AA2134)</f>
        <v>102400</v>
      </c>
      <c r="N2129" s="2655"/>
      <c r="O2129" s="2655"/>
      <c r="P2129" s="2655"/>
      <c r="Q2129" s="2655"/>
      <c r="R2129" s="2655"/>
      <c r="S2129" s="2655"/>
      <c r="T2129" s="2655"/>
      <c r="U2129" s="2655"/>
      <c r="V2129" s="2655"/>
      <c r="W2129" s="2655"/>
      <c r="X2129" s="2655"/>
      <c r="Y2129" s="2655"/>
      <c r="Z2129" s="2655"/>
      <c r="AA2129" s="4203">
        <v>102400</v>
      </c>
      <c r="AB2129" s="6607" t="s">
        <v>126</v>
      </c>
      <c r="AC2129" s="7049">
        <v>1</v>
      </c>
      <c r="AD2129" s="7050" t="s">
        <v>3737</v>
      </c>
      <c r="AE2129" s="7049" t="s">
        <v>3750</v>
      </c>
      <c r="AF2129" s="2649">
        <f>102400*0.15</f>
        <v>15360</v>
      </c>
      <c r="AG2129" s="6633">
        <f t="shared" si="466"/>
        <v>15360</v>
      </c>
      <c r="AH2129" s="6633" t="s">
        <v>349</v>
      </c>
      <c r="AI2129" s="6633">
        <v>46142</v>
      </c>
      <c r="AJ2129" s="6633"/>
      <c r="AK2129" s="6633"/>
      <c r="AL2129" s="6633"/>
      <c r="AM2129" s="6633"/>
      <c r="AN2129" s="6633">
        <f t="shared" si="467"/>
        <v>15360</v>
      </c>
      <c r="AO2129" s="6633">
        <v>46142</v>
      </c>
      <c r="AP2129" s="6633"/>
      <c r="AQ2129" s="7062"/>
      <c r="AR2129" s="7062"/>
      <c r="AS2129" s="7062"/>
      <c r="AT2129" s="6633"/>
      <c r="AU2129" s="6633"/>
      <c r="AV2129" s="6633"/>
      <c r="AW2129" s="6633"/>
      <c r="AX2129" s="6633"/>
      <c r="AY2129" s="6633"/>
      <c r="AZ2129" s="6633"/>
      <c r="BA2129" s="6633"/>
      <c r="BB2129" s="6633"/>
      <c r="BC2129" s="6633"/>
      <c r="BD2129" s="6633"/>
      <c r="BE2129" s="6633"/>
      <c r="BF2129" s="6633"/>
      <c r="BG2129" s="6633"/>
      <c r="BH2129" s="6633"/>
      <c r="BI2129" s="6633"/>
      <c r="BJ2129" s="6633"/>
      <c r="BK2129" s="6633"/>
      <c r="BL2129" s="6633"/>
      <c r="BM2129" s="6633"/>
      <c r="BN2129" s="6633">
        <v>15360</v>
      </c>
      <c r="BO2129" s="6633"/>
      <c r="BP2129" s="6633"/>
      <c r="BQ2129" s="6633"/>
      <c r="BR2129" s="6633"/>
      <c r="BS2129" s="6633"/>
      <c r="BT2129" s="6633"/>
      <c r="BU2129" s="6633"/>
      <c r="BV2129" s="6633"/>
      <c r="BW2129" s="6633"/>
      <c r="BX2129" s="6633"/>
      <c r="BY2129" s="6633"/>
      <c r="BZ2129" s="6633"/>
      <c r="CA2129" s="6633"/>
      <c r="CB2129" s="6633">
        <v>15360</v>
      </c>
      <c r="CC2129" s="2649"/>
      <c r="CD2129" s="2649"/>
      <c r="CE2129" s="7065"/>
      <c r="CF2129" s="7027"/>
      <c r="CG2129" s="7027"/>
      <c r="CH2129" s="7027"/>
    </row>
    <row r="2130" s="5007" customFormat="1" ht="61" spans="1:86">
      <c r="A2130" s="6890"/>
      <c r="B2130" s="6879"/>
      <c r="C2130" s="6898"/>
      <c r="D2130" s="6880"/>
      <c r="E2130" s="6898"/>
      <c r="F2130" s="6880"/>
      <c r="G2130" s="6880"/>
      <c r="H2130" s="6607"/>
      <c r="I2130" s="6880"/>
      <c r="J2130" s="6880"/>
      <c r="K2130" s="7035"/>
      <c r="L2130" s="7035"/>
      <c r="M2130" s="4203"/>
      <c r="N2130" s="2655"/>
      <c r="O2130" s="2655"/>
      <c r="P2130" s="2655"/>
      <c r="Q2130" s="2655"/>
      <c r="R2130" s="2655"/>
      <c r="S2130" s="2655"/>
      <c r="T2130" s="2655"/>
      <c r="U2130" s="2655"/>
      <c r="V2130" s="2655"/>
      <c r="W2130" s="2655"/>
      <c r="X2130" s="2655"/>
      <c r="Y2130" s="2655"/>
      <c r="Z2130" s="2655"/>
      <c r="AA2130" s="4203"/>
      <c r="AB2130" s="6607"/>
      <c r="AC2130" s="7049">
        <v>2</v>
      </c>
      <c r="AD2130" s="7050" t="s">
        <v>3739</v>
      </c>
      <c r="AE2130" s="7049" t="s">
        <v>3751</v>
      </c>
      <c r="AF2130" s="2649">
        <f>102400*0.2</f>
        <v>20480</v>
      </c>
      <c r="AG2130" s="6633">
        <f t="shared" si="466"/>
        <v>20480</v>
      </c>
      <c r="AH2130" s="6633" t="s">
        <v>349</v>
      </c>
      <c r="AI2130" s="6633">
        <v>46142</v>
      </c>
      <c r="AJ2130" s="6633"/>
      <c r="AK2130" s="6633"/>
      <c r="AL2130" s="6633"/>
      <c r="AM2130" s="6633"/>
      <c r="AN2130" s="6633">
        <f t="shared" si="467"/>
        <v>20480</v>
      </c>
      <c r="AO2130" s="6633">
        <v>46142</v>
      </c>
      <c r="AP2130" s="6633"/>
      <c r="AQ2130" s="7062"/>
      <c r="AR2130" s="7062"/>
      <c r="AS2130" s="7062"/>
      <c r="AT2130" s="6633"/>
      <c r="AU2130" s="6633"/>
      <c r="AV2130" s="6633"/>
      <c r="AW2130" s="6633"/>
      <c r="AX2130" s="6633"/>
      <c r="AY2130" s="6633"/>
      <c r="AZ2130" s="6633"/>
      <c r="BA2130" s="6633"/>
      <c r="BB2130" s="6633"/>
      <c r="BC2130" s="6633"/>
      <c r="BD2130" s="6633"/>
      <c r="BE2130" s="6633"/>
      <c r="BF2130" s="6633"/>
      <c r="BG2130" s="6633"/>
      <c r="BH2130" s="6633"/>
      <c r="BI2130" s="6633"/>
      <c r="BJ2130" s="6633"/>
      <c r="BK2130" s="6633"/>
      <c r="BL2130" s="6633"/>
      <c r="BM2130" s="6633"/>
      <c r="BN2130" s="6633">
        <v>20480</v>
      </c>
      <c r="BO2130" s="6633"/>
      <c r="BP2130" s="6633"/>
      <c r="BQ2130" s="6633"/>
      <c r="BR2130" s="6633"/>
      <c r="BS2130" s="6633"/>
      <c r="BT2130" s="6633"/>
      <c r="BU2130" s="6633"/>
      <c r="BV2130" s="6633"/>
      <c r="BW2130" s="6633"/>
      <c r="BX2130" s="6633"/>
      <c r="BY2130" s="6633"/>
      <c r="BZ2130" s="6633"/>
      <c r="CA2130" s="6633"/>
      <c r="CB2130" s="6633">
        <v>20480</v>
      </c>
      <c r="CC2130" s="2649"/>
      <c r="CD2130" s="2649"/>
      <c r="CE2130" s="7065"/>
      <c r="CF2130" s="7027"/>
      <c r="CG2130" s="7027"/>
      <c r="CH2130" s="7027"/>
    </row>
    <row r="2131" s="5007" customFormat="1" ht="61" spans="1:86">
      <c r="A2131" s="6890"/>
      <c r="B2131" s="6879"/>
      <c r="C2131" s="6898"/>
      <c r="D2131" s="6880"/>
      <c r="E2131" s="6898"/>
      <c r="F2131" s="6880"/>
      <c r="G2131" s="6880"/>
      <c r="H2131" s="6607"/>
      <c r="I2131" s="6880"/>
      <c r="J2131" s="6880"/>
      <c r="K2131" s="7035"/>
      <c r="L2131" s="7035"/>
      <c r="M2131" s="4203"/>
      <c r="N2131" s="2655"/>
      <c r="O2131" s="2655"/>
      <c r="P2131" s="2655"/>
      <c r="Q2131" s="2655"/>
      <c r="R2131" s="2655"/>
      <c r="S2131" s="2655"/>
      <c r="T2131" s="2655"/>
      <c r="U2131" s="2655"/>
      <c r="V2131" s="2655"/>
      <c r="W2131" s="2655"/>
      <c r="X2131" s="2655"/>
      <c r="Y2131" s="2655"/>
      <c r="Z2131" s="2655"/>
      <c r="AA2131" s="4203"/>
      <c r="AB2131" s="6607"/>
      <c r="AC2131" s="7049">
        <v>3</v>
      </c>
      <c r="AD2131" s="7050" t="s">
        <v>3741</v>
      </c>
      <c r="AE2131" s="7049" t="s">
        <v>3752</v>
      </c>
      <c r="AF2131" s="2649">
        <f>102400*0.15</f>
        <v>15360</v>
      </c>
      <c r="AG2131" s="6633">
        <f t="shared" si="466"/>
        <v>15360</v>
      </c>
      <c r="AH2131" s="6633" t="s">
        <v>349</v>
      </c>
      <c r="AI2131" s="6633">
        <v>46142</v>
      </c>
      <c r="AJ2131" s="6633"/>
      <c r="AK2131" s="6633"/>
      <c r="AL2131" s="6633"/>
      <c r="AM2131" s="6633"/>
      <c r="AN2131" s="6633">
        <f t="shared" si="467"/>
        <v>15360</v>
      </c>
      <c r="AO2131" s="6633">
        <v>46142</v>
      </c>
      <c r="AP2131" s="6633"/>
      <c r="AQ2131" s="7062"/>
      <c r="AR2131" s="7062"/>
      <c r="AS2131" s="7062"/>
      <c r="AT2131" s="6633"/>
      <c r="AU2131" s="6633"/>
      <c r="AV2131" s="6633"/>
      <c r="AW2131" s="6633"/>
      <c r="AX2131" s="6633"/>
      <c r="AY2131" s="6633"/>
      <c r="AZ2131" s="6633"/>
      <c r="BA2131" s="6633"/>
      <c r="BB2131" s="6633"/>
      <c r="BC2131" s="6633"/>
      <c r="BD2131" s="6633"/>
      <c r="BE2131" s="6633"/>
      <c r="BF2131" s="6633"/>
      <c r="BG2131" s="6633"/>
      <c r="BH2131" s="6633"/>
      <c r="BI2131" s="6633"/>
      <c r="BJ2131" s="6633"/>
      <c r="BK2131" s="6633"/>
      <c r="BL2131" s="6633"/>
      <c r="BM2131" s="6633"/>
      <c r="BN2131" s="6633">
        <v>15360</v>
      </c>
      <c r="BO2131" s="6633"/>
      <c r="BP2131" s="6633"/>
      <c r="BQ2131" s="6633"/>
      <c r="BR2131" s="6633"/>
      <c r="BS2131" s="6633"/>
      <c r="BT2131" s="6633"/>
      <c r="BU2131" s="6633"/>
      <c r="BV2131" s="6633"/>
      <c r="BW2131" s="6633"/>
      <c r="BX2131" s="6633"/>
      <c r="BY2131" s="6633"/>
      <c r="BZ2131" s="6633"/>
      <c r="CA2131" s="6633"/>
      <c r="CB2131" s="6633">
        <v>15360</v>
      </c>
      <c r="CC2131" s="2649"/>
      <c r="CD2131" s="2649"/>
      <c r="CE2131" s="7065"/>
      <c r="CF2131" s="7027"/>
      <c r="CG2131" s="7027"/>
      <c r="CH2131" s="7027"/>
    </row>
    <row r="2132" s="5007" customFormat="1" ht="61" spans="1:86">
      <c r="A2132" s="6890"/>
      <c r="B2132" s="6879"/>
      <c r="C2132" s="6898"/>
      <c r="D2132" s="6880"/>
      <c r="E2132" s="6898"/>
      <c r="F2132" s="6880"/>
      <c r="G2132" s="6880"/>
      <c r="H2132" s="6607"/>
      <c r="I2132" s="6880"/>
      <c r="J2132" s="6880"/>
      <c r="K2132" s="7035"/>
      <c r="L2132" s="7035"/>
      <c r="M2132" s="4203"/>
      <c r="N2132" s="2655"/>
      <c r="O2132" s="2655"/>
      <c r="P2132" s="2655"/>
      <c r="Q2132" s="2655"/>
      <c r="R2132" s="2655"/>
      <c r="S2132" s="2655"/>
      <c r="T2132" s="2655"/>
      <c r="U2132" s="2655"/>
      <c r="V2132" s="2655"/>
      <c r="W2132" s="2655"/>
      <c r="X2132" s="2655"/>
      <c r="Y2132" s="2655"/>
      <c r="Z2132" s="2655"/>
      <c r="AA2132" s="4203"/>
      <c r="AB2132" s="6607"/>
      <c r="AC2132" s="7049">
        <v>4</v>
      </c>
      <c r="AD2132" s="7050" t="s">
        <v>3743</v>
      </c>
      <c r="AE2132" s="7049" t="s">
        <v>3753</v>
      </c>
      <c r="AF2132" s="2649">
        <f>102400*0.3</f>
        <v>30720</v>
      </c>
      <c r="AG2132" s="6633">
        <f t="shared" si="466"/>
        <v>30720</v>
      </c>
      <c r="AH2132" s="6633" t="s">
        <v>349</v>
      </c>
      <c r="AI2132" s="6633">
        <v>46142</v>
      </c>
      <c r="AJ2132" s="6633"/>
      <c r="AK2132" s="6633"/>
      <c r="AL2132" s="6633"/>
      <c r="AM2132" s="6633"/>
      <c r="AN2132" s="6633">
        <f t="shared" si="467"/>
        <v>30720</v>
      </c>
      <c r="AO2132" s="6633">
        <v>46142</v>
      </c>
      <c r="AP2132" s="6633"/>
      <c r="AQ2132" s="7062"/>
      <c r="AR2132" s="7062"/>
      <c r="AS2132" s="7062"/>
      <c r="AT2132" s="6633"/>
      <c r="AU2132" s="6633"/>
      <c r="AV2132" s="6633"/>
      <c r="AW2132" s="6633"/>
      <c r="AX2132" s="6633"/>
      <c r="AY2132" s="6633"/>
      <c r="AZ2132" s="6633"/>
      <c r="BA2132" s="6633"/>
      <c r="BB2132" s="6633"/>
      <c r="BC2132" s="6633"/>
      <c r="BD2132" s="6633"/>
      <c r="BE2132" s="6633"/>
      <c r="BF2132" s="6633"/>
      <c r="BG2132" s="6633"/>
      <c r="BH2132" s="6633"/>
      <c r="BI2132" s="6633"/>
      <c r="BJ2132" s="6633"/>
      <c r="BK2132" s="6633"/>
      <c r="BL2132" s="6633"/>
      <c r="BM2132" s="6633"/>
      <c r="BN2132" s="6633">
        <v>30720</v>
      </c>
      <c r="BO2132" s="6633"/>
      <c r="BP2132" s="6633"/>
      <c r="BQ2132" s="6633"/>
      <c r="BR2132" s="6633"/>
      <c r="BS2132" s="6633"/>
      <c r="BT2132" s="6633"/>
      <c r="BU2132" s="6633"/>
      <c r="BV2132" s="6633"/>
      <c r="BW2132" s="6633"/>
      <c r="BX2132" s="6633"/>
      <c r="BY2132" s="6633"/>
      <c r="BZ2132" s="6633"/>
      <c r="CA2132" s="6633"/>
      <c r="CB2132" s="6633">
        <v>30720</v>
      </c>
      <c r="CC2132" s="2649"/>
      <c r="CD2132" s="2649"/>
      <c r="CE2132" s="7065"/>
      <c r="CF2132" s="7027"/>
      <c r="CG2132" s="7027"/>
      <c r="CH2132" s="7027"/>
    </row>
    <row r="2133" s="5007" customFormat="1" ht="61" spans="1:86">
      <c r="A2133" s="6890"/>
      <c r="B2133" s="6879"/>
      <c r="C2133" s="6898"/>
      <c r="D2133" s="6880"/>
      <c r="E2133" s="6898"/>
      <c r="F2133" s="6880"/>
      <c r="G2133" s="6880"/>
      <c r="H2133" s="6607"/>
      <c r="I2133" s="6880"/>
      <c r="J2133" s="6880"/>
      <c r="K2133" s="7035"/>
      <c r="L2133" s="7035"/>
      <c r="M2133" s="4203"/>
      <c r="N2133" s="2655"/>
      <c r="O2133" s="2655"/>
      <c r="P2133" s="2655"/>
      <c r="Q2133" s="2655"/>
      <c r="R2133" s="2655"/>
      <c r="S2133" s="2655"/>
      <c r="T2133" s="2655"/>
      <c r="U2133" s="2655"/>
      <c r="V2133" s="2655"/>
      <c r="W2133" s="2655"/>
      <c r="X2133" s="2655"/>
      <c r="Y2133" s="2655"/>
      <c r="Z2133" s="2655"/>
      <c r="AA2133" s="4203"/>
      <c r="AB2133" s="6607"/>
      <c r="AC2133" s="7049">
        <v>5</v>
      </c>
      <c r="AD2133" s="7050" t="s">
        <v>3745</v>
      </c>
      <c r="AE2133" s="7049" t="s">
        <v>3754</v>
      </c>
      <c r="AF2133" s="2649">
        <f>102400*0.15</f>
        <v>15360</v>
      </c>
      <c r="AG2133" s="6633">
        <f t="shared" si="466"/>
        <v>15360</v>
      </c>
      <c r="AH2133" s="6633" t="s">
        <v>349</v>
      </c>
      <c r="AI2133" s="6633">
        <v>46142</v>
      </c>
      <c r="AJ2133" s="6633"/>
      <c r="AK2133" s="6633"/>
      <c r="AL2133" s="6633"/>
      <c r="AM2133" s="6633"/>
      <c r="AN2133" s="6633">
        <f t="shared" si="467"/>
        <v>15360</v>
      </c>
      <c r="AO2133" s="6633">
        <v>46142</v>
      </c>
      <c r="AP2133" s="6633"/>
      <c r="AQ2133" s="7062"/>
      <c r="AR2133" s="7062"/>
      <c r="AS2133" s="7062"/>
      <c r="AT2133" s="6633"/>
      <c r="AU2133" s="6633"/>
      <c r="AV2133" s="6633"/>
      <c r="AW2133" s="6633"/>
      <c r="AX2133" s="6633"/>
      <c r="AY2133" s="6633"/>
      <c r="AZ2133" s="6633"/>
      <c r="BA2133" s="6633"/>
      <c r="BB2133" s="6633"/>
      <c r="BC2133" s="6633"/>
      <c r="BD2133" s="6633"/>
      <c r="BE2133" s="6633"/>
      <c r="BF2133" s="6633"/>
      <c r="BG2133" s="6633"/>
      <c r="BH2133" s="6633"/>
      <c r="BI2133" s="6633"/>
      <c r="BJ2133" s="6633"/>
      <c r="BK2133" s="6633"/>
      <c r="BL2133" s="6633"/>
      <c r="BM2133" s="6633"/>
      <c r="BN2133" s="6633">
        <v>15360</v>
      </c>
      <c r="BO2133" s="6633"/>
      <c r="BP2133" s="6633"/>
      <c r="BQ2133" s="6633"/>
      <c r="BR2133" s="6633"/>
      <c r="BS2133" s="6633"/>
      <c r="BT2133" s="6633"/>
      <c r="BU2133" s="6633"/>
      <c r="BV2133" s="6633"/>
      <c r="BW2133" s="6633"/>
      <c r="BX2133" s="6633"/>
      <c r="BY2133" s="6633"/>
      <c r="BZ2133" s="6633"/>
      <c r="CA2133" s="6633"/>
      <c r="CB2133" s="6633">
        <v>15360</v>
      </c>
      <c r="CC2133" s="2649"/>
      <c r="CD2133" s="2649"/>
      <c r="CE2133" s="7065"/>
      <c r="CF2133" s="7027"/>
      <c r="CG2133" s="7027"/>
      <c r="CH2133" s="7027"/>
    </row>
    <row r="2134" s="5007" customFormat="1" ht="76" spans="1:86">
      <c r="A2134" s="6890"/>
      <c r="B2134" s="6879"/>
      <c r="C2134" s="6898"/>
      <c r="D2134" s="6880"/>
      <c r="E2134" s="6898"/>
      <c r="F2134" s="6880"/>
      <c r="G2134" s="6880"/>
      <c r="H2134" s="2708"/>
      <c r="I2134" s="6880"/>
      <c r="J2134" s="6880"/>
      <c r="K2134" s="7035"/>
      <c r="L2134" s="7035"/>
      <c r="M2134" s="2655"/>
      <c r="N2134" s="2655"/>
      <c r="O2134" s="2655"/>
      <c r="P2134" s="2655"/>
      <c r="Q2134" s="2655"/>
      <c r="R2134" s="2655"/>
      <c r="S2134" s="2655"/>
      <c r="T2134" s="2655"/>
      <c r="U2134" s="2655"/>
      <c r="V2134" s="2655"/>
      <c r="W2134" s="2655"/>
      <c r="X2134" s="2655"/>
      <c r="Y2134" s="2655"/>
      <c r="Z2134" s="2655"/>
      <c r="AA2134" s="2655"/>
      <c r="AB2134" s="2708"/>
      <c r="AC2134" s="7049">
        <v>6</v>
      </c>
      <c r="AD2134" s="7050" t="s">
        <v>3747</v>
      </c>
      <c r="AE2134" s="7049" t="s">
        <v>3755</v>
      </c>
      <c r="AF2134" s="2649">
        <f>102400*0.05</f>
        <v>5120</v>
      </c>
      <c r="AG2134" s="6633">
        <f t="shared" ref="AG2134:AG2144" si="468">SUM(BA2134:BN2134)</f>
        <v>0</v>
      </c>
      <c r="AH2134" s="6633"/>
      <c r="AI2134" s="6633"/>
      <c r="AJ2134" s="6633"/>
      <c r="AK2134" s="6633"/>
      <c r="AL2134" s="6633"/>
      <c r="AM2134" s="6633"/>
      <c r="AN2134" s="6633">
        <f t="shared" ref="AN2134:AN2144" si="469">SUM(BO2134:CB2134)</f>
        <v>0</v>
      </c>
      <c r="AO2134" s="6633"/>
      <c r="AP2134" s="6633"/>
      <c r="AQ2134" s="7062"/>
      <c r="AR2134" s="7062"/>
      <c r="AS2134" s="7062"/>
      <c r="AT2134" s="6633"/>
      <c r="AU2134" s="6633"/>
      <c r="AV2134" s="6633"/>
      <c r="AW2134" s="6633"/>
      <c r="AX2134" s="6633"/>
      <c r="AY2134" s="6633"/>
      <c r="AZ2134" s="6633"/>
      <c r="BA2134" s="6633"/>
      <c r="BB2134" s="6633"/>
      <c r="BC2134" s="6633"/>
      <c r="BD2134" s="6633"/>
      <c r="BE2134" s="6633"/>
      <c r="BF2134" s="6633"/>
      <c r="BG2134" s="6633"/>
      <c r="BH2134" s="6633"/>
      <c r="BI2134" s="6633"/>
      <c r="BJ2134" s="6633"/>
      <c r="BK2134" s="6633"/>
      <c r="BL2134" s="6633"/>
      <c r="BM2134" s="6633"/>
      <c r="BN2134" s="6633"/>
      <c r="BO2134" s="6633"/>
      <c r="BP2134" s="6633"/>
      <c r="BQ2134" s="6633"/>
      <c r="BR2134" s="6633"/>
      <c r="BS2134" s="6633"/>
      <c r="BT2134" s="6633"/>
      <c r="BU2134" s="6633"/>
      <c r="BV2134" s="6633"/>
      <c r="BW2134" s="6633"/>
      <c r="BX2134" s="6633"/>
      <c r="BY2134" s="6633"/>
      <c r="BZ2134" s="6633"/>
      <c r="CA2134" s="6633"/>
      <c r="CB2134" s="6633"/>
      <c r="CC2134" s="2649"/>
      <c r="CD2134" s="2649"/>
      <c r="CE2134" s="7065"/>
      <c r="CF2134" s="7027"/>
      <c r="CG2134" s="7027"/>
      <c r="CH2134" s="7027"/>
    </row>
    <row r="2135" s="5007" customFormat="1" ht="107" spans="1:86">
      <c r="A2135" s="6890"/>
      <c r="B2135" s="6879"/>
      <c r="C2135" s="6898"/>
      <c r="D2135" s="6880"/>
      <c r="E2135" s="6898"/>
      <c r="F2135" s="6880"/>
      <c r="G2135" s="6880"/>
      <c r="H2135" s="7030" t="s">
        <v>3620</v>
      </c>
      <c r="I2135" s="6880"/>
      <c r="J2135" s="6880"/>
      <c r="K2135" s="7036"/>
      <c r="L2135" s="7036"/>
      <c r="M2135" s="7038">
        <f>SUM(N2135:AA2140)</f>
        <v>321376</v>
      </c>
      <c r="N2135" s="7039"/>
      <c r="O2135" s="7039"/>
      <c r="P2135" s="7039"/>
      <c r="Q2135" s="7039"/>
      <c r="R2135" s="7039"/>
      <c r="S2135" s="7039"/>
      <c r="T2135" s="7039"/>
      <c r="U2135" s="7039"/>
      <c r="V2135" s="7039"/>
      <c r="W2135" s="7039"/>
      <c r="X2135" s="7039"/>
      <c r="Y2135" s="7038">
        <v>321376</v>
      </c>
      <c r="Z2135" s="7039"/>
      <c r="AA2135" s="7039"/>
      <c r="AB2135" s="7031" t="s">
        <v>35</v>
      </c>
      <c r="AC2135" s="7051">
        <v>1</v>
      </c>
      <c r="AD2135" s="7052" t="s">
        <v>3756</v>
      </c>
      <c r="AE2135" s="7051" t="s">
        <v>3757</v>
      </c>
      <c r="AF2135" s="7053">
        <f>321376*0.15</f>
        <v>48206.4</v>
      </c>
      <c r="AG2135" s="7053">
        <f t="shared" si="468"/>
        <v>0</v>
      </c>
      <c r="AH2135" s="7059"/>
      <c r="AI2135" s="7059"/>
      <c r="AJ2135" s="7059"/>
      <c r="AK2135" s="7059"/>
      <c r="AL2135" s="7059"/>
      <c r="AM2135" s="7059"/>
      <c r="AN2135" s="7053">
        <f t="shared" si="469"/>
        <v>0</v>
      </c>
      <c r="AO2135" s="7059"/>
      <c r="AP2135" s="7059"/>
      <c r="AQ2135" s="7063"/>
      <c r="AR2135" s="7063"/>
      <c r="AS2135" s="7063"/>
      <c r="AT2135" s="7059"/>
      <c r="AU2135" s="7059"/>
      <c r="AV2135" s="7059"/>
      <c r="AW2135" s="7059"/>
      <c r="AX2135" s="7059"/>
      <c r="AY2135" s="7059"/>
      <c r="AZ2135" s="7059"/>
      <c r="BA2135" s="7059"/>
      <c r="BB2135" s="7059"/>
      <c r="BC2135" s="7059"/>
      <c r="BD2135" s="7059"/>
      <c r="BE2135" s="7059"/>
      <c r="BF2135" s="7059"/>
      <c r="BG2135" s="7059"/>
      <c r="BH2135" s="7059"/>
      <c r="BI2135" s="7059"/>
      <c r="BJ2135" s="7059"/>
      <c r="BK2135" s="7059"/>
      <c r="BL2135" s="7059"/>
      <c r="BM2135" s="7059"/>
      <c r="BN2135" s="7059"/>
      <c r="BO2135" s="7059"/>
      <c r="BP2135" s="7059"/>
      <c r="BQ2135" s="7059"/>
      <c r="BR2135" s="7059"/>
      <c r="BS2135" s="7059"/>
      <c r="BT2135" s="7059"/>
      <c r="BU2135" s="7059"/>
      <c r="BV2135" s="7059"/>
      <c r="BW2135" s="7059"/>
      <c r="BX2135" s="7059"/>
      <c r="BY2135" s="7059"/>
      <c r="BZ2135" s="7059"/>
      <c r="CA2135" s="7059"/>
      <c r="CB2135" s="7059"/>
      <c r="CC2135" s="7053"/>
      <c r="CD2135" s="7053"/>
      <c r="CE2135" s="7065"/>
      <c r="CF2135" s="7027"/>
      <c r="CG2135" s="7027"/>
      <c r="CH2135" s="7027"/>
    </row>
    <row r="2136" s="5007" customFormat="1" ht="107" spans="1:86">
      <c r="A2136" s="6890"/>
      <c r="B2136" s="6879"/>
      <c r="C2136" s="6898"/>
      <c r="D2136" s="6880"/>
      <c r="E2136" s="6898"/>
      <c r="F2136" s="6880"/>
      <c r="G2136" s="6880"/>
      <c r="H2136" s="7031"/>
      <c r="I2136" s="6880"/>
      <c r="J2136" s="6880"/>
      <c r="K2136" s="7036"/>
      <c r="L2136" s="7036"/>
      <c r="M2136" s="7038"/>
      <c r="N2136" s="7039"/>
      <c r="O2136" s="7039"/>
      <c r="P2136" s="7039"/>
      <c r="Q2136" s="7039"/>
      <c r="R2136" s="7039"/>
      <c r="S2136" s="7039"/>
      <c r="T2136" s="7039"/>
      <c r="U2136" s="7039"/>
      <c r="V2136" s="7039"/>
      <c r="W2136" s="7039"/>
      <c r="X2136" s="7039"/>
      <c r="Y2136" s="7038"/>
      <c r="Z2136" s="7039"/>
      <c r="AA2136" s="7039"/>
      <c r="AB2136" s="7038"/>
      <c r="AC2136" s="7051">
        <v>2</v>
      </c>
      <c r="AD2136" s="7052" t="s">
        <v>3758</v>
      </c>
      <c r="AE2136" s="7051" t="s">
        <v>3759</v>
      </c>
      <c r="AF2136" s="7053">
        <f>321376*0.2</f>
        <v>64275.2</v>
      </c>
      <c r="AG2136" s="7053">
        <f t="shared" si="468"/>
        <v>0</v>
      </c>
      <c r="AH2136" s="7059"/>
      <c r="AI2136" s="7059"/>
      <c r="AJ2136" s="7059"/>
      <c r="AK2136" s="7059"/>
      <c r="AL2136" s="7059"/>
      <c r="AM2136" s="7059"/>
      <c r="AN2136" s="7053">
        <f t="shared" si="469"/>
        <v>0</v>
      </c>
      <c r="AO2136" s="7059"/>
      <c r="AP2136" s="7059"/>
      <c r="AQ2136" s="7063"/>
      <c r="AR2136" s="7063"/>
      <c r="AS2136" s="7063"/>
      <c r="AT2136" s="7059"/>
      <c r="AU2136" s="7059"/>
      <c r="AV2136" s="7059"/>
      <c r="AW2136" s="7059"/>
      <c r="AX2136" s="7059"/>
      <c r="AY2136" s="7059"/>
      <c r="AZ2136" s="7059"/>
      <c r="BA2136" s="7059"/>
      <c r="BB2136" s="7059"/>
      <c r="BC2136" s="7059"/>
      <c r="BD2136" s="7059"/>
      <c r="BE2136" s="7059"/>
      <c r="BF2136" s="7059"/>
      <c r="BG2136" s="7059"/>
      <c r="BH2136" s="7059"/>
      <c r="BI2136" s="7059"/>
      <c r="BJ2136" s="7059"/>
      <c r="BK2136" s="7059"/>
      <c r="BL2136" s="7059"/>
      <c r="BM2136" s="7059"/>
      <c r="BN2136" s="7059"/>
      <c r="BO2136" s="7059"/>
      <c r="BP2136" s="7059"/>
      <c r="BQ2136" s="7059"/>
      <c r="BR2136" s="7059"/>
      <c r="BS2136" s="7059"/>
      <c r="BT2136" s="7059"/>
      <c r="BU2136" s="7059"/>
      <c r="BV2136" s="7059"/>
      <c r="BW2136" s="7059"/>
      <c r="BX2136" s="7059"/>
      <c r="BY2136" s="7059"/>
      <c r="BZ2136" s="7059"/>
      <c r="CA2136" s="7059"/>
      <c r="CB2136" s="7059"/>
      <c r="CC2136" s="7053"/>
      <c r="CD2136" s="7053"/>
      <c r="CE2136" s="7065"/>
      <c r="CF2136" s="7027"/>
      <c r="CG2136" s="7027"/>
      <c r="CH2136" s="7027"/>
    </row>
    <row r="2137" s="5007" customFormat="1" ht="107" spans="1:86">
      <c r="A2137" s="6890"/>
      <c r="B2137" s="6879"/>
      <c r="C2137" s="6898"/>
      <c r="D2137" s="6880"/>
      <c r="E2137" s="6898"/>
      <c r="F2137" s="6880"/>
      <c r="G2137" s="6880"/>
      <c r="H2137" s="7031"/>
      <c r="I2137" s="6880"/>
      <c r="J2137" s="6880"/>
      <c r="K2137" s="7036"/>
      <c r="L2137" s="7036"/>
      <c r="M2137" s="7038"/>
      <c r="N2137" s="7039"/>
      <c r="O2137" s="7039"/>
      <c r="P2137" s="7039"/>
      <c r="Q2137" s="7039"/>
      <c r="R2137" s="7039"/>
      <c r="S2137" s="7039"/>
      <c r="T2137" s="7039"/>
      <c r="U2137" s="7039"/>
      <c r="V2137" s="7039"/>
      <c r="W2137" s="7039"/>
      <c r="X2137" s="7039"/>
      <c r="Y2137" s="7038"/>
      <c r="Z2137" s="7039"/>
      <c r="AA2137" s="7039"/>
      <c r="AB2137" s="7038"/>
      <c r="AC2137" s="7051">
        <v>3</v>
      </c>
      <c r="AD2137" s="7052" t="s">
        <v>3760</v>
      </c>
      <c r="AE2137" s="7051" t="s">
        <v>3761</v>
      </c>
      <c r="AF2137" s="7053">
        <f>321376*0.15</f>
        <v>48206.4</v>
      </c>
      <c r="AG2137" s="7053">
        <f t="shared" si="468"/>
        <v>0</v>
      </c>
      <c r="AH2137" s="7059"/>
      <c r="AI2137" s="7059"/>
      <c r="AJ2137" s="7059"/>
      <c r="AK2137" s="7059"/>
      <c r="AL2137" s="7059"/>
      <c r="AM2137" s="7059"/>
      <c r="AN2137" s="7053">
        <f t="shared" si="469"/>
        <v>0</v>
      </c>
      <c r="AO2137" s="7059"/>
      <c r="AP2137" s="7059"/>
      <c r="AQ2137" s="7063"/>
      <c r="AR2137" s="7063"/>
      <c r="AS2137" s="7063"/>
      <c r="AT2137" s="7059"/>
      <c r="AU2137" s="7059"/>
      <c r="AV2137" s="7059"/>
      <c r="AW2137" s="7059"/>
      <c r="AX2137" s="7059"/>
      <c r="AY2137" s="7059"/>
      <c r="AZ2137" s="7059"/>
      <c r="BA2137" s="7059"/>
      <c r="BB2137" s="7059"/>
      <c r="BC2137" s="7059"/>
      <c r="BD2137" s="7059"/>
      <c r="BE2137" s="7059"/>
      <c r="BF2137" s="7059"/>
      <c r="BG2137" s="7059"/>
      <c r="BH2137" s="7059"/>
      <c r="BI2137" s="7059"/>
      <c r="BJ2137" s="7059"/>
      <c r="BK2137" s="7059"/>
      <c r="BL2137" s="7059"/>
      <c r="BM2137" s="7059"/>
      <c r="BN2137" s="7059"/>
      <c r="BO2137" s="7059"/>
      <c r="BP2137" s="7059"/>
      <c r="BQ2137" s="7059"/>
      <c r="BR2137" s="7059"/>
      <c r="BS2137" s="7059"/>
      <c r="BT2137" s="7059"/>
      <c r="BU2137" s="7059"/>
      <c r="BV2137" s="7059"/>
      <c r="BW2137" s="7059"/>
      <c r="BX2137" s="7059"/>
      <c r="BY2137" s="7059"/>
      <c r="BZ2137" s="7059"/>
      <c r="CA2137" s="7059"/>
      <c r="CB2137" s="7059"/>
      <c r="CC2137" s="7053"/>
      <c r="CD2137" s="7053"/>
      <c r="CE2137" s="7065"/>
      <c r="CF2137" s="7027"/>
      <c r="CG2137" s="7027"/>
      <c r="CH2137" s="7027"/>
    </row>
    <row r="2138" s="5007" customFormat="1" ht="107" spans="1:86">
      <c r="A2138" s="6890"/>
      <c r="B2138" s="6879"/>
      <c r="C2138" s="6898"/>
      <c r="D2138" s="6880"/>
      <c r="E2138" s="6898"/>
      <c r="F2138" s="6880"/>
      <c r="G2138" s="6880"/>
      <c r="H2138" s="7031"/>
      <c r="I2138" s="6880"/>
      <c r="J2138" s="6880"/>
      <c r="K2138" s="7036"/>
      <c r="L2138" s="7036"/>
      <c r="M2138" s="7038"/>
      <c r="N2138" s="7039"/>
      <c r="O2138" s="7039"/>
      <c r="P2138" s="7039"/>
      <c r="Q2138" s="7039"/>
      <c r="R2138" s="7039"/>
      <c r="S2138" s="7039"/>
      <c r="T2138" s="7039"/>
      <c r="U2138" s="7039"/>
      <c r="V2138" s="7039"/>
      <c r="W2138" s="7039"/>
      <c r="X2138" s="7039"/>
      <c r="Y2138" s="7038"/>
      <c r="Z2138" s="7039"/>
      <c r="AA2138" s="7039"/>
      <c r="AB2138" s="7038"/>
      <c r="AC2138" s="7051">
        <v>4</v>
      </c>
      <c r="AD2138" s="7052" t="s">
        <v>3762</v>
      </c>
      <c r="AE2138" s="7051" t="s">
        <v>3763</v>
      </c>
      <c r="AF2138" s="7053">
        <f>321376*0.3</f>
        <v>96412.8</v>
      </c>
      <c r="AG2138" s="7053">
        <f t="shared" si="468"/>
        <v>0</v>
      </c>
      <c r="AH2138" s="7059"/>
      <c r="AI2138" s="7059"/>
      <c r="AJ2138" s="7059"/>
      <c r="AK2138" s="7059"/>
      <c r="AL2138" s="7059"/>
      <c r="AM2138" s="7059"/>
      <c r="AN2138" s="7053">
        <f t="shared" si="469"/>
        <v>0</v>
      </c>
      <c r="AO2138" s="7059"/>
      <c r="AP2138" s="7059"/>
      <c r="AQ2138" s="7063"/>
      <c r="AR2138" s="7063"/>
      <c r="AS2138" s="7063"/>
      <c r="AT2138" s="7059"/>
      <c r="AU2138" s="7059"/>
      <c r="AV2138" s="7059"/>
      <c r="AW2138" s="7059"/>
      <c r="AX2138" s="7059"/>
      <c r="AY2138" s="7059"/>
      <c r="AZ2138" s="7059"/>
      <c r="BA2138" s="7059"/>
      <c r="BB2138" s="7059"/>
      <c r="BC2138" s="7059"/>
      <c r="BD2138" s="7059"/>
      <c r="BE2138" s="7059"/>
      <c r="BF2138" s="7059"/>
      <c r="BG2138" s="7059"/>
      <c r="BH2138" s="7059"/>
      <c r="BI2138" s="7059"/>
      <c r="BJ2138" s="7059"/>
      <c r="BK2138" s="7059"/>
      <c r="BL2138" s="7059"/>
      <c r="BM2138" s="7059"/>
      <c r="BN2138" s="7059"/>
      <c r="BO2138" s="7059"/>
      <c r="BP2138" s="7059"/>
      <c r="BQ2138" s="7059"/>
      <c r="BR2138" s="7059"/>
      <c r="BS2138" s="7059"/>
      <c r="BT2138" s="7059"/>
      <c r="BU2138" s="7059"/>
      <c r="BV2138" s="7059"/>
      <c r="BW2138" s="7059"/>
      <c r="BX2138" s="7059"/>
      <c r="BY2138" s="7059"/>
      <c r="BZ2138" s="7059"/>
      <c r="CA2138" s="7059"/>
      <c r="CB2138" s="7059"/>
      <c r="CC2138" s="7053"/>
      <c r="CD2138" s="7053"/>
      <c r="CE2138" s="7065"/>
      <c r="CF2138" s="7027"/>
      <c r="CG2138" s="7027"/>
      <c r="CH2138" s="7027"/>
    </row>
    <row r="2139" s="5007" customFormat="1" ht="107" spans="1:86">
      <c r="A2139" s="6890"/>
      <c r="B2139" s="6879"/>
      <c r="C2139" s="6898"/>
      <c r="D2139" s="6880"/>
      <c r="E2139" s="6898"/>
      <c r="F2139" s="6880"/>
      <c r="G2139" s="6880"/>
      <c r="H2139" s="7031"/>
      <c r="I2139" s="6880"/>
      <c r="J2139" s="6880"/>
      <c r="K2139" s="7036"/>
      <c r="L2139" s="7036"/>
      <c r="M2139" s="7038"/>
      <c r="N2139" s="7039"/>
      <c r="O2139" s="7039"/>
      <c r="P2139" s="7039"/>
      <c r="Q2139" s="7039"/>
      <c r="R2139" s="7039"/>
      <c r="S2139" s="7039"/>
      <c r="T2139" s="7039"/>
      <c r="U2139" s="7039"/>
      <c r="V2139" s="7039"/>
      <c r="W2139" s="7039"/>
      <c r="X2139" s="7039"/>
      <c r="Y2139" s="7038"/>
      <c r="Z2139" s="7039"/>
      <c r="AA2139" s="7039"/>
      <c r="AB2139" s="7038"/>
      <c r="AC2139" s="7051">
        <v>5</v>
      </c>
      <c r="AD2139" s="7052" t="s">
        <v>3764</v>
      </c>
      <c r="AE2139" s="7051" t="s">
        <v>3765</v>
      </c>
      <c r="AF2139" s="7053">
        <f>321376*0.15</f>
        <v>48206.4</v>
      </c>
      <c r="AG2139" s="7053">
        <f t="shared" si="468"/>
        <v>0</v>
      </c>
      <c r="AH2139" s="7059"/>
      <c r="AI2139" s="7059"/>
      <c r="AJ2139" s="7059"/>
      <c r="AK2139" s="7059"/>
      <c r="AL2139" s="7059"/>
      <c r="AM2139" s="7059"/>
      <c r="AN2139" s="7053">
        <f t="shared" si="469"/>
        <v>0</v>
      </c>
      <c r="AO2139" s="7059"/>
      <c r="AP2139" s="7059"/>
      <c r="AQ2139" s="7063"/>
      <c r="AR2139" s="7063"/>
      <c r="AS2139" s="7063"/>
      <c r="AT2139" s="7059"/>
      <c r="AU2139" s="7059"/>
      <c r="AV2139" s="7059"/>
      <c r="AW2139" s="7059"/>
      <c r="AX2139" s="7059"/>
      <c r="AY2139" s="7059"/>
      <c r="AZ2139" s="7059"/>
      <c r="BA2139" s="7059"/>
      <c r="BB2139" s="7059"/>
      <c r="BC2139" s="7059"/>
      <c r="BD2139" s="7059"/>
      <c r="BE2139" s="7059"/>
      <c r="BF2139" s="7059"/>
      <c r="BG2139" s="7059"/>
      <c r="BH2139" s="7059"/>
      <c r="BI2139" s="7059"/>
      <c r="BJ2139" s="7059"/>
      <c r="BK2139" s="7059"/>
      <c r="BL2139" s="7059"/>
      <c r="BM2139" s="7059"/>
      <c r="BN2139" s="7059"/>
      <c r="BO2139" s="7059"/>
      <c r="BP2139" s="7059"/>
      <c r="BQ2139" s="7059"/>
      <c r="BR2139" s="7059"/>
      <c r="BS2139" s="7059"/>
      <c r="BT2139" s="7059"/>
      <c r="BU2139" s="7059"/>
      <c r="BV2139" s="7059"/>
      <c r="BW2139" s="7059"/>
      <c r="BX2139" s="7059"/>
      <c r="BY2139" s="7059"/>
      <c r="BZ2139" s="7059"/>
      <c r="CA2139" s="7059"/>
      <c r="CB2139" s="7059"/>
      <c r="CC2139" s="7053"/>
      <c r="CD2139" s="7053"/>
      <c r="CE2139" s="7065"/>
      <c r="CF2139" s="7027"/>
      <c r="CG2139" s="7027"/>
      <c r="CH2139" s="7027"/>
    </row>
    <row r="2140" s="5007" customFormat="1" ht="92" spans="1:86">
      <c r="A2140" s="6890"/>
      <c r="B2140" s="6879"/>
      <c r="C2140" s="6898"/>
      <c r="D2140" s="6880"/>
      <c r="E2140" s="6898"/>
      <c r="F2140" s="6880"/>
      <c r="G2140" s="6880"/>
      <c r="H2140" s="7032"/>
      <c r="I2140" s="6880"/>
      <c r="J2140" s="6880"/>
      <c r="K2140" s="7036"/>
      <c r="L2140" s="7036"/>
      <c r="M2140" s="7039"/>
      <c r="N2140" s="7039"/>
      <c r="O2140" s="7039"/>
      <c r="P2140" s="7039"/>
      <c r="Q2140" s="7039"/>
      <c r="R2140" s="7039"/>
      <c r="S2140" s="7039"/>
      <c r="T2140" s="7039"/>
      <c r="U2140" s="7039"/>
      <c r="V2140" s="7039"/>
      <c r="W2140" s="7039"/>
      <c r="X2140" s="7039"/>
      <c r="Y2140" s="7039"/>
      <c r="Z2140" s="7039"/>
      <c r="AA2140" s="7039"/>
      <c r="AB2140" s="7039"/>
      <c r="AC2140" s="7051">
        <v>6</v>
      </c>
      <c r="AD2140" s="7052" t="s">
        <v>3766</v>
      </c>
      <c r="AE2140" s="7051" t="s">
        <v>3767</v>
      </c>
      <c r="AF2140" s="7053">
        <f>321376*0.05</f>
        <v>16068.8</v>
      </c>
      <c r="AG2140" s="7053">
        <f t="shared" si="468"/>
        <v>0</v>
      </c>
      <c r="AH2140" s="7059"/>
      <c r="AI2140" s="7059"/>
      <c r="AJ2140" s="7059"/>
      <c r="AK2140" s="7059"/>
      <c r="AL2140" s="7059"/>
      <c r="AM2140" s="7059"/>
      <c r="AN2140" s="7053">
        <f t="shared" si="469"/>
        <v>0</v>
      </c>
      <c r="AO2140" s="7059"/>
      <c r="AP2140" s="7059"/>
      <c r="AQ2140" s="7063"/>
      <c r="AR2140" s="7063"/>
      <c r="AS2140" s="7063"/>
      <c r="AT2140" s="7059"/>
      <c r="AU2140" s="7059"/>
      <c r="AV2140" s="7059"/>
      <c r="AW2140" s="7059"/>
      <c r="AX2140" s="7059"/>
      <c r="AY2140" s="7059"/>
      <c r="AZ2140" s="7059"/>
      <c r="BA2140" s="7059"/>
      <c r="BB2140" s="7059"/>
      <c r="BC2140" s="7059"/>
      <c r="BD2140" s="7059"/>
      <c r="BE2140" s="7059"/>
      <c r="BF2140" s="7059"/>
      <c r="BG2140" s="7059"/>
      <c r="BH2140" s="7059"/>
      <c r="BI2140" s="7059"/>
      <c r="BJ2140" s="7059"/>
      <c r="BK2140" s="7059"/>
      <c r="BL2140" s="7059"/>
      <c r="BM2140" s="7059"/>
      <c r="BN2140" s="7059"/>
      <c r="BO2140" s="7059"/>
      <c r="BP2140" s="7059"/>
      <c r="BQ2140" s="7059"/>
      <c r="BR2140" s="7059"/>
      <c r="BS2140" s="7059"/>
      <c r="BT2140" s="7059"/>
      <c r="BU2140" s="7059"/>
      <c r="BV2140" s="7059"/>
      <c r="BW2140" s="7059"/>
      <c r="BX2140" s="7059"/>
      <c r="BY2140" s="7059"/>
      <c r="BZ2140" s="7059"/>
      <c r="CA2140" s="7059"/>
      <c r="CB2140" s="7059"/>
      <c r="CC2140" s="7053"/>
      <c r="CD2140" s="7053"/>
      <c r="CE2140" s="7065"/>
      <c r="CF2140" s="7027"/>
      <c r="CG2140" s="7027"/>
      <c r="CH2140" s="7027"/>
    </row>
    <row r="2141" s="5007" customFormat="1" ht="92" spans="1:86">
      <c r="A2141" s="6890"/>
      <c r="B2141" s="6879"/>
      <c r="C2141" s="6898"/>
      <c r="D2141" s="6880"/>
      <c r="E2141" s="6898"/>
      <c r="F2141" s="6880"/>
      <c r="G2141" s="6880"/>
      <c r="H2141" s="7033" t="s">
        <v>3682</v>
      </c>
      <c r="I2141" s="6880"/>
      <c r="J2141" s="6880"/>
      <c r="K2141" s="7037"/>
      <c r="L2141" s="7037"/>
      <c r="M2141" s="7040">
        <f>SUM(N2141:AA2144)</f>
        <v>110642.28</v>
      </c>
      <c r="N2141" s="7041"/>
      <c r="O2141" s="7041"/>
      <c r="P2141" s="7041"/>
      <c r="Q2141" s="7041"/>
      <c r="R2141" s="7041"/>
      <c r="S2141" s="7041"/>
      <c r="T2141" s="7041"/>
      <c r="U2141" s="7041"/>
      <c r="V2141" s="7041"/>
      <c r="W2141" s="7041"/>
      <c r="X2141" s="7041"/>
      <c r="Y2141" s="7041"/>
      <c r="Z2141" s="7041"/>
      <c r="AA2141" s="7040">
        <v>110642.28</v>
      </c>
      <c r="AB2141" s="7033" t="s">
        <v>126</v>
      </c>
      <c r="AC2141" s="6733">
        <v>1</v>
      </c>
      <c r="AD2141" s="7054" t="s">
        <v>3768</v>
      </c>
      <c r="AE2141" s="6827" t="s">
        <v>3769</v>
      </c>
      <c r="AF2141" s="6744">
        <f>110642.28*0.2</f>
        <v>22128.456</v>
      </c>
      <c r="AG2141" s="6744">
        <f t="shared" si="468"/>
        <v>0</v>
      </c>
      <c r="AH2141" s="6809"/>
      <c r="AI2141" s="6809"/>
      <c r="AJ2141" s="6809"/>
      <c r="AK2141" s="6809"/>
      <c r="AL2141" s="6809"/>
      <c r="AM2141" s="6809"/>
      <c r="AN2141" s="6744">
        <f t="shared" si="469"/>
        <v>0</v>
      </c>
      <c r="AO2141" s="6809"/>
      <c r="AP2141" s="6809"/>
      <c r="AQ2141" s="7064"/>
      <c r="AR2141" s="7064"/>
      <c r="AS2141" s="7064"/>
      <c r="AT2141" s="6809"/>
      <c r="AU2141" s="6809"/>
      <c r="AV2141" s="6809"/>
      <c r="AW2141" s="6809"/>
      <c r="AX2141" s="6809"/>
      <c r="AY2141" s="6809"/>
      <c r="AZ2141" s="6809"/>
      <c r="BA2141" s="6809"/>
      <c r="BB2141" s="6809"/>
      <c r="BC2141" s="6809"/>
      <c r="BD2141" s="6809"/>
      <c r="BE2141" s="6809"/>
      <c r="BF2141" s="6809"/>
      <c r="BG2141" s="6809"/>
      <c r="BH2141" s="6809"/>
      <c r="BI2141" s="6809"/>
      <c r="BJ2141" s="6809"/>
      <c r="BK2141" s="6809"/>
      <c r="BL2141" s="6809"/>
      <c r="BM2141" s="6809"/>
      <c r="BN2141" s="6809"/>
      <c r="BO2141" s="6809"/>
      <c r="BP2141" s="6809"/>
      <c r="BQ2141" s="6809"/>
      <c r="BR2141" s="6809"/>
      <c r="BS2141" s="6809"/>
      <c r="BT2141" s="6809"/>
      <c r="BU2141" s="6809"/>
      <c r="BV2141" s="6809"/>
      <c r="BW2141" s="6809"/>
      <c r="BX2141" s="6809"/>
      <c r="BY2141" s="6809"/>
      <c r="BZ2141" s="6809"/>
      <c r="CA2141" s="6809"/>
      <c r="CB2141" s="6809"/>
      <c r="CC2141" s="6744"/>
      <c r="CD2141" s="6744"/>
      <c r="CE2141" s="7065"/>
      <c r="CF2141" s="7027"/>
      <c r="CG2141" s="7027"/>
      <c r="CH2141" s="7027"/>
    </row>
    <row r="2142" s="5007" customFormat="1" ht="92" spans="1:86">
      <c r="A2142" s="6890"/>
      <c r="B2142" s="6879"/>
      <c r="C2142" s="6898"/>
      <c r="D2142" s="6880"/>
      <c r="E2142" s="6898"/>
      <c r="F2142" s="6880"/>
      <c r="G2142" s="6880"/>
      <c r="H2142" s="7033"/>
      <c r="I2142" s="6880"/>
      <c r="J2142" s="6880"/>
      <c r="K2142" s="7037"/>
      <c r="L2142" s="7037"/>
      <c r="M2142" s="7040"/>
      <c r="N2142" s="7041"/>
      <c r="O2142" s="7041"/>
      <c r="P2142" s="7041"/>
      <c r="Q2142" s="7041"/>
      <c r="R2142" s="7041"/>
      <c r="S2142" s="7041"/>
      <c r="T2142" s="7041"/>
      <c r="U2142" s="7041"/>
      <c r="V2142" s="7041"/>
      <c r="W2142" s="7041"/>
      <c r="X2142" s="7041"/>
      <c r="Y2142" s="7041"/>
      <c r="Z2142" s="7041"/>
      <c r="AA2142" s="7040"/>
      <c r="AB2142" s="7040"/>
      <c r="AC2142" s="6827">
        <v>2</v>
      </c>
      <c r="AD2142" s="7054" t="s">
        <v>3770</v>
      </c>
      <c r="AE2142" s="6827" t="s">
        <v>3771</v>
      </c>
      <c r="AF2142" s="6744">
        <f>110642.28*0.3</f>
        <v>33192.684</v>
      </c>
      <c r="AG2142" s="6744">
        <f t="shared" si="468"/>
        <v>0</v>
      </c>
      <c r="AH2142" s="6809"/>
      <c r="AI2142" s="6809"/>
      <c r="AJ2142" s="6809"/>
      <c r="AK2142" s="6809"/>
      <c r="AL2142" s="6809"/>
      <c r="AM2142" s="6809"/>
      <c r="AN2142" s="6744">
        <f t="shared" si="469"/>
        <v>0</v>
      </c>
      <c r="AO2142" s="6809"/>
      <c r="AP2142" s="6809"/>
      <c r="AQ2142" s="7064"/>
      <c r="AR2142" s="7064"/>
      <c r="AS2142" s="7064"/>
      <c r="AT2142" s="6809"/>
      <c r="AU2142" s="6809"/>
      <c r="AV2142" s="6809"/>
      <c r="AW2142" s="6809"/>
      <c r="AX2142" s="6809"/>
      <c r="AY2142" s="6809"/>
      <c r="AZ2142" s="6809"/>
      <c r="BA2142" s="6809"/>
      <c r="BB2142" s="6809"/>
      <c r="BC2142" s="6809"/>
      <c r="BD2142" s="6809"/>
      <c r="BE2142" s="6809"/>
      <c r="BF2142" s="6809"/>
      <c r="BG2142" s="6809"/>
      <c r="BH2142" s="6809"/>
      <c r="BI2142" s="6809"/>
      <c r="BJ2142" s="6809"/>
      <c r="BK2142" s="6809"/>
      <c r="BL2142" s="6809"/>
      <c r="BM2142" s="6809"/>
      <c r="BN2142" s="6809"/>
      <c r="BO2142" s="6809"/>
      <c r="BP2142" s="6809"/>
      <c r="BQ2142" s="6809"/>
      <c r="BR2142" s="6809"/>
      <c r="BS2142" s="6809"/>
      <c r="BT2142" s="6809"/>
      <c r="BU2142" s="6809"/>
      <c r="BV2142" s="6809"/>
      <c r="BW2142" s="6809"/>
      <c r="BX2142" s="6809"/>
      <c r="BY2142" s="6809"/>
      <c r="BZ2142" s="6809"/>
      <c r="CA2142" s="6809"/>
      <c r="CB2142" s="6809"/>
      <c r="CC2142" s="6744"/>
      <c r="CD2142" s="6744"/>
      <c r="CE2142" s="7065"/>
      <c r="CF2142" s="7027"/>
      <c r="CG2142" s="7027"/>
      <c r="CH2142" s="7027"/>
    </row>
    <row r="2143" s="5007" customFormat="1" ht="76" spans="1:86">
      <c r="A2143" s="6890"/>
      <c r="B2143" s="6879"/>
      <c r="C2143" s="6898"/>
      <c r="D2143" s="6880"/>
      <c r="E2143" s="6898"/>
      <c r="F2143" s="6880"/>
      <c r="G2143" s="6880"/>
      <c r="H2143" s="7033"/>
      <c r="I2143" s="6880"/>
      <c r="J2143" s="6880"/>
      <c r="K2143" s="7037"/>
      <c r="L2143" s="7037"/>
      <c r="M2143" s="7040"/>
      <c r="N2143" s="7041"/>
      <c r="O2143" s="7041"/>
      <c r="P2143" s="7041"/>
      <c r="Q2143" s="7041"/>
      <c r="R2143" s="7041"/>
      <c r="S2143" s="7041"/>
      <c r="T2143" s="7041"/>
      <c r="U2143" s="7041"/>
      <c r="V2143" s="7041"/>
      <c r="W2143" s="7041"/>
      <c r="X2143" s="7041"/>
      <c r="Y2143" s="7041"/>
      <c r="Z2143" s="7041"/>
      <c r="AA2143" s="7040"/>
      <c r="AB2143" s="7040"/>
      <c r="AC2143" s="6827">
        <v>3</v>
      </c>
      <c r="AD2143" s="7054" t="s">
        <v>3772</v>
      </c>
      <c r="AE2143" s="6827" t="s">
        <v>3773</v>
      </c>
      <c r="AF2143" s="6744">
        <f>110642.28*0.4</f>
        <v>44256.912</v>
      </c>
      <c r="AG2143" s="6744">
        <f t="shared" si="468"/>
        <v>0</v>
      </c>
      <c r="AH2143" s="6809"/>
      <c r="AI2143" s="6809"/>
      <c r="AJ2143" s="6809"/>
      <c r="AK2143" s="6809"/>
      <c r="AL2143" s="6809"/>
      <c r="AM2143" s="6809"/>
      <c r="AN2143" s="6744">
        <f t="shared" si="469"/>
        <v>0</v>
      </c>
      <c r="AO2143" s="6809"/>
      <c r="AP2143" s="6809"/>
      <c r="AQ2143" s="7064"/>
      <c r="AR2143" s="7064"/>
      <c r="AS2143" s="7064"/>
      <c r="AT2143" s="6809"/>
      <c r="AU2143" s="6809"/>
      <c r="AV2143" s="6809"/>
      <c r="AW2143" s="6809"/>
      <c r="AX2143" s="6809"/>
      <c r="AY2143" s="6809"/>
      <c r="AZ2143" s="6809"/>
      <c r="BA2143" s="6809"/>
      <c r="BB2143" s="6809"/>
      <c r="BC2143" s="6809"/>
      <c r="BD2143" s="6809"/>
      <c r="BE2143" s="6809"/>
      <c r="BF2143" s="6809"/>
      <c r="BG2143" s="6809"/>
      <c r="BH2143" s="6809"/>
      <c r="BI2143" s="6809"/>
      <c r="BJ2143" s="6809"/>
      <c r="BK2143" s="6809"/>
      <c r="BL2143" s="6809"/>
      <c r="BM2143" s="6809"/>
      <c r="BN2143" s="6809"/>
      <c r="BO2143" s="6809"/>
      <c r="BP2143" s="6809"/>
      <c r="BQ2143" s="6809"/>
      <c r="BR2143" s="6809"/>
      <c r="BS2143" s="6809"/>
      <c r="BT2143" s="6809"/>
      <c r="BU2143" s="6809"/>
      <c r="BV2143" s="6809"/>
      <c r="BW2143" s="6809"/>
      <c r="BX2143" s="6809"/>
      <c r="BY2143" s="6809"/>
      <c r="BZ2143" s="6809"/>
      <c r="CA2143" s="6809"/>
      <c r="CB2143" s="6809"/>
      <c r="CC2143" s="6744"/>
      <c r="CD2143" s="6744"/>
      <c r="CE2143" s="7065"/>
      <c r="CF2143" s="7027"/>
      <c r="CG2143" s="7027"/>
      <c r="CH2143" s="7027"/>
    </row>
    <row r="2144" s="5007" customFormat="1" ht="76" spans="1:86">
      <c r="A2144" s="6890"/>
      <c r="B2144" s="7028"/>
      <c r="C2144" s="6900"/>
      <c r="D2144" s="7029"/>
      <c r="E2144" s="6900"/>
      <c r="F2144" s="7029"/>
      <c r="G2144" s="7029"/>
      <c r="H2144" s="7034"/>
      <c r="I2144" s="6880"/>
      <c r="J2144" s="7029"/>
      <c r="K2144" s="7037"/>
      <c r="L2144" s="7037"/>
      <c r="M2144" s="7041"/>
      <c r="N2144" s="7041"/>
      <c r="O2144" s="7041"/>
      <c r="P2144" s="7041"/>
      <c r="Q2144" s="7041"/>
      <c r="R2144" s="7041"/>
      <c r="S2144" s="7041"/>
      <c r="T2144" s="7041"/>
      <c r="U2144" s="7041"/>
      <c r="V2144" s="7041"/>
      <c r="W2144" s="7041"/>
      <c r="X2144" s="7041"/>
      <c r="Y2144" s="7041"/>
      <c r="Z2144" s="7041"/>
      <c r="AA2144" s="7041"/>
      <c r="AB2144" s="7041"/>
      <c r="AC2144" s="6827">
        <v>4</v>
      </c>
      <c r="AD2144" s="7054" t="s">
        <v>3774</v>
      </c>
      <c r="AE2144" s="6827" t="s">
        <v>3775</v>
      </c>
      <c r="AF2144" s="6744">
        <f>110642.28*0.1</f>
        <v>11064.228</v>
      </c>
      <c r="AG2144" s="6744">
        <f t="shared" si="468"/>
        <v>0</v>
      </c>
      <c r="AH2144" s="6809"/>
      <c r="AI2144" s="6809"/>
      <c r="AJ2144" s="6809"/>
      <c r="AK2144" s="6809"/>
      <c r="AL2144" s="6809"/>
      <c r="AM2144" s="6809"/>
      <c r="AN2144" s="6744">
        <f t="shared" si="469"/>
        <v>0</v>
      </c>
      <c r="AO2144" s="6809"/>
      <c r="AP2144" s="6809"/>
      <c r="AQ2144" s="7064"/>
      <c r="AR2144" s="7064"/>
      <c r="AS2144" s="7064"/>
      <c r="AT2144" s="6809"/>
      <c r="AU2144" s="6809"/>
      <c r="AV2144" s="6809"/>
      <c r="AW2144" s="6809"/>
      <c r="AX2144" s="6809"/>
      <c r="AY2144" s="6809"/>
      <c r="AZ2144" s="6809"/>
      <c r="BA2144" s="6809"/>
      <c r="BB2144" s="6809"/>
      <c r="BC2144" s="6809"/>
      <c r="BD2144" s="6809"/>
      <c r="BE2144" s="6809"/>
      <c r="BF2144" s="6809"/>
      <c r="BG2144" s="6809"/>
      <c r="BH2144" s="6809"/>
      <c r="BI2144" s="6809"/>
      <c r="BJ2144" s="6809"/>
      <c r="BK2144" s="6809"/>
      <c r="BL2144" s="6809"/>
      <c r="BM2144" s="6809"/>
      <c r="BN2144" s="6809"/>
      <c r="BO2144" s="6809"/>
      <c r="BP2144" s="6809"/>
      <c r="BQ2144" s="6809"/>
      <c r="BR2144" s="6809"/>
      <c r="BS2144" s="6809"/>
      <c r="BT2144" s="6809"/>
      <c r="BU2144" s="6809"/>
      <c r="BV2144" s="6809"/>
      <c r="BW2144" s="6809"/>
      <c r="BX2144" s="6809"/>
      <c r="BY2144" s="6809"/>
      <c r="BZ2144" s="6809"/>
      <c r="CA2144" s="6809"/>
      <c r="CB2144" s="6809"/>
      <c r="CC2144" s="6744"/>
      <c r="CD2144" s="6744"/>
      <c r="CE2144" s="7065"/>
      <c r="CF2144" s="7027"/>
      <c r="CG2144" s="7027"/>
      <c r="CH2144" s="7027"/>
    </row>
    <row r="2145" s="4981" customFormat="1" ht="29.25" customHeight="1" spans="1:86">
      <c r="A2145" s="3812"/>
      <c r="B2145" s="600" t="s">
        <v>690</v>
      </c>
      <c r="C2145" s="2957">
        <v>45040</v>
      </c>
      <c r="D2145" s="440" t="s">
        <v>3776</v>
      </c>
      <c r="E2145" s="2957"/>
      <c r="F2145" s="440" t="s">
        <v>3777</v>
      </c>
      <c r="G2145" s="440" t="s">
        <v>3778</v>
      </c>
      <c r="H2145" s="600" t="s">
        <v>240</v>
      </c>
      <c r="I2145" s="905"/>
      <c r="J2145" s="440" t="s">
        <v>3779</v>
      </c>
      <c r="K2145" s="440" t="s">
        <v>3780</v>
      </c>
      <c r="L2145" s="5196"/>
      <c r="M2145" s="2957">
        <f>SUM(N2145:AA2153)</f>
        <v>2200000</v>
      </c>
      <c r="N2145" s="2957"/>
      <c r="O2145" s="2957"/>
      <c r="P2145" s="2957"/>
      <c r="Q2145" s="2957">
        <v>2200000</v>
      </c>
      <c r="R2145" s="2957"/>
      <c r="S2145" s="2957"/>
      <c r="T2145" s="2957"/>
      <c r="U2145" s="2957"/>
      <c r="V2145" s="2957"/>
      <c r="W2145" s="2957"/>
      <c r="X2145" s="2957"/>
      <c r="Y2145" s="2957"/>
      <c r="Z2145" s="2957"/>
      <c r="AA2145" s="2957"/>
      <c r="AB2145" s="2957"/>
      <c r="AC2145" s="440" t="s">
        <v>3781</v>
      </c>
      <c r="AD2145" s="5392" t="s">
        <v>3782</v>
      </c>
      <c r="AE2145" s="7055">
        <v>0.1</v>
      </c>
      <c r="AF2145" s="2957">
        <f>$M$2145*AE2145</f>
        <v>220000</v>
      </c>
      <c r="AG2145" s="2957">
        <f t="shared" ref="AG2145:AG2154" si="470">SUM(BA2145:BN2145)</f>
        <v>220000</v>
      </c>
      <c r="AH2145" s="600" t="s">
        <v>122</v>
      </c>
      <c r="AI2145" s="2957">
        <v>45068</v>
      </c>
      <c r="AJ2145" s="2957">
        <v>220000</v>
      </c>
      <c r="AK2145" s="2957">
        <v>45068</v>
      </c>
      <c r="AL2145" s="2957">
        <v>220000</v>
      </c>
      <c r="AM2145" s="2957">
        <v>45068</v>
      </c>
      <c r="AN2145" s="2957">
        <f t="shared" ref="AN2145:AN2154" si="471">SUM(BO2145:CB2145)</f>
        <v>220000</v>
      </c>
      <c r="AO2145" s="2957">
        <v>45075</v>
      </c>
      <c r="AP2145" s="2957">
        <f>AG2145-AN2145</f>
        <v>0</v>
      </c>
      <c r="AQ2145" s="6832"/>
      <c r="AR2145" s="6832"/>
      <c r="AS2145" s="6832"/>
      <c r="AT2145" s="5395"/>
      <c r="AU2145" s="5395"/>
      <c r="AV2145" s="5395"/>
      <c r="AW2145" s="5395"/>
      <c r="AX2145" s="5395"/>
      <c r="AY2145" s="5395"/>
      <c r="AZ2145" s="5395"/>
      <c r="BA2145" s="5395"/>
      <c r="BB2145" s="5395"/>
      <c r="BC2145" s="5395"/>
      <c r="BD2145" s="2957">
        <v>207460</v>
      </c>
      <c r="BE2145" s="2957"/>
      <c r="BF2145" s="2957"/>
      <c r="BG2145" s="2957"/>
      <c r="BH2145" s="2957">
        <v>10340</v>
      </c>
      <c r="BI2145" s="5395"/>
      <c r="BJ2145" s="5395"/>
      <c r="BK2145" s="5395"/>
      <c r="BL2145" s="5395"/>
      <c r="BM2145" s="5395"/>
      <c r="BN2145" s="2957">
        <v>2200</v>
      </c>
      <c r="BO2145" s="5395"/>
      <c r="BP2145" s="5395"/>
      <c r="BQ2145" s="5395"/>
      <c r="BR2145" s="2957">
        <v>207460</v>
      </c>
      <c r="BS2145" s="2957"/>
      <c r="BT2145" s="2957"/>
      <c r="BU2145" s="2957"/>
      <c r="BV2145" s="2957">
        <v>10340</v>
      </c>
      <c r="BW2145" s="2957"/>
      <c r="BX2145" s="5395"/>
      <c r="BY2145" s="5395"/>
      <c r="BZ2145" s="5395"/>
      <c r="CA2145" s="5395"/>
      <c r="CB2145" s="2957">
        <v>2200</v>
      </c>
      <c r="CC2145" s="2957"/>
      <c r="CD2145" s="2957"/>
      <c r="CE2145" s="5920"/>
      <c r="CF2145" s="5920"/>
      <c r="CG2145" s="5920"/>
      <c r="CH2145" s="5920"/>
    </row>
    <row r="2146" s="4981" customFormat="1" ht="29.25" customHeight="1" spans="1:86">
      <c r="A2146" s="3812"/>
      <c r="B2146" s="2957"/>
      <c r="C2146" s="2957"/>
      <c r="D2146" s="5196"/>
      <c r="E2146" s="2957"/>
      <c r="F2146" s="5196"/>
      <c r="G2146" s="5196"/>
      <c r="H2146" s="2957"/>
      <c r="I2146" s="906"/>
      <c r="J2146" s="5196"/>
      <c r="K2146" s="5196"/>
      <c r="L2146" s="5196"/>
      <c r="M2146" s="2957"/>
      <c r="N2146" s="2957"/>
      <c r="O2146" s="2957"/>
      <c r="P2146" s="2957"/>
      <c r="Q2146" s="2957"/>
      <c r="R2146" s="2957"/>
      <c r="S2146" s="2957"/>
      <c r="T2146" s="2957"/>
      <c r="U2146" s="2957"/>
      <c r="V2146" s="2957"/>
      <c r="W2146" s="2957"/>
      <c r="X2146" s="2957"/>
      <c r="Y2146" s="2957"/>
      <c r="Z2146" s="2957"/>
      <c r="AA2146" s="2957"/>
      <c r="AB2146" s="2957"/>
      <c r="AC2146" s="440" t="s">
        <v>3783</v>
      </c>
      <c r="AD2146" s="5392" t="s">
        <v>3784</v>
      </c>
      <c r="AE2146" s="7055">
        <v>0.2</v>
      </c>
      <c r="AF2146" s="2957">
        <f>$M$2145*AE2146</f>
        <v>440000</v>
      </c>
      <c r="AG2146" s="2957">
        <f t="shared" si="470"/>
        <v>440000</v>
      </c>
      <c r="AH2146" s="600" t="s">
        <v>122</v>
      </c>
      <c r="AI2146" s="2957">
        <v>45084</v>
      </c>
      <c r="AJ2146" s="2957">
        <v>440000</v>
      </c>
      <c r="AK2146" s="2957">
        <v>45084</v>
      </c>
      <c r="AL2146" s="2957">
        <v>440000</v>
      </c>
      <c r="AM2146" s="2957">
        <v>45085</v>
      </c>
      <c r="AN2146" s="2957">
        <f t="shared" si="471"/>
        <v>440000</v>
      </c>
      <c r="AO2146" s="2957">
        <v>45128</v>
      </c>
      <c r="AP2146" s="2957">
        <f>AG2146-AN2146</f>
        <v>0</v>
      </c>
      <c r="AQ2146" s="6832"/>
      <c r="AR2146" s="6832"/>
      <c r="AS2146" s="6832"/>
      <c r="AT2146" s="5395"/>
      <c r="AU2146" s="5395"/>
      <c r="AV2146" s="5395"/>
      <c r="AW2146" s="5395"/>
      <c r="AX2146" s="5395"/>
      <c r="AY2146" s="5395"/>
      <c r="AZ2146" s="5395"/>
      <c r="BA2146" s="5395"/>
      <c r="BB2146" s="5395"/>
      <c r="BC2146" s="5395"/>
      <c r="BD2146" s="2957">
        <v>414920</v>
      </c>
      <c r="BE2146" s="2957"/>
      <c r="BF2146" s="2957"/>
      <c r="BG2146" s="2957"/>
      <c r="BH2146" s="2957">
        <v>20680</v>
      </c>
      <c r="BI2146" s="2957"/>
      <c r="BJ2146" s="2957"/>
      <c r="BK2146" s="2957"/>
      <c r="BL2146" s="2957"/>
      <c r="BM2146" s="2957"/>
      <c r="BN2146" s="2957">
        <v>4400</v>
      </c>
      <c r="BO2146" s="5395"/>
      <c r="BP2146" s="5395"/>
      <c r="BQ2146" s="5395"/>
      <c r="BR2146" s="2957">
        <v>414920</v>
      </c>
      <c r="BS2146" s="2957"/>
      <c r="BT2146" s="2957"/>
      <c r="BU2146" s="2957"/>
      <c r="BV2146" s="2957">
        <v>20680</v>
      </c>
      <c r="BW2146" s="2957"/>
      <c r="BX2146" s="2957"/>
      <c r="BY2146" s="2957"/>
      <c r="BZ2146" s="2957"/>
      <c r="CA2146" s="2957"/>
      <c r="CB2146" s="2957">
        <v>4400</v>
      </c>
      <c r="CC2146" s="2957"/>
      <c r="CD2146" s="2957"/>
      <c r="CE2146" s="5920"/>
      <c r="CF2146" s="5920"/>
      <c r="CG2146" s="5920"/>
      <c r="CH2146" s="5920"/>
    </row>
    <row r="2147" s="4981" customFormat="1" ht="29.25" customHeight="1" spans="1:86">
      <c r="A2147" s="3812"/>
      <c r="B2147" s="2957"/>
      <c r="C2147" s="2957"/>
      <c r="D2147" s="5196"/>
      <c r="E2147" s="2957"/>
      <c r="F2147" s="5196"/>
      <c r="G2147" s="5196"/>
      <c r="H2147" s="2957"/>
      <c r="I2147" s="906"/>
      <c r="J2147" s="5196"/>
      <c r="K2147" s="5196"/>
      <c r="L2147" s="5196"/>
      <c r="M2147" s="2957"/>
      <c r="N2147" s="2957"/>
      <c r="O2147" s="2957"/>
      <c r="P2147" s="2957"/>
      <c r="Q2147" s="2957"/>
      <c r="R2147" s="2957"/>
      <c r="S2147" s="2957"/>
      <c r="T2147" s="2957"/>
      <c r="U2147" s="2957"/>
      <c r="V2147" s="2957"/>
      <c r="W2147" s="2957"/>
      <c r="X2147" s="2957"/>
      <c r="Y2147" s="2957"/>
      <c r="Z2147" s="2957"/>
      <c r="AA2147" s="2957"/>
      <c r="AB2147" s="2957"/>
      <c r="AC2147" s="440" t="s">
        <v>3785</v>
      </c>
      <c r="AD2147" s="6861" t="s">
        <v>3784</v>
      </c>
      <c r="AE2147" s="7055">
        <v>0.15</v>
      </c>
      <c r="AF2147" s="2957">
        <f>$M$2145*AE2147</f>
        <v>330000</v>
      </c>
      <c r="AG2147" s="2957">
        <f t="shared" si="470"/>
        <v>330000</v>
      </c>
      <c r="AH2147" s="600" t="s">
        <v>122</v>
      </c>
      <c r="AI2147" s="2957">
        <v>45211</v>
      </c>
      <c r="AJ2147" s="2957">
        <v>330000</v>
      </c>
      <c r="AK2147" s="2957">
        <v>45211</v>
      </c>
      <c r="AL2147" s="2957">
        <v>330000</v>
      </c>
      <c r="AM2147" s="2957">
        <v>45211</v>
      </c>
      <c r="AN2147" s="2957">
        <f t="shared" si="471"/>
        <v>330000</v>
      </c>
      <c r="AO2147" s="2957">
        <v>45225</v>
      </c>
      <c r="AP2147" s="2957">
        <f>AG2147-AN2147</f>
        <v>0</v>
      </c>
      <c r="AQ2147" s="6832"/>
      <c r="AR2147" s="6832"/>
      <c r="AS2147" s="6832"/>
      <c r="AT2147" s="5395"/>
      <c r="AU2147" s="5395"/>
      <c r="AV2147" s="5395"/>
      <c r="AW2147" s="5395"/>
      <c r="AX2147" s="5395"/>
      <c r="AY2147" s="5395"/>
      <c r="AZ2147" s="5395"/>
      <c r="BA2147" s="5395"/>
      <c r="BB2147" s="5395"/>
      <c r="BC2147" s="5395"/>
      <c r="BD2147" s="2957">
        <v>311190</v>
      </c>
      <c r="BE2147" s="2957"/>
      <c r="BF2147" s="2957"/>
      <c r="BG2147" s="2957"/>
      <c r="BH2147" s="2957">
        <v>15510</v>
      </c>
      <c r="BI2147" s="2957"/>
      <c r="BJ2147" s="2957"/>
      <c r="BK2147" s="2957"/>
      <c r="BL2147" s="2957"/>
      <c r="BM2147" s="2957"/>
      <c r="BN2147" s="2957">
        <v>3300</v>
      </c>
      <c r="BO2147" s="2957"/>
      <c r="BP2147" s="2957"/>
      <c r="BQ2147" s="2957"/>
      <c r="BR2147" s="2957">
        <v>311190</v>
      </c>
      <c r="BS2147" s="2957"/>
      <c r="BT2147" s="2957"/>
      <c r="BU2147" s="2957"/>
      <c r="BV2147" s="2957">
        <v>15510</v>
      </c>
      <c r="BW2147" s="5395"/>
      <c r="BX2147" s="5395"/>
      <c r="BY2147" s="5395"/>
      <c r="BZ2147" s="5395"/>
      <c r="CA2147" s="5395"/>
      <c r="CB2147" s="2957">
        <v>3300</v>
      </c>
      <c r="CC2147" s="2957"/>
      <c r="CD2147" s="2957"/>
      <c r="CE2147" s="5920"/>
      <c r="CF2147" s="5920"/>
      <c r="CG2147" s="5920"/>
      <c r="CH2147" s="5920"/>
    </row>
    <row r="2148" s="4981" customFormat="1" ht="29.25" customHeight="1" spans="1:86">
      <c r="A2148" s="3812"/>
      <c r="B2148" s="2957"/>
      <c r="C2148" s="2957"/>
      <c r="D2148" s="5196"/>
      <c r="E2148" s="2957"/>
      <c r="F2148" s="5196"/>
      <c r="G2148" s="5196"/>
      <c r="H2148" s="2957"/>
      <c r="I2148" s="906"/>
      <c r="J2148" s="5196"/>
      <c r="K2148" s="5196"/>
      <c r="L2148" s="5196"/>
      <c r="M2148" s="2957"/>
      <c r="N2148" s="2957"/>
      <c r="O2148" s="2957"/>
      <c r="P2148" s="2957"/>
      <c r="Q2148" s="2957"/>
      <c r="R2148" s="2957"/>
      <c r="S2148" s="2957"/>
      <c r="T2148" s="2957"/>
      <c r="U2148" s="2957"/>
      <c r="V2148" s="2957"/>
      <c r="W2148" s="2957"/>
      <c r="X2148" s="2957"/>
      <c r="Y2148" s="2957"/>
      <c r="Z2148" s="2957"/>
      <c r="AA2148" s="2957"/>
      <c r="AB2148" s="2957"/>
      <c r="AC2148" s="440" t="s">
        <v>3786</v>
      </c>
      <c r="AD2148" s="2096" t="s">
        <v>3787</v>
      </c>
      <c r="AE2148" s="7056">
        <v>0.15</v>
      </c>
      <c r="AF2148" s="2957">
        <f>$M$2145*AE2148</f>
        <v>330000</v>
      </c>
      <c r="AG2148" s="2957">
        <f t="shared" si="470"/>
        <v>330000</v>
      </c>
      <c r="AH2148" s="600" t="s">
        <v>122</v>
      </c>
      <c r="AI2148" s="2957">
        <v>45211</v>
      </c>
      <c r="AJ2148" s="2957">
        <v>330000</v>
      </c>
      <c r="AK2148" s="2957">
        <v>45211</v>
      </c>
      <c r="AL2148" s="2957">
        <v>330000</v>
      </c>
      <c r="AM2148" s="2957">
        <v>45211</v>
      </c>
      <c r="AN2148" s="2957">
        <f t="shared" si="471"/>
        <v>330000</v>
      </c>
      <c r="AO2148" s="2957">
        <v>45225</v>
      </c>
      <c r="AP2148" s="2957">
        <f>AG2148-AN2148</f>
        <v>0</v>
      </c>
      <c r="AQ2148" s="6832"/>
      <c r="AR2148" s="6832"/>
      <c r="AS2148" s="6832"/>
      <c r="AT2148" s="5395"/>
      <c r="AU2148" s="5395"/>
      <c r="AV2148" s="5395"/>
      <c r="AW2148" s="5395"/>
      <c r="AX2148" s="5395"/>
      <c r="AY2148" s="5395"/>
      <c r="AZ2148" s="5395"/>
      <c r="BA2148" s="5395"/>
      <c r="BB2148" s="5395"/>
      <c r="BC2148" s="5395"/>
      <c r="BD2148" s="2957">
        <v>311190</v>
      </c>
      <c r="BE2148" s="2957"/>
      <c r="BF2148" s="2957"/>
      <c r="BG2148" s="2957"/>
      <c r="BH2148" s="2957">
        <v>15510</v>
      </c>
      <c r="BI2148" s="2957"/>
      <c r="BJ2148" s="2957"/>
      <c r="BK2148" s="2957"/>
      <c r="BL2148" s="2957"/>
      <c r="BM2148" s="2957"/>
      <c r="BN2148" s="2957">
        <v>3300</v>
      </c>
      <c r="BO2148" s="2957"/>
      <c r="BP2148" s="2957"/>
      <c r="BQ2148" s="2957"/>
      <c r="BR2148" s="2957">
        <v>311190</v>
      </c>
      <c r="BS2148" s="2957"/>
      <c r="BT2148" s="2957"/>
      <c r="BU2148" s="2957"/>
      <c r="BV2148" s="2957">
        <v>15510</v>
      </c>
      <c r="BW2148" s="5395"/>
      <c r="BX2148" s="5395"/>
      <c r="BY2148" s="5395"/>
      <c r="BZ2148" s="5395"/>
      <c r="CA2148" s="5395"/>
      <c r="CB2148" s="2957">
        <v>3300</v>
      </c>
      <c r="CC2148" s="2957"/>
      <c r="CD2148" s="2957"/>
      <c r="CE2148" s="5920"/>
      <c r="CF2148" s="5920"/>
      <c r="CG2148" s="5920"/>
      <c r="CH2148" s="5920"/>
    </row>
    <row r="2149" s="4981" customFormat="1" spans="1:86">
      <c r="A2149" s="3812"/>
      <c r="B2149" s="2957"/>
      <c r="C2149" s="2957"/>
      <c r="D2149" s="5196"/>
      <c r="E2149" s="2957"/>
      <c r="F2149" s="5196"/>
      <c r="G2149" s="5196"/>
      <c r="H2149" s="2957"/>
      <c r="I2149" s="906"/>
      <c r="J2149" s="5196"/>
      <c r="K2149" s="5196"/>
      <c r="L2149" s="5196"/>
      <c r="M2149" s="2957"/>
      <c r="N2149" s="2957"/>
      <c r="O2149" s="2957"/>
      <c r="P2149" s="2957"/>
      <c r="Q2149" s="2957"/>
      <c r="R2149" s="2957"/>
      <c r="S2149" s="2957"/>
      <c r="T2149" s="2957"/>
      <c r="U2149" s="2957"/>
      <c r="V2149" s="2957"/>
      <c r="W2149" s="2957"/>
      <c r="X2149" s="2957"/>
      <c r="Y2149" s="2957"/>
      <c r="Z2149" s="2957"/>
      <c r="AA2149" s="2957"/>
      <c r="AB2149" s="2957"/>
      <c r="AC2149" s="440"/>
      <c r="AD2149" s="2098"/>
      <c r="AE2149" s="7056">
        <v>0.05</v>
      </c>
      <c r="AF2149" s="2957">
        <f>M2145*AE2149</f>
        <v>110000</v>
      </c>
      <c r="AG2149" s="5395">
        <f t="shared" si="470"/>
        <v>110000</v>
      </c>
      <c r="AH2149" s="5395"/>
      <c r="AI2149" s="5395"/>
      <c r="AJ2149" s="5395"/>
      <c r="AK2149" s="5395"/>
      <c r="AL2149" s="5395"/>
      <c r="AM2149" s="5395"/>
      <c r="AN2149" s="5395">
        <f t="shared" si="471"/>
        <v>110000</v>
      </c>
      <c r="AO2149" s="5395"/>
      <c r="AP2149" s="2957"/>
      <c r="AQ2149" s="6832"/>
      <c r="AR2149" s="6832"/>
      <c r="AS2149" s="6832"/>
      <c r="AT2149" s="5395"/>
      <c r="AU2149" s="5395"/>
      <c r="AV2149" s="5395"/>
      <c r="AW2149" s="5395"/>
      <c r="AX2149" s="5395"/>
      <c r="AY2149" s="5395"/>
      <c r="AZ2149" s="5395"/>
      <c r="BA2149" s="5395"/>
      <c r="BB2149" s="5395"/>
      <c r="BC2149" s="5395"/>
      <c r="BD2149" s="5395">
        <v>103730</v>
      </c>
      <c r="BE2149" s="5395"/>
      <c r="BF2149" s="5395"/>
      <c r="BG2149" s="5395"/>
      <c r="BH2149" s="5395">
        <v>5170</v>
      </c>
      <c r="BI2149" s="5395"/>
      <c r="BJ2149" s="5395"/>
      <c r="BK2149" s="5395"/>
      <c r="BL2149" s="5395"/>
      <c r="BM2149" s="5395"/>
      <c r="BN2149" s="5395">
        <v>1100</v>
      </c>
      <c r="BO2149" s="5395"/>
      <c r="BP2149" s="5395"/>
      <c r="BQ2149" s="5395"/>
      <c r="BR2149" s="5395">
        <v>103730</v>
      </c>
      <c r="BS2149" s="5395"/>
      <c r="BT2149" s="5395"/>
      <c r="BU2149" s="5395"/>
      <c r="BV2149" s="5395">
        <v>5170</v>
      </c>
      <c r="BW2149" s="5395"/>
      <c r="BX2149" s="5395"/>
      <c r="BY2149" s="5395"/>
      <c r="BZ2149" s="5395"/>
      <c r="CA2149" s="5395"/>
      <c r="CB2149" s="5395">
        <v>1100</v>
      </c>
      <c r="CC2149" s="2957"/>
      <c r="CD2149" s="2957"/>
      <c r="CE2149" s="5920"/>
      <c r="CF2149" s="5920"/>
      <c r="CG2149" s="5920"/>
      <c r="CH2149" s="5920"/>
    </row>
    <row r="2150" s="4981" customFormat="1" ht="30.75" customHeight="1" spans="1:86">
      <c r="A2150" s="3812"/>
      <c r="B2150" s="2957"/>
      <c r="C2150" s="2957"/>
      <c r="D2150" s="5196"/>
      <c r="E2150" s="2957"/>
      <c r="F2150" s="5196"/>
      <c r="G2150" s="5196"/>
      <c r="H2150" s="2957"/>
      <c r="I2150" s="906"/>
      <c r="J2150" s="5196"/>
      <c r="K2150" s="5196"/>
      <c r="L2150" s="5196"/>
      <c r="M2150" s="2957"/>
      <c r="N2150" s="2957"/>
      <c r="O2150" s="2957"/>
      <c r="P2150" s="2957"/>
      <c r="Q2150" s="2957"/>
      <c r="R2150" s="2957"/>
      <c r="S2150" s="2957"/>
      <c r="T2150" s="2957"/>
      <c r="U2150" s="2957"/>
      <c r="V2150" s="2957"/>
      <c r="W2150" s="2957"/>
      <c r="X2150" s="2957"/>
      <c r="Y2150" s="2957"/>
      <c r="Z2150" s="2957"/>
      <c r="AA2150" s="2957"/>
      <c r="AB2150" s="2957"/>
      <c r="AC2150" s="440"/>
      <c r="AD2150" s="6861" t="s">
        <v>3788</v>
      </c>
      <c r="AE2150" s="7056">
        <v>0.1</v>
      </c>
      <c r="AF2150" s="2957">
        <f>$M$2145*AE2150</f>
        <v>220000</v>
      </c>
      <c r="AG2150" s="5395">
        <f t="shared" si="470"/>
        <v>0</v>
      </c>
      <c r="AH2150" s="5395"/>
      <c r="AI2150" s="5395"/>
      <c r="AJ2150" s="5395"/>
      <c r="AK2150" s="5395"/>
      <c r="AL2150" s="5395"/>
      <c r="AM2150" s="5395"/>
      <c r="AN2150" s="5395">
        <f t="shared" si="471"/>
        <v>0</v>
      </c>
      <c r="AO2150" s="5395"/>
      <c r="AP2150" s="2957">
        <f>AG2150-AN2150</f>
        <v>0</v>
      </c>
      <c r="AQ2150" s="6832"/>
      <c r="AR2150" s="6832"/>
      <c r="AS2150" s="6832"/>
      <c r="AT2150" s="5395"/>
      <c r="AU2150" s="5395"/>
      <c r="AV2150" s="5395"/>
      <c r="AW2150" s="5395"/>
      <c r="AX2150" s="5395"/>
      <c r="AY2150" s="5395"/>
      <c r="AZ2150" s="5395"/>
      <c r="BA2150" s="5395"/>
      <c r="BB2150" s="5395"/>
      <c r="BC2150" s="5395"/>
      <c r="BD2150" s="5395"/>
      <c r="BE2150" s="5395"/>
      <c r="BF2150" s="5395"/>
      <c r="BG2150" s="5395"/>
      <c r="BH2150" s="5395"/>
      <c r="BI2150" s="5395"/>
      <c r="BJ2150" s="5395"/>
      <c r="BK2150" s="5395"/>
      <c r="BL2150" s="5395"/>
      <c r="BM2150" s="5395"/>
      <c r="BN2150" s="5395"/>
      <c r="BO2150" s="5395"/>
      <c r="BP2150" s="5395"/>
      <c r="BQ2150" s="5395"/>
      <c r="BR2150" s="5395"/>
      <c r="BS2150" s="5395"/>
      <c r="BT2150" s="5395"/>
      <c r="BU2150" s="5395"/>
      <c r="BV2150" s="5395"/>
      <c r="BW2150" s="5395"/>
      <c r="BX2150" s="5395"/>
      <c r="BY2150" s="5395"/>
      <c r="BZ2150" s="5395"/>
      <c r="CA2150" s="5395"/>
      <c r="CB2150" s="5395"/>
      <c r="CC2150" s="2957"/>
      <c r="CD2150" s="2957"/>
      <c r="CE2150" s="5920"/>
      <c r="CF2150" s="5920"/>
      <c r="CG2150" s="5920"/>
      <c r="CH2150" s="5920"/>
    </row>
    <row r="2151" s="4981" customFormat="1" ht="92" spans="1:86">
      <c r="A2151" s="3812"/>
      <c r="B2151" s="2957"/>
      <c r="C2151" s="2957"/>
      <c r="D2151" s="5196"/>
      <c r="E2151" s="2957"/>
      <c r="F2151" s="5196"/>
      <c r="G2151" s="5196"/>
      <c r="H2151" s="2957"/>
      <c r="I2151" s="906"/>
      <c r="J2151" s="5196"/>
      <c r="K2151" s="5196"/>
      <c r="L2151" s="5196"/>
      <c r="M2151" s="2957"/>
      <c r="N2151" s="2957"/>
      <c r="O2151" s="2957"/>
      <c r="P2151" s="2957"/>
      <c r="Q2151" s="2957"/>
      <c r="R2151" s="2957"/>
      <c r="S2151" s="2957"/>
      <c r="T2151" s="2957"/>
      <c r="U2151" s="2957"/>
      <c r="V2151" s="2957"/>
      <c r="W2151" s="2957"/>
      <c r="X2151" s="2957"/>
      <c r="Y2151" s="2957"/>
      <c r="Z2151" s="2957"/>
      <c r="AA2151" s="2957"/>
      <c r="AB2151" s="2957"/>
      <c r="AC2151" s="440" t="s">
        <v>3789</v>
      </c>
      <c r="AD2151" s="6861" t="s">
        <v>3790</v>
      </c>
      <c r="AE2151" s="7056">
        <v>0.1</v>
      </c>
      <c r="AF2151" s="2957">
        <f>$M$2145*AE2151</f>
        <v>220000</v>
      </c>
      <c r="AG2151" s="5395">
        <f t="shared" si="470"/>
        <v>0</v>
      </c>
      <c r="AH2151" s="5395"/>
      <c r="AI2151" s="5395"/>
      <c r="AJ2151" s="5395"/>
      <c r="AK2151" s="5395"/>
      <c r="AL2151" s="5395"/>
      <c r="AM2151" s="5395"/>
      <c r="AN2151" s="5395">
        <f t="shared" si="471"/>
        <v>0</v>
      </c>
      <c r="AO2151" s="5395"/>
      <c r="AP2151" s="2957">
        <f>AG2151-AN2151</f>
        <v>0</v>
      </c>
      <c r="AQ2151" s="6832"/>
      <c r="AR2151" s="6832"/>
      <c r="AS2151" s="6832"/>
      <c r="AT2151" s="5395"/>
      <c r="AU2151" s="5395"/>
      <c r="AV2151" s="5395"/>
      <c r="AW2151" s="5395"/>
      <c r="AX2151" s="5395"/>
      <c r="AY2151" s="5395"/>
      <c r="AZ2151" s="5395"/>
      <c r="BA2151" s="5395"/>
      <c r="BB2151" s="5395"/>
      <c r="BC2151" s="5395"/>
      <c r="BD2151" s="5395"/>
      <c r="BE2151" s="5395"/>
      <c r="BF2151" s="5395"/>
      <c r="BG2151" s="5395"/>
      <c r="BH2151" s="5395"/>
      <c r="BI2151" s="5395"/>
      <c r="BJ2151" s="5395"/>
      <c r="BK2151" s="5395"/>
      <c r="BL2151" s="5395"/>
      <c r="BM2151" s="5395"/>
      <c r="BN2151" s="5395"/>
      <c r="BO2151" s="5395"/>
      <c r="BP2151" s="5395"/>
      <c r="BQ2151" s="5395"/>
      <c r="BR2151" s="5395"/>
      <c r="BS2151" s="5395"/>
      <c r="BT2151" s="5395"/>
      <c r="BU2151" s="5395"/>
      <c r="BV2151" s="5395"/>
      <c r="BW2151" s="5395"/>
      <c r="BX2151" s="5395"/>
      <c r="BY2151" s="5395"/>
      <c r="BZ2151" s="5395"/>
      <c r="CA2151" s="5395"/>
      <c r="CB2151" s="5395"/>
      <c r="CC2151" s="2957"/>
      <c r="CD2151" s="2957"/>
      <c r="CE2151" s="5920"/>
      <c r="CF2151" s="5920"/>
      <c r="CG2151" s="5920"/>
      <c r="CH2151" s="5920"/>
    </row>
    <row r="2152" s="4981" customFormat="1" ht="76" spans="1:86">
      <c r="A2152" s="3812"/>
      <c r="B2152" s="2957"/>
      <c r="C2152" s="2957"/>
      <c r="D2152" s="5196"/>
      <c r="E2152" s="2957"/>
      <c r="F2152" s="5196"/>
      <c r="G2152" s="5196"/>
      <c r="H2152" s="2957"/>
      <c r="I2152" s="906"/>
      <c r="J2152" s="5196"/>
      <c r="K2152" s="5196"/>
      <c r="L2152" s="5196"/>
      <c r="M2152" s="2957"/>
      <c r="N2152" s="2957"/>
      <c r="O2152" s="2957"/>
      <c r="P2152" s="2957"/>
      <c r="Q2152" s="2957"/>
      <c r="R2152" s="2957"/>
      <c r="S2152" s="2957"/>
      <c r="T2152" s="2957"/>
      <c r="U2152" s="2957"/>
      <c r="V2152" s="2957"/>
      <c r="W2152" s="2957"/>
      <c r="X2152" s="2957"/>
      <c r="Y2152" s="2957"/>
      <c r="Z2152" s="2957"/>
      <c r="AA2152" s="2957"/>
      <c r="AB2152" s="2957"/>
      <c r="AC2152" s="440"/>
      <c r="AD2152" s="6861" t="s">
        <v>3791</v>
      </c>
      <c r="AE2152" s="7056">
        <v>0.1</v>
      </c>
      <c r="AF2152" s="2957">
        <f>$M$2145*AE2152</f>
        <v>220000</v>
      </c>
      <c r="AG2152" s="5395">
        <f t="shared" si="470"/>
        <v>0</v>
      </c>
      <c r="AH2152" s="5395"/>
      <c r="AI2152" s="5395"/>
      <c r="AJ2152" s="5395"/>
      <c r="AK2152" s="5395"/>
      <c r="AL2152" s="5395"/>
      <c r="AM2152" s="5395"/>
      <c r="AN2152" s="5395">
        <f t="shared" si="471"/>
        <v>0</v>
      </c>
      <c r="AO2152" s="5395"/>
      <c r="AP2152" s="2957">
        <f>AG2152-AN2152</f>
        <v>0</v>
      </c>
      <c r="AQ2152" s="6832"/>
      <c r="AR2152" s="6832"/>
      <c r="AS2152" s="6832"/>
      <c r="AT2152" s="5395"/>
      <c r="AU2152" s="5395"/>
      <c r="AV2152" s="5395"/>
      <c r="AW2152" s="5395"/>
      <c r="AX2152" s="5395"/>
      <c r="AY2152" s="5395"/>
      <c r="AZ2152" s="5395"/>
      <c r="BA2152" s="5395"/>
      <c r="BB2152" s="5395"/>
      <c r="BC2152" s="5395"/>
      <c r="BD2152" s="5395"/>
      <c r="BE2152" s="5395"/>
      <c r="BF2152" s="5395"/>
      <c r="BG2152" s="5395"/>
      <c r="BH2152" s="5395"/>
      <c r="BI2152" s="5395"/>
      <c r="BJ2152" s="5395"/>
      <c r="BK2152" s="5395"/>
      <c r="BL2152" s="5395"/>
      <c r="BM2152" s="5395"/>
      <c r="BN2152" s="5395"/>
      <c r="BO2152" s="5395"/>
      <c r="BP2152" s="5395"/>
      <c r="BQ2152" s="5395"/>
      <c r="BR2152" s="5395"/>
      <c r="BS2152" s="5395"/>
      <c r="BT2152" s="5395"/>
      <c r="BU2152" s="5395"/>
      <c r="BV2152" s="5395"/>
      <c r="BW2152" s="5395"/>
      <c r="BX2152" s="5395"/>
      <c r="BY2152" s="5395"/>
      <c r="BZ2152" s="5395"/>
      <c r="CA2152" s="5395"/>
      <c r="CB2152" s="5395"/>
      <c r="CC2152" s="2957"/>
      <c r="CD2152" s="2957"/>
      <c r="CE2152" s="5920"/>
      <c r="CF2152" s="5920"/>
      <c r="CG2152" s="5920"/>
      <c r="CH2152" s="5920"/>
    </row>
    <row r="2153" s="4981" customFormat="1" ht="30" customHeight="1" spans="1:86">
      <c r="A2153" s="3812"/>
      <c r="B2153" s="2957"/>
      <c r="C2153" s="2957"/>
      <c r="D2153" s="5196"/>
      <c r="E2153" s="2957"/>
      <c r="F2153" s="5196"/>
      <c r="G2153" s="5196"/>
      <c r="H2153" s="2957"/>
      <c r="I2153" s="907"/>
      <c r="J2153" s="5196"/>
      <c r="K2153" s="5196"/>
      <c r="L2153" s="5196"/>
      <c r="M2153" s="2957"/>
      <c r="N2153" s="2957"/>
      <c r="O2153" s="2957"/>
      <c r="P2153" s="2957"/>
      <c r="Q2153" s="2957"/>
      <c r="R2153" s="2957"/>
      <c r="S2153" s="2957"/>
      <c r="T2153" s="2957"/>
      <c r="U2153" s="2957"/>
      <c r="V2153" s="2957"/>
      <c r="W2153" s="2957"/>
      <c r="X2153" s="2957"/>
      <c r="Y2153" s="2957"/>
      <c r="Z2153" s="2957"/>
      <c r="AA2153" s="2957"/>
      <c r="AB2153" s="2957"/>
      <c r="AC2153" s="440"/>
      <c r="AD2153" s="6861" t="s">
        <v>3792</v>
      </c>
      <c r="AE2153" s="7055">
        <v>0.05</v>
      </c>
      <c r="AF2153" s="2957">
        <f>$M$2145*AE2153</f>
        <v>110000</v>
      </c>
      <c r="AG2153" s="5395">
        <f t="shared" si="470"/>
        <v>0</v>
      </c>
      <c r="AH2153" s="5395"/>
      <c r="AI2153" s="5395"/>
      <c r="AJ2153" s="5395"/>
      <c r="AK2153" s="5395"/>
      <c r="AL2153" s="5395"/>
      <c r="AM2153" s="5395"/>
      <c r="AN2153" s="5395">
        <f t="shared" si="471"/>
        <v>0</v>
      </c>
      <c r="AO2153" s="5395"/>
      <c r="AP2153" s="2957">
        <f>AG2153-AN2153</f>
        <v>0</v>
      </c>
      <c r="AQ2153" s="6832"/>
      <c r="AR2153" s="6832"/>
      <c r="AS2153" s="6832"/>
      <c r="AT2153" s="5395"/>
      <c r="AU2153" s="5395"/>
      <c r="AV2153" s="5395"/>
      <c r="AW2153" s="5395"/>
      <c r="AX2153" s="5395"/>
      <c r="AY2153" s="5395"/>
      <c r="AZ2153" s="5395"/>
      <c r="BA2153" s="5395"/>
      <c r="BB2153" s="5395"/>
      <c r="BC2153" s="5395"/>
      <c r="BD2153" s="5395"/>
      <c r="BE2153" s="5395"/>
      <c r="BF2153" s="5395"/>
      <c r="BG2153" s="5395"/>
      <c r="BH2153" s="5395"/>
      <c r="BI2153" s="5395"/>
      <c r="BJ2153" s="5395"/>
      <c r="BK2153" s="5395"/>
      <c r="BL2153" s="5395"/>
      <c r="BM2153" s="5395"/>
      <c r="BN2153" s="5395"/>
      <c r="BO2153" s="5395"/>
      <c r="BP2153" s="5395"/>
      <c r="BQ2153" s="5395"/>
      <c r="BR2153" s="5395"/>
      <c r="BS2153" s="5395"/>
      <c r="BT2153" s="5395"/>
      <c r="BU2153" s="5395"/>
      <c r="BV2153" s="5395"/>
      <c r="BW2153" s="5395"/>
      <c r="BX2153" s="5395"/>
      <c r="BY2153" s="5395"/>
      <c r="BZ2153" s="5395"/>
      <c r="CA2153" s="5395"/>
      <c r="CB2153" s="5395"/>
      <c r="CC2153" s="2957"/>
      <c r="CD2153" s="2957"/>
      <c r="CE2153" s="5920"/>
      <c r="CF2153" s="5920"/>
      <c r="CG2153" s="5920"/>
      <c r="CH2153" s="5920"/>
    </row>
    <row r="2154" s="5008" customFormat="1" ht="20.85" customHeight="1" spans="1:86">
      <c r="A2154" s="3057"/>
      <c r="B2154" s="3057" t="s">
        <v>3079</v>
      </c>
      <c r="C2154" s="3057">
        <v>44449</v>
      </c>
      <c r="D2154" s="1125" t="s">
        <v>3793</v>
      </c>
      <c r="E2154" s="1032" t="s">
        <v>3794</v>
      </c>
      <c r="F2154" s="1125" t="s">
        <v>3795</v>
      </c>
      <c r="G2154" s="5056" t="s">
        <v>3796</v>
      </c>
      <c r="H2154" s="3057" t="s">
        <v>1102</v>
      </c>
      <c r="I2154" s="4840"/>
      <c r="J2154" s="5056" t="s">
        <v>3797</v>
      </c>
      <c r="K2154" s="5056">
        <v>91539.82</v>
      </c>
      <c r="L2154" s="1125" t="s">
        <v>3798</v>
      </c>
      <c r="M2154" s="3057">
        <f>SUM(N2154:AA2161)</f>
        <v>1647716.76</v>
      </c>
      <c r="N2154" s="5709">
        <v>0</v>
      </c>
      <c r="O2154" s="5709">
        <v>0</v>
      </c>
      <c r="P2154" s="5709">
        <v>0</v>
      </c>
      <c r="Q2154" s="5709">
        <v>1122186.65</v>
      </c>
      <c r="R2154" s="5709">
        <v>0</v>
      </c>
      <c r="S2154" s="5709">
        <v>0</v>
      </c>
      <c r="T2154" s="7042">
        <v>0</v>
      </c>
      <c r="U2154" s="5709">
        <f>55930.83+5*K2154</f>
        <v>513629.93</v>
      </c>
      <c r="V2154" s="5709">
        <v>0</v>
      </c>
      <c r="W2154" s="5709">
        <v>0</v>
      </c>
      <c r="X2154" s="5709">
        <v>0</v>
      </c>
      <c r="Y2154" s="7043">
        <v>0</v>
      </c>
      <c r="Z2154" s="7043"/>
      <c r="AA2154" s="5709">
        <v>11900.18</v>
      </c>
      <c r="AB2154" s="7044" t="s">
        <v>171</v>
      </c>
      <c r="AC2154" s="5056" t="s">
        <v>1055</v>
      </c>
      <c r="AD2154" s="5837" t="s">
        <v>1278</v>
      </c>
      <c r="AE2154" s="1125">
        <v>0.2</v>
      </c>
      <c r="AF2154" s="3057">
        <f>1190017.66*AE2154</f>
        <v>238003.532</v>
      </c>
      <c r="AG2154" s="3057">
        <f t="shared" si="470"/>
        <v>709261.8</v>
      </c>
      <c r="AH2154" s="3057" t="s">
        <v>122</v>
      </c>
      <c r="AI2154" s="3057">
        <v>44482</v>
      </c>
      <c r="AJ2154" s="3057">
        <v>709261.8</v>
      </c>
      <c r="AK2154" s="3057">
        <v>44462</v>
      </c>
      <c r="AL2154" s="3057">
        <v>709261.8</v>
      </c>
      <c r="AM2154" s="3057">
        <v>44482</v>
      </c>
      <c r="AN2154" s="3057">
        <f t="shared" si="471"/>
        <v>709261.8</v>
      </c>
      <c r="AO2154" s="5056">
        <v>44554</v>
      </c>
      <c r="AP2154" s="3057"/>
      <c r="AQ2154" s="3057"/>
      <c r="AR2154" s="3057" t="s">
        <v>1037</v>
      </c>
      <c r="AS2154" s="5056"/>
      <c r="AT2154" s="3057"/>
      <c r="AU2154" s="3812">
        <f>SUM(AG2154:AG2161)</f>
        <v>1647716.76</v>
      </c>
      <c r="AV2154" s="3812">
        <f>SUM(AL2154:AL2161)</f>
        <v>1647716.76</v>
      </c>
      <c r="AW2154" s="3812">
        <f>SUM(AN2154:AN2161)</f>
        <v>1647716.76</v>
      </c>
      <c r="AX2154" s="3812">
        <f>M2154-AU2154</f>
        <v>0</v>
      </c>
      <c r="AY2154" s="3812">
        <f>AU2154-AV2154</f>
        <v>0</v>
      </c>
      <c r="AZ2154" s="3812">
        <f>AV2154-AW2154</f>
        <v>0</v>
      </c>
      <c r="BA2154" s="3057"/>
      <c r="BB2154" s="3057"/>
      <c r="BC2154" s="3057"/>
      <c r="BD2154" s="3057">
        <v>655357.9</v>
      </c>
      <c r="BE2154" s="3057"/>
      <c r="BF2154" s="3057"/>
      <c r="BG2154" s="3057"/>
      <c r="BH2154" s="3057">
        <v>32626.05</v>
      </c>
      <c r="BI2154" s="3057"/>
      <c r="BJ2154" s="3057"/>
      <c r="BK2154" s="3057"/>
      <c r="BL2154" s="3057"/>
      <c r="BM2154" s="3057"/>
      <c r="BN2154" s="3057">
        <v>21277.85</v>
      </c>
      <c r="BO2154" s="3057"/>
      <c r="BP2154" s="3057"/>
      <c r="BQ2154" s="3057"/>
      <c r="BR2154" s="3057">
        <v>655357.9</v>
      </c>
      <c r="BS2154" s="4059"/>
      <c r="BT2154" s="4059"/>
      <c r="BU2154" s="4059"/>
      <c r="BV2154" s="3057">
        <v>32626.05</v>
      </c>
      <c r="BW2154" s="3057"/>
      <c r="BX2154" s="3057"/>
      <c r="BY2154" s="3057"/>
      <c r="BZ2154" s="3057"/>
      <c r="CA2154" s="3057"/>
      <c r="CB2154" s="3057">
        <v>21277.85</v>
      </c>
      <c r="CC2154" s="3057" t="s">
        <v>1112</v>
      </c>
      <c r="CD2154" s="3057" t="s">
        <v>154</v>
      </c>
      <c r="CE2154" s="7066"/>
      <c r="CF2154" s="7066"/>
      <c r="CG2154" s="7066"/>
      <c r="CH2154" s="7066"/>
    </row>
    <row r="2155" s="5008" customFormat="1" ht="46" spans="1:86">
      <c r="A2155" s="3057"/>
      <c r="B2155" s="3057"/>
      <c r="C2155" s="3057"/>
      <c r="D2155" s="5056"/>
      <c r="E2155" s="5059"/>
      <c r="F2155" s="5056"/>
      <c r="G2155" s="5056"/>
      <c r="H2155" s="3057"/>
      <c r="I2155" s="4841"/>
      <c r="J2155" s="5056"/>
      <c r="K2155" s="5056"/>
      <c r="L2155" s="5056"/>
      <c r="M2155" s="3057"/>
      <c r="N2155" s="5709"/>
      <c r="O2155" s="5709"/>
      <c r="P2155" s="5709"/>
      <c r="Q2155" s="5709"/>
      <c r="R2155" s="5709"/>
      <c r="S2155" s="5709"/>
      <c r="T2155" s="5709"/>
      <c r="U2155" s="5709"/>
      <c r="V2155" s="5709"/>
      <c r="W2155" s="5709"/>
      <c r="X2155" s="5709"/>
      <c r="Y2155" s="7045"/>
      <c r="Z2155" s="7045"/>
      <c r="AA2155" s="5709"/>
      <c r="AB2155" s="7044"/>
      <c r="AC2155" s="5056" t="s">
        <v>1057</v>
      </c>
      <c r="AD2155" s="5837" t="s">
        <v>1280</v>
      </c>
      <c r="AE2155" s="1125">
        <v>0.4</v>
      </c>
      <c r="AF2155" s="3057">
        <f>1190017.66*AE2155</f>
        <v>476007.064</v>
      </c>
      <c r="AG2155" s="3057"/>
      <c r="AH2155" s="3057"/>
      <c r="AI2155" s="3057"/>
      <c r="AJ2155" s="3057"/>
      <c r="AK2155" s="3057"/>
      <c r="AL2155" s="3057"/>
      <c r="AM2155" s="3057"/>
      <c r="AN2155" s="3057"/>
      <c r="AO2155" s="3057"/>
      <c r="AP2155" s="3057"/>
      <c r="AQ2155" s="3057"/>
      <c r="AR2155" s="3057"/>
      <c r="AS2155" s="5056"/>
      <c r="AT2155" s="3057"/>
      <c r="AU2155" s="3812"/>
      <c r="AV2155" s="3812"/>
      <c r="AW2155" s="3812"/>
      <c r="AX2155" s="3812"/>
      <c r="AY2155" s="3812"/>
      <c r="AZ2155" s="3812"/>
      <c r="BA2155" s="3057"/>
      <c r="BB2155" s="3057"/>
      <c r="BC2155" s="3057"/>
      <c r="BD2155" s="3057"/>
      <c r="BE2155" s="3057"/>
      <c r="BF2155" s="3057"/>
      <c r="BG2155" s="3057"/>
      <c r="BH2155" s="3057"/>
      <c r="BI2155" s="3057"/>
      <c r="BJ2155" s="3057"/>
      <c r="BK2155" s="3057"/>
      <c r="BL2155" s="3057"/>
      <c r="BM2155" s="3057"/>
      <c r="BN2155" s="3057"/>
      <c r="BO2155" s="3057"/>
      <c r="BP2155" s="3057"/>
      <c r="BQ2155" s="3057"/>
      <c r="BR2155" s="3057"/>
      <c r="BS2155" s="4059"/>
      <c r="BT2155" s="4059"/>
      <c r="BU2155" s="4059"/>
      <c r="BV2155" s="3057"/>
      <c r="BW2155" s="3057"/>
      <c r="BX2155" s="3057"/>
      <c r="BY2155" s="3057"/>
      <c r="BZ2155" s="3057"/>
      <c r="CA2155" s="3057"/>
      <c r="CB2155" s="3057"/>
      <c r="CC2155" s="3057"/>
      <c r="CD2155" s="3057"/>
      <c r="CE2155" s="7066"/>
      <c r="CF2155" s="7066"/>
      <c r="CG2155" s="7066"/>
      <c r="CH2155" s="7066"/>
    </row>
    <row r="2156" s="5008" customFormat="1" ht="31" spans="1:86">
      <c r="A2156" s="3057"/>
      <c r="B2156" s="3057"/>
      <c r="C2156" s="3057"/>
      <c r="D2156" s="5056"/>
      <c r="E2156" s="5059"/>
      <c r="F2156" s="5056"/>
      <c r="G2156" s="5056"/>
      <c r="H2156" s="3057"/>
      <c r="I2156" s="4841"/>
      <c r="J2156" s="5056"/>
      <c r="K2156" s="5056"/>
      <c r="L2156" s="5056"/>
      <c r="M2156" s="3057"/>
      <c r="N2156" s="5709"/>
      <c r="O2156" s="5709"/>
      <c r="P2156" s="5709"/>
      <c r="Q2156" s="5709"/>
      <c r="R2156" s="5709"/>
      <c r="S2156" s="5709"/>
      <c r="T2156" s="5709"/>
      <c r="U2156" s="5709"/>
      <c r="V2156" s="5709"/>
      <c r="W2156" s="5709"/>
      <c r="X2156" s="5709"/>
      <c r="Y2156" s="7045"/>
      <c r="Z2156" s="7045"/>
      <c r="AA2156" s="5709"/>
      <c r="AB2156" s="7044"/>
      <c r="AC2156" s="5056" t="s">
        <v>1059</v>
      </c>
      <c r="AD2156" s="5837" t="s">
        <v>1281</v>
      </c>
      <c r="AE2156" s="1125">
        <v>0.35</v>
      </c>
      <c r="AF2156" s="3057">
        <f>1190017.66*AE2156</f>
        <v>416506.181</v>
      </c>
      <c r="AG2156" s="3057">
        <f>SUM(BA2156:BN2156)</f>
        <v>413736.05</v>
      </c>
      <c r="AH2156" s="584" t="s">
        <v>122</v>
      </c>
      <c r="AI2156" s="3057">
        <v>44508</v>
      </c>
      <c r="AJ2156" s="3057">
        <v>413736.05</v>
      </c>
      <c r="AK2156" s="3057">
        <v>44508</v>
      </c>
      <c r="AL2156" s="3057">
        <v>413736.05</v>
      </c>
      <c r="AM2156" s="3057">
        <v>44508</v>
      </c>
      <c r="AN2156" s="3057">
        <f>SUM(BO2156:CB2156)</f>
        <v>413736.05</v>
      </c>
      <c r="AO2156" s="3057">
        <v>44554</v>
      </c>
      <c r="AP2156" s="3057"/>
      <c r="AQ2156" s="3057"/>
      <c r="AR2156" s="3057"/>
      <c r="AS2156" s="5056"/>
      <c r="AT2156" s="3057"/>
      <c r="AU2156" s="3812"/>
      <c r="AV2156" s="3812"/>
      <c r="AW2156" s="3812"/>
      <c r="AX2156" s="3812"/>
      <c r="AY2156" s="3812"/>
      <c r="AZ2156" s="3812"/>
      <c r="BA2156" s="3057"/>
      <c r="BB2156" s="3057"/>
      <c r="BC2156" s="3057"/>
      <c r="BD2156" s="3057">
        <v>382292.11</v>
      </c>
      <c r="BE2156" s="3057"/>
      <c r="BF2156" s="3057"/>
      <c r="BG2156" s="3057"/>
      <c r="BH2156" s="3057">
        <v>19031.86</v>
      </c>
      <c r="BI2156" s="3057"/>
      <c r="BJ2156" s="3057"/>
      <c r="BK2156" s="3057"/>
      <c r="BL2156" s="3057"/>
      <c r="BM2156" s="3057"/>
      <c r="BN2156" s="3057">
        <v>12412.08</v>
      </c>
      <c r="BO2156" s="3057"/>
      <c r="BP2156" s="3057"/>
      <c r="BQ2156" s="3057"/>
      <c r="BR2156" s="3057">
        <v>382292.11</v>
      </c>
      <c r="BS2156" s="3057"/>
      <c r="BT2156" s="3057"/>
      <c r="BU2156" s="3057"/>
      <c r="BV2156" s="3057">
        <v>19031.86</v>
      </c>
      <c r="BW2156" s="3057"/>
      <c r="BX2156" s="3057"/>
      <c r="BY2156" s="3057"/>
      <c r="BZ2156" s="3057"/>
      <c r="CA2156" s="3057"/>
      <c r="CB2156" s="3057">
        <v>12412.08</v>
      </c>
      <c r="CC2156" s="3057"/>
      <c r="CD2156" s="3057"/>
      <c r="CE2156" s="7066"/>
      <c r="CF2156" s="7066"/>
      <c r="CG2156" s="7066"/>
      <c r="CH2156" s="7066"/>
    </row>
    <row r="2157" s="5008" customFormat="1" spans="1:86">
      <c r="A2157" s="3057"/>
      <c r="B2157" s="3057"/>
      <c r="C2157" s="3057"/>
      <c r="D2157" s="5056"/>
      <c r="E2157" s="5059"/>
      <c r="F2157" s="5056"/>
      <c r="G2157" s="5056"/>
      <c r="H2157" s="3057"/>
      <c r="I2157" s="4841"/>
      <c r="J2157" s="5056"/>
      <c r="K2157" s="5056"/>
      <c r="L2157" s="5056"/>
      <c r="M2157" s="3057"/>
      <c r="N2157" s="5709"/>
      <c r="O2157" s="5709"/>
      <c r="P2157" s="5709"/>
      <c r="Q2157" s="5709"/>
      <c r="R2157" s="5709"/>
      <c r="S2157" s="5709"/>
      <c r="T2157" s="5709"/>
      <c r="U2157" s="5709"/>
      <c r="V2157" s="5709"/>
      <c r="W2157" s="5709"/>
      <c r="X2157" s="5709"/>
      <c r="Y2157" s="7045"/>
      <c r="Z2157" s="7045"/>
      <c r="AA2157" s="5709"/>
      <c r="AB2157" s="7044"/>
      <c r="AC2157" s="5070" t="s">
        <v>1061</v>
      </c>
      <c r="AD2157" s="2099" t="s">
        <v>1282</v>
      </c>
      <c r="AE2157" s="2099">
        <v>0.05</v>
      </c>
      <c r="AF2157" s="4183">
        <f>1190017.66*AE2157</f>
        <v>59500.883</v>
      </c>
      <c r="AG2157" s="3057">
        <f>SUM(BA2157:BN2157)</f>
        <v>59500.88</v>
      </c>
      <c r="AH2157" s="584" t="s">
        <v>122</v>
      </c>
      <c r="AI2157" s="3057">
        <v>45282</v>
      </c>
      <c r="AJ2157" s="3057">
        <v>59500.88</v>
      </c>
      <c r="AK2157" s="3057">
        <v>45282</v>
      </c>
      <c r="AL2157" s="5398">
        <v>67019.81</v>
      </c>
      <c r="AM2157" s="5398">
        <v>45614</v>
      </c>
      <c r="AN2157" s="5398">
        <f>SUM(BO2157:CB2157)</f>
        <v>67019.81</v>
      </c>
      <c r="AO2157" s="5398">
        <v>45653</v>
      </c>
      <c r="AP2157" s="3057"/>
      <c r="AQ2157" s="3057"/>
      <c r="AR2157" s="3057"/>
      <c r="AS2157" s="5056"/>
      <c r="AT2157" s="3057"/>
      <c r="AU2157" s="3812"/>
      <c r="AV2157" s="3812"/>
      <c r="AW2157" s="3812"/>
      <c r="AX2157" s="3812"/>
      <c r="AY2157" s="3812"/>
      <c r="AZ2157" s="3812"/>
      <c r="BA2157" s="3057"/>
      <c r="BB2157" s="3057"/>
      <c r="BC2157" s="3057"/>
      <c r="BD2157" s="3057">
        <v>56109.33</v>
      </c>
      <c r="BE2157" s="4059"/>
      <c r="BF2157" s="4059"/>
      <c r="BG2157" s="4059"/>
      <c r="BH2157" s="3057">
        <v>2796.54</v>
      </c>
      <c r="BI2157" s="4059"/>
      <c r="BJ2157" s="3057"/>
      <c r="BK2157" s="3057"/>
      <c r="BL2157" s="3057"/>
      <c r="BM2157" s="3057"/>
      <c r="BN2157" s="3057">
        <v>595.01</v>
      </c>
      <c r="BO2157" s="3057"/>
      <c r="BP2157" s="3057"/>
      <c r="BQ2157" s="3057"/>
      <c r="BR2157" s="4183">
        <v>61926.3</v>
      </c>
      <c r="BS2157" s="3057"/>
      <c r="BT2157" s="3057"/>
      <c r="BU2157" s="3057"/>
      <c r="BV2157" s="4183">
        <v>3082.91</v>
      </c>
      <c r="BW2157" s="3057"/>
      <c r="BX2157" s="3057"/>
      <c r="BY2157" s="3057"/>
      <c r="BZ2157" s="3057"/>
      <c r="CA2157" s="4183"/>
      <c r="CB2157" s="5398">
        <v>2010.6</v>
      </c>
      <c r="CC2157" s="3057"/>
      <c r="CD2157" s="3057"/>
      <c r="CE2157" s="7066"/>
      <c r="CF2157" s="7066"/>
      <c r="CG2157" s="7066"/>
      <c r="CH2157" s="7066"/>
    </row>
    <row r="2158" s="5008" customFormat="1" spans="1:86">
      <c r="A2158" s="3057"/>
      <c r="B2158" s="3057"/>
      <c r="C2158" s="3057"/>
      <c r="D2158" s="5056"/>
      <c r="E2158" s="5059"/>
      <c r="F2158" s="5056"/>
      <c r="G2158" s="5056"/>
      <c r="H2158" s="3057"/>
      <c r="I2158" s="4841"/>
      <c r="J2158" s="5056"/>
      <c r="K2158" s="5056"/>
      <c r="L2158" s="5056"/>
      <c r="M2158" s="3057"/>
      <c r="N2158" s="5709"/>
      <c r="O2158" s="5709"/>
      <c r="P2158" s="5709"/>
      <c r="Q2158" s="5709"/>
      <c r="R2158" s="5709"/>
      <c r="S2158" s="5709"/>
      <c r="T2158" s="5709"/>
      <c r="U2158" s="5709"/>
      <c r="V2158" s="5709"/>
      <c r="W2158" s="5709"/>
      <c r="X2158" s="5709"/>
      <c r="Y2158" s="7045"/>
      <c r="Z2158" s="7045"/>
      <c r="AA2158" s="5709"/>
      <c r="AB2158" s="7044"/>
      <c r="AC2158" s="5072"/>
      <c r="AD2158" s="4502"/>
      <c r="AE2158" s="4502"/>
      <c r="AF2158" s="4185"/>
      <c r="AG2158" s="3057">
        <f>SUM(BA2158:BN2158)</f>
        <v>7518.93</v>
      </c>
      <c r="AH2158" s="584" t="s">
        <v>206</v>
      </c>
      <c r="AI2158" s="3057">
        <v>45614</v>
      </c>
      <c r="AJ2158" s="3057">
        <v>7518.93</v>
      </c>
      <c r="AK2158" s="3057">
        <v>45614</v>
      </c>
      <c r="AL2158" s="5399"/>
      <c r="AM2158" s="5399"/>
      <c r="AN2158" s="5399"/>
      <c r="AO2158" s="5399"/>
      <c r="AP2158" s="3057"/>
      <c r="AQ2158" s="3057"/>
      <c r="AR2158" s="3057"/>
      <c r="AS2158" s="5056"/>
      <c r="AT2158" s="3057"/>
      <c r="AU2158" s="3812"/>
      <c r="AV2158" s="3812"/>
      <c r="AW2158" s="3812"/>
      <c r="AX2158" s="3812"/>
      <c r="AY2158" s="3812"/>
      <c r="AZ2158" s="3812"/>
      <c r="BA2158" s="3057"/>
      <c r="BB2158" s="3057"/>
      <c r="BC2158" s="3057"/>
      <c r="BD2158" s="5125">
        <v>5816.97</v>
      </c>
      <c r="BE2158" s="3057"/>
      <c r="BF2158" s="3057"/>
      <c r="BG2158" s="3057"/>
      <c r="BH2158" s="5125">
        <v>286.37</v>
      </c>
      <c r="BI2158" s="3057"/>
      <c r="BJ2158" s="3057"/>
      <c r="BK2158" s="3057"/>
      <c r="BL2158" s="3057"/>
      <c r="BM2158" s="3057"/>
      <c r="BN2158" s="3057">
        <v>1415.59</v>
      </c>
      <c r="BO2158" s="3057"/>
      <c r="BP2158" s="3057"/>
      <c r="BQ2158" s="3057"/>
      <c r="BR2158" s="4185"/>
      <c r="BS2158" s="3057"/>
      <c r="BT2158" s="3057"/>
      <c r="BU2158" s="3057"/>
      <c r="BV2158" s="4185"/>
      <c r="BW2158" s="3057"/>
      <c r="BX2158" s="3057"/>
      <c r="BY2158" s="3057"/>
      <c r="BZ2158" s="3057"/>
      <c r="CA2158" s="4185"/>
      <c r="CB2158" s="5399"/>
      <c r="CC2158" s="3057"/>
      <c r="CD2158" s="3057"/>
      <c r="CE2158" s="7066"/>
      <c r="CF2158" s="7066"/>
      <c r="CG2158" s="7066"/>
      <c r="CH2158" s="7066"/>
    </row>
    <row r="2159" s="5008" customFormat="1" ht="46" spans="1:86">
      <c r="A2159" s="3057"/>
      <c r="B2159" s="3057"/>
      <c r="C2159" s="3057"/>
      <c r="D2159" s="5056"/>
      <c r="E2159" s="5059"/>
      <c r="F2159" s="5056"/>
      <c r="G2159" s="5056"/>
      <c r="H2159" s="3057"/>
      <c r="I2159" s="4841"/>
      <c r="J2159" s="5056"/>
      <c r="K2159" s="5056"/>
      <c r="L2159" s="5056"/>
      <c r="M2159" s="3057"/>
      <c r="N2159" s="5709"/>
      <c r="O2159" s="5709"/>
      <c r="P2159" s="5709"/>
      <c r="Q2159" s="5709"/>
      <c r="R2159" s="5709"/>
      <c r="S2159" s="5709"/>
      <c r="T2159" s="5709"/>
      <c r="U2159" s="5709"/>
      <c r="V2159" s="5709"/>
      <c r="W2159" s="5709"/>
      <c r="X2159" s="5709"/>
      <c r="Y2159" s="7045"/>
      <c r="Z2159" s="7045"/>
      <c r="AA2159" s="5709"/>
      <c r="AB2159" s="7044"/>
      <c r="AC2159" s="5056" t="s">
        <v>1110</v>
      </c>
      <c r="AD2159" s="5837" t="s">
        <v>1283</v>
      </c>
      <c r="AE2159" s="1125">
        <v>0.2</v>
      </c>
      <c r="AF2159" s="3057">
        <f>457699.1*AE2159</f>
        <v>91539.82</v>
      </c>
      <c r="AG2159" s="3057">
        <f>SUM(BA2159:BN2159)</f>
        <v>90931</v>
      </c>
      <c r="AH2159" s="3057" t="s">
        <v>122</v>
      </c>
      <c r="AI2159" s="3057">
        <v>44482</v>
      </c>
      <c r="AJ2159" s="3057">
        <v>90931</v>
      </c>
      <c r="AK2159" s="3057">
        <v>44462</v>
      </c>
      <c r="AL2159" s="3057">
        <v>90931</v>
      </c>
      <c r="AM2159" s="3057">
        <v>44515</v>
      </c>
      <c r="AN2159" s="3057">
        <f>SUM(BO2159:CB2159)</f>
        <v>90931</v>
      </c>
      <c r="AO2159" s="3057">
        <v>44554</v>
      </c>
      <c r="AP2159" s="3057"/>
      <c r="AQ2159" s="3057"/>
      <c r="AR2159" s="3057"/>
      <c r="AS2159" s="5056"/>
      <c r="AT2159" s="3057"/>
      <c r="AU2159" s="3812"/>
      <c r="AV2159" s="3812"/>
      <c r="AW2159" s="3812"/>
      <c r="AX2159" s="3812"/>
      <c r="AY2159" s="3812"/>
      <c r="AZ2159" s="3812"/>
      <c r="BA2159" s="3057"/>
      <c r="BB2159" s="3057"/>
      <c r="BC2159" s="3057"/>
      <c r="BD2159" s="3057"/>
      <c r="BE2159" s="3057"/>
      <c r="BF2159" s="3057"/>
      <c r="BG2159" s="3057"/>
      <c r="BH2159" s="3057">
        <v>90931</v>
      </c>
      <c r="BI2159" s="3057"/>
      <c r="BJ2159" s="3057"/>
      <c r="BK2159" s="3057"/>
      <c r="BL2159" s="3057"/>
      <c r="BM2159" s="3057"/>
      <c r="BN2159" s="3057"/>
      <c r="BO2159" s="3057"/>
      <c r="BP2159" s="3057"/>
      <c r="BQ2159" s="3057"/>
      <c r="BR2159" s="3057"/>
      <c r="BS2159" s="3057"/>
      <c r="BT2159" s="3057"/>
      <c r="BU2159" s="3057"/>
      <c r="BV2159" s="3057">
        <v>90931</v>
      </c>
      <c r="BW2159" s="3057"/>
      <c r="BX2159" s="3057"/>
      <c r="BY2159" s="3057"/>
      <c r="BZ2159" s="3057"/>
      <c r="CA2159" s="3057"/>
      <c r="CB2159" s="3057"/>
      <c r="CC2159" s="3057"/>
      <c r="CD2159" s="3057"/>
      <c r="CE2159" s="7066"/>
      <c r="CF2159" s="7066"/>
      <c r="CG2159" s="7066"/>
      <c r="CH2159" s="7066"/>
    </row>
    <row r="2160" s="5008" customFormat="1" ht="61" spans="1:86">
      <c r="A2160" s="3057"/>
      <c r="B2160" s="3057"/>
      <c r="C2160" s="3057"/>
      <c r="D2160" s="5056"/>
      <c r="E2160" s="5059"/>
      <c r="F2160" s="5056"/>
      <c r="G2160" s="5056"/>
      <c r="H2160" s="3057"/>
      <c r="I2160" s="4841"/>
      <c r="J2160" s="5056"/>
      <c r="K2160" s="5056"/>
      <c r="L2160" s="5056"/>
      <c r="M2160" s="3057"/>
      <c r="N2160" s="5709"/>
      <c r="O2160" s="5709"/>
      <c r="P2160" s="5709"/>
      <c r="Q2160" s="5709"/>
      <c r="R2160" s="5709"/>
      <c r="S2160" s="5709"/>
      <c r="T2160" s="5709"/>
      <c r="U2160" s="5709"/>
      <c r="V2160" s="5709"/>
      <c r="W2160" s="5709"/>
      <c r="X2160" s="5709"/>
      <c r="Y2160" s="7045"/>
      <c r="Z2160" s="7045"/>
      <c r="AA2160" s="5709"/>
      <c r="AB2160" s="7044"/>
      <c r="AC2160" s="5056" t="s">
        <v>1113</v>
      </c>
      <c r="AD2160" s="5837" t="s">
        <v>1284</v>
      </c>
      <c r="AE2160" s="1125">
        <v>0.6</v>
      </c>
      <c r="AF2160" s="3057">
        <f>457699.1*AE2160</f>
        <v>274619.46</v>
      </c>
      <c r="AG2160" s="4183">
        <f>SUM(BA2160:BN2160)</f>
        <v>366768.1</v>
      </c>
      <c r="AH2160" s="4183" t="s">
        <v>122</v>
      </c>
      <c r="AI2160" s="4183">
        <v>44555</v>
      </c>
      <c r="AJ2160" s="4183">
        <v>366768.1</v>
      </c>
      <c r="AK2160" s="4183">
        <v>44545</v>
      </c>
      <c r="AL2160" s="5398">
        <v>366768.1</v>
      </c>
      <c r="AM2160" s="5398">
        <v>45614</v>
      </c>
      <c r="AN2160" s="5398">
        <f>SUM(BO2160:CB2160)</f>
        <v>366768.1</v>
      </c>
      <c r="AO2160" s="5398">
        <v>45653</v>
      </c>
      <c r="AP2160" s="3057"/>
      <c r="AQ2160" s="3057"/>
      <c r="AR2160" s="3057"/>
      <c r="AS2160" s="1125" t="s">
        <v>3799</v>
      </c>
      <c r="AT2160" s="3057"/>
      <c r="AU2160" s="3812"/>
      <c r="AV2160" s="3812"/>
      <c r="AW2160" s="3812"/>
      <c r="AX2160" s="3812"/>
      <c r="AY2160" s="3812"/>
      <c r="AZ2160" s="3812"/>
      <c r="BA2160" s="3057"/>
      <c r="BB2160" s="3057"/>
      <c r="BC2160" s="3057"/>
      <c r="BD2160" s="3057"/>
      <c r="BE2160" s="3057"/>
      <c r="BF2160" s="3057"/>
      <c r="BG2160" s="3057"/>
      <c r="BH2160" s="3057">
        <v>366768.1</v>
      </c>
      <c r="BI2160" s="3057"/>
      <c r="BJ2160" s="3057"/>
      <c r="BK2160" s="3057"/>
      <c r="BL2160" s="3057"/>
      <c r="BM2160" s="3057"/>
      <c r="BN2160" s="3057"/>
      <c r="BO2160" s="3057"/>
      <c r="BP2160" s="3057"/>
      <c r="BQ2160" s="3057"/>
      <c r="BR2160" s="3057"/>
      <c r="BS2160" s="3057"/>
      <c r="BT2160" s="3057"/>
      <c r="BU2160" s="3057"/>
      <c r="BV2160" s="4183">
        <v>366768.1</v>
      </c>
      <c r="BW2160" s="3057"/>
      <c r="BX2160" s="3057"/>
      <c r="BY2160" s="3057"/>
      <c r="BZ2160" s="3057"/>
      <c r="CA2160" s="3057"/>
      <c r="CB2160" s="3057"/>
      <c r="CC2160" s="3057"/>
      <c r="CD2160" s="3057"/>
      <c r="CE2160" s="5171">
        <f>SUBTOTAL(9,BO2160:CB2160)</f>
        <v>366768.1</v>
      </c>
      <c r="CF2160" s="5171">
        <f>AN2160-CE2160</f>
        <v>0</v>
      </c>
      <c r="CG2160" s="7066"/>
      <c r="CH2160" s="7066"/>
    </row>
    <row r="2161" s="5008" customFormat="1" ht="40.5" customHeight="1" spans="1:86">
      <c r="A2161" s="3057"/>
      <c r="B2161" s="3057"/>
      <c r="C2161" s="3057"/>
      <c r="D2161" s="5056"/>
      <c r="E2161" s="5059"/>
      <c r="F2161" s="5056"/>
      <c r="G2161" s="5056"/>
      <c r="H2161" s="3057"/>
      <c r="I2161" s="4841"/>
      <c r="J2161" s="5056"/>
      <c r="K2161" s="5056"/>
      <c r="L2161" s="5056"/>
      <c r="M2161" s="3057"/>
      <c r="N2161" s="5709"/>
      <c r="O2161" s="5709"/>
      <c r="P2161" s="5709"/>
      <c r="Q2161" s="5709"/>
      <c r="R2161" s="5709"/>
      <c r="S2161" s="5709"/>
      <c r="T2161" s="5709"/>
      <c r="U2161" s="5709"/>
      <c r="V2161" s="5709"/>
      <c r="W2161" s="5709"/>
      <c r="X2161" s="5709"/>
      <c r="Y2161" s="7045"/>
      <c r="Z2161" s="7045"/>
      <c r="AA2161" s="5709"/>
      <c r="AB2161" s="7044"/>
      <c r="AC2161" s="5070" t="s">
        <v>1115</v>
      </c>
      <c r="AD2161" s="2099" t="s">
        <v>1285</v>
      </c>
      <c r="AE2161" s="2099">
        <v>0.2</v>
      </c>
      <c r="AF2161" s="4183">
        <f>457699.1*AE2161</f>
        <v>91539.82</v>
      </c>
      <c r="AG2161" s="4185"/>
      <c r="AH2161" s="4185"/>
      <c r="AI2161" s="4185"/>
      <c r="AJ2161" s="4185"/>
      <c r="AK2161" s="4185"/>
      <c r="AL2161" s="7060"/>
      <c r="AM2161" s="7060"/>
      <c r="AN2161" s="7060"/>
      <c r="AO2161" s="7060"/>
      <c r="AP2161" s="3057"/>
      <c r="AQ2161" s="3057"/>
      <c r="AR2161" s="3057"/>
      <c r="AS2161" s="1125"/>
      <c r="AT2161" s="3057"/>
      <c r="AU2161" s="3812"/>
      <c r="AV2161" s="3812"/>
      <c r="AW2161" s="3812"/>
      <c r="AX2161" s="3812"/>
      <c r="AY2161" s="3812"/>
      <c r="AZ2161" s="3812"/>
      <c r="BA2161" s="3057"/>
      <c r="BB2161" s="3057"/>
      <c r="BC2161" s="3057"/>
      <c r="BD2161" s="3057"/>
      <c r="BE2161" s="3057"/>
      <c r="BF2161" s="3057"/>
      <c r="BG2161" s="3057"/>
      <c r="BH2161" s="3057"/>
      <c r="BI2161" s="3057"/>
      <c r="BJ2161" s="3057"/>
      <c r="BK2161" s="3057"/>
      <c r="BL2161" s="3057"/>
      <c r="BM2161" s="3057"/>
      <c r="BN2161" s="3057"/>
      <c r="BO2161" s="3057"/>
      <c r="BP2161" s="3057"/>
      <c r="BQ2161" s="3057"/>
      <c r="BR2161" s="3057"/>
      <c r="BS2161" s="3057"/>
      <c r="BT2161" s="3057"/>
      <c r="BU2161" s="3057"/>
      <c r="BV2161" s="4184"/>
      <c r="BW2161" s="3057"/>
      <c r="BX2161" s="3057"/>
      <c r="BY2161" s="3057"/>
      <c r="BZ2161" s="3057"/>
      <c r="CA2161" s="3057"/>
      <c r="CB2161" s="3057"/>
      <c r="CC2161" s="3057"/>
      <c r="CD2161" s="3057"/>
      <c r="CE2161" s="5171"/>
      <c r="CF2161" s="5171"/>
      <c r="CG2161" s="7066"/>
      <c r="CH2161" s="7066"/>
    </row>
    <row r="2162" s="4993" customFormat="1" ht="20.85" customHeight="1" spans="1:86">
      <c r="A2162" s="3812"/>
      <c r="B2162" s="3684" t="s">
        <v>3079</v>
      </c>
      <c r="C2162" s="3684">
        <v>44479</v>
      </c>
      <c r="D2162" s="5055" t="s">
        <v>3800</v>
      </c>
      <c r="E2162" s="5055" t="s">
        <v>3801</v>
      </c>
      <c r="F2162" s="5060" t="s">
        <v>3802</v>
      </c>
      <c r="G2162" s="5060" t="s">
        <v>3803</v>
      </c>
      <c r="H2162" s="3684" t="s">
        <v>1102</v>
      </c>
      <c r="I2162" s="3909" t="s">
        <v>3804</v>
      </c>
      <c r="J2162" s="5060" t="s">
        <v>3805</v>
      </c>
      <c r="K2162" s="5060">
        <v>136603</v>
      </c>
      <c r="L2162" s="5055" t="s">
        <v>3806</v>
      </c>
      <c r="M2162" s="3684">
        <f>SUM(N2162:AA2169)</f>
        <v>2049045</v>
      </c>
      <c r="N2162" s="3812">
        <v>0</v>
      </c>
      <c r="O2162" s="3812">
        <v>0</v>
      </c>
      <c r="P2162" s="3812">
        <v>0</v>
      </c>
      <c r="Q2162" s="3812">
        <v>248289.61</v>
      </c>
      <c r="R2162" s="3812">
        <v>0</v>
      </c>
      <c r="S2162" s="3812">
        <v>0</v>
      </c>
      <c r="T2162" s="5089">
        <v>0</v>
      </c>
      <c r="U2162" s="3812">
        <v>15080.97</v>
      </c>
      <c r="V2162" s="3812">
        <v>0</v>
      </c>
      <c r="W2162" s="3812">
        <v>0</v>
      </c>
      <c r="X2162" s="3812">
        <v>0</v>
      </c>
      <c r="Y2162" s="3812"/>
      <c r="Z2162" s="3812"/>
      <c r="AA2162" s="3812">
        <v>9835.42</v>
      </c>
      <c r="AB2162" s="5973" t="s">
        <v>171</v>
      </c>
      <c r="AC2162" s="5060" t="s">
        <v>1055</v>
      </c>
      <c r="AD2162" s="5388" t="s">
        <v>1278</v>
      </c>
      <c r="AE2162" s="5055">
        <v>0.2</v>
      </c>
      <c r="AF2162" s="3684">
        <f t="shared" ref="AF2162:AF2167" si="472">Q2162+U2162+AA2162</f>
        <v>273206</v>
      </c>
      <c r="AG2162" s="5162">
        <f t="shared" ref="AG2162:AG2169" si="473">SUM(BA2162:BN2162)</f>
        <v>273206</v>
      </c>
      <c r="AH2162" s="3684" t="s">
        <v>122</v>
      </c>
      <c r="AI2162" s="3684">
        <v>44515</v>
      </c>
      <c r="AJ2162" s="3684">
        <v>273206</v>
      </c>
      <c r="AK2162" s="3684">
        <v>44515</v>
      </c>
      <c r="AL2162" s="3684">
        <v>273206</v>
      </c>
      <c r="AM2162" s="3684">
        <v>44515</v>
      </c>
      <c r="AN2162" s="3684">
        <f t="shared" ref="AN2162:AN2169" si="474">SUM(BO2162:CB2162)</f>
        <v>273206</v>
      </c>
      <c r="AO2162" s="3684">
        <v>44551</v>
      </c>
      <c r="AP2162" s="3684"/>
      <c r="AQ2162" s="5055"/>
      <c r="AR2162" s="3684"/>
      <c r="AS2162" s="5060"/>
      <c r="AT2162" s="3684"/>
      <c r="AU2162" s="2678">
        <f>SUM(AG2162:AG2169)</f>
        <v>2148187.9</v>
      </c>
      <c r="AV2162" s="2678">
        <f>SUM(AL2162:AL2169)</f>
        <v>2146473.7</v>
      </c>
      <c r="AW2162" s="2678">
        <f>SUM(AN2162:AN2169)</f>
        <v>2146473.7</v>
      </c>
      <c r="AX2162" s="2678">
        <f>M2162-AU2162</f>
        <v>-99142.9000000001</v>
      </c>
      <c r="AY2162" s="2678">
        <f>AU2162-AV2162</f>
        <v>1714.19999999972</v>
      </c>
      <c r="AZ2162" s="2678">
        <f>AV2162-AW2162</f>
        <v>0</v>
      </c>
      <c r="BA2162" s="3684"/>
      <c r="BB2162" s="3684"/>
      <c r="BC2162" s="3684"/>
      <c r="BD2162" s="3684">
        <v>248289.61</v>
      </c>
      <c r="BE2162" s="3684"/>
      <c r="BF2162" s="3684"/>
      <c r="BG2162" s="3684"/>
      <c r="BH2162" s="3684">
        <v>15080.97</v>
      </c>
      <c r="BI2162" s="3684"/>
      <c r="BJ2162" s="3684"/>
      <c r="BK2162" s="3684"/>
      <c r="BL2162" s="3684"/>
      <c r="BM2162" s="3684"/>
      <c r="BN2162" s="3684">
        <v>9835.42</v>
      </c>
      <c r="BO2162" s="3708"/>
      <c r="BP2162" s="3708"/>
      <c r="BQ2162" s="3708"/>
      <c r="BR2162" s="3684">
        <v>248289.61</v>
      </c>
      <c r="BS2162" s="3708"/>
      <c r="BT2162" s="3708"/>
      <c r="BU2162" s="3708"/>
      <c r="BV2162" s="3684">
        <v>15080.97</v>
      </c>
      <c r="BW2162" s="3708"/>
      <c r="BX2162" s="3708"/>
      <c r="BY2162" s="3708"/>
      <c r="BZ2162" s="3708"/>
      <c r="CA2162" s="3708"/>
      <c r="CB2162" s="3684">
        <v>9835.42</v>
      </c>
      <c r="CC2162" s="3684" t="s">
        <v>1112</v>
      </c>
      <c r="CD2162" s="3684" t="s">
        <v>154</v>
      </c>
      <c r="CE2162" s="6810"/>
      <c r="CF2162" s="6810"/>
      <c r="CG2162" s="6810"/>
      <c r="CH2162" s="6810"/>
    </row>
    <row r="2163" s="4993" customFormat="1" ht="46" spans="1:86">
      <c r="A2163" s="3812"/>
      <c r="B2163" s="3684"/>
      <c r="C2163" s="3684"/>
      <c r="D2163" s="5060"/>
      <c r="E2163" s="5060"/>
      <c r="F2163" s="5060"/>
      <c r="G2163" s="5060"/>
      <c r="H2163" s="3684"/>
      <c r="I2163" s="5207"/>
      <c r="J2163" s="5060"/>
      <c r="K2163" s="5060"/>
      <c r="L2163" s="5060"/>
      <c r="M2163" s="3684"/>
      <c r="N2163" s="3812">
        <v>0</v>
      </c>
      <c r="O2163" s="3812">
        <v>0</v>
      </c>
      <c r="P2163" s="3812">
        <v>0</v>
      </c>
      <c r="Q2163" s="3812">
        <v>496579.23</v>
      </c>
      <c r="R2163" s="3812">
        <v>0</v>
      </c>
      <c r="S2163" s="3812">
        <v>0</v>
      </c>
      <c r="T2163" s="5089">
        <v>0</v>
      </c>
      <c r="U2163" s="3812">
        <v>30161.94</v>
      </c>
      <c r="V2163" s="3812">
        <v>0</v>
      </c>
      <c r="W2163" s="3812">
        <v>0</v>
      </c>
      <c r="X2163" s="3812">
        <v>0</v>
      </c>
      <c r="Y2163" s="3812"/>
      <c r="Z2163" s="3812"/>
      <c r="AA2163" s="3812">
        <v>19670.83</v>
      </c>
      <c r="AB2163" s="5973"/>
      <c r="AC2163" s="5060" t="s">
        <v>1057</v>
      </c>
      <c r="AD2163" s="5388" t="s">
        <v>1280</v>
      </c>
      <c r="AE2163" s="5055">
        <v>0.4</v>
      </c>
      <c r="AF2163" s="3684">
        <f t="shared" si="472"/>
        <v>546412</v>
      </c>
      <c r="AG2163" s="5162">
        <f t="shared" si="473"/>
        <v>546412</v>
      </c>
      <c r="AH2163" s="3684" t="s">
        <v>122</v>
      </c>
      <c r="AI2163" s="3684">
        <v>44515</v>
      </c>
      <c r="AJ2163" s="3684">
        <v>546412</v>
      </c>
      <c r="AK2163" s="3684">
        <v>44515</v>
      </c>
      <c r="AL2163" s="3684">
        <v>546412</v>
      </c>
      <c r="AM2163" s="3684">
        <v>44515</v>
      </c>
      <c r="AN2163" s="3684">
        <f t="shared" si="474"/>
        <v>546412</v>
      </c>
      <c r="AO2163" s="3684">
        <v>44551</v>
      </c>
      <c r="AP2163" s="3684"/>
      <c r="AQ2163" s="5055"/>
      <c r="AR2163" s="3684"/>
      <c r="AS2163" s="5060"/>
      <c r="AT2163" s="3684"/>
      <c r="AU2163" s="2678"/>
      <c r="AV2163" s="2678"/>
      <c r="AW2163" s="2678"/>
      <c r="AX2163" s="2678"/>
      <c r="AY2163" s="2678"/>
      <c r="AZ2163" s="2678"/>
      <c r="BA2163" s="3684"/>
      <c r="BB2163" s="3684"/>
      <c r="BC2163" s="3684"/>
      <c r="BD2163" s="3684">
        <v>496579.23</v>
      </c>
      <c r="BE2163" s="3684"/>
      <c r="BF2163" s="3684"/>
      <c r="BG2163" s="3684"/>
      <c r="BH2163" s="3684">
        <v>30161.94</v>
      </c>
      <c r="BI2163" s="3684"/>
      <c r="BJ2163" s="3684"/>
      <c r="BK2163" s="3684"/>
      <c r="BL2163" s="3684"/>
      <c r="BM2163" s="3684"/>
      <c r="BN2163" s="3684">
        <v>19670.83</v>
      </c>
      <c r="BO2163" s="3708"/>
      <c r="BP2163" s="3708"/>
      <c r="BQ2163" s="3708"/>
      <c r="BR2163" s="3684">
        <v>496579.23</v>
      </c>
      <c r="BS2163" s="3708"/>
      <c r="BT2163" s="3708"/>
      <c r="BU2163" s="3708"/>
      <c r="BV2163" s="3684">
        <v>30161.94</v>
      </c>
      <c r="BW2163" s="3708"/>
      <c r="BX2163" s="3708"/>
      <c r="BY2163" s="3708"/>
      <c r="BZ2163" s="3708"/>
      <c r="CA2163" s="3708"/>
      <c r="CB2163" s="3684">
        <v>19670.83</v>
      </c>
      <c r="CC2163" s="3684"/>
      <c r="CD2163" s="3684"/>
      <c r="CE2163" s="6810"/>
      <c r="CF2163" s="6810"/>
      <c r="CG2163" s="6810"/>
      <c r="CH2163" s="6810"/>
    </row>
    <row r="2164" s="4993" customFormat="1" ht="37.5" customHeight="1" spans="1:86">
      <c r="A2164" s="3812"/>
      <c r="B2164" s="3684"/>
      <c r="C2164" s="3684"/>
      <c r="D2164" s="5060"/>
      <c r="E2164" s="5060"/>
      <c r="F2164" s="5060"/>
      <c r="G2164" s="5060"/>
      <c r="H2164" s="3684"/>
      <c r="I2164" s="5207"/>
      <c r="J2164" s="5060"/>
      <c r="K2164" s="5060"/>
      <c r="L2164" s="5060"/>
      <c r="M2164" s="3684"/>
      <c r="N2164" s="3812">
        <v>0</v>
      </c>
      <c r="O2164" s="3812">
        <v>0</v>
      </c>
      <c r="P2164" s="3812">
        <v>0</v>
      </c>
      <c r="Q2164" s="3812">
        <v>450161.53</v>
      </c>
      <c r="R2164" s="3812">
        <v>0</v>
      </c>
      <c r="S2164" s="3812">
        <v>0</v>
      </c>
      <c r="T2164" s="5089">
        <v>0</v>
      </c>
      <c r="U2164" s="3812">
        <v>27948.97</v>
      </c>
      <c r="V2164" s="3812">
        <v>0</v>
      </c>
      <c r="W2164" s="3812">
        <v>0</v>
      </c>
      <c r="X2164" s="3812">
        <v>0</v>
      </c>
      <c r="Y2164" s="3812"/>
      <c r="Z2164" s="3812"/>
      <c r="AA2164" s="3812">
        <v>0</v>
      </c>
      <c r="AB2164" s="5973"/>
      <c r="AC2164" s="5060" t="s">
        <v>1059</v>
      </c>
      <c r="AD2164" s="5388" t="s">
        <v>1281</v>
      </c>
      <c r="AE2164" s="5055">
        <v>0.35</v>
      </c>
      <c r="AF2164" s="3684">
        <f t="shared" si="472"/>
        <v>478110.5</v>
      </c>
      <c r="AG2164" s="3684">
        <f t="shared" si="473"/>
        <v>478110.5</v>
      </c>
      <c r="AH2164" s="3684" t="s">
        <v>122</v>
      </c>
      <c r="AI2164" s="3684">
        <v>44555</v>
      </c>
      <c r="AJ2164" s="3684">
        <f>SUM(BD2164:BQ2164)</f>
        <v>478110.5</v>
      </c>
      <c r="AK2164" s="3684">
        <v>44547</v>
      </c>
      <c r="AL2164" s="3684">
        <v>478110.5</v>
      </c>
      <c r="AM2164" s="3684">
        <v>44754</v>
      </c>
      <c r="AN2164" s="3684">
        <f t="shared" si="474"/>
        <v>478110.5</v>
      </c>
      <c r="AO2164" s="3684">
        <v>44768</v>
      </c>
      <c r="AP2164" s="3684"/>
      <c r="AQ2164" s="5055"/>
      <c r="AR2164" s="3684"/>
      <c r="AS2164" s="5055" t="s">
        <v>3807</v>
      </c>
      <c r="AT2164" s="3684"/>
      <c r="AU2164" s="2678"/>
      <c r="AV2164" s="2678"/>
      <c r="AW2164" s="2678"/>
      <c r="AX2164" s="2678"/>
      <c r="AY2164" s="2678"/>
      <c r="AZ2164" s="2678"/>
      <c r="BA2164" s="3684"/>
      <c r="BB2164" s="3684"/>
      <c r="BC2164" s="3684"/>
      <c r="BD2164" s="3684">
        <v>450161.53</v>
      </c>
      <c r="BE2164" s="3684"/>
      <c r="BF2164" s="3684"/>
      <c r="BG2164" s="3684"/>
      <c r="BH2164" s="3684">
        <v>27948.97</v>
      </c>
      <c r="BI2164" s="3684"/>
      <c r="BJ2164" s="3684"/>
      <c r="BK2164" s="3684"/>
      <c r="BL2164" s="3684"/>
      <c r="BM2164" s="3684"/>
      <c r="BN2164" s="3684"/>
      <c r="BO2164" s="3708"/>
      <c r="BP2164" s="3708"/>
      <c r="BQ2164" s="3708"/>
      <c r="BR2164" s="3684">
        <v>450161.53</v>
      </c>
      <c r="BS2164" s="3684"/>
      <c r="BT2164" s="3684"/>
      <c r="BU2164" s="3684"/>
      <c r="BV2164" s="3684">
        <v>27948.97</v>
      </c>
      <c r="BW2164" s="3708"/>
      <c r="BX2164" s="3708"/>
      <c r="BY2164" s="3708"/>
      <c r="BZ2164" s="3708"/>
      <c r="CA2164" s="3708"/>
      <c r="CB2164" s="3708"/>
      <c r="CC2164" s="3684"/>
      <c r="CD2164" s="3684"/>
      <c r="CE2164" s="6810"/>
      <c r="CF2164" s="6810"/>
      <c r="CG2164" s="6810"/>
      <c r="CH2164" s="6810"/>
    </row>
    <row r="2165" s="4993" customFormat="1" ht="61" spans="1:86">
      <c r="A2165" s="3812"/>
      <c r="B2165" s="3684"/>
      <c r="C2165" s="3684"/>
      <c r="D2165" s="5060"/>
      <c r="E2165" s="5060"/>
      <c r="F2165" s="5060"/>
      <c r="G2165" s="5060"/>
      <c r="H2165" s="3684"/>
      <c r="I2165" s="5207"/>
      <c r="J2165" s="5060"/>
      <c r="K2165" s="5060"/>
      <c r="L2165" s="5060"/>
      <c r="M2165" s="3684"/>
      <c r="N2165" s="3812">
        <v>0</v>
      </c>
      <c r="O2165" s="3812">
        <v>0</v>
      </c>
      <c r="P2165" s="3812">
        <v>0</v>
      </c>
      <c r="Q2165" s="3812">
        <v>64449.3</v>
      </c>
      <c r="R2165" s="3812">
        <v>0</v>
      </c>
      <c r="S2165" s="3812">
        <v>0</v>
      </c>
      <c r="T2165" s="5089">
        <v>0</v>
      </c>
      <c r="U2165" s="3812">
        <v>3852.2</v>
      </c>
      <c r="V2165" s="3812">
        <v>0</v>
      </c>
      <c r="W2165" s="3812">
        <v>0</v>
      </c>
      <c r="X2165" s="3812">
        <v>0</v>
      </c>
      <c r="Y2165" s="3812"/>
      <c r="Z2165" s="3812"/>
      <c r="AA2165" s="3812">
        <v>0</v>
      </c>
      <c r="AB2165" s="5973"/>
      <c r="AC2165" s="5060" t="s">
        <v>1061</v>
      </c>
      <c r="AD2165" s="5388" t="s">
        <v>1282</v>
      </c>
      <c r="AE2165" s="5055">
        <v>0.05</v>
      </c>
      <c r="AF2165" s="3684">
        <f t="shared" si="472"/>
        <v>68301.5</v>
      </c>
      <c r="AG2165" s="3684">
        <f t="shared" si="473"/>
        <v>68301.5</v>
      </c>
      <c r="AH2165" s="3684" t="s">
        <v>122</v>
      </c>
      <c r="AI2165" s="3684">
        <v>45282</v>
      </c>
      <c r="AJ2165" s="3684">
        <v>68301.5</v>
      </c>
      <c r="AK2165" s="3684">
        <v>45282</v>
      </c>
      <c r="AL2165" s="3684">
        <v>66587.3</v>
      </c>
      <c r="AM2165" s="3684">
        <v>45862</v>
      </c>
      <c r="AN2165" s="5162">
        <f t="shared" si="474"/>
        <v>66587.3</v>
      </c>
      <c r="AO2165" s="5162">
        <v>45989</v>
      </c>
      <c r="AP2165" s="3684"/>
      <c r="AQ2165" s="5055" t="s">
        <v>3808</v>
      </c>
      <c r="AR2165" s="3684"/>
      <c r="AS2165" s="5060"/>
      <c r="AT2165" s="3684"/>
      <c r="AU2165" s="2678"/>
      <c r="AV2165" s="2678"/>
      <c r="AW2165" s="2678"/>
      <c r="AX2165" s="2678"/>
      <c r="AY2165" s="2678"/>
      <c r="AZ2165" s="2678"/>
      <c r="BA2165" s="3684"/>
      <c r="BB2165" s="3684"/>
      <c r="BC2165" s="3684"/>
      <c r="BD2165" s="3684">
        <v>64449.3</v>
      </c>
      <c r="BE2165" s="3684"/>
      <c r="BF2165" s="3684"/>
      <c r="BG2165" s="3684"/>
      <c r="BH2165" s="3684">
        <v>3852.2</v>
      </c>
      <c r="BI2165" s="3684"/>
      <c r="BJ2165" s="3684"/>
      <c r="BK2165" s="3684"/>
      <c r="BL2165" s="3684"/>
      <c r="BM2165" s="3684"/>
      <c r="BN2165" s="3684"/>
      <c r="BO2165" s="3684"/>
      <c r="BP2165" s="3684"/>
      <c r="BQ2165" s="3684"/>
      <c r="BR2165" s="3708">
        <v>62831.78</v>
      </c>
      <c r="BS2165" s="3708"/>
      <c r="BT2165" s="3708"/>
      <c r="BU2165" s="3708"/>
      <c r="BV2165" s="3708">
        <v>3755.52</v>
      </c>
      <c r="BW2165" s="3684"/>
      <c r="BX2165" s="3684"/>
      <c r="BY2165" s="3684"/>
      <c r="BZ2165" s="3684"/>
      <c r="CA2165" s="3684"/>
      <c r="CB2165" s="3684"/>
      <c r="CC2165" s="3684"/>
      <c r="CD2165" s="3684"/>
      <c r="CE2165" s="6810"/>
      <c r="CF2165" s="6810"/>
      <c r="CG2165" s="6810"/>
      <c r="CH2165" s="6810"/>
    </row>
    <row r="2166" s="4993" customFormat="1" ht="46" spans="1:86">
      <c r="A2166" s="3812"/>
      <c r="B2166" s="3684"/>
      <c r="C2166" s="3684"/>
      <c r="D2166" s="5060"/>
      <c r="E2166" s="5060"/>
      <c r="F2166" s="5060"/>
      <c r="G2166" s="5060"/>
      <c r="H2166" s="3684"/>
      <c r="I2166" s="5207"/>
      <c r="J2166" s="5060"/>
      <c r="K2166" s="5060"/>
      <c r="L2166" s="5060"/>
      <c r="M2166" s="3684"/>
      <c r="N2166" s="3812">
        <v>0</v>
      </c>
      <c r="O2166" s="3812">
        <v>0</v>
      </c>
      <c r="P2166" s="3812">
        <v>0</v>
      </c>
      <c r="Q2166" s="3812">
        <v>54641.2</v>
      </c>
      <c r="R2166" s="3812">
        <v>0</v>
      </c>
      <c r="S2166" s="3812">
        <v>0</v>
      </c>
      <c r="T2166" s="5089">
        <v>0</v>
      </c>
      <c r="U2166" s="3812">
        <v>81961.8</v>
      </c>
      <c r="V2166" s="3812">
        <v>0</v>
      </c>
      <c r="W2166" s="3812">
        <v>0</v>
      </c>
      <c r="X2166" s="3812">
        <v>0</v>
      </c>
      <c r="Y2166" s="3812"/>
      <c r="Z2166" s="3812"/>
      <c r="AA2166" s="2678">
        <v>0</v>
      </c>
      <c r="AB2166" s="5973"/>
      <c r="AC2166" s="5060" t="s">
        <v>1110</v>
      </c>
      <c r="AD2166" s="5388" t="s">
        <v>1283</v>
      </c>
      <c r="AE2166" s="5055">
        <v>0.2</v>
      </c>
      <c r="AF2166" s="3684">
        <f t="shared" si="472"/>
        <v>136603</v>
      </c>
      <c r="AG2166" s="5162">
        <f t="shared" si="473"/>
        <v>136603</v>
      </c>
      <c r="AH2166" s="3684" t="s">
        <v>122</v>
      </c>
      <c r="AI2166" s="3684">
        <v>44515</v>
      </c>
      <c r="AJ2166" s="3684">
        <v>136603</v>
      </c>
      <c r="AK2166" s="3684">
        <v>44515</v>
      </c>
      <c r="AL2166" s="3684">
        <v>136603</v>
      </c>
      <c r="AM2166" s="3684">
        <v>44515</v>
      </c>
      <c r="AN2166" s="3684">
        <f t="shared" si="474"/>
        <v>136603</v>
      </c>
      <c r="AO2166" s="3684">
        <v>44551</v>
      </c>
      <c r="AP2166" s="3684"/>
      <c r="AQ2166" s="5055"/>
      <c r="AR2166" s="3684"/>
      <c r="AS2166" s="5060"/>
      <c r="AT2166" s="3684"/>
      <c r="AU2166" s="2678"/>
      <c r="AV2166" s="2678"/>
      <c r="AW2166" s="2678"/>
      <c r="AX2166" s="2678"/>
      <c r="AY2166" s="2678"/>
      <c r="AZ2166" s="2678"/>
      <c r="BA2166" s="3684"/>
      <c r="BB2166" s="3684"/>
      <c r="BC2166" s="3684"/>
      <c r="BD2166" s="3684">
        <v>54641.2</v>
      </c>
      <c r="BE2166" s="3684"/>
      <c r="BF2166" s="3684"/>
      <c r="BG2166" s="3684"/>
      <c r="BH2166" s="3684">
        <v>81961.8</v>
      </c>
      <c r="BI2166" s="3684"/>
      <c r="BJ2166" s="3684"/>
      <c r="BK2166" s="3684"/>
      <c r="BL2166" s="3684"/>
      <c r="BM2166" s="3684"/>
      <c r="BN2166" s="3684"/>
      <c r="BO2166" s="3708"/>
      <c r="BP2166" s="3708"/>
      <c r="BQ2166" s="3708"/>
      <c r="BR2166" s="3684">
        <v>54641.2</v>
      </c>
      <c r="BS2166" s="3708"/>
      <c r="BT2166" s="3708"/>
      <c r="BU2166" s="3708"/>
      <c r="BV2166" s="3684">
        <v>81961.8</v>
      </c>
      <c r="BW2166" s="3708"/>
      <c r="BX2166" s="3708"/>
      <c r="BY2166" s="3708"/>
      <c r="BZ2166" s="3708"/>
      <c r="CA2166" s="3708"/>
      <c r="CB2166" s="3684"/>
      <c r="CC2166" s="3684"/>
      <c r="CD2166" s="3684"/>
      <c r="CE2166" s="6810"/>
      <c r="CF2166" s="6810"/>
      <c r="CG2166" s="6810"/>
      <c r="CH2166" s="6810"/>
    </row>
    <row r="2167" s="4993" customFormat="1" ht="61" spans="1:86">
      <c r="A2167" s="3812"/>
      <c r="B2167" s="3684"/>
      <c r="C2167" s="3684"/>
      <c r="D2167" s="5060"/>
      <c r="E2167" s="5060"/>
      <c r="F2167" s="5060"/>
      <c r="G2167" s="5060"/>
      <c r="H2167" s="3684"/>
      <c r="I2167" s="5207"/>
      <c r="J2167" s="5060"/>
      <c r="K2167" s="5060"/>
      <c r="L2167" s="5060"/>
      <c r="M2167" s="3684"/>
      <c r="N2167" s="3812">
        <v>0</v>
      </c>
      <c r="O2167" s="3812">
        <v>0</v>
      </c>
      <c r="P2167" s="3812">
        <v>0</v>
      </c>
      <c r="Q2167" s="3812">
        <v>204904.5</v>
      </c>
      <c r="R2167" s="3812">
        <v>0</v>
      </c>
      <c r="S2167" s="3812">
        <v>0</v>
      </c>
      <c r="T2167" s="5089">
        <v>0</v>
      </c>
      <c r="U2167" s="3812">
        <v>245885.4</v>
      </c>
      <c r="V2167" s="3812">
        <v>0</v>
      </c>
      <c r="W2167" s="3812">
        <v>0</v>
      </c>
      <c r="X2167" s="3812">
        <v>0</v>
      </c>
      <c r="Y2167" s="3812"/>
      <c r="Z2167" s="3812"/>
      <c r="AA2167" s="2678">
        <v>0</v>
      </c>
      <c r="AB2167" s="5973"/>
      <c r="AC2167" s="5060" t="s">
        <v>1113</v>
      </c>
      <c r="AD2167" s="5388" t="s">
        <v>1284</v>
      </c>
      <c r="AE2167" s="5055">
        <v>0.6</v>
      </c>
      <c r="AF2167" s="3684">
        <f t="shared" si="472"/>
        <v>450789.9</v>
      </c>
      <c r="AG2167" s="3684">
        <f t="shared" si="473"/>
        <v>450789.9</v>
      </c>
      <c r="AH2167" s="3684" t="s">
        <v>122</v>
      </c>
      <c r="AI2167" s="3684">
        <v>44555</v>
      </c>
      <c r="AJ2167" s="3684">
        <v>450789.9</v>
      </c>
      <c r="AK2167" s="3684">
        <v>44547</v>
      </c>
      <c r="AL2167" s="3684">
        <v>450789.9</v>
      </c>
      <c r="AM2167" s="3684">
        <v>44754</v>
      </c>
      <c r="AN2167" s="3684">
        <f t="shared" si="474"/>
        <v>450789.9</v>
      </c>
      <c r="AO2167" s="3684">
        <v>44768</v>
      </c>
      <c r="AP2167" s="3684"/>
      <c r="AQ2167" s="5055"/>
      <c r="AR2167" s="3684"/>
      <c r="AS2167" s="5060"/>
      <c r="AT2167" s="3684"/>
      <c r="AU2167" s="2678"/>
      <c r="AV2167" s="2678"/>
      <c r="AW2167" s="2678"/>
      <c r="AX2167" s="2678"/>
      <c r="AY2167" s="2678"/>
      <c r="AZ2167" s="2678"/>
      <c r="BA2167" s="3684"/>
      <c r="BB2167" s="3684"/>
      <c r="BC2167" s="3684"/>
      <c r="BD2167" s="3684">
        <v>204904.5</v>
      </c>
      <c r="BE2167" s="3684"/>
      <c r="BF2167" s="3684"/>
      <c r="BG2167" s="3684"/>
      <c r="BH2167" s="3684">
        <v>245885.4</v>
      </c>
      <c r="BI2167" s="3684"/>
      <c r="BJ2167" s="3684"/>
      <c r="BK2167" s="3684"/>
      <c r="BL2167" s="3684"/>
      <c r="BM2167" s="3684"/>
      <c r="BN2167" s="3684"/>
      <c r="BO2167" s="3708"/>
      <c r="BP2167" s="3708"/>
      <c r="BQ2167" s="3708"/>
      <c r="BR2167" s="3684">
        <v>204904.5</v>
      </c>
      <c r="BS2167" s="3684"/>
      <c r="BT2167" s="3684"/>
      <c r="BU2167" s="3684"/>
      <c r="BV2167" s="3684">
        <v>245885.4</v>
      </c>
      <c r="BW2167" s="3708"/>
      <c r="BX2167" s="3708"/>
      <c r="BY2167" s="3708"/>
      <c r="BZ2167" s="3708"/>
      <c r="CA2167" s="3708"/>
      <c r="CB2167" s="3708"/>
      <c r="CC2167" s="3684"/>
      <c r="CD2167" s="3684"/>
      <c r="CE2167" s="6810"/>
      <c r="CF2167" s="6810"/>
      <c r="CG2167" s="6810"/>
      <c r="CH2167" s="6810"/>
    </row>
    <row r="2168" s="4993" customFormat="1" ht="33" customHeight="1" spans="1:86">
      <c r="A2168" s="3812"/>
      <c r="B2168" s="3684"/>
      <c r="C2168" s="3684"/>
      <c r="D2168" s="5060"/>
      <c r="E2168" s="5060"/>
      <c r="F2168" s="5060"/>
      <c r="G2168" s="5060"/>
      <c r="H2168" s="3684"/>
      <c r="I2168" s="5207"/>
      <c r="J2168" s="5060"/>
      <c r="K2168" s="5060"/>
      <c r="L2168" s="5060"/>
      <c r="M2168" s="3684"/>
      <c r="N2168" s="3812"/>
      <c r="O2168" s="3812"/>
      <c r="P2168" s="3812"/>
      <c r="Q2168" s="3812"/>
      <c r="R2168" s="3812"/>
      <c r="S2168" s="3812"/>
      <c r="T2168" s="5089"/>
      <c r="U2168" s="3812"/>
      <c r="V2168" s="3812"/>
      <c r="W2168" s="3812"/>
      <c r="X2168" s="3812"/>
      <c r="Y2168" s="3812"/>
      <c r="Z2168" s="3812"/>
      <c r="AA2168" s="2678"/>
      <c r="AB2168" s="5973"/>
      <c r="AC2168" s="5374" t="s">
        <v>1115</v>
      </c>
      <c r="AD2168" s="3909" t="s">
        <v>1285</v>
      </c>
      <c r="AE2168" s="3909">
        <v>0.2</v>
      </c>
      <c r="AF2168" s="4200">
        <f>Q2169+U2169+AA2169</f>
        <v>95622.1</v>
      </c>
      <c r="AG2168" s="3684">
        <f t="shared" si="473"/>
        <v>94765</v>
      </c>
      <c r="AH2168" s="3814" t="s">
        <v>122</v>
      </c>
      <c r="AI2168" s="3684">
        <v>44851</v>
      </c>
      <c r="AJ2168" s="3684">
        <f>SUM(BD2168:BQ2168)</f>
        <v>94765</v>
      </c>
      <c r="AK2168" s="3684">
        <v>44851</v>
      </c>
      <c r="AL2168" s="3684">
        <f>SUM(BL2168:BY2168)</f>
        <v>94765</v>
      </c>
      <c r="AM2168" s="3684">
        <v>45862</v>
      </c>
      <c r="AN2168" s="5162">
        <f t="shared" si="474"/>
        <v>94765</v>
      </c>
      <c r="AO2168" s="5162">
        <v>45989</v>
      </c>
      <c r="AP2168" s="3684"/>
      <c r="AQ2168" s="5055" t="s">
        <v>3808</v>
      </c>
      <c r="AR2168" s="3684"/>
      <c r="AS2168" s="5060"/>
      <c r="AT2168" s="3684"/>
      <c r="AU2168" s="2678"/>
      <c r="AV2168" s="2678"/>
      <c r="AW2168" s="2678"/>
      <c r="AX2168" s="2678"/>
      <c r="AY2168" s="2678"/>
      <c r="AZ2168" s="2678"/>
      <c r="BA2168" s="3684"/>
      <c r="BB2168" s="3684"/>
      <c r="BC2168" s="3684"/>
      <c r="BD2168" s="5163">
        <v>13537.86</v>
      </c>
      <c r="BE2168" s="3684"/>
      <c r="BF2168" s="3684"/>
      <c r="BG2168" s="3684"/>
      <c r="BH2168" s="5163">
        <v>81227.14</v>
      </c>
      <c r="BI2168" s="3684"/>
      <c r="BJ2168" s="3684"/>
      <c r="BK2168" s="3684"/>
      <c r="BL2168" s="3684"/>
      <c r="BM2168" s="3684"/>
      <c r="BN2168" s="3684"/>
      <c r="BO2168" s="3708"/>
      <c r="BP2168" s="3708"/>
      <c r="BQ2168" s="3708"/>
      <c r="BR2168" s="3708">
        <v>13537.86</v>
      </c>
      <c r="BS2168" s="3708"/>
      <c r="BT2168" s="3708"/>
      <c r="BU2168" s="3708"/>
      <c r="BV2168" s="3708">
        <v>81227.14</v>
      </c>
      <c r="BW2168" s="3708"/>
      <c r="BX2168" s="3708"/>
      <c r="BY2168" s="3708"/>
      <c r="BZ2168" s="3708"/>
      <c r="CA2168" s="3708"/>
      <c r="CB2168" s="3708"/>
      <c r="CC2168" s="3684"/>
      <c r="CD2168" s="3684"/>
      <c r="CE2168" s="6810"/>
      <c r="CF2168" s="6810"/>
      <c r="CG2168" s="6810"/>
      <c r="CH2168" s="6810"/>
    </row>
    <row r="2169" s="4993" customFormat="1" ht="42.75" customHeight="1" spans="1:86">
      <c r="A2169" s="3812"/>
      <c r="B2169" s="3684"/>
      <c r="C2169" s="3684"/>
      <c r="D2169" s="5060"/>
      <c r="E2169" s="5060"/>
      <c r="F2169" s="5060"/>
      <c r="G2169" s="5060"/>
      <c r="H2169" s="3684"/>
      <c r="I2169" s="5208"/>
      <c r="J2169" s="5060"/>
      <c r="K2169" s="5060"/>
      <c r="L2169" s="5060"/>
      <c r="M2169" s="3684"/>
      <c r="N2169" s="3812">
        <v>0</v>
      </c>
      <c r="O2169" s="3812">
        <v>0</v>
      </c>
      <c r="P2169" s="3812">
        <v>0</v>
      </c>
      <c r="Q2169" s="3812">
        <v>13660.3</v>
      </c>
      <c r="R2169" s="3812">
        <v>0</v>
      </c>
      <c r="S2169" s="3812">
        <v>0</v>
      </c>
      <c r="T2169" s="5089">
        <v>0</v>
      </c>
      <c r="U2169" s="3812">
        <v>81961.8</v>
      </c>
      <c r="V2169" s="3812">
        <v>0</v>
      </c>
      <c r="W2169" s="3812">
        <v>0</v>
      </c>
      <c r="X2169" s="3812">
        <v>0</v>
      </c>
      <c r="Y2169" s="3812"/>
      <c r="Z2169" s="3812"/>
      <c r="AA2169" s="2678">
        <v>0</v>
      </c>
      <c r="AB2169" s="5973"/>
      <c r="AC2169" s="5208"/>
      <c r="AD2169" s="7057"/>
      <c r="AE2169" s="3911"/>
      <c r="AF2169" s="4202"/>
      <c r="AG2169" s="3684">
        <f t="shared" si="473"/>
        <v>100000</v>
      </c>
      <c r="AH2169" s="3814" t="s">
        <v>122</v>
      </c>
      <c r="AI2169" s="3684">
        <v>45862</v>
      </c>
      <c r="AJ2169" s="3684">
        <f>SUM(BD2169:BQ2169)</f>
        <v>100000</v>
      </c>
      <c r="AK2169" s="3684">
        <v>45862</v>
      </c>
      <c r="AL2169" s="3684">
        <f>SUM(BL2169:BY2169)</f>
        <v>100000</v>
      </c>
      <c r="AM2169" s="3684">
        <v>45862</v>
      </c>
      <c r="AN2169" s="5162">
        <f t="shared" si="474"/>
        <v>100000</v>
      </c>
      <c r="AO2169" s="5162">
        <v>45989</v>
      </c>
      <c r="AP2169" s="3684"/>
      <c r="AQ2169" s="5055" t="s">
        <v>3809</v>
      </c>
      <c r="AR2169" s="3684"/>
      <c r="AS2169" s="5060"/>
      <c r="AT2169" s="3684"/>
      <c r="AU2169" s="2678"/>
      <c r="AV2169" s="2678"/>
      <c r="AW2169" s="2678"/>
      <c r="AX2169" s="2678"/>
      <c r="AY2169" s="2678"/>
      <c r="AZ2169" s="2678"/>
      <c r="BA2169" s="3684"/>
      <c r="BB2169" s="3684"/>
      <c r="BC2169" s="3684"/>
      <c r="BD2169" s="5163">
        <v>100000</v>
      </c>
      <c r="BE2169" s="3684"/>
      <c r="BF2169" s="3684"/>
      <c r="BG2169" s="3684"/>
      <c r="BH2169" s="5163"/>
      <c r="BI2169" s="3684"/>
      <c r="BJ2169" s="3684"/>
      <c r="BK2169" s="3684"/>
      <c r="BL2169" s="3684"/>
      <c r="BM2169" s="3684"/>
      <c r="BN2169" s="3684"/>
      <c r="BO2169" s="3708"/>
      <c r="BP2169" s="3708"/>
      <c r="BQ2169" s="3708"/>
      <c r="BR2169" s="3708">
        <v>100000</v>
      </c>
      <c r="BS2169" s="3708"/>
      <c r="BT2169" s="3708"/>
      <c r="BU2169" s="3708"/>
      <c r="BV2169" s="3708"/>
      <c r="BW2169" s="3708"/>
      <c r="BX2169" s="3708"/>
      <c r="BY2169" s="3708"/>
      <c r="BZ2169" s="3708"/>
      <c r="CA2169" s="3708"/>
      <c r="CB2169" s="3708"/>
      <c r="CC2169" s="3684"/>
      <c r="CD2169" s="3684"/>
      <c r="CE2169" s="6810"/>
      <c r="CF2169" s="6810"/>
      <c r="CG2169" s="6810"/>
      <c r="CH2169" s="6810"/>
    </row>
    <row r="2170" s="4992" customFormat="1" ht="40" customHeight="1" spans="1:86">
      <c r="A2170" s="3684">
        <v>47</v>
      </c>
      <c r="B2170" s="3684" t="s">
        <v>3079</v>
      </c>
      <c r="C2170" s="3684">
        <v>44766</v>
      </c>
      <c r="D2170" s="5055" t="s">
        <v>3810</v>
      </c>
      <c r="E2170" s="1035" t="s">
        <v>3811</v>
      </c>
      <c r="F2170" s="5055" t="s">
        <v>3812</v>
      </c>
      <c r="G2170" s="5055" t="s">
        <v>3813</v>
      </c>
      <c r="H2170" s="3684" t="s">
        <v>31</v>
      </c>
      <c r="I2170" s="3909" t="s">
        <v>3814</v>
      </c>
      <c r="J2170" s="5055" t="s">
        <v>3216</v>
      </c>
      <c r="K2170" s="5055" t="s">
        <v>3815</v>
      </c>
      <c r="L2170" s="5055" t="s">
        <v>3095</v>
      </c>
      <c r="M2170" s="3684">
        <f>SUM(N2170:AA2177)</f>
        <v>1189737.64</v>
      </c>
      <c r="N2170" s="2678">
        <v>0</v>
      </c>
      <c r="O2170" s="2678">
        <v>0</v>
      </c>
      <c r="P2170" s="2678">
        <v>0</v>
      </c>
      <c r="Q2170" s="2678">
        <v>0</v>
      </c>
      <c r="R2170" s="2678">
        <v>0</v>
      </c>
      <c r="S2170" s="2678">
        <v>0</v>
      </c>
      <c r="T2170" s="5823">
        <v>0</v>
      </c>
      <c r="U2170" s="2678">
        <v>1189737.64</v>
      </c>
      <c r="V2170" s="2678">
        <v>0</v>
      </c>
      <c r="W2170" s="2678">
        <v>0</v>
      </c>
      <c r="X2170" s="2678">
        <v>0</v>
      </c>
      <c r="Y2170" s="3912">
        <v>0</v>
      </c>
      <c r="Z2170" s="3912"/>
      <c r="AA2170" s="2678">
        <v>0</v>
      </c>
      <c r="AB2170" s="5667" t="s">
        <v>171</v>
      </c>
      <c r="AC2170" s="5060" t="s">
        <v>1110</v>
      </c>
      <c r="AD2170" s="5388" t="s">
        <v>3816</v>
      </c>
      <c r="AE2170" s="5055">
        <v>0.2</v>
      </c>
      <c r="AF2170" s="3684">
        <f>M2170*AE2170</f>
        <v>237947.528</v>
      </c>
      <c r="AG2170" s="3684">
        <v>237947.528</v>
      </c>
      <c r="AH2170" s="3814" t="s">
        <v>122</v>
      </c>
      <c r="AI2170" s="3684">
        <v>44849</v>
      </c>
      <c r="AJ2170" s="3684">
        <v>237947.528</v>
      </c>
      <c r="AK2170" s="3684">
        <v>44849</v>
      </c>
      <c r="AL2170" s="3684">
        <v>237947.528</v>
      </c>
      <c r="AM2170" s="3684">
        <v>44963</v>
      </c>
      <c r="AN2170" s="3684">
        <v>237947.528</v>
      </c>
      <c r="AO2170" s="3684">
        <v>45075</v>
      </c>
      <c r="AP2170" s="3684">
        <f>AG2170+AG2171+AG2172+AG2174-AN2170-AN2171-AN2172-AN2174</f>
        <v>0</v>
      </c>
      <c r="AQ2170" s="3814"/>
      <c r="AR2170" s="3684"/>
      <c r="AS2170" s="5060"/>
      <c r="AT2170" s="3684"/>
      <c r="AU2170" s="2678">
        <f>SUM(AG2170:AG2177)</f>
        <v>1203112.256</v>
      </c>
      <c r="AV2170" s="2678">
        <f>SUM(AL2170:AL2177)</f>
        <v>1203112.26</v>
      </c>
      <c r="AW2170" s="2678">
        <f>SUM(AN2170:AN2177)</f>
        <v>1203112.256</v>
      </c>
      <c r="AX2170" s="2678">
        <f>M2170-AU2170</f>
        <v>-13374.6159999999</v>
      </c>
      <c r="AY2170" s="2678">
        <f>AU2170-AV2170</f>
        <v>-0.00399999995715916</v>
      </c>
      <c r="AZ2170" s="2678">
        <f>AV2170-AW2170</f>
        <v>0.00399999995715916</v>
      </c>
      <c r="BA2170" s="3684"/>
      <c r="BB2170" s="3684"/>
      <c r="BC2170" s="3684"/>
      <c r="BD2170" s="3684"/>
      <c r="BE2170" s="3684"/>
      <c r="BF2170" s="3684"/>
      <c r="BG2170" s="3684"/>
      <c r="BH2170" s="3684">
        <v>237947.528</v>
      </c>
      <c r="BI2170" s="3684"/>
      <c r="BJ2170" s="3684"/>
      <c r="BK2170" s="3684"/>
      <c r="BL2170" s="3684"/>
      <c r="BM2170" s="3684"/>
      <c r="BN2170" s="3684"/>
      <c r="BO2170" s="3684"/>
      <c r="BP2170" s="3684"/>
      <c r="BQ2170" s="3684"/>
      <c r="BR2170" s="3684"/>
      <c r="BS2170" s="3684"/>
      <c r="BT2170" s="3684"/>
      <c r="BU2170" s="3684"/>
      <c r="BV2170" s="3684">
        <v>237947.528</v>
      </c>
      <c r="BW2170" s="3684"/>
      <c r="BX2170" s="3684"/>
      <c r="BY2170" s="3684"/>
      <c r="BZ2170" s="3684"/>
      <c r="CA2170" s="3684"/>
      <c r="CB2170" s="3684"/>
      <c r="CC2170" s="3662" t="s">
        <v>1112</v>
      </c>
      <c r="CD2170" s="3662" t="s">
        <v>154</v>
      </c>
      <c r="CE2170" s="6802"/>
      <c r="CF2170" s="6802"/>
      <c r="CG2170" s="6802"/>
      <c r="CH2170" s="6802"/>
    </row>
    <row r="2171" s="4992" customFormat="1" ht="40" customHeight="1" spans="1:86">
      <c r="A2171" s="3684"/>
      <c r="B2171" s="3684"/>
      <c r="C2171" s="3684"/>
      <c r="D2171" s="5060"/>
      <c r="E2171" s="5667"/>
      <c r="F2171" s="5060"/>
      <c r="G2171" s="5060"/>
      <c r="H2171" s="3684"/>
      <c r="I2171" s="5207"/>
      <c r="J2171" s="5060"/>
      <c r="K2171" s="5060"/>
      <c r="L2171" s="5060"/>
      <c r="M2171" s="3684"/>
      <c r="N2171" s="2678"/>
      <c r="O2171" s="2678"/>
      <c r="P2171" s="2678"/>
      <c r="Q2171" s="2678"/>
      <c r="R2171" s="2678"/>
      <c r="S2171" s="2678"/>
      <c r="T2171" s="2678"/>
      <c r="U2171" s="2678"/>
      <c r="V2171" s="2678"/>
      <c r="W2171" s="2678"/>
      <c r="X2171" s="2678"/>
      <c r="Y2171" s="3913"/>
      <c r="Z2171" s="3913"/>
      <c r="AA2171" s="2678"/>
      <c r="AB2171" s="5667"/>
      <c r="AC2171" s="5060" t="s">
        <v>1113</v>
      </c>
      <c r="AD2171" s="5055" t="s">
        <v>3817</v>
      </c>
      <c r="AE2171" s="5055">
        <v>0.3</v>
      </c>
      <c r="AF2171" s="3684">
        <f>M2170*AE2171</f>
        <v>356921.292</v>
      </c>
      <c r="AG2171" s="3684">
        <f t="shared" ref="AG2170:AG2201" si="475">SUM(BA2171:BN2171)</f>
        <v>135737.7</v>
      </c>
      <c r="AH2171" s="3814" t="s">
        <v>122</v>
      </c>
      <c r="AI2171" s="3684">
        <v>44849</v>
      </c>
      <c r="AJ2171" s="3684">
        <f>SUM(BD2171:BQ2171)</f>
        <v>135737.7</v>
      </c>
      <c r="AK2171" s="3684">
        <v>44849</v>
      </c>
      <c r="AL2171" s="3684">
        <f>SUM(BF2171:BS2171)</f>
        <v>135737.7</v>
      </c>
      <c r="AM2171" s="3684">
        <v>44963</v>
      </c>
      <c r="AN2171" s="3684">
        <f t="shared" ref="AN2171:AN2176" si="476">SUM(BH2171:BU2171)</f>
        <v>135737.7</v>
      </c>
      <c r="AO2171" s="3684">
        <v>45075</v>
      </c>
      <c r="AP2171" s="3684"/>
      <c r="AQ2171" s="3814"/>
      <c r="AR2171" s="5055" t="s">
        <v>3818</v>
      </c>
      <c r="AS2171" s="5060"/>
      <c r="AT2171" s="3684"/>
      <c r="AU2171" s="2678"/>
      <c r="AV2171" s="2678"/>
      <c r="AW2171" s="2678"/>
      <c r="AX2171" s="2678"/>
      <c r="AY2171" s="2678"/>
      <c r="AZ2171" s="2678"/>
      <c r="BA2171" s="3684"/>
      <c r="BB2171" s="3684"/>
      <c r="BC2171" s="3684"/>
      <c r="BD2171" s="3684"/>
      <c r="BE2171" s="3684"/>
      <c r="BF2171" s="3684"/>
      <c r="BG2171" s="3684"/>
      <c r="BH2171" s="3684">
        <v>135737.7</v>
      </c>
      <c r="BI2171" s="3684"/>
      <c r="BJ2171" s="3684"/>
      <c r="BK2171" s="3684"/>
      <c r="BL2171" s="3684"/>
      <c r="BM2171" s="3684"/>
      <c r="BN2171" s="3684"/>
      <c r="BO2171" s="3684"/>
      <c r="BP2171" s="3684"/>
      <c r="BQ2171" s="3684"/>
      <c r="BR2171" s="3684"/>
      <c r="BS2171" s="3684"/>
      <c r="BT2171" s="3684"/>
      <c r="BU2171" s="3684"/>
      <c r="BV2171" s="3684">
        <v>135737.7</v>
      </c>
      <c r="BW2171" s="3684"/>
      <c r="BX2171" s="3684"/>
      <c r="BY2171" s="3684"/>
      <c r="BZ2171" s="3684"/>
      <c r="CA2171" s="3684"/>
      <c r="CB2171" s="3684"/>
      <c r="CC2171" s="3662"/>
      <c r="CD2171" s="3662"/>
      <c r="CE2171" s="6802"/>
      <c r="CF2171" s="6802"/>
      <c r="CG2171" s="6802"/>
      <c r="CH2171" s="6802"/>
    </row>
    <row r="2172" s="4992" customFormat="1" ht="40" customHeight="1" spans="1:86">
      <c r="A2172" s="3684"/>
      <c r="B2172" s="3684"/>
      <c r="C2172" s="3684"/>
      <c r="D2172" s="5060"/>
      <c r="E2172" s="5667"/>
      <c r="F2172" s="5060"/>
      <c r="G2172" s="5060"/>
      <c r="H2172" s="3684"/>
      <c r="I2172" s="5207"/>
      <c r="J2172" s="5060"/>
      <c r="K2172" s="5060"/>
      <c r="L2172" s="5060"/>
      <c r="M2172" s="3684"/>
      <c r="N2172" s="2678"/>
      <c r="O2172" s="2678"/>
      <c r="P2172" s="2678"/>
      <c r="Q2172" s="2678"/>
      <c r="R2172" s="2678"/>
      <c r="S2172" s="2678"/>
      <c r="T2172" s="2678"/>
      <c r="U2172" s="2678"/>
      <c r="V2172" s="2678"/>
      <c r="W2172" s="2678"/>
      <c r="X2172" s="2678"/>
      <c r="Y2172" s="3913"/>
      <c r="Z2172" s="3913"/>
      <c r="AA2172" s="2678"/>
      <c r="AB2172" s="5667"/>
      <c r="AC2172" s="5060"/>
      <c r="AD2172" s="5055"/>
      <c r="AE2172" s="5055"/>
      <c r="AF2172" s="3684"/>
      <c r="AG2172" s="3684">
        <f t="shared" si="475"/>
        <v>85445.89</v>
      </c>
      <c r="AH2172" s="3814" t="s">
        <v>122</v>
      </c>
      <c r="AI2172" s="3684">
        <v>44963</v>
      </c>
      <c r="AJ2172" s="3684">
        <v>85445.89</v>
      </c>
      <c r="AK2172" s="3684">
        <v>44963</v>
      </c>
      <c r="AL2172" s="3684">
        <v>85445.89</v>
      </c>
      <c r="AM2172" s="3684">
        <v>44963</v>
      </c>
      <c r="AN2172" s="3684">
        <f t="shared" si="476"/>
        <v>85445.89</v>
      </c>
      <c r="AO2172" s="3684">
        <v>45075</v>
      </c>
      <c r="AP2172" s="3684"/>
      <c r="AQ2172" s="3814"/>
      <c r="AR2172" s="3684"/>
      <c r="AS2172" s="5060"/>
      <c r="AT2172" s="3684"/>
      <c r="AU2172" s="2678"/>
      <c r="AV2172" s="2678"/>
      <c r="AW2172" s="2678"/>
      <c r="AX2172" s="2678"/>
      <c r="AY2172" s="2678"/>
      <c r="AZ2172" s="2678"/>
      <c r="BA2172" s="3684"/>
      <c r="BB2172" s="3684"/>
      <c r="BC2172" s="3684"/>
      <c r="BD2172" s="3684"/>
      <c r="BE2172" s="3684"/>
      <c r="BF2172" s="3684"/>
      <c r="BG2172" s="3684"/>
      <c r="BH2172" s="3684">
        <v>85445.89</v>
      </c>
      <c r="BI2172" s="3684"/>
      <c r="BJ2172" s="3684"/>
      <c r="BK2172" s="3684"/>
      <c r="BL2172" s="3684"/>
      <c r="BM2172" s="3684"/>
      <c r="BN2172" s="3684"/>
      <c r="BO2172" s="3684"/>
      <c r="BP2172" s="3684"/>
      <c r="BQ2172" s="3684"/>
      <c r="BR2172" s="3684"/>
      <c r="BS2172" s="3684"/>
      <c r="BT2172" s="3684"/>
      <c r="BU2172" s="3684"/>
      <c r="BV2172" s="3684">
        <v>85445.89</v>
      </c>
      <c r="BW2172" s="3684"/>
      <c r="BX2172" s="3684"/>
      <c r="BY2172" s="3684"/>
      <c r="BZ2172" s="3684"/>
      <c r="CA2172" s="3684"/>
      <c r="CB2172" s="3684"/>
      <c r="CC2172" s="3662"/>
      <c r="CD2172" s="3662"/>
      <c r="CE2172" s="6802"/>
      <c r="CF2172" s="6802"/>
      <c r="CG2172" s="6802"/>
      <c r="CH2172" s="6802"/>
    </row>
    <row r="2173" s="4992" customFormat="1" ht="40" customHeight="1" spans="1:86">
      <c r="A2173" s="3684"/>
      <c r="B2173" s="3684"/>
      <c r="C2173" s="3684"/>
      <c r="D2173" s="5060"/>
      <c r="E2173" s="5667"/>
      <c r="F2173" s="5060"/>
      <c r="G2173" s="5060"/>
      <c r="H2173" s="3684"/>
      <c r="I2173" s="5207"/>
      <c r="J2173" s="5060"/>
      <c r="K2173" s="5060"/>
      <c r="L2173" s="5060"/>
      <c r="M2173" s="3684"/>
      <c r="N2173" s="2678"/>
      <c r="O2173" s="2678"/>
      <c r="P2173" s="2678"/>
      <c r="Q2173" s="2678"/>
      <c r="R2173" s="2678"/>
      <c r="S2173" s="2678"/>
      <c r="T2173" s="2678"/>
      <c r="U2173" s="2678"/>
      <c r="V2173" s="2678"/>
      <c r="W2173" s="2678"/>
      <c r="X2173" s="2678"/>
      <c r="Y2173" s="3913"/>
      <c r="Z2173" s="3913"/>
      <c r="AA2173" s="2678"/>
      <c r="AB2173" s="5667"/>
      <c r="AC2173" s="5060"/>
      <c r="AD2173" s="5055"/>
      <c r="AE2173" s="5055"/>
      <c r="AF2173" s="3684"/>
      <c r="AG2173" s="3684">
        <f t="shared" si="475"/>
        <v>135737.7</v>
      </c>
      <c r="AH2173" s="3814" t="s">
        <v>122</v>
      </c>
      <c r="AI2173" s="3684">
        <v>45252</v>
      </c>
      <c r="AJ2173" s="3684">
        <f>AF2171-(AJ2171+AJ2172)</f>
        <v>135737.702</v>
      </c>
      <c r="AK2173" s="3684">
        <v>45252</v>
      </c>
      <c r="AL2173" s="3684">
        <f>SUM(BF2173:BS2173)</f>
        <v>135737.7</v>
      </c>
      <c r="AM2173" s="3684">
        <v>45456</v>
      </c>
      <c r="AN2173" s="3684">
        <f t="shared" si="476"/>
        <v>135737.7</v>
      </c>
      <c r="AO2173" s="3684">
        <v>45504</v>
      </c>
      <c r="AP2173" s="3684"/>
      <c r="AQ2173" s="3814"/>
      <c r="AR2173" s="5055"/>
      <c r="AS2173" s="5060"/>
      <c r="AT2173" s="3684"/>
      <c r="AU2173" s="2678"/>
      <c r="AV2173" s="2678"/>
      <c r="AW2173" s="2678"/>
      <c r="AX2173" s="2678"/>
      <c r="AY2173" s="2678"/>
      <c r="AZ2173" s="2678"/>
      <c r="BA2173" s="3684"/>
      <c r="BB2173" s="3684"/>
      <c r="BC2173" s="3684"/>
      <c r="BD2173" s="3708"/>
      <c r="BE2173" s="3708"/>
      <c r="BF2173" s="3708"/>
      <c r="BG2173" s="3708"/>
      <c r="BH2173" s="3684">
        <v>135737.7</v>
      </c>
      <c r="BI2173" s="3708"/>
      <c r="BJ2173" s="3684"/>
      <c r="BK2173" s="3684"/>
      <c r="BL2173" s="3684"/>
      <c r="BM2173" s="3684"/>
      <c r="BN2173" s="3708"/>
      <c r="BO2173" s="3684"/>
      <c r="BP2173" s="3684"/>
      <c r="BQ2173" s="3684"/>
      <c r="BR2173" s="3684"/>
      <c r="BS2173" s="3684"/>
      <c r="BT2173" s="3684"/>
      <c r="BU2173" s="3684"/>
      <c r="BV2173" s="3708">
        <v>135737.7</v>
      </c>
      <c r="BW2173" s="3684"/>
      <c r="BX2173" s="3684"/>
      <c r="BY2173" s="3684"/>
      <c r="BZ2173" s="3684"/>
      <c r="CA2173" s="3684"/>
      <c r="CB2173" s="3684"/>
      <c r="CC2173" s="3662"/>
      <c r="CD2173" s="3662"/>
      <c r="CE2173" s="5170">
        <f>SUBTOTAL(9,BO2173:CB2173)</f>
        <v>135737.7</v>
      </c>
      <c r="CF2173" s="5170">
        <f>AN2173-CE2173</f>
        <v>0</v>
      </c>
      <c r="CG2173" s="6802"/>
      <c r="CH2173" s="6802"/>
    </row>
    <row r="2174" s="4992" customFormat="1" ht="40" customHeight="1" spans="1:86">
      <c r="A2174" s="3684"/>
      <c r="B2174" s="3684"/>
      <c r="C2174" s="3684"/>
      <c r="D2174" s="5060"/>
      <c r="E2174" s="5667"/>
      <c r="F2174" s="5060"/>
      <c r="G2174" s="5060"/>
      <c r="H2174" s="3684"/>
      <c r="I2174" s="5207"/>
      <c r="J2174" s="5060"/>
      <c r="K2174" s="5060"/>
      <c r="L2174" s="5060"/>
      <c r="M2174" s="3684"/>
      <c r="N2174" s="2678"/>
      <c r="O2174" s="2678"/>
      <c r="P2174" s="2678"/>
      <c r="Q2174" s="2678"/>
      <c r="R2174" s="2678"/>
      <c r="S2174" s="2678"/>
      <c r="T2174" s="2678"/>
      <c r="U2174" s="2678"/>
      <c r="V2174" s="2678"/>
      <c r="W2174" s="2678"/>
      <c r="X2174" s="2678"/>
      <c r="Y2174" s="3913"/>
      <c r="Z2174" s="3913"/>
      <c r="AA2174" s="2678"/>
      <c r="AB2174" s="5667"/>
      <c r="AC2174" s="5060" t="s">
        <v>1115</v>
      </c>
      <c r="AD2174" s="5055" t="s">
        <v>3819</v>
      </c>
      <c r="AE2174" s="5055">
        <v>0.3</v>
      </c>
      <c r="AF2174" s="3684">
        <f>M2170*AE2174</f>
        <v>356921.292</v>
      </c>
      <c r="AG2174" s="3684">
        <f t="shared" si="475"/>
        <v>135737.7</v>
      </c>
      <c r="AH2174" s="3814" t="s">
        <v>122</v>
      </c>
      <c r="AI2174" s="3684">
        <v>44917</v>
      </c>
      <c r="AJ2174" s="3684">
        <f>SUM(BD2174:BQ2174)</f>
        <v>135737.7</v>
      </c>
      <c r="AK2174" s="3684">
        <v>44917</v>
      </c>
      <c r="AL2174" s="3684">
        <f>SUM(BF2174:BS2174)</f>
        <v>135737.7</v>
      </c>
      <c r="AM2174" s="3684">
        <v>44963</v>
      </c>
      <c r="AN2174" s="3684">
        <f t="shared" si="476"/>
        <v>135737.7</v>
      </c>
      <c r="AO2174" s="3684">
        <v>45075</v>
      </c>
      <c r="AP2174" s="3684"/>
      <c r="AQ2174" s="3814"/>
      <c r="AR2174" s="5055" t="s">
        <v>3818</v>
      </c>
      <c r="AS2174" s="5060"/>
      <c r="AT2174" s="3684"/>
      <c r="AU2174" s="2678"/>
      <c r="AV2174" s="2678"/>
      <c r="AW2174" s="2678"/>
      <c r="AX2174" s="2678"/>
      <c r="AY2174" s="2678"/>
      <c r="AZ2174" s="2678"/>
      <c r="BA2174" s="3684"/>
      <c r="BB2174" s="3684"/>
      <c r="BC2174" s="3684"/>
      <c r="BD2174" s="3684"/>
      <c r="BE2174" s="3684"/>
      <c r="BF2174" s="3684"/>
      <c r="BG2174" s="3684"/>
      <c r="BH2174" s="3684">
        <v>135737.7</v>
      </c>
      <c r="BI2174" s="3684"/>
      <c r="BJ2174" s="3684"/>
      <c r="BK2174" s="3684"/>
      <c r="BL2174" s="3684"/>
      <c r="BM2174" s="3684"/>
      <c r="BN2174" s="3684"/>
      <c r="BO2174" s="3684"/>
      <c r="BP2174" s="3684"/>
      <c r="BQ2174" s="3684"/>
      <c r="BR2174" s="3684"/>
      <c r="BS2174" s="3684"/>
      <c r="BT2174" s="3684"/>
      <c r="BU2174" s="3684"/>
      <c r="BV2174" s="3684">
        <v>135737.7</v>
      </c>
      <c r="BW2174" s="3684"/>
      <c r="BX2174" s="3684"/>
      <c r="BY2174" s="3684"/>
      <c r="BZ2174" s="3684"/>
      <c r="CA2174" s="3684"/>
      <c r="CB2174" s="3684"/>
      <c r="CC2174" s="3662"/>
      <c r="CD2174" s="3662"/>
      <c r="CE2174" s="6802"/>
      <c r="CF2174" s="6802"/>
      <c r="CG2174" s="6802"/>
      <c r="CH2174" s="6802"/>
    </row>
    <row r="2175" s="4992" customFormat="1" ht="40" customHeight="1" spans="1:86">
      <c r="A2175" s="3684"/>
      <c r="B2175" s="3684"/>
      <c r="C2175" s="3684"/>
      <c r="D2175" s="5060"/>
      <c r="E2175" s="5667"/>
      <c r="F2175" s="5060"/>
      <c r="G2175" s="5060"/>
      <c r="H2175" s="3684"/>
      <c r="I2175" s="5207"/>
      <c r="J2175" s="5060"/>
      <c r="K2175" s="5060"/>
      <c r="L2175" s="5060"/>
      <c r="M2175" s="3684"/>
      <c r="N2175" s="2678"/>
      <c r="O2175" s="2678"/>
      <c r="P2175" s="2678"/>
      <c r="Q2175" s="2678"/>
      <c r="R2175" s="2678"/>
      <c r="S2175" s="2678"/>
      <c r="T2175" s="2678"/>
      <c r="U2175" s="2678"/>
      <c r="V2175" s="2678"/>
      <c r="W2175" s="2678"/>
      <c r="X2175" s="2678"/>
      <c r="Y2175" s="3913"/>
      <c r="Z2175" s="3913"/>
      <c r="AA2175" s="2678"/>
      <c r="AB2175" s="5667"/>
      <c r="AC2175" s="5060"/>
      <c r="AD2175" s="5055"/>
      <c r="AE2175" s="5055"/>
      <c r="AF2175" s="3684"/>
      <c r="AG2175" s="3684">
        <f t="shared" si="475"/>
        <v>221183.592</v>
      </c>
      <c r="AH2175" s="3814" t="s">
        <v>122</v>
      </c>
      <c r="AI2175" s="3684">
        <v>45252</v>
      </c>
      <c r="AJ2175" s="3684">
        <f>AF2174-AJ2174</f>
        <v>221183.592</v>
      </c>
      <c r="AK2175" s="3684">
        <v>45252</v>
      </c>
      <c r="AL2175" s="3684">
        <v>221183.592</v>
      </c>
      <c r="AM2175" s="3684">
        <v>45456</v>
      </c>
      <c r="AN2175" s="3684">
        <f t="shared" si="476"/>
        <v>221183.592</v>
      </c>
      <c r="AO2175" s="3684">
        <v>45504</v>
      </c>
      <c r="AP2175" s="3684"/>
      <c r="AQ2175" s="3814"/>
      <c r="AR2175" s="3684"/>
      <c r="AS2175" s="5060"/>
      <c r="AT2175" s="3684"/>
      <c r="AU2175" s="2678"/>
      <c r="AV2175" s="2678"/>
      <c r="AW2175" s="2678"/>
      <c r="AX2175" s="2678"/>
      <c r="AY2175" s="2678"/>
      <c r="AZ2175" s="2678"/>
      <c r="BA2175" s="3684"/>
      <c r="BB2175" s="3684"/>
      <c r="BC2175" s="3684"/>
      <c r="BD2175" s="3708"/>
      <c r="BE2175" s="3708"/>
      <c r="BF2175" s="3708"/>
      <c r="BG2175" s="3708"/>
      <c r="BH2175" s="3684">
        <v>221183.592</v>
      </c>
      <c r="BI2175" s="3708"/>
      <c r="BJ2175" s="3684"/>
      <c r="BK2175" s="3684"/>
      <c r="BL2175" s="3684"/>
      <c r="BM2175" s="3684"/>
      <c r="BN2175" s="3708"/>
      <c r="BO2175" s="3684"/>
      <c r="BP2175" s="3684"/>
      <c r="BQ2175" s="3684"/>
      <c r="BR2175" s="3684"/>
      <c r="BS2175" s="3684"/>
      <c r="BT2175" s="3684"/>
      <c r="BU2175" s="3684"/>
      <c r="BV2175" s="3708">
        <v>221183.592</v>
      </c>
      <c r="BW2175" s="3684"/>
      <c r="BX2175" s="3684"/>
      <c r="BY2175" s="3684"/>
      <c r="BZ2175" s="3684"/>
      <c r="CA2175" s="3684"/>
      <c r="CB2175" s="3684"/>
      <c r="CC2175" s="3662"/>
      <c r="CD2175" s="3662"/>
      <c r="CE2175" s="5170">
        <f>SUBTOTAL(9,BO2175:CB2175)</f>
        <v>221183.592</v>
      </c>
      <c r="CF2175" s="5170">
        <f>AN2175-CE2175</f>
        <v>0</v>
      </c>
      <c r="CG2175" s="6802"/>
      <c r="CH2175" s="6802"/>
    </row>
    <row r="2176" s="4992" customFormat="1" ht="40" customHeight="1" spans="1:86">
      <c r="A2176" s="3684"/>
      <c r="B2176" s="3684"/>
      <c r="C2176" s="3684"/>
      <c r="D2176" s="5060"/>
      <c r="E2176" s="5667"/>
      <c r="F2176" s="5060"/>
      <c r="G2176" s="5060"/>
      <c r="H2176" s="3684"/>
      <c r="I2176" s="5207"/>
      <c r="J2176" s="5060"/>
      <c r="K2176" s="5060"/>
      <c r="L2176" s="5060"/>
      <c r="M2176" s="3684"/>
      <c r="N2176" s="2678"/>
      <c r="O2176" s="2678"/>
      <c r="P2176" s="2678"/>
      <c r="Q2176" s="2678"/>
      <c r="R2176" s="2678"/>
      <c r="S2176" s="2678"/>
      <c r="T2176" s="2678"/>
      <c r="U2176" s="2678"/>
      <c r="V2176" s="2678"/>
      <c r="W2176" s="2678"/>
      <c r="X2176" s="2678"/>
      <c r="Y2176" s="3913"/>
      <c r="Z2176" s="3913"/>
      <c r="AA2176" s="2678"/>
      <c r="AB2176" s="5667"/>
      <c r="AC2176" s="5060" t="s">
        <v>1594</v>
      </c>
      <c r="AD2176" s="5388" t="s">
        <v>1226</v>
      </c>
      <c r="AE2176" s="5055">
        <v>0.15</v>
      </c>
      <c r="AF2176" s="3684">
        <f>M2170*AE2176</f>
        <v>178460.646</v>
      </c>
      <c r="AG2176" s="3684">
        <f t="shared" si="475"/>
        <v>178460.646</v>
      </c>
      <c r="AH2176" s="3814" t="s">
        <v>122</v>
      </c>
      <c r="AI2176" s="3684">
        <v>45252</v>
      </c>
      <c r="AJ2176" s="3684">
        <v>178460.646</v>
      </c>
      <c r="AK2176" s="3684">
        <v>45252</v>
      </c>
      <c r="AL2176" s="3684">
        <v>178460.65</v>
      </c>
      <c r="AM2176" s="3684">
        <v>45456</v>
      </c>
      <c r="AN2176" s="3684">
        <f t="shared" si="476"/>
        <v>178460.646</v>
      </c>
      <c r="AO2176" s="3684">
        <v>45504</v>
      </c>
      <c r="AP2176" s="3684"/>
      <c r="AQ2176" s="3814"/>
      <c r="AR2176" s="3684"/>
      <c r="AS2176" s="5060"/>
      <c r="AT2176" s="3684"/>
      <c r="AU2176" s="2678"/>
      <c r="AV2176" s="2678"/>
      <c r="AW2176" s="2678"/>
      <c r="AX2176" s="2678"/>
      <c r="AY2176" s="2678"/>
      <c r="AZ2176" s="2678"/>
      <c r="BA2176" s="3684"/>
      <c r="BB2176" s="3684"/>
      <c r="BC2176" s="3684"/>
      <c r="BD2176" s="3684"/>
      <c r="BE2176" s="3684"/>
      <c r="BF2176" s="3684"/>
      <c r="BG2176" s="3684"/>
      <c r="BH2176" s="3684">
        <v>178460.646</v>
      </c>
      <c r="BI2176" s="3684"/>
      <c r="BJ2176" s="3684"/>
      <c r="BK2176" s="3684"/>
      <c r="BL2176" s="3684"/>
      <c r="BM2176" s="3684"/>
      <c r="BN2176" s="3684"/>
      <c r="BO2176" s="3684"/>
      <c r="BP2176" s="3684"/>
      <c r="BQ2176" s="3684"/>
      <c r="BR2176" s="3684"/>
      <c r="BS2176" s="3684"/>
      <c r="BT2176" s="3684"/>
      <c r="BU2176" s="3684"/>
      <c r="BV2176" s="3708">
        <v>178460.646</v>
      </c>
      <c r="BW2176" s="3684"/>
      <c r="BX2176" s="3684"/>
      <c r="BY2176" s="3684"/>
      <c r="BZ2176" s="3684"/>
      <c r="CA2176" s="3684"/>
      <c r="CB2176" s="3684"/>
      <c r="CC2176" s="3662"/>
      <c r="CD2176" s="3662"/>
      <c r="CE2176" s="5170">
        <f>SUBTOTAL(9,BO2176:CB2176)</f>
        <v>178460.646</v>
      </c>
      <c r="CF2176" s="5170">
        <f>AN2176-CE2176</f>
        <v>0</v>
      </c>
      <c r="CG2176" s="6802"/>
      <c r="CH2176" s="6802"/>
    </row>
    <row r="2177" s="4992" customFormat="1" ht="40" customHeight="1" spans="1:86">
      <c r="A2177" s="3684"/>
      <c r="B2177" s="3684"/>
      <c r="C2177" s="3684"/>
      <c r="D2177" s="5060"/>
      <c r="E2177" s="5667"/>
      <c r="F2177" s="5060"/>
      <c r="G2177" s="5060"/>
      <c r="H2177" s="3684"/>
      <c r="I2177" s="5208"/>
      <c r="J2177" s="5060"/>
      <c r="K2177" s="5060"/>
      <c r="L2177" s="5060"/>
      <c r="M2177" s="3684"/>
      <c r="N2177" s="2678"/>
      <c r="O2177" s="2678"/>
      <c r="P2177" s="2678"/>
      <c r="Q2177" s="2678"/>
      <c r="R2177" s="2678"/>
      <c r="S2177" s="2678"/>
      <c r="T2177" s="2678"/>
      <c r="U2177" s="2678"/>
      <c r="V2177" s="2678"/>
      <c r="W2177" s="2678"/>
      <c r="X2177" s="2678"/>
      <c r="Y2177" s="3914"/>
      <c r="Z2177" s="3914"/>
      <c r="AA2177" s="2678"/>
      <c r="AB2177" s="5667"/>
      <c r="AC2177" s="5055" t="s">
        <v>3246</v>
      </c>
      <c r="AD2177" s="5388" t="s">
        <v>3820</v>
      </c>
      <c r="AE2177" s="5055">
        <v>0.05</v>
      </c>
      <c r="AF2177" s="3684">
        <f>M2170*AE2177</f>
        <v>59486.882</v>
      </c>
      <c r="AG2177" s="5162">
        <f t="shared" si="475"/>
        <v>72861.5</v>
      </c>
      <c r="AH2177" s="6027" t="s">
        <v>122</v>
      </c>
      <c r="AI2177" s="5162">
        <v>45764</v>
      </c>
      <c r="AJ2177" s="5162">
        <v>72861.5</v>
      </c>
      <c r="AK2177" s="5162">
        <v>45764</v>
      </c>
      <c r="AL2177" s="5162">
        <v>72861.5</v>
      </c>
      <c r="AM2177" s="5162">
        <v>45764</v>
      </c>
      <c r="AN2177" s="5162">
        <f t="shared" ref="AN2177:AN2192" si="477">SUM(BO2177:CB2177)</f>
        <v>72861.5</v>
      </c>
      <c r="AO2177" s="5162">
        <v>45835</v>
      </c>
      <c r="AP2177" s="3684">
        <f t="shared" ref="AP2177:AP2185" si="478">AG2177-AL2177</f>
        <v>0</v>
      </c>
      <c r="AQ2177" s="3814" t="s">
        <v>3821</v>
      </c>
      <c r="AR2177" s="3814" t="s">
        <v>3822</v>
      </c>
      <c r="AS2177" s="5060"/>
      <c r="AT2177" s="3684"/>
      <c r="AU2177" s="2678"/>
      <c r="AV2177" s="2678"/>
      <c r="AW2177" s="2678"/>
      <c r="AX2177" s="2678"/>
      <c r="AY2177" s="2678"/>
      <c r="AZ2177" s="2678"/>
      <c r="BA2177" s="3684"/>
      <c r="BB2177" s="3684"/>
      <c r="BC2177" s="3684"/>
      <c r="BD2177" s="3684"/>
      <c r="BE2177" s="3684"/>
      <c r="BF2177" s="3684"/>
      <c r="BG2177" s="3684"/>
      <c r="BH2177" s="3708">
        <v>72861.5</v>
      </c>
      <c r="BI2177" s="3684"/>
      <c r="BJ2177" s="3684"/>
      <c r="BK2177" s="3684"/>
      <c r="BL2177" s="3684"/>
      <c r="BM2177" s="3684"/>
      <c r="BN2177" s="3684"/>
      <c r="BO2177" s="3684"/>
      <c r="BP2177" s="3684"/>
      <c r="BQ2177" s="3684"/>
      <c r="BR2177" s="3684"/>
      <c r="BS2177" s="3684"/>
      <c r="BT2177" s="3684"/>
      <c r="BU2177" s="3684"/>
      <c r="BV2177" s="3684">
        <v>72861.5</v>
      </c>
      <c r="BW2177" s="3684"/>
      <c r="BX2177" s="3684"/>
      <c r="BY2177" s="3684"/>
      <c r="BZ2177" s="3684"/>
      <c r="CA2177" s="3684"/>
      <c r="CB2177" s="3684"/>
      <c r="CC2177" s="3662"/>
      <c r="CD2177" s="3662"/>
      <c r="CE2177" s="6802"/>
      <c r="CF2177" s="6802"/>
      <c r="CG2177" s="6802"/>
      <c r="CH2177" s="6802"/>
    </row>
    <row r="2178" s="4992" customFormat="1" ht="48.35" customHeight="1" spans="1:86">
      <c r="A2178" s="3684">
        <v>47</v>
      </c>
      <c r="B2178" s="3684" t="s">
        <v>3079</v>
      </c>
      <c r="C2178" s="3684">
        <v>44892</v>
      </c>
      <c r="D2178" s="5055" t="s">
        <v>3823</v>
      </c>
      <c r="E2178" s="1035" t="s">
        <v>3811</v>
      </c>
      <c r="F2178" s="5055" t="s">
        <v>3824</v>
      </c>
      <c r="G2178" s="5055" t="s">
        <v>3825</v>
      </c>
      <c r="H2178" s="3814" t="s">
        <v>193</v>
      </c>
      <c r="I2178" s="3909" t="s">
        <v>3826</v>
      </c>
      <c r="J2178" s="5055" t="s">
        <v>3216</v>
      </c>
      <c r="K2178" s="5060">
        <v>45546.58</v>
      </c>
      <c r="L2178" s="5055" t="s">
        <v>393</v>
      </c>
      <c r="M2178" s="3684">
        <f>SUM(N2178:AA2180)</f>
        <v>318826.06</v>
      </c>
      <c r="N2178" s="2678">
        <v>0</v>
      </c>
      <c r="O2178" s="2678">
        <v>0</v>
      </c>
      <c r="P2178" s="2678">
        <v>0</v>
      </c>
      <c r="Q2178" s="2678">
        <v>0</v>
      </c>
      <c r="R2178" s="2678">
        <v>0</v>
      </c>
      <c r="S2178" s="2678">
        <v>0</v>
      </c>
      <c r="T2178" s="5823">
        <v>0</v>
      </c>
      <c r="U2178" s="2678"/>
      <c r="V2178" s="2678">
        <v>318826.06</v>
      </c>
      <c r="W2178" s="2678">
        <v>0</v>
      </c>
      <c r="X2178" s="2678">
        <v>0</v>
      </c>
      <c r="Y2178" s="2678">
        <v>0</v>
      </c>
      <c r="Z2178" s="2678"/>
      <c r="AA2178" s="2678">
        <v>0</v>
      </c>
      <c r="AB2178" s="5667" t="s">
        <v>171</v>
      </c>
      <c r="AC2178" s="5055" t="s">
        <v>1144</v>
      </c>
      <c r="AD2178" s="5388" t="s">
        <v>3827</v>
      </c>
      <c r="AE2178" s="5055">
        <v>0.3</v>
      </c>
      <c r="AF2178" s="3684">
        <f>M2178*AE2178</f>
        <v>95647.818</v>
      </c>
      <c r="AG2178" s="3684">
        <f t="shared" si="475"/>
        <v>95647.82</v>
      </c>
      <c r="AH2178" s="3814" t="s">
        <v>122</v>
      </c>
      <c r="AI2178" s="3684">
        <v>44915</v>
      </c>
      <c r="AJ2178" s="3684">
        <v>95647.82</v>
      </c>
      <c r="AK2178" s="3684">
        <v>44915</v>
      </c>
      <c r="AL2178" s="3684">
        <v>95647.82</v>
      </c>
      <c r="AM2178" s="3684">
        <v>45117</v>
      </c>
      <c r="AN2178" s="3684">
        <f t="shared" si="477"/>
        <v>95647.82</v>
      </c>
      <c r="AO2178" s="3684">
        <v>45132</v>
      </c>
      <c r="AP2178" s="3684">
        <f t="shared" si="478"/>
        <v>0</v>
      </c>
      <c r="AQ2178" s="3814"/>
      <c r="AR2178" s="3684"/>
      <c r="AS2178" s="5060"/>
      <c r="AT2178" s="3684"/>
      <c r="AU2178" s="2678">
        <f>SUM(AG2178:AG2180)</f>
        <v>318826.06</v>
      </c>
      <c r="AV2178" s="2678">
        <f>SUM(AL2178:AL2180)</f>
        <v>318826.06</v>
      </c>
      <c r="AW2178" s="2678">
        <f>SUM(AN2178:AN2180)</f>
        <v>318826.06</v>
      </c>
      <c r="AX2178" s="2678">
        <f>M2178-AU2178</f>
        <v>0</v>
      </c>
      <c r="AY2178" s="2678">
        <f>AU2178-AV2178</f>
        <v>0</v>
      </c>
      <c r="AZ2178" s="2678">
        <f>AV2178-AW2178</f>
        <v>0</v>
      </c>
      <c r="BA2178" s="3684"/>
      <c r="BB2178" s="3684"/>
      <c r="BC2178" s="3684"/>
      <c r="BD2178" s="3684"/>
      <c r="BE2178" s="3684"/>
      <c r="BF2178" s="3684"/>
      <c r="BG2178" s="3684"/>
      <c r="BH2178" s="3684"/>
      <c r="BI2178" s="3684">
        <v>95647.82</v>
      </c>
      <c r="BJ2178" s="3684"/>
      <c r="BK2178" s="3684"/>
      <c r="BL2178" s="3684"/>
      <c r="BM2178" s="3684"/>
      <c r="BN2178" s="3684"/>
      <c r="BO2178" s="3684"/>
      <c r="BP2178" s="3684"/>
      <c r="BQ2178" s="3684"/>
      <c r="BR2178" s="3684"/>
      <c r="BS2178" s="3684"/>
      <c r="BT2178" s="3684"/>
      <c r="BU2178" s="3684"/>
      <c r="BV2178" s="3684"/>
      <c r="BW2178" s="3684">
        <v>95647.82</v>
      </c>
      <c r="BX2178" s="3684"/>
      <c r="BY2178" s="3684"/>
      <c r="BZ2178" s="3684"/>
      <c r="CA2178" s="3684"/>
      <c r="CB2178" s="3684"/>
      <c r="CC2178" s="3662" t="s">
        <v>1112</v>
      </c>
      <c r="CD2178" s="3662" t="s">
        <v>154</v>
      </c>
      <c r="CE2178" s="6802"/>
      <c r="CF2178" s="6802"/>
      <c r="CG2178" s="6802"/>
      <c r="CH2178" s="6802"/>
    </row>
    <row r="2179" s="4992" customFormat="1" ht="48.35" customHeight="1" spans="1:86">
      <c r="A2179" s="3684"/>
      <c r="B2179" s="3684"/>
      <c r="C2179" s="3684"/>
      <c r="D2179" s="5060"/>
      <c r="E2179" s="5667"/>
      <c r="F2179" s="5060"/>
      <c r="G2179" s="5060"/>
      <c r="H2179" s="3684"/>
      <c r="I2179" s="3910"/>
      <c r="J2179" s="5060"/>
      <c r="K2179" s="5060"/>
      <c r="L2179" s="5060"/>
      <c r="M2179" s="3684"/>
      <c r="N2179" s="2678"/>
      <c r="O2179" s="2678"/>
      <c r="P2179" s="2678"/>
      <c r="Q2179" s="2678"/>
      <c r="R2179" s="2678"/>
      <c r="S2179" s="2678"/>
      <c r="T2179" s="2678"/>
      <c r="U2179" s="2678"/>
      <c r="V2179" s="2678"/>
      <c r="W2179" s="2678"/>
      <c r="X2179" s="2678"/>
      <c r="Y2179" s="2678"/>
      <c r="Z2179" s="2678"/>
      <c r="AA2179" s="2678"/>
      <c r="AB2179" s="5667"/>
      <c r="AC2179" s="5055" t="s">
        <v>1146</v>
      </c>
      <c r="AD2179" s="5055" t="s">
        <v>3828</v>
      </c>
      <c r="AE2179" s="5055">
        <v>0.6</v>
      </c>
      <c r="AF2179" s="3684">
        <f>M2178*AE2179</f>
        <v>191295.636</v>
      </c>
      <c r="AG2179" s="3684">
        <f t="shared" si="475"/>
        <v>191295.64</v>
      </c>
      <c r="AH2179" s="3814" t="s">
        <v>122</v>
      </c>
      <c r="AI2179" s="3684">
        <v>45117</v>
      </c>
      <c r="AJ2179" s="3684">
        <v>191295.64</v>
      </c>
      <c r="AK2179" s="3684">
        <v>45117</v>
      </c>
      <c r="AL2179" s="3684">
        <v>191295.64</v>
      </c>
      <c r="AM2179" s="3684"/>
      <c r="AN2179" s="3684">
        <f t="shared" si="477"/>
        <v>191295.64</v>
      </c>
      <c r="AO2179" s="3684">
        <v>45138</v>
      </c>
      <c r="AP2179" s="3684">
        <f t="shared" si="478"/>
        <v>0</v>
      </c>
      <c r="AQ2179" s="3814"/>
      <c r="AR2179" s="5055"/>
      <c r="AS2179" s="5060"/>
      <c r="AT2179" s="3684"/>
      <c r="AU2179" s="2678"/>
      <c r="AV2179" s="2678"/>
      <c r="AW2179" s="2678"/>
      <c r="AX2179" s="2678"/>
      <c r="AY2179" s="2678"/>
      <c r="AZ2179" s="2678"/>
      <c r="BA2179" s="3684"/>
      <c r="BB2179" s="3684"/>
      <c r="BC2179" s="3684"/>
      <c r="BD2179" s="3708"/>
      <c r="BE2179" s="3708"/>
      <c r="BF2179" s="3708"/>
      <c r="BG2179" s="3708"/>
      <c r="BH2179" s="3708"/>
      <c r="BI2179" s="3684">
        <v>191295.64</v>
      </c>
      <c r="BJ2179" s="3684"/>
      <c r="BK2179" s="3684"/>
      <c r="BL2179" s="3684"/>
      <c r="BM2179" s="3684"/>
      <c r="BN2179" s="3708"/>
      <c r="BO2179" s="3684"/>
      <c r="BP2179" s="3684"/>
      <c r="BQ2179" s="3684"/>
      <c r="BR2179" s="3684"/>
      <c r="BS2179" s="3684"/>
      <c r="BT2179" s="3684"/>
      <c r="BU2179" s="3684"/>
      <c r="BV2179" s="3684"/>
      <c r="BW2179" s="3684">
        <v>191295.64</v>
      </c>
      <c r="BX2179" s="3684"/>
      <c r="BY2179" s="3684"/>
      <c r="BZ2179" s="3684"/>
      <c r="CA2179" s="3684"/>
      <c r="CB2179" s="3684"/>
      <c r="CC2179" s="3662"/>
      <c r="CD2179" s="3662"/>
      <c r="CE2179" s="6802"/>
      <c r="CF2179" s="6802"/>
      <c r="CG2179" s="6802"/>
      <c r="CH2179" s="6802"/>
    </row>
    <row r="2180" s="4992" customFormat="1" ht="48.35" customHeight="1" spans="1:86">
      <c r="A2180" s="3684"/>
      <c r="B2180" s="3684"/>
      <c r="C2180" s="3684"/>
      <c r="D2180" s="5060"/>
      <c r="E2180" s="5667"/>
      <c r="F2180" s="5060"/>
      <c r="G2180" s="5060"/>
      <c r="H2180" s="3684"/>
      <c r="I2180" s="3911"/>
      <c r="J2180" s="5060"/>
      <c r="K2180" s="5060"/>
      <c r="L2180" s="5060"/>
      <c r="M2180" s="3684"/>
      <c r="N2180" s="2678"/>
      <c r="O2180" s="2678"/>
      <c r="P2180" s="2678"/>
      <c r="Q2180" s="2678"/>
      <c r="R2180" s="2678"/>
      <c r="S2180" s="2678"/>
      <c r="T2180" s="2678"/>
      <c r="U2180" s="2678"/>
      <c r="V2180" s="2678"/>
      <c r="W2180" s="2678"/>
      <c r="X2180" s="2678"/>
      <c r="Y2180" s="2678"/>
      <c r="Z2180" s="2678"/>
      <c r="AA2180" s="2678"/>
      <c r="AB2180" s="5667"/>
      <c r="AC2180" s="5055" t="s">
        <v>1148</v>
      </c>
      <c r="AD2180" s="5388" t="s">
        <v>3288</v>
      </c>
      <c r="AE2180" s="5055">
        <v>0.1</v>
      </c>
      <c r="AF2180" s="3684">
        <f>M2178*AE2180</f>
        <v>31882.606</v>
      </c>
      <c r="AG2180" s="5162">
        <f t="shared" si="475"/>
        <v>31882.6</v>
      </c>
      <c r="AH2180" s="6027" t="s">
        <v>122</v>
      </c>
      <c r="AI2180" s="5162">
        <v>45764</v>
      </c>
      <c r="AJ2180" s="5162">
        <v>31882.6</v>
      </c>
      <c r="AK2180" s="5162">
        <v>45764</v>
      </c>
      <c r="AL2180" s="5162">
        <v>31882.6</v>
      </c>
      <c r="AM2180" s="5162">
        <v>45764</v>
      </c>
      <c r="AN2180" s="5162">
        <f t="shared" si="477"/>
        <v>31882.6</v>
      </c>
      <c r="AO2180" s="5162">
        <v>45835</v>
      </c>
      <c r="AP2180" s="3684">
        <f t="shared" si="478"/>
        <v>0</v>
      </c>
      <c r="AQ2180" s="3814"/>
      <c r="AR2180" s="3814" t="s">
        <v>3822</v>
      </c>
      <c r="AS2180" s="5060"/>
      <c r="AT2180" s="3684"/>
      <c r="AU2180" s="2678"/>
      <c r="AV2180" s="2678"/>
      <c r="AW2180" s="2678"/>
      <c r="AX2180" s="2678"/>
      <c r="AY2180" s="2678"/>
      <c r="AZ2180" s="2678"/>
      <c r="BA2180" s="3684"/>
      <c r="BB2180" s="3684"/>
      <c r="BC2180" s="3684"/>
      <c r="BD2180" s="3684"/>
      <c r="BE2180" s="3684"/>
      <c r="BF2180" s="3684"/>
      <c r="BG2180" s="3684"/>
      <c r="BH2180" s="3708"/>
      <c r="BI2180" s="3684">
        <v>31882.6</v>
      </c>
      <c r="BJ2180" s="3684"/>
      <c r="BK2180" s="3684"/>
      <c r="BL2180" s="3684"/>
      <c r="BM2180" s="3684"/>
      <c r="BN2180" s="3684"/>
      <c r="BO2180" s="3684"/>
      <c r="BP2180" s="3684"/>
      <c r="BQ2180" s="3684"/>
      <c r="BR2180" s="3684"/>
      <c r="BS2180" s="3684"/>
      <c r="BT2180" s="3684"/>
      <c r="BU2180" s="3684"/>
      <c r="BV2180" s="3684"/>
      <c r="BW2180" s="3684">
        <v>31882.6</v>
      </c>
      <c r="BX2180" s="3684"/>
      <c r="BY2180" s="3684"/>
      <c r="BZ2180" s="3684"/>
      <c r="CA2180" s="3684"/>
      <c r="CB2180" s="3684"/>
      <c r="CC2180" s="3662"/>
      <c r="CD2180" s="3662"/>
      <c r="CE2180" s="6802"/>
      <c r="CF2180" s="6802"/>
      <c r="CG2180" s="6802"/>
      <c r="CH2180" s="6802"/>
    </row>
    <row r="2181" s="4990" customFormat="1" ht="40" customHeight="1" spans="1:86">
      <c r="A2181" s="3057">
        <v>47</v>
      </c>
      <c r="B2181" s="3057" t="s">
        <v>3079</v>
      </c>
      <c r="C2181" s="3057">
        <v>45252</v>
      </c>
      <c r="D2181" s="1125" t="s">
        <v>3829</v>
      </c>
      <c r="E2181" s="1035"/>
      <c r="F2181" s="1125" t="s">
        <v>3830</v>
      </c>
      <c r="G2181" s="1125" t="s">
        <v>3831</v>
      </c>
      <c r="H2181" s="3057" t="s">
        <v>31</v>
      </c>
      <c r="I2181" s="5050" t="s">
        <v>3832</v>
      </c>
      <c r="J2181" s="1125" t="s">
        <v>3833</v>
      </c>
      <c r="K2181" s="5056">
        <v>73900.04</v>
      </c>
      <c r="L2181" s="1125" t="s">
        <v>3834</v>
      </c>
      <c r="M2181" s="5125">
        <f>SUM(N2181:AA2184)</f>
        <v>410000</v>
      </c>
      <c r="N2181" s="2678">
        <v>0</v>
      </c>
      <c r="O2181" s="2678">
        <v>0</v>
      </c>
      <c r="P2181" s="2678">
        <v>0</v>
      </c>
      <c r="Q2181" s="2678">
        <v>0</v>
      </c>
      <c r="R2181" s="2678">
        <v>0</v>
      </c>
      <c r="S2181" s="2678">
        <v>0</v>
      </c>
      <c r="T2181" s="5823">
        <v>0</v>
      </c>
      <c r="U2181" s="2678">
        <v>336099.96</v>
      </c>
      <c r="V2181" s="2678">
        <v>73900.04</v>
      </c>
      <c r="W2181" s="2678">
        <v>0</v>
      </c>
      <c r="X2181" s="2678">
        <v>0</v>
      </c>
      <c r="Y2181" s="2678">
        <v>0</v>
      </c>
      <c r="Z2181" s="2678"/>
      <c r="AA2181" s="2678">
        <v>0</v>
      </c>
      <c r="AB2181" s="5667" t="s">
        <v>171</v>
      </c>
      <c r="AC2181" s="5056" t="s">
        <v>1110</v>
      </c>
      <c r="AD2181" s="5837" t="s">
        <v>3816</v>
      </c>
      <c r="AE2181" s="1125">
        <v>0.2</v>
      </c>
      <c r="AF2181" s="3057">
        <f>M2181*AE2181</f>
        <v>82000</v>
      </c>
      <c r="AG2181" s="3057">
        <f t="shared" si="475"/>
        <v>81999.998</v>
      </c>
      <c r="AH2181" s="584" t="s">
        <v>122</v>
      </c>
      <c r="AI2181" s="3057">
        <v>45266</v>
      </c>
      <c r="AJ2181" s="3057">
        <v>82000</v>
      </c>
      <c r="AK2181" s="3057">
        <v>45266</v>
      </c>
      <c r="AL2181" s="3057">
        <v>328000</v>
      </c>
      <c r="AM2181" s="3057">
        <v>45296</v>
      </c>
      <c r="AN2181" s="3057">
        <f t="shared" si="477"/>
        <v>81999.998</v>
      </c>
      <c r="AO2181" s="3057">
        <v>45306</v>
      </c>
      <c r="AP2181" s="3057">
        <f t="shared" si="478"/>
        <v>-246000.002</v>
      </c>
      <c r="AQ2181" s="584"/>
      <c r="AR2181" s="3057"/>
      <c r="AS2181" s="5056"/>
      <c r="AT2181" s="3057"/>
      <c r="AU2181" s="2678">
        <f>SUM(AG2181:AG2184)</f>
        <v>410000</v>
      </c>
      <c r="AV2181" s="2678">
        <f>SUM(AL2181:AL2184)</f>
        <v>410000</v>
      </c>
      <c r="AW2181" s="2678">
        <f>SUM(AN2181:AN2184)</f>
        <v>410000</v>
      </c>
      <c r="AX2181" s="2678">
        <f>M2181-AU2181</f>
        <v>0</v>
      </c>
      <c r="AY2181" s="2678">
        <f>AU2181-AV2181</f>
        <v>0</v>
      </c>
      <c r="AZ2181" s="2678">
        <f>AV2181-AW2181</f>
        <v>0</v>
      </c>
      <c r="BA2181" s="3057"/>
      <c r="BB2181" s="3057"/>
      <c r="BC2181" s="3057"/>
      <c r="BD2181" s="3057"/>
      <c r="BE2181" s="3057"/>
      <c r="BF2181" s="3057"/>
      <c r="BG2181" s="3057"/>
      <c r="BH2181" s="3057">
        <v>67219.99</v>
      </c>
      <c r="BI2181" s="3057">
        <v>14780.008</v>
      </c>
      <c r="BJ2181" s="3057"/>
      <c r="BK2181" s="3057"/>
      <c r="BL2181" s="3057"/>
      <c r="BM2181" s="3057"/>
      <c r="BN2181" s="3057"/>
      <c r="BO2181" s="3057"/>
      <c r="BP2181" s="3057"/>
      <c r="BQ2181" s="3057"/>
      <c r="BR2181" s="3057"/>
      <c r="BS2181" s="3057"/>
      <c r="BT2181" s="3057"/>
      <c r="BU2181" s="3057"/>
      <c r="BV2181" s="3057">
        <v>67219.99</v>
      </c>
      <c r="BW2181" s="3057">
        <v>14780.008</v>
      </c>
      <c r="BX2181" s="3057"/>
      <c r="BY2181" s="3057"/>
      <c r="BZ2181" s="3057"/>
      <c r="CA2181" s="3057"/>
      <c r="CB2181" s="3057"/>
      <c r="CC2181" s="3058" t="s">
        <v>1112</v>
      </c>
      <c r="CD2181" s="3058" t="s">
        <v>154</v>
      </c>
      <c r="CE2181" s="6781"/>
      <c r="CF2181" s="6781"/>
      <c r="CG2181" s="6781"/>
      <c r="CH2181" s="6781"/>
    </row>
    <row r="2182" s="4990" customFormat="1" ht="40" customHeight="1" spans="1:86">
      <c r="A2182" s="3057"/>
      <c r="B2182" s="3057"/>
      <c r="C2182" s="3057"/>
      <c r="D2182" s="5056"/>
      <c r="E2182" s="5667"/>
      <c r="F2182" s="5056"/>
      <c r="G2182" s="5056"/>
      <c r="H2182" s="3057"/>
      <c r="I2182" s="5868"/>
      <c r="J2182" s="5056"/>
      <c r="K2182" s="5056"/>
      <c r="L2182" s="5056"/>
      <c r="M2182" s="5125"/>
      <c r="N2182" s="2678"/>
      <c r="O2182" s="2678"/>
      <c r="P2182" s="2678"/>
      <c r="Q2182" s="2678"/>
      <c r="R2182" s="2678"/>
      <c r="S2182" s="2678"/>
      <c r="T2182" s="2678"/>
      <c r="U2182" s="2678"/>
      <c r="V2182" s="2678"/>
      <c r="W2182" s="2678"/>
      <c r="X2182" s="2678"/>
      <c r="Y2182" s="2678"/>
      <c r="Z2182" s="2678"/>
      <c r="AA2182" s="2678"/>
      <c r="AB2182" s="5667"/>
      <c r="AC2182" s="5056" t="s">
        <v>1113</v>
      </c>
      <c r="AD2182" s="5837" t="s">
        <v>3817</v>
      </c>
      <c r="AE2182" s="1125">
        <v>0.3</v>
      </c>
      <c r="AF2182" s="3057">
        <f>M2181*AE2182</f>
        <v>123000</v>
      </c>
      <c r="AG2182" s="3057">
        <f t="shared" si="475"/>
        <v>123000.002</v>
      </c>
      <c r="AH2182" s="584" t="s">
        <v>122</v>
      </c>
      <c r="AI2182" s="3057">
        <v>45266</v>
      </c>
      <c r="AJ2182" s="3057">
        <v>123000</v>
      </c>
      <c r="AK2182" s="3057">
        <v>45266</v>
      </c>
      <c r="AL2182" s="3057"/>
      <c r="AM2182" s="3057">
        <v>45296</v>
      </c>
      <c r="AN2182" s="3057">
        <f t="shared" si="477"/>
        <v>123000.002</v>
      </c>
      <c r="AO2182" s="3057">
        <v>45306</v>
      </c>
      <c r="AP2182" s="3057">
        <f t="shared" si="478"/>
        <v>123000.002</v>
      </c>
      <c r="AQ2182" s="584"/>
      <c r="AR2182" s="1125"/>
      <c r="AS2182" s="5056"/>
      <c r="AT2182" s="3057"/>
      <c r="AU2182" s="2678"/>
      <c r="AV2182" s="2678"/>
      <c r="AW2182" s="2678"/>
      <c r="AX2182" s="2678"/>
      <c r="AY2182" s="2678"/>
      <c r="AZ2182" s="2678"/>
      <c r="BA2182" s="3057"/>
      <c r="BB2182" s="3057"/>
      <c r="BC2182" s="3057"/>
      <c r="BD2182" s="3057"/>
      <c r="BE2182" s="3057"/>
      <c r="BF2182" s="3057"/>
      <c r="BG2182" s="3057"/>
      <c r="BH2182" s="3057">
        <v>100829.99</v>
      </c>
      <c r="BI2182" s="3057">
        <v>22170.012</v>
      </c>
      <c r="BJ2182" s="3057"/>
      <c r="BK2182" s="3057"/>
      <c r="BL2182" s="3057"/>
      <c r="BM2182" s="3057"/>
      <c r="BN2182" s="3057"/>
      <c r="BO2182" s="3057"/>
      <c r="BP2182" s="3057"/>
      <c r="BQ2182" s="3057"/>
      <c r="BR2182" s="3057"/>
      <c r="BS2182" s="3057"/>
      <c r="BT2182" s="3057"/>
      <c r="BU2182" s="3057"/>
      <c r="BV2182" s="3057">
        <v>100829.99</v>
      </c>
      <c r="BW2182" s="3057">
        <v>22170.012</v>
      </c>
      <c r="BX2182" s="3057"/>
      <c r="BY2182" s="3057"/>
      <c r="BZ2182" s="3057"/>
      <c r="CA2182" s="3057"/>
      <c r="CB2182" s="3057"/>
      <c r="CC2182" s="3058"/>
      <c r="CD2182" s="3058"/>
      <c r="CE2182" s="6781"/>
      <c r="CF2182" s="6781"/>
      <c r="CG2182" s="6781"/>
      <c r="CH2182" s="6781"/>
    </row>
    <row r="2183" s="4990" customFormat="1" ht="40" customHeight="1" spans="1:86">
      <c r="A2183" s="3057"/>
      <c r="B2183" s="3057"/>
      <c r="C2183" s="3057"/>
      <c r="D2183" s="5056"/>
      <c r="E2183" s="5667"/>
      <c r="F2183" s="5056"/>
      <c r="G2183" s="5056"/>
      <c r="H2183" s="3057"/>
      <c r="I2183" s="5868"/>
      <c r="J2183" s="5056"/>
      <c r="K2183" s="5056"/>
      <c r="L2183" s="5056"/>
      <c r="M2183" s="5125"/>
      <c r="N2183" s="2678"/>
      <c r="O2183" s="2678"/>
      <c r="P2183" s="2678"/>
      <c r="Q2183" s="2678"/>
      <c r="R2183" s="2678"/>
      <c r="S2183" s="2678"/>
      <c r="T2183" s="2678"/>
      <c r="U2183" s="2678"/>
      <c r="V2183" s="2678"/>
      <c r="W2183" s="2678"/>
      <c r="X2183" s="2678"/>
      <c r="Y2183" s="2678"/>
      <c r="Z2183" s="2678"/>
      <c r="AA2183" s="2678"/>
      <c r="AB2183" s="5667"/>
      <c r="AC2183" s="5056" t="s">
        <v>1115</v>
      </c>
      <c r="AD2183" s="5837" t="s">
        <v>3835</v>
      </c>
      <c r="AE2183" s="1125">
        <v>0.3</v>
      </c>
      <c r="AF2183" s="3057">
        <f>M2181*AE2183</f>
        <v>123000</v>
      </c>
      <c r="AG2183" s="3057">
        <f t="shared" si="475"/>
        <v>123000.002</v>
      </c>
      <c r="AH2183" s="584" t="s">
        <v>122</v>
      </c>
      <c r="AI2183" s="3057">
        <v>45266</v>
      </c>
      <c r="AJ2183" s="3057">
        <v>123000</v>
      </c>
      <c r="AK2183" s="3057">
        <v>45266</v>
      </c>
      <c r="AL2183" s="3057"/>
      <c r="AM2183" s="3057">
        <v>45296</v>
      </c>
      <c r="AN2183" s="3057">
        <f t="shared" si="477"/>
        <v>123000.002</v>
      </c>
      <c r="AO2183" s="3057">
        <v>45306</v>
      </c>
      <c r="AP2183" s="3057">
        <f t="shared" si="478"/>
        <v>123000.002</v>
      </c>
      <c r="AQ2183" s="584"/>
      <c r="AR2183" s="1125"/>
      <c r="AS2183" s="5056"/>
      <c r="AT2183" s="3057"/>
      <c r="AU2183" s="2678"/>
      <c r="AV2183" s="2678"/>
      <c r="AW2183" s="2678"/>
      <c r="AX2183" s="2678"/>
      <c r="AY2183" s="2678"/>
      <c r="AZ2183" s="2678"/>
      <c r="BA2183" s="3057"/>
      <c r="BB2183" s="3057"/>
      <c r="BC2183" s="3057"/>
      <c r="BD2183" s="3057"/>
      <c r="BE2183" s="3057"/>
      <c r="BF2183" s="3057"/>
      <c r="BG2183" s="3057"/>
      <c r="BH2183" s="3057">
        <v>100829.99</v>
      </c>
      <c r="BI2183" s="3057">
        <v>22170.012</v>
      </c>
      <c r="BJ2183" s="3057"/>
      <c r="BK2183" s="3057"/>
      <c r="BL2183" s="3057"/>
      <c r="BM2183" s="3057"/>
      <c r="BN2183" s="3057"/>
      <c r="BO2183" s="3057"/>
      <c r="BP2183" s="3057"/>
      <c r="BQ2183" s="3057"/>
      <c r="BR2183" s="3057"/>
      <c r="BS2183" s="3057"/>
      <c r="BT2183" s="3057"/>
      <c r="BU2183" s="3057"/>
      <c r="BV2183" s="3057">
        <v>100829.99</v>
      </c>
      <c r="BW2183" s="3057">
        <v>22170.012</v>
      </c>
      <c r="BX2183" s="3057"/>
      <c r="BY2183" s="3057"/>
      <c r="BZ2183" s="3057"/>
      <c r="CA2183" s="3057"/>
      <c r="CB2183" s="3057"/>
      <c r="CC2183" s="3058"/>
      <c r="CD2183" s="3058"/>
      <c r="CE2183" s="6781"/>
      <c r="CF2183" s="6781"/>
      <c r="CG2183" s="6781"/>
      <c r="CH2183" s="6781"/>
    </row>
    <row r="2184" s="4990" customFormat="1" ht="40" customHeight="1" spans="1:86">
      <c r="A2184" s="3057"/>
      <c r="B2184" s="3057"/>
      <c r="C2184" s="3057"/>
      <c r="D2184" s="5056"/>
      <c r="E2184" s="5667"/>
      <c r="F2184" s="5056"/>
      <c r="G2184" s="5056"/>
      <c r="H2184" s="3057"/>
      <c r="I2184" s="5817"/>
      <c r="J2184" s="5056"/>
      <c r="K2184" s="5056"/>
      <c r="L2184" s="5056"/>
      <c r="M2184" s="5125"/>
      <c r="N2184" s="2678"/>
      <c r="O2184" s="2678"/>
      <c r="P2184" s="2678"/>
      <c r="Q2184" s="2678"/>
      <c r="R2184" s="2678"/>
      <c r="S2184" s="2678"/>
      <c r="T2184" s="2678"/>
      <c r="U2184" s="2678"/>
      <c r="V2184" s="2678"/>
      <c r="W2184" s="2678"/>
      <c r="X2184" s="2678"/>
      <c r="Y2184" s="2678"/>
      <c r="Z2184" s="2678"/>
      <c r="AA2184" s="2678"/>
      <c r="AB2184" s="5667"/>
      <c r="AC2184" s="5056" t="s">
        <v>1594</v>
      </c>
      <c r="AD2184" s="5837" t="s">
        <v>3836</v>
      </c>
      <c r="AE2184" s="1125">
        <v>0.2</v>
      </c>
      <c r="AF2184" s="3057">
        <f>M2181*AE2184</f>
        <v>82000</v>
      </c>
      <c r="AG2184" s="3057">
        <f t="shared" si="475"/>
        <v>81999.998</v>
      </c>
      <c r="AH2184" s="584" t="s">
        <v>122</v>
      </c>
      <c r="AI2184" s="3057">
        <v>45266</v>
      </c>
      <c r="AJ2184" s="3057">
        <v>82000</v>
      </c>
      <c r="AK2184" s="3057">
        <v>45266</v>
      </c>
      <c r="AL2184" s="5125">
        <v>82000</v>
      </c>
      <c r="AM2184" s="3057">
        <v>45608</v>
      </c>
      <c r="AN2184" s="5125">
        <f t="shared" si="477"/>
        <v>81999.998</v>
      </c>
      <c r="AO2184" s="5125">
        <v>45639</v>
      </c>
      <c r="AP2184" s="3057">
        <f t="shared" si="478"/>
        <v>-0.0019999999931315</v>
      </c>
      <c r="AQ2184" s="584"/>
      <c r="AR2184" s="3057"/>
      <c r="AS2184" s="5056"/>
      <c r="AT2184" s="3057"/>
      <c r="AU2184" s="2678"/>
      <c r="AV2184" s="2678"/>
      <c r="AW2184" s="2678"/>
      <c r="AX2184" s="2678"/>
      <c r="AY2184" s="2678"/>
      <c r="AZ2184" s="2678"/>
      <c r="BA2184" s="3057"/>
      <c r="BB2184" s="3057"/>
      <c r="BC2184" s="3057"/>
      <c r="BD2184" s="3057"/>
      <c r="BE2184" s="3057"/>
      <c r="BF2184" s="3057"/>
      <c r="BG2184" s="3057"/>
      <c r="BH2184" s="3057">
        <v>67219.99</v>
      </c>
      <c r="BI2184" s="3057">
        <v>14780.008</v>
      </c>
      <c r="BJ2184" s="3057"/>
      <c r="BK2184" s="3057"/>
      <c r="BL2184" s="3057"/>
      <c r="BM2184" s="3057"/>
      <c r="BN2184" s="3057"/>
      <c r="BO2184" s="3057"/>
      <c r="BP2184" s="3057"/>
      <c r="BQ2184" s="3057"/>
      <c r="BR2184" s="3057"/>
      <c r="BS2184" s="3057"/>
      <c r="BT2184" s="3057"/>
      <c r="BU2184" s="3057"/>
      <c r="BV2184" s="3057">
        <v>67219.99</v>
      </c>
      <c r="BW2184" s="3057">
        <v>14780.008</v>
      </c>
      <c r="BX2184" s="3057"/>
      <c r="BY2184" s="3057"/>
      <c r="BZ2184" s="3057"/>
      <c r="CA2184" s="3057"/>
      <c r="CB2184" s="3057"/>
      <c r="CC2184" s="3058"/>
      <c r="CD2184" s="3058"/>
      <c r="CE2184" s="5171">
        <f>SUBTOTAL(9,BO2184:CB2184)</f>
        <v>81999.998</v>
      </c>
      <c r="CF2184" s="5171">
        <f>AN2184-CE2184</f>
        <v>0</v>
      </c>
      <c r="CG2184" s="6781"/>
      <c r="CH2184" s="6781"/>
    </row>
    <row r="2185" s="4978" customFormat="1" ht="34.15" customHeight="1" spans="1:86">
      <c r="A2185" s="2678">
        <v>47</v>
      </c>
      <c r="B2185" s="2678" t="s">
        <v>3079</v>
      </c>
      <c r="C2185" s="1002">
        <v>45272</v>
      </c>
      <c r="D2185" s="1035" t="s">
        <v>3837</v>
      </c>
      <c r="E2185" s="1035" t="s">
        <v>3838</v>
      </c>
      <c r="F2185" s="1035" t="s">
        <v>3839</v>
      </c>
      <c r="G2185" s="1035" t="s">
        <v>3840</v>
      </c>
      <c r="H2185" s="1035" t="s">
        <v>3841</v>
      </c>
      <c r="I2185" s="5050" t="s">
        <v>3842</v>
      </c>
      <c r="J2185" s="1035" t="s">
        <v>3106</v>
      </c>
      <c r="K2185" s="5667">
        <v>25000</v>
      </c>
      <c r="L2185" s="1035" t="s">
        <v>3843</v>
      </c>
      <c r="M2185" s="2678">
        <f>SUM(N2185:AA2192)</f>
        <v>1575000</v>
      </c>
      <c r="N2185" s="2678">
        <v>0</v>
      </c>
      <c r="O2185" s="2678">
        <v>0</v>
      </c>
      <c r="P2185" s="2678">
        <v>0</v>
      </c>
      <c r="Q2185" s="2678">
        <v>0</v>
      </c>
      <c r="R2185" s="2678">
        <v>0</v>
      </c>
      <c r="S2185" s="2678">
        <v>0</v>
      </c>
      <c r="T2185" s="5823">
        <v>0</v>
      </c>
      <c r="U2185" s="2678">
        <v>0</v>
      </c>
      <c r="V2185" s="2678">
        <v>0</v>
      </c>
      <c r="W2185" s="2678">
        <v>0</v>
      </c>
      <c r="X2185" s="2678">
        <v>1575000</v>
      </c>
      <c r="Y2185" s="2678">
        <v>0</v>
      </c>
      <c r="Z2185" s="2678"/>
      <c r="AA2185" s="2678">
        <v>0</v>
      </c>
      <c r="AB2185" s="1035" t="s">
        <v>3844</v>
      </c>
      <c r="AC2185" s="5214">
        <v>1</v>
      </c>
      <c r="AD2185" s="5050" t="s">
        <v>3845</v>
      </c>
      <c r="AE2185" s="5050">
        <v>0.2</v>
      </c>
      <c r="AF2185" s="4840">
        <f>M2185*AE2185</f>
        <v>315000</v>
      </c>
      <c r="AG2185" s="7074">
        <f t="shared" si="475"/>
        <v>315000</v>
      </c>
      <c r="AH2185" s="1002" t="s">
        <v>122</v>
      </c>
      <c r="AI2185" s="4840">
        <v>45281</v>
      </c>
      <c r="AJ2185" s="4840">
        <v>315000</v>
      </c>
      <c r="AK2185" s="4840">
        <v>45281</v>
      </c>
      <c r="AL2185" s="5248">
        <v>315000</v>
      </c>
      <c r="AM2185" s="4840">
        <v>45439</v>
      </c>
      <c r="AN2185" s="5349">
        <f t="shared" si="477"/>
        <v>150000</v>
      </c>
      <c r="AO2185" s="5690">
        <v>45471</v>
      </c>
      <c r="AP2185" s="3812">
        <f t="shared" si="478"/>
        <v>0</v>
      </c>
      <c r="AQ2185" s="1032"/>
      <c r="AR2185" s="3812"/>
      <c r="AS2185" s="5059"/>
      <c r="AT2185" s="3812"/>
      <c r="AU2185" s="2678">
        <f>SUM(AG2185:AG2192)</f>
        <v>866250</v>
      </c>
      <c r="AV2185" s="2678">
        <f>SUM(AL2185:AL2192)</f>
        <v>315000</v>
      </c>
      <c r="AW2185" s="2678">
        <f>SUM(AN2185:AN2192)</f>
        <v>866250</v>
      </c>
      <c r="AX2185" s="2678">
        <f>M2185-AU2185</f>
        <v>708750</v>
      </c>
      <c r="AY2185" s="2678">
        <f>AU2185-AV2185</f>
        <v>551250</v>
      </c>
      <c r="AZ2185" s="2678">
        <f>AV2185-AW2185</f>
        <v>-551250</v>
      </c>
      <c r="BA2185" s="2678"/>
      <c r="BB2185" s="2678"/>
      <c r="BC2185" s="2678"/>
      <c r="BD2185" s="2678"/>
      <c r="BE2185" s="2678"/>
      <c r="BF2185" s="2678"/>
      <c r="BG2185" s="2678"/>
      <c r="BH2185" s="3812"/>
      <c r="BI2185" s="5899"/>
      <c r="BJ2185" s="2678"/>
      <c r="BK2185" s="4840">
        <v>315000</v>
      </c>
      <c r="BL2185" s="2678"/>
      <c r="BM2185" s="2678"/>
      <c r="BN2185" s="2678"/>
      <c r="BO2185" s="2678"/>
      <c r="BP2185" s="2678"/>
      <c r="BQ2185" s="2678"/>
      <c r="BR2185" s="2678"/>
      <c r="BS2185" s="2678"/>
      <c r="BT2185" s="2678"/>
      <c r="BU2185" s="2678"/>
      <c r="BV2185" s="2678"/>
      <c r="BW2185" s="2678"/>
      <c r="BX2185" s="2678"/>
      <c r="BY2185" s="5123">
        <v>150000</v>
      </c>
      <c r="BZ2185" s="2678"/>
      <c r="CA2185" s="2678"/>
      <c r="CB2185" s="2678"/>
      <c r="CC2185" s="2680" t="s">
        <v>1112</v>
      </c>
      <c r="CD2185" s="2680" t="s">
        <v>154</v>
      </c>
      <c r="CE2185" s="5750"/>
      <c r="CF2185" s="5750"/>
      <c r="CG2185" s="5750"/>
      <c r="CH2185" s="5750"/>
    </row>
    <row r="2186" s="4978" customFormat="1" ht="34.15" customHeight="1" spans="1:86">
      <c r="A2186" s="2678"/>
      <c r="B2186" s="2678"/>
      <c r="C2186" s="7067"/>
      <c r="D2186" s="5667"/>
      <c r="E2186" s="5667"/>
      <c r="F2186" s="5667"/>
      <c r="G2186" s="5667"/>
      <c r="H2186" s="5667"/>
      <c r="I2186" s="6040"/>
      <c r="J2186" s="5667"/>
      <c r="K2186" s="5667"/>
      <c r="L2186" s="5667"/>
      <c r="M2186" s="2678"/>
      <c r="N2186" s="2678"/>
      <c r="O2186" s="2678"/>
      <c r="P2186" s="2678"/>
      <c r="Q2186" s="2678"/>
      <c r="R2186" s="2678"/>
      <c r="S2186" s="2678"/>
      <c r="T2186" s="2678"/>
      <c r="U2186" s="2678"/>
      <c r="V2186" s="2678"/>
      <c r="W2186" s="2678"/>
      <c r="X2186" s="2678"/>
      <c r="Y2186" s="2678"/>
      <c r="Z2186" s="2678"/>
      <c r="AA2186" s="2678"/>
      <c r="AB2186" s="5667"/>
      <c r="AC2186" s="5075"/>
      <c r="AD2186" s="5145"/>
      <c r="AE2186" s="5145"/>
      <c r="AF2186" s="4842"/>
      <c r="AG2186" s="7075"/>
      <c r="AH2186" s="1024"/>
      <c r="AI2186" s="4842"/>
      <c r="AJ2186" s="4842"/>
      <c r="AK2186" s="4842"/>
      <c r="AL2186" s="5350"/>
      <c r="AM2186" s="4842"/>
      <c r="AN2186" s="5349">
        <f t="shared" si="477"/>
        <v>165000</v>
      </c>
      <c r="AO2186" s="7083"/>
      <c r="AP2186" s="3812"/>
      <c r="AQ2186" s="1032"/>
      <c r="AR2186" s="1032"/>
      <c r="AS2186" s="5059"/>
      <c r="AT2186" s="2678"/>
      <c r="AU2186" s="2678"/>
      <c r="AV2186" s="2678"/>
      <c r="AW2186" s="2678"/>
      <c r="AX2186" s="2678"/>
      <c r="AY2186" s="2678"/>
      <c r="AZ2186" s="2678"/>
      <c r="BA2186" s="2678"/>
      <c r="BB2186" s="2678"/>
      <c r="BC2186" s="2678"/>
      <c r="BD2186" s="2678"/>
      <c r="BE2186" s="2678"/>
      <c r="BF2186" s="2678"/>
      <c r="BG2186" s="2678"/>
      <c r="BH2186" s="5349"/>
      <c r="BI2186" s="5899"/>
      <c r="BJ2186" s="2678"/>
      <c r="BK2186" s="4842"/>
      <c r="BL2186" s="2678"/>
      <c r="BM2186" s="2678"/>
      <c r="BN2186" s="2678"/>
      <c r="BO2186" s="2678"/>
      <c r="BP2186" s="2678"/>
      <c r="BQ2186" s="2678"/>
      <c r="BR2186" s="2678"/>
      <c r="BS2186" s="2678"/>
      <c r="BT2186" s="2678"/>
      <c r="BU2186" s="2678"/>
      <c r="BV2186" s="2678"/>
      <c r="BW2186" s="2678"/>
      <c r="BX2186" s="2678"/>
      <c r="BY2186" s="5885">
        <f>315000-BY2185</f>
        <v>165000</v>
      </c>
      <c r="BZ2186" s="2678"/>
      <c r="CA2186" s="2678"/>
      <c r="CB2186" s="2678"/>
      <c r="CC2186" s="2680"/>
      <c r="CD2186" s="2680"/>
      <c r="CE2186" s="5750"/>
      <c r="CF2186" s="5750"/>
      <c r="CG2186" s="5750"/>
      <c r="CH2186" s="5750"/>
    </row>
    <row r="2187" s="4978" customFormat="1" ht="40" customHeight="1" spans="1:86">
      <c r="A2187" s="2678"/>
      <c r="B2187" s="2678"/>
      <c r="C2187" s="7067"/>
      <c r="D2187" s="5667"/>
      <c r="E2187" s="5667"/>
      <c r="F2187" s="5667"/>
      <c r="G2187" s="5667"/>
      <c r="H2187" s="5667"/>
      <c r="I2187" s="6040"/>
      <c r="J2187" s="5667"/>
      <c r="K2187" s="5667"/>
      <c r="L2187" s="5667"/>
      <c r="M2187" s="2678"/>
      <c r="N2187" s="2678"/>
      <c r="O2187" s="2678"/>
      <c r="P2187" s="2678"/>
      <c r="Q2187" s="2678"/>
      <c r="R2187" s="2678"/>
      <c r="S2187" s="2678"/>
      <c r="T2187" s="2678"/>
      <c r="U2187" s="2678"/>
      <c r="V2187" s="2678"/>
      <c r="W2187" s="2678"/>
      <c r="X2187" s="2678"/>
      <c r="Y2187" s="2678"/>
      <c r="Z2187" s="2678"/>
      <c r="AA2187" s="2678"/>
      <c r="AB2187" s="5667"/>
      <c r="AC2187" s="5214">
        <v>2</v>
      </c>
      <c r="AD2187" s="5050" t="s">
        <v>3846</v>
      </c>
      <c r="AE2187" s="5050">
        <v>0.2</v>
      </c>
      <c r="AF2187" s="4840">
        <f>M2185*AE2187</f>
        <v>315000</v>
      </c>
      <c r="AG2187" s="7074">
        <f>SUM(BA2187:BN2187)</f>
        <v>315000</v>
      </c>
      <c r="AH2187" s="1002" t="s">
        <v>122</v>
      </c>
      <c r="AI2187" s="4840">
        <v>45281</v>
      </c>
      <c r="AJ2187" s="7074">
        <v>315000</v>
      </c>
      <c r="AK2187" s="4840">
        <v>45281</v>
      </c>
      <c r="AL2187" s="5349"/>
      <c r="AM2187" s="5690"/>
      <c r="AN2187" s="5349">
        <f t="shared" si="477"/>
        <v>315000</v>
      </c>
      <c r="AO2187" s="5883"/>
      <c r="AP2187" s="3812">
        <f>AG2187-AL2187</f>
        <v>315000</v>
      </c>
      <c r="AQ2187" s="5892" t="s">
        <v>3847</v>
      </c>
      <c r="AR2187" s="1032"/>
      <c r="AS2187" s="5059"/>
      <c r="AT2187" s="2678"/>
      <c r="AU2187" s="2678"/>
      <c r="AV2187" s="2678"/>
      <c r="AW2187" s="2678"/>
      <c r="AX2187" s="2678"/>
      <c r="AY2187" s="2678"/>
      <c r="AZ2187" s="2678"/>
      <c r="BA2187" s="2678"/>
      <c r="BB2187" s="2678"/>
      <c r="BC2187" s="2678"/>
      <c r="BD2187" s="2678"/>
      <c r="BE2187" s="2678"/>
      <c r="BF2187" s="2678"/>
      <c r="BG2187" s="2678"/>
      <c r="BH2187" s="5349"/>
      <c r="BI2187" s="5899"/>
      <c r="BJ2187" s="2678"/>
      <c r="BK2187" s="5349">
        <v>315000</v>
      </c>
      <c r="BL2187" s="2678"/>
      <c r="BM2187" s="2678"/>
      <c r="BN2187" s="2678"/>
      <c r="BO2187" s="2678"/>
      <c r="BP2187" s="2678"/>
      <c r="BQ2187" s="2678"/>
      <c r="BR2187" s="2678"/>
      <c r="BS2187" s="2678"/>
      <c r="BT2187" s="2678"/>
      <c r="BU2187" s="2678"/>
      <c r="BV2187" s="2678"/>
      <c r="BW2187" s="2678"/>
      <c r="BX2187" s="2678"/>
      <c r="BY2187" s="5885">
        <v>315000</v>
      </c>
      <c r="BZ2187" s="2678"/>
      <c r="CA2187" s="2678"/>
      <c r="CB2187" s="2678"/>
      <c r="CC2187" s="2680"/>
      <c r="CD2187" s="2680"/>
      <c r="CE2187" s="5750"/>
      <c r="CF2187" s="5750"/>
      <c r="CG2187" s="5750"/>
      <c r="CH2187" s="5750"/>
    </row>
    <row r="2188" s="4978" customFormat="1" ht="40" customHeight="1" spans="1:86">
      <c r="A2188" s="2678"/>
      <c r="B2188" s="2678"/>
      <c r="C2188" s="7067"/>
      <c r="D2188" s="5667"/>
      <c r="E2188" s="5667"/>
      <c r="F2188" s="5667"/>
      <c r="G2188" s="5667"/>
      <c r="H2188" s="5667"/>
      <c r="I2188" s="6040"/>
      <c r="J2188" s="5667"/>
      <c r="K2188" s="5667"/>
      <c r="L2188" s="5667"/>
      <c r="M2188" s="2678"/>
      <c r="N2188" s="2678"/>
      <c r="O2188" s="2678"/>
      <c r="P2188" s="2678"/>
      <c r="Q2188" s="2678"/>
      <c r="R2188" s="2678"/>
      <c r="S2188" s="2678"/>
      <c r="T2188" s="2678"/>
      <c r="U2188" s="2678"/>
      <c r="V2188" s="2678"/>
      <c r="W2188" s="2678"/>
      <c r="X2188" s="2678"/>
      <c r="Y2188" s="2678"/>
      <c r="Z2188" s="2678"/>
      <c r="AA2188" s="2678"/>
      <c r="AB2188" s="5667"/>
      <c r="AC2188" s="5075"/>
      <c r="AD2188" s="5145"/>
      <c r="AE2188" s="5145"/>
      <c r="AF2188" s="4842"/>
      <c r="AG2188" s="7075"/>
      <c r="AH2188" s="1024"/>
      <c r="AI2188" s="4842"/>
      <c r="AJ2188" s="7075"/>
      <c r="AK2188" s="4842"/>
      <c r="AL2188" s="5349"/>
      <c r="AM2188" s="5690"/>
      <c r="AN2188" s="5349">
        <f t="shared" si="477"/>
        <v>0</v>
      </c>
      <c r="AO2188" s="5883"/>
      <c r="AP2188" s="3812"/>
      <c r="AQ2188" s="5893"/>
      <c r="AR2188" s="1032"/>
      <c r="AS2188" s="5059"/>
      <c r="AT2188" s="2678"/>
      <c r="AU2188" s="2678"/>
      <c r="AV2188" s="2678"/>
      <c r="AW2188" s="2678"/>
      <c r="AX2188" s="2678"/>
      <c r="AY2188" s="2678"/>
      <c r="AZ2188" s="2678"/>
      <c r="BA2188" s="2678"/>
      <c r="BB2188" s="2678"/>
      <c r="BC2188" s="2678"/>
      <c r="BD2188" s="2678"/>
      <c r="BE2188" s="2678"/>
      <c r="BF2188" s="2678"/>
      <c r="BG2188" s="2678"/>
      <c r="BH2188" s="5349"/>
      <c r="BI2188" s="5899"/>
      <c r="BJ2188" s="2678"/>
      <c r="BK2188" s="5349">
        <v>-55000</v>
      </c>
      <c r="BL2188" s="2678">
        <v>55000</v>
      </c>
      <c r="BM2188" s="2678"/>
      <c r="BN2188" s="2678"/>
      <c r="BO2188" s="2678"/>
      <c r="BP2188" s="2678"/>
      <c r="BQ2188" s="2678"/>
      <c r="BR2188" s="2678"/>
      <c r="BS2188" s="2678"/>
      <c r="BT2188" s="2678"/>
      <c r="BU2188" s="2678"/>
      <c r="BV2188" s="2678"/>
      <c r="BW2188" s="2678"/>
      <c r="BX2188" s="2678"/>
      <c r="BY2188" s="5885"/>
      <c r="BZ2188" s="2678"/>
      <c r="CA2188" s="2678"/>
      <c r="CB2188" s="2678"/>
      <c r="CC2188" s="2680"/>
      <c r="CD2188" s="2680"/>
      <c r="CE2188" s="5750"/>
      <c r="CF2188" s="5750"/>
      <c r="CG2188" s="5750"/>
      <c r="CH2188" s="5750"/>
    </row>
    <row r="2189" s="4978" customFormat="1" ht="40" customHeight="1" spans="1:86">
      <c r="A2189" s="2678"/>
      <c r="B2189" s="2678"/>
      <c r="C2189" s="7067"/>
      <c r="D2189" s="5667"/>
      <c r="E2189" s="5667"/>
      <c r="F2189" s="5667"/>
      <c r="G2189" s="5667"/>
      <c r="H2189" s="5667"/>
      <c r="I2189" s="6040"/>
      <c r="J2189" s="5667"/>
      <c r="K2189" s="5667"/>
      <c r="L2189" s="5667"/>
      <c r="M2189" s="2678"/>
      <c r="N2189" s="2678"/>
      <c r="O2189" s="2678"/>
      <c r="P2189" s="2678"/>
      <c r="Q2189" s="2678"/>
      <c r="R2189" s="2678"/>
      <c r="S2189" s="2678"/>
      <c r="T2189" s="2678"/>
      <c r="U2189" s="2678"/>
      <c r="V2189" s="2678"/>
      <c r="W2189" s="2678"/>
      <c r="X2189" s="2678"/>
      <c r="Y2189" s="2678"/>
      <c r="Z2189" s="2678"/>
      <c r="AA2189" s="2678"/>
      <c r="AB2189" s="5667"/>
      <c r="AC2189" s="5667">
        <v>3</v>
      </c>
      <c r="AD2189" s="5685" t="s">
        <v>3848</v>
      </c>
      <c r="AE2189" s="1035">
        <v>0.15</v>
      </c>
      <c r="AF2189" s="3812">
        <f>M2185*AE2189</f>
        <v>236250</v>
      </c>
      <c r="AG2189" s="5349">
        <f t="shared" ref="AG2189:AG2195" si="479">SUM(BA2189:BN2189)</f>
        <v>236250</v>
      </c>
      <c r="AH2189" s="859" t="s">
        <v>122</v>
      </c>
      <c r="AI2189" s="3812">
        <v>45281</v>
      </c>
      <c r="AJ2189" s="5349">
        <v>236250</v>
      </c>
      <c r="AK2189" s="3812">
        <v>45281</v>
      </c>
      <c r="AL2189" s="5349"/>
      <c r="AM2189" s="5690"/>
      <c r="AN2189" s="5349">
        <f t="shared" si="477"/>
        <v>236250</v>
      </c>
      <c r="AO2189" s="5883"/>
      <c r="AP2189" s="3812">
        <f>AG2189-AL2189</f>
        <v>236250</v>
      </c>
      <c r="AQ2189" s="1032"/>
      <c r="AR2189" s="1032"/>
      <c r="AS2189" s="5059"/>
      <c r="AT2189" s="2678"/>
      <c r="AU2189" s="2678"/>
      <c r="AV2189" s="2678"/>
      <c r="AW2189" s="2678"/>
      <c r="AX2189" s="2678"/>
      <c r="AY2189" s="2678"/>
      <c r="AZ2189" s="2678"/>
      <c r="BA2189" s="2678"/>
      <c r="BB2189" s="2678"/>
      <c r="BC2189" s="2678"/>
      <c r="BD2189" s="2678"/>
      <c r="BE2189" s="2678"/>
      <c r="BF2189" s="2678"/>
      <c r="BG2189" s="2678"/>
      <c r="BH2189" s="5349"/>
      <c r="BI2189" s="5899"/>
      <c r="BJ2189" s="2678"/>
      <c r="BK2189" s="5349">
        <v>236250</v>
      </c>
      <c r="BL2189" s="2678"/>
      <c r="BM2189" s="2678"/>
      <c r="BN2189" s="2678"/>
      <c r="BO2189" s="2678"/>
      <c r="BP2189" s="2678"/>
      <c r="BQ2189" s="2678"/>
      <c r="BR2189" s="2678"/>
      <c r="BS2189" s="2678"/>
      <c r="BT2189" s="2678"/>
      <c r="BU2189" s="2678"/>
      <c r="BV2189" s="2678"/>
      <c r="BW2189" s="2678"/>
      <c r="BX2189" s="2678"/>
      <c r="BY2189" s="5885">
        <v>236250</v>
      </c>
      <c r="BZ2189" s="2678"/>
      <c r="CA2189" s="2678"/>
      <c r="CB2189" s="2678"/>
      <c r="CC2189" s="2680"/>
      <c r="CD2189" s="2680"/>
      <c r="CE2189" s="5750"/>
      <c r="CF2189" s="5750"/>
      <c r="CG2189" s="5750"/>
      <c r="CH2189" s="5750"/>
    </row>
    <row r="2190" s="4978" customFormat="1" ht="40" customHeight="1" spans="1:86">
      <c r="A2190" s="2678"/>
      <c r="B2190" s="2678"/>
      <c r="C2190" s="7067"/>
      <c r="D2190" s="5667"/>
      <c r="E2190" s="5667"/>
      <c r="F2190" s="5667"/>
      <c r="G2190" s="5667"/>
      <c r="H2190" s="5667"/>
      <c r="I2190" s="6040"/>
      <c r="J2190" s="5667"/>
      <c r="K2190" s="5667"/>
      <c r="L2190" s="5667"/>
      <c r="M2190" s="2678"/>
      <c r="N2190" s="2678"/>
      <c r="O2190" s="2678"/>
      <c r="P2190" s="2678"/>
      <c r="Q2190" s="2678"/>
      <c r="R2190" s="2678"/>
      <c r="S2190" s="2678"/>
      <c r="T2190" s="2678"/>
      <c r="U2190" s="2678"/>
      <c r="V2190" s="2678"/>
      <c r="W2190" s="2678"/>
      <c r="X2190" s="2678"/>
      <c r="Y2190" s="2678"/>
      <c r="Z2190" s="2678"/>
      <c r="AA2190" s="2678"/>
      <c r="AB2190" s="5667"/>
      <c r="AC2190" s="5667">
        <v>4</v>
      </c>
      <c r="AD2190" s="5685" t="s">
        <v>3849</v>
      </c>
      <c r="AE2190" s="1035">
        <v>0.2</v>
      </c>
      <c r="AF2190" s="3812">
        <f>M2185*AE2190</f>
        <v>315000</v>
      </c>
      <c r="AG2190" s="5349">
        <f t="shared" si="479"/>
        <v>0</v>
      </c>
      <c r="AH2190" s="3406"/>
      <c r="AI2190" s="5123"/>
      <c r="AJ2190" s="5885"/>
      <c r="AK2190" s="5690"/>
      <c r="AL2190" s="5349"/>
      <c r="AM2190" s="5690"/>
      <c r="AN2190" s="5349">
        <f t="shared" si="477"/>
        <v>0</v>
      </c>
      <c r="AO2190" s="5690"/>
      <c r="AP2190" s="3812">
        <f>AG2190-AL2190</f>
        <v>0</v>
      </c>
      <c r="AQ2190" s="1131"/>
      <c r="AR2190" s="1032"/>
      <c r="AS2190" s="5059"/>
      <c r="AT2190" s="2678"/>
      <c r="AU2190" s="2678"/>
      <c r="AV2190" s="2678"/>
      <c r="AW2190" s="2678"/>
      <c r="AX2190" s="2678"/>
      <c r="AY2190" s="2678"/>
      <c r="AZ2190" s="2678"/>
      <c r="BA2190" s="2678"/>
      <c r="BB2190" s="2678"/>
      <c r="BC2190" s="2678"/>
      <c r="BD2190" s="2678"/>
      <c r="BE2190" s="2678"/>
      <c r="BF2190" s="2678"/>
      <c r="BG2190" s="2678"/>
      <c r="BH2190" s="5349"/>
      <c r="BI2190" s="5899"/>
      <c r="BJ2190" s="2678"/>
      <c r="BK2190" s="2678"/>
      <c r="BL2190" s="2678"/>
      <c r="BM2190" s="2678"/>
      <c r="BN2190" s="2678"/>
      <c r="BO2190" s="2678"/>
      <c r="BP2190" s="2678"/>
      <c r="BQ2190" s="2678"/>
      <c r="BR2190" s="2678"/>
      <c r="BS2190" s="2678"/>
      <c r="BT2190" s="2678"/>
      <c r="BU2190" s="2678"/>
      <c r="BV2190" s="2678"/>
      <c r="BW2190" s="2678"/>
      <c r="BX2190" s="2678"/>
      <c r="BY2190" s="2678"/>
      <c r="BZ2190" s="2678"/>
      <c r="CA2190" s="2678"/>
      <c r="CB2190" s="2678"/>
      <c r="CC2190" s="2680"/>
      <c r="CD2190" s="2680"/>
      <c r="CE2190" s="5750"/>
      <c r="CF2190" s="5750"/>
      <c r="CG2190" s="5750"/>
      <c r="CH2190" s="5750"/>
    </row>
    <row r="2191" s="4978" customFormat="1" ht="40" customHeight="1" spans="1:86">
      <c r="A2191" s="2678"/>
      <c r="B2191" s="2678"/>
      <c r="C2191" s="7067"/>
      <c r="D2191" s="5667"/>
      <c r="E2191" s="5667"/>
      <c r="F2191" s="5667"/>
      <c r="G2191" s="5667"/>
      <c r="H2191" s="5667"/>
      <c r="I2191" s="6040"/>
      <c r="J2191" s="5667"/>
      <c r="K2191" s="5667"/>
      <c r="L2191" s="5667"/>
      <c r="M2191" s="2678"/>
      <c r="N2191" s="2678"/>
      <c r="O2191" s="2678"/>
      <c r="P2191" s="2678"/>
      <c r="Q2191" s="2678"/>
      <c r="R2191" s="2678"/>
      <c r="S2191" s="2678"/>
      <c r="T2191" s="2678"/>
      <c r="U2191" s="2678"/>
      <c r="V2191" s="2678"/>
      <c r="W2191" s="2678"/>
      <c r="X2191" s="2678"/>
      <c r="Y2191" s="2678"/>
      <c r="Z2191" s="2678"/>
      <c r="AA2191" s="2678"/>
      <c r="AB2191" s="5667"/>
      <c r="AC2191" s="5667">
        <v>5</v>
      </c>
      <c r="AD2191" s="5685" t="s">
        <v>3850</v>
      </c>
      <c r="AE2191" s="1035">
        <v>0.1</v>
      </c>
      <c r="AF2191" s="3812">
        <f>M2185*AE2191</f>
        <v>157500</v>
      </c>
      <c r="AG2191" s="5349">
        <f t="shared" si="479"/>
        <v>0</v>
      </c>
      <c r="AH2191" s="3406"/>
      <c r="AI2191" s="5123"/>
      <c r="AJ2191" s="5885"/>
      <c r="AK2191" s="5690"/>
      <c r="AL2191" s="5349"/>
      <c r="AM2191" s="5690"/>
      <c r="AN2191" s="5349">
        <f t="shared" si="477"/>
        <v>0</v>
      </c>
      <c r="AO2191" s="5690"/>
      <c r="AP2191" s="3812">
        <f>AG2191-AL2191</f>
        <v>0</v>
      </c>
      <c r="AQ2191" s="857"/>
      <c r="AR2191" s="1032"/>
      <c r="AS2191" s="5059"/>
      <c r="AT2191" s="2678"/>
      <c r="AU2191" s="2678"/>
      <c r="AV2191" s="2678"/>
      <c r="AW2191" s="2678"/>
      <c r="AX2191" s="2678"/>
      <c r="AY2191" s="2678"/>
      <c r="AZ2191" s="2678"/>
      <c r="BA2191" s="2678"/>
      <c r="BB2191" s="2678"/>
      <c r="BC2191" s="2678"/>
      <c r="BD2191" s="2678"/>
      <c r="BE2191" s="2678"/>
      <c r="BF2191" s="2678"/>
      <c r="BG2191" s="2678"/>
      <c r="BH2191" s="5349"/>
      <c r="BI2191" s="5899"/>
      <c r="BJ2191" s="2678"/>
      <c r="BK2191" s="2678"/>
      <c r="BL2191" s="2678"/>
      <c r="BM2191" s="2678"/>
      <c r="BN2191" s="2678"/>
      <c r="BO2191" s="2678"/>
      <c r="BP2191" s="2678"/>
      <c r="BQ2191" s="2678"/>
      <c r="BR2191" s="2678"/>
      <c r="BS2191" s="2678"/>
      <c r="BT2191" s="2678"/>
      <c r="BU2191" s="2678"/>
      <c r="BV2191" s="2678"/>
      <c r="BW2191" s="2678"/>
      <c r="BX2191" s="2678"/>
      <c r="BY2191" s="2678"/>
      <c r="BZ2191" s="2678"/>
      <c r="CA2191" s="2678"/>
      <c r="CB2191" s="2678"/>
      <c r="CC2191" s="2680"/>
      <c r="CD2191" s="2680"/>
      <c r="CE2191" s="5750"/>
      <c r="CF2191" s="5750"/>
      <c r="CG2191" s="5750"/>
      <c r="CH2191" s="5750"/>
    </row>
    <row r="2192" s="4978" customFormat="1" ht="40" customHeight="1" spans="1:86">
      <c r="A2192" s="2678"/>
      <c r="B2192" s="2678"/>
      <c r="C2192" s="1024"/>
      <c r="D2192" s="5667"/>
      <c r="E2192" s="5667"/>
      <c r="F2192" s="5667"/>
      <c r="G2192" s="5667"/>
      <c r="H2192" s="5667"/>
      <c r="I2192" s="5145"/>
      <c r="J2192" s="5667"/>
      <c r="K2192" s="5667"/>
      <c r="L2192" s="5667"/>
      <c r="M2192" s="2678"/>
      <c r="N2192" s="2678"/>
      <c r="O2192" s="2678"/>
      <c r="P2192" s="2678"/>
      <c r="Q2192" s="2678"/>
      <c r="R2192" s="2678"/>
      <c r="S2192" s="2678"/>
      <c r="T2192" s="2678"/>
      <c r="U2192" s="2678"/>
      <c r="V2192" s="2678"/>
      <c r="W2192" s="2678"/>
      <c r="X2192" s="2678"/>
      <c r="Y2192" s="2678"/>
      <c r="Z2192" s="2678"/>
      <c r="AA2192" s="2678"/>
      <c r="AB2192" s="5667"/>
      <c r="AC2192" s="5667">
        <v>6</v>
      </c>
      <c r="AD2192" s="5685" t="s">
        <v>3851</v>
      </c>
      <c r="AE2192" s="1035">
        <v>0.15</v>
      </c>
      <c r="AF2192" s="2678">
        <f>M2185*AE2192</f>
        <v>236250</v>
      </c>
      <c r="AG2192" s="5349">
        <f t="shared" si="479"/>
        <v>0</v>
      </c>
      <c r="AH2192" s="859"/>
      <c r="AI2192" s="2678"/>
      <c r="AJ2192" s="2678"/>
      <c r="AK2192" s="2678"/>
      <c r="AL2192" s="2678"/>
      <c r="AM2192" s="2678"/>
      <c r="AN2192" s="5349">
        <f t="shared" si="477"/>
        <v>0</v>
      </c>
      <c r="AO2192" s="2678"/>
      <c r="AP2192" s="3812">
        <f>AG2192-AL2192</f>
        <v>0</v>
      </c>
      <c r="AQ2192" s="857"/>
      <c r="AR2192" s="2678"/>
      <c r="AS2192" s="5667"/>
      <c r="AT2192" s="2678"/>
      <c r="AU2192" s="2678"/>
      <c r="AV2192" s="2678"/>
      <c r="AW2192" s="2678"/>
      <c r="AX2192" s="2678"/>
      <c r="AY2192" s="2678"/>
      <c r="AZ2192" s="2678"/>
      <c r="BA2192" s="2678"/>
      <c r="BB2192" s="2678"/>
      <c r="BC2192" s="2678"/>
      <c r="BD2192" s="2678"/>
      <c r="BE2192" s="2678"/>
      <c r="BF2192" s="2678"/>
      <c r="BG2192" s="2678"/>
      <c r="BH2192" s="3932"/>
      <c r="BI2192" s="5899"/>
      <c r="BJ2192" s="2678"/>
      <c r="BK2192" s="2678"/>
      <c r="BL2192" s="2678"/>
      <c r="BM2192" s="2678"/>
      <c r="BN2192" s="2678"/>
      <c r="BO2192" s="2678"/>
      <c r="BP2192" s="2678"/>
      <c r="BQ2192" s="2678"/>
      <c r="BR2192" s="2678"/>
      <c r="BS2192" s="2678"/>
      <c r="BT2192" s="2678"/>
      <c r="BU2192" s="2678"/>
      <c r="BV2192" s="2678"/>
      <c r="BW2192" s="2678"/>
      <c r="BX2192" s="2678"/>
      <c r="BY2192" s="2678"/>
      <c r="BZ2192" s="2678"/>
      <c r="CA2192" s="2678"/>
      <c r="CB2192" s="2678"/>
      <c r="CC2192" s="2680"/>
      <c r="CD2192" s="2680"/>
      <c r="CE2192" s="5750"/>
      <c r="CF2192" s="5750"/>
      <c r="CG2192" s="5750"/>
      <c r="CH2192" s="5750"/>
    </row>
    <row r="2193" s="4992" customFormat="1" ht="122" spans="1:86">
      <c r="A2193" s="3684"/>
      <c r="B2193" s="3814" t="s">
        <v>3079</v>
      </c>
      <c r="C2193" s="5060">
        <v>44889</v>
      </c>
      <c r="D2193" s="5055" t="s">
        <v>3852</v>
      </c>
      <c r="E2193" s="1032" t="s">
        <v>113</v>
      </c>
      <c r="F2193" s="5055" t="s">
        <v>3220</v>
      </c>
      <c r="G2193" s="5055" t="s">
        <v>3853</v>
      </c>
      <c r="H2193" s="5055" t="s">
        <v>286</v>
      </c>
      <c r="I2193" s="5055" t="s">
        <v>3854</v>
      </c>
      <c r="J2193" s="5055" t="s">
        <v>3122</v>
      </c>
      <c r="K2193" s="7068" t="s">
        <v>171</v>
      </c>
      <c r="L2193" s="5055" t="s">
        <v>3285</v>
      </c>
      <c r="M2193" s="5060">
        <f>SUBTOTAL(9,N2193:Y2193)</f>
        <v>160000</v>
      </c>
      <c r="N2193" s="4099">
        <v>0</v>
      </c>
      <c r="O2193" s="4099">
        <v>0</v>
      </c>
      <c r="P2193" s="4099">
        <v>0</v>
      </c>
      <c r="Q2193" s="4099">
        <v>160000</v>
      </c>
      <c r="R2193" s="4099">
        <v>0</v>
      </c>
      <c r="S2193" s="4099">
        <v>0</v>
      </c>
      <c r="T2193" s="5869">
        <v>0</v>
      </c>
      <c r="U2193" s="4099">
        <v>0</v>
      </c>
      <c r="V2193" s="4099">
        <v>0</v>
      </c>
      <c r="W2193" s="4099">
        <v>0</v>
      </c>
      <c r="X2193" s="4099">
        <v>0</v>
      </c>
      <c r="Y2193" s="4099">
        <v>0</v>
      </c>
      <c r="Z2193" s="4099"/>
      <c r="AA2193" s="4099"/>
      <c r="AB2193" s="4099"/>
      <c r="AC2193" s="5055" t="s">
        <v>1034</v>
      </c>
      <c r="AD2193" s="5388" t="s">
        <v>3292</v>
      </c>
      <c r="AE2193" s="2139">
        <v>1</v>
      </c>
      <c r="AF2193" s="3684">
        <f>M2193*AE2193</f>
        <v>160000</v>
      </c>
      <c r="AG2193" s="3684">
        <f t="shared" si="479"/>
        <v>160000</v>
      </c>
      <c r="AH2193" s="3814" t="s">
        <v>122</v>
      </c>
      <c r="AI2193" s="3684">
        <v>45268</v>
      </c>
      <c r="AJ2193" s="3684">
        <v>160000</v>
      </c>
      <c r="AK2193" s="3684">
        <v>45267</v>
      </c>
      <c r="AL2193" s="3684">
        <v>160000</v>
      </c>
      <c r="AM2193" s="3684">
        <v>45520</v>
      </c>
      <c r="AN2193" s="5162">
        <f>SUM(BH2193:BU2193)</f>
        <v>160000</v>
      </c>
      <c r="AO2193" s="5162">
        <v>45684</v>
      </c>
      <c r="AP2193" s="3684">
        <f>AG2193-AN2193</f>
        <v>0</v>
      </c>
      <c r="AQ2193" s="5388" t="s">
        <v>3855</v>
      </c>
      <c r="AR2193" s="3684"/>
      <c r="AS2193" s="5060"/>
      <c r="AT2193" s="3684"/>
      <c r="AU2193" s="3684"/>
      <c r="AV2193" s="3684"/>
      <c r="AW2193" s="3684"/>
      <c r="AX2193" s="3684"/>
      <c r="AY2193" s="3684"/>
      <c r="AZ2193" s="3684"/>
      <c r="BA2193" s="3684"/>
      <c r="BB2193" s="3684"/>
      <c r="BC2193" s="3684"/>
      <c r="BD2193" s="3684">
        <v>160000</v>
      </c>
      <c r="BE2193" s="3684"/>
      <c r="BF2193" s="3684"/>
      <c r="BG2193" s="3684"/>
      <c r="BH2193" s="3684"/>
      <c r="BI2193" s="3684"/>
      <c r="BJ2193" s="3684"/>
      <c r="BK2193" s="3684"/>
      <c r="BL2193" s="3684"/>
      <c r="BM2193" s="3684"/>
      <c r="BN2193" s="3684"/>
      <c r="BO2193" s="3684"/>
      <c r="BP2193" s="3684"/>
      <c r="BQ2193" s="3684"/>
      <c r="BR2193" s="3684">
        <v>160000</v>
      </c>
      <c r="BS2193" s="3684"/>
      <c r="BT2193" s="3684"/>
      <c r="BU2193" s="3684"/>
      <c r="BV2193" s="3684"/>
      <c r="BW2193" s="3684"/>
      <c r="BX2193" s="3684"/>
      <c r="BY2193" s="3684"/>
      <c r="BZ2193" s="3684"/>
      <c r="CA2193" s="3684"/>
      <c r="CB2193" s="3684"/>
      <c r="CC2193" s="3662"/>
      <c r="CD2193" s="3662"/>
      <c r="CE2193" s="5170">
        <f>SUBTOTAL(9,BO2193:CB2193)</f>
        <v>160000</v>
      </c>
      <c r="CF2193" s="5170">
        <f>AN2193-CE2193</f>
        <v>0</v>
      </c>
      <c r="CG2193" s="6802"/>
      <c r="CH2193" s="6802"/>
    </row>
    <row r="2194" s="4981" customFormat="1" ht="25" customHeight="1" spans="1:86">
      <c r="A2194" s="4045"/>
      <c r="B2194" s="3812" t="s">
        <v>3079</v>
      </c>
      <c r="C2194" s="3812">
        <v>45187</v>
      </c>
      <c r="D2194" s="1032" t="s">
        <v>3856</v>
      </c>
      <c r="E2194" s="1032"/>
      <c r="F2194" s="1032" t="s">
        <v>3857</v>
      </c>
      <c r="G2194" s="1032" t="s">
        <v>3858</v>
      </c>
      <c r="H2194" s="1032" t="s">
        <v>1766</v>
      </c>
      <c r="I2194" s="5073" t="s">
        <v>3859</v>
      </c>
      <c r="J2194" s="1032" t="s">
        <v>3860</v>
      </c>
      <c r="K2194" s="5059">
        <v>204475.46</v>
      </c>
      <c r="L2194" s="1032" t="s">
        <v>3861</v>
      </c>
      <c r="M2194" s="3812">
        <f>SUM(N2194:AA2236)</f>
        <v>8943712.5</v>
      </c>
      <c r="N2194" s="4127">
        <v>0</v>
      </c>
      <c r="O2194" s="4127">
        <v>0</v>
      </c>
      <c r="P2194" s="4127">
        <v>0</v>
      </c>
      <c r="Q2194" s="7069">
        <v>3105229.2</v>
      </c>
      <c r="R2194" s="7069">
        <v>0</v>
      </c>
      <c r="S2194" s="7069">
        <v>0</v>
      </c>
      <c r="T2194" s="7070">
        <v>0</v>
      </c>
      <c r="U2194" s="7069">
        <v>1022377.3</v>
      </c>
      <c r="V2194" s="7069">
        <v>80000</v>
      </c>
      <c r="W2194" s="4127">
        <v>0</v>
      </c>
      <c r="X2194" s="4127">
        <v>0</v>
      </c>
      <c r="Y2194" s="4127">
        <v>0</v>
      </c>
      <c r="Z2194" s="4127"/>
      <c r="AA2194" s="4127">
        <v>4736106</v>
      </c>
      <c r="AB2194" s="7073" t="s">
        <v>126</v>
      </c>
      <c r="AC2194" s="5059" t="s">
        <v>1055</v>
      </c>
      <c r="AD2194" s="5241" t="s">
        <v>342</v>
      </c>
      <c r="AE2194" s="1032">
        <v>0.2</v>
      </c>
      <c r="AF2194" s="3812">
        <f>Q2194*AE2194</f>
        <v>621045.84</v>
      </c>
      <c r="AG2194" s="3812">
        <f t="shared" si="479"/>
        <v>621045.8384</v>
      </c>
      <c r="AH2194" s="857" t="s">
        <v>122</v>
      </c>
      <c r="AI2194" s="3812">
        <v>45236</v>
      </c>
      <c r="AJ2194" s="3812">
        <v>621045.8384</v>
      </c>
      <c r="AK2194" s="3812">
        <v>45236</v>
      </c>
      <c r="AL2194" s="3812">
        <v>621045.84</v>
      </c>
      <c r="AM2194" s="3812">
        <v>45243</v>
      </c>
      <c r="AN2194" s="5349">
        <f t="shared" ref="AN2194:AN2208" si="480">SUM(BO2194:CB2194)</f>
        <v>609060.8</v>
      </c>
      <c r="AO2194" s="3812">
        <v>45321</v>
      </c>
      <c r="AP2194" s="3812"/>
      <c r="AQ2194" s="1032" t="s">
        <v>3862</v>
      </c>
      <c r="AR2194" s="3812"/>
      <c r="AS2194" s="5059"/>
      <c r="AT2194" s="3812"/>
      <c r="AU2194" s="3812">
        <f>SUM(AG2194:AG2236)</f>
        <v>7770626.4416</v>
      </c>
      <c r="AV2194" s="3812">
        <f>SUM(AL2194:AL2236)</f>
        <v>7165839.7264</v>
      </c>
      <c r="AW2194" s="3812">
        <f>SUM(AN2194:AN2236)</f>
        <v>7770626.4488</v>
      </c>
      <c r="AX2194" s="3812">
        <f>M2194-AU2194</f>
        <v>1173086.0584</v>
      </c>
      <c r="AY2194" s="3812">
        <f>AU2194-AV2194</f>
        <v>604786.7152</v>
      </c>
      <c r="AZ2194" s="3812">
        <f>AV2194-AW2194</f>
        <v>-604786.722399999</v>
      </c>
      <c r="BA2194" s="3812"/>
      <c r="BB2194" s="3812"/>
      <c r="BC2194" s="3812"/>
      <c r="BD2194" s="3812">
        <v>585646.23</v>
      </c>
      <c r="BE2194" s="3812"/>
      <c r="BF2194" s="3812"/>
      <c r="BG2194" s="3812"/>
      <c r="BH2194" s="3812">
        <v>29189.15</v>
      </c>
      <c r="BI2194" s="3812"/>
      <c r="BJ2194" s="3812"/>
      <c r="BK2194" s="3812"/>
      <c r="BL2194" s="3812"/>
      <c r="BM2194" s="3812"/>
      <c r="BN2194" s="3812">
        <v>6210.4584</v>
      </c>
      <c r="BO2194" s="5123"/>
      <c r="BP2194" s="5123"/>
      <c r="BQ2194" s="5123"/>
      <c r="BR2194" s="3812">
        <f>585646.23-11985.04</f>
        <v>573661.19</v>
      </c>
      <c r="BS2194" s="3812"/>
      <c r="BT2194" s="3812"/>
      <c r="BU2194" s="3812"/>
      <c r="BV2194" s="3812">
        <v>29189.15</v>
      </c>
      <c r="BW2194" s="3812"/>
      <c r="BX2194" s="3812"/>
      <c r="BY2194" s="3812"/>
      <c r="BZ2194" s="3812"/>
      <c r="CA2194" s="3812"/>
      <c r="CB2194" s="3812">
        <v>6210.46</v>
      </c>
      <c r="CC2194" s="3812"/>
      <c r="CD2194" s="3812"/>
      <c r="CE2194" s="5920"/>
      <c r="CF2194" s="5920"/>
      <c r="CG2194" s="5920"/>
      <c r="CH2194" s="5920"/>
    </row>
    <row r="2195" s="4981" customFormat="1" ht="25" customHeight="1" spans="1:86">
      <c r="A2195" s="3812"/>
      <c r="B2195" s="3812"/>
      <c r="C2195" s="3812"/>
      <c r="D2195" s="5059"/>
      <c r="E2195" s="5059"/>
      <c r="F2195" s="5059"/>
      <c r="G2195" s="5059"/>
      <c r="H2195" s="5059"/>
      <c r="I2195" s="5205"/>
      <c r="J2195" s="5059"/>
      <c r="K2195" s="5059"/>
      <c r="L2195" s="5059"/>
      <c r="M2195" s="3812"/>
      <c r="N2195" s="5711"/>
      <c r="O2195" s="5711"/>
      <c r="P2195" s="5711"/>
      <c r="Q2195" s="7071"/>
      <c r="R2195" s="7071"/>
      <c r="S2195" s="7071"/>
      <c r="T2195" s="7071"/>
      <c r="U2195" s="7071"/>
      <c r="V2195" s="7071"/>
      <c r="W2195" s="5711"/>
      <c r="X2195" s="5711"/>
      <c r="Y2195" s="5711"/>
      <c r="Z2195" s="5711"/>
      <c r="AA2195" s="5711"/>
      <c r="AB2195" s="5972"/>
      <c r="AC2195" s="5214" t="s">
        <v>1057</v>
      </c>
      <c r="AD2195" s="5242" t="s">
        <v>344</v>
      </c>
      <c r="AE2195" s="5073">
        <v>0.3</v>
      </c>
      <c r="AF2195" s="4840">
        <f>Q2194*AE2195</f>
        <v>931568.76</v>
      </c>
      <c r="AG2195" s="4840">
        <f t="shared" si="479"/>
        <v>931568.7576</v>
      </c>
      <c r="AH2195" s="3366" t="s">
        <v>122</v>
      </c>
      <c r="AI2195" s="4840">
        <v>45236</v>
      </c>
      <c r="AJ2195" s="4840">
        <v>931568.7576</v>
      </c>
      <c r="AK2195" s="4840">
        <v>45236</v>
      </c>
      <c r="AL2195" s="4840">
        <v>931568.7576</v>
      </c>
      <c r="AM2195" s="4840">
        <v>45243</v>
      </c>
      <c r="AN2195" s="4840">
        <f t="shared" si="480"/>
        <v>706544.42</v>
      </c>
      <c r="AO2195" s="857">
        <v>45443</v>
      </c>
      <c r="AP2195" s="3812"/>
      <c r="AQ2195" s="1032" t="s">
        <v>3863</v>
      </c>
      <c r="AR2195" s="3812"/>
      <c r="AS2195" s="5059"/>
      <c r="AT2195" s="3812"/>
      <c r="AU2195" s="3812"/>
      <c r="AV2195" s="3812"/>
      <c r="AW2195" s="3812"/>
      <c r="AX2195" s="3812"/>
      <c r="AY2195" s="3812"/>
      <c r="AZ2195" s="3812"/>
      <c r="BA2195" s="3812"/>
      <c r="BB2195" s="3812"/>
      <c r="BC2195" s="3812"/>
      <c r="BD2195" s="4840">
        <v>878469.34</v>
      </c>
      <c r="BE2195" s="3812"/>
      <c r="BF2195" s="3812"/>
      <c r="BG2195" s="3812"/>
      <c r="BH2195" s="4840">
        <v>43783.73</v>
      </c>
      <c r="BI2195" s="3812"/>
      <c r="BJ2195" s="3812"/>
      <c r="BK2195" s="3812"/>
      <c r="BL2195" s="3812"/>
      <c r="BM2195" s="4840"/>
      <c r="BN2195" s="4840">
        <v>9315.6876</v>
      </c>
      <c r="BO2195" s="5123"/>
      <c r="BP2195" s="5123"/>
      <c r="BQ2195" s="5123"/>
      <c r="BR2195" s="4840">
        <v>653445</v>
      </c>
      <c r="BS2195" s="3812"/>
      <c r="BT2195" s="3812"/>
      <c r="BU2195" s="3812"/>
      <c r="BV2195" s="4840">
        <v>43783.73</v>
      </c>
      <c r="BW2195" s="3812"/>
      <c r="BX2195" s="3812"/>
      <c r="BY2195" s="3812"/>
      <c r="BZ2195" s="3812"/>
      <c r="CA2195" s="4840"/>
      <c r="CB2195" s="4840">
        <v>9315.69</v>
      </c>
      <c r="CC2195" s="3812"/>
      <c r="CD2195" s="3812"/>
      <c r="CE2195" s="5920"/>
      <c r="CF2195" s="5920"/>
      <c r="CG2195" s="5920"/>
      <c r="CH2195" s="5920"/>
    </row>
    <row r="2196" s="4981" customFormat="1" ht="25" customHeight="1" spans="1:86">
      <c r="A2196" s="3812"/>
      <c r="B2196" s="3812"/>
      <c r="C2196" s="3812"/>
      <c r="D2196" s="5059"/>
      <c r="E2196" s="5059"/>
      <c r="F2196" s="5059"/>
      <c r="G2196" s="5059"/>
      <c r="H2196" s="5059"/>
      <c r="I2196" s="5205"/>
      <c r="J2196" s="5059"/>
      <c r="K2196" s="5059"/>
      <c r="L2196" s="5059"/>
      <c r="M2196" s="3812"/>
      <c r="N2196" s="5711"/>
      <c r="O2196" s="5711"/>
      <c r="P2196" s="5711"/>
      <c r="Q2196" s="7071"/>
      <c r="R2196" s="7071"/>
      <c r="S2196" s="7071"/>
      <c r="T2196" s="7071"/>
      <c r="U2196" s="7071"/>
      <c r="V2196" s="7071"/>
      <c r="W2196" s="5711"/>
      <c r="X2196" s="5711"/>
      <c r="Y2196" s="5711"/>
      <c r="Z2196" s="5711"/>
      <c r="AA2196" s="5711"/>
      <c r="AB2196" s="5972"/>
      <c r="AC2196" s="5074"/>
      <c r="AD2196" s="5977"/>
      <c r="AE2196" s="5205"/>
      <c r="AF2196" s="4841"/>
      <c r="AG2196" s="4841"/>
      <c r="AH2196" s="3408"/>
      <c r="AI2196" s="4841"/>
      <c r="AJ2196" s="4841"/>
      <c r="AK2196" s="4841"/>
      <c r="AL2196" s="4841"/>
      <c r="AM2196" s="4841"/>
      <c r="AN2196" s="4840">
        <f t="shared" si="480"/>
        <v>100000</v>
      </c>
      <c r="AO2196" s="857">
        <v>45562</v>
      </c>
      <c r="AP2196" s="3812"/>
      <c r="AQ2196" s="1032" t="s">
        <v>3864</v>
      </c>
      <c r="AR2196" s="3812"/>
      <c r="AS2196" s="5059"/>
      <c r="AT2196" s="3812"/>
      <c r="AU2196" s="3812"/>
      <c r="AV2196" s="3812"/>
      <c r="AW2196" s="3812"/>
      <c r="AX2196" s="3812"/>
      <c r="AY2196" s="3812"/>
      <c r="AZ2196" s="3812"/>
      <c r="BA2196" s="3812"/>
      <c r="BB2196" s="3812"/>
      <c r="BC2196" s="3812"/>
      <c r="BD2196" s="4841"/>
      <c r="BE2196" s="3812"/>
      <c r="BF2196" s="3812"/>
      <c r="BG2196" s="3812"/>
      <c r="BH2196" s="4841"/>
      <c r="BI2196" s="3812"/>
      <c r="BJ2196" s="3812"/>
      <c r="BK2196" s="3812"/>
      <c r="BL2196" s="3812"/>
      <c r="BM2196" s="4841"/>
      <c r="BN2196" s="4841"/>
      <c r="BO2196" s="5123"/>
      <c r="BP2196" s="5123"/>
      <c r="BQ2196" s="5123"/>
      <c r="BR2196" s="4840">
        <v>100000</v>
      </c>
      <c r="BS2196" s="3812"/>
      <c r="BT2196" s="3812"/>
      <c r="BU2196" s="3812"/>
      <c r="BV2196" s="4840"/>
      <c r="BW2196" s="3812"/>
      <c r="BX2196" s="3812"/>
      <c r="BY2196" s="3812"/>
      <c r="BZ2196" s="3812"/>
      <c r="CA2196" s="4840"/>
      <c r="CB2196" s="4840"/>
      <c r="CC2196" s="3812"/>
      <c r="CD2196" s="3812"/>
      <c r="CE2196" s="5920"/>
      <c r="CF2196" s="5920"/>
      <c r="CG2196" s="5920"/>
      <c r="CH2196" s="5920"/>
    </row>
    <row r="2197" s="4981" customFormat="1" ht="25" customHeight="1" spans="1:86">
      <c r="A2197" s="3812"/>
      <c r="B2197" s="3812"/>
      <c r="C2197" s="3812"/>
      <c r="D2197" s="5059"/>
      <c r="E2197" s="5059"/>
      <c r="F2197" s="5059"/>
      <c r="G2197" s="5059"/>
      <c r="H2197" s="5059"/>
      <c r="I2197" s="5205"/>
      <c r="J2197" s="5059"/>
      <c r="K2197" s="5059"/>
      <c r="L2197" s="5059"/>
      <c r="M2197" s="3812"/>
      <c r="N2197" s="5711"/>
      <c r="O2197" s="5711"/>
      <c r="P2197" s="5711"/>
      <c r="Q2197" s="7071"/>
      <c r="R2197" s="7071"/>
      <c r="S2197" s="7071"/>
      <c r="T2197" s="7071"/>
      <c r="U2197" s="7071"/>
      <c r="V2197" s="7071"/>
      <c r="W2197" s="5711"/>
      <c r="X2197" s="5711"/>
      <c r="Y2197" s="5711"/>
      <c r="Z2197" s="5711"/>
      <c r="AA2197" s="5711"/>
      <c r="AB2197" s="5972"/>
      <c r="AC2197" s="5074"/>
      <c r="AD2197" s="5977"/>
      <c r="AE2197" s="5205"/>
      <c r="AF2197" s="4841"/>
      <c r="AG2197" s="4841"/>
      <c r="AH2197" s="3408"/>
      <c r="AI2197" s="4841"/>
      <c r="AJ2197" s="4842"/>
      <c r="AK2197" s="4841"/>
      <c r="AL2197" s="4841"/>
      <c r="AM2197" s="4841"/>
      <c r="AN2197" s="4840">
        <f t="shared" si="480"/>
        <v>137009.38</v>
      </c>
      <c r="AO2197" s="3812">
        <v>45564</v>
      </c>
      <c r="AP2197" s="3812"/>
      <c r="AQ2197" s="1032" t="s">
        <v>3865</v>
      </c>
      <c r="AR2197" s="3812"/>
      <c r="AS2197" s="1032"/>
      <c r="AT2197" s="3812"/>
      <c r="AU2197" s="3812"/>
      <c r="AV2197" s="3812"/>
      <c r="AW2197" s="3812"/>
      <c r="AX2197" s="3812"/>
      <c r="AY2197" s="3812"/>
      <c r="AZ2197" s="3812"/>
      <c r="BA2197" s="3812"/>
      <c r="BB2197" s="3812"/>
      <c r="BC2197" s="3812"/>
      <c r="BD2197" s="4841"/>
      <c r="BE2197" s="3812"/>
      <c r="BF2197" s="3812"/>
      <c r="BG2197" s="3812"/>
      <c r="BH2197" s="4841"/>
      <c r="BI2197" s="3812"/>
      <c r="BJ2197" s="3812"/>
      <c r="BK2197" s="3812"/>
      <c r="BL2197" s="3812"/>
      <c r="BM2197" s="4841"/>
      <c r="BN2197" s="4841"/>
      <c r="BO2197" s="5123"/>
      <c r="BP2197" s="5123"/>
      <c r="BQ2197" s="5123"/>
      <c r="BR2197" s="5248">
        <f>878469.34+11985.04-BR2195-BR2196</f>
        <v>137009.38</v>
      </c>
      <c r="BS2197" s="3812"/>
      <c r="BT2197" s="3812"/>
      <c r="BU2197" s="3812"/>
      <c r="BV2197" s="4840"/>
      <c r="BW2197" s="3812"/>
      <c r="BX2197" s="3812"/>
      <c r="BY2197" s="3812"/>
      <c r="BZ2197" s="3812"/>
      <c r="CA2197" s="4840"/>
      <c r="CB2197" s="4840"/>
      <c r="CC2197" s="3812"/>
      <c r="CD2197" s="3812"/>
      <c r="CE2197" s="5920"/>
      <c r="CF2197" s="5920"/>
      <c r="CG2197" s="5920"/>
      <c r="CH2197" s="5920"/>
    </row>
    <row r="2198" s="4981" customFormat="1" ht="25" customHeight="1" spans="1:86">
      <c r="A2198" s="3812"/>
      <c r="B2198" s="3812"/>
      <c r="C2198" s="3812"/>
      <c r="D2198" s="5059"/>
      <c r="E2198" s="5059"/>
      <c r="F2198" s="5059"/>
      <c r="G2198" s="5059"/>
      <c r="H2198" s="5059"/>
      <c r="I2198" s="5205"/>
      <c r="J2198" s="5059"/>
      <c r="K2198" s="5059"/>
      <c r="L2198" s="5059"/>
      <c r="M2198" s="3812"/>
      <c r="N2198" s="5711"/>
      <c r="O2198" s="5711"/>
      <c r="P2198" s="5711"/>
      <c r="Q2198" s="7071"/>
      <c r="R2198" s="7071"/>
      <c r="S2198" s="7071"/>
      <c r="T2198" s="7071"/>
      <c r="U2198" s="7071"/>
      <c r="V2198" s="7071"/>
      <c r="W2198" s="5711"/>
      <c r="X2198" s="5711"/>
      <c r="Y2198" s="5711"/>
      <c r="Z2198" s="5711"/>
      <c r="AA2198" s="5711"/>
      <c r="AB2198" s="5972"/>
      <c r="AC2198" s="5059" t="s">
        <v>1059</v>
      </c>
      <c r="AD2198" s="5241" t="s">
        <v>346</v>
      </c>
      <c r="AE2198" s="1032">
        <v>0.2</v>
      </c>
      <c r="AF2198" s="3812">
        <f>Q2194*AE2198</f>
        <v>621045.84</v>
      </c>
      <c r="AG2198" s="3812">
        <f>SUM(BA2198:BN2198)</f>
        <v>621045.8384</v>
      </c>
      <c r="AH2198" s="857" t="s">
        <v>122</v>
      </c>
      <c r="AI2198" s="3812">
        <v>45281</v>
      </c>
      <c r="AJ2198" s="3812">
        <v>621045.84</v>
      </c>
      <c r="AK2198" s="3812">
        <v>45281</v>
      </c>
      <c r="AL2198" s="3812">
        <v>621045.84</v>
      </c>
      <c r="AM2198" s="3812">
        <v>45303</v>
      </c>
      <c r="AN2198" s="3812">
        <f t="shared" si="480"/>
        <v>621045.84</v>
      </c>
      <c r="AO2198" s="3812">
        <v>45321</v>
      </c>
      <c r="AP2198" s="3812"/>
      <c r="AQ2198" s="1032" t="s">
        <v>3866</v>
      </c>
      <c r="AR2198" s="3812"/>
      <c r="AS2198" s="1032"/>
      <c r="AT2198" s="3812"/>
      <c r="AU2198" s="3812"/>
      <c r="AV2198" s="3812"/>
      <c r="AW2198" s="3812"/>
      <c r="AX2198" s="3812"/>
      <c r="AY2198" s="3812"/>
      <c r="AZ2198" s="3812"/>
      <c r="BA2198" s="3812"/>
      <c r="BB2198" s="3812"/>
      <c r="BC2198" s="3812"/>
      <c r="BD2198" s="3812">
        <v>585646.23</v>
      </c>
      <c r="BE2198" s="3812"/>
      <c r="BF2198" s="3812"/>
      <c r="BG2198" s="3812"/>
      <c r="BH2198" s="3812">
        <v>29189.15</v>
      </c>
      <c r="BI2198" s="3812"/>
      <c r="BJ2198" s="3812"/>
      <c r="BK2198" s="3812"/>
      <c r="BL2198" s="3812"/>
      <c r="BM2198" s="3812"/>
      <c r="BN2198" s="3812">
        <v>6210.4584</v>
      </c>
      <c r="BO2198" s="5123"/>
      <c r="BP2198" s="5123"/>
      <c r="BQ2198" s="5123"/>
      <c r="BR2198" s="3812">
        <v>585646.23</v>
      </c>
      <c r="BS2198" s="3812"/>
      <c r="BT2198" s="3812"/>
      <c r="BU2198" s="3812"/>
      <c r="BV2198" s="3812">
        <v>29189.15</v>
      </c>
      <c r="BW2198" s="3812"/>
      <c r="BX2198" s="3812"/>
      <c r="BY2198" s="3812"/>
      <c r="BZ2198" s="3812"/>
      <c r="CA2198" s="3812"/>
      <c r="CB2198" s="3812">
        <v>6210.46</v>
      </c>
      <c r="CC2198" s="3812"/>
      <c r="CD2198" s="3812"/>
      <c r="CE2198" s="5920"/>
      <c r="CF2198" s="5920"/>
      <c r="CG2198" s="5920"/>
      <c r="CH2198" s="5920"/>
    </row>
    <row r="2199" s="4974" customFormat="1" ht="30.85" customHeight="1" spans="1:86">
      <c r="A2199" s="3812"/>
      <c r="B2199" s="3812"/>
      <c r="C2199" s="3812"/>
      <c r="D2199" s="5059"/>
      <c r="E2199" s="5059"/>
      <c r="F2199" s="5059"/>
      <c r="G2199" s="5059"/>
      <c r="H2199" s="5059"/>
      <c r="I2199" s="5205"/>
      <c r="J2199" s="5059"/>
      <c r="K2199" s="5059"/>
      <c r="L2199" s="5059"/>
      <c r="M2199" s="3812"/>
      <c r="N2199" s="5711"/>
      <c r="O2199" s="5711"/>
      <c r="P2199" s="5711"/>
      <c r="Q2199" s="7071"/>
      <c r="R2199" s="7071"/>
      <c r="S2199" s="7071"/>
      <c r="T2199" s="7071"/>
      <c r="U2199" s="7071"/>
      <c r="V2199" s="7071"/>
      <c r="W2199" s="5711"/>
      <c r="X2199" s="5711"/>
      <c r="Y2199" s="5711"/>
      <c r="Z2199" s="5711"/>
      <c r="AA2199" s="5711"/>
      <c r="AB2199" s="5972"/>
      <c r="AC2199" s="5214" t="s">
        <v>1061</v>
      </c>
      <c r="AD2199" s="5242" t="s">
        <v>348</v>
      </c>
      <c r="AE2199" s="5073">
        <v>0.2</v>
      </c>
      <c r="AF2199" s="4840">
        <f>Q2194*AE2199</f>
        <v>621045.84</v>
      </c>
      <c r="AG2199" s="4840">
        <f>SUM(BA2199:BN2199)</f>
        <v>621045.8384</v>
      </c>
      <c r="AH2199" s="3366" t="s">
        <v>122</v>
      </c>
      <c r="AI2199" s="4840">
        <v>45418</v>
      </c>
      <c r="AJ2199" s="4840">
        <v>621045.84</v>
      </c>
      <c r="AK2199" s="4840">
        <v>45418</v>
      </c>
      <c r="AL2199" s="3812">
        <v>21045.84</v>
      </c>
      <c r="AM2199" s="3812">
        <v>45427</v>
      </c>
      <c r="AN2199" s="3812">
        <f t="shared" si="480"/>
        <v>21045.84</v>
      </c>
      <c r="AO2199" s="3812">
        <v>45448</v>
      </c>
      <c r="AP2199" s="3812"/>
      <c r="AQ2199" s="1032" t="s">
        <v>3867</v>
      </c>
      <c r="AR2199" s="3812"/>
      <c r="AS2199" s="5059"/>
      <c r="AT2199" s="3812"/>
      <c r="AU2199" s="3812"/>
      <c r="AV2199" s="3812"/>
      <c r="AW2199" s="3812"/>
      <c r="AX2199" s="3812"/>
      <c r="AY2199" s="3812"/>
      <c r="AZ2199" s="3812"/>
      <c r="BA2199" s="3812"/>
      <c r="BB2199" s="3812"/>
      <c r="BC2199" s="3812"/>
      <c r="BD2199" s="5248">
        <v>485646.23</v>
      </c>
      <c r="BE2199" s="4813"/>
      <c r="BF2199" s="4813"/>
      <c r="BG2199" s="4813"/>
      <c r="BH2199" s="5248">
        <v>129189.15</v>
      </c>
      <c r="BI2199" s="4813"/>
      <c r="BJ2199" s="4813"/>
      <c r="BK2199" s="4813"/>
      <c r="BL2199" s="4813"/>
      <c r="BM2199" s="5248"/>
      <c r="BN2199" s="4840">
        <v>6210.4584</v>
      </c>
      <c r="BO2199" s="3812"/>
      <c r="BP2199" s="3812"/>
      <c r="BQ2199" s="3812"/>
      <c r="BR2199" s="3812"/>
      <c r="BS2199" s="3812"/>
      <c r="BT2199" s="3812"/>
      <c r="BU2199" s="3812"/>
      <c r="BV2199" s="4813">
        <v>14835.38</v>
      </c>
      <c r="BW2199" s="3812"/>
      <c r="BX2199" s="3812"/>
      <c r="BY2199" s="3812"/>
      <c r="BZ2199" s="3812"/>
      <c r="CA2199" s="3812"/>
      <c r="CB2199" s="4813">
        <v>6210.46</v>
      </c>
      <c r="CC2199" s="3812"/>
      <c r="CD2199" s="3812"/>
      <c r="CE2199" s="5310"/>
      <c r="CF2199" s="5310"/>
      <c r="CG2199" s="5310"/>
      <c r="CH2199" s="5310"/>
    </row>
    <row r="2200" s="4974" customFormat="1" ht="30.85" customHeight="1" spans="1:86">
      <c r="A2200" s="3812"/>
      <c r="B2200" s="3812"/>
      <c r="C2200" s="3812"/>
      <c r="D2200" s="5059"/>
      <c r="E2200" s="5059"/>
      <c r="F2200" s="5059"/>
      <c r="G2200" s="5059"/>
      <c r="H2200" s="5059"/>
      <c r="I2200" s="5205"/>
      <c r="J2200" s="5059"/>
      <c r="K2200" s="5059"/>
      <c r="L2200" s="5059"/>
      <c r="M2200" s="3812"/>
      <c r="N2200" s="5711"/>
      <c r="O2200" s="5711"/>
      <c r="P2200" s="5711"/>
      <c r="Q2200" s="7071"/>
      <c r="R2200" s="7071"/>
      <c r="S2200" s="7071"/>
      <c r="T2200" s="7071"/>
      <c r="U2200" s="7071"/>
      <c r="V2200" s="7071"/>
      <c r="W2200" s="5711"/>
      <c r="X2200" s="5711"/>
      <c r="Y2200" s="5711"/>
      <c r="Z2200" s="5711"/>
      <c r="AA2200" s="5711"/>
      <c r="AB2200" s="5972"/>
      <c r="AC2200" s="5074"/>
      <c r="AD2200" s="5977"/>
      <c r="AE2200" s="5205"/>
      <c r="AF2200" s="4841"/>
      <c r="AG2200" s="4841"/>
      <c r="AH2200" s="3408"/>
      <c r="AI2200" s="4841"/>
      <c r="AJ2200" s="4841"/>
      <c r="AK2200" s="4841"/>
      <c r="AL2200" s="3812">
        <v>300000</v>
      </c>
      <c r="AM2200" s="4840">
        <v>45581</v>
      </c>
      <c r="AN2200" s="3812">
        <f t="shared" si="480"/>
        <v>300000</v>
      </c>
      <c r="AO2200" s="3812">
        <v>45683</v>
      </c>
      <c r="AP2200" s="3812"/>
      <c r="AQ2200" s="1032"/>
      <c r="AR2200" s="3812"/>
      <c r="AS2200" s="5059"/>
      <c r="AT2200" s="3812"/>
      <c r="AU2200" s="3812"/>
      <c r="AV2200" s="3812"/>
      <c r="AW2200" s="3812"/>
      <c r="AX2200" s="3812"/>
      <c r="AY2200" s="3812"/>
      <c r="AZ2200" s="3812"/>
      <c r="BA2200" s="3812"/>
      <c r="BB2200" s="3812"/>
      <c r="BC2200" s="3812"/>
      <c r="BD2200" s="5978"/>
      <c r="BE2200" s="4813"/>
      <c r="BF2200" s="4813"/>
      <c r="BG2200" s="4813"/>
      <c r="BH2200" s="5978"/>
      <c r="BI2200" s="4813"/>
      <c r="BJ2200" s="4813"/>
      <c r="BK2200" s="4813"/>
      <c r="BL2200" s="4813"/>
      <c r="BM2200" s="5978"/>
      <c r="BN2200" s="4841"/>
      <c r="BO2200" s="3812"/>
      <c r="BP2200" s="3812"/>
      <c r="BQ2200" s="3812"/>
      <c r="BR2200" s="3812">
        <f>300000-BV2200</f>
        <v>242823.11</v>
      </c>
      <c r="BS2200" s="3812"/>
      <c r="BT2200" s="3812"/>
      <c r="BU2200" s="3812"/>
      <c r="BV2200" s="4813">
        <v>57176.89</v>
      </c>
      <c r="BW2200" s="3812"/>
      <c r="BX2200" s="3812"/>
      <c r="BY2200" s="3812"/>
      <c r="BZ2200" s="3812"/>
      <c r="CA2200" s="3812"/>
      <c r="CB2200" s="4813"/>
      <c r="CC2200" s="3812"/>
      <c r="CD2200" s="3812"/>
      <c r="CE2200" s="5310"/>
      <c r="CF2200" s="5310"/>
      <c r="CG2200" s="5310"/>
      <c r="CH2200" s="5310"/>
    </row>
    <row r="2201" s="4981" customFormat="1" ht="31.65" customHeight="1" spans="1:86">
      <c r="A2201" s="3812"/>
      <c r="B2201" s="3812"/>
      <c r="C2201" s="3812"/>
      <c r="D2201" s="5059"/>
      <c r="E2201" s="5059"/>
      <c r="F2201" s="5059"/>
      <c r="G2201" s="5059"/>
      <c r="H2201" s="5059"/>
      <c r="I2201" s="5205"/>
      <c r="J2201" s="5059"/>
      <c r="K2201" s="5059"/>
      <c r="L2201" s="5059"/>
      <c r="M2201" s="3812"/>
      <c r="N2201" s="5711"/>
      <c r="O2201" s="5711"/>
      <c r="P2201" s="5711"/>
      <c r="Q2201" s="7071"/>
      <c r="R2201" s="7071"/>
      <c r="S2201" s="7071"/>
      <c r="T2201" s="7071"/>
      <c r="U2201" s="7071"/>
      <c r="V2201" s="7071"/>
      <c r="W2201" s="5711"/>
      <c r="X2201" s="5711"/>
      <c r="Y2201" s="5711"/>
      <c r="Z2201" s="5711"/>
      <c r="AA2201" s="5711"/>
      <c r="AB2201" s="5972"/>
      <c r="AC2201" s="5075"/>
      <c r="AD2201" s="5942"/>
      <c r="AE2201" s="5206"/>
      <c r="AF2201" s="4842"/>
      <c r="AG2201" s="4842"/>
      <c r="AH2201" s="3409"/>
      <c r="AI2201" s="4842"/>
      <c r="AJ2201" s="4842"/>
      <c r="AK2201" s="4842"/>
      <c r="AL2201" s="3812">
        <v>300000</v>
      </c>
      <c r="AM2201" s="4842"/>
      <c r="AN2201" s="3812">
        <f t="shared" si="480"/>
        <v>300000</v>
      </c>
      <c r="AO2201" s="3812">
        <v>45683</v>
      </c>
      <c r="AP2201" s="3812"/>
      <c r="AQ2201" s="1032" t="s">
        <v>3868</v>
      </c>
      <c r="AR2201" s="3812"/>
      <c r="AS2201" s="5059"/>
      <c r="AT2201" s="3812"/>
      <c r="AU2201" s="3812"/>
      <c r="AV2201" s="3812"/>
      <c r="AW2201" s="3812"/>
      <c r="AX2201" s="3812"/>
      <c r="AY2201" s="3812"/>
      <c r="AZ2201" s="3812"/>
      <c r="BA2201" s="3812"/>
      <c r="BB2201" s="3812"/>
      <c r="BC2201" s="3812"/>
      <c r="BD2201" s="5350"/>
      <c r="BE2201" s="3812"/>
      <c r="BF2201" s="3812"/>
      <c r="BG2201" s="3812"/>
      <c r="BH2201" s="5350"/>
      <c r="BI2201" s="3812"/>
      <c r="BJ2201" s="3812"/>
      <c r="BK2201" s="3812"/>
      <c r="BL2201" s="3812"/>
      <c r="BM2201" s="4842"/>
      <c r="BN2201" s="4842"/>
      <c r="BO2201" s="5123"/>
      <c r="BP2201" s="5123"/>
      <c r="BQ2201" s="5123"/>
      <c r="BR2201" s="3812">
        <f>185646.23+BV2200</f>
        <v>242823.12</v>
      </c>
      <c r="BS2201" s="3812"/>
      <c r="BT2201" s="3812"/>
      <c r="BU2201" s="3812"/>
      <c r="BV2201" s="4813">
        <v>57176.88</v>
      </c>
      <c r="BW2201" s="3812"/>
      <c r="BX2201" s="3812"/>
      <c r="BY2201" s="3812"/>
      <c r="BZ2201" s="3812"/>
      <c r="CA2201" s="3812"/>
      <c r="CB2201" s="3812"/>
      <c r="CC2201" s="3812"/>
      <c r="CD2201" s="3812"/>
      <c r="CE2201" s="5920"/>
      <c r="CF2201" s="5920"/>
      <c r="CG2201" s="5920"/>
      <c r="CH2201" s="5920"/>
    </row>
    <row r="2202" s="4981" customFormat="1" ht="31.5" customHeight="1" spans="1:86">
      <c r="A2202" s="3812"/>
      <c r="B2202" s="3812"/>
      <c r="C2202" s="3812"/>
      <c r="D2202" s="5059"/>
      <c r="E2202" s="5059"/>
      <c r="F2202" s="5059"/>
      <c r="G2202" s="5059"/>
      <c r="H2202" s="5059"/>
      <c r="I2202" s="5205"/>
      <c r="J2202" s="5059"/>
      <c r="K2202" s="5059"/>
      <c r="L2202" s="5059"/>
      <c r="M2202" s="3812"/>
      <c r="N2202" s="5711"/>
      <c r="O2202" s="5711"/>
      <c r="P2202" s="5711"/>
      <c r="Q2202" s="7071"/>
      <c r="R2202" s="7071"/>
      <c r="S2202" s="7071"/>
      <c r="T2202" s="7071"/>
      <c r="U2202" s="7071"/>
      <c r="V2202" s="7071"/>
      <c r="W2202" s="5711"/>
      <c r="X2202" s="5711"/>
      <c r="Y2202" s="5711"/>
      <c r="Z2202" s="5711"/>
      <c r="AA2202" s="5711"/>
      <c r="AB2202" s="5972"/>
      <c r="AC2202" s="5073" t="s">
        <v>1063</v>
      </c>
      <c r="AD2202" s="5242" t="s">
        <v>351</v>
      </c>
      <c r="AE2202" s="5073">
        <v>0.1</v>
      </c>
      <c r="AF2202" s="4840">
        <f>Q2194*AE2202</f>
        <v>310522.92</v>
      </c>
      <c r="AG2202" s="4813">
        <f>SUM(BA2202:BN2202)</f>
        <v>1878.4</v>
      </c>
      <c r="AH2202" s="857" t="s">
        <v>122</v>
      </c>
      <c r="AI2202" s="3812">
        <v>45603</v>
      </c>
      <c r="AJ2202" s="3812">
        <v>1878.4</v>
      </c>
      <c r="AK2202" s="3812">
        <v>45603</v>
      </c>
      <c r="AL2202" s="3812">
        <v>1878.4</v>
      </c>
      <c r="AM2202" s="3812">
        <v>45603</v>
      </c>
      <c r="AN2202" s="3812">
        <f t="shared" si="480"/>
        <v>1878.4</v>
      </c>
      <c r="AO2202" s="3812">
        <v>45683</v>
      </c>
      <c r="AP2202" s="3812"/>
      <c r="AQ2202" s="1032"/>
      <c r="AR2202" s="3812"/>
      <c r="AS2202" s="5059"/>
      <c r="AT2202" s="3812"/>
      <c r="AU2202" s="3812"/>
      <c r="AV2202" s="3812"/>
      <c r="AW2202" s="3812"/>
      <c r="AX2202" s="3812"/>
      <c r="AY2202" s="3812"/>
      <c r="AZ2202" s="3812"/>
      <c r="BA2202" s="3812"/>
      <c r="BB2202" s="3812"/>
      <c r="BC2202" s="3812"/>
      <c r="BD2202" s="4813">
        <v>1878.4</v>
      </c>
      <c r="BE2202" s="3812"/>
      <c r="BF2202" s="3812"/>
      <c r="BG2202" s="3812"/>
      <c r="BH2202" s="5123"/>
      <c r="BI2202" s="3812"/>
      <c r="BJ2202" s="3812"/>
      <c r="BK2202" s="3812"/>
      <c r="BL2202" s="3812"/>
      <c r="BM2202" s="3812"/>
      <c r="BN2202" s="5123"/>
      <c r="BO2202" s="5123"/>
      <c r="BP2202" s="5123"/>
      <c r="BQ2202" s="5123"/>
      <c r="BR2202" s="3812">
        <v>1878.4</v>
      </c>
      <c r="BS2202" s="3812"/>
      <c r="BT2202" s="3812"/>
      <c r="BU2202" s="3812"/>
      <c r="BV2202" s="3812"/>
      <c r="BW2202" s="3812"/>
      <c r="BX2202" s="3812"/>
      <c r="BY2202" s="3812"/>
      <c r="BZ2202" s="3812"/>
      <c r="CA2202" s="3812"/>
      <c r="CB2202" s="5123"/>
      <c r="CC2202" s="3812"/>
      <c r="CD2202" s="3812"/>
      <c r="CE2202" s="5920"/>
      <c r="CF2202" s="5920"/>
      <c r="CG2202" s="5920"/>
      <c r="CH2202" s="5920"/>
    </row>
    <row r="2203" s="4974" customFormat="1" ht="25" customHeight="1" spans="1:86">
      <c r="A2203" s="3812"/>
      <c r="B2203" s="3812"/>
      <c r="C2203" s="3812"/>
      <c r="D2203" s="5059"/>
      <c r="E2203" s="5059"/>
      <c r="F2203" s="5059"/>
      <c r="G2203" s="5059"/>
      <c r="H2203" s="5059"/>
      <c r="I2203" s="5205"/>
      <c r="J2203" s="5059"/>
      <c r="K2203" s="5059"/>
      <c r="L2203" s="5059"/>
      <c r="M2203" s="3812"/>
      <c r="N2203" s="5667"/>
      <c r="O2203" s="5667"/>
      <c r="P2203" s="5667"/>
      <c r="Q2203" s="5735"/>
      <c r="R2203" s="5735"/>
      <c r="S2203" s="5735"/>
      <c r="T2203" s="5735"/>
      <c r="U2203" s="5735"/>
      <c r="V2203" s="5735"/>
      <c r="W2203" s="5667"/>
      <c r="X2203" s="5667"/>
      <c r="Y2203" s="5667"/>
      <c r="Z2203" s="5667"/>
      <c r="AA2203" s="5667"/>
      <c r="AB2203" s="5973"/>
      <c r="AC2203" s="5206"/>
      <c r="AD2203" s="5942"/>
      <c r="AE2203" s="5206"/>
      <c r="AF2203" s="4842"/>
      <c r="AG2203" s="5123">
        <f>SUM(BA2203:BN2203)</f>
        <v>308644.52</v>
      </c>
      <c r="AH2203" s="7076" t="s">
        <v>349</v>
      </c>
      <c r="AI2203" s="5258"/>
      <c r="AJ2203" s="3812"/>
      <c r="AK2203" s="3812"/>
      <c r="AL2203" s="3812"/>
      <c r="AM2203" s="3812"/>
      <c r="AN2203" s="5123">
        <f t="shared" si="480"/>
        <v>308644.52</v>
      </c>
      <c r="AO2203" s="857"/>
      <c r="AP2203" s="3812"/>
      <c r="AQ2203" s="1032"/>
      <c r="AR2203" s="3812"/>
      <c r="AS2203" s="5059"/>
      <c r="AT2203" s="3812"/>
      <c r="AU2203" s="3812"/>
      <c r="AV2203" s="3812"/>
      <c r="AW2203" s="3812"/>
      <c r="AX2203" s="3812"/>
      <c r="AY2203" s="3812"/>
      <c r="AZ2203" s="3812"/>
      <c r="BA2203" s="3812"/>
      <c r="BB2203" s="3812"/>
      <c r="BC2203" s="3812"/>
      <c r="BD2203" s="5123">
        <f>292823.11-BD2202</f>
        <v>290944.71</v>
      </c>
      <c r="BE2203" s="3812"/>
      <c r="BF2203" s="3812"/>
      <c r="BG2203" s="5123"/>
      <c r="BH2203" s="5123">
        <v>14594.58</v>
      </c>
      <c r="BI2203" s="3812"/>
      <c r="BJ2203" s="3812"/>
      <c r="BK2203" s="3812"/>
      <c r="BL2203" s="3812"/>
      <c r="BM2203" s="3812"/>
      <c r="BN2203" s="5123">
        <v>3105.23</v>
      </c>
      <c r="BO2203" s="5123"/>
      <c r="BP2203" s="5123"/>
      <c r="BQ2203" s="5123"/>
      <c r="BR2203" s="5123">
        <f>292823.11-BR2202</f>
        <v>290944.71</v>
      </c>
      <c r="BS2203" s="3812"/>
      <c r="BT2203" s="3812"/>
      <c r="BU2203" s="5123"/>
      <c r="BV2203" s="5123">
        <v>14594.58</v>
      </c>
      <c r="BW2203" s="3812"/>
      <c r="BX2203" s="3812"/>
      <c r="BY2203" s="3812"/>
      <c r="BZ2203" s="3812"/>
      <c r="CA2203" s="3812"/>
      <c r="CB2203" s="5123">
        <v>3105.23</v>
      </c>
      <c r="CC2203" s="3812"/>
      <c r="CD2203" s="3812"/>
      <c r="CE2203" s="5310"/>
      <c r="CF2203" s="5310"/>
      <c r="CG2203" s="5310"/>
      <c r="CH2203" s="5310"/>
    </row>
    <row r="2204" s="4974" customFormat="1" ht="25" customHeight="1" spans="1:86">
      <c r="A2204" s="3812"/>
      <c r="B2204" s="3812"/>
      <c r="C2204" s="3812"/>
      <c r="D2204" s="5059"/>
      <c r="E2204" s="5059"/>
      <c r="F2204" s="5059"/>
      <c r="G2204" s="5059"/>
      <c r="H2204" s="5059"/>
      <c r="I2204" s="5205"/>
      <c r="J2204" s="5059"/>
      <c r="K2204" s="5059"/>
      <c r="L2204" s="5059"/>
      <c r="M2204" s="3812"/>
      <c r="N2204" s="5667"/>
      <c r="O2204" s="5667"/>
      <c r="P2204" s="5667"/>
      <c r="Q2204" s="5735"/>
      <c r="R2204" s="5735"/>
      <c r="S2204" s="5735"/>
      <c r="T2204" s="5735"/>
      <c r="U2204" s="5735"/>
      <c r="V2204" s="5735"/>
      <c r="W2204" s="5667"/>
      <c r="X2204" s="5667"/>
      <c r="Y2204" s="5667"/>
      <c r="Z2204" s="5667"/>
      <c r="AA2204" s="5667"/>
      <c r="AB2204" s="5973"/>
      <c r="AC2204" s="1032" t="s">
        <v>1110</v>
      </c>
      <c r="AD2204" s="5241" t="s">
        <v>1776</v>
      </c>
      <c r="AE2204" s="1032">
        <v>0.2</v>
      </c>
      <c r="AF2204" s="3812">
        <f>U2194*AE2204</f>
        <v>204475.46</v>
      </c>
      <c r="AG2204" s="3812">
        <f t="shared" ref="AG2204:AG2212" si="481">SUM(BA2204:BN2204)</f>
        <v>204475.46</v>
      </c>
      <c r="AH2204" s="857" t="s">
        <v>122</v>
      </c>
      <c r="AI2204" s="3812">
        <v>45236</v>
      </c>
      <c r="AJ2204" s="3812">
        <v>204475.46</v>
      </c>
      <c r="AK2204" s="3812">
        <v>45236</v>
      </c>
      <c r="AL2204" s="3812">
        <v>204475.46</v>
      </c>
      <c r="AM2204" s="3812">
        <v>45243</v>
      </c>
      <c r="AN2204" s="3812">
        <f t="shared" si="480"/>
        <v>204475.46</v>
      </c>
      <c r="AO2204" s="857">
        <v>45443</v>
      </c>
      <c r="AP2204" s="3812"/>
      <c r="AQ2204" s="1032" t="s">
        <v>3863</v>
      </c>
      <c r="AR2204" s="7084" t="s">
        <v>3869</v>
      </c>
      <c r="AS2204" s="5059"/>
      <c r="AT2204" s="3812"/>
      <c r="AU2204" s="3812"/>
      <c r="AV2204" s="3812"/>
      <c r="AW2204" s="3812"/>
      <c r="AX2204" s="3812"/>
      <c r="AY2204" s="3812"/>
      <c r="AZ2204" s="3812"/>
      <c r="BA2204" s="3812"/>
      <c r="BB2204" s="3812"/>
      <c r="BC2204" s="3812"/>
      <c r="BD2204" s="3812"/>
      <c r="BE2204" s="3812"/>
      <c r="BF2204" s="3812"/>
      <c r="BG2204" s="5123"/>
      <c r="BH2204" s="3812">
        <v>202430.71</v>
      </c>
      <c r="BI2204" s="3812"/>
      <c r="BJ2204" s="3812"/>
      <c r="BK2204" s="3812"/>
      <c r="BL2204" s="3812"/>
      <c r="BM2204" s="3812"/>
      <c r="BN2204" s="3812">
        <v>2044.75</v>
      </c>
      <c r="BO2204" s="5123"/>
      <c r="BP2204" s="5123"/>
      <c r="BQ2204" s="5123"/>
      <c r="BR2204" s="3812"/>
      <c r="BS2204" s="3812"/>
      <c r="BT2204" s="3812"/>
      <c r="BU2204" s="3812"/>
      <c r="BV2204" s="3812">
        <v>202430.71</v>
      </c>
      <c r="BW2204" s="3812"/>
      <c r="BX2204" s="3812"/>
      <c r="BY2204" s="3812"/>
      <c r="BZ2204" s="3812"/>
      <c r="CA2204" s="3812"/>
      <c r="CB2204" s="3812">
        <v>2044.75</v>
      </c>
      <c r="CC2204" s="3812"/>
      <c r="CD2204" s="3812"/>
      <c r="CE2204" s="5310"/>
      <c r="CF2204" s="5310"/>
      <c r="CG2204" s="5310"/>
      <c r="CH2204" s="5310"/>
    </row>
    <row r="2205" s="4974" customFormat="1" ht="61" spans="1:86">
      <c r="A2205" s="3812"/>
      <c r="B2205" s="3812"/>
      <c r="C2205" s="3812"/>
      <c r="D2205" s="5059"/>
      <c r="E2205" s="5059"/>
      <c r="F2205" s="5059"/>
      <c r="G2205" s="5059"/>
      <c r="H2205" s="5059"/>
      <c r="I2205" s="5205"/>
      <c r="J2205" s="5059"/>
      <c r="K2205" s="5059"/>
      <c r="L2205" s="5059"/>
      <c r="M2205" s="3812"/>
      <c r="N2205" s="5667"/>
      <c r="O2205" s="5667"/>
      <c r="P2205" s="5667"/>
      <c r="Q2205" s="5735"/>
      <c r="R2205" s="5735"/>
      <c r="S2205" s="5735"/>
      <c r="T2205" s="5735"/>
      <c r="U2205" s="5735"/>
      <c r="V2205" s="5735"/>
      <c r="W2205" s="5667"/>
      <c r="X2205" s="5667"/>
      <c r="Y2205" s="5667"/>
      <c r="Z2205" s="5667"/>
      <c r="AA2205" s="5667"/>
      <c r="AB2205" s="5973"/>
      <c r="AC2205" s="5073" t="s">
        <v>1113</v>
      </c>
      <c r="AD2205" s="5242" t="s">
        <v>1777</v>
      </c>
      <c r="AE2205" s="5073">
        <v>0.4</v>
      </c>
      <c r="AF2205" s="4840">
        <f>U2194*AE2205</f>
        <v>408950.92</v>
      </c>
      <c r="AG2205" s="3812">
        <f t="shared" si="481"/>
        <v>88980.1188</v>
      </c>
      <c r="AH2205" s="857" t="s">
        <v>122</v>
      </c>
      <c r="AI2205" s="3812">
        <v>45236</v>
      </c>
      <c r="AJ2205" s="3812">
        <v>88980.1188</v>
      </c>
      <c r="AK2205" s="3812">
        <v>45236</v>
      </c>
      <c r="AL2205" s="3812">
        <v>88980.1188</v>
      </c>
      <c r="AM2205" s="3812">
        <v>45243</v>
      </c>
      <c r="AN2205" s="3812">
        <f t="shared" si="480"/>
        <v>88980.1188</v>
      </c>
      <c r="AO2205" s="857">
        <v>45443</v>
      </c>
      <c r="AP2205" s="3812"/>
      <c r="AQ2205" s="1032" t="s">
        <v>3870</v>
      </c>
      <c r="AR2205" s="5978"/>
      <c r="AS2205" s="5059"/>
      <c r="AT2205" s="3812"/>
      <c r="AU2205" s="3812"/>
      <c r="AV2205" s="3812"/>
      <c r="AW2205" s="3812"/>
      <c r="AX2205" s="3812"/>
      <c r="AY2205" s="3812"/>
      <c r="AZ2205" s="3812"/>
      <c r="BA2205" s="3812"/>
      <c r="BB2205" s="3812"/>
      <c r="BC2205" s="3812"/>
      <c r="BD2205" s="3812"/>
      <c r="BE2205" s="3812"/>
      <c r="BF2205" s="3812"/>
      <c r="BG2205" s="5123"/>
      <c r="BH2205" s="3812">
        <v>88090.3188</v>
      </c>
      <c r="BI2205" s="3812"/>
      <c r="BJ2205" s="3812"/>
      <c r="BK2205" s="3812"/>
      <c r="BL2205" s="3812"/>
      <c r="BM2205" s="3812"/>
      <c r="BN2205" s="3812">
        <v>889.8</v>
      </c>
      <c r="BO2205" s="5123"/>
      <c r="BP2205" s="5123"/>
      <c r="BQ2205" s="5123"/>
      <c r="BR2205" s="3812"/>
      <c r="BS2205" s="3812"/>
      <c r="BT2205" s="3812"/>
      <c r="BU2205" s="3812"/>
      <c r="BV2205" s="3812">
        <v>88090.3188</v>
      </c>
      <c r="BW2205" s="3812"/>
      <c r="BX2205" s="3812"/>
      <c r="BY2205" s="3812"/>
      <c r="BZ2205" s="3812"/>
      <c r="CA2205" s="3812"/>
      <c r="CB2205" s="3812">
        <v>889.8</v>
      </c>
      <c r="CC2205" s="3812"/>
      <c r="CD2205" s="3812"/>
      <c r="CE2205" s="5310"/>
      <c r="CF2205" s="5310"/>
      <c r="CG2205" s="5310"/>
      <c r="CH2205" s="5310"/>
    </row>
    <row r="2206" s="4974" customFormat="1" ht="31" spans="1:86">
      <c r="A2206" s="3812"/>
      <c r="B2206" s="3812"/>
      <c r="C2206" s="3812"/>
      <c r="D2206" s="5059"/>
      <c r="E2206" s="5059"/>
      <c r="F2206" s="5059"/>
      <c r="G2206" s="5059"/>
      <c r="H2206" s="5059"/>
      <c r="I2206" s="5205"/>
      <c r="J2206" s="5059"/>
      <c r="K2206" s="5059"/>
      <c r="L2206" s="5059"/>
      <c r="M2206" s="3812"/>
      <c r="N2206" s="5667"/>
      <c r="O2206" s="5667"/>
      <c r="P2206" s="5667"/>
      <c r="Q2206" s="5735"/>
      <c r="R2206" s="5735"/>
      <c r="S2206" s="5735"/>
      <c r="T2206" s="5735"/>
      <c r="U2206" s="5735"/>
      <c r="V2206" s="5735"/>
      <c r="W2206" s="5667"/>
      <c r="X2206" s="5667"/>
      <c r="Y2206" s="5667"/>
      <c r="Z2206" s="5667"/>
      <c r="AA2206" s="5667"/>
      <c r="AB2206" s="5973"/>
      <c r="AC2206" s="5205"/>
      <c r="AD2206" s="5977"/>
      <c r="AE2206" s="5205"/>
      <c r="AF2206" s="4841"/>
      <c r="AG2206" s="3812">
        <f t="shared" si="481"/>
        <v>181374.87</v>
      </c>
      <c r="AH2206" s="857" t="s">
        <v>122</v>
      </c>
      <c r="AI2206" s="3812">
        <v>45281</v>
      </c>
      <c r="AJ2206" s="3812">
        <v>181374.87</v>
      </c>
      <c r="AK2206" s="3812">
        <v>45281</v>
      </c>
      <c r="AL2206" s="3812">
        <v>181374.87</v>
      </c>
      <c r="AM2206" s="3812">
        <v>45303</v>
      </c>
      <c r="AN2206" s="3812">
        <f t="shared" si="480"/>
        <v>181374.87</v>
      </c>
      <c r="AO2206" s="3812">
        <v>45321</v>
      </c>
      <c r="AP2206" s="3812"/>
      <c r="AQ2206" s="1032" t="s">
        <v>3871</v>
      </c>
      <c r="AR2206" s="5350"/>
      <c r="AS2206" s="5059"/>
      <c r="AT2206" s="3812"/>
      <c r="AU2206" s="3812"/>
      <c r="AV2206" s="3812"/>
      <c r="AW2206" s="3812"/>
      <c r="AX2206" s="3812"/>
      <c r="AY2206" s="3812"/>
      <c r="AZ2206" s="3812"/>
      <c r="BA2206" s="3812"/>
      <c r="BB2206" s="3812"/>
      <c r="BC2206" s="3812"/>
      <c r="BD2206" s="3812"/>
      <c r="BE2206" s="3812"/>
      <c r="BF2206" s="3812"/>
      <c r="BG2206" s="5123"/>
      <c r="BH2206" s="3812">
        <v>179561.12</v>
      </c>
      <c r="BI2206" s="4813"/>
      <c r="BJ2206" s="4813"/>
      <c r="BK2206" s="4813"/>
      <c r="BL2206" s="4813"/>
      <c r="BM2206" s="4813"/>
      <c r="BN2206" s="3812">
        <v>1813.75</v>
      </c>
      <c r="BO2206" s="5123"/>
      <c r="BP2206" s="5123"/>
      <c r="BQ2206" s="5123"/>
      <c r="BR2206" s="3812"/>
      <c r="BS2206" s="3812"/>
      <c r="BT2206" s="3812"/>
      <c r="BU2206" s="3812"/>
      <c r="BV2206" s="3812">
        <v>179561.12</v>
      </c>
      <c r="BW2206" s="4813"/>
      <c r="BX2206" s="4813"/>
      <c r="BY2206" s="4813"/>
      <c r="BZ2206" s="4813"/>
      <c r="CA2206" s="4813"/>
      <c r="CB2206" s="3812">
        <v>1813.75</v>
      </c>
      <c r="CC2206" s="3812"/>
      <c r="CD2206" s="3812"/>
      <c r="CE2206" s="5310"/>
      <c r="CF2206" s="5310"/>
      <c r="CG2206" s="5310"/>
      <c r="CH2206" s="5310"/>
    </row>
    <row r="2207" s="4974" customFormat="1" ht="25" customHeight="1" spans="1:86">
      <c r="A2207" s="3812"/>
      <c r="B2207" s="3812"/>
      <c r="C2207" s="3812"/>
      <c r="D2207" s="5059"/>
      <c r="E2207" s="5059"/>
      <c r="F2207" s="5059"/>
      <c r="G2207" s="5059"/>
      <c r="H2207" s="5059"/>
      <c r="I2207" s="5205"/>
      <c r="J2207" s="5059"/>
      <c r="K2207" s="5059"/>
      <c r="L2207" s="5059"/>
      <c r="M2207" s="3812"/>
      <c r="N2207" s="5667"/>
      <c r="O2207" s="5667"/>
      <c r="P2207" s="5667"/>
      <c r="Q2207" s="5735"/>
      <c r="R2207" s="5735"/>
      <c r="S2207" s="5735"/>
      <c r="T2207" s="5735"/>
      <c r="U2207" s="5735"/>
      <c r="V2207" s="5735"/>
      <c r="W2207" s="5667"/>
      <c r="X2207" s="5667"/>
      <c r="Y2207" s="5667"/>
      <c r="Z2207" s="5667"/>
      <c r="AA2207" s="5667"/>
      <c r="AB2207" s="5973"/>
      <c r="AC2207" s="5206"/>
      <c r="AD2207" s="5942"/>
      <c r="AE2207" s="5206"/>
      <c r="AF2207" s="4842"/>
      <c r="AG2207" s="5123"/>
      <c r="AH2207" s="3406"/>
      <c r="AI2207" s="5123"/>
      <c r="AJ2207" s="3812"/>
      <c r="AK2207" s="3812"/>
      <c r="AL2207" s="3812"/>
      <c r="AM2207" s="3812"/>
      <c r="AN2207" s="5123">
        <f t="shared" si="480"/>
        <v>0</v>
      </c>
      <c r="AO2207" s="5123"/>
      <c r="AP2207" s="3812"/>
      <c r="AQ2207" s="1032"/>
      <c r="AR2207" s="3812"/>
      <c r="AS2207" s="5059"/>
      <c r="AT2207" s="3812"/>
      <c r="AU2207" s="3812"/>
      <c r="AV2207" s="3812"/>
      <c r="AW2207" s="3812"/>
      <c r="AX2207" s="3812"/>
      <c r="AY2207" s="3812"/>
      <c r="AZ2207" s="3812"/>
      <c r="BA2207" s="3812"/>
      <c r="BB2207" s="3812"/>
      <c r="BC2207" s="3812"/>
      <c r="BD2207" s="3812"/>
      <c r="BE2207" s="3812"/>
      <c r="BF2207" s="3812"/>
      <c r="BG2207" s="5123"/>
      <c r="BH2207" s="5123">
        <v>137209.97</v>
      </c>
      <c r="BI2207" s="5123"/>
      <c r="BJ2207" s="5123"/>
      <c r="BK2207" s="5123"/>
      <c r="BL2207" s="5123"/>
      <c r="BM2207" s="5123"/>
      <c r="BN2207" s="5123">
        <v>1385.96</v>
      </c>
      <c r="BO2207" s="5123"/>
      <c r="BP2207" s="5123"/>
      <c r="BQ2207" s="5123"/>
      <c r="BR2207" s="3812"/>
      <c r="BS2207" s="3812"/>
      <c r="BT2207" s="3812"/>
      <c r="BU2207" s="3812"/>
      <c r="BV2207" s="3812"/>
      <c r="BW2207" s="3812"/>
      <c r="BX2207" s="3812"/>
      <c r="BY2207" s="3812"/>
      <c r="BZ2207" s="3812"/>
      <c r="CA2207" s="3812"/>
      <c r="CB2207" s="3812"/>
      <c r="CC2207" s="3812"/>
      <c r="CD2207" s="3812"/>
      <c r="CE2207" s="5310"/>
      <c r="CF2207" s="5310"/>
      <c r="CG2207" s="5310"/>
      <c r="CH2207" s="5310"/>
    </row>
    <row r="2208" s="4974" customFormat="1" ht="25" customHeight="1" spans="1:86">
      <c r="A2208" s="2678"/>
      <c r="B2208" s="3812"/>
      <c r="C2208" s="3812"/>
      <c r="D2208" s="5059"/>
      <c r="E2208" s="5059"/>
      <c r="F2208" s="5059"/>
      <c r="G2208" s="5059"/>
      <c r="H2208" s="5059"/>
      <c r="I2208" s="5205"/>
      <c r="J2208" s="5059"/>
      <c r="K2208" s="5059"/>
      <c r="L2208" s="5059"/>
      <c r="M2208" s="3812"/>
      <c r="N2208" s="5667"/>
      <c r="O2208" s="5667"/>
      <c r="P2208" s="5667"/>
      <c r="Q2208" s="5735"/>
      <c r="R2208" s="5735"/>
      <c r="S2208" s="5735"/>
      <c r="T2208" s="5735"/>
      <c r="U2208" s="5735"/>
      <c r="V2208" s="5735"/>
      <c r="W2208" s="5667"/>
      <c r="X2208" s="5667"/>
      <c r="Y2208" s="5667"/>
      <c r="Z2208" s="5667"/>
      <c r="AA2208" s="5667"/>
      <c r="AB2208" s="5973"/>
      <c r="AC2208" s="1032" t="s">
        <v>1115</v>
      </c>
      <c r="AD2208" s="5241" t="s">
        <v>1782</v>
      </c>
      <c r="AE2208" s="1032">
        <v>0.4</v>
      </c>
      <c r="AF2208" s="3812">
        <f>U2194*AE2208</f>
        <v>408950.92</v>
      </c>
      <c r="AG2208" s="5123"/>
      <c r="AH2208" s="3406"/>
      <c r="AI2208" s="5123"/>
      <c r="AJ2208" s="3812"/>
      <c r="AK2208" s="3812"/>
      <c r="AL2208" s="3812"/>
      <c r="AM2208" s="3812"/>
      <c r="AN2208" s="5885">
        <f t="shared" si="480"/>
        <v>0</v>
      </c>
      <c r="AO2208" s="3812"/>
      <c r="AP2208" s="3812"/>
      <c r="AQ2208" s="1032"/>
      <c r="AR2208" s="3812"/>
      <c r="AS2208" s="5059"/>
      <c r="AT2208" s="3812"/>
      <c r="AU2208" s="3812"/>
      <c r="AV2208" s="3812"/>
      <c r="AW2208" s="3812"/>
      <c r="AX2208" s="3812"/>
      <c r="AY2208" s="3812"/>
      <c r="AZ2208" s="3812"/>
      <c r="BA2208" s="3812"/>
      <c r="BB2208" s="3812"/>
      <c r="BC2208" s="3812"/>
      <c r="BD2208" s="3812"/>
      <c r="BE2208" s="3812"/>
      <c r="BF2208" s="3812"/>
      <c r="BG2208" s="5123"/>
      <c r="BH2208" s="5123">
        <v>404861.41</v>
      </c>
      <c r="BI2208" s="5123"/>
      <c r="BJ2208" s="5123"/>
      <c r="BK2208" s="5123"/>
      <c r="BL2208" s="5123"/>
      <c r="BM2208" s="5123"/>
      <c r="BN2208" s="5123">
        <v>4089.51</v>
      </c>
      <c r="BO2208" s="5123"/>
      <c r="BP2208" s="5123"/>
      <c r="BQ2208" s="5123"/>
      <c r="BR2208" s="3812"/>
      <c r="BS2208" s="3812"/>
      <c r="BT2208" s="3812"/>
      <c r="BU2208" s="3812"/>
      <c r="BV2208" s="3812"/>
      <c r="BW2208" s="3812"/>
      <c r="BX2208" s="3812"/>
      <c r="BY2208" s="3812"/>
      <c r="BZ2208" s="3812"/>
      <c r="CA2208" s="3812"/>
      <c r="CB2208" s="3812"/>
      <c r="CC2208" s="3812"/>
      <c r="CD2208" s="3812"/>
      <c r="CE2208" s="5310"/>
      <c r="CF2208" s="5310"/>
      <c r="CG2208" s="5310"/>
      <c r="CH2208" s="5310"/>
    </row>
    <row r="2209" s="4974" customFormat="1" ht="25" customHeight="1" spans="1:86">
      <c r="A2209" s="2678"/>
      <c r="B2209" s="3812"/>
      <c r="C2209" s="3812"/>
      <c r="D2209" s="5059"/>
      <c r="E2209" s="5059"/>
      <c r="F2209" s="5059"/>
      <c r="G2209" s="5059"/>
      <c r="H2209" s="5059"/>
      <c r="I2209" s="5205"/>
      <c r="J2209" s="5059"/>
      <c r="K2209" s="5059"/>
      <c r="L2209" s="5059"/>
      <c r="M2209" s="3812"/>
      <c r="N2209" s="5667"/>
      <c r="O2209" s="5667"/>
      <c r="P2209" s="5667"/>
      <c r="Q2209" s="5735"/>
      <c r="R2209" s="5735"/>
      <c r="S2209" s="5735"/>
      <c r="T2209" s="5735"/>
      <c r="U2209" s="5735"/>
      <c r="V2209" s="5735"/>
      <c r="W2209" s="5667"/>
      <c r="X2209" s="5667"/>
      <c r="Y2209" s="5667"/>
      <c r="Z2209" s="5667"/>
      <c r="AA2209" s="5667"/>
      <c r="AB2209" s="5973"/>
      <c r="AC2209" s="1032" t="s">
        <v>193</v>
      </c>
      <c r="AD2209" s="5241" t="s">
        <v>1785</v>
      </c>
      <c r="AE2209" s="1032">
        <v>1</v>
      </c>
      <c r="AF2209" s="3812">
        <f>V2194*AE2209</f>
        <v>80000</v>
      </c>
      <c r="AG2209" s="3812">
        <f t="shared" si="481"/>
        <v>80000</v>
      </c>
      <c r="AH2209" s="857" t="s">
        <v>122</v>
      </c>
      <c r="AI2209" s="3812">
        <v>45281</v>
      </c>
      <c r="AJ2209" s="3812">
        <v>80000</v>
      </c>
      <c r="AK2209" s="3812">
        <v>45281</v>
      </c>
      <c r="AL2209" s="3812">
        <v>80000</v>
      </c>
      <c r="AM2209" s="3812">
        <v>45303</v>
      </c>
      <c r="AN2209" s="5349">
        <f t="shared" ref="AN2209:AN2235" si="482">SUM(BO2209:CB2209)</f>
        <v>80000</v>
      </c>
      <c r="AO2209" s="3812">
        <v>45321</v>
      </c>
      <c r="AP2209" s="3812"/>
      <c r="AQ2209" s="1032" t="s">
        <v>3866</v>
      </c>
      <c r="AR2209" s="1015" t="s">
        <v>3872</v>
      </c>
      <c r="AS2209" s="5059"/>
      <c r="AT2209" s="3812"/>
      <c r="AU2209" s="3812"/>
      <c r="AV2209" s="3812"/>
      <c r="AW2209" s="3812"/>
      <c r="AX2209" s="3812"/>
      <c r="AY2209" s="3812"/>
      <c r="AZ2209" s="3812"/>
      <c r="BA2209" s="3812"/>
      <c r="BB2209" s="3812"/>
      <c r="BC2209" s="3812"/>
      <c r="BD2209" s="3812"/>
      <c r="BE2209" s="3812"/>
      <c r="BF2209" s="3812"/>
      <c r="BG2209" s="5123"/>
      <c r="BH2209" s="5123"/>
      <c r="BI2209" s="3812">
        <v>79200</v>
      </c>
      <c r="BJ2209" s="3812"/>
      <c r="BK2209" s="3812"/>
      <c r="BL2209" s="3812"/>
      <c r="BM2209" s="3812"/>
      <c r="BN2209" s="3812">
        <v>800</v>
      </c>
      <c r="BO2209" s="5123"/>
      <c r="BP2209" s="5123"/>
      <c r="BQ2209" s="5123"/>
      <c r="BR2209" s="3812"/>
      <c r="BS2209" s="3812"/>
      <c r="BT2209" s="3812"/>
      <c r="BU2209" s="3812"/>
      <c r="BV2209" s="3812"/>
      <c r="BW2209" s="3812">
        <v>79200</v>
      </c>
      <c r="BX2209" s="3812"/>
      <c r="BY2209" s="3812"/>
      <c r="BZ2209" s="3812"/>
      <c r="CA2209" s="3812"/>
      <c r="CB2209" s="3812">
        <v>800</v>
      </c>
      <c r="CC2209" s="3812"/>
      <c r="CD2209" s="3812"/>
      <c r="CE2209" s="5310"/>
      <c r="CF2209" s="5310"/>
      <c r="CG2209" s="5310"/>
      <c r="CH2209" s="5310"/>
    </row>
    <row r="2210" s="4988" customFormat="1" ht="25" customHeight="1" spans="1:86">
      <c r="A2210" s="5201"/>
      <c r="B2210" s="5201"/>
      <c r="C2210" s="5201"/>
      <c r="D2210" s="5708"/>
      <c r="E2210" s="5708"/>
      <c r="F2210" s="5708"/>
      <c r="G2210" s="5708"/>
      <c r="H2210" s="5708"/>
      <c r="I2210" s="5205"/>
      <c r="J2210" s="5708"/>
      <c r="K2210" s="5708"/>
      <c r="L2210" s="5708"/>
      <c r="M2210" s="5201"/>
      <c r="N2210" s="5999"/>
      <c r="O2210" s="5999"/>
      <c r="P2210" s="5999"/>
      <c r="Q2210" s="7072"/>
      <c r="R2210" s="7072"/>
      <c r="S2210" s="7072"/>
      <c r="T2210" s="7072"/>
      <c r="U2210" s="7072"/>
      <c r="V2210" s="7072"/>
      <c r="W2210" s="5999"/>
      <c r="X2210" s="5999"/>
      <c r="Y2210" s="5999"/>
      <c r="Z2210" s="5999"/>
      <c r="AA2210" s="5999"/>
      <c r="AB2210" s="6000"/>
      <c r="AC2210" s="5714" t="s">
        <v>1786</v>
      </c>
      <c r="AD2210" s="5931" t="s">
        <v>1787</v>
      </c>
      <c r="AE2210" s="5714">
        <v>0.1</v>
      </c>
      <c r="AF2210" s="5201">
        <f>1608410*AE2210</f>
        <v>160841</v>
      </c>
      <c r="AG2210" s="5201">
        <f t="shared" si="481"/>
        <v>160841</v>
      </c>
      <c r="AH2210" s="5930" t="s">
        <v>122</v>
      </c>
      <c r="AI2210" s="5201">
        <v>45236</v>
      </c>
      <c r="AJ2210" s="5201">
        <v>160841</v>
      </c>
      <c r="AK2210" s="5201">
        <v>45236</v>
      </c>
      <c r="AL2210" s="5201">
        <v>160841</v>
      </c>
      <c r="AM2210" s="5201">
        <v>45243</v>
      </c>
      <c r="AN2210" s="5201">
        <f t="shared" si="482"/>
        <v>160841</v>
      </c>
      <c r="AO2210" s="5201">
        <v>45321</v>
      </c>
      <c r="AP2210" s="5201"/>
      <c r="AQ2210" s="5714" t="s">
        <v>3862</v>
      </c>
      <c r="AR2210" s="5201"/>
      <c r="AS2210" s="5708"/>
      <c r="AT2210" s="5201"/>
      <c r="AU2210" s="3812"/>
      <c r="AV2210" s="3812"/>
      <c r="AW2210" s="3812"/>
      <c r="AX2210" s="3812"/>
      <c r="AY2210" s="3812"/>
      <c r="AZ2210" s="3812"/>
      <c r="BA2210" s="5201"/>
      <c r="BB2210" s="5201"/>
      <c r="BC2210" s="5201"/>
      <c r="BD2210" s="5201"/>
      <c r="BE2210" s="5201"/>
      <c r="BF2210" s="5201"/>
      <c r="BG2210" s="5201"/>
      <c r="BH2210" s="5201"/>
      <c r="BI2210" s="5201"/>
      <c r="BJ2210" s="5201"/>
      <c r="BK2210" s="5201"/>
      <c r="BL2210" s="5201"/>
      <c r="BM2210" s="5201"/>
      <c r="BN2210" s="5201">
        <v>160841</v>
      </c>
      <c r="BO2210" s="5734"/>
      <c r="BP2210" s="5734"/>
      <c r="BQ2210" s="5734"/>
      <c r="BR2210" s="5201"/>
      <c r="BS2210" s="5201"/>
      <c r="BT2210" s="5201"/>
      <c r="BU2210" s="5201"/>
      <c r="BV2210" s="5201"/>
      <c r="BW2210" s="5201"/>
      <c r="BX2210" s="5201"/>
      <c r="BY2210" s="5201"/>
      <c r="BZ2210" s="5201"/>
      <c r="CA2210" s="5201"/>
      <c r="CB2210" s="5201">
        <v>160841</v>
      </c>
      <c r="CC2210" s="5201"/>
      <c r="CD2210" s="5201"/>
      <c r="CE2210" s="6752"/>
      <c r="CF2210" s="6752"/>
      <c r="CG2210" s="6752"/>
      <c r="CH2210" s="6752"/>
    </row>
    <row r="2211" s="4981" customFormat="1" ht="25" customHeight="1" spans="1:86">
      <c r="A2211" s="5200"/>
      <c r="B2211" s="3812"/>
      <c r="C2211" s="3812"/>
      <c r="D2211" s="5059"/>
      <c r="E2211" s="5059"/>
      <c r="F2211" s="5059"/>
      <c r="G2211" s="5059"/>
      <c r="H2211" s="5059"/>
      <c r="I2211" s="5205"/>
      <c r="J2211" s="5059"/>
      <c r="K2211" s="5059"/>
      <c r="L2211" s="5059"/>
      <c r="M2211" s="3812"/>
      <c r="N2211" s="5999"/>
      <c r="O2211" s="5999"/>
      <c r="P2211" s="5999"/>
      <c r="Q2211" s="7072"/>
      <c r="R2211" s="7072"/>
      <c r="S2211" s="7072"/>
      <c r="T2211" s="7072"/>
      <c r="U2211" s="7072"/>
      <c r="V2211" s="7072"/>
      <c r="W2211" s="5999"/>
      <c r="X2211" s="5999"/>
      <c r="Y2211" s="5999"/>
      <c r="Z2211" s="5999"/>
      <c r="AA2211" s="5999"/>
      <c r="AB2211" s="6000"/>
      <c r="AC2211" s="1032" t="s">
        <v>1913</v>
      </c>
      <c r="AD2211" s="5241" t="s">
        <v>1914</v>
      </c>
      <c r="AE2211" s="1032">
        <v>0.4</v>
      </c>
      <c r="AF2211" s="3812">
        <f t="shared" ref="AF2211:AF2213" si="483">255398*AE2211</f>
        <v>102159.2</v>
      </c>
      <c r="AG2211" s="3812">
        <f t="shared" si="481"/>
        <v>102159.2</v>
      </c>
      <c r="AH2211" s="857" t="s">
        <v>122</v>
      </c>
      <c r="AI2211" s="3812">
        <v>45236</v>
      </c>
      <c r="AJ2211" s="3812">
        <v>102159.2</v>
      </c>
      <c r="AK2211" s="3812">
        <v>45236</v>
      </c>
      <c r="AL2211" s="3812">
        <v>102159.2</v>
      </c>
      <c r="AM2211" s="3812">
        <v>45243</v>
      </c>
      <c r="AN2211" s="5349">
        <f t="shared" si="482"/>
        <v>102159.2</v>
      </c>
      <c r="AO2211" s="3812">
        <v>45321</v>
      </c>
      <c r="AP2211" s="3812"/>
      <c r="AQ2211" s="1032" t="s">
        <v>3862</v>
      </c>
      <c r="AR2211" s="3812"/>
      <c r="AS2211" s="5059"/>
      <c r="AT2211" s="3812"/>
      <c r="AU2211" s="3812"/>
      <c r="AV2211" s="3812"/>
      <c r="AW2211" s="3812"/>
      <c r="AX2211" s="3812"/>
      <c r="AY2211" s="3812"/>
      <c r="AZ2211" s="3812"/>
      <c r="BA2211" s="3812"/>
      <c r="BB2211" s="3812"/>
      <c r="BC2211" s="3812"/>
      <c r="BD2211" s="3812"/>
      <c r="BE2211" s="3812"/>
      <c r="BF2211" s="3812"/>
      <c r="BG2211" s="3812"/>
      <c r="BH2211" s="3812"/>
      <c r="BI2211" s="3812"/>
      <c r="BJ2211" s="3812"/>
      <c r="BK2211" s="3812"/>
      <c r="BL2211" s="3812"/>
      <c r="BM2211" s="3812"/>
      <c r="BN2211" s="3812">
        <v>102159.2</v>
      </c>
      <c r="BO2211" s="5123"/>
      <c r="BP2211" s="5123"/>
      <c r="BQ2211" s="5123"/>
      <c r="BR2211" s="3812"/>
      <c r="BS2211" s="3812"/>
      <c r="BT2211" s="3812"/>
      <c r="BU2211" s="3812"/>
      <c r="BV2211" s="3812"/>
      <c r="BW2211" s="3812"/>
      <c r="BX2211" s="3812"/>
      <c r="BY2211" s="3812"/>
      <c r="BZ2211" s="3812"/>
      <c r="CA2211" s="3812"/>
      <c r="CB2211" s="3812">
        <v>102159.2</v>
      </c>
      <c r="CC2211" s="3812"/>
      <c r="CD2211" s="3812"/>
      <c r="CE2211" s="5920"/>
      <c r="CF2211" s="5920"/>
      <c r="CG2211" s="5920"/>
      <c r="CH2211" s="5920"/>
    </row>
    <row r="2212" s="4981" customFormat="1" ht="25" customHeight="1" spans="1:86">
      <c r="A2212" s="5200"/>
      <c r="B2212" s="3812"/>
      <c r="C2212" s="3812"/>
      <c r="D2212" s="5059"/>
      <c r="E2212" s="5059"/>
      <c r="F2212" s="5059"/>
      <c r="G2212" s="5059"/>
      <c r="H2212" s="5059"/>
      <c r="I2212" s="5205"/>
      <c r="J2212" s="5059"/>
      <c r="K2212" s="5059"/>
      <c r="L2212" s="5059"/>
      <c r="M2212" s="3812"/>
      <c r="N2212" s="5999"/>
      <c r="O2212" s="5999"/>
      <c r="P2212" s="5999"/>
      <c r="Q2212" s="7072"/>
      <c r="R2212" s="7072"/>
      <c r="S2212" s="7072"/>
      <c r="T2212" s="7072"/>
      <c r="U2212" s="7072"/>
      <c r="V2212" s="7072"/>
      <c r="W2212" s="5999"/>
      <c r="X2212" s="5999"/>
      <c r="Y2212" s="5999"/>
      <c r="Z2212" s="5999"/>
      <c r="AA2212" s="5999"/>
      <c r="AB2212" s="6000"/>
      <c r="AC2212" s="1032" t="s">
        <v>1913</v>
      </c>
      <c r="AD2212" s="5241" t="s">
        <v>1915</v>
      </c>
      <c r="AE2212" s="1032">
        <v>0.3</v>
      </c>
      <c r="AF2212" s="3812">
        <f t="shared" si="483"/>
        <v>76619.4</v>
      </c>
      <c r="AG2212" s="3812">
        <f t="shared" si="481"/>
        <v>76619.4</v>
      </c>
      <c r="AH2212" s="857" t="s">
        <v>122</v>
      </c>
      <c r="AI2212" s="3812">
        <v>45281</v>
      </c>
      <c r="AJ2212" s="3812">
        <v>76619.4</v>
      </c>
      <c r="AK2212" s="3812">
        <v>45281</v>
      </c>
      <c r="AL2212" s="3812">
        <v>76619.4</v>
      </c>
      <c r="AM2212" s="3812">
        <v>45303</v>
      </c>
      <c r="AN2212" s="5349">
        <f t="shared" si="482"/>
        <v>76619.4</v>
      </c>
      <c r="AO2212" s="3812">
        <v>45321</v>
      </c>
      <c r="AP2212" s="3812"/>
      <c r="AQ2212" s="1032" t="s">
        <v>3866</v>
      </c>
      <c r="AR2212" s="3812"/>
      <c r="AS2212" s="5059"/>
      <c r="AT2212" s="3812"/>
      <c r="AU2212" s="3812"/>
      <c r="AV2212" s="3812"/>
      <c r="AW2212" s="3812"/>
      <c r="AX2212" s="3812"/>
      <c r="AY2212" s="3812"/>
      <c r="AZ2212" s="3812"/>
      <c r="BA2212" s="3812"/>
      <c r="BB2212" s="3812"/>
      <c r="BC2212" s="3812"/>
      <c r="BD2212" s="3812"/>
      <c r="BE2212" s="3812"/>
      <c r="BF2212" s="3812"/>
      <c r="BG2212" s="3812"/>
      <c r="BH2212" s="3812"/>
      <c r="BI2212" s="3812"/>
      <c r="BJ2212" s="3812"/>
      <c r="BK2212" s="3812"/>
      <c r="BL2212" s="3812"/>
      <c r="BM2212" s="3812"/>
      <c r="BN2212" s="3812">
        <v>76619.4</v>
      </c>
      <c r="BO2212" s="5123"/>
      <c r="BP2212" s="5123"/>
      <c r="BQ2212" s="5123"/>
      <c r="BR2212" s="3812"/>
      <c r="BS2212" s="3812"/>
      <c r="BT2212" s="3812"/>
      <c r="BU2212" s="3812"/>
      <c r="BV2212" s="3812"/>
      <c r="BW2212" s="3812"/>
      <c r="BX2212" s="3812"/>
      <c r="BY2212" s="3812"/>
      <c r="BZ2212" s="3812"/>
      <c r="CA2212" s="3812"/>
      <c r="CB2212" s="3812">
        <v>76619.4</v>
      </c>
      <c r="CC2212" s="3812"/>
      <c r="CD2212" s="3812"/>
      <c r="CE2212" s="5920"/>
      <c r="CF2212" s="5920"/>
      <c r="CG2212" s="5920"/>
      <c r="CH2212" s="5920"/>
    </row>
    <row r="2213" s="4981" customFormat="1" ht="25" customHeight="1" spans="1:86">
      <c r="A2213" s="5200"/>
      <c r="B2213" s="3812"/>
      <c r="C2213" s="3812"/>
      <c r="D2213" s="5059"/>
      <c r="E2213" s="5059"/>
      <c r="F2213" s="5059"/>
      <c r="G2213" s="5059"/>
      <c r="H2213" s="5059"/>
      <c r="I2213" s="5205"/>
      <c r="J2213" s="5059"/>
      <c r="K2213" s="5059"/>
      <c r="L2213" s="5059"/>
      <c r="M2213" s="3812"/>
      <c r="N2213" s="5999"/>
      <c r="O2213" s="5999"/>
      <c r="P2213" s="5999"/>
      <c r="Q2213" s="7072"/>
      <c r="R2213" s="7072"/>
      <c r="S2213" s="7072"/>
      <c r="T2213" s="7072"/>
      <c r="U2213" s="7072"/>
      <c r="V2213" s="7072"/>
      <c r="W2213" s="5999"/>
      <c r="X2213" s="5999"/>
      <c r="Y2213" s="5999"/>
      <c r="Z2213" s="5999"/>
      <c r="AA2213" s="5999"/>
      <c r="AB2213" s="6000"/>
      <c r="AC2213" s="1032" t="s">
        <v>1913</v>
      </c>
      <c r="AD2213" s="5241" t="s">
        <v>1916</v>
      </c>
      <c r="AE2213" s="1032">
        <v>0.1</v>
      </c>
      <c r="AF2213" s="3812">
        <f t="shared" si="483"/>
        <v>25539.8</v>
      </c>
      <c r="AG2213" s="3812">
        <v>25539.8</v>
      </c>
      <c r="AH2213" s="857" t="s">
        <v>122</v>
      </c>
      <c r="AI2213" s="3812">
        <v>45513</v>
      </c>
      <c r="AJ2213" s="3812">
        <v>25539.8</v>
      </c>
      <c r="AK2213" s="3812">
        <v>45513</v>
      </c>
      <c r="AL2213" s="3812">
        <v>25539.8</v>
      </c>
      <c r="AM2213" s="3812">
        <v>45513</v>
      </c>
      <c r="AN2213" s="5349">
        <f t="shared" si="482"/>
        <v>25539.8</v>
      </c>
      <c r="AO2213" s="3812">
        <v>45533</v>
      </c>
      <c r="AP2213" s="3812"/>
      <c r="AQ2213" s="1032" t="s">
        <v>3873</v>
      </c>
      <c r="AR2213" s="3812"/>
      <c r="AS2213" s="5059"/>
      <c r="AT2213" s="3812"/>
      <c r="AU2213" s="3812"/>
      <c r="AV2213" s="3812"/>
      <c r="AW2213" s="3812"/>
      <c r="AX2213" s="3812"/>
      <c r="AY2213" s="3812"/>
      <c r="AZ2213" s="3812"/>
      <c r="BA2213" s="3812"/>
      <c r="BB2213" s="3812"/>
      <c r="BC2213" s="3812"/>
      <c r="BD2213" s="3812"/>
      <c r="BE2213" s="3812"/>
      <c r="BF2213" s="3812"/>
      <c r="BG2213" s="3812"/>
      <c r="BH2213" s="3812"/>
      <c r="BI2213" s="3812"/>
      <c r="BJ2213" s="3812"/>
      <c r="BK2213" s="3812"/>
      <c r="BL2213" s="3812"/>
      <c r="BM2213" s="3812"/>
      <c r="BN2213" s="3812">
        <v>25539.8</v>
      </c>
      <c r="BO2213" s="5123"/>
      <c r="BP2213" s="5123"/>
      <c r="BQ2213" s="5123"/>
      <c r="BR2213" s="3812"/>
      <c r="BS2213" s="3812"/>
      <c r="BT2213" s="3812"/>
      <c r="BU2213" s="3812"/>
      <c r="BV2213" s="3812"/>
      <c r="BW2213" s="3812"/>
      <c r="BX2213" s="3812"/>
      <c r="BY2213" s="3812"/>
      <c r="BZ2213" s="3812"/>
      <c r="CA2213" s="3812"/>
      <c r="CB2213" s="4813">
        <v>25539.8</v>
      </c>
      <c r="CC2213" s="3812"/>
      <c r="CD2213" s="3812"/>
      <c r="CE2213" s="5920"/>
      <c r="CF2213" s="5920"/>
      <c r="CG2213" s="5920"/>
      <c r="CH2213" s="5920"/>
    </row>
    <row r="2214" s="4981" customFormat="1" ht="25" customHeight="1" spans="1:86">
      <c r="A2214" s="5200"/>
      <c r="B2214" s="3812"/>
      <c r="C2214" s="3812"/>
      <c r="D2214" s="5059"/>
      <c r="E2214" s="5059"/>
      <c r="F2214" s="5059"/>
      <c r="G2214" s="5059"/>
      <c r="H2214" s="5059"/>
      <c r="I2214" s="5205"/>
      <c r="J2214" s="5059"/>
      <c r="K2214" s="5059"/>
      <c r="L2214" s="5059"/>
      <c r="M2214" s="3812"/>
      <c r="N2214" s="5999"/>
      <c r="O2214" s="5999"/>
      <c r="P2214" s="5999"/>
      <c r="Q2214" s="7072"/>
      <c r="R2214" s="7072"/>
      <c r="S2214" s="7072"/>
      <c r="T2214" s="7072"/>
      <c r="U2214" s="7072"/>
      <c r="V2214" s="7072"/>
      <c r="W2214" s="5999"/>
      <c r="X2214" s="5999"/>
      <c r="Y2214" s="5999"/>
      <c r="Z2214" s="5999"/>
      <c r="AA2214" s="5999"/>
      <c r="AB2214" s="6000"/>
      <c r="AC2214" s="1032" t="s">
        <v>1789</v>
      </c>
      <c r="AD2214" s="5241" t="s">
        <v>1790</v>
      </c>
      <c r="AE2214" s="1032">
        <v>0.15</v>
      </c>
      <c r="AF2214" s="3812">
        <f>1353012*AE2214</f>
        <v>202951.8</v>
      </c>
      <c r="AG2214" s="3812">
        <f>SUM(BA2214:BN2214)</f>
        <v>202951.8</v>
      </c>
      <c r="AH2214" s="857" t="s">
        <v>122</v>
      </c>
      <c r="AI2214" s="3812">
        <v>45236</v>
      </c>
      <c r="AJ2214" s="3812">
        <v>202951.8</v>
      </c>
      <c r="AK2214" s="3812">
        <v>45236</v>
      </c>
      <c r="AL2214" s="3812">
        <v>202951.8</v>
      </c>
      <c r="AM2214" s="3812">
        <v>45243</v>
      </c>
      <c r="AN2214" s="5349">
        <f t="shared" si="482"/>
        <v>202951.8</v>
      </c>
      <c r="AO2214" s="3812">
        <v>45321</v>
      </c>
      <c r="AP2214" s="3812"/>
      <c r="AQ2214" s="1032" t="s">
        <v>3862</v>
      </c>
      <c r="AR2214" s="3812"/>
      <c r="AS2214" s="5059"/>
      <c r="AT2214" s="3812"/>
      <c r="AU2214" s="3812"/>
      <c r="AV2214" s="3812"/>
      <c r="AW2214" s="3812"/>
      <c r="AX2214" s="3812"/>
      <c r="AY2214" s="3812"/>
      <c r="AZ2214" s="3812"/>
      <c r="BA2214" s="3812"/>
      <c r="BB2214" s="3812"/>
      <c r="BC2214" s="3812"/>
      <c r="BD2214" s="3812"/>
      <c r="BE2214" s="3812"/>
      <c r="BF2214" s="3812"/>
      <c r="BG2214" s="3812"/>
      <c r="BH2214" s="3812"/>
      <c r="BI2214" s="3812"/>
      <c r="BJ2214" s="3812"/>
      <c r="BK2214" s="3812"/>
      <c r="BL2214" s="3812"/>
      <c r="BM2214" s="3812"/>
      <c r="BN2214" s="3812">
        <v>202951.8</v>
      </c>
      <c r="BO2214" s="5123"/>
      <c r="BP2214" s="5123"/>
      <c r="BQ2214" s="5123"/>
      <c r="BR2214" s="3812"/>
      <c r="BS2214" s="3812"/>
      <c r="BT2214" s="3812"/>
      <c r="BU2214" s="3812"/>
      <c r="BV2214" s="3812"/>
      <c r="BW2214" s="3812"/>
      <c r="BX2214" s="3812"/>
      <c r="BY2214" s="3812"/>
      <c r="BZ2214" s="3812"/>
      <c r="CA2214" s="3812"/>
      <c r="CB2214" s="3812">
        <v>202951.8</v>
      </c>
      <c r="CC2214" s="3812"/>
      <c r="CD2214" s="3812"/>
      <c r="CE2214" s="5920"/>
      <c r="CF2214" s="5920"/>
      <c r="CG2214" s="5920"/>
      <c r="CH2214" s="5920"/>
    </row>
    <row r="2215" s="4981" customFormat="1" ht="25" customHeight="1" spans="1:86">
      <c r="A2215" s="5200"/>
      <c r="B2215" s="3812"/>
      <c r="C2215" s="3812"/>
      <c r="D2215" s="5059"/>
      <c r="E2215" s="5059"/>
      <c r="F2215" s="5059"/>
      <c r="G2215" s="5059"/>
      <c r="H2215" s="5059"/>
      <c r="I2215" s="5205"/>
      <c r="J2215" s="5059"/>
      <c r="K2215" s="5059"/>
      <c r="L2215" s="5059"/>
      <c r="M2215" s="3812"/>
      <c r="N2215" s="5999"/>
      <c r="O2215" s="5999"/>
      <c r="P2215" s="5999"/>
      <c r="Q2215" s="7072"/>
      <c r="R2215" s="7072"/>
      <c r="S2215" s="7072"/>
      <c r="T2215" s="7072"/>
      <c r="U2215" s="7072"/>
      <c r="V2215" s="7072"/>
      <c r="W2215" s="5999"/>
      <c r="X2215" s="5999"/>
      <c r="Y2215" s="5999"/>
      <c r="Z2215" s="5999"/>
      <c r="AA2215" s="5999"/>
      <c r="AB2215" s="6000"/>
      <c r="AC2215" s="5073" t="s">
        <v>1789</v>
      </c>
      <c r="AD2215" s="5242" t="s">
        <v>1791</v>
      </c>
      <c r="AE2215" s="5073">
        <v>0.2</v>
      </c>
      <c r="AF2215" s="4840">
        <f>1353012*AE2215</f>
        <v>270602.4</v>
      </c>
      <c r="AG2215" s="4840">
        <f>SUM(BA2215:BN2215)</f>
        <v>270602.4</v>
      </c>
      <c r="AH2215" s="3366" t="s">
        <v>122</v>
      </c>
      <c r="AI2215" s="4840">
        <v>45236</v>
      </c>
      <c r="AJ2215" s="4840">
        <v>270602.4</v>
      </c>
      <c r="AK2215" s="4840">
        <v>45236</v>
      </c>
      <c r="AL2215" s="4840">
        <v>270602.4</v>
      </c>
      <c r="AM2215" s="4840">
        <v>45243</v>
      </c>
      <c r="AN2215" s="5349">
        <f t="shared" si="482"/>
        <v>34048</v>
      </c>
      <c r="AO2215" s="3812">
        <v>45321</v>
      </c>
      <c r="AP2215" s="3812"/>
      <c r="AQ2215" s="1032" t="s">
        <v>3862</v>
      </c>
      <c r="AR2215" s="3812"/>
      <c r="AS2215" s="5059"/>
      <c r="AT2215" s="3812"/>
      <c r="AU2215" s="3812"/>
      <c r="AV2215" s="3812"/>
      <c r="AW2215" s="3812"/>
      <c r="AX2215" s="3812"/>
      <c r="AY2215" s="3812"/>
      <c r="AZ2215" s="3812"/>
      <c r="BA2215" s="3812"/>
      <c r="BB2215" s="3812"/>
      <c r="BC2215" s="3812"/>
      <c r="BD2215" s="3812"/>
      <c r="BE2215" s="3812"/>
      <c r="BF2215" s="3812"/>
      <c r="BG2215" s="3812"/>
      <c r="BH2215" s="3812"/>
      <c r="BI2215" s="3812"/>
      <c r="BJ2215" s="3812"/>
      <c r="BK2215" s="3812"/>
      <c r="BL2215" s="3812"/>
      <c r="BM2215" s="4840"/>
      <c r="BN2215" s="4840">
        <v>270602.4</v>
      </c>
      <c r="BO2215" s="5123"/>
      <c r="BP2215" s="5123"/>
      <c r="BQ2215" s="5123"/>
      <c r="BR2215" s="3812"/>
      <c r="BS2215" s="3812"/>
      <c r="BT2215" s="3812"/>
      <c r="BU2215" s="3812"/>
      <c r="BV2215" s="3812"/>
      <c r="BW2215" s="3812"/>
      <c r="BX2215" s="3812"/>
      <c r="BY2215" s="3812"/>
      <c r="BZ2215" s="3812"/>
      <c r="CA2215" s="3812"/>
      <c r="CB2215" s="3812">
        <v>34048</v>
      </c>
      <c r="CC2215" s="3812"/>
      <c r="CD2215" s="3812"/>
      <c r="CE2215" s="5920"/>
      <c r="CF2215" s="5920"/>
      <c r="CG2215" s="5920"/>
      <c r="CH2215" s="5920"/>
    </row>
    <row r="2216" s="4981" customFormat="1" ht="25" customHeight="1" spans="1:86">
      <c r="A2216" s="5200"/>
      <c r="B2216" s="3812"/>
      <c r="C2216" s="3812"/>
      <c r="D2216" s="5059"/>
      <c r="E2216" s="5059"/>
      <c r="F2216" s="5059"/>
      <c r="G2216" s="5059"/>
      <c r="H2216" s="5059"/>
      <c r="I2216" s="5205"/>
      <c r="J2216" s="5059"/>
      <c r="K2216" s="5059"/>
      <c r="L2216" s="5059"/>
      <c r="M2216" s="3812"/>
      <c r="N2216" s="5999"/>
      <c r="O2216" s="5999"/>
      <c r="P2216" s="5999"/>
      <c r="Q2216" s="7072"/>
      <c r="R2216" s="7072"/>
      <c r="S2216" s="7072"/>
      <c r="T2216" s="7072"/>
      <c r="U2216" s="7072"/>
      <c r="V2216" s="7072"/>
      <c r="W2216" s="5999"/>
      <c r="X2216" s="5999"/>
      <c r="Y2216" s="5999"/>
      <c r="Z2216" s="5999"/>
      <c r="AA2216" s="5999"/>
      <c r="AB2216" s="6000"/>
      <c r="AC2216" s="5205"/>
      <c r="AD2216" s="5977"/>
      <c r="AE2216" s="5205"/>
      <c r="AF2216" s="4841"/>
      <c r="AG2216" s="4841"/>
      <c r="AH2216" s="3408"/>
      <c r="AI2216" s="4841"/>
      <c r="AJ2216" s="4841"/>
      <c r="AK2216" s="4841"/>
      <c r="AL2216" s="4841"/>
      <c r="AM2216" s="4841"/>
      <c r="AN2216" s="5349">
        <f t="shared" si="482"/>
        <v>198163.78</v>
      </c>
      <c r="AO2216" s="3812">
        <v>45448</v>
      </c>
      <c r="AP2216" s="3812"/>
      <c r="AQ2216" s="1032" t="s">
        <v>3874</v>
      </c>
      <c r="AR2216" s="3812"/>
      <c r="AS2216" s="5059"/>
      <c r="AT2216" s="3812"/>
      <c r="AU2216" s="3812"/>
      <c r="AV2216" s="3812"/>
      <c r="AW2216" s="3812"/>
      <c r="AX2216" s="3812"/>
      <c r="AY2216" s="3812"/>
      <c r="AZ2216" s="3812"/>
      <c r="BA2216" s="3812"/>
      <c r="BB2216" s="3812"/>
      <c r="BC2216" s="3812"/>
      <c r="BD2216" s="3812"/>
      <c r="BE2216" s="3812"/>
      <c r="BF2216" s="3812"/>
      <c r="BG2216" s="3812"/>
      <c r="BH2216" s="3812"/>
      <c r="BI2216" s="3812"/>
      <c r="BJ2216" s="3812"/>
      <c r="BK2216" s="3812"/>
      <c r="BL2216" s="3812"/>
      <c r="BM2216" s="4841"/>
      <c r="BN2216" s="4841"/>
      <c r="BO2216" s="5123"/>
      <c r="BP2216" s="5123"/>
      <c r="BQ2216" s="5123"/>
      <c r="BR2216" s="3812"/>
      <c r="BS2216" s="3812"/>
      <c r="BT2216" s="3812"/>
      <c r="BU2216" s="3812"/>
      <c r="BV2216" s="3812"/>
      <c r="BW2216" s="3812"/>
      <c r="BX2216" s="3812"/>
      <c r="BY2216" s="3812"/>
      <c r="BZ2216" s="3812"/>
      <c r="CA2216" s="3812"/>
      <c r="CB2216" s="5123">
        <v>198163.78</v>
      </c>
      <c r="CC2216" s="3812"/>
      <c r="CD2216" s="3812"/>
      <c r="CE2216" s="5920"/>
      <c r="CF2216" s="5920"/>
      <c r="CG2216" s="5920"/>
      <c r="CH2216" s="5920"/>
    </row>
    <row r="2217" s="4981" customFormat="1" ht="25" customHeight="1" spans="1:86">
      <c r="A2217" s="5200"/>
      <c r="B2217" s="3812"/>
      <c r="C2217" s="3812"/>
      <c r="D2217" s="5059"/>
      <c r="E2217" s="5059"/>
      <c r="F2217" s="5059"/>
      <c r="G2217" s="5059"/>
      <c r="H2217" s="5059"/>
      <c r="I2217" s="5205"/>
      <c r="J2217" s="5059"/>
      <c r="K2217" s="5059"/>
      <c r="L2217" s="5059"/>
      <c r="M2217" s="3812"/>
      <c r="N2217" s="5999"/>
      <c r="O2217" s="5999"/>
      <c r="P2217" s="5999"/>
      <c r="Q2217" s="7072"/>
      <c r="R2217" s="7072"/>
      <c r="S2217" s="7072"/>
      <c r="T2217" s="7072"/>
      <c r="U2217" s="7072"/>
      <c r="V2217" s="7072"/>
      <c r="W2217" s="5999"/>
      <c r="X2217" s="5999"/>
      <c r="Y2217" s="5999"/>
      <c r="Z2217" s="5999"/>
      <c r="AA2217" s="5999"/>
      <c r="AB2217" s="6000"/>
      <c r="AC2217" s="5205"/>
      <c r="AD2217" s="5977"/>
      <c r="AE2217" s="5205"/>
      <c r="AF2217" s="4841"/>
      <c r="AG2217" s="4841"/>
      <c r="AH2217" s="3408"/>
      <c r="AI2217" s="4841"/>
      <c r="AJ2217" s="4841"/>
      <c r="AK2217" s="4841"/>
      <c r="AL2217" s="4841"/>
      <c r="AM2217" s="4841"/>
      <c r="AN2217" s="5349">
        <f t="shared" si="482"/>
        <v>38390.62</v>
      </c>
      <c r="AO2217" s="3812">
        <v>45448</v>
      </c>
      <c r="AP2217" s="3812"/>
      <c r="AQ2217" s="1032" t="s">
        <v>3867</v>
      </c>
      <c r="AR2217" s="3812"/>
      <c r="AS2217" s="5059"/>
      <c r="AT2217" s="3812"/>
      <c r="AU2217" s="3812"/>
      <c r="AV2217" s="3812"/>
      <c r="AW2217" s="3812"/>
      <c r="AX2217" s="3812"/>
      <c r="AY2217" s="3812"/>
      <c r="AZ2217" s="3812"/>
      <c r="BA2217" s="3812"/>
      <c r="BB2217" s="3812"/>
      <c r="BC2217" s="3812"/>
      <c r="BD2217" s="3812"/>
      <c r="BE2217" s="3812"/>
      <c r="BF2217" s="3812"/>
      <c r="BG2217" s="3812"/>
      <c r="BH2217" s="3812"/>
      <c r="BI2217" s="3812"/>
      <c r="BJ2217" s="3812"/>
      <c r="BK2217" s="3812"/>
      <c r="BL2217" s="3812"/>
      <c r="BM2217" s="4841"/>
      <c r="BN2217" s="4841"/>
      <c r="BO2217" s="5123"/>
      <c r="BP2217" s="5123"/>
      <c r="BQ2217" s="5123"/>
      <c r="BR2217" s="3812"/>
      <c r="BS2217" s="3812"/>
      <c r="BT2217" s="3812"/>
      <c r="BU2217" s="3812"/>
      <c r="BV2217" s="3812"/>
      <c r="BW2217" s="3812"/>
      <c r="BX2217" s="3812"/>
      <c r="BY2217" s="3812"/>
      <c r="BZ2217" s="3812"/>
      <c r="CA2217" s="3812"/>
      <c r="CB2217" s="5123">
        <f>BN2215-CB2215-CB2216</f>
        <v>38390.62</v>
      </c>
      <c r="CC2217" s="3812"/>
      <c r="CD2217" s="3812"/>
      <c r="CE2217" s="5920"/>
      <c r="CF2217" s="5920"/>
      <c r="CG2217" s="5920"/>
      <c r="CH2217" s="5920"/>
    </row>
    <row r="2218" s="5009" customFormat="1" ht="25" customHeight="1" spans="1:86">
      <c r="A2218" s="3812"/>
      <c r="B2218" s="4813"/>
      <c r="C2218" s="4813"/>
      <c r="D2218" s="5777"/>
      <c r="E2218" s="5777"/>
      <c r="F2218" s="5777"/>
      <c r="G2218" s="5777"/>
      <c r="H2218" s="5777"/>
      <c r="I2218" s="6767"/>
      <c r="J2218" s="5777"/>
      <c r="K2218" s="5777"/>
      <c r="L2218" s="5777"/>
      <c r="M2218" s="4813"/>
      <c r="N2218" s="5999"/>
      <c r="O2218" s="5999"/>
      <c r="P2218" s="5999"/>
      <c r="Q2218" s="7072"/>
      <c r="R2218" s="7072"/>
      <c r="S2218" s="7072"/>
      <c r="T2218" s="7072"/>
      <c r="U2218" s="7072"/>
      <c r="V2218" s="7072"/>
      <c r="W2218" s="5999"/>
      <c r="X2218" s="5999"/>
      <c r="Y2218" s="5999"/>
      <c r="Z2218" s="5999"/>
      <c r="AA2218" s="5999"/>
      <c r="AB2218" s="6000"/>
      <c r="AC2218" s="1032" t="s">
        <v>1789</v>
      </c>
      <c r="AD2218" s="5241" t="s">
        <v>1792</v>
      </c>
      <c r="AE2218" s="1032">
        <v>0.15</v>
      </c>
      <c r="AF2218" s="3812">
        <f>1353012*AE2218</f>
        <v>202951.8</v>
      </c>
      <c r="AG2218" s="4840">
        <f t="shared" ref="AG2218:AG2224" si="484">SUM(BA2218:BN2218)</f>
        <v>202951.8</v>
      </c>
      <c r="AH2218" s="857" t="s">
        <v>122</v>
      </c>
      <c r="AI2218" s="3812">
        <v>45418</v>
      </c>
      <c r="AJ2218" s="3812">
        <v>202951.8</v>
      </c>
      <c r="AK2218" s="3812">
        <v>45418</v>
      </c>
      <c r="AL2218" s="3812">
        <v>202951.8</v>
      </c>
      <c r="AM2218" s="3812">
        <v>45427</v>
      </c>
      <c r="AN2218" s="3812">
        <f t="shared" si="482"/>
        <v>202951.8</v>
      </c>
      <c r="AO2218" s="3812">
        <v>45448</v>
      </c>
      <c r="AP2218" s="3812"/>
      <c r="AQ2218" s="1032" t="s">
        <v>3867</v>
      </c>
      <c r="AR2218" s="4813"/>
      <c r="AS2218" s="5777"/>
      <c r="AT2218" s="4813"/>
      <c r="AU2218" s="3812"/>
      <c r="AV2218" s="3812"/>
      <c r="AW2218" s="3812"/>
      <c r="AX2218" s="3812"/>
      <c r="AY2218" s="3812"/>
      <c r="AZ2218" s="3812"/>
      <c r="BA2218" s="4813"/>
      <c r="BB2218" s="4813"/>
      <c r="BC2218" s="4813"/>
      <c r="BD2218" s="4813"/>
      <c r="BE2218" s="4813"/>
      <c r="BF2218" s="4813"/>
      <c r="BG2218" s="4813"/>
      <c r="BH2218" s="4813"/>
      <c r="BI2218" s="4813"/>
      <c r="BJ2218" s="4813"/>
      <c r="BK2218" s="4813"/>
      <c r="BL2218" s="4813"/>
      <c r="BM2218" s="4813"/>
      <c r="BN2218" s="3812">
        <v>202951.8</v>
      </c>
      <c r="BO2218" s="4815"/>
      <c r="BP2218" s="4815"/>
      <c r="BQ2218" s="4815"/>
      <c r="BR2218" s="4813"/>
      <c r="BS2218" s="4813"/>
      <c r="BT2218" s="4813"/>
      <c r="BU2218" s="4813"/>
      <c r="BV2218" s="4813"/>
      <c r="BW2218" s="4813"/>
      <c r="BX2218" s="4813"/>
      <c r="BY2218" s="4813"/>
      <c r="BZ2218" s="4813"/>
      <c r="CA2218" s="4813"/>
      <c r="CB2218" s="4813">
        <v>202951.8</v>
      </c>
      <c r="CC2218" s="4813"/>
      <c r="CD2218" s="4813"/>
      <c r="CE2218" s="7088"/>
      <c r="CF2218" s="7088"/>
      <c r="CG2218" s="7088"/>
      <c r="CH2218" s="7088"/>
    </row>
    <row r="2219" s="4981" customFormat="1" ht="25" customHeight="1" spans="1:86">
      <c r="A2219" s="5200"/>
      <c r="B2219" s="3812"/>
      <c r="C2219" s="3812"/>
      <c r="D2219" s="5059"/>
      <c r="E2219" s="5059"/>
      <c r="F2219" s="5059"/>
      <c r="G2219" s="5059"/>
      <c r="H2219" s="5059"/>
      <c r="I2219" s="5205"/>
      <c r="J2219" s="5059"/>
      <c r="K2219" s="5059"/>
      <c r="L2219" s="5059"/>
      <c r="M2219" s="3812"/>
      <c r="N2219" s="5999"/>
      <c r="O2219" s="5999"/>
      <c r="P2219" s="5999"/>
      <c r="Q2219" s="7072"/>
      <c r="R2219" s="7072"/>
      <c r="S2219" s="7072"/>
      <c r="T2219" s="7072"/>
      <c r="U2219" s="7072"/>
      <c r="V2219" s="7072"/>
      <c r="W2219" s="5999"/>
      <c r="X2219" s="5999"/>
      <c r="Y2219" s="5999"/>
      <c r="Z2219" s="5999"/>
      <c r="AA2219" s="5999"/>
      <c r="AB2219" s="6000"/>
      <c r="AC2219" s="1032" t="s">
        <v>1789</v>
      </c>
      <c r="AD2219" s="5241" t="s">
        <v>1794</v>
      </c>
      <c r="AE2219" s="1032">
        <v>0.2</v>
      </c>
      <c r="AF2219" s="3812">
        <f>1353012*AE2219</f>
        <v>270602.4</v>
      </c>
      <c r="AG2219" s="4840">
        <f t="shared" si="484"/>
        <v>270602.4</v>
      </c>
      <c r="AH2219" s="857" t="s">
        <v>122</v>
      </c>
      <c r="AI2219" s="3812">
        <v>45513</v>
      </c>
      <c r="AJ2219" s="3812">
        <v>270602.4</v>
      </c>
      <c r="AK2219" s="3812">
        <v>45513</v>
      </c>
      <c r="AL2219" s="3812">
        <v>270602.4</v>
      </c>
      <c r="AM2219" s="3812">
        <v>45513</v>
      </c>
      <c r="AN2219" s="5349">
        <f t="shared" si="482"/>
        <v>270602.4</v>
      </c>
      <c r="AO2219" s="3812">
        <v>45533</v>
      </c>
      <c r="AP2219" s="3812"/>
      <c r="AQ2219" s="1032" t="s">
        <v>3873</v>
      </c>
      <c r="AR2219" s="3812"/>
      <c r="AS2219" s="5059"/>
      <c r="AT2219" s="3812"/>
      <c r="AU2219" s="3812"/>
      <c r="AV2219" s="3812"/>
      <c r="AW2219" s="3812"/>
      <c r="AX2219" s="3812"/>
      <c r="AY2219" s="3812"/>
      <c r="AZ2219" s="3812"/>
      <c r="BA2219" s="3812"/>
      <c r="BB2219" s="3812"/>
      <c r="BC2219" s="3812"/>
      <c r="BD2219" s="3812"/>
      <c r="BE2219" s="3812"/>
      <c r="BF2219" s="3812"/>
      <c r="BG2219" s="3812"/>
      <c r="BH2219" s="3812"/>
      <c r="BI2219" s="3812"/>
      <c r="BJ2219" s="3812"/>
      <c r="BK2219" s="3812"/>
      <c r="BL2219" s="3812"/>
      <c r="BM2219" s="3812"/>
      <c r="BN2219" s="5123">
        <v>270602.4</v>
      </c>
      <c r="BO2219" s="5123"/>
      <c r="BP2219" s="5123"/>
      <c r="BQ2219" s="5123"/>
      <c r="BR2219" s="3812"/>
      <c r="BS2219" s="3812"/>
      <c r="BT2219" s="3812"/>
      <c r="BU2219" s="3812"/>
      <c r="BV2219" s="3812"/>
      <c r="BW2219" s="3812"/>
      <c r="BX2219" s="3812"/>
      <c r="BY2219" s="3812"/>
      <c r="BZ2219" s="3812"/>
      <c r="CA2219" s="3812"/>
      <c r="CB2219" s="5123">
        <v>270602.4</v>
      </c>
      <c r="CC2219" s="3812"/>
      <c r="CD2219" s="3812"/>
      <c r="CE2219" s="5920"/>
      <c r="CF2219" s="5920"/>
      <c r="CG2219" s="5920"/>
      <c r="CH2219" s="5920"/>
    </row>
    <row r="2220" s="4981" customFormat="1" ht="25" customHeight="1" spans="1:86">
      <c r="A2220" s="5200"/>
      <c r="B2220" s="3812"/>
      <c r="C2220" s="3812"/>
      <c r="D2220" s="5059"/>
      <c r="E2220" s="5059"/>
      <c r="F2220" s="5059"/>
      <c r="G2220" s="5059"/>
      <c r="H2220" s="5059"/>
      <c r="I2220" s="5205"/>
      <c r="J2220" s="5059"/>
      <c r="K2220" s="5059"/>
      <c r="L2220" s="5059"/>
      <c r="M2220" s="3812"/>
      <c r="N2220" s="5999"/>
      <c r="O2220" s="5999"/>
      <c r="P2220" s="5999"/>
      <c r="Q2220" s="7072"/>
      <c r="R2220" s="7072"/>
      <c r="S2220" s="7072"/>
      <c r="T2220" s="7072"/>
      <c r="U2220" s="7072"/>
      <c r="V2220" s="7072"/>
      <c r="W2220" s="5999"/>
      <c r="X2220" s="5999"/>
      <c r="Y2220" s="5999"/>
      <c r="Z2220" s="5999"/>
      <c r="AA2220" s="5999"/>
      <c r="AB2220" s="6000"/>
      <c r="AC2220" s="1032" t="s">
        <v>1789</v>
      </c>
      <c r="AD2220" s="5241" t="s">
        <v>1796</v>
      </c>
      <c r="AE2220" s="1032">
        <v>0.05</v>
      </c>
      <c r="AF2220" s="3812">
        <f>1353012*AE2220</f>
        <v>67650.6</v>
      </c>
      <c r="AG2220" s="5123">
        <f t="shared" si="484"/>
        <v>67650.6</v>
      </c>
      <c r="AH2220" s="5345" t="s">
        <v>349</v>
      </c>
      <c r="AI2220" s="4815">
        <v>46111</v>
      </c>
      <c r="AJ2220" s="3812"/>
      <c r="AK2220" s="3812"/>
      <c r="AL2220" s="3812"/>
      <c r="AM2220" s="3812"/>
      <c r="AN2220" s="5885">
        <f t="shared" si="482"/>
        <v>67650.6</v>
      </c>
      <c r="AO2220" s="5123"/>
      <c r="AP2220" s="3812"/>
      <c r="AQ2220" s="1032"/>
      <c r="AR2220" s="3812"/>
      <c r="AS2220" s="5059"/>
      <c r="AT2220" s="3812"/>
      <c r="AU2220" s="3812"/>
      <c r="AV2220" s="3812"/>
      <c r="AW2220" s="3812"/>
      <c r="AX2220" s="3812"/>
      <c r="AY2220" s="3812"/>
      <c r="AZ2220" s="3812"/>
      <c r="BA2220" s="3812"/>
      <c r="BB2220" s="3812"/>
      <c r="BC2220" s="3812"/>
      <c r="BD2220" s="3812"/>
      <c r="BE2220" s="3812"/>
      <c r="BF2220" s="3812"/>
      <c r="BG2220" s="3812"/>
      <c r="BH2220" s="3812"/>
      <c r="BI2220" s="3812"/>
      <c r="BJ2220" s="3812"/>
      <c r="BK2220" s="3812"/>
      <c r="BL2220" s="3812"/>
      <c r="BM2220" s="3812"/>
      <c r="BN2220" s="5123">
        <v>67650.6</v>
      </c>
      <c r="BO2220" s="5123"/>
      <c r="BP2220" s="5123"/>
      <c r="BQ2220" s="5123"/>
      <c r="BR2220" s="3812"/>
      <c r="BS2220" s="3812"/>
      <c r="BT2220" s="3812"/>
      <c r="BU2220" s="3812"/>
      <c r="BV2220" s="3812"/>
      <c r="BW2220" s="3812"/>
      <c r="BX2220" s="3812"/>
      <c r="BY2220" s="3812"/>
      <c r="BZ2220" s="3812"/>
      <c r="CA2220" s="3812"/>
      <c r="CB2220" s="5123">
        <v>67650.6</v>
      </c>
      <c r="CC2220" s="3812"/>
      <c r="CD2220" s="3812"/>
      <c r="CE2220" s="5920"/>
      <c r="CF2220" s="5920"/>
      <c r="CG2220" s="5920"/>
      <c r="CH2220" s="5920"/>
    </row>
    <row r="2221" s="4981" customFormat="1" ht="25" customHeight="1" spans="1:86">
      <c r="A2221" s="5200"/>
      <c r="B2221" s="3812"/>
      <c r="C2221" s="3812"/>
      <c r="D2221" s="5059"/>
      <c r="E2221" s="5059"/>
      <c r="F2221" s="5059"/>
      <c r="G2221" s="5059"/>
      <c r="H2221" s="5059"/>
      <c r="I2221" s="5205"/>
      <c r="J2221" s="5059"/>
      <c r="K2221" s="5059"/>
      <c r="L2221" s="5059"/>
      <c r="M2221" s="3812"/>
      <c r="N2221" s="5999"/>
      <c r="O2221" s="5999"/>
      <c r="P2221" s="5999"/>
      <c r="Q2221" s="7072"/>
      <c r="R2221" s="7072"/>
      <c r="S2221" s="7072"/>
      <c r="T2221" s="7072"/>
      <c r="U2221" s="7072"/>
      <c r="V2221" s="7072"/>
      <c r="W2221" s="5999"/>
      <c r="X2221" s="5999"/>
      <c r="Y2221" s="5999"/>
      <c r="Z2221" s="5999"/>
      <c r="AA2221" s="5999"/>
      <c r="AB2221" s="6000"/>
      <c r="AC2221" s="1032" t="s">
        <v>1786</v>
      </c>
      <c r="AD2221" s="5241" t="s">
        <v>361</v>
      </c>
      <c r="AE2221" s="1032">
        <v>0.1</v>
      </c>
      <c r="AF2221" s="3812">
        <f>1608410-1379918.4</f>
        <v>228491.6</v>
      </c>
      <c r="AG2221" s="5123">
        <f t="shared" si="484"/>
        <v>228491.6</v>
      </c>
      <c r="AH2221" s="3406"/>
      <c r="AI2221" s="5123"/>
      <c r="AJ2221" s="3812"/>
      <c r="AK2221" s="3812"/>
      <c r="AL2221" s="3812"/>
      <c r="AM2221" s="3812"/>
      <c r="AN2221" s="5885">
        <f t="shared" si="482"/>
        <v>228491.6</v>
      </c>
      <c r="AO2221" s="3812"/>
      <c r="AP2221" s="3812"/>
      <c r="AQ2221" s="1032"/>
      <c r="AR2221" s="3812"/>
      <c r="AS2221" s="5059"/>
      <c r="AT2221" s="3812"/>
      <c r="AU2221" s="3812"/>
      <c r="AV2221" s="3812"/>
      <c r="AW2221" s="3812"/>
      <c r="AX2221" s="3812"/>
      <c r="AY2221" s="3812"/>
      <c r="AZ2221" s="3812"/>
      <c r="BA2221" s="3812"/>
      <c r="BB2221" s="3812"/>
      <c r="BC2221" s="3812"/>
      <c r="BD2221" s="3812"/>
      <c r="BE2221" s="3812"/>
      <c r="BF2221" s="3812"/>
      <c r="BG2221" s="3812"/>
      <c r="BH2221" s="3812"/>
      <c r="BI2221" s="3812"/>
      <c r="BJ2221" s="3812"/>
      <c r="BK2221" s="3812"/>
      <c r="BL2221" s="3812"/>
      <c r="BM2221" s="3812"/>
      <c r="BN2221" s="3812">
        <v>228491.6</v>
      </c>
      <c r="BO2221" s="5123"/>
      <c r="BP2221" s="5123"/>
      <c r="BQ2221" s="5123"/>
      <c r="BR2221" s="3812"/>
      <c r="BS2221" s="3812"/>
      <c r="BT2221" s="3812"/>
      <c r="BU2221" s="3812"/>
      <c r="BV2221" s="3812"/>
      <c r="BW2221" s="3812"/>
      <c r="BX2221" s="3812"/>
      <c r="BY2221" s="3812"/>
      <c r="BZ2221" s="3812"/>
      <c r="CA2221" s="3812"/>
      <c r="CB2221" s="5123">
        <v>228491.6</v>
      </c>
      <c r="CC2221" s="3812"/>
      <c r="CD2221" s="3812"/>
      <c r="CE2221" s="5920"/>
      <c r="CF2221" s="5920"/>
      <c r="CG2221" s="5920"/>
      <c r="CH2221" s="5920"/>
    </row>
    <row r="2222" s="4985" customFormat="1" ht="25" customHeight="1" spans="1:86">
      <c r="A2222" s="5201"/>
      <c r="B2222" s="5201"/>
      <c r="C2222" s="5201"/>
      <c r="D2222" s="5708"/>
      <c r="E2222" s="5059"/>
      <c r="F2222" s="5708"/>
      <c r="G2222" s="5708"/>
      <c r="H2222" s="5708"/>
      <c r="I2222" s="5205"/>
      <c r="J2222" s="5708"/>
      <c r="K2222" s="5708"/>
      <c r="L2222" s="5708"/>
      <c r="M2222" s="5201"/>
      <c r="N2222" s="5667"/>
      <c r="O2222" s="5667"/>
      <c r="P2222" s="5667"/>
      <c r="Q2222" s="5735"/>
      <c r="R2222" s="5735"/>
      <c r="S2222" s="5735"/>
      <c r="T2222" s="5735"/>
      <c r="U2222" s="5735"/>
      <c r="V2222" s="5735"/>
      <c r="W2222" s="5667"/>
      <c r="X2222" s="5667"/>
      <c r="Y2222" s="5667"/>
      <c r="Z2222" s="5667"/>
      <c r="AA2222" s="5667"/>
      <c r="AB2222" s="5973"/>
      <c r="AC2222" s="5714" t="s">
        <v>1797</v>
      </c>
      <c r="AD2222" s="5931" t="s">
        <v>1798</v>
      </c>
      <c r="AE2222" s="5714">
        <v>0.2</v>
      </c>
      <c r="AF2222" s="5201">
        <f>1623000*AE2222</f>
        <v>324600</v>
      </c>
      <c r="AG2222" s="5201">
        <f t="shared" si="484"/>
        <v>324600</v>
      </c>
      <c r="AH2222" s="5930" t="s">
        <v>122</v>
      </c>
      <c r="AI2222" s="5201">
        <v>45236</v>
      </c>
      <c r="AJ2222" s="5201">
        <v>324600</v>
      </c>
      <c r="AK2222" s="5201">
        <v>45236</v>
      </c>
      <c r="AL2222" s="5201">
        <v>324600</v>
      </c>
      <c r="AM2222" s="5201">
        <v>45243</v>
      </c>
      <c r="AN2222" s="5201">
        <f t="shared" si="482"/>
        <v>324600</v>
      </c>
      <c r="AO2222" s="5201">
        <v>45321</v>
      </c>
      <c r="AP2222" s="5201"/>
      <c r="AQ2222" s="5714" t="s">
        <v>3862</v>
      </c>
      <c r="AR2222" s="5201"/>
      <c r="AS2222" s="5708"/>
      <c r="AT2222" s="5201"/>
      <c r="AU2222" s="3812"/>
      <c r="AV2222" s="3812"/>
      <c r="AW2222" s="3812"/>
      <c r="AX2222" s="3812"/>
      <c r="AY2222" s="3812"/>
      <c r="AZ2222" s="3812"/>
      <c r="BA2222" s="5201"/>
      <c r="BB2222" s="5201"/>
      <c r="BC2222" s="5201"/>
      <c r="BD2222" s="5201"/>
      <c r="BE2222" s="5201"/>
      <c r="BF2222" s="5201"/>
      <c r="BG2222" s="5201"/>
      <c r="BH2222" s="5201"/>
      <c r="BI2222" s="5201"/>
      <c r="BJ2222" s="5201"/>
      <c r="BK2222" s="5201"/>
      <c r="BL2222" s="5201"/>
      <c r="BM2222" s="5201"/>
      <c r="BN2222" s="5201">
        <v>324600</v>
      </c>
      <c r="BO2222" s="5734"/>
      <c r="BP2222" s="5734"/>
      <c r="BQ2222" s="5734"/>
      <c r="BR2222" s="5201"/>
      <c r="BS2222" s="5201"/>
      <c r="BT2222" s="5201"/>
      <c r="BU2222" s="5201"/>
      <c r="BV2222" s="5201"/>
      <c r="BW2222" s="5201"/>
      <c r="BX2222" s="5201"/>
      <c r="BY2222" s="5201"/>
      <c r="BZ2222" s="5201"/>
      <c r="CA2222" s="5201"/>
      <c r="CB2222" s="5201">
        <v>324600</v>
      </c>
      <c r="CC2222" s="5201"/>
      <c r="CD2222" s="5201"/>
      <c r="CE2222" s="5990"/>
      <c r="CF2222" s="5990"/>
      <c r="CG2222" s="5990"/>
      <c r="CH2222" s="5990"/>
    </row>
    <row r="2223" s="4974" customFormat="1" ht="25" customHeight="1" spans="1:86">
      <c r="A2223" s="2678"/>
      <c r="B2223" s="3812"/>
      <c r="C2223" s="3812"/>
      <c r="D2223" s="5059"/>
      <c r="E2223" s="5059"/>
      <c r="F2223" s="5059"/>
      <c r="G2223" s="5059"/>
      <c r="H2223" s="5059"/>
      <c r="I2223" s="5205"/>
      <c r="J2223" s="5059"/>
      <c r="K2223" s="5059"/>
      <c r="L2223" s="5059"/>
      <c r="M2223" s="3812"/>
      <c r="N2223" s="5667"/>
      <c r="O2223" s="5667"/>
      <c r="P2223" s="5667"/>
      <c r="Q2223" s="5735"/>
      <c r="R2223" s="5735"/>
      <c r="S2223" s="5735"/>
      <c r="T2223" s="5735"/>
      <c r="U2223" s="5735"/>
      <c r="V2223" s="5735"/>
      <c r="W2223" s="5667"/>
      <c r="X2223" s="5667"/>
      <c r="Y2223" s="5667"/>
      <c r="Z2223" s="5667"/>
      <c r="AA2223" s="5667"/>
      <c r="AB2223" s="5973"/>
      <c r="AC2223" s="1032" t="s">
        <v>1797</v>
      </c>
      <c r="AD2223" s="5241" t="s">
        <v>1799</v>
      </c>
      <c r="AE2223" s="1032">
        <v>0.2</v>
      </c>
      <c r="AF2223" s="3812">
        <f>1623000*AE2223</f>
        <v>324600</v>
      </c>
      <c r="AG2223" s="3812">
        <f t="shared" si="484"/>
        <v>324600</v>
      </c>
      <c r="AH2223" s="857" t="s">
        <v>122</v>
      </c>
      <c r="AI2223" s="3812">
        <v>45236</v>
      </c>
      <c r="AJ2223" s="3812">
        <v>324600</v>
      </c>
      <c r="AK2223" s="3812">
        <v>45236</v>
      </c>
      <c r="AL2223" s="3812">
        <v>324600</v>
      </c>
      <c r="AM2223" s="3812">
        <v>45243</v>
      </c>
      <c r="AN2223" s="5349">
        <f t="shared" si="482"/>
        <v>324600</v>
      </c>
      <c r="AO2223" s="3812">
        <v>45321</v>
      </c>
      <c r="AP2223" s="3812"/>
      <c r="AQ2223" s="1032" t="s">
        <v>3862</v>
      </c>
      <c r="AR2223" s="3812"/>
      <c r="AS2223" s="5059"/>
      <c r="AT2223" s="3812"/>
      <c r="AU2223" s="3812"/>
      <c r="AV2223" s="3812"/>
      <c r="AW2223" s="3812"/>
      <c r="AX2223" s="3812"/>
      <c r="AY2223" s="3812"/>
      <c r="AZ2223" s="3812"/>
      <c r="BA2223" s="3812"/>
      <c r="BB2223" s="3812"/>
      <c r="BC2223" s="3812"/>
      <c r="BD2223" s="3812"/>
      <c r="BE2223" s="3812"/>
      <c r="BF2223" s="3812"/>
      <c r="BG2223" s="3812"/>
      <c r="BH2223" s="3812"/>
      <c r="BI2223" s="3812"/>
      <c r="BJ2223" s="3812"/>
      <c r="BK2223" s="3812"/>
      <c r="BL2223" s="3812"/>
      <c r="BM2223" s="3812"/>
      <c r="BN2223" s="3812">
        <v>324600</v>
      </c>
      <c r="BO2223" s="5123"/>
      <c r="BP2223" s="5123"/>
      <c r="BQ2223" s="5123"/>
      <c r="BR2223" s="3812"/>
      <c r="BS2223" s="3812"/>
      <c r="BT2223" s="3812"/>
      <c r="BU2223" s="3812"/>
      <c r="BV2223" s="3812"/>
      <c r="BW2223" s="3812"/>
      <c r="BX2223" s="3812"/>
      <c r="BY2223" s="3812"/>
      <c r="BZ2223" s="3812"/>
      <c r="CA2223" s="3812"/>
      <c r="CB2223" s="3812">
        <v>324600</v>
      </c>
      <c r="CC2223" s="3812"/>
      <c r="CD2223" s="3812"/>
      <c r="CE2223" s="5310"/>
      <c r="CF2223" s="5310"/>
      <c r="CG2223" s="5310"/>
      <c r="CH2223" s="5310"/>
    </row>
    <row r="2224" s="4974" customFormat="1" ht="25" customHeight="1" spans="1:86">
      <c r="A2224" s="2678"/>
      <c r="B2224" s="3812"/>
      <c r="C2224" s="3812"/>
      <c r="D2224" s="5059"/>
      <c r="E2224" s="5059"/>
      <c r="F2224" s="5059"/>
      <c r="G2224" s="5059"/>
      <c r="H2224" s="5059"/>
      <c r="I2224" s="5205"/>
      <c r="J2224" s="5059"/>
      <c r="K2224" s="5059"/>
      <c r="L2224" s="5059"/>
      <c r="M2224" s="3812"/>
      <c r="N2224" s="5667"/>
      <c r="O2224" s="5667"/>
      <c r="P2224" s="5667"/>
      <c r="Q2224" s="5735"/>
      <c r="R2224" s="5735"/>
      <c r="S2224" s="5735"/>
      <c r="T2224" s="5735"/>
      <c r="U2224" s="5735"/>
      <c r="V2224" s="5735"/>
      <c r="W2224" s="5667"/>
      <c r="X2224" s="5667"/>
      <c r="Y2224" s="5667"/>
      <c r="Z2224" s="5667"/>
      <c r="AA2224" s="5667"/>
      <c r="AB2224" s="5973"/>
      <c r="AC2224" s="5073" t="s">
        <v>1797</v>
      </c>
      <c r="AD2224" s="5242" t="s">
        <v>1801</v>
      </c>
      <c r="AE2224" s="5073">
        <v>0.2</v>
      </c>
      <c r="AF2224" s="4840">
        <f>1623000*AE2224</f>
        <v>324600</v>
      </c>
      <c r="AG2224" s="4840">
        <f t="shared" si="484"/>
        <v>324600</v>
      </c>
      <c r="AH2224" s="3366" t="s">
        <v>122</v>
      </c>
      <c r="AI2224" s="4840">
        <v>45236</v>
      </c>
      <c r="AJ2224" s="4840">
        <v>324600</v>
      </c>
      <c r="AK2224" s="4840">
        <v>45236</v>
      </c>
      <c r="AL2224" s="4840">
        <v>324600</v>
      </c>
      <c r="AM2224" s="4840">
        <v>45243</v>
      </c>
      <c r="AN2224" s="5349">
        <f t="shared" si="482"/>
        <v>50800</v>
      </c>
      <c r="AO2224" s="3812">
        <v>45321</v>
      </c>
      <c r="AP2224" s="3812"/>
      <c r="AQ2224" s="1032" t="s">
        <v>3862</v>
      </c>
      <c r="AR2224" s="3812"/>
      <c r="AS2224" s="5059"/>
      <c r="AT2224" s="3812"/>
      <c r="AU2224" s="3812"/>
      <c r="AV2224" s="3812"/>
      <c r="AW2224" s="3812"/>
      <c r="AX2224" s="3812"/>
      <c r="AY2224" s="3812"/>
      <c r="AZ2224" s="3812"/>
      <c r="BA2224" s="3812"/>
      <c r="BB2224" s="3812"/>
      <c r="BC2224" s="3812"/>
      <c r="BD2224" s="3812"/>
      <c r="BE2224" s="3812"/>
      <c r="BF2224" s="3812"/>
      <c r="BG2224" s="3812"/>
      <c r="BH2224" s="3812"/>
      <c r="BI2224" s="3812"/>
      <c r="BJ2224" s="3812"/>
      <c r="BK2224" s="3812"/>
      <c r="BL2224" s="3812"/>
      <c r="BM2224" s="4840"/>
      <c r="BN2224" s="4840">
        <v>324600</v>
      </c>
      <c r="BO2224" s="5123"/>
      <c r="BP2224" s="5123"/>
      <c r="BQ2224" s="5123"/>
      <c r="BR2224" s="3812"/>
      <c r="BS2224" s="3812"/>
      <c r="BT2224" s="3812"/>
      <c r="BU2224" s="3812"/>
      <c r="BV2224" s="3812"/>
      <c r="BW2224" s="3812"/>
      <c r="BX2224" s="3812"/>
      <c r="BY2224" s="3812"/>
      <c r="BZ2224" s="3812"/>
      <c r="CA2224" s="3812"/>
      <c r="CB2224" s="3812">
        <v>50800</v>
      </c>
      <c r="CC2224" s="3812"/>
      <c r="CD2224" s="3812"/>
      <c r="CE2224" s="5310"/>
      <c r="CF2224" s="5310"/>
      <c r="CG2224" s="5310"/>
      <c r="CH2224" s="5310"/>
    </row>
    <row r="2225" s="4974" customFormat="1" ht="25" customHeight="1" spans="1:86">
      <c r="A2225" s="2678"/>
      <c r="B2225" s="3812"/>
      <c r="C2225" s="3812"/>
      <c r="D2225" s="5059"/>
      <c r="E2225" s="5059"/>
      <c r="F2225" s="5059"/>
      <c r="G2225" s="5059"/>
      <c r="H2225" s="5059"/>
      <c r="I2225" s="5205"/>
      <c r="J2225" s="5059"/>
      <c r="K2225" s="5059"/>
      <c r="L2225" s="5059"/>
      <c r="M2225" s="3812"/>
      <c r="N2225" s="5667"/>
      <c r="O2225" s="5667"/>
      <c r="P2225" s="5667"/>
      <c r="Q2225" s="5735"/>
      <c r="R2225" s="5735"/>
      <c r="S2225" s="5735"/>
      <c r="T2225" s="5735"/>
      <c r="U2225" s="5735"/>
      <c r="V2225" s="5735"/>
      <c r="W2225" s="5667"/>
      <c r="X2225" s="5667"/>
      <c r="Y2225" s="5667"/>
      <c r="Z2225" s="5667"/>
      <c r="AA2225" s="5667"/>
      <c r="AB2225" s="5973"/>
      <c r="AC2225" s="5206"/>
      <c r="AD2225" s="5942"/>
      <c r="AE2225" s="5206"/>
      <c r="AF2225" s="4842"/>
      <c r="AG2225" s="4842"/>
      <c r="AH2225" s="3409"/>
      <c r="AI2225" s="4842"/>
      <c r="AJ2225" s="4842"/>
      <c r="AK2225" s="4842"/>
      <c r="AL2225" s="4842"/>
      <c r="AM2225" s="4842"/>
      <c r="AN2225" s="5349">
        <f t="shared" si="482"/>
        <v>273800</v>
      </c>
      <c r="AO2225" s="3812">
        <v>45448</v>
      </c>
      <c r="AP2225" s="3812"/>
      <c r="AQ2225" s="1032" t="s">
        <v>3874</v>
      </c>
      <c r="AR2225" s="3812"/>
      <c r="AS2225" s="5059"/>
      <c r="AT2225" s="3812"/>
      <c r="AU2225" s="3812"/>
      <c r="AV2225" s="3812"/>
      <c r="AW2225" s="3812"/>
      <c r="AX2225" s="3812"/>
      <c r="AY2225" s="3812"/>
      <c r="AZ2225" s="3812"/>
      <c r="BA2225" s="3812"/>
      <c r="BB2225" s="3812"/>
      <c r="BC2225" s="3812"/>
      <c r="BD2225" s="3812"/>
      <c r="BE2225" s="3812"/>
      <c r="BF2225" s="3812"/>
      <c r="BG2225" s="3812"/>
      <c r="BH2225" s="3812"/>
      <c r="BI2225" s="3812"/>
      <c r="BJ2225" s="3812"/>
      <c r="BK2225" s="3812"/>
      <c r="BL2225" s="3812"/>
      <c r="BM2225" s="4842"/>
      <c r="BN2225" s="4842"/>
      <c r="BO2225" s="5123"/>
      <c r="BP2225" s="5123"/>
      <c r="BQ2225" s="5123"/>
      <c r="BR2225" s="3812"/>
      <c r="BS2225" s="3812"/>
      <c r="BT2225" s="3812"/>
      <c r="BU2225" s="3812"/>
      <c r="BV2225" s="3812"/>
      <c r="BW2225" s="5123"/>
      <c r="BX2225" s="5123"/>
      <c r="BY2225" s="5123"/>
      <c r="BZ2225" s="5123"/>
      <c r="CA2225" s="5123"/>
      <c r="CB2225" s="3812">
        <f>BN2224-CB2224</f>
        <v>273800</v>
      </c>
      <c r="CC2225" s="3812"/>
      <c r="CD2225" s="3812"/>
      <c r="CE2225" s="5310"/>
      <c r="CF2225" s="5310"/>
      <c r="CG2225" s="5310"/>
      <c r="CH2225" s="5310"/>
    </row>
    <row r="2226" s="4974" customFormat="1" ht="25" customHeight="1" spans="1:86">
      <c r="A2226" s="2678"/>
      <c r="B2226" s="3812"/>
      <c r="C2226" s="3812"/>
      <c r="D2226" s="5059"/>
      <c r="E2226" s="5059"/>
      <c r="F2226" s="5059"/>
      <c r="G2226" s="5059"/>
      <c r="H2226" s="5059"/>
      <c r="I2226" s="5205"/>
      <c r="J2226" s="5059"/>
      <c r="K2226" s="5059"/>
      <c r="L2226" s="5059"/>
      <c r="M2226" s="3812"/>
      <c r="N2226" s="5667"/>
      <c r="O2226" s="5667"/>
      <c r="P2226" s="5667"/>
      <c r="Q2226" s="5735"/>
      <c r="R2226" s="5735"/>
      <c r="S2226" s="5735"/>
      <c r="T2226" s="5735"/>
      <c r="U2226" s="5735"/>
      <c r="V2226" s="5735"/>
      <c r="W2226" s="5667"/>
      <c r="X2226" s="5667"/>
      <c r="Y2226" s="5667"/>
      <c r="Z2226" s="5667"/>
      <c r="AA2226" s="5667"/>
      <c r="AB2226" s="5973"/>
      <c r="AC2226" s="5073" t="s">
        <v>1797</v>
      </c>
      <c r="AD2226" s="5242" t="s">
        <v>1803</v>
      </c>
      <c r="AE2226" s="5073">
        <v>0.2</v>
      </c>
      <c r="AF2226" s="4840">
        <f>1623000*AE2226</f>
        <v>324600</v>
      </c>
      <c r="AG2226" s="4840">
        <f>SUM(BA2226:BN2226)</f>
        <v>324600</v>
      </c>
      <c r="AH2226" s="3366" t="s">
        <v>122</v>
      </c>
      <c r="AI2226" s="4840">
        <v>45236</v>
      </c>
      <c r="AJ2226" s="4840">
        <v>324600</v>
      </c>
      <c r="AK2226" s="4840">
        <v>45236</v>
      </c>
      <c r="AL2226" s="4840">
        <v>324600</v>
      </c>
      <c r="AM2226" s="4840">
        <v>45243</v>
      </c>
      <c r="AN2226" s="5349">
        <f t="shared" si="482"/>
        <v>163487.78</v>
      </c>
      <c r="AO2226" s="3812">
        <v>45448</v>
      </c>
      <c r="AP2226" s="3812"/>
      <c r="AQ2226" s="1032" t="s">
        <v>3867</v>
      </c>
      <c r="AR2226" s="3812"/>
      <c r="AS2226" s="5059"/>
      <c r="AT2226" s="3812"/>
      <c r="AU2226" s="3812"/>
      <c r="AV2226" s="3812"/>
      <c r="AW2226" s="3812"/>
      <c r="AX2226" s="3812"/>
      <c r="AY2226" s="3812"/>
      <c r="AZ2226" s="3812"/>
      <c r="BA2226" s="3812"/>
      <c r="BB2226" s="3812"/>
      <c r="BC2226" s="3812"/>
      <c r="BD2226" s="3812"/>
      <c r="BE2226" s="3812"/>
      <c r="BF2226" s="3812"/>
      <c r="BG2226" s="3812"/>
      <c r="BH2226" s="3812"/>
      <c r="BI2226" s="3812"/>
      <c r="BJ2226" s="3812"/>
      <c r="BK2226" s="3812"/>
      <c r="BL2226" s="3812"/>
      <c r="BM2226" s="4840"/>
      <c r="BN2226" s="4840">
        <v>324600</v>
      </c>
      <c r="BO2226" s="5123"/>
      <c r="BP2226" s="5123"/>
      <c r="BQ2226" s="5123"/>
      <c r="BR2226" s="3812"/>
      <c r="BS2226" s="3812"/>
      <c r="BT2226" s="3812"/>
      <c r="BU2226" s="3812"/>
      <c r="BV2226" s="3812"/>
      <c r="BW2226" s="5123"/>
      <c r="BX2226" s="5123"/>
      <c r="BY2226" s="5123"/>
      <c r="BZ2226" s="5123"/>
      <c r="CA2226" s="5123"/>
      <c r="CB2226" s="3812">
        <v>163487.78</v>
      </c>
      <c r="CC2226" s="3812"/>
      <c r="CD2226" s="3812"/>
      <c r="CE2226" s="5310"/>
      <c r="CF2226" s="5310"/>
      <c r="CG2226" s="5310"/>
      <c r="CH2226" s="5310"/>
    </row>
    <row r="2227" s="4974" customFormat="1" ht="25" customHeight="1" spans="1:86">
      <c r="A2227" s="2678"/>
      <c r="B2227" s="3812"/>
      <c r="C2227" s="3812"/>
      <c r="D2227" s="5059"/>
      <c r="E2227" s="5059"/>
      <c r="F2227" s="5059"/>
      <c r="G2227" s="5059"/>
      <c r="H2227" s="5059"/>
      <c r="I2227" s="5205"/>
      <c r="J2227" s="5059"/>
      <c r="K2227" s="5059"/>
      <c r="L2227" s="5059"/>
      <c r="M2227" s="3812"/>
      <c r="N2227" s="5667"/>
      <c r="O2227" s="5667"/>
      <c r="P2227" s="5667"/>
      <c r="Q2227" s="5735"/>
      <c r="R2227" s="5735"/>
      <c r="S2227" s="5735"/>
      <c r="T2227" s="5735"/>
      <c r="U2227" s="5735"/>
      <c r="V2227" s="5735"/>
      <c r="W2227" s="5667"/>
      <c r="X2227" s="5667"/>
      <c r="Y2227" s="5667"/>
      <c r="Z2227" s="5667"/>
      <c r="AA2227" s="5667"/>
      <c r="AB2227" s="5973"/>
      <c r="AC2227" s="5205"/>
      <c r="AD2227" s="5977"/>
      <c r="AE2227" s="5205"/>
      <c r="AF2227" s="4841"/>
      <c r="AG2227" s="4841"/>
      <c r="AH2227" s="3408"/>
      <c r="AI2227" s="4841"/>
      <c r="AJ2227" s="4841"/>
      <c r="AK2227" s="4841"/>
      <c r="AL2227" s="4841"/>
      <c r="AM2227" s="4841"/>
      <c r="AN2227" s="5349">
        <f t="shared" si="482"/>
        <v>62990.62</v>
      </c>
      <c r="AO2227" s="3812">
        <v>45564</v>
      </c>
      <c r="AP2227" s="3812"/>
      <c r="AQ2227" s="1032" t="s">
        <v>3865</v>
      </c>
      <c r="AR2227" s="3812"/>
      <c r="AS2227" s="5059"/>
      <c r="AT2227" s="3812"/>
      <c r="AU2227" s="3812"/>
      <c r="AV2227" s="3812"/>
      <c r="AW2227" s="3812"/>
      <c r="AX2227" s="3812"/>
      <c r="AY2227" s="3812"/>
      <c r="AZ2227" s="3812"/>
      <c r="BA2227" s="3812"/>
      <c r="BB2227" s="3812"/>
      <c r="BC2227" s="3812"/>
      <c r="BD2227" s="3812"/>
      <c r="BE2227" s="3812"/>
      <c r="BF2227" s="3812"/>
      <c r="BG2227" s="3812"/>
      <c r="BH2227" s="3812"/>
      <c r="BI2227" s="3812"/>
      <c r="BJ2227" s="3812"/>
      <c r="BK2227" s="3812"/>
      <c r="BL2227" s="3812"/>
      <c r="BM2227" s="4841"/>
      <c r="BN2227" s="4841"/>
      <c r="BO2227" s="5123"/>
      <c r="BP2227" s="5123"/>
      <c r="BQ2227" s="5123"/>
      <c r="BR2227" s="3812"/>
      <c r="BS2227" s="3812"/>
      <c r="BT2227" s="3812"/>
      <c r="BU2227" s="3812"/>
      <c r="BV2227" s="3812"/>
      <c r="BW2227" s="5123"/>
      <c r="BX2227" s="5123"/>
      <c r="BY2227" s="5123"/>
      <c r="BZ2227" s="5123"/>
      <c r="CA2227" s="5123"/>
      <c r="CB2227" s="3812">
        <v>62990.62</v>
      </c>
      <c r="CC2227" s="3812"/>
      <c r="CD2227" s="3812"/>
      <c r="CE2227" s="5310"/>
      <c r="CF2227" s="5310"/>
      <c r="CG2227" s="5310"/>
      <c r="CH2227" s="5310"/>
    </row>
    <row r="2228" s="4974" customFormat="1" ht="25" customHeight="1" spans="1:86">
      <c r="A2228" s="2678"/>
      <c r="B2228" s="3812"/>
      <c r="C2228" s="3812"/>
      <c r="D2228" s="5059"/>
      <c r="E2228" s="5059"/>
      <c r="F2228" s="5059"/>
      <c r="G2228" s="5059"/>
      <c r="H2228" s="5059"/>
      <c r="I2228" s="5205"/>
      <c r="J2228" s="5059"/>
      <c r="K2228" s="5059"/>
      <c r="L2228" s="5059"/>
      <c r="M2228" s="3812"/>
      <c r="N2228" s="5667"/>
      <c r="O2228" s="5667"/>
      <c r="P2228" s="5667"/>
      <c r="Q2228" s="5735"/>
      <c r="R2228" s="5735"/>
      <c r="S2228" s="5735"/>
      <c r="T2228" s="5735"/>
      <c r="U2228" s="5735"/>
      <c r="V2228" s="5735"/>
      <c r="W2228" s="5667"/>
      <c r="X2228" s="5667"/>
      <c r="Y2228" s="5667"/>
      <c r="Z2228" s="5667"/>
      <c r="AA2228" s="5667"/>
      <c r="AB2228" s="5973"/>
      <c r="AC2228" s="5206"/>
      <c r="AD2228" s="5942"/>
      <c r="AE2228" s="5206"/>
      <c r="AF2228" s="4842"/>
      <c r="AG2228" s="4842"/>
      <c r="AH2228" s="3409"/>
      <c r="AI2228" s="4842"/>
      <c r="AJ2228" s="4842"/>
      <c r="AK2228" s="4842"/>
      <c r="AL2228" s="4842"/>
      <c r="AM2228" s="4842"/>
      <c r="AN2228" s="6030">
        <f t="shared" si="482"/>
        <v>98121.6</v>
      </c>
      <c r="AO2228" s="4813">
        <v>45744</v>
      </c>
      <c r="AP2228" s="3812"/>
      <c r="AQ2228" s="1032"/>
      <c r="AR2228" s="3812"/>
      <c r="AS2228" s="5059"/>
      <c r="AT2228" s="3812"/>
      <c r="AU2228" s="3812"/>
      <c r="AV2228" s="3812"/>
      <c r="AW2228" s="3812"/>
      <c r="AX2228" s="3812"/>
      <c r="AY2228" s="3812"/>
      <c r="AZ2228" s="3812"/>
      <c r="BA2228" s="3812"/>
      <c r="BB2228" s="3812"/>
      <c r="BC2228" s="3812"/>
      <c r="BD2228" s="3812"/>
      <c r="BE2228" s="3812"/>
      <c r="BF2228" s="3812"/>
      <c r="BG2228" s="3812"/>
      <c r="BH2228" s="3812"/>
      <c r="BI2228" s="3812"/>
      <c r="BJ2228" s="3812"/>
      <c r="BK2228" s="3812"/>
      <c r="BL2228" s="3812"/>
      <c r="BM2228" s="4842"/>
      <c r="BN2228" s="4842"/>
      <c r="BO2228" s="5123"/>
      <c r="BP2228" s="5123"/>
      <c r="BQ2228" s="5123"/>
      <c r="BR2228" s="3812"/>
      <c r="BS2228" s="3812"/>
      <c r="BT2228" s="3812"/>
      <c r="BU2228" s="3812"/>
      <c r="BV2228" s="3812"/>
      <c r="BW2228" s="5123"/>
      <c r="BX2228" s="5123"/>
      <c r="BY2228" s="5123"/>
      <c r="BZ2228" s="5123"/>
      <c r="CA2228" s="5123"/>
      <c r="CB2228" s="3812">
        <v>98121.6</v>
      </c>
      <c r="CC2228" s="3812"/>
      <c r="CD2228" s="3812"/>
      <c r="CE2228" s="5310"/>
      <c r="CF2228" s="5310"/>
      <c r="CG2228" s="5310"/>
      <c r="CH2228" s="5310"/>
    </row>
    <row r="2229" s="4974" customFormat="1" ht="25" customHeight="1" spans="1:86">
      <c r="A2229" s="2678"/>
      <c r="B2229" s="3812"/>
      <c r="C2229" s="3812"/>
      <c r="D2229" s="5059"/>
      <c r="E2229" s="5059"/>
      <c r="F2229" s="5059"/>
      <c r="G2229" s="5059"/>
      <c r="H2229" s="5059"/>
      <c r="I2229" s="5205"/>
      <c r="J2229" s="5059"/>
      <c r="K2229" s="5059"/>
      <c r="L2229" s="5059"/>
      <c r="M2229" s="3812"/>
      <c r="N2229" s="5667"/>
      <c r="O2229" s="5667"/>
      <c r="P2229" s="5667"/>
      <c r="Q2229" s="5735"/>
      <c r="R2229" s="5735"/>
      <c r="S2229" s="5735"/>
      <c r="T2229" s="5735"/>
      <c r="U2229" s="5735"/>
      <c r="V2229" s="5735"/>
      <c r="W2229" s="5667"/>
      <c r="X2229" s="5667"/>
      <c r="Y2229" s="5667"/>
      <c r="Z2229" s="5667"/>
      <c r="AA2229" s="5667"/>
      <c r="AB2229" s="5973"/>
      <c r="AC2229" s="1032" t="s">
        <v>1797</v>
      </c>
      <c r="AD2229" s="5241" t="s">
        <v>1804</v>
      </c>
      <c r="AE2229" s="1032">
        <v>0.2</v>
      </c>
      <c r="AF2229" s="3812">
        <f>1623000*AE2229</f>
        <v>324600</v>
      </c>
      <c r="AG2229" s="5123">
        <v>0</v>
      </c>
      <c r="AH2229" s="3406"/>
      <c r="AI2229" s="5886"/>
      <c r="AJ2229" s="3812"/>
      <c r="AK2229" s="3812"/>
      <c r="AL2229" s="3812"/>
      <c r="AM2229" s="3812"/>
      <c r="AN2229" s="5885">
        <f t="shared" si="482"/>
        <v>0</v>
      </c>
      <c r="AO2229" s="5123"/>
      <c r="AP2229" s="3812"/>
      <c r="AQ2229" s="1032"/>
      <c r="AR2229" s="3812"/>
      <c r="AS2229" s="5059"/>
      <c r="AT2229" s="3812"/>
      <c r="AU2229" s="3812"/>
      <c r="AV2229" s="3812"/>
      <c r="AW2229" s="3812"/>
      <c r="AX2229" s="3812"/>
      <c r="AY2229" s="3812"/>
      <c r="AZ2229" s="3812"/>
      <c r="BA2229" s="3812"/>
      <c r="BB2229" s="3812"/>
      <c r="BC2229" s="3812"/>
      <c r="BD2229" s="3812"/>
      <c r="BE2229" s="3812"/>
      <c r="BF2229" s="3812"/>
      <c r="BG2229" s="3812"/>
      <c r="BH2229" s="3812"/>
      <c r="BI2229" s="3812"/>
      <c r="BJ2229" s="3812"/>
      <c r="BK2229" s="3812"/>
      <c r="BL2229" s="3812"/>
      <c r="BM2229" s="3812"/>
      <c r="BN2229" s="5123">
        <v>324600</v>
      </c>
      <c r="BO2229" s="5123"/>
      <c r="BP2229" s="5123"/>
      <c r="BQ2229" s="5123"/>
      <c r="BR2229" s="3812"/>
      <c r="BS2229" s="3812"/>
      <c r="BT2229" s="3812"/>
      <c r="BU2229" s="3812"/>
      <c r="BV2229" s="3812"/>
      <c r="BW2229" s="5123"/>
      <c r="BX2229" s="5123"/>
      <c r="BY2229" s="5123"/>
      <c r="BZ2229" s="5123"/>
      <c r="CA2229" s="5123"/>
      <c r="CB2229" s="5123"/>
      <c r="CC2229" s="3812"/>
      <c r="CD2229" s="3812"/>
      <c r="CE2229" s="5310"/>
      <c r="CF2229" s="5310"/>
      <c r="CG2229" s="5310"/>
      <c r="CH2229" s="5310"/>
    </row>
    <row r="2230" s="4985" customFormat="1" ht="25" customHeight="1" spans="1:86">
      <c r="A2230" s="5201"/>
      <c r="B2230" s="5201"/>
      <c r="C2230" s="5201"/>
      <c r="D2230" s="5708"/>
      <c r="E2230" s="5059"/>
      <c r="F2230" s="5708"/>
      <c r="G2230" s="5708"/>
      <c r="H2230" s="5708"/>
      <c r="I2230" s="5205"/>
      <c r="J2230" s="5708"/>
      <c r="K2230" s="5708"/>
      <c r="L2230" s="5708"/>
      <c r="M2230" s="5201"/>
      <c r="N2230" s="5667"/>
      <c r="O2230" s="5667"/>
      <c r="P2230" s="5667"/>
      <c r="Q2230" s="5735"/>
      <c r="R2230" s="5735"/>
      <c r="S2230" s="5735"/>
      <c r="T2230" s="5735"/>
      <c r="U2230" s="5735"/>
      <c r="V2230" s="5735"/>
      <c r="W2230" s="5667"/>
      <c r="X2230" s="5667"/>
      <c r="Y2230" s="5667"/>
      <c r="Z2230" s="5667"/>
      <c r="AA2230" s="5667"/>
      <c r="AB2230" s="5973"/>
      <c r="AC2230" s="5714" t="s">
        <v>1805</v>
      </c>
      <c r="AD2230" s="5931" t="s">
        <v>1798</v>
      </c>
      <c r="AE2230" s="5714">
        <v>0.2</v>
      </c>
      <c r="AF2230" s="5201">
        <f>1580016*AE2230</f>
        <v>316003.2</v>
      </c>
      <c r="AG2230" s="5201">
        <f>SUM(BA2230:BN2230)</f>
        <v>300939.2</v>
      </c>
      <c r="AH2230" s="5930" t="s">
        <v>122</v>
      </c>
      <c r="AI2230" s="5201">
        <v>45236</v>
      </c>
      <c r="AJ2230" s="5201">
        <v>300939.2</v>
      </c>
      <c r="AK2230" s="5201">
        <v>45236</v>
      </c>
      <c r="AL2230" s="5201">
        <v>300939.2</v>
      </c>
      <c r="AM2230" s="5201">
        <v>45243</v>
      </c>
      <c r="AN2230" s="5201">
        <f t="shared" si="482"/>
        <v>300939.2</v>
      </c>
      <c r="AO2230" s="5201">
        <v>45321</v>
      </c>
      <c r="AP2230" s="5201"/>
      <c r="AQ2230" s="5714" t="s">
        <v>3862</v>
      </c>
      <c r="AR2230" s="5201"/>
      <c r="AS2230" s="5708"/>
      <c r="AT2230" s="5201"/>
      <c r="AU2230" s="3812"/>
      <c r="AV2230" s="3812"/>
      <c r="AW2230" s="3812"/>
      <c r="AX2230" s="3812"/>
      <c r="AY2230" s="3812"/>
      <c r="AZ2230" s="3812"/>
      <c r="BA2230" s="5201"/>
      <c r="BB2230" s="5201"/>
      <c r="BC2230" s="5201"/>
      <c r="BD2230" s="5201"/>
      <c r="BE2230" s="5201"/>
      <c r="BF2230" s="5201"/>
      <c r="BG2230" s="5201"/>
      <c r="BH2230" s="5201"/>
      <c r="BI2230" s="5201"/>
      <c r="BJ2230" s="5201"/>
      <c r="BK2230" s="5201"/>
      <c r="BL2230" s="5201"/>
      <c r="BM2230" s="5201"/>
      <c r="BN2230" s="5201">
        <v>300939.2</v>
      </c>
      <c r="BO2230" s="5734"/>
      <c r="BP2230" s="5734"/>
      <c r="BQ2230" s="5734"/>
      <c r="BR2230" s="5201"/>
      <c r="BS2230" s="5201"/>
      <c r="BT2230" s="5201"/>
      <c r="BU2230" s="5201"/>
      <c r="BV2230" s="5201"/>
      <c r="BW2230" s="5734"/>
      <c r="BX2230" s="5734"/>
      <c r="BY2230" s="5734"/>
      <c r="BZ2230" s="5734"/>
      <c r="CA2230" s="5734"/>
      <c r="CB2230" s="5201">
        <v>300939.2</v>
      </c>
      <c r="CC2230" s="5201"/>
      <c r="CD2230" s="5201"/>
      <c r="CE2230" s="5990"/>
      <c r="CF2230" s="5990"/>
      <c r="CG2230" s="5990"/>
      <c r="CH2230" s="5990"/>
    </row>
    <row r="2231" s="4974" customFormat="1" ht="25" customHeight="1" spans="1:86">
      <c r="A2231" s="3812"/>
      <c r="B2231" s="3812"/>
      <c r="C2231" s="3812"/>
      <c r="D2231" s="5059"/>
      <c r="E2231" s="5059"/>
      <c r="F2231" s="5059"/>
      <c r="G2231" s="5059"/>
      <c r="H2231" s="5059"/>
      <c r="I2231" s="5205"/>
      <c r="J2231" s="5059"/>
      <c r="K2231" s="5059"/>
      <c r="L2231" s="5059"/>
      <c r="M2231" s="3812"/>
      <c r="N2231" s="5667"/>
      <c r="O2231" s="5667"/>
      <c r="P2231" s="5667"/>
      <c r="Q2231" s="5735"/>
      <c r="R2231" s="5735"/>
      <c r="S2231" s="5735"/>
      <c r="T2231" s="5735"/>
      <c r="U2231" s="5735"/>
      <c r="V2231" s="5735"/>
      <c r="W2231" s="5667"/>
      <c r="X2231" s="5667"/>
      <c r="Y2231" s="5667"/>
      <c r="Z2231" s="5667"/>
      <c r="AA2231" s="5667"/>
      <c r="AB2231" s="5973"/>
      <c r="AC2231" s="5073" t="s">
        <v>1806</v>
      </c>
      <c r="AD2231" s="5242" t="s">
        <v>1799</v>
      </c>
      <c r="AE2231" s="5073">
        <v>0.2</v>
      </c>
      <c r="AF2231" s="4840">
        <f>1580016*AE2231</f>
        <v>316003.2</v>
      </c>
      <c r="AG2231" s="4840">
        <f>SUM(BA2231:BN2231)</f>
        <v>300939.2</v>
      </c>
      <c r="AH2231" s="3366" t="s">
        <v>122</v>
      </c>
      <c r="AI2231" s="4840">
        <v>45296</v>
      </c>
      <c r="AJ2231" s="4840">
        <v>300939.2</v>
      </c>
      <c r="AK2231" s="4840">
        <v>45296</v>
      </c>
      <c r="AL2231" s="4840">
        <v>601878.4</v>
      </c>
      <c r="AM2231" s="4840">
        <v>45427</v>
      </c>
      <c r="AN2231" s="4813">
        <f t="shared" si="482"/>
        <v>196378.4</v>
      </c>
      <c r="AO2231" s="4813">
        <v>45744</v>
      </c>
      <c r="AP2231" s="3812"/>
      <c r="AQ2231" s="6765" t="s">
        <v>3875</v>
      </c>
      <c r="AR2231" s="3812"/>
      <c r="AS2231" s="1032"/>
      <c r="AT2231" s="3812"/>
      <c r="AU2231" s="3812"/>
      <c r="AV2231" s="3812"/>
      <c r="AW2231" s="3812"/>
      <c r="AX2231" s="3812"/>
      <c r="AY2231" s="3812"/>
      <c r="AZ2231" s="3812"/>
      <c r="BA2231" s="3812"/>
      <c r="BB2231" s="3812"/>
      <c r="BC2231" s="3812"/>
      <c r="BD2231" s="3812"/>
      <c r="BE2231" s="3812"/>
      <c r="BF2231" s="3812"/>
      <c r="BG2231" s="3812"/>
      <c r="BH2231" s="3812"/>
      <c r="BI2231" s="3812"/>
      <c r="BJ2231" s="3812"/>
      <c r="BK2231" s="3812"/>
      <c r="BL2231" s="3812"/>
      <c r="BM2231" s="4840"/>
      <c r="BN2231" s="4840">
        <v>300939.2</v>
      </c>
      <c r="BO2231" s="5123"/>
      <c r="BP2231" s="5123"/>
      <c r="BQ2231" s="5123"/>
      <c r="BR2231" s="3812"/>
      <c r="BS2231" s="3812"/>
      <c r="BT2231" s="3812"/>
      <c r="BU2231" s="3812"/>
      <c r="BV2231" s="3812"/>
      <c r="BW2231" s="5123"/>
      <c r="BX2231" s="5123"/>
      <c r="BY2231" s="5123"/>
      <c r="BZ2231" s="5123"/>
      <c r="CA2231" s="5123"/>
      <c r="CB2231" s="3812">
        <v>196378.4</v>
      </c>
      <c r="CC2231" s="3812"/>
      <c r="CD2231" s="3812"/>
      <c r="CE2231" s="5310"/>
      <c r="CF2231" s="5310"/>
      <c r="CG2231" s="5310"/>
      <c r="CH2231" s="5310"/>
    </row>
    <row r="2232" s="4974" customFormat="1" ht="25" customHeight="1" spans="1:86">
      <c r="A2232" s="3812"/>
      <c r="B2232" s="3812"/>
      <c r="C2232" s="3812"/>
      <c r="D2232" s="5059"/>
      <c r="E2232" s="5059"/>
      <c r="F2232" s="5059"/>
      <c r="G2232" s="5059"/>
      <c r="H2232" s="5059"/>
      <c r="I2232" s="5205"/>
      <c r="J2232" s="5059"/>
      <c r="K2232" s="5059"/>
      <c r="L2232" s="5059"/>
      <c r="M2232" s="3812"/>
      <c r="N2232" s="5667"/>
      <c r="O2232" s="5667"/>
      <c r="P2232" s="5667"/>
      <c r="Q2232" s="5735"/>
      <c r="R2232" s="5735"/>
      <c r="S2232" s="5735"/>
      <c r="T2232" s="5735"/>
      <c r="U2232" s="5735"/>
      <c r="V2232" s="5735"/>
      <c r="W2232" s="5667"/>
      <c r="X2232" s="5667"/>
      <c r="Y2232" s="5667"/>
      <c r="Z2232" s="5667"/>
      <c r="AA2232" s="5667"/>
      <c r="AB2232" s="5973"/>
      <c r="AC2232" s="5206"/>
      <c r="AD2232" s="5942"/>
      <c r="AE2232" s="5206"/>
      <c r="AF2232" s="4842"/>
      <c r="AG2232" s="4842"/>
      <c r="AH2232" s="3409"/>
      <c r="AI2232" s="4842"/>
      <c r="AJ2232" s="4842"/>
      <c r="AK2232" s="4842"/>
      <c r="AL2232" s="4841"/>
      <c r="AM2232" s="4841"/>
      <c r="AN2232" s="4813">
        <f t="shared" si="482"/>
        <v>104560.8</v>
      </c>
      <c r="AO2232" s="4813">
        <v>45867</v>
      </c>
      <c r="AP2232" s="3812"/>
      <c r="AQ2232" s="6767"/>
      <c r="AR2232" s="3812"/>
      <c r="AS2232" s="5059"/>
      <c r="AT2232" s="3812"/>
      <c r="AU2232" s="3812"/>
      <c r="AV2232" s="3812"/>
      <c r="AW2232" s="3812"/>
      <c r="AX2232" s="3812"/>
      <c r="AY2232" s="3812"/>
      <c r="AZ2232" s="3812"/>
      <c r="BA2232" s="3812"/>
      <c r="BB2232" s="3812"/>
      <c r="BC2232" s="3812"/>
      <c r="BD2232" s="3812"/>
      <c r="BE2232" s="3812"/>
      <c r="BF2232" s="3812"/>
      <c r="BG2232" s="3812"/>
      <c r="BH2232" s="3812"/>
      <c r="BI2232" s="3812"/>
      <c r="BJ2232" s="3812"/>
      <c r="BK2232" s="3812"/>
      <c r="BL2232" s="3812"/>
      <c r="BM2232" s="4842"/>
      <c r="BN2232" s="4842"/>
      <c r="BO2232" s="5123"/>
      <c r="BP2232" s="5123"/>
      <c r="BQ2232" s="5123"/>
      <c r="BR2232" s="3812"/>
      <c r="BS2232" s="3812"/>
      <c r="BT2232" s="3812"/>
      <c r="BU2232" s="3812"/>
      <c r="BV2232" s="3812"/>
      <c r="BW2232" s="5123"/>
      <c r="BX2232" s="5123"/>
      <c r="BY2232" s="5123"/>
      <c r="BZ2232" s="5123"/>
      <c r="CA2232" s="5123"/>
      <c r="CB2232" s="3812">
        <f>300939.2-CB2231</f>
        <v>104560.8</v>
      </c>
      <c r="CC2232" s="3812"/>
      <c r="CD2232" s="3812"/>
      <c r="CE2232" s="5310"/>
      <c r="CF2232" s="5310"/>
      <c r="CG2232" s="5310"/>
      <c r="CH2232" s="5310"/>
    </row>
    <row r="2233" s="4974" customFormat="1" ht="25" customHeight="1" spans="1:86">
      <c r="A2233" s="3812"/>
      <c r="B2233" s="3812"/>
      <c r="C2233" s="3812"/>
      <c r="D2233" s="5059"/>
      <c r="E2233" s="5059"/>
      <c r="F2233" s="5059"/>
      <c r="G2233" s="5059"/>
      <c r="H2233" s="5059"/>
      <c r="I2233" s="5205"/>
      <c r="J2233" s="5059"/>
      <c r="K2233" s="5059"/>
      <c r="L2233" s="5059"/>
      <c r="M2233" s="3812"/>
      <c r="N2233" s="5667"/>
      <c r="O2233" s="5667"/>
      <c r="P2233" s="5667"/>
      <c r="Q2233" s="5735"/>
      <c r="R2233" s="5735"/>
      <c r="S2233" s="5735"/>
      <c r="T2233" s="5735"/>
      <c r="U2233" s="5735"/>
      <c r="V2233" s="5735"/>
      <c r="W2233" s="5667"/>
      <c r="X2233" s="5667"/>
      <c r="Y2233" s="5667"/>
      <c r="Z2233" s="5667"/>
      <c r="AA2233" s="5667"/>
      <c r="AB2233" s="5973"/>
      <c r="AC2233" s="5073" t="s">
        <v>1807</v>
      </c>
      <c r="AD2233" s="5242" t="s">
        <v>1801</v>
      </c>
      <c r="AE2233" s="5073">
        <v>0.2</v>
      </c>
      <c r="AF2233" s="4840">
        <f>1580016*AE2233</f>
        <v>316003.2</v>
      </c>
      <c r="AG2233" s="4840">
        <f>SUM(BA2233:BN2233)</f>
        <v>300939.2</v>
      </c>
      <c r="AH2233" s="3366" t="s">
        <v>122</v>
      </c>
      <c r="AI2233" s="4840">
        <v>45418</v>
      </c>
      <c r="AJ2233" s="4840">
        <v>300939.2</v>
      </c>
      <c r="AK2233" s="4840">
        <v>45418</v>
      </c>
      <c r="AL2233" s="4841"/>
      <c r="AM2233" s="4841"/>
      <c r="AN2233" s="4813">
        <f t="shared" si="482"/>
        <v>100879.2</v>
      </c>
      <c r="AO2233" s="4813">
        <v>45867</v>
      </c>
      <c r="AP2233" s="3812"/>
      <c r="AQ2233" s="6766"/>
      <c r="AR2233" s="3812"/>
      <c r="AS2233" s="5059"/>
      <c r="AT2233" s="3812"/>
      <c r="AU2233" s="3812"/>
      <c r="AV2233" s="3812"/>
      <c r="AW2233" s="3812"/>
      <c r="AX2233" s="3812"/>
      <c r="AY2233" s="3812"/>
      <c r="AZ2233" s="3812"/>
      <c r="BA2233" s="3812"/>
      <c r="BB2233" s="3812"/>
      <c r="BC2233" s="3812"/>
      <c r="BD2233" s="3812"/>
      <c r="BE2233" s="3812"/>
      <c r="BF2233" s="3812"/>
      <c r="BG2233" s="3812"/>
      <c r="BH2233" s="3812"/>
      <c r="BI2233" s="3812"/>
      <c r="BJ2233" s="3812"/>
      <c r="BK2233" s="3812"/>
      <c r="BL2233" s="3812"/>
      <c r="BM2233" s="4840"/>
      <c r="BN2233" s="4840">
        <v>300939.2</v>
      </c>
      <c r="BO2233" s="5123"/>
      <c r="BP2233" s="5123"/>
      <c r="BQ2233" s="5123"/>
      <c r="BR2233" s="3812"/>
      <c r="BS2233" s="3812"/>
      <c r="BT2233" s="3812"/>
      <c r="BU2233" s="3812"/>
      <c r="BV2233" s="3812"/>
      <c r="BW2233" s="5123"/>
      <c r="BX2233" s="5123"/>
      <c r="BY2233" s="5123"/>
      <c r="BZ2233" s="5123"/>
      <c r="CA2233" s="5123"/>
      <c r="CB2233" s="5123">
        <v>100879.2</v>
      </c>
      <c r="CC2233" s="3812"/>
      <c r="CD2233" s="3812"/>
      <c r="CE2233" s="5310"/>
      <c r="CF2233" s="5310"/>
      <c r="CG2233" s="5310"/>
      <c r="CH2233" s="5310"/>
    </row>
    <row r="2234" s="4974" customFormat="1" ht="25" customHeight="1" spans="1:86">
      <c r="A2234" s="2678"/>
      <c r="B2234" s="3812"/>
      <c r="C2234" s="3812"/>
      <c r="D2234" s="5059"/>
      <c r="E2234" s="5059"/>
      <c r="F2234" s="5059"/>
      <c r="G2234" s="5059"/>
      <c r="H2234" s="5059"/>
      <c r="I2234" s="5205"/>
      <c r="J2234" s="5059"/>
      <c r="K2234" s="5059"/>
      <c r="L2234" s="5059"/>
      <c r="M2234" s="3812"/>
      <c r="N2234" s="5667"/>
      <c r="O2234" s="5667"/>
      <c r="P2234" s="5667"/>
      <c r="Q2234" s="5735"/>
      <c r="R2234" s="5735"/>
      <c r="S2234" s="5735"/>
      <c r="T2234" s="5735"/>
      <c r="U2234" s="5735"/>
      <c r="V2234" s="5735"/>
      <c r="W2234" s="5667"/>
      <c r="X2234" s="5667"/>
      <c r="Y2234" s="5667"/>
      <c r="Z2234" s="5667"/>
      <c r="AA2234" s="5667"/>
      <c r="AB2234" s="5973"/>
      <c r="AC2234" s="5205"/>
      <c r="AD2234" s="5977"/>
      <c r="AE2234" s="5205"/>
      <c r="AF2234" s="4841"/>
      <c r="AG2234" s="4842"/>
      <c r="AH2234" s="3409"/>
      <c r="AI2234" s="4842"/>
      <c r="AJ2234" s="4842"/>
      <c r="AK2234" s="4841"/>
      <c r="AL2234" s="4842"/>
      <c r="AM2234" s="4842"/>
      <c r="AN2234" s="4813">
        <f t="shared" si="482"/>
        <v>200060</v>
      </c>
      <c r="AO2234" s="4813">
        <v>46001</v>
      </c>
      <c r="AP2234" s="3812"/>
      <c r="AQ2234" s="5206">
        <v>-75320</v>
      </c>
      <c r="AR2234" s="3812"/>
      <c r="AS2234" s="5059"/>
      <c r="AT2234" s="3812"/>
      <c r="AU2234" s="3812"/>
      <c r="AV2234" s="3812"/>
      <c r="AW2234" s="3812"/>
      <c r="AX2234" s="3812"/>
      <c r="AY2234" s="3812"/>
      <c r="AZ2234" s="3812"/>
      <c r="BA2234" s="3812"/>
      <c r="BB2234" s="3812"/>
      <c r="BC2234" s="3812"/>
      <c r="BD2234" s="3812"/>
      <c r="BE2234" s="3812"/>
      <c r="BF2234" s="3812"/>
      <c r="BG2234" s="3812"/>
      <c r="BH2234" s="3812"/>
      <c r="BI2234" s="3812"/>
      <c r="BJ2234" s="3812"/>
      <c r="BK2234" s="3812"/>
      <c r="BL2234" s="3812"/>
      <c r="BM2234" s="4842"/>
      <c r="BN2234" s="4842"/>
      <c r="BO2234" s="5123"/>
      <c r="BP2234" s="5123"/>
      <c r="BQ2234" s="5123"/>
      <c r="BR2234" s="3812"/>
      <c r="BS2234" s="3812"/>
      <c r="BT2234" s="3812"/>
      <c r="BU2234" s="3812"/>
      <c r="BV2234" s="3812"/>
      <c r="BW2234" s="5123"/>
      <c r="BX2234" s="5123"/>
      <c r="BY2234" s="5123"/>
      <c r="BZ2234" s="5123"/>
      <c r="CA2234" s="5123"/>
      <c r="CB2234" s="5123">
        <v>200060</v>
      </c>
      <c r="CC2234" s="3812"/>
      <c r="CD2234" s="3812"/>
      <c r="CE2234" s="5310"/>
      <c r="CF2234" s="5310"/>
      <c r="CG2234" s="5310"/>
      <c r="CH2234" s="5310"/>
    </row>
    <row r="2235" s="4974" customFormat="1" ht="25" customHeight="1" spans="1:86">
      <c r="A2235" s="2678"/>
      <c r="B2235" s="3812"/>
      <c r="C2235" s="3812"/>
      <c r="D2235" s="5059"/>
      <c r="E2235" s="5059"/>
      <c r="F2235" s="5059"/>
      <c r="G2235" s="5059"/>
      <c r="H2235" s="5059"/>
      <c r="I2235" s="5205"/>
      <c r="J2235" s="5059"/>
      <c r="K2235" s="5059"/>
      <c r="L2235" s="5059"/>
      <c r="M2235" s="3812"/>
      <c r="N2235" s="5667"/>
      <c r="O2235" s="5667"/>
      <c r="P2235" s="5667"/>
      <c r="Q2235" s="5735"/>
      <c r="R2235" s="5735"/>
      <c r="S2235" s="5735"/>
      <c r="T2235" s="5735"/>
      <c r="U2235" s="5735"/>
      <c r="V2235" s="5735"/>
      <c r="W2235" s="5667"/>
      <c r="X2235" s="5667"/>
      <c r="Y2235" s="5667"/>
      <c r="Z2235" s="5667"/>
      <c r="AA2235" s="5667"/>
      <c r="AB2235" s="5973"/>
      <c r="AC2235" s="5073" t="s">
        <v>1808</v>
      </c>
      <c r="AD2235" s="5242" t="s">
        <v>1803</v>
      </c>
      <c r="AE2235" s="5073">
        <v>0.2</v>
      </c>
      <c r="AF2235" s="4840">
        <f>1580016*AE2235</f>
        <v>316003.2</v>
      </c>
      <c r="AG2235" s="4813">
        <f>SUM(BA2235:BN2235)</f>
        <v>300939.2</v>
      </c>
      <c r="AH2235" s="857" t="s">
        <v>122</v>
      </c>
      <c r="AI2235" s="3812">
        <v>45513</v>
      </c>
      <c r="AJ2235" s="3812">
        <v>300939.2</v>
      </c>
      <c r="AK2235" s="4840">
        <v>45513</v>
      </c>
      <c r="AL2235" s="4840">
        <v>300939.2</v>
      </c>
      <c r="AM2235" s="4840">
        <v>45513</v>
      </c>
      <c r="AN2235" s="5349">
        <f t="shared" si="482"/>
        <v>300939.2</v>
      </c>
      <c r="AO2235" s="3812">
        <v>45533</v>
      </c>
      <c r="AP2235" s="3812"/>
      <c r="AQ2235" s="1032" t="s">
        <v>3873</v>
      </c>
      <c r="AR2235" s="3812"/>
      <c r="AS2235" s="5059"/>
      <c r="AT2235" s="3812"/>
      <c r="AU2235" s="3812"/>
      <c r="AV2235" s="3812"/>
      <c r="AW2235" s="3812"/>
      <c r="AX2235" s="3812"/>
      <c r="AY2235" s="3812"/>
      <c r="AZ2235" s="3812"/>
      <c r="BA2235" s="3812"/>
      <c r="BB2235" s="3812"/>
      <c r="BC2235" s="3812"/>
      <c r="BD2235" s="3812"/>
      <c r="BE2235" s="3812"/>
      <c r="BF2235" s="3812"/>
      <c r="BG2235" s="3812"/>
      <c r="BH2235" s="3812"/>
      <c r="BI2235" s="3812"/>
      <c r="BJ2235" s="3812"/>
      <c r="BK2235" s="3812"/>
      <c r="BL2235" s="3812"/>
      <c r="BM2235" s="3812"/>
      <c r="BN2235" s="3812">
        <v>300939.2</v>
      </c>
      <c r="BO2235" s="5123"/>
      <c r="BP2235" s="5123"/>
      <c r="BQ2235" s="5123"/>
      <c r="BR2235" s="3812"/>
      <c r="BS2235" s="3812"/>
      <c r="BT2235" s="3812"/>
      <c r="BU2235" s="3812"/>
      <c r="BV2235" s="3812"/>
      <c r="BW2235" s="5123"/>
      <c r="BX2235" s="5123"/>
      <c r="BY2235" s="5123"/>
      <c r="BZ2235" s="5123"/>
      <c r="CA2235" s="5123"/>
      <c r="CB2235" s="4813">
        <v>300939.2</v>
      </c>
      <c r="CC2235" s="3812"/>
      <c r="CD2235" s="3812"/>
      <c r="CE2235" s="5310"/>
      <c r="CF2235" s="5310"/>
      <c r="CG2235" s="5310"/>
      <c r="CH2235" s="5310"/>
    </row>
    <row r="2236" s="4974" customFormat="1" ht="25" customHeight="1" spans="1:86">
      <c r="A2236" s="2678"/>
      <c r="B2236" s="3812"/>
      <c r="C2236" s="3812"/>
      <c r="D2236" s="5059"/>
      <c r="E2236" s="5059"/>
      <c r="F2236" s="5059"/>
      <c r="G2236" s="5059"/>
      <c r="H2236" s="5059"/>
      <c r="I2236" s="5206"/>
      <c r="J2236" s="5059"/>
      <c r="K2236" s="5059"/>
      <c r="L2236" s="5059"/>
      <c r="M2236" s="3812"/>
      <c r="N2236" s="5667"/>
      <c r="O2236" s="5667"/>
      <c r="P2236" s="5667"/>
      <c r="Q2236" s="5735"/>
      <c r="R2236" s="5735"/>
      <c r="S2236" s="5735"/>
      <c r="T2236" s="5735"/>
      <c r="U2236" s="5735"/>
      <c r="V2236" s="5735"/>
      <c r="W2236" s="5667"/>
      <c r="X2236" s="5667"/>
      <c r="Y2236" s="5667"/>
      <c r="Z2236" s="5667"/>
      <c r="AA2236" s="5667"/>
      <c r="AB2236" s="5973"/>
      <c r="AC2236" s="1032" t="s">
        <v>1809</v>
      </c>
      <c r="AD2236" s="5241" t="s">
        <v>1804</v>
      </c>
      <c r="AE2236" s="1032">
        <v>0.2</v>
      </c>
      <c r="AF2236" s="3812">
        <f>1580016*AE2236</f>
        <v>316003.2</v>
      </c>
      <c r="AG2236" s="5123">
        <f t="shared" ref="AG2236:AG2248" si="485">SUM(BA2236:BN2236)</f>
        <v>0</v>
      </c>
      <c r="AH2236" s="857"/>
      <c r="AI2236" s="3812"/>
      <c r="AJ2236" s="3812"/>
      <c r="AK2236" s="3812"/>
      <c r="AL2236" s="3812"/>
      <c r="AM2236" s="3812"/>
      <c r="AN2236" s="5885">
        <f t="shared" ref="AN2236:AN2251" si="486">SUM(BO2236:CB2236)</f>
        <v>0</v>
      </c>
      <c r="AO2236" s="5123"/>
      <c r="AP2236" s="3812"/>
      <c r="AQ2236" s="1032"/>
      <c r="AR2236" s="3812"/>
      <c r="AS2236" s="5059"/>
      <c r="AT2236" s="3812"/>
      <c r="AU2236" s="3812"/>
      <c r="AV2236" s="3812"/>
      <c r="AW2236" s="3812"/>
      <c r="AX2236" s="3812"/>
      <c r="AY2236" s="3812"/>
      <c r="AZ2236" s="3812"/>
      <c r="BA2236" s="3812"/>
      <c r="BB2236" s="3812"/>
      <c r="BC2236" s="3812"/>
      <c r="BD2236" s="3812"/>
      <c r="BE2236" s="3812"/>
      <c r="BF2236" s="3812"/>
      <c r="BG2236" s="3812"/>
      <c r="BH2236" s="3812"/>
      <c r="BI2236" s="3812"/>
      <c r="BJ2236" s="3812"/>
      <c r="BK2236" s="3812"/>
      <c r="BL2236" s="3812"/>
      <c r="BM2236" s="3812"/>
      <c r="BN2236" s="3812"/>
      <c r="BO2236" s="5123"/>
      <c r="BP2236" s="5123"/>
      <c r="BQ2236" s="5123"/>
      <c r="BR2236" s="5123"/>
      <c r="BS2236" s="5123"/>
      <c r="BT2236" s="5123"/>
      <c r="BU2236" s="5123"/>
      <c r="BV2236" s="5123"/>
      <c r="BW2236" s="5123"/>
      <c r="BX2236" s="5123"/>
      <c r="BY2236" s="5123"/>
      <c r="BZ2236" s="5123"/>
      <c r="CA2236" s="5123"/>
      <c r="CB2236" s="5123"/>
      <c r="CC2236" s="3812"/>
      <c r="CD2236" s="3812"/>
      <c r="CE2236" s="5310"/>
      <c r="CF2236" s="5310"/>
      <c r="CG2236" s="5310"/>
      <c r="CH2236" s="5310"/>
    </row>
    <row r="2237" s="4978" customFormat="1" ht="40" customHeight="1" spans="1:86">
      <c r="A2237" s="2678">
        <v>47</v>
      </c>
      <c r="B2237" s="2678" t="s">
        <v>3079</v>
      </c>
      <c r="C2237" s="2678">
        <v>45425</v>
      </c>
      <c r="D2237" s="1035" t="s">
        <v>3856</v>
      </c>
      <c r="E2237" s="1035"/>
      <c r="F2237" s="1035" t="s">
        <v>3876</v>
      </c>
      <c r="G2237" s="1035" t="s">
        <v>3877</v>
      </c>
      <c r="H2237" s="859" t="s">
        <v>813</v>
      </c>
      <c r="I2237" s="5050" t="s">
        <v>3878</v>
      </c>
      <c r="J2237" s="1035" t="s">
        <v>3860</v>
      </c>
      <c r="K2237" s="5667">
        <v>98.5</v>
      </c>
      <c r="L2237" s="1035">
        <v>1200</v>
      </c>
      <c r="M2237" s="5733">
        <f>SUM(N2237:AA2241)</f>
        <v>118200</v>
      </c>
      <c r="N2237" s="2678">
        <v>0</v>
      </c>
      <c r="O2237" s="2678">
        <v>0</v>
      </c>
      <c r="P2237" s="2678">
        <v>0</v>
      </c>
      <c r="Q2237" s="2678">
        <v>0</v>
      </c>
      <c r="R2237" s="2678">
        <v>0</v>
      </c>
      <c r="S2237" s="2678">
        <v>0</v>
      </c>
      <c r="T2237" s="5823">
        <v>0</v>
      </c>
      <c r="U2237" s="2678">
        <v>0</v>
      </c>
      <c r="V2237" s="2678">
        <v>0</v>
      </c>
      <c r="W2237" s="2678">
        <v>0</v>
      </c>
      <c r="X2237" s="2678">
        <v>0</v>
      </c>
      <c r="Y2237" s="2678">
        <v>0</v>
      </c>
      <c r="Z2237" s="2678"/>
      <c r="AA2237" s="2678">
        <v>118200</v>
      </c>
      <c r="AB2237" s="5667" t="s">
        <v>171</v>
      </c>
      <c r="AC2237" s="1032" t="s">
        <v>3879</v>
      </c>
      <c r="AD2237" s="5685" t="s">
        <v>1798</v>
      </c>
      <c r="AE2237" s="1032">
        <v>0.2</v>
      </c>
      <c r="AF2237" s="3812">
        <f>M2237*AE2237</f>
        <v>23640</v>
      </c>
      <c r="AG2237" s="6030">
        <f t="shared" si="485"/>
        <v>23640</v>
      </c>
      <c r="AH2237" s="1015" t="s">
        <v>122</v>
      </c>
      <c r="AI2237" s="4813">
        <v>45513</v>
      </c>
      <c r="AJ2237" s="5248">
        <v>94560</v>
      </c>
      <c r="AK2237" s="5248">
        <v>45513</v>
      </c>
      <c r="AL2237" s="5248">
        <v>94560</v>
      </c>
      <c r="AM2237" s="7077">
        <v>45513</v>
      </c>
      <c r="AN2237" s="7078">
        <f t="shared" si="486"/>
        <v>94560</v>
      </c>
      <c r="AO2237" s="7077">
        <v>45867</v>
      </c>
      <c r="AP2237" s="3812">
        <f>AG2237-AL2237</f>
        <v>-70920</v>
      </c>
      <c r="AQ2237" s="857"/>
      <c r="AR2237" s="3812"/>
      <c r="AS2237" s="5059"/>
      <c r="AT2237" s="3812"/>
      <c r="AU2237" s="2678">
        <f>SUM(AG2237:AG2241)</f>
        <v>118200</v>
      </c>
      <c r="AV2237" s="2678">
        <f>SUM(AL2237:AL2241)</f>
        <v>94560</v>
      </c>
      <c r="AW2237" s="2678">
        <f>SUM(AN2237:AN2241)</f>
        <v>118200</v>
      </c>
      <c r="AX2237" s="2678">
        <f>M2237-AU2237</f>
        <v>0</v>
      </c>
      <c r="AY2237" s="2678">
        <f>AU2237-AV2237</f>
        <v>23640</v>
      </c>
      <c r="AZ2237" s="2678">
        <f>AV2237-AW2237</f>
        <v>-23640</v>
      </c>
      <c r="BA2237" s="2678"/>
      <c r="BB2237" s="2678"/>
      <c r="BC2237" s="2678"/>
      <c r="BD2237" s="2678"/>
      <c r="BE2237" s="2678"/>
      <c r="BF2237" s="2678"/>
      <c r="BG2237" s="2678"/>
      <c r="BH2237" s="3812"/>
      <c r="BI2237" s="2678"/>
      <c r="BJ2237" s="2678"/>
      <c r="BK2237" s="2678"/>
      <c r="BL2237" s="2678"/>
      <c r="BM2237" s="2678"/>
      <c r="BN2237" s="2678">
        <v>23640</v>
      </c>
      <c r="BO2237" s="2678"/>
      <c r="BP2237" s="2678"/>
      <c r="BQ2237" s="2678"/>
      <c r="BR2237" s="2678"/>
      <c r="BS2237" s="2678"/>
      <c r="BT2237" s="2678"/>
      <c r="BU2237" s="2678"/>
      <c r="BV2237" s="3812"/>
      <c r="BW2237" s="2678"/>
      <c r="BX2237" s="2678"/>
      <c r="BY2237" s="2678"/>
      <c r="BZ2237" s="2678"/>
      <c r="CA2237" s="3912"/>
      <c r="CB2237" s="7085">
        <v>94560</v>
      </c>
      <c r="CC2237" s="2680" t="s">
        <v>1112</v>
      </c>
      <c r="CD2237" s="2680" t="s">
        <v>154</v>
      </c>
      <c r="CE2237" s="5750"/>
      <c r="CF2237" s="5750"/>
      <c r="CG2237" s="5750"/>
      <c r="CH2237" s="5750"/>
    </row>
    <row r="2238" s="4978" customFormat="1" ht="40" customHeight="1" spans="1:86">
      <c r="A2238" s="2678"/>
      <c r="B2238" s="2678"/>
      <c r="C2238" s="2678"/>
      <c r="D2238" s="5667"/>
      <c r="E2238" s="5667"/>
      <c r="F2238" s="5667"/>
      <c r="G2238" s="5667"/>
      <c r="H2238" s="2678"/>
      <c r="I2238" s="6040"/>
      <c r="J2238" s="5667"/>
      <c r="K2238" s="5667"/>
      <c r="L2238" s="5667"/>
      <c r="M2238" s="5733"/>
      <c r="N2238" s="2678"/>
      <c r="O2238" s="2678"/>
      <c r="P2238" s="2678"/>
      <c r="Q2238" s="2678"/>
      <c r="R2238" s="2678"/>
      <c r="S2238" s="2678"/>
      <c r="T2238" s="2678"/>
      <c r="U2238" s="2678"/>
      <c r="V2238" s="2678"/>
      <c r="W2238" s="2678"/>
      <c r="X2238" s="2678"/>
      <c r="Y2238" s="2678"/>
      <c r="Z2238" s="2678"/>
      <c r="AA2238" s="2678"/>
      <c r="AB2238" s="5667"/>
      <c r="AC2238" s="1032" t="s">
        <v>3879</v>
      </c>
      <c r="AD2238" s="5685" t="s">
        <v>1799</v>
      </c>
      <c r="AE2238" s="1035">
        <v>0.2</v>
      </c>
      <c r="AF2238" s="3812">
        <f>M2237*AE2238</f>
        <v>23640</v>
      </c>
      <c r="AG2238" s="6030">
        <f t="shared" si="485"/>
        <v>23640</v>
      </c>
      <c r="AH2238" s="1015" t="s">
        <v>122</v>
      </c>
      <c r="AI2238" s="4813">
        <v>45513</v>
      </c>
      <c r="AJ2238" s="5978"/>
      <c r="AK2238" s="5978"/>
      <c r="AL2238" s="5978"/>
      <c r="AM2238" s="7079"/>
      <c r="AN2238" s="7080"/>
      <c r="AO2238" s="7079"/>
      <c r="AP2238" s="3812">
        <f>AG2238-AL2238</f>
        <v>23640</v>
      </c>
      <c r="AQ2238" s="857"/>
      <c r="AR2238" s="1032"/>
      <c r="AS2238" s="5059"/>
      <c r="AT2238" s="2678"/>
      <c r="AU2238" s="2678"/>
      <c r="AV2238" s="2678"/>
      <c r="AW2238" s="2678"/>
      <c r="AX2238" s="2678"/>
      <c r="AY2238" s="2678"/>
      <c r="AZ2238" s="2678"/>
      <c r="BA2238" s="2678"/>
      <c r="BB2238" s="2678"/>
      <c r="BC2238" s="2678"/>
      <c r="BD2238" s="2678"/>
      <c r="BE2238" s="2678"/>
      <c r="BF2238" s="2678"/>
      <c r="BG2238" s="2678"/>
      <c r="BH2238" s="5349"/>
      <c r="BI2238" s="2678"/>
      <c r="BJ2238" s="2678"/>
      <c r="BK2238" s="2678"/>
      <c r="BL2238" s="2678"/>
      <c r="BM2238" s="2678"/>
      <c r="BN2238" s="2678">
        <v>23640</v>
      </c>
      <c r="BO2238" s="2678"/>
      <c r="BP2238" s="2678"/>
      <c r="BQ2238" s="2678"/>
      <c r="BR2238" s="2678"/>
      <c r="BS2238" s="2678"/>
      <c r="BT2238" s="2678"/>
      <c r="BU2238" s="2678"/>
      <c r="BV2238" s="5349"/>
      <c r="BW2238" s="2678"/>
      <c r="BX2238" s="2678"/>
      <c r="BY2238" s="2678"/>
      <c r="BZ2238" s="2678"/>
      <c r="CA2238" s="3913"/>
      <c r="CB2238" s="7086"/>
      <c r="CC2238" s="2680"/>
      <c r="CD2238" s="2680"/>
      <c r="CE2238" s="5750"/>
      <c r="CF2238" s="5750"/>
      <c r="CG2238" s="5750"/>
      <c r="CH2238" s="5750"/>
    </row>
    <row r="2239" s="4978" customFormat="1" ht="40" customHeight="1" spans="1:86">
      <c r="A2239" s="2678"/>
      <c r="B2239" s="2678"/>
      <c r="C2239" s="2678"/>
      <c r="D2239" s="5667"/>
      <c r="E2239" s="5667"/>
      <c r="F2239" s="5667"/>
      <c r="G2239" s="5667"/>
      <c r="H2239" s="2678"/>
      <c r="I2239" s="6040"/>
      <c r="J2239" s="5667"/>
      <c r="K2239" s="5667"/>
      <c r="L2239" s="5667"/>
      <c r="M2239" s="5733"/>
      <c r="N2239" s="2678"/>
      <c r="O2239" s="2678"/>
      <c r="P2239" s="2678"/>
      <c r="Q2239" s="2678"/>
      <c r="R2239" s="2678"/>
      <c r="S2239" s="2678"/>
      <c r="T2239" s="2678"/>
      <c r="U2239" s="2678"/>
      <c r="V2239" s="2678"/>
      <c r="W2239" s="2678"/>
      <c r="X2239" s="2678"/>
      <c r="Y2239" s="2678"/>
      <c r="Z2239" s="2678"/>
      <c r="AA2239" s="2678"/>
      <c r="AB2239" s="5667"/>
      <c r="AC2239" s="1032" t="s">
        <v>3879</v>
      </c>
      <c r="AD2239" s="5685" t="s">
        <v>1801</v>
      </c>
      <c r="AE2239" s="1035">
        <v>0.2</v>
      </c>
      <c r="AF2239" s="3812">
        <f>M2237*AE2239</f>
        <v>23640</v>
      </c>
      <c r="AG2239" s="6030">
        <f t="shared" si="485"/>
        <v>23640</v>
      </c>
      <c r="AH2239" s="1015" t="s">
        <v>122</v>
      </c>
      <c r="AI2239" s="4813">
        <v>45513</v>
      </c>
      <c r="AJ2239" s="5978"/>
      <c r="AK2239" s="5978"/>
      <c r="AL2239" s="5978"/>
      <c r="AM2239" s="7079"/>
      <c r="AN2239" s="7080"/>
      <c r="AO2239" s="7079"/>
      <c r="AP2239" s="3812">
        <f>AG2239-AL2239</f>
        <v>23640</v>
      </c>
      <c r="AQ2239" s="857"/>
      <c r="AR2239" s="1032"/>
      <c r="AS2239" s="5059"/>
      <c r="AT2239" s="2678"/>
      <c r="AU2239" s="2678"/>
      <c r="AV2239" s="2678"/>
      <c r="AW2239" s="2678"/>
      <c r="AX2239" s="2678"/>
      <c r="AY2239" s="2678"/>
      <c r="AZ2239" s="2678"/>
      <c r="BA2239" s="2678"/>
      <c r="BB2239" s="2678"/>
      <c r="BC2239" s="2678"/>
      <c r="BD2239" s="2678"/>
      <c r="BE2239" s="2678"/>
      <c r="BF2239" s="2678"/>
      <c r="BG2239" s="2678"/>
      <c r="BH2239" s="5349"/>
      <c r="BI2239" s="2678"/>
      <c r="BJ2239" s="2678"/>
      <c r="BK2239" s="2678"/>
      <c r="BL2239" s="2678"/>
      <c r="BM2239" s="2678"/>
      <c r="BN2239" s="2678">
        <v>23640</v>
      </c>
      <c r="BO2239" s="2678"/>
      <c r="BP2239" s="2678"/>
      <c r="BQ2239" s="2678"/>
      <c r="BR2239" s="2678"/>
      <c r="BS2239" s="2678"/>
      <c r="BT2239" s="2678"/>
      <c r="BU2239" s="2678"/>
      <c r="BV2239" s="5349"/>
      <c r="BW2239" s="2678"/>
      <c r="BX2239" s="2678"/>
      <c r="BY2239" s="2678"/>
      <c r="BZ2239" s="2678"/>
      <c r="CA2239" s="3913"/>
      <c r="CB2239" s="7086"/>
      <c r="CC2239" s="2680"/>
      <c r="CD2239" s="2680"/>
      <c r="CE2239" s="5750"/>
      <c r="CF2239" s="5750"/>
      <c r="CG2239" s="5750"/>
      <c r="CH2239" s="5750"/>
    </row>
    <row r="2240" s="4978" customFormat="1" ht="40" customHeight="1" spans="1:86">
      <c r="A2240" s="2678"/>
      <c r="B2240" s="2678"/>
      <c r="C2240" s="2678"/>
      <c r="D2240" s="5667"/>
      <c r="E2240" s="5667"/>
      <c r="F2240" s="5667"/>
      <c r="G2240" s="5667"/>
      <c r="H2240" s="2678"/>
      <c r="I2240" s="6040"/>
      <c r="J2240" s="5667"/>
      <c r="K2240" s="5667"/>
      <c r="L2240" s="5667"/>
      <c r="M2240" s="5733"/>
      <c r="N2240" s="2678"/>
      <c r="O2240" s="2678"/>
      <c r="P2240" s="2678"/>
      <c r="Q2240" s="2678"/>
      <c r="R2240" s="2678"/>
      <c r="S2240" s="2678"/>
      <c r="T2240" s="2678"/>
      <c r="U2240" s="2678"/>
      <c r="V2240" s="2678"/>
      <c r="W2240" s="2678"/>
      <c r="X2240" s="2678"/>
      <c r="Y2240" s="2678"/>
      <c r="Z2240" s="2678"/>
      <c r="AA2240" s="2678"/>
      <c r="AB2240" s="5667"/>
      <c r="AC2240" s="1032" t="s">
        <v>3879</v>
      </c>
      <c r="AD2240" s="5685" t="s">
        <v>1803</v>
      </c>
      <c r="AE2240" s="1035">
        <v>0.2</v>
      </c>
      <c r="AF2240" s="3812">
        <f>M2237*AE2240</f>
        <v>23640</v>
      </c>
      <c r="AG2240" s="6030">
        <f t="shared" si="485"/>
        <v>23640</v>
      </c>
      <c r="AH2240" s="1015" t="s">
        <v>122</v>
      </c>
      <c r="AI2240" s="4813">
        <v>45513</v>
      </c>
      <c r="AJ2240" s="5350"/>
      <c r="AK2240" s="5350"/>
      <c r="AL2240" s="5350"/>
      <c r="AM2240" s="7081"/>
      <c r="AN2240" s="7082"/>
      <c r="AO2240" s="7081"/>
      <c r="AP2240" s="3812">
        <f>AG2240-AL2240</f>
        <v>23640</v>
      </c>
      <c r="AQ2240" s="857"/>
      <c r="AR2240" s="1032"/>
      <c r="AS2240" s="5059"/>
      <c r="AT2240" s="2678"/>
      <c r="AU2240" s="2678"/>
      <c r="AV2240" s="2678"/>
      <c r="AW2240" s="2678"/>
      <c r="AX2240" s="2678"/>
      <c r="AY2240" s="2678"/>
      <c r="AZ2240" s="2678"/>
      <c r="BA2240" s="2678"/>
      <c r="BB2240" s="2678"/>
      <c r="BC2240" s="2678"/>
      <c r="BD2240" s="2678"/>
      <c r="BE2240" s="2678"/>
      <c r="BF2240" s="2678"/>
      <c r="BG2240" s="2678"/>
      <c r="BH2240" s="5349"/>
      <c r="BI2240" s="2678"/>
      <c r="BJ2240" s="2678"/>
      <c r="BK2240" s="2678"/>
      <c r="BL2240" s="2678"/>
      <c r="BM2240" s="2678"/>
      <c r="BN2240" s="2678">
        <v>23640</v>
      </c>
      <c r="BO2240" s="2678"/>
      <c r="BP2240" s="2678"/>
      <c r="BQ2240" s="2678"/>
      <c r="BR2240" s="2678"/>
      <c r="BS2240" s="2678"/>
      <c r="BT2240" s="2678"/>
      <c r="BU2240" s="2678"/>
      <c r="BV2240" s="5349"/>
      <c r="BW2240" s="2678"/>
      <c r="BX2240" s="2678"/>
      <c r="BY2240" s="2678"/>
      <c r="BZ2240" s="2678"/>
      <c r="CA2240" s="3914"/>
      <c r="CB2240" s="7087"/>
      <c r="CC2240" s="2680"/>
      <c r="CD2240" s="2680"/>
      <c r="CE2240" s="5750"/>
      <c r="CF2240" s="5750"/>
      <c r="CG2240" s="5750"/>
      <c r="CH2240" s="5750"/>
    </row>
    <row r="2241" s="4978" customFormat="1" ht="40" customHeight="1" spans="1:86">
      <c r="A2241" s="2678"/>
      <c r="B2241" s="2678"/>
      <c r="C2241" s="2678"/>
      <c r="D2241" s="5667"/>
      <c r="E2241" s="5667"/>
      <c r="F2241" s="5667"/>
      <c r="G2241" s="5667"/>
      <c r="H2241" s="2678"/>
      <c r="I2241" s="5145"/>
      <c r="J2241" s="5667"/>
      <c r="K2241" s="5667"/>
      <c r="L2241" s="5667"/>
      <c r="M2241" s="5733"/>
      <c r="N2241" s="2678"/>
      <c r="O2241" s="2678"/>
      <c r="P2241" s="2678"/>
      <c r="Q2241" s="2678"/>
      <c r="R2241" s="2678"/>
      <c r="S2241" s="2678"/>
      <c r="T2241" s="2678"/>
      <c r="U2241" s="2678"/>
      <c r="V2241" s="2678"/>
      <c r="W2241" s="2678"/>
      <c r="X2241" s="2678"/>
      <c r="Y2241" s="2678"/>
      <c r="Z2241" s="2678"/>
      <c r="AA2241" s="2678"/>
      <c r="AB2241" s="5667"/>
      <c r="AC2241" s="1032" t="s">
        <v>3879</v>
      </c>
      <c r="AD2241" s="5685" t="s">
        <v>1804</v>
      </c>
      <c r="AE2241" s="1035">
        <v>0.2</v>
      </c>
      <c r="AF2241" s="2678">
        <f>M2237*AE2241</f>
        <v>23640</v>
      </c>
      <c r="AG2241" s="5349">
        <f t="shared" si="485"/>
        <v>23640</v>
      </c>
      <c r="AH2241" s="859" t="s">
        <v>122</v>
      </c>
      <c r="AI2241" s="3812"/>
      <c r="AJ2241" s="3812"/>
      <c r="AK2241" s="3812"/>
      <c r="AL2241" s="2678"/>
      <c r="AM2241" s="2678"/>
      <c r="AN2241" s="5885">
        <f t="shared" si="486"/>
        <v>23640</v>
      </c>
      <c r="AO2241" s="5883"/>
      <c r="AP2241" s="3812">
        <f>AG2241-AL2241</f>
        <v>23640</v>
      </c>
      <c r="AQ2241" s="857"/>
      <c r="AR2241" s="2678"/>
      <c r="AS2241" s="5667"/>
      <c r="AT2241" s="2678"/>
      <c r="AU2241" s="2678"/>
      <c r="AV2241" s="2678"/>
      <c r="AW2241" s="2678"/>
      <c r="AX2241" s="2678"/>
      <c r="AY2241" s="2678"/>
      <c r="AZ2241" s="2678"/>
      <c r="BA2241" s="2678"/>
      <c r="BB2241" s="2678"/>
      <c r="BC2241" s="2678"/>
      <c r="BD2241" s="2678"/>
      <c r="BE2241" s="2678"/>
      <c r="BF2241" s="2678"/>
      <c r="BG2241" s="2678"/>
      <c r="BH2241" s="2678"/>
      <c r="BI2241" s="2678"/>
      <c r="BJ2241" s="2678"/>
      <c r="BK2241" s="2678"/>
      <c r="BL2241" s="2678"/>
      <c r="BM2241" s="2678"/>
      <c r="BN2241" s="2678">
        <v>23640</v>
      </c>
      <c r="BO2241" s="2678"/>
      <c r="BP2241" s="2678"/>
      <c r="BQ2241" s="2678"/>
      <c r="BR2241" s="2678"/>
      <c r="BS2241" s="2678"/>
      <c r="BT2241" s="2678"/>
      <c r="BU2241" s="2678"/>
      <c r="BV2241" s="2678"/>
      <c r="BW2241" s="2678"/>
      <c r="BX2241" s="2678"/>
      <c r="BY2241" s="2678"/>
      <c r="BZ2241" s="2678"/>
      <c r="CA2241" s="2678"/>
      <c r="CB2241" s="2678">
        <v>23640</v>
      </c>
      <c r="CC2241" s="2680"/>
      <c r="CD2241" s="2680"/>
      <c r="CE2241" s="5750"/>
      <c r="CF2241" s="5750"/>
      <c r="CG2241" s="5750"/>
      <c r="CH2241" s="5750"/>
    </row>
    <row r="2242" s="5010" customFormat="1" ht="29.25" customHeight="1" spans="1:86">
      <c r="A2242" s="5123"/>
      <c r="B2242" s="3812" t="s">
        <v>3079</v>
      </c>
      <c r="C2242" s="3812">
        <v>45285</v>
      </c>
      <c r="D2242" s="1032" t="s">
        <v>3880</v>
      </c>
      <c r="E2242" s="1032"/>
      <c r="F2242" s="1032" t="s">
        <v>3881</v>
      </c>
      <c r="G2242" s="1032" t="s">
        <v>3882</v>
      </c>
      <c r="H2242" s="1032" t="s">
        <v>1766</v>
      </c>
      <c r="I2242" s="5073" t="s">
        <v>3883</v>
      </c>
      <c r="J2242" s="1032" t="s">
        <v>3884</v>
      </c>
      <c r="K2242" s="5059">
        <v>339897.63</v>
      </c>
      <c r="L2242" s="1032" t="s">
        <v>3885</v>
      </c>
      <c r="M2242" s="3812">
        <f>SUM(N2242:AA2296)</f>
        <v>11701540.83</v>
      </c>
      <c r="N2242" s="4127">
        <v>0</v>
      </c>
      <c r="O2242" s="4127">
        <v>0</v>
      </c>
      <c r="P2242" s="4127">
        <v>0</v>
      </c>
      <c r="Q2242" s="7069">
        <v>4438870.22</v>
      </c>
      <c r="R2242" s="4127">
        <v>0</v>
      </c>
      <c r="S2242" s="4127">
        <v>0</v>
      </c>
      <c r="T2242" s="5971">
        <v>0</v>
      </c>
      <c r="U2242" s="7069">
        <v>1398982.73</v>
      </c>
      <c r="V2242" s="7069">
        <v>79200</v>
      </c>
      <c r="W2242" s="4127">
        <v>0</v>
      </c>
      <c r="X2242" s="4127">
        <v>0</v>
      </c>
      <c r="Y2242" s="4127">
        <v>0</v>
      </c>
      <c r="Z2242" s="4127"/>
      <c r="AA2242" s="4127">
        <v>5784487.88</v>
      </c>
      <c r="AB2242" s="4127" t="s">
        <v>126</v>
      </c>
      <c r="AC2242" s="5059" t="s">
        <v>1055</v>
      </c>
      <c r="AD2242" s="5241" t="s">
        <v>342</v>
      </c>
      <c r="AE2242" s="1032">
        <v>0.2</v>
      </c>
      <c r="AF2242" s="3812">
        <f>4707179.45*AE2242</f>
        <v>941435.89</v>
      </c>
      <c r="AG2242" s="3812">
        <f t="shared" si="485"/>
        <v>941435.89427</v>
      </c>
      <c r="AH2242" s="857" t="s">
        <v>122</v>
      </c>
      <c r="AI2242" s="3812">
        <v>45282</v>
      </c>
      <c r="AJ2242" s="3812">
        <v>941435.89</v>
      </c>
      <c r="AK2242" s="3812">
        <v>45282</v>
      </c>
      <c r="AL2242" s="3812">
        <v>941435.89</v>
      </c>
      <c r="AM2242" s="3812">
        <v>45376</v>
      </c>
      <c r="AN2242" s="3812">
        <f t="shared" si="486"/>
        <v>941435.8911</v>
      </c>
      <c r="AO2242" s="3812">
        <v>45379</v>
      </c>
      <c r="AP2242" s="5123"/>
      <c r="AQ2242" s="7090" t="s">
        <v>3886</v>
      </c>
      <c r="AR2242" s="5346"/>
      <c r="AS2242" s="6765" t="s">
        <v>3887</v>
      </c>
      <c r="AT2242" s="5123"/>
      <c r="AU2242" s="5732">
        <f>SUM(AG2242:AG2296)</f>
        <v>11304800.306945</v>
      </c>
      <c r="AV2242" s="5732">
        <f>SUM(AL2242:AL2296)</f>
        <v>9471849.92</v>
      </c>
      <c r="AW2242" s="5732">
        <f>SUM(AN2242:AN2296)</f>
        <v>10765090.62085</v>
      </c>
      <c r="AX2242" s="5732">
        <f>M2242-AU2242</f>
        <v>396740.523054998</v>
      </c>
      <c r="AY2242" s="5732">
        <f>AU2242-AV2242</f>
        <v>1832950.386945</v>
      </c>
      <c r="AZ2242" s="5732">
        <f>AV2242-AW2242</f>
        <v>-1293240.70085</v>
      </c>
      <c r="BA2242" s="5123"/>
      <c r="BB2242" s="5123"/>
      <c r="BC2242" s="5123"/>
      <c r="BD2242" s="5709">
        <v>887774.04427</v>
      </c>
      <c r="BE2242" s="3812"/>
      <c r="BF2242" s="3812"/>
      <c r="BG2242" s="3812"/>
      <c r="BH2242" s="3812">
        <v>44247.49</v>
      </c>
      <c r="BI2242" s="3812"/>
      <c r="BJ2242" s="3812"/>
      <c r="BK2242" s="3812"/>
      <c r="BL2242" s="3812"/>
      <c r="BM2242" s="3812"/>
      <c r="BN2242" s="3812">
        <v>9414.36</v>
      </c>
      <c r="BO2242" s="5123"/>
      <c r="BP2242" s="5123"/>
      <c r="BQ2242" s="5123"/>
      <c r="BR2242" s="5709">
        <v>887774.04427</v>
      </c>
      <c r="BS2242" s="3812"/>
      <c r="BT2242" s="3812"/>
      <c r="BU2242" s="3812"/>
      <c r="BV2242" s="5709">
        <v>44247.48683</v>
      </c>
      <c r="BW2242" s="3812"/>
      <c r="BX2242" s="3812"/>
      <c r="BY2242" s="3812"/>
      <c r="BZ2242" s="3812"/>
      <c r="CA2242" s="3812"/>
      <c r="CB2242" s="5709">
        <v>9414.36</v>
      </c>
      <c r="CC2242" s="5123"/>
      <c r="CD2242" s="5123"/>
      <c r="CE2242" s="7098"/>
      <c r="CF2242" s="7098"/>
      <c r="CG2242" s="7098"/>
      <c r="CH2242" s="7098"/>
    </row>
    <row r="2243" s="4974" customFormat="1" ht="29.25" customHeight="1" spans="1:86">
      <c r="A2243" s="3812"/>
      <c r="B2243" s="3812"/>
      <c r="C2243" s="3812"/>
      <c r="D2243" s="5059"/>
      <c r="E2243" s="5059"/>
      <c r="F2243" s="5059"/>
      <c r="G2243" s="5059"/>
      <c r="H2243" s="5059"/>
      <c r="I2243" s="5205"/>
      <c r="J2243" s="5059"/>
      <c r="K2243" s="5059"/>
      <c r="L2243" s="5059"/>
      <c r="M2243" s="3812"/>
      <c r="N2243" s="5711">
        <v>0</v>
      </c>
      <c r="O2243" s="5711">
        <v>0</v>
      </c>
      <c r="P2243" s="5711">
        <v>0</v>
      </c>
      <c r="Q2243" s="7071"/>
      <c r="R2243" s="5711"/>
      <c r="S2243" s="5711"/>
      <c r="T2243" s="5711"/>
      <c r="U2243" s="7071"/>
      <c r="V2243" s="7071">
        <v>0</v>
      </c>
      <c r="W2243" s="5711">
        <v>0</v>
      </c>
      <c r="X2243" s="5711">
        <v>0</v>
      </c>
      <c r="Y2243" s="5711"/>
      <c r="Z2243" s="5711"/>
      <c r="AA2243" s="5711"/>
      <c r="AB2243" s="5711"/>
      <c r="AC2243" s="5214" t="s">
        <v>1057</v>
      </c>
      <c r="AD2243" s="5242" t="s">
        <v>344</v>
      </c>
      <c r="AE2243" s="5073">
        <v>0.3</v>
      </c>
      <c r="AF2243" s="3812">
        <f>4707179.45*AE2243</f>
        <v>1412153.835</v>
      </c>
      <c r="AG2243" s="4840">
        <f t="shared" si="485"/>
        <v>1412153.836405</v>
      </c>
      <c r="AH2243" s="857" t="s">
        <v>122</v>
      </c>
      <c r="AI2243" s="3812">
        <v>45282</v>
      </c>
      <c r="AJ2243" s="4840">
        <v>1412153.84</v>
      </c>
      <c r="AK2243" s="3812">
        <v>45282</v>
      </c>
      <c r="AL2243" s="4840">
        <v>1412153.84</v>
      </c>
      <c r="AM2243" s="3812">
        <v>45376</v>
      </c>
      <c r="AN2243" s="3812">
        <f t="shared" si="486"/>
        <v>1412153.83665</v>
      </c>
      <c r="AO2243" s="3812">
        <v>45379</v>
      </c>
      <c r="AP2243" s="3812"/>
      <c r="AQ2243" s="5205"/>
      <c r="AR2243" s="5059"/>
      <c r="AS2243" s="5835"/>
      <c r="AT2243" s="3812"/>
      <c r="AU2243" s="5732"/>
      <c r="AV2243" s="5732"/>
      <c r="AW2243" s="5732"/>
      <c r="AX2243" s="5732"/>
      <c r="AY2243" s="5732"/>
      <c r="AZ2243" s="5732"/>
      <c r="BA2243" s="3812"/>
      <c r="BB2243" s="3812"/>
      <c r="BC2243" s="3812"/>
      <c r="BD2243" s="5709">
        <v>1331661.066405</v>
      </c>
      <c r="BE2243" s="3812"/>
      <c r="BF2243" s="3812"/>
      <c r="BG2243" s="3812"/>
      <c r="BH2243" s="3812">
        <v>66371.23</v>
      </c>
      <c r="BI2243" s="3812"/>
      <c r="BJ2243" s="3812"/>
      <c r="BK2243" s="3812"/>
      <c r="BL2243" s="3812"/>
      <c r="BM2243" s="4840"/>
      <c r="BN2243" s="4840">
        <v>14121.54</v>
      </c>
      <c r="BO2243" s="3812"/>
      <c r="BP2243" s="3812"/>
      <c r="BQ2243" s="3812"/>
      <c r="BR2243" s="5709">
        <v>1331661.066405</v>
      </c>
      <c r="BS2243" s="3812"/>
      <c r="BT2243" s="3812"/>
      <c r="BU2243" s="3812"/>
      <c r="BV2243" s="5709">
        <v>66371.230245</v>
      </c>
      <c r="BW2243" s="3812"/>
      <c r="BX2243" s="3812"/>
      <c r="BY2243" s="3812"/>
      <c r="BZ2243" s="3812"/>
      <c r="CA2243" s="4840"/>
      <c r="CB2243" s="7043">
        <v>14121.54</v>
      </c>
      <c r="CC2243" s="3812"/>
      <c r="CD2243" s="3812"/>
      <c r="CE2243" s="5310"/>
      <c r="CF2243" s="5310"/>
      <c r="CG2243" s="5310"/>
      <c r="CH2243" s="5310"/>
    </row>
    <row r="2244" s="4974" customFormat="1" ht="29.25" customHeight="1" spans="1:86">
      <c r="A2244" s="3812"/>
      <c r="B2244" s="3812"/>
      <c r="C2244" s="3812"/>
      <c r="D2244" s="5059"/>
      <c r="E2244" s="5059"/>
      <c r="F2244" s="5059"/>
      <c r="G2244" s="5059"/>
      <c r="H2244" s="5059"/>
      <c r="I2244" s="5205"/>
      <c r="J2244" s="5059"/>
      <c r="K2244" s="5059"/>
      <c r="L2244" s="5059"/>
      <c r="M2244" s="3812"/>
      <c r="N2244" s="5711">
        <v>0</v>
      </c>
      <c r="O2244" s="5711">
        <v>0</v>
      </c>
      <c r="P2244" s="5711">
        <v>0</v>
      </c>
      <c r="Q2244" s="7071"/>
      <c r="R2244" s="5711"/>
      <c r="S2244" s="5711"/>
      <c r="T2244" s="5711"/>
      <c r="U2244" s="7071"/>
      <c r="V2244" s="7071">
        <v>0</v>
      </c>
      <c r="W2244" s="5711">
        <v>0</v>
      </c>
      <c r="X2244" s="5711">
        <v>0</v>
      </c>
      <c r="Y2244" s="5711"/>
      <c r="Z2244" s="5711"/>
      <c r="AA2244" s="5711"/>
      <c r="AB2244" s="5711"/>
      <c r="AC2244" s="5059" t="s">
        <v>1059</v>
      </c>
      <c r="AD2244" s="5241" t="s">
        <v>346</v>
      </c>
      <c r="AE2244" s="1032">
        <v>0.2</v>
      </c>
      <c r="AF2244" s="3812">
        <f>4707179.45*AE2244</f>
        <v>941435.89</v>
      </c>
      <c r="AG2244" s="3812">
        <f t="shared" si="485"/>
        <v>941435.89427</v>
      </c>
      <c r="AH2244" s="857" t="s">
        <v>122</v>
      </c>
      <c r="AI2244" s="3812">
        <v>45357</v>
      </c>
      <c r="AJ2244" s="3812">
        <v>941435.89</v>
      </c>
      <c r="AK2244" s="3812">
        <v>45357</v>
      </c>
      <c r="AL2244" s="3812">
        <v>941435.89</v>
      </c>
      <c r="AM2244" s="3812">
        <v>45376</v>
      </c>
      <c r="AN2244" s="3812">
        <f t="shared" si="486"/>
        <v>941435.8911</v>
      </c>
      <c r="AO2244" s="3812">
        <v>45379</v>
      </c>
      <c r="AP2244" s="3812"/>
      <c r="AQ2244" s="5206"/>
      <c r="AR2244" s="5059"/>
      <c r="AS2244" s="7091"/>
      <c r="AT2244" s="3812"/>
      <c r="AU2244" s="5732"/>
      <c r="AV2244" s="5732"/>
      <c r="AW2244" s="5732"/>
      <c r="AX2244" s="5732"/>
      <c r="AY2244" s="5732"/>
      <c r="AZ2244" s="5732"/>
      <c r="BA2244" s="3812"/>
      <c r="BB2244" s="3812"/>
      <c r="BC2244" s="3812"/>
      <c r="BD2244" s="7094">
        <v>887774.04427</v>
      </c>
      <c r="BE2244" s="4813"/>
      <c r="BF2244" s="4813"/>
      <c r="BG2244" s="4813"/>
      <c r="BH2244" s="4813">
        <v>44247.49</v>
      </c>
      <c r="BI2244" s="4813"/>
      <c r="BJ2244" s="4813"/>
      <c r="BK2244" s="4813"/>
      <c r="BL2244" s="4813"/>
      <c r="BM2244" s="4813"/>
      <c r="BN2244" s="3812">
        <v>9414.36</v>
      </c>
      <c r="BO2244" s="3812"/>
      <c r="BP2244" s="3812"/>
      <c r="BQ2244" s="3812"/>
      <c r="BR2244" s="5709">
        <v>887774.04427</v>
      </c>
      <c r="BS2244" s="3812"/>
      <c r="BT2244" s="3812"/>
      <c r="BU2244" s="3812"/>
      <c r="BV2244" s="5709">
        <v>44247.48683</v>
      </c>
      <c r="BW2244" s="4813"/>
      <c r="BX2244" s="3812"/>
      <c r="BY2244" s="4813"/>
      <c r="BZ2244" s="4813"/>
      <c r="CA2244" s="4813"/>
      <c r="CB2244" s="5709">
        <v>9414.36</v>
      </c>
      <c r="CC2244" s="3812"/>
      <c r="CD2244" s="3812"/>
      <c r="CE2244" s="5310"/>
      <c r="CF2244" s="5310"/>
      <c r="CG2244" s="5310"/>
      <c r="CH2244" s="5310"/>
    </row>
    <row r="2245" s="4974" customFormat="1" ht="39.15" customHeight="1" spans="1:86">
      <c r="A2245" s="3812"/>
      <c r="B2245" s="3812"/>
      <c r="C2245" s="3812"/>
      <c r="D2245" s="5059"/>
      <c r="E2245" s="5059"/>
      <c r="F2245" s="5059"/>
      <c r="G2245" s="5059"/>
      <c r="H2245" s="5059"/>
      <c r="I2245" s="5205"/>
      <c r="J2245" s="5059"/>
      <c r="K2245" s="5059"/>
      <c r="L2245" s="5059"/>
      <c r="M2245" s="3812"/>
      <c r="N2245" s="5711">
        <v>0</v>
      </c>
      <c r="O2245" s="5711">
        <v>0</v>
      </c>
      <c r="P2245" s="5711">
        <v>0</v>
      </c>
      <c r="Q2245" s="7071"/>
      <c r="R2245" s="5711"/>
      <c r="S2245" s="5711"/>
      <c r="T2245" s="5711"/>
      <c r="U2245" s="7071"/>
      <c r="V2245" s="7071">
        <v>0</v>
      </c>
      <c r="W2245" s="5711">
        <v>0</v>
      </c>
      <c r="X2245" s="5711">
        <v>0</v>
      </c>
      <c r="Y2245" s="5711"/>
      <c r="Z2245" s="5711"/>
      <c r="AA2245" s="5711"/>
      <c r="AB2245" s="5711"/>
      <c r="AC2245" s="5214" t="s">
        <v>1061</v>
      </c>
      <c r="AD2245" s="5242" t="s">
        <v>348</v>
      </c>
      <c r="AE2245" s="5073">
        <v>0.2</v>
      </c>
      <c r="AF2245" s="4840">
        <f>4707179.45*AE2245</f>
        <v>941435.89</v>
      </c>
      <c r="AG2245" s="4840">
        <f>SUM(BA2245:BN2246)</f>
        <v>443535.55</v>
      </c>
      <c r="AH2245" s="3366" t="s">
        <v>122</v>
      </c>
      <c r="AI2245" s="4840">
        <v>45580</v>
      </c>
      <c r="AJ2245" s="4840">
        <v>443535.55</v>
      </c>
      <c r="AK2245" s="4840">
        <v>45580</v>
      </c>
      <c r="AL2245" s="4840">
        <v>443535.55</v>
      </c>
      <c r="AM2245" s="4840">
        <v>45580</v>
      </c>
      <c r="AN2245" s="3812">
        <f t="shared" si="486"/>
        <v>371438.63</v>
      </c>
      <c r="AO2245" s="3812">
        <v>45595</v>
      </c>
      <c r="AP2245" s="4813"/>
      <c r="AQ2245" s="1131" t="s">
        <v>3888</v>
      </c>
      <c r="AR2245" s="1032" t="s">
        <v>1824</v>
      </c>
      <c r="AS2245" s="1032" t="s">
        <v>3889</v>
      </c>
      <c r="AT2245" s="3812"/>
      <c r="AU2245" s="5732"/>
      <c r="AV2245" s="5732"/>
      <c r="AW2245" s="5732"/>
      <c r="AX2245" s="5732"/>
      <c r="AY2245" s="5732"/>
      <c r="AZ2245" s="5732"/>
      <c r="BA2245" s="4840"/>
      <c r="BB2245" s="4840"/>
      <c r="BC2245" s="4840"/>
      <c r="BD2245" s="5248">
        <v>443535.55</v>
      </c>
      <c r="BE2245" s="5302"/>
      <c r="BF2245" s="5302"/>
      <c r="BG2245" s="5302"/>
      <c r="BH2245" s="5302"/>
      <c r="BI2245" s="5123"/>
      <c r="BJ2245" s="5123"/>
      <c r="BK2245" s="5123"/>
      <c r="BL2245" s="5123"/>
      <c r="BM2245" s="5123"/>
      <c r="BN2245" s="5123"/>
      <c r="BO2245" s="3812"/>
      <c r="BP2245" s="3812"/>
      <c r="BQ2245" s="3812"/>
      <c r="BR2245" s="4840">
        <v>371438.63</v>
      </c>
      <c r="BS2245" s="5123"/>
      <c r="BT2245" s="5123"/>
      <c r="BU2245" s="5123"/>
      <c r="BV2245" s="5123"/>
      <c r="BW2245" s="5123"/>
      <c r="BX2245" s="5123"/>
      <c r="BY2245" s="5123"/>
      <c r="BZ2245" s="5123"/>
      <c r="CA2245" s="5123"/>
      <c r="CB2245" s="5123"/>
      <c r="CC2245" s="3812"/>
      <c r="CD2245" s="3812"/>
      <c r="CE2245" s="5310"/>
      <c r="CF2245" s="5310"/>
      <c r="CG2245" s="5310"/>
      <c r="CH2245" s="5310"/>
    </row>
    <row r="2246" s="4974" customFormat="1" ht="39.15" customHeight="1" spans="1:86">
      <c r="A2246" s="3812"/>
      <c r="B2246" s="3812"/>
      <c r="C2246" s="3812"/>
      <c r="D2246" s="5059"/>
      <c r="E2246" s="5059"/>
      <c r="F2246" s="5059"/>
      <c r="G2246" s="5059"/>
      <c r="H2246" s="5059"/>
      <c r="I2246" s="5205"/>
      <c r="J2246" s="5059"/>
      <c r="K2246" s="5059"/>
      <c r="L2246" s="5059"/>
      <c r="M2246" s="3812"/>
      <c r="N2246" s="5711"/>
      <c r="O2246" s="5711"/>
      <c r="P2246" s="5711"/>
      <c r="Q2246" s="7071"/>
      <c r="R2246" s="5711"/>
      <c r="S2246" s="5711"/>
      <c r="T2246" s="5711"/>
      <c r="U2246" s="7071"/>
      <c r="V2246" s="7071"/>
      <c r="W2246" s="5711"/>
      <c r="X2246" s="5711"/>
      <c r="Y2246" s="5711"/>
      <c r="Z2246" s="5711"/>
      <c r="AA2246" s="5711"/>
      <c r="AB2246" s="5711"/>
      <c r="AC2246" s="5074"/>
      <c r="AD2246" s="5977"/>
      <c r="AE2246" s="5205"/>
      <c r="AF2246" s="4841"/>
      <c r="AG2246" s="4841"/>
      <c r="AH2246" s="3409"/>
      <c r="AI2246" s="4841"/>
      <c r="AJ2246" s="4841"/>
      <c r="AK2246" s="4841"/>
      <c r="AL2246" s="4842"/>
      <c r="AM2246" s="4841"/>
      <c r="AN2246" s="3812">
        <f t="shared" si="486"/>
        <v>72096.92</v>
      </c>
      <c r="AO2246" s="3812">
        <v>45595</v>
      </c>
      <c r="AP2246" s="4813"/>
      <c r="AQ2246" s="1032"/>
      <c r="AR2246" s="1032"/>
      <c r="AS2246" s="5059"/>
      <c r="AT2246" s="3812"/>
      <c r="AU2246" s="5732"/>
      <c r="AV2246" s="5732"/>
      <c r="AW2246" s="5732"/>
      <c r="AX2246" s="5732"/>
      <c r="AY2246" s="5732"/>
      <c r="AZ2246" s="5732"/>
      <c r="BA2246" s="4842"/>
      <c r="BB2246" s="4842"/>
      <c r="BC2246" s="4842"/>
      <c r="BD2246" s="5978"/>
      <c r="BE2246" s="5301"/>
      <c r="BF2246" s="5301"/>
      <c r="BG2246" s="5301"/>
      <c r="BH2246" s="5301"/>
      <c r="BI2246" s="5123"/>
      <c r="BJ2246" s="5123"/>
      <c r="BK2246" s="5123"/>
      <c r="BL2246" s="5123"/>
      <c r="BM2246" s="5123"/>
      <c r="BN2246" s="5123"/>
      <c r="BO2246" s="3812"/>
      <c r="BP2246" s="3812"/>
      <c r="BQ2246" s="3812"/>
      <c r="BR2246" s="4840">
        <v>72096.92</v>
      </c>
      <c r="BS2246" s="5123"/>
      <c r="BT2246" s="5123"/>
      <c r="BU2246" s="5123"/>
      <c r="BV2246" s="5123"/>
      <c r="BW2246" s="5123"/>
      <c r="BX2246" s="5123"/>
      <c r="BY2246" s="5123"/>
      <c r="BZ2246" s="5123"/>
      <c r="CA2246" s="5123"/>
      <c r="CB2246" s="5123"/>
      <c r="CC2246" s="3812"/>
      <c r="CD2246" s="3812"/>
      <c r="CE2246" s="5310"/>
      <c r="CF2246" s="5310"/>
      <c r="CG2246" s="5310"/>
      <c r="CH2246" s="5310"/>
    </row>
    <row r="2247" s="4974" customFormat="1" ht="39.15" customHeight="1" spans="1:86">
      <c r="A2247" s="3812"/>
      <c r="B2247" s="3812"/>
      <c r="C2247" s="3812"/>
      <c r="D2247" s="5059"/>
      <c r="E2247" s="5059"/>
      <c r="F2247" s="5059"/>
      <c r="G2247" s="5059"/>
      <c r="H2247" s="5059"/>
      <c r="I2247" s="5205"/>
      <c r="J2247" s="5059"/>
      <c r="K2247" s="5059"/>
      <c r="L2247" s="5059"/>
      <c r="M2247" s="3812"/>
      <c r="N2247" s="5711"/>
      <c r="O2247" s="5711"/>
      <c r="P2247" s="5711"/>
      <c r="Q2247" s="7071"/>
      <c r="R2247" s="5711"/>
      <c r="S2247" s="5711"/>
      <c r="T2247" s="5711"/>
      <c r="U2247" s="7071"/>
      <c r="V2247" s="7071"/>
      <c r="W2247" s="5711"/>
      <c r="X2247" s="5711"/>
      <c r="Y2247" s="5711"/>
      <c r="Z2247" s="5711"/>
      <c r="AA2247" s="5711"/>
      <c r="AB2247" s="5711"/>
      <c r="AC2247" s="5074"/>
      <c r="AD2247" s="5977"/>
      <c r="AE2247" s="5205"/>
      <c r="AF2247" s="4841"/>
      <c r="AG2247" s="4840">
        <f>SUM(BA2247:BN2247)</f>
        <v>100000</v>
      </c>
      <c r="AH2247" s="857" t="s">
        <v>122</v>
      </c>
      <c r="AI2247" s="4840">
        <v>45650</v>
      </c>
      <c r="AJ2247" s="4840">
        <v>100000</v>
      </c>
      <c r="AK2247" s="4840">
        <v>45650</v>
      </c>
      <c r="AL2247" s="4840">
        <v>100000</v>
      </c>
      <c r="AM2247" s="3812">
        <v>45805</v>
      </c>
      <c r="AN2247" s="4840">
        <v>100000</v>
      </c>
      <c r="AO2247" s="3812">
        <v>45834</v>
      </c>
      <c r="AP2247" s="4813"/>
      <c r="AQ2247" s="1032" t="s">
        <v>3890</v>
      </c>
      <c r="AR2247" s="1032"/>
      <c r="AS2247" s="5059"/>
      <c r="AT2247" s="3812"/>
      <c r="AU2247" s="5732"/>
      <c r="AV2247" s="5732"/>
      <c r="AW2247" s="5732"/>
      <c r="AX2247" s="5732"/>
      <c r="AY2247" s="5732"/>
      <c r="AZ2247" s="5732"/>
      <c r="BA2247" s="3812"/>
      <c r="BB2247" s="3812"/>
      <c r="BC2247" s="3812"/>
      <c r="BD2247" s="4813"/>
      <c r="BE2247" s="4813"/>
      <c r="BF2247" s="4813"/>
      <c r="BG2247" s="4813"/>
      <c r="BH2247" s="4813">
        <v>100000</v>
      </c>
      <c r="BI2247" s="4813"/>
      <c r="BJ2247" s="4813"/>
      <c r="BK2247" s="4813"/>
      <c r="BL2247" s="4813"/>
      <c r="BM2247" s="4813"/>
      <c r="BN2247" s="4813"/>
      <c r="BO2247" s="3812"/>
      <c r="BP2247" s="3812"/>
      <c r="BQ2247" s="3812"/>
      <c r="BR2247" s="5248"/>
      <c r="BS2247" s="4813"/>
      <c r="BT2247" s="4813"/>
      <c r="BU2247" s="4813"/>
      <c r="BV2247" s="4813">
        <v>100000</v>
      </c>
      <c r="BW2247" s="4815"/>
      <c r="BX2247" s="4815"/>
      <c r="BY2247" s="4815"/>
      <c r="BZ2247" s="4815"/>
      <c r="CA2247" s="4815"/>
      <c r="CB2247" s="4815"/>
      <c r="CC2247" s="3812"/>
      <c r="CD2247" s="3812"/>
      <c r="CE2247" s="5310"/>
      <c r="CF2247" s="5310"/>
      <c r="CG2247" s="5310"/>
      <c r="CH2247" s="5310"/>
    </row>
    <row r="2248" s="4974" customFormat="1" ht="37.5" customHeight="1" spans="1:86">
      <c r="A2248" s="3812"/>
      <c r="B2248" s="3812"/>
      <c r="C2248" s="3812"/>
      <c r="D2248" s="5059"/>
      <c r="E2248" s="5059"/>
      <c r="F2248" s="5059"/>
      <c r="G2248" s="5059"/>
      <c r="H2248" s="5059"/>
      <c r="I2248" s="5205"/>
      <c r="J2248" s="5059"/>
      <c r="K2248" s="5059"/>
      <c r="L2248" s="5059"/>
      <c r="M2248" s="3812"/>
      <c r="N2248" s="5711"/>
      <c r="O2248" s="5711"/>
      <c r="P2248" s="5711"/>
      <c r="Q2248" s="7071"/>
      <c r="R2248" s="5711"/>
      <c r="S2248" s="5711"/>
      <c r="T2248" s="5711"/>
      <c r="U2248" s="7071"/>
      <c r="V2248" s="7071"/>
      <c r="W2248" s="5711"/>
      <c r="X2248" s="5711"/>
      <c r="Y2248" s="5711"/>
      <c r="Z2248" s="5711"/>
      <c r="AA2248" s="5711"/>
      <c r="AB2248" s="5711"/>
      <c r="AC2248" s="5075"/>
      <c r="AD2248" s="5942"/>
      <c r="AE2248" s="5206"/>
      <c r="AF2248" s="4842"/>
      <c r="AG2248" s="3812">
        <f>SUM(BA2248:BN2248)</f>
        <v>399809.5</v>
      </c>
      <c r="AH2248" s="857" t="s">
        <v>122</v>
      </c>
      <c r="AI2248" s="3812">
        <v>45805</v>
      </c>
      <c r="AJ2248" s="3812">
        <v>399809.5</v>
      </c>
      <c r="AK2248" s="3812">
        <v>45805</v>
      </c>
      <c r="AL2248" s="3812">
        <v>399809.5</v>
      </c>
      <c r="AM2248" s="3812">
        <v>45805</v>
      </c>
      <c r="AN2248" s="3812">
        <f>SUM(BO2248:CB2248)</f>
        <v>399809.5</v>
      </c>
      <c r="AO2248" s="3812">
        <v>45834</v>
      </c>
      <c r="AP2248" s="3812"/>
      <c r="AQ2248" s="1032"/>
      <c r="AR2248" s="5059"/>
      <c r="AS2248" s="5059"/>
      <c r="AT2248" s="3812"/>
      <c r="AU2248" s="5732"/>
      <c r="AV2248" s="5732"/>
      <c r="AW2248" s="5732"/>
      <c r="AX2248" s="5732"/>
      <c r="AY2248" s="5732"/>
      <c r="AZ2248" s="5732"/>
      <c r="BA2248" s="3812"/>
      <c r="BB2248" s="3812"/>
      <c r="BC2248" s="3812"/>
      <c r="BD2248" s="4813">
        <v>346038.83</v>
      </c>
      <c r="BE2248" s="4813"/>
      <c r="BF2248" s="4813"/>
      <c r="BG2248" s="4813"/>
      <c r="BH2248" s="4813">
        <v>44337.22</v>
      </c>
      <c r="BI2248" s="4813"/>
      <c r="BJ2248" s="4813"/>
      <c r="BK2248" s="4813"/>
      <c r="BL2248" s="4813"/>
      <c r="BM2248" s="4813"/>
      <c r="BN2248" s="4813">
        <v>9433.45</v>
      </c>
      <c r="BO2248" s="3812"/>
      <c r="BP2248" s="3812"/>
      <c r="BQ2248" s="3812"/>
      <c r="BR2248" s="4813">
        <v>346038.83</v>
      </c>
      <c r="BS2248" s="4813"/>
      <c r="BT2248" s="4813"/>
      <c r="BU2248" s="4813"/>
      <c r="BV2248" s="4813">
        <v>44337.22</v>
      </c>
      <c r="BW2248" s="4815"/>
      <c r="BX2248" s="4815"/>
      <c r="BY2248" s="4815"/>
      <c r="BZ2248" s="4815"/>
      <c r="CA2248" s="4815"/>
      <c r="CB2248" s="4813">
        <v>9433.45</v>
      </c>
      <c r="CC2248" s="3812"/>
      <c r="CD2248" s="3812"/>
      <c r="CE2248" s="5310"/>
      <c r="CF2248" s="5310"/>
      <c r="CG2248" s="5310"/>
      <c r="CH2248" s="5310"/>
    </row>
    <row r="2249" s="4974" customFormat="1" ht="30" customHeight="1" spans="1:86">
      <c r="A2249" s="3812"/>
      <c r="B2249" s="3812"/>
      <c r="C2249" s="3812"/>
      <c r="D2249" s="5059"/>
      <c r="E2249" s="5059"/>
      <c r="F2249" s="5059"/>
      <c r="G2249" s="5059"/>
      <c r="H2249" s="5059"/>
      <c r="I2249" s="5205"/>
      <c r="J2249" s="5059"/>
      <c r="K2249" s="5059"/>
      <c r="L2249" s="5059"/>
      <c r="M2249" s="3812"/>
      <c r="N2249" s="5711">
        <v>0</v>
      </c>
      <c r="O2249" s="5711">
        <v>0</v>
      </c>
      <c r="P2249" s="5711">
        <v>0</v>
      </c>
      <c r="Q2249" s="7071"/>
      <c r="R2249" s="5711"/>
      <c r="S2249" s="5711"/>
      <c r="T2249" s="5711"/>
      <c r="U2249" s="7071"/>
      <c r="V2249" s="7071">
        <v>0</v>
      </c>
      <c r="W2249" s="5711">
        <v>0</v>
      </c>
      <c r="X2249" s="5711">
        <v>0</v>
      </c>
      <c r="Y2249" s="5711"/>
      <c r="Z2249" s="5711"/>
      <c r="AA2249" s="5711"/>
      <c r="AB2249" s="5711"/>
      <c r="AC2249" s="5073" t="s">
        <v>1063</v>
      </c>
      <c r="AD2249" s="5242" t="s">
        <v>351</v>
      </c>
      <c r="AE2249" s="5073">
        <v>0.1</v>
      </c>
      <c r="AF2249" s="4840">
        <f>4707179.45*AE2249</f>
        <v>470717.945</v>
      </c>
      <c r="AG2249" s="4815">
        <f>SUM(BA2249:BN2249)</f>
        <v>184692.77</v>
      </c>
      <c r="AH2249" s="5345"/>
      <c r="AI2249" s="4815"/>
      <c r="AJ2249" s="3812"/>
      <c r="AK2249" s="3812"/>
      <c r="AL2249" s="3812"/>
      <c r="AM2249" s="3812"/>
      <c r="AN2249" s="3812">
        <f>SUM(BO2249:CB2249)</f>
        <v>184692.77</v>
      </c>
      <c r="AO2249" s="3812"/>
      <c r="AP2249" s="3812"/>
      <c r="AQ2249" s="1032"/>
      <c r="AR2249" s="5059"/>
      <c r="AS2249" s="5059"/>
      <c r="AT2249" s="3812"/>
      <c r="AU2249" s="5732"/>
      <c r="AV2249" s="5732"/>
      <c r="AW2249" s="5732"/>
      <c r="AX2249" s="5732"/>
      <c r="AY2249" s="5732"/>
      <c r="AZ2249" s="5732"/>
      <c r="BA2249" s="3812"/>
      <c r="BB2249" s="3812"/>
      <c r="BC2249" s="3812"/>
      <c r="BD2249" s="3812">
        <v>174165.28</v>
      </c>
      <c r="BE2249" s="3812"/>
      <c r="BF2249" s="3812"/>
      <c r="BG2249" s="3812"/>
      <c r="BH2249" s="3812">
        <v>8680.56</v>
      </c>
      <c r="BI2249" s="3812"/>
      <c r="BJ2249" s="3812"/>
      <c r="BK2249" s="3812"/>
      <c r="BL2249" s="3812"/>
      <c r="BM2249" s="3812"/>
      <c r="BN2249" s="3812">
        <v>1846.93</v>
      </c>
      <c r="BO2249" s="3812"/>
      <c r="BP2249" s="3812"/>
      <c r="BQ2249" s="3812"/>
      <c r="BR2249" s="3812">
        <v>174165.28</v>
      </c>
      <c r="BS2249" s="3812"/>
      <c r="BT2249" s="3812"/>
      <c r="BU2249" s="3812"/>
      <c r="BV2249" s="3812">
        <v>8680.56</v>
      </c>
      <c r="BW2249" s="3812"/>
      <c r="BX2249" s="3812"/>
      <c r="BY2249" s="3812"/>
      <c r="BZ2249" s="3812"/>
      <c r="CA2249" s="3812"/>
      <c r="CB2249" s="3812">
        <v>1846.93</v>
      </c>
      <c r="CC2249" s="3812"/>
      <c r="CD2249" s="3812"/>
      <c r="CE2249" s="5310"/>
      <c r="CF2249" s="5310"/>
      <c r="CG2249" s="5310"/>
      <c r="CH2249" s="5310"/>
    </row>
    <row r="2250" s="4974" customFormat="1" ht="25.5" customHeight="1" spans="1:86">
      <c r="A2250" s="3812"/>
      <c r="B2250" s="3812"/>
      <c r="C2250" s="3812"/>
      <c r="D2250" s="5059"/>
      <c r="E2250" s="5059"/>
      <c r="F2250" s="5059"/>
      <c r="G2250" s="5059"/>
      <c r="H2250" s="5059"/>
      <c r="I2250" s="5205"/>
      <c r="J2250" s="5059"/>
      <c r="K2250" s="5059"/>
      <c r="L2250" s="5059"/>
      <c r="M2250" s="3812"/>
      <c r="N2250" s="5711"/>
      <c r="O2250" s="5711"/>
      <c r="P2250" s="5711"/>
      <c r="Q2250" s="7071"/>
      <c r="R2250" s="5711"/>
      <c r="S2250" s="5711"/>
      <c r="T2250" s="5711"/>
      <c r="U2250" s="7071"/>
      <c r="V2250" s="7071"/>
      <c r="W2250" s="5711"/>
      <c r="X2250" s="5711"/>
      <c r="Y2250" s="5711"/>
      <c r="Z2250" s="5711"/>
      <c r="AA2250" s="5711"/>
      <c r="AB2250" s="5711"/>
      <c r="AC2250" s="5205"/>
      <c r="AD2250" s="5977"/>
      <c r="AE2250" s="5205"/>
      <c r="AF2250" s="4841"/>
      <c r="AG2250" s="4840"/>
      <c r="AH2250" s="3366"/>
      <c r="AI2250" s="4840"/>
      <c r="AJ2250" s="4840"/>
      <c r="AK2250" s="4840"/>
      <c r="AL2250" s="4815"/>
      <c r="AM2250" s="4840"/>
      <c r="AN2250" s="3812"/>
      <c r="AO2250" s="3812"/>
      <c r="AP2250" s="3812"/>
      <c r="AQ2250" s="1032"/>
      <c r="AR2250" s="5059"/>
      <c r="AS2250" s="5242"/>
      <c r="AT2250" s="3812"/>
      <c r="AU2250" s="5732"/>
      <c r="AV2250" s="5732"/>
      <c r="AW2250" s="5732"/>
      <c r="AX2250" s="5732"/>
      <c r="AY2250" s="5732"/>
      <c r="AZ2250" s="5732"/>
      <c r="BA2250" s="3812"/>
      <c r="BB2250" s="3812"/>
      <c r="BC2250" s="3812"/>
      <c r="BD2250" s="3812"/>
      <c r="BE2250" s="5123"/>
      <c r="BF2250" s="5123"/>
      <c r="BG2250" s="5123"/>
      <c r="BH2250" s="5123"/>
      <c r="BI2250" s="3812"/>
      <c r="BJ2250" s="3812"/>
      <c r="BK2250" s="3812"/>
      <c r="BL2250" s="3812"/>
      <c r="BM2250" s="3812"/>
      <c r="BN2250" s="5123"/>
      <c r="BO2250" s="3812"/>
      <c r="BP2250" s="3812"/>
      <c r="BQ2250" s="3812"/>
      <c r="BR2250" s="4840">
        <f>443887.02-BR2249</f>
        <v>269721.74</v>
      </c>
      <c r="BS2250" s="5123"/>
      <c r="BT2250" s="5123"/>
      <c r="BU2250" s="5123"/>
      <c r="BV2250" s="5123">
        <v>22123.743415</v>
      </c>
      <c r="BW2250" s="3812"/>
      <c r="BX2250" s="3812"/>
      <c r="BY2250" s="3812"/>
      <c r="BZ2250" s="3812"/>
      <c r="CA2250" s="3812"/>
      <c r="CB2250" s="5123">
        <v>4707.18</v>
      </c>
      <c r="CC2250" s="3812"/>
      <c r="CD2250" s="3812"/>
      <c r="CE2250" s="5310"/>
      <c r="CF2250" s="5310"/>
      <c r="CG2250" s="5310"/>
      <c r="CH2250" s="5310"/>
    </row>
    <row r="2251" s="4974" customFormat="1" ht="24" customHeight="1" spans="1:86">
      <c r="A2251" s="3812"/>
      <c r="B2251" s="3812"/>
      <c r="C2251" s="3812"/>
      <c r="D2251" s="5059"/>
      <c r="E2251" s="5059"/>
      <c r="F2251" s="5059"/>
      <c r="G2251" s="5059"/>
      <c r="H2251" s="5059"/>
      <c r="I2251" s="5205"/>
      <c r="J2251" s="5059"/>
      <c r="K2251" s="5059"/>
      <c r="L2251" s="5059"/>
      <c r="M2251" s="3812"/>
      <c r="N2251" s="5711">
        <v>0</v>
      </c>
      <c r="O2251" s="5711">
        <v>0</v>
      </c>
      <c r="P2251" s="5711">
        <v>0</v>
      </c>
      <c r="Q2251" s="7071"/>
      <c r="R2251" s="5711"/>
      <c r="S2251" s="5711"/>
      <c r="T2251" s="5711"/>
      <c r="U2251" s="7071"/>
      <c r="V2251" s="7071">
        <v>0</v>
      </c>
      <c r="W2251" s="5711">
        <v>0</v>
      </c>
      <c r="X2251" s="5711">
        <v>0</v>
      </c>
      <c r="Y2251" s="5711"/>
      <c r="Z2251" s="5711"/>
      <c r="AA2251" s="5711"/>
      <c r="AB2251" s="5711"/>
      <c r="AC2251" s="5073" t="s">
        <v>1110</v>
      </c>
      <c r="AD2251" s="5242" t="s">
        <v>1776</v>
      </c>
      <c r="AE2251" s="5073">
        <v>0.2</v>
      </c>
      <c r="AF2251" s="4840">
        <f>1189641.71*AE2251</f>
        <v>237928.342</v>
      </c>
      <c r="AG2251" s="4840">
        <f t="shared" ref="AG2251:AG2260" si="487">SUM(BA2251:BN2251)</f>
        <v>100000</v>
      </c>
      <c r="AH2251" s="3366" t="s">
        <v>122</v>
      </c>
      <c r="AI2251" s="4840">
        <v>45373</v>
      </c>
      <c r="AJ2251" s="4840">
        <v>100000</v>
      </c>
      <c r="AK2251" s="4840">
        <v>45373</v>
      </c>
      <c r="AL2251" s="3812">
        <v>100000</v>
      </c>
      <c r="AM2251" s="4840">
        <v>45376</v>
      </c>
      <c r="AN2251" s="3812">
        <f t="shared" ref="AN2251:AN2259" si="488">SUM(BO2251:CB2251)</f>
        <v>100000</v>
      </c>
      <c r="AO2251" s="4840">
        <v>45376</v>
      </c>
      <c r="AP2251" s="3812"/>
      <c r="AQ2251" s="5073" t="s">
        <v>3891</v>
      </c>
      <c r="AR2251" s="5059"/>
      <c r="AS2251" s="5984" t="s">
        <v>3892</v>
      </c>
      <c r="AT2251" s="3812"/>
      <c r="AU2251" s="5732"/>
      <c r="AV2251" s="5732"/>
      <c r="AW2251" s="5732"/>
      <c r="AX2251" s="5732"/>
      <c r="AY2251" s="5732"/>
      <c r="AZ2251" s="5732"/>
      <c r="BA2251" s="3812"/>
      <c r="BB2251" s="3812"/>
      <c r="BC2251" s="3812"/>
      <c r="BD2251" s="3812"/>
      <c r="BE2251" s="5123"/>
      <c r="BF2251" s="5123"/>
      <c r="BG2251" s="5123"/>
      <c r="BH2251" s="4840">
        <v>100000</v>
      </c>
      <c r="BI2251" s="3812"/>
      <c r="BJ2251" s="3812"/>
      <c r="BK2251" s="3812"/>
      <c r="BL2251" s="3812"/>
      <c r="BM2251" s="4840"/>
      <c r="BN2251" s="4840"/>
      <c r="BO2251" s="3812"/>
      <c r="BP2251" s="3812"/>
      <c r="BQ2251" s="3812"/>
      <c r="BR2251" s="4813"/>
      <c r="BS2251" s="3812"/>
      <c r="BT2251" s="3812"/>
      <c r="BU2251" s="3812"/>
      <c r="BV2251" s="3812">
        <v>100000</v>
      </c>
      <c r="BW2251" s="3812"/>
      <c r="BX2251" s="3812"/>
      <c r="BY2251" s="3812"/>
      <c r="BZ2251" s="3812"/>
      <c r="CA2251" s="4840"/>
      <c r="CB2251" s="4840"/>
      <c r="CC2251" s="3812"/>
      <c r="CD2251" s="3812"/>
      <c r="CE2251" s="5310"/>
      <c r="CF2251" s="5310"/>
      <c r="CG2251" s="5310"/>
      <c r="CH2251" s="5310"/>
    </row>
    <row r="2252" s="4974" customFormat="1" ht="33.35" customHeight="1" spans="1:86">
      <c r="A2252" s="3812"/>
      <c r="B2252" s="3812"/>
      <c r="C2252" s="3812"/>
      <c r="D2252" s="5059"/>
      <c r="E2252" s="5059"/>
      <c r="F2252" s="5059"/>
      <c r="G2252" s="5059"/>
      <c r="H2252" s="5059"/>
      <c r="I2252" s="5205"/>
      <c r="J2252" s="5059"/>
      <c r="K2252" s="5059"/>
      <c r="L2252" s="5059"/>
      <c r="M2252" s="3812"/>
      <c r="N2252" s="5711"/>
      <c r="O2252" s="5711"/>
      <c r="P2252" s="5711"/>
      <c r="Q2252" s="7071"/>
      <c r="R2252" s="5711"/>
      <c r="S2252" s="5711"/>
      <c r="T2252" s="5711"/>
      <c r="U2252" s="7071"/>
      <c r="V2252" s="7071"/>
      <c r="W2252" s="5711"/>
      <c r="X2252" s="5711"/>
      <c r="Y2252" s="5711"/>
      <c r="Z2252" s="5711"/>
      <c r="AA2252" s="5711"/>
      <c r="AB2252" s="5711"/>
      <c r="AC2252" s="5205"/>
      <c r="AD2252" s="5977"/>
      <c r="AE2252" s="5205"/>
      <c r="AF2252" s="4841"/>
      <c r="AG2252" s="4840">
        <f t="shared" si="487"/>
        <v>137928.342</v>
      </c>
      <c r="AH2252" s="3366" t="s">
        <v>122</v>
      </c>
      <c r="AI2252" s="4842">
        <v>45282</v>
      </c>
      <c r="AJ2252" s="4842">
        <v>137928.34</v>
      </c>
      <c r="AK2252" s="4842">
        <v>45282</v>
      </c>
      <c r="AL2252" s="3812">
        <v>137928.34</v>
      </c>
      <c r="AM2252" s="4840">
        <v>45376</v>
      </c>
      <c r="AN2252" s="3812">
        <f t="shared" si="488"/>
        <v>137928.342</v>
      </c>
      <c r="AO2252" s="3812">
        <v>45379</v>
      </c>
      <c r="AP2252" s="3812"/>
      <c r="AQ2252" s="5205"/>
      <c r="AR2252" s="5059"/>
      <c r="AS2252" s="7092"/>
      <c r="AT2252" s="3812"/>
      <c r="AU2252" s="5732"/>
      <c r="AV2252" s="5732"/>
      <c r="AW2252" s="5732"/>
      <c r="AX2252" s="5732"/>
      <c r="AY2252" s="5732"/>
      <c r="AZ2252" s="5732"/>
      <c r="BA2252" s="3812"/>
      <c r="BB2252" s="3812"/>
      <c r="BC2252" s="3812"/>
      <c r="BD2252" s="3812"/>
      <c r="BE2252" s="5123"/>
      <c r="BF2252" s="5123"/>
      <c r="BG2252" s="5123"/>
      <c r="BH2252" s="3812">
        <v>135549.05858</v>
      </c>
      <c r="BI2252" s="3812"/>
      <c r="BJ2252" s="3812"/>
      <c r="BK2252" s="3812"/>
      <c r="BL2252" s="3812"/>
      <c r="BM2252" s="4841"/>
      <c r="BN2252" s="4841">
        <v>2379.28342</v>
      </c>
      <c r="BO2252" s="3812"/>
      <c r="BP2252" s="3812"/>
      <c r="BQ2252" s="3812"/>
      <c r="BR2252" s="3812"/>
      <c r="BS2252" s="3812"/>
      <c r="BT2252" s="3812"/>
      <c r="BU2252" s="3812"/>
      <c r="BV2252" s="3812">
        <v>135549.05858</v>
      </c>
      <c r="BW2252" s="3812"/>
      <c r="BX2252" s="3812"/>
      <c r="BY2252" s="3812"/>
      <c r="BZ2252" s="3812"/>
      <c r="CA2252" s="4840"/>
      <c r="CB2252" s="4840">
        <v>2379.28342</v>
      </c>
      <c r="CC2252" s="3812"/>
      <c r="CD2252" s="3812"/>
      <c r="CE2252" s="5310"/>
      <c r="CF2252" s="5310"/>
      <c r="CG2252" s="5310"/>
      <c r="CH2252" s="5310"/>
    </row>
    <row r="2253" s="4974" customFormat="1" ht="33.35" customHeight="1" spans="1:86">
      <c r="A2253" s="3812"/>
      <c r="B2253" s="3812"/>
      <c r="C2253" s="3812"/>
      <c r="D2253" s="5059"/>
      <c r="E2253" s="5059"/>
      <c r="F2253" s="5059"/>
      <c r="G2253" s="5059"/>
      <c r="H2253" s="5059"/>
      <c r="I2253" s="5205"/>
      <c r="J2253" s="5059"/>
      <c r="K2253" s="5059"/>
      <c r="L2253" s="5059"/>
      <c r="M2253" s="3812"/>
      <c r="N2253" s="5711"/>
      <c r="O2253" s="5711"/>
      <c r="P2253" s="5711"/>
      <c r="Q2253" s="7071"/>
      <c r="R2253" s="5711"/>
      <c r="S2253" s="5711"/>
      <c r="T2253" s="5711"/>
      <c r="U2253" s="7071"/>
      <c r="V2253" s="7071"/>
      <c r="W2253" s="5711"/>
      <c r="X2253" s="5711"/>
      <c r="Y2253" s="5711"/>
      <c r="Z2253" s="5711"/>
      <c r="AA2253" s="5711"/>
      <c r="AB2253" s="5711"/>
      <c r="AC2253" s="5073" t="s">
        <v>1113</v>
      </c>
      <c r="AD2253" s="5242" t="s">
        <v>1777</v>
      </c>
      <c r="AE2253" s="5073">
        <v>0.4</v>
      </c>
      <c r="AF2253" s="4840">
        <f>1189641.71*AE2253</f>
        <v>475856.684</v>
      </c>
      <c r="AG2253" s="4840">
        <f t="shared" si="487"/>
        <v>100000</v>
      </c>
      <c r="AH2253" s="3366" t="s">
        <v>122</v>
      </c>
      <c r="AI2253" s="4840">
        <v>45282</v>
      </c>
      <c r="AJ2253" s="3812">
        <v>100000</v>
      </c>
      <c r="AK2253" s="4840">
        <v>45282</v>
      </c>
      <c r="AL2253" s="3812">
        <v>100000</v>
      </c>
      <c r="AM2253" s="4840">
        <v>45741</v>
      </c>
      <c r="AN2253" s="3812">
        <f t="shared" si="488"/>
        <v>100000</v>
      </c>
      <c r="AO2253" s="4840">
        <v>45765</v>
      </c>
      <c r="AP2253" s="3812"/>
      <c r="AQ2253" s="5206" t="s">
        <v>3893</v>
      </c>
      <c r="AR2253" s="5059"/>
      <c r="AS2253" s="7092"/>
      <c r="AT2253" s="3812"/>
      <c r="AU2253" s="5732"/>
      <c r="AV2253" s="5732"/>
      <c r="AW2253" s="5732"/>
      <c r="AX2253" s="5732"/>
      <c r="AY2253" s="5732"/>
      <c r="AZ2253" s="5732"/>
      <c r="BA2253" s="3812"/>
      <c r="BB2253" s="3812"/>
      <c r="BC2253" s="3812"/>
      <c r="BD2253" s="4813">
        <v>100000</v>
      </c>
      <c r="BE2253" s="5123"/>
      <c r="BF2253" s="5123"/>
      <c r="BG2253" s="5123"/>
      <c r="BH2253" s="5248"/>
      <c r="BI2253" s="4813"/>
      <c r="BJ2253" s="4813"/>
      <c r="BK2253" s="4813"/>
      <c r="BL2253" s="4813"/>
      <c r="BM2253" s="5248"/>
      <c r="BN2253" s="4840"/>
      <c r="BO2253" s="3812"/>
      <c r="BP2253" s="3812"/>
      <c r="BQ2253" s="3812"/>
      <c r="BR2253" s="4813">
        <v>100000</v>
      </c>
      <c r="BS2253" s="4813"/>
      <c r="BT2253" s="4813"/>
      <c r="BU2253" s="4813"/>
      <c r="BV2253" s="4813"/>
      <c r="BW2253" s="3812"/>
      <c r="BX2253" s="3812"/>
      <c r="BY2253" s="3812"/>
      <c r="BZ2253" s="3812"/>
      <c r="CA2253" s="3812"/>
      <c r="CB2253" s="3812"/>
      <c r="CC2253" s="3812"/>
      <c r="CD2253" s="3812"/>
      <c r="CE2253" s="5310"/>
      <c r="CF2253" s="5310"/>
      <c r="CG2253" s="5310"/>
      <c r="CH2253" s="5310"/>
    </row>
    <row r="2254" s="4974" customFormat="1" ht="28.35" customHeight="1" spans="1:86">
      <c r="A2254" s="3812"/>
      <c r="B2254" s="3812"/>
      <c r="C2254" s="3812"/>
      <c r="D2254" s="5059"/>
      <c r="E2254" s="5059"/>
      <c r="F2254" s="5059"/>
      <c r="G2254" s="5059"/>
      <c r="H2254" s="5059"/>
      <c r="I2254" s="5205"/>
      <c r="J2254" s="5059"/>
      <c r="K2254" s="5059"/>
      <c r="L2254" s="5059"/>
      <c r="M2254" s="3812"/>
      <c r="N2254" s="5711"/>
      <c r="O2254" s="5711"/>
      <c r="P2254" s="5711"/>
      <c r="Q2254" s="7071"/>
      <c r="R2254" s="5711"/>
      <c r="S2254" s="5711"/>
      <c r="T2254" s="5711"/>
      <c r="U2254" s="7071"/>
      <c r="V2254" s="7071"/>
      <c r="W2254" s="5711"/>
      <c r="X2254" s="5711"/>
      <c r="Y2254" s="5711"/>
      <c r="Z2254" s="5711"/>
      <c r="AA2254" s="5711"/>
      <c r="AB2254" s="5711"/>
      <c r="AC2254" s="5205"/>
      <c r="AD2254" s="5977"/>
      <c r="AE2254" s="5205"/>
      <c r="AF2254" s="4841"/>
      <c r="AG2254" s="4840">
        <f t="shared" si="487"/>
        <v>7067.76</v>
      </c>
      <c r="AH2254" s="3366" t="s">
        <v>122</v>
      </c>
      <c r="AI2254" s="4840">
        <v>45373</v>
      </c>
      <c r="AJ2254" s="3812">
        <v>7067.76</v>
      </c>
      <c r="AK2254" s="4840">
        <v>45373</v>
      </c>
      <c r="AL2254" s="3812">
        <v>7067.76</v>
      </c>
      <c r="AM2254" s="4840">
        <v>45741</v>
      </c>
      <c r="AN2254" s="3812">
        <f t="shared" si="488"/>
        <v>7067.76</v>
      </c>
      <c r="AO2254" s="4840">
        <v>45765</v>
      </c>
      <c r="AP2254" s="3812"/>
      <c r="AQ2254" s="1032"/>
      <c r="AR2254" s="5059"/>
      <c r="AS2254" s="7092"/>
      <c r="AT2254" s="3812"/>
      <c r="AU2254" s="5732"/>
      <c r="AV2254" s="5732"/>
      <c r="AW2254" s="5732"/>
      <c r="AX2254" s="5732"/>
      <c r="AY2254" s="5732"/>
      <c r="AZ2254" s="5732"/>
      <c r="BA2254" s="3812"/>
      <c r="BB2254" s="3812"/>
      <c r="BC2254" s="3812"/>
      <c r="BD2254" s="4813"/>
      <c r="BE2254" s="5123"/>
      <c r="BF2254" s="5123"/>
      <c r="BG2254" s="5123"/>
      <c r="BH2254" s="5350">
        <v>5997.08</v>
      </c>
      <c r="BI2254" s="4815"/>
      <c r="BJ2254" s="4815"/>
      <c r="BK2254" s="4815"/>
      <c r="BL2254" s="4815"/>
      <c r="BM2254" s="5251"/>
      <c r="BN2254" s="4842">
        <v>1070.68</v>
      </c>
      <c r="BO2254" s="3812"/>
      <c r="BP2254" s="3812"/>
      <c r="BQ2254" s="3812"/>
      <c r="BR2254" s="4813"/>
      <c r="BS2254" s="4813"/>
      <c r="BT2254" s="4813"/>
      <c r="BU2254" s="4813"/>
      <c r="BV2254" s="4813">
        <v>5997.08</v>
      </c>
      <c r="BW2254" s="3812"/>
      <c r="BX2254" s="3812"/>
      <c r="BY2254" s="3812"/>
      <c r="BZ2254" s="3812"/>
      <c r="CA2254" s="3812"/>
      <c r="CB2254" s="4813">
        <v>1070.68</v>
      </c>
      <c r="CC2254" s="3812"/>
      <c r="CD2254" s="3812"/>
      <c r="CE2254" s="5310"/>
      <c r="CF2254" s="5310"/>
      <c r="CG2254" s="5310"/>
      <c r="CH2254" s="5310"/>
    </row>
    <row r="2255" s="4974" customFormat="1" ht="28.35" customHeight="1" spans="1:86">
      <c r="A2255" s="3812"/>
      <c r="B2255" s="3812"/>
      <c r="C2255" s="3812"/>
      <c r="D2255" s="5059"/>
      <c r="E2255" s="5059"/>
      <c r="F2255" s="5059"/>
      <c r="G2255" s="5059"/>
      <c r="H2255" s="5059"/>
      <c r="I2255" s="5205"/>
      <c r="J2255" s="5059"/>
      <c r="K2255" s="5059"/>
      <c r="L2255" s="5059"/>
      <c r="M2255" s="3812"/>
      <c r="N2255" s="5711"/>
      <c r="O2255" s="5711"/>
      <c r="P2255" s="5711"/>
      <c r="Q2255" s="7071"/>
      <c r="R2255" s="5711"/>
      <c r="S2255" s="5711"/>
      <c r="T2255" s="5711"/>
      <c r="U2255" s="7071"/>
      <c r="V2255" s="7071"/>
      <c r="W2255" s="5711"/>
      <c r="X2255" s="5711"/>
      <c r="Y2255" s="5711"/>
      <c r="Z2255" s="5711"/>
      <c r="AA2255" s="5711"/>
      <c r="AB2255" s="5711"/>
      <c r="AC2255" s="5205"/>
      <c r="AD2255" s="5977"/>
      <c r="AE2255" s="5205"/>
      <c r="AF2255" s="4841"/>
      <c r="AG2255" s="3812">
        <f t="shared" si="487"/>
        <v>82525.94</v>
      </c>
      <c r="AH2255" s="857" t="s">
        <v>122</v>
      </c>
      <c r="AI2255" s="3812">
        <v>45646</v>
      </c>
      <c r="AJ2255" s="4842">
        <v>82525.94</v>
      </c>
      <c r="AK2255" s="3812">
        <v>45646</v>
      </c>
      <c r="AL2255" s="3812">
        <v>82525.94</v>
      </c>
      <c r="AM2255" s="4840">
        <v>45741</v>
      </c>
      <c r="AN2255" s="3812">
        <f t="shared" si="488"/>
        <v>82525.94</v>
      </c>
      <c r="AO2255" s="4840">
        <v>45765</v>
      </c>
      <c r="AP2255" s="3812"/>
      <c r="AQ2255" s="1032"/>
      <c r="AR2255" s="5059"/>
      <c r="AS2255" s="7092"/>
      <c r="AT2255" s="3812"/>
      <c r="AU2255" s="5732"/>
      <c r="AV2255" s="5732"/>
      <c r="AW2255" s="5732"/>
      <c r="AX2255" s="5732"/>
      <c r="AY2255" s="5732"/>
      <c r="AZ2255" s="5732"/>
      <c r="BA2255" s="3812"/>
      <c r="BB2255" s="3812"/>
      <c r="BC2255" s="3812"/>
      <c r="BD2255" s="5123"/>
      <c r="BE2255" s="5123"/>
      <c r="BF2255" s="5123"/>
      <c r="BG2255" s="5123"/>
      <c r="BH2255" s="5350">
        <v>81700.68</v>
      </c>
      <c r="BI2255" s="4815"/>
      <c r="BJ2255" s="4815"/>
      <c r="BK2255" s="4815"/>
      <c r="BL2255" s="4815"/>
      <c r="BM2255" s="5251"/>
      <c r="BN2255" s="4842">
        <v>825.26</v>
      </c>
      <c r="BO2255" s="3812"/>
      <c r="BP2255" s="3812"/>
      <c r="BQ2255" s="3812"/>
      <c r="BR2255" s="4813"/>
      <c r="BS2255" s="4813"/>
      <c r="BT2255" s="4813"/>
      <c r="BU2255" s="4813"/>
      <c r="BV2255" s="5350">
        <v>81700.68</v>
      </c>
      <c r="BW2255" s="4813"/>
      <c r="BX2255" s="4813"/>
      <c r="BY2255" s="4813"/>
      <c r="BZ2255" s="4813"/>
      <c r="CA2255" s="5350"/>
      <c r="CB2255" s="5350">
        <v>825.26</v>
      </c>
      <c r="CC2255" s="3812"/>
      <c r="CD2255" s="3812"/>
      <c r="CE2255" s="5310"/>
      <c r="CF2255" s="5310"/>
      <c r="CG2255" s="5310"/>
      <c r="CH2255" s="5310"/>
    </row>
    <row r="2256" s="4974" customFormat="1" ht="33.35" customHeight="1" spans="1:86">
      <c r="A2256" s="3812"/>
      <c r="B2256" s="3812"/>
      <c r="C2256" s="3812"/>
      <c r="D2256" s="5059"/>
      <c r="E2256" s="5059"/>
      <c r="F2256" s="5059"/>
      <c r="G2256" s="5059"/>
      <c r="H2256" s="5059"/>
      <c r="I2256" s="5205"/>
      <c r="J2256" s="5059"/>
      <c r="K2256" s="5059"/>
      <c r="L2256" s="5059"/>
      <c r="M2256" s="3812"/>
      <c r="N2256" s="5711"/>
      <c r="O2256" s="5711"/>
      <c r="P2256" s="5711"/>
      <c r="Q2256" s="7071"/>
      <c r="R2256" s="5711"/>
      <c r="S2256" s="5711"/>
      <c r="T2256" s="5711"/>
      <c r="U2256" s="7071"/>
      <c r="V2256" s="7071"/>
      <c r="W2256" s="5711"/>
      <c r="X2256" s="5711"/>
      <c r="Y2256" s="5711"/>
      <c r="Z2256" s="5711"/>
      <c r="AA2256" s="5711"/>
      <c r="AB2256" s="5711"/>
      <c r="AC2256" s="5205"/>
      <c r="AD2256" s="5977"/>
      <c r="AE2256" s="5205"/>
      <c r="AF2256" s="4841"/>
      <c r="AG2256" s="3812">
        <f t="shared" si="487"/>
        <v>286262.98</v>
      </c>
      <c r="AH2256" s="857" t="s">
        <v>122</v>
      </c>
      <c r="AI2256" s="3812">
        <v>45805</v>
      </c>
      <c r="AJ2256" s="3812">
        <v>286262.98</v>
      </c>
      <c r="AK2256" s="3812">
        <v>45805</v>
      </c>
      <c r="AL2256" s="3812">
        <v>286262.98</v>
      </c>
      <c r="AM2256" s="3812">
        <v>45805</v>
      </c>
      <c r="AN2256" s="3812">
        <f t="shared" si="488"/>
        <v>286262.98</v>
      </c>
      <c r="AO2256" s="3812">
        <v>45834</v>
      </c>
      <c r="AP2256" s="3812"/>
      <c r="AQ2256" s="1032"/>
      <c r="AR2256" s="5059"/>
      <c r="AS2256" s="7092"/>
      <c r="AT2256" s="3812"/>
      <c r="AU2256" s="5732"/>
      <c r="AV2256" s="5732"/>
      <c r="AW2256" s="5732"/>
      <c r="AX2256" s="5732"/>
      <c r="AY2256" s="5732"/>
      <c r="AZ2256" s="5732"/>
      <c r="BA2256" s="3812"/>
      <c r="BB2256" s="3812"/>
      <c r="BC2256" s="3812"/>
      <c r="BD2256" s="4813"/>
      <c r="BE2256" s="4813"/>
      <c r="BF2256" s="4813"/>
      <c r="BG2256" s="4813"/>
      <c r="BH2256" s="5350">
        <v>283400.35</v>
      </c>
      <c r="BI2256" s="4813"/>
      <c r="BJ2256" s="4813"/>
      <c r="BK2256" s="4813"/>
      <c r="BL2256" s="4813"/>
      <c r="BM2256" s="4813"/>
      <c r="BN2256" s="4813">
        <v>2862.63</v>
      </c>
      <c r="BO2256" s="5123"/>
      <c r="BP2256" s="5123"/>
      <c r="BQ2256" s="3812"/>
      <c r="BR2256" s="4813"/>
      <c r="BS2256" s="4813"/>
      <c r="BT2256" s="4813"/>
      <c r="BU2256" s="4813"/>
      <c r="BV2256" s="4813">
        <v>283400.35</v>
      </c>
      <c r="BW2256" s="4815"/>
      <c r="BX2256" s="4815"/>
      <c r="BY2256" s="4815"/>
      <c r="BZ2256" s="4815"/>
      <c r="CA2256" s="4815"/>
      <c r="CB2256" s="4813">
        <v>2862.63</v>
      </c>
      <c r="CC2256" s="3812"/>
      <c r="CD2256" s="3812"/>
      <c r="CE2256" s="5310"/>
      <c r="CF2256" s="5310"/>
      <c r="CG2256" s="5310"/>
      <c r="CH2256" s="5310"/>
    </row>
    <row r="2257" s="4974" customFormat="1" ht="33" customHeight="1" spans="1:86">
      <c r="A2257" s="3812"/>
      <c r="B2257" s="3812"/>
      <c r="C2257" s="3812"/>
      <c r="D2257" s="5059"/>
      <c r="E2257" s="5059"/>
      <c r="F2257" s="5059"/>
      <c r="G2257" s="5059"/>
      <c r="H2257" s="5059"/>
      <c r="I2257" s="5205"/>
      <c r="J2257" s="5059"/>
      <c r="K2257" s="5059"/>
      <c r="L2257" s="5059"/>
      <c r="M2257" s="3812"/>
      <c r="N2257" s="5711"/>
      <c r="O2257" s="5711"/>
      <c r="P2257" s="5711"/>
      <c r="Q2257" s="7071"/>
      <c r="R2257" s="5711"/>
      <c r="S2257" s="5711"/>
      <c r="T2257" s="5711"/>
      <c r="U2257" s="7071"/>
      <c r="V2257" s="7071"/>
      <c r="W2257" s="5711"/>
      <c r="X2257" s="5711"/>
      <c r="Y2257" s="5711"/>
      <c r="Z2257" s="5711"/>
      <c r="AA2257" s="5711"/>
      <c r="AB2257" s="5711"/>
      <c r="AC2257" s="5073" t="s">
        <v>1115</v>
      </c>
      <c r="AD2257" s="5242" t="s">
        <v>1782</v>
      </c>
      <c r="AE2257" s="5073">
        <v>0.4</v>
      </c>
      <c r="AF2257" s="4840">
        <f>1189641.71*AE2257</f>
        <v>475856.684</v>
      </c>
      <c r="AG2257" s="3812">
        <f t="shared" si="487"/>
        <v>189593.7</v>
      </c>
      <c r="AH2257" s="857" t="s">
        <v>122</v>
      </c>
      <c r="AI2257" s="3812">
        <v>45646</v>
      </c>
      <c r="AJ2257" s="3812">
        <v>189593.7</v>
      </c>
      <c r="AK2257" s="3812">
        <v>45646</v>
      </c>
      <c r="AL2257" s="3812">
        <v>189593.7</v>
      </c>
      <c r="AM2257" s="4840">
        <v>45741</v>
      </c>
      <c r="AN2257" s="3812">
        <f t="shared" si="488"/>
        <v>189593.7</v>
      </c>
      <c r="AO2257" s="4840">
        <v>45765</v>
      </c>
      <c r="AP2257" s="3812"/>
      <c r="AQ2257" s="1032"/>
      <c r="AR2257" s="5059"/>
      <c r="AS2257" s="7092"/>
      <c r="AT2257" s="3812"/>
      <c r="AU2257" s="5732"/>
      <c r="AV2257" s="5732"/>
      <c r="AW2257" s="5732"/>
      <c r="AX2257" s="5732"/>
      <c r="AY2257" s="5732"/>
      <c r="AZ2257" s="5732"/>
      <c r="BA2257" s="3812"/>
      <c r="BB2257" s="3812"/>
      <c r="BC2257" s="3812"/>
      <c r="BD2257" s="5123"/>
      <c r="BE2257" s="5123"/>
      <c r="BF2257" s="5123"/>
      <c r="BG2257" s="5123"/>
      <c r="BH2257" s="5350">
        <v>187697.76</v>
      </c>
      <c r="BI2257" s="5123"/>
      <c r="BJ2257" s="5123"/>
      <c r="BK2257" s="5123"/>
      <c r="BL2257" s="5123"/>
      <c r="BM2257" s="5123"/>
      <c r="BN2257" s="3812">
        <v>1895.94</v>
      </c>
      <c r="BO2257" s="5123"/>
      <c r="BP2257" s="5123"/>
      <c r="BQ2257" s="3812"/>
      <c r="BR2257" s="3812"/>
      <c r="BS2257" s="3812"/>
      <c r="BT2257" s="3812"/>
      <c r="BU2257" s="3812"/>
      <c r="BV2257" s="5350">
        <v>187697.76</v>
      </c>
      <c r="BW2257" s="4813"/>
      <c r="BX2257" s="4813"/>
      <c r="BY2257" s="4813"/>
      <c r="BZ2257" s="4813"/>
      <c r="CA2257" s="4813"/>
      <c r="CB2257" s="4813">
        <v>1895.94</v>
      </c>
      <c r="CC2257" s="3812"/>
      <c r="CD2257" s="3812"/>
      <c r="CE2257" s="5169">
        <f>SUBTOTAL(9,BO2257:CB2257)</f>
        <v>189593.7</v>
      </c>
      <c r="CF2257" s="5169">
        <f>AN2257-CE2257</f>
        <v>0</v>
      </c>
      <c r="CG2257" s="5310"/>
      <c r="CH2257" s="5310"/>
    </row>
    <row r="2258" s="4974" customFormat="1" ht="30" customHeight="1" spans="1:86">
      <c r="A2258" s="3812"/>
      <c r="B2258" s="3812"/>
      <c r="C2258" s="3812"/>
      <c r="D2258" s="5059"/>
      <c r="E2258" s="5059"/>
      <c r="F2258" s="5059"/>
      <c r="G2258" s="5059"/>
      <c r="H2258" s="5059"/>
      <c r="I2258" s="5205"/>
      <c r="J2258" s="5059"/>
      <c r="K2258" s="5059"/>
      <c r="L2258" s="5059"/>
      <c r="M2258" s="3812"/>
      <c r="N2258" s="5711"/>
      <c r="O2258" s="5711"/>
      <c r="P2258" s="5711"/>
      <c r="Q2258" s="7071"/>
      <c r="R2258" s="5711"/>
      <c r="S2258" s="5711"/>
      <c r="T2258" s="5711"/>
      <c r="U2258" s="7071"/>
      <c r="V2258" s="7071"/>
      <c r="W2258" s="5711"/>
      <c r="X2258" s="5711"/>
      <c r="Y2258" s="5711"/>
      <c r="Z2258" s="5711"/>
      <c r="AA2258" s="5711"/>
      <c r="AB2258" s="5711"/>
      <c r="AC2258" s="5206"/>
      <c r="AD2258" s="5942"/>
      <c r="AE2258" s="5206"/>
      <c r="AF2258" s="4842"/>
      <c r="AG2258" s="4815">
        <f t="shared" si="487"/>
        <v>286262.98</v>
      </c>
      <c r="AH2258" s="5345"/>
      <c r="AI2258" s="4815"/>
      <c r="AJ2258" s="3812">
        <v>249239.78</v>
      </c>
      <c r="AK2258" s="4813"/>
      <c r="AL2258" s="3812"/>
      <c r="AM2258" s="3812"/>
      <c r="AN2258" s="5123">
        <f t="shared" si="488"/>
        <v>0</v>
      </c>
      <c r="AO2258" s="3812"/>
      <c r="AP2258" s="3812"/>
      <c r="AQ2258" s="1032"/>
      <c r="AR2258" s="5059"/>
      <c r="AS2258" s="7093"/>
      <c r="AT2258" s="3812"/>
      <c r="AU2258" s="5732"/>
      <c r="AV2258" s="5732"/>
      <c r="AW2258" s="5732"/>
      <c r="AX2258" s="5732"/>
      <c r="AY2258" s="5732"/>
      <c r="AZ2258" s="5732"/>
      <c r="BA2258" s="3812"/>
      <c r="BB2258" s="3812"/>
      <c r="BC2258" s="3812"/>
      <c r="BD2258" s="5123"/>
      <c r="BE2258" s="5123"/>
      <c r="BF2258" s="5123"/>
      <c r="BG2258" s="5123"/>
      <c r="BH2258" s="5251">
        <v>283400.35</v>
      </c>
      <c r="BI2258" s="5123"/>
      <c r="BJ2258" s="5123"/>
      <c r="BK2258" s="5123"/>
      <c r="BL2258" s="5123"/>
      <c r="BM2258" s="5123"/>
      <c r="BN2258" s="4815">
        <v>2862.63</v>
      </c>
      <c r="BO2258" s="3812"/>
      <c r="BP2258" s="3812"/>
      <c r="BQ2258" s="3812"/>
      <c r="BR2258" s="3812"/>
      <c r="BS2258" s="3812"/>
      <c r="BT2258" s="3812"/>
      <c r="BU2258" s="3812"/>
      <c r="BV2258" s="5123"/>
      <c r="BW2258" s="3812"/>
      <c r="BX2258" s="3812"/>
      <c r="BY2258" s="3812"/>
      <c r="BZ2258" s="3812"/>
      <c r="CA2258" s="3812"/>
      <c r="CB2258" s="5123"/>
      <c r="CC2258" s="3812"/>
      <c r="CD2258" s="3812"/>
      <c r="CE2258" s="5310"/>
      <c r="CF2258" s="5310"/>
      <c r="CG2258" s="5310"/>
      <c r="CH2258" s="5310"/>
    </row>
    <row r="2259" s="4974" customFormat="1" ht="30" customHeight="1" spans="1:86">
      <c r="A2259" s="3812"/>
      <c r="B2259" s="3812"/>
      <c r="C2259" s="3812"/>
      <c r="D2259" s="5059"/>
      <c r="E2259" s="5059"/>
      <c r="F2259" s="5059"/>
      <c r="G2259" s="5059"/>
      <c r="H2259" s="5059"/>
      <c r="I2259" s="5205"/>
      <c r="J2259" s="5059"/>
      <c r="K2259" s="5059"/>
      <c r="L2259" s="5059"/>
      <c r="M2259" s="3812"/>
      <c r="N2259" s="5711"/>
      <c r="O2259" s="5711"/>
      <c r="P2259" s="5711"/>
      <c r="Q2259" s="7071"/>
      <c r="R2259" s="5711"/>
      <c r="S2259" s="5711"/>
      <c r="T2259" s="5711"/>
      <c r="U2259" s="7071"/>
      <c r="V2259" s="7071"/>
      <c r="W2259" s="5711"/>
      <c r="X2259" s="5711"/>
      <c r="Y2259" s="5711"/>
      <c r="Z2259" s="5711"/>
      <c r="AA2259" s="5711"/>
      <c r="AB2259" s="5711"/>
      <c r="AC2259" s="1032" t="s">
        <v>193</v>
      </c>
      <c r="AD2259" s="5241" t="s">
        <v>1785</v>
      </c>
      <c r="AE2259" s="1032">
        <v>1</v>
      </c>
      <c r="AF2259" s="3812">
        <v>80000</v>
      </c>
      <c r="AG2259" s="3812">
        <f t="shared" si="487"/>
        <v>80000</v>
      </c>
      <c r="AH2259" s="857" t="s">
        <v>122</v>
      </c>
      <c r="AI2259" s="3812">
        <v>45357</v>
      </c>
      <c r="AJ2259" s="3812">
        <v>80000</v>
      </c>
      <c r="AK2259" s="3812">
        <v>45357</v>
      </c>
      <c r="AL2259" s="3812">
        <v>80000</v>
      </c>
      <c r="AM2259" s="3812">
        <v>45376</v>
      </c>
      <c r="AN2259" s="3812">
        <f t="shared" si="488"/>
        <v>80000</v>
      </c>
      <c r="AO2259" s="3812">
        <v>45379</v>
      </c>
      <c r="AP2259" s="3812"/>
      <c r="AQ2259" s="1032" t="s">
        <v>3891</v>
      </c>
      <c r="AR2259" s="5059"/>
      <c r="AS2259" s="5059"/>
      <c r="AT2259" s="3812"/>
      <c r="AU2259" s="5732"/>
      <c r="AV2259" s="5732"/>
      <c r="AW2259" s="5732"/>
      <c r="AX2259" s="5732"/>
      <c r="AY2259" s="5732"/>
      <c r="AZ2259" s="5732"/>
      <c r="BA2259" s="3812"/>
      <c r="BB2259" s="3812"/>
      <c r="BC2259" s="3812"/>
      <c r="BD2259" s="5123"/>
      <c r="BE2259" s="5123"/>
      <c r="BF2259" s="5123"/>
      <c r="BG2259" s="5123"/>
      <c r="BH2259" s="5123"/>
      <c r="BI2259" s="3812">
        <v>79200</v>
      </c>
      <c r="BJ2259" s="3812"/>
      <c r="BK2259" s="3812"/>
      <c r="BL2259" s="3812"/>
      <c r="BM2259" s="3812"/>
      <c r="BN2259" s="5257">
        <v>800</v>
      </c>
      <c r="BO2259" s="3812"/>
      <c r="BP2259" s="3812"/>
      <c r="BQ2259" s="3812"/>
      <c r="BR2259" s="3812"/>
      <c r="BS2259" s="3812"/>
      <c r="BT2259" s="3812"/>
      <c r="BU2259" s="3812"/>
      <c r="BV2259" s="3812"/>
      <c r="BW2259" s="5709">
        <v>79200</v>
      </c>
      <c r="BX2259" s="3812"/>
      <c r="BY2259" s="3812"/>
      <c r="BZ2259" s="3812"/>
      <c r="CA2259" s="3812"/>
      <c r="CB2259" s="7095">
        <v>800</v>
      </c>
      <c r="CC2259" s="3812"/>
      <c r="CD2259" s="3812"/>
      <c r="CE2259" s="5310"/>
      <c r="CF2259" s="5310"/>
      <c r="CG2259" s="5310"/>
      <c r="CH2259" s="5310"/>
    </row>
    <row r="2260" s="4974" customFormat="1" ht="26.65" customHeight="1" spans="1:86">
      <c r="A2260" s="3812"/>
      <c r="B2260" s="3812"/>
      <c r="C2260" s="3812"/>
      <c r="D2260" s="5059"/>
      <c r="E2260" s="5059"/>
      <c r="F2260" s="5059"/>
      <c r="G2260" s="5059"/>
      <c r="H2260" s="5059"/>
      <c r="I2260" s="5205"/>
      <c r="J2260" s="5059"/>
      <c r="K2260" s="5059"/>
      <c r="L2260" s="5059"/>
      <c r="M2260" s="3812"/>
      <c r="N2260" s="5711"/>
      <c r="O2260" s="5711"/>
      <c r="P2260" s="5711"/>
      <c r="Q2260" s="7071"/>
      <c r="R2260" s="5711"/>
      <c r="S2260" s="5711"/>
      <c r="T2260" s="5711"/>
      <c r="U2260" s="7071"/>
      <c r="V2260" s="7071"/>
      <c r="W2260" s="5711"/>
      <c r="X2260" s="5711"/>
      <c r="Y2260" s="5711"/>
      <c r="Z2260" s="5711"/>
      <c r="AA2260" s="5711"/>
      <c r="AB2260" s="5711"/>
      <c r="AC2260" s="5892" t="s">
        <v>1786</v>
      </c>
      <c r="AD2260" s="7089" t="s">
        <v>1787</v>
      </c>
      <c r="AE2260" s="5892">
        <v>0.1</v>
      </c>
      <c r="AF2260" s="5934">
        <f>2549016*AE2260</f>
        <v>254901.6</v>
      </c>
      <c r="AG2260" s="5201">
        <f t="shared" si="487"/>
        <v>254901.6</v>
      </c>
      <c r="AH2260" s="5930" t="s">
        <v>122</v>
      </c>
      <c r="AI2260" s="5201">
        <v>45357</v>
      </c>
      <c r="AJ2260" s="5201">
        <v>254901.6</v>
      </c>
      <c r="AK2260" s="5201">
        <v>45357</v>
      </c>
      <c r="AL2260" s="5201">
        <v>254901.6</v>
      </c>
      <c r="AM2260" s="5201">
        <v>45376</v>
      </c>
      <c r="AN2260" s="5201">
        <f t="shared" ref="AN2260:AN2271" si="489">SUM(BO2260:CB2260)</f>
        <v>254901.6</v>
      </c>
      <c r="AO2260" s="5201">
        <v>45379</v>
      </c>
      <c r="AP2260" s="5201"/>
      <c r="AQ2260" s="5073" t="s">
        <v>3891</v>
      </c>
      <c r="AR2260" s="5059"/>
      <c r="AS2260" s="5059"/>
      <c r="AT2260" s="3812"/>
      <c r="AU2260" s="5732"/>
      <c r="AV2260" s="5732"/>
      <c r="AW2260" s="5732"/>
      <c r="AX2260" s="5732"/>
      <c r="AY2260" s="5732"/>
      <c r="AZ2260" s="5732"/>
      <c r="BA2260" s="3812"/>
      <c r="BB2260" s="3812"/>
      <c r="BC2260" s="3812"/>
      <c r="BD2260" s="5123"/>
      <c r="BE2260" s="5123"/>
      <c r="BF2260" s="5123"/>
      <c r="BG2260" s="5123"/>
      <c r="BH2260" s="5123"/>
      <c r="BI2260" s="5123"/>
      <c r="BJ2260" s="5123"/>
      <c r="BK2260" s="5123"/>
      <c r="BL2260" s="5123"/>
      <c r="BM2260" s="5123"/>
      <c r="BN2260" s="3812">
        <v>254901.6</v>
      </c>
      <c r="BO2260" s="3812"/>
      <c r="BP2260" s="3812"/>
      <c r="BQ2260" s="3812"/>
      <c r="BR2260" s="3812"/>
      <c r="BS2260" s="3812"/>
      <c r="BT2260" s="3812"/>
      <c r="BU2260" s="3812"/>
      <c r="BV2260" s="3812"/>
      <c r="BW2260" s="3812"/>
      <c r="BX2260" s="3812"/>
      <c r="BY2260" s="3812"/>
      <c r="BZ2260" s="3812"/>
      <c r="CA2260" s="3812"/>
      <c r="CB2260" s="5709">
        <v>254901.6</v>
      </c>
      <c r="CC2260" s="3812"/>
      <c r="CD2260" s="3812"/>
      <c r="CE2260" s="5310"/>
      <c r="CF2260" s="5310"/>
      <c r="CG2260" s="5310"/>
      <c r="CH2260" s="5310"/>
    </row>
    <row r="2261" s="4974" customFormat="1" ht="31" spans="1:86">
      <c r="A2261" s="3812"/>
      <c r="B2261" s="3812"/>
      <c r="C2261" s="3812"/>
      <c r="D2261" s="5059"/>
      <c r="E2261" s="5059"/>
      <c r="F2261" s="5059"/>
      <c r="G2261" s="5059"/>
      <c r="H2261" s="5059"/>
      <c r="I2261" s="5205"/>
      <c r="J2261" s="5059"/>
      <c r="K2261" s="5059"/>
      <c r="L2261" s="5059"/>
      <c r="M2261" s="3812"/>
      <c r="N2261" s="5711"/>
      <c r="O2261" s="5711"/>
      <c r="P2261" s="5711"/>
      <c r="Q2261" s="7071"/>
      <c r="R2261" s="5711"/>
      <c r="S2261" s="5711"/>
      <c r="T2261" s="5711"/>
      <c r="U2261" s="7071"/>
      <c r="V2261" s="7071"/>
      <c r="W2261" s="5711"/>
      <c r="X2261" s="5711"/>
      <c r="Y2261" s="5711"/>
      <c r="Z2261" s="5711"/>
      <c r="AA2261" s="5711"/>
      <c r="AB2261" s="5711"/>
      <c r="AC2261" s="1032" t="s">
        <v>1913</v>
      </c>
      <c r="AD2261" s="5241" t="s">
        <v>1914</v>
      </c>
      <c r="AE2261" s="1032">
        <v>0.4</v>
      </c>
      <c r="AF2261" s="3812">
        <f t="shared" ref="AF2261:AF2263" si="490">363960*AE2261</f>
        <v>145584</v>
      </c>
      <c r="AG2261" s="3812">
        <f t="shared" ref="AG2261:AG2270" si="491">SUM(BA2261:BN2261)</f>
        <v>145584</v>
      </c>
      <c r="AH2261" s="857" t="s">
        <v>122</v>
      </c>
      <c r="AI2261" s="3812">
        <v>45357</v>
      </c>
      <c r="AJ2261" s="3812">
        <v>145584</v>
      </c>
      <c r="AK2261" s="3812">
        <v>45357</v>
      </c>
      <c r="AL2261" s="3812">
        <v>145584</v>
      </c>
      <c r="AM2261" s="3812">
        <v>45376</v>
      </c>
      <c r="AN2261" s="3812">
        <f t="shared" si="489"/>
        <v>145584</v>
      </c>
      <c r="AO2261" s="3812">
        <v>45379</v>
      </c>
      <c r="AP2261" s="3812"/>
      <c r="AQ2261" s="5205"/>
      <c r="AR2261" s="5059"/>
      <c r="AS2261" s="5059"/>
      <c r="AT2261" s="3812"/>
      <c r="AU2261" s="5732"/>
      <c r="AV2261" s="5732"/>
      <c r="AW2261" s="5732"/>
      <c r="AX2261" s="5732"/>
      <c r="AY2261" s="5732"/>
      <c r="AZ2261" s="5732"/>
      <c r="BA2261" s="3812"/>
      <c r="BB2261" s="3812"/>
      <c r="BC2261" s="3812"/>
      <c r="BD2261" s="5123"/>
      <c r="BE2261" s="5123"/>
      <c r="BF2261" s="5123"/>
      <c r="BG2261" s="5123"/>
      <c r="BH2261" s="5123"/>
      <c r="BI2261" s="5123"/>
      <c r="BJ2261" s="5123"/>
      <c r="BK2261" s="5123"/>
      <c r="BL2261" s="5123"/>
      <c r="BM2261" s="5123"/>
      <c r="BN2261" s="3812">
        <v>145584</v>
      </c>
      <c r="BO2261" s="3812"/>
      <c r="BP2261" s="3812"/>
      <c r="BQ2261" s="3812"/>
      <c r="BR2261" s="3812"/>
      <c r="BS2261" s="3812"/>
      <c r="BT2261" s="3812"/>
      <c r="BU2261" s="3812"/>
      <c r="BV2261" s="3812"/>
      <c r="BW2261" s="3812"/>
      <c r="BX2261" s="3812"/>
      <c r="BY2261" s="3812"/>
      <c r="BZ2261" s="3812"/>
      <c r="CA2261" s="3812"/>
      <c r="CB2261" s="5709">
        <v>145584</v>
      </c>
      <c r="CC2261" s="3812"/>
      <c r="CD2261" s="3812"/>
      <c r="CE2261" s="5310"/>
      <c r="CF2261" s="5310"/>
      <c r="CG2261" s="5310"/>
      <c r="CH2261" s="5310"/>
    </row>
    <row r="2262" s="4974" customFormat="1" ht="31" spans="1:86">
      <c r="A2262" s="3812"/>
      <c r="B2262" s="3812"/>
      <c r="C2262" s="3812"/>
      <c r="D2262" s="5059"/>
      <c r="E2262" s="5059"/>
      <c r="F2262" s="5059"/>
      <c r="G2262" s="5059"/>
      <c r="H2262" s="5059"/>
      <c r="I2262" s="5205"/>
      <c r="J2262" s="5059"/>
      <c r="K2262" s="5059"/>
      <c r="L2262" s="5059"/>
      <c r="M2262" s="3812"/>
      <c r="N2262" s="5711"/>
      <c r="O2262" s="5711"/>
      <c r="P2262" s="5711"/>
      <c r="Q2262" s="7071"/>
      <c r="R2262" s="5711"/>
      <c r="S2262" s="5711"/>
      <c r="T2262" s="5711"/>
      <c r="U2262" s="7071"/>
      <c r="V2262" s="7071"/>
      <c r="W2262" s="5711"/>
      <c r="X2262" s="5711"/>
      <c r="Y2262" s="5711"/>
      <c r="Z2262" s="5711"/>
      <c r="AA2262" s="5711"/>
      <c r="AB2262" s="5711"/>
      <c r="AC2262" s="1032" t="s">
        <v>1913</v>
      </c>
      <c r="AD2262" s="5241" t="s">
        <v>1915</v>
      </c>
      <c r="AE2262" s="1032">
        <v>0.3</v>
      </c>
      <c r="AF2262" s="3812">
        <f t="shared" si="490"/>
        <v>109188</v>
      </c>
      <c r="AG2262" s="3812">
        <f t="shared" si="491"/>
        <v>109188</v>
      </c>
      <c r="AH2262" s="857" t="s">
        <v>122</v>
      </c>
      <c r="AI2262" s="3812">
        <v>45357</v>
      </c>
      <c r="AJ2262" s="3812">
        <v>109188</v>
      </c>
      <c r="AK2262" s="3812">
        <v>45357</v>
      </c>
      <c r="AL2262" s="3812">
        <v>109188</v>
      </c>
      <c r="AM2262" s="3812">
        <v>45376</v>
      </c>
      <c r="AN2262" s="3812">
        <f t="shared" si="489"/>
        <v>109188</v>
      </c>
      <c r="AO2262" s="3812">
        <v>45379</v>
      </c>
      <c r="AP2262" s="3812"/>
      <c r="AQ2262" s="5206"/>
      <c r="AR2262" s="5059"/>
      <c r="AS2262" s="5059"/>
      <c r="AT2262" s="3812"/>
      <c r="AU2262" s="5732"/>
      <c r="AV2262" s="5732"/>
      <c r="AW2262" s="5732"/>
      <c r="AX2262" s="5732"/>
      <c r="AY2262" s="5732"/>
      <c r="AZ2262" s="5732"/>
      <c r="BA2262" s="3812"/>
      <c r="BB2262" s="3812"/>
      <c r="BC2262" s="3812"/>
      <c r="BD2262" s="5123"/>
      <c r="BE2262" s="5123"/>
      <c r="BF2262" s="5123"/>
      <c r="BG2262" s="5123"/>
      <c r="BH2262" s="5123"/>
      <c r="BI2262" s="5123"/>
      <c r="BJ2262" s="5123"/>
      <c r="BK2262" s="5123"/>
      <c r="BL2262" s="5123"/>
      <c r="BM2262" s="5123"/>
      <c r="BN2262" s="3812">
        <v>109188</v>
      </c>
      <c r="BO2262" s="3812"/>
      <c r="BP2262" s="3812"/>
      <c r="BQ2262" s="3812"/>
      <c r="BR2262" s="3812"/>
      <c r="BS2262" s="3812"/>
      <c r="BT2262" s="3812"/>
      <c r="BU2262" s="3812"/>
      <c r="BV2262" s="3812"/>
      <c r="BW2262" s="3812"/>
      <c r="BX2262" s="3812"/>
      <c r="BY2262" s="3812"/>
      <c r="BZ2262" s="3812"/>
      <c r="CA2262" s="3812"/>
      <c r="CB2262" s="5709">
        <v>109188</v>
      </c>
      <c r="CC2262" s="3812"/>
      <c r="CD2262" s="3812"/>
      <c r="CE2262" s="5310"/>
      <c r="CF2262" s="5310"/>
      <c r="CG2262" s="5310"/>
      <c r="CH2262" s="5310"/>
    </row>
    <row r="2263" s="4974" customFormat="1" ht="31" spans="1:86">
      <c r="A2263" s="3812"/>
      <c r="B2263" s="3812"/>
      <c r="C2263" s="3812"/>
      <c r="D2263" s="5059"/>
      <c r="E2263" s="5059"/>
      <c r="F2263" s="5059"/>
      <c r="G2263" s="5059"/>
      <c r="H2263" s="5059"/>
      <c r="I2263" s="5205"/>
      <c r="J2263" s="5059"/>
      <c r="K2263" s="5059"/>
      <c r="L2263" s="5059"/>
      <c r="M2263" s="3812"/>
      <c r="N2263" s="5711"/>
      <c r="O2263" s="5711"/>
      <c r="P2263" s="5711"/>
      <c r="Q2263" s="7071"/>
      <c r="R2263" s="5711"/>
      <c r="S2263" s="5711"/>
      <c r="T2263" s="5711"/>
      <c r="U2263" s="7071"/>
      <c r="V2263" s="7071"/>
      <c r="W2263" s="5711"/>
      <c r="X2263" s="5711"/>
      <c r="Y2263" s="5711"/>
      <c r="Z2263" s="5711"/>
      <c r="AA2263" s="5711"/>
      <c r="AB2263" s="5711"/>
      <c r="AC2263" s="5073" t="s">
        <v>1913</v>
      </c>
      <c r="AD2263" s="5242" t="s">
        <v>1916</v>
      </c>
      <c r="AE2263" s="5073">
        <v>0.1</v>
      </c>
      <c r="AF2263" s="4840">
        <f t="shared" si="490"/>
        <v>36396</v>
      </c>
      <c r="AG2263" s="3812">
        <f t="shared" si="491"/>
        <v>36396</v>
      </c>
      <c r="AH2263" s="857" t="s">
        <v>122</v>
      </c>
      <c r="AI2263" s="4840">
        <v>45580</v>
      </c>
      <c r="AJ2263" s="3812">
        <v>36396</v>
      </c>
      <c r="AK2263" s="4840">
        <v>45580</v>
      </c>
      <c r="AL2263" s="3812">
        <v>36396</v>
      </c>
      <c r="AM2263" s="4840">
        <v>45580</v>
      </c>
      <c r="AN2263" s="4840">
        <f t="shared" si="489"/>
        <v>36396</v>
      </c>
      <c r="AO2263" s="4840">
        <v>45595</v>
      </c>
      <c r="AP2263" s="3812"/>
      <c r="AQ2263" s="1032"/>
      <c r="AR2263" s="1032" t="s">
        <v>3894</v>
      </c>
      <c r="AS2263" s="5059"/>
      <c r="AT2263" s="3812"/>
      <c r="AU2263" s="5732"/>
      <c r="AV2263" s="5732"/>
      <c r="AW2263" s="5732"/>
      <c r="AX2263" s="5732"/>
      <c r="AY2263" s="5732"/>
      <c r="AZ2263" s="5732"/>
      <c r="BA2263" s="3812"/>
      <c r="BB2263" s="3812"/>
      <c r="BC2263" s="3812"/>
      <c r="BD2263" s="5123"/>
      <c r="BE2263" s="5123"/>
      <c r="BF2263" s="5123"/>
      <c r="BG2263" s="5123"/>
      <c r="BH2263" s="5123"/>
      <c r="BI2263" s="5123"/>
      <c r="BJ2263" s="5123"/>
      <c r="BK2263" s="5123"/>
      <c r="BL2263" s="5123"/>
      <c r="BM2263" s="5123"/>
      <c r="BN2263" s="3812">
        <v>36396</v>
      </c>
      <c r="BO2263" s="3812"/>
      <c r="BP2263" s="3812"/>
      <c r="BQ2263" s="3812"/>
      <c r="BR2263" s="3812"/>
      <c r="BS2263" s="3812"/>
      <c r="BT2263" s="3812"/>
      <c r="BU2263" s="3812"/>
      <c r="BV2263" s="3812"/>
      <c r="BW2263" s="3812"/>
      <c r="BX2263" s="3812"/>
      <c r="BY2263" s="3812"/>
      <c r="BZ2263" s="3812"/>
      <c r="CA2263" s="3812"/>
      <c r="CB2263" s="3812">
        <v>36396</v>
      </c>
      <c r="CC2263" s="3812"/>
      <c r="CD2263" s="3812"/>
      <c r="CE2263" s="5310"/>
      <c r="CF2263" s="5310"/>
      <c r="CG2263" s="5310"/>
      <c r="CH2263" s="5310"/>
    </row>
    <row r="2264" s="4974" customFormat="1" ht="18" customHeight="1" spans="1:86">
      <c r="A2264" s="3812"/>
      <c r="B2264" s="3812"/>
      <c r="C2264" s="3812"/>
      <c r="D2264" s="5059"/>
      <c r="E2264" s="5059"/>
      <c r="F2264" s="5059"/>
      <c r="G2264" s="5059"/>
      <c r="H2264" s="5059"/>
      <c r="I2264" s="5205"/>
      <c r="J2264" s="5059"/>
      <c r="K2264" s="5059"/>
      <c r="L2264" s="5059"/>
      <c r="M2264" s="3812"/>
      <c r="N2264" s="5711"/>
      <c r="O2264" s="5711"/>
      <c r="P2264" s="5711"/>
      <c r="Q2264" s="7071"/>
      <c r="R2264" s="5711"/>
      <c r="S2264" s="5711"/>
      <c r="T2264" s="5711"/>
      <c r="U2264" s="7071"/>
      <c r="V2264" s="7071"/>
      <c r="W2264" s="5711"/>
      <c r="X2264" s="5711"/>
      <c r="Y2264" s="5711"/>
      <c r="Z2264" s="5711"/>
      <c r="AA2264" s="5711"/>
      <c r="AB2264" s="5711"/>
      <c r="AC2264" s="5073" t="s">
        <v>1789</v>
      </c>
      <c r="AD2264" s="5242" t="s">
        <v>1790</v>
      </c>
      <c r="AE2264" s="5073">
        <v>0.15</v>
      </c>
      <c r="AF2264" s="4840">
        <f>2185056*AE2264</f>
        <v>327758.4</v>
      </c>
      <c r="AG2264" s="3812">
        <f t="shared" si="491"/>
        <v>129807.26</v>
      </c>
      <c r="AH2264" s="857" t="s">
        <v>122</v>
      </c>
      <c r="AI2264" s="3812">
        <v>45357</v>
      </c>
      <c r="AJ2264" s="3812">
        <v>129807.26</v>
      </c>
      <c r="AK2264" s="3812">
        <v>45357</v>
      </c>
      <c r="AL2264" s="3812">
        <v>129807.26</v>
      </c>
      <c r="AM2264" s="3812">
        <v>45376</v>
      </c>
      <c r="AN2264" s="3812">
        <f t="shared" si="489"/>
        <v>129807.26</v>
      </c>
      <c r="AO2264" s="3812">
        <v>45379</v>
      </c>
      <c r="AP2264" s="3812"/>
      <c r="AQ2264" s="5073" t="s">
        <v>3891</v>
      </c>
      <c r="AR2264" s="5059"/>
      <c r="AS2264" s="5059"/>
      <c r="AT2264" s="3812"/>
      <c r="AU2264" s="5732"/>
      <c r="AV2264" s="5732"/>
      <c r="AW2264" s="5732"/>
      <c r="AX2264" s="5732"/>
      <c r="AY2264" s="5732"/>
      <c r="AZ2264" s="5732"/>
      <c r="BA2264" s="3812"/>
      <c r="BB2264" s="3812"/>
      <c r="BC2264" s="3812"/>
      <c r="BD2264" s="5123"/>
      <c r="BE2264" s="5123"/>
      <c r="BF2264" s="5123"/>
      <c r="BG2264" s="5123"/>
      <c r="BH2264" s="5123"/>
      <c r="BI2264" s="5123"/>
      <c r="BJ2264" s="5123"/>
      <c r="BK2264" s="5123"/>
      <c r="BL2264" s="5123"/>
      <c r="BM2264" s="5123"/>
      <c r="BN2264" s="3812">
        <v>129807.26</v>
      </c>
      <c r="BO2264" s="3812"/>
      <c r="BP2264" s="3812"/>
      <c r="BQ2264" s="3812"/>
      <c r="BR2264" s="3812"/>
      <c r="BS2264" s="3812"/>
      <c r="BT2264" s="3812"/>
      <c r="BU2264" s="3812"/>
      <c r="BV2264" s="3812"/>
      <c r="BW2264" s="3812"/>
      <c r="BX2264" s="3812"/>
      <c r="BY2264" s="3812"/>
      <c r="BZ2264" s="3812"/>
      <c r="CA2264" s="3812"/>
      <c r="CB2264" s="5709">
        <v>129807.26</v>
      </c>
      <c r="CC2264" s="3812"/>
      <c r="CD2264" s="3812"/>
      <c r="CE2264" s="5310"/>
      <c r="CF2264" s="5310"/>
      <c r="CG2264" s="5310"/>
      <c r="CH2264" s="5310"/>
    </row>
    <row r="2265" s="4974" customFormat="1" ht="18" customHeight="1" spans="1:86">
      <c r="A2265" s="3812"/>
      <c r="B2265" s="3812"/>
      <c r="C2265" s="3812"/>
      <c r="D2265" s="5059"/>
      <c r="E2265" s="5059"/>
      <c r="F2265" s="5059"/>
      <c r="G2265" s="5059"/>
      <c r="H2265" s="5059"/>
      <c r="I2265" s="5205"/>
      <c r="J2265" s="5059"/>
      <c r="K2265" s="5059"/>
      <c r="L2265" s="5059"/>
      <c r="M2265" s="3812"/>
      <c r="N2265" s="5711"/>
      <c r="O2265" s="5711"/>
      <c r="P2265" s="5711"/>
      <c r="Q2265" s="7071"/>
      <c r="R2265" s="5711"/>
      <c r="S2265" s="5711"/>
      <c r="T2265" s="5711"/>
      <c r="U2265" s="7071"/>
      <c r="V2265" s="7071"/>
      <c r="W2265" s="5711"/>
      <c r="X2265" s="5711"/>
      <c r="Y2265" s="5711"/>
      <c r="Z2265" s="5711"/>
      <c r="AA2265" s="5711"/>
      <c r="AB2265" s="5711"/>
      <c r="AC2265" s="5205"/>
      <c r="AD2265" s="5977"/>
      <c r="AE2265" s="5205"/>
      <c r="AF2265" s="4841"/>
      <c r="AG2265" s="3812">
        <f t="shared" si="491"/>
        <v>336.63</v>
      </c>
      <c r="AH2265" s="857" t="s">
        <v>122</v>
      </c>
      <c r="AI2265" s="3812">
        <v>45373</v>
      </c>
      <c r="AJ2265" s="3812">
        <v>336.63</v>
      </c>
      <c r="AK2265" s="3812">
        <v>45373</v>
      </c>
      <c r="AL2265" s="3812">
        <v>336.63</v>
      </c>
      <c r="AM2265" s="3812">
        <v>45376</v>
      </c>
      <c r="AN2265" s="3812">
        <f t="shared" si="489"/>
        <v>336.63</v>
      </c>
      <c r="AO2265" s="3812">
        <v>45379</v>
      </c>
      <c r="AP2265" s="3812"/>
      <c r="AQ2265" s="5206"/>
      <c r="AR2265" s="5059"/>
      <c r="AS2265" s="5059"/>
      <c r="AT2265" s="3812"/>
      <c r="AU2265" s="5732"/>
      <c r="AV2265" s="5732"/>
      <c r="AW2265" s="5732"/>
      <c r="AX2265" s="5732"/>
      <c r="AY2265" s="5732"/>
      <c r="AZ2265" s="5732"/>
      <c r="BA2265" s="3812"/>
      <c r="BB2265" s="3812"/>
      <c r="BC2265" s="3812"/>
      <c r="BD2265" s="5123"/>
      <c r="BE2265" s="5123"/>
      <c r="BF2265" s="5123"/>
      <c r="BG2265" s="5123"/>
      <c r="BH2265" s="5123"/>
      <c r="BI2265" s="5123"/>
      <c r="BJ2265" s="5123"/>
      <c r="BK2265" s="5123"/>
      <c r="BL2265" s="5123"/>
      <c r="BM2265" s="5123"/>
      <c r="BN2265" s="3812">
        <v>336.63</v>
      </c>
      <c r="BO2265" s="3812"/>
      <c r="BP2265" s="3812"/>
      <c r="BQ2265" s="3812"/>
      <c r="BR2265" s="3812"/>
      <c r="BS2265" s="3812"/>
      <c r="BT2265" s="3812"/>
      <c r="BU2265" s="3812"/>
      <c r="BV2265" s="3812"/>
      <c r="BW2265" s="3812"/>
      <c r="BX2265" s="3812"/>
      <c r="BY2265" s="3812"/>
      <c r="BZ2265" s="3812"/>
      <c r="CA2265" s="3812"/>
      <c r="CB2265" s="5709">
        <v>336.63</v>
      </c>
      <c r="CC2265" s="3812"/>
      <c r="CD2265" s="3812"/>
      <c r="CE2265" s="5310"/>
      <c r="CF2265" s="5310"/>
      <c r="CG2265" s="5310"/>
      <c r="CH2265" s="5310"/>
    </row>
    <row r="2266" s="4974" customFormat="1" ht="18" customHeight="1" spans="1:86">
      <c r="A2266" s="3812"/>
      <c r="B2266" s="3812"/>
      <c r="C2266" s="3812"/>
      <c r="D2266" s="5059"/>
      <c r="E2266" s="5059"/>
      <c r="F2266" s="5059"/>
      <c r="G2266" s="5059"/>
      <c r="H2266" s="5059"/>
      <c r="I2266" s="5205"/>
      <c r="J2266" s="5059"/>
      <c r="K2266" s="5059"/>
      <c r="L2266" s="5059"/>
      <c r="M2266" s="3812"/>
      <c r="N2266" s="5711"/>
      <c r="O2266" s="5711"/>
      <c r="P2266" s="5711"/>
      <c r="Q2266" s="7071"/>
      <c r="R2266" s="5711"/>
      <c r="S2266" s="5711"/>
      <c r="T2266" s="5711"/>
      <c r="U2266" s="7071"/>
      <c r="V2266" s="7071"/>
      <c r="W2266" s="5711"/>
      <c r="X2266" s="5711"/>
      <c r="Y2266" s="5711"/>
      <c r="Z2266" s="5711"/>
      <c r="AA2266" s="5711"/>
      <c r="AB2266" s="5711"/>
      <c r="AC2266" s="5206"/>
      <c r="AD2266" s="5942"/>
      <c r="AE2266" s="5206"/>
      <c r="AF2266" s="4842"/>
      <c r="AG2266" s="3812">
        <f t="shared" si="491"/>
        <v>176532.95</v>
      </c>
      <c r="AH2266" s="857" t="s">
        <v>122</v>
      </c>
      <c r="AI2266" s="3812">
        <v>45922</v>
      </c>
      <c r="AJ2266" s="4813">
        <v>176532.95</v>
      </c>
      <c r="AK2266" s="4813">
        <v>45922</v>
      </c>
      <c r="AL2266" s="3812">
        <v>176532.95</v>
      </c>
      <c r="AM2266" s="3812">
        <v>45939</v>
      </c>
      <c r="AN2266" s="5588">
        <f t="shared" si="489"/>
        <v>176532.95</v>
      </c>
      <c r="AO2266" s="3812">
        <v>45959</v>
      </c>
      <c r="AP2266" s="3812"/>
      <c r="AQ2266" s="1032" t="s">
        <v>3895</v>
      </c>
      <c r="AR2266" s="5059"/>
      <c r="AS2266" s="5059"/>
      <c r="AT2266" s="3812"/>
      <c r="AU2266" s="5732"/>
      <c r="AV2266" s="5732"/>
      <c r="AW2266" s="5732"/>
      <c r="AX2266" s="5732"/>
      <c r="AY2266" s="5732"/>
      <c r="AZ2266" s="5732"/>
      <c r="BA2266" s="3812"/>
      <c r="BB2266" s="3812"/>
      <c r="BC2266" s="3812"/>
      <c r="BD2266" s="5123"/>
      <c r="BE2266" s="5123"/>
      <c r="BF2266" s="5123"/>
      <c r="BG2266" s="5123"/>
      <c r="BH2266" s="5123"/>
      <c r="BI2266" s="5123"/>
      <c r="BJ2266" s="5123"/>
      <c r="BK2266" s="5123"/>
      <c r="BL2266" s="5123"/>
      <c r="BM2266" s="5123"/>
      <c r="BN2266" s="4815">
        <v>176532.95</v>
      </c>
      <c r="BO2266" s="3812"/>
      <c r="BP2266" s="3812"/>
      <c r="BQ2266" s="3812"/>
      <c r="BR2266" s="3812"/>
      <c r="BS2266" s="3812"/>
      <c r="BT2266" s="3812"/>
      <c r="BU2266" s="3812"/>
      <c r="BV2266" s="3812"/>
      <c r="BW2266" s="3812"/>
      <c r="BX2266" s="3812"/>
      <c r="BY2266" s="3812"/>
      <c r="BZ2266" s="3812"/>
      <c r="CA2266" s="7096"/>
      <c r="CB2266" s="7097">
        <v>176532.95</v>
      </c>
      <c r="CC2266" s="3812"/>
      <c r="CD2266" s="3812"/>
      <c r="CE2266" s="5310"/>
      <c r="CF2266" s="5310"/>
      <c r="CG2266" s="5310"/>
      <c r="CH2266" s="5310"/>
    </row>
    <row r="2267" s="4974" customFormat="1" ht="18" customHeight="1" spans="1:86">
      <c r="A2267" s="3812"/>
      <c r="B2267" s="3812"/>
      <c r="C2267" s="3812"/>
      <c r="D2267" s="5059"/>
      <c r="E2267" s="5059"/>
      <c r="F2267" s="5059"/>
      <c r="G2267" s="5059"/>
      <c r="H2267" s="5059"/>
      <c r="I2267" s="5205"/>
      <c r="J2267" s="5059"/>
      <c r="K2267" s="5059"/>
      <c r="L2267" s="5059"/>
      <c r="M2267" s="3812"/>
      <c r="N2267" s="5711"/>
      <c r="O2267" s="5711"/>
      <c r="P2267" s="5711"/>
      <c r="Q2267" s="7071"/>
      <c r="R2267" s="5711"/>
      <c r="S2267" s="5711"/>
      <c r="T2267" s="5711"/>
      <c r="U2267" s="7071"/>
      <c r="V2267" s="7071"/>
      <c r="W2267" s="5711"/>
      <c r="X2267" s="5711"/>
      <c r="Y2267" s="5711"/>
      <c r="Z2267" s="5711"/>
      <c r="AA2267" s="5711"/>
      <c r="AB2267" s="5711"/>
      <c r="AC2267" s="5206"/>
      <c r="AD2267" s="5942"/>
      <c r="AE2267" s="5206"/>
      <c r="AF2267" s="4842"/>
      <c r="AG2267" s="5123">
        <f t="shared" si="491"/>
        <v>0</v>
      </c>
      <c r="AH2267" s="3406"/>
      <c r="AI2267" s="5123"/>
      <c r="AJ2267" s="3812"/>
      <c r="AK2267" s="3812"/>
      <c r="AL2267" s="3812"/>
      <c r="AM2267" s="3812"/>
      <c r="AN2267" s="5123">
        <f t="shared" ref="AN2267:AN2276" si="492">SUM(BO2267:CB2267)</f>
        <v>0</v>
      </c>
      <c r="AO2267" s="5123"/>
      <c r="AP2267" s="3812"/>
      <c r="AQ2267" s="1032"/>
      <c r="AR2267" s="5059"/>
      <c r="AS2267" s="5059"/>
      <c r="AT2267" s="3812"/>
      <c r="AU2267" s="5732"/>
      <c r="AV2267" s="5732"/>
      <c r="AW2267" s="5732"/>
      <c r="AX2267" s="5732"/>
      <c r="AY2267" s="5732"/>
      <c r="AZ2267" s="5732"/>
      <c r="BA2267" s="3812"/>
      <c r="BB2267" s="3812"/>
      <c r="BC2267" s="3812"/>
      <c r="BD2267" s="5123"/>
      <c r="BE2267" s="5123"/>
      <c r="BF2267" s="5123"/>
      <c r="BG2267" s="5123"/>
      <c r="BH2267" s="5123"/>
      <c r="BI2267" s="5123"/>
      <c r="BJ2267" s="5123"/>
      <c r="BK2267" s="5123"/>
      <c r="BL2267" s="5123"/>
      <c r="BM2267" s="5123"/>
      <c r="BN2267" s="5123"/>
      <c r="BO2267" s="3812"/>
      <c r="BP2267" s="3812"/>
      <c r="BQ2267" s="3812"/>
      <c r="BR2267" s="3812"/>
      <c r="BS2267" s="3812"/>
      <c r="BT2267" s="3812"/>
      <c r="BU2267" s="3812"/>
      <c r="BV2267" s="3812"/>
      <c r="BW2267" s="3812"/>
      <c r="BX2267" s="3812"/>
      <c r="BY2267" s="3812"/>
      <c r="BZ2267" s="3812"/>
      <c r="CA2267" s="3812"/>
      <c r="CB2267" s="5123"/>
      <c r="CC2267" s="3812"/>
      <c r="CD2267" s="3812"/>
      <c r="CE2267" s="5310"/>
      <c r="CF2267" s="5310"/>
      <c r="CG2267" s="5310"/>
      <c r="CH2267" s="5310"/>
    </row>
    <row r="2268" s="4974" customFormat="1" ht="24.15" customHeight="1" spans="1:86">
      <c r="A2268" s="3812"/>
      <c r="B2268" s="3812"/>
      <c r="C2268" s="3812"/>
      <c r="D2268" s="5059"/>
      <c r="E2268" s="5059"/>
      <c r="F2268" s="5059"/>
      <c r="G2268" s="5059"/>
      <c r="H2268" s="5059"/>
      <c r="I2268" s="5205"/>
      <c r="J2268" s="5059"/>
      <c r="K2268" s="5059"/>
      <c r="L2268" s="5059"/>
      <c r="M2268" s="3812"/>
      <c r="N2268" s="5711"/>
      <c r="O2268" s="5711"/>
      <c r="P2268" s="5711"/>
      <c r="Q2268" s="7071"/>
      <c r="R2268" s="5711"/>
      <c r="S2268" s="5711"/>
      <c r="T2268" s="5711"/>
      <c r="U2268" s="7071"/>
      <c r="V2268" s="7071"/>
      <c r="W2268" s="5711"/>
      <c r="X2268" s="5711"/>
      <c r="Y2268" s="5711"/>
      <c r="Z2268" s="5711"/>
      <c r="AA2268" s="5711"/>
      <c r="AB2268" s="5711"/>
      <c r="AC2268" s="5073" t="s">
        <v>1789</v>
      </c>
      <c r="AD2268" s="5242" t="s">
        <v>1791</v>
      </c>
      <c r="AE2268" s="5073">
        <v>0.2</v>
      </c>
      <c r="AF2268" s="4840">
        <f>2185056*AE2268</f>
        <v>437011.2</v>
      </c>
      <c r="AG2268" s="3812">
        <f t="shared" si="491"/>
        <v>168345.6</v>
      </c>
      <c r="AH2268" s="857" t="s">
        <v>122</v>
      </c>
      <c r="AI2268" s="3812">
        <v>45433</v>
      </c>
      <c r="AJ2268" s="3812">
        <v>168345.6</v>
      </c>
      <c r="AK2268" s="3812">
        <v>45433</v>
      </c>
      <c r="AL2268" s="3812">
        <v>168345.6</v>
      </c>
      <c r="AM2268" s="3812">
        <v>45433</v>
      </c>
      <c r="AN2268" s="3812">
        <f t="shared" si="492"/>
        <v>168345.6</v>
      </c>
      <c r="AO2268" s="3812">
        <v>45442</v>
      </c>
      <c r="AP2268" s="3812"/>
      <c r="AQ2268" s="5941" t="s">
        <v>3896</v>
      </c>
      <c r="AR2268" s="5714" t="s">
        <v>3897</v>
      </c>
      <c r="AS2268" s="1032" t="s">
        <v>3898</v>
      </c>
      <c r="AT2268" s="3812"/>
      <c r="AU2268" s="5732"/>
      <c r="AV2268" s="5732"/>
      <c r="AW2268" s="5732"/>
      <c r="AX2268" s="5732"/>
      <c r="AY2268" s="5732"/>
      <c r="AZ2268" s="5732"/>
      <c r="BA2268" s="3812"/>
      <c r="BB2268" s="3812"/>
      <c r="BC2268" s="3812"/>
      <c r="BD2268" s="3812"/>
      <c r="BE2268" s="3812"/>
      <c r="BF2268" s="3812"/>
      <c r="BG2268" s="3812"/>
      <c r="BH2268" s="3812"/>
      <c r="BI2268" s="3812"/>
      <c r="BJ2268" s="3812"/>
      <c r="BK2268" s="3812"/>
      <c r="BL2268" s="3812"/>
      <c r="BM2268" s="3812"/>
      <c r="BN2268" s="3812">
        <v>168345.6</v>
      </c>
      <c r="BO2268" s="3812"/>
      <c r="BP2268" s="3812"/>
      <c r="BQ2268" s="3812"/>
      <c r="BR2268" s="3812"/>
      <c r="BS2268" s="3812"/>
      <c r="BT2268" s="3812"/>
      <c r="BU2268" s="3812"/>
      <c r="BV2268" s="3812"/>
      <c r="BW2268" s="3812"/>
      <c r="BX2268" s="3812"/>
      <c r="BY2268" s="3812"/>
      <c r="BZ2268" s="3812"/>
      <c r="CA2268" s="3812"/>
      <c r="CB2268" s="5123">
        <v>168345.6</v>
      </c>
      <c r="CC2268" s="3812"/>
      <c r="CD2268" s="3812"/>
      <c r="CE2268" s="5310"/>
      <c r="CF2268" s="5310"/>
      <c r="CG2268" s="5310"/>
      <c r="CH2268" s="5310"/>
    </row>
    <row r="2269" s="4974" customFormat="1" ht="22.5" customHeight="1" spans="1:86">
      <c r="A2269" s="3812"/>
      <c r="B2269" s="3812"/>
      <c r="C2269" s="3812"/>
      <c r="D2269" s="5059"/>
      <c r="E2269" s="5059"/>
      <c r="F2269" s="5059"/>
      <c r="G2269" s="5059"/>
      <c r="H2269" s="5059"/>
      <c r="I2269" s="5205"/>
      <c r="J2269" s="5059"/>
      <c r="K2269" s="5059"/>
      <c r="L2269" s="5059"/>
      <c r="M2269" s="3812"/>
      <c r="N2269" s="5711"/>
      <c r="O2269" s="5711"/>
      <c r="P2269" s="5711"/>
      <c r="Q2269" s="7071"/>
      <c r="R2269" s="5711"/>
      <c r="S2269" s="5711"/>
      <c r="T2269" s="5711"/>
      <c r="U2269" s="7071"/>
      <c r="V2269" s="7071"/>
      <c r="W2269" s="5711"/>
      <c r="X2269" s="5711"/>
      <c r="Y2269" s="5711"/>
      <c r="Z2269" s="5711"/>
      <c r="AA2269" s="5711"/>
      <c r="AB2269" s="5711"/>
      <c r="AC2269" s="5206"/>
      <c r="AD2269" s="5942"/>
      <c r="AE2269" s="5206"/>
      <c r="AF2269" s="4842"/>
      <c r="AG2269" s="3812">
        <f t="shared" si="491"/>
        <v>235377.26</v>
      </c>
      <c r="AH2269" s="857" t="s">
        <v>122</v>
      </c>
      <c r="AI2269" s="3812">
        <v>45922</v>
      </c>
      <c r="AJ2269" s="4813">
        <v>235377.26</v>
      </c>
      <c r="AK2269" s="4813">
        <v>45922</v>
      </c>
      <c r="AL2269" s="3812">
        <v>235377.26</v>
      </c>
      <c r="AM2269" s="3812">
        <v>45939</v>
      </c>
      <c r="AN2269" s="5588">
        <f t="shared" si="492"/>
        <v>235377.26</v>
      </c>
      <c r="AO2269" s="3812">
        <v>45959</v>
      </c>
      <c r="AP2269" s="3812"/>
      <c r="AQ2269" s="1032" t="s">
        <v>3895</v>
      </c>
      <c r="AR2269" s="5059"/>
      <c r="AS2269" s="5059"/>
      <c r="AT2269" s="3812"/>
      <c r="AU2269" s="5732"/>
      <c r="AV2269" s="5732"/>
      <c r="AW2269" s="5732"/>
      <c r="AX2269" s="5732"/>
      <c r="AY2269" s="5732"/>
      <c r="AZ2269" s="5732"/>
      <c r="BA2269" s="3812"/>
      <c r="BB2269" s="3812"/>
      <c r="BC2269" s="3812"/>
      <c r="BD2269" s="5123"/>
      <c r="BE2269" s="5123"/>
      <c r="BF2269" s="5123"/>
      <c r="BG2269" s="5123"/>
      <c r="BH2269" s="5123"/>
      <c r="BI2269" s="5123"/>
      <c r="BJ2269" s="5123"/>
      <c r="BK2269" s="5123"/>
      <c r="BL2269" s="5123"/>
      <c r="BM2269" s="5123"/>
      <c r="BN2269" s="4815">
        <v>235377.26</v>
      </c>
      <c r="BO2269" s="3812"/>
      <c r="BP2269" s="3812"/>
      <c r="BQ2269" s="3812"/>
      <c r="BR2269" s="3812"/>
      <c r="BS2269" s="3812"/>
      <c r="BT2269" s="3812"/>
      <c r="BU2269" s="3812"/>
      <c r="BV2269" s="3812"/>
      <c r="BW2269" s="3812"/>
      <c r="BX2269" s="3812"/>
      <c r="BY2269" s="3812"/>
      <c r="BZ2269" s="3812"/>
      <c r="CA2269" s="3812"/>
      <c r="CB2269" s="4815">
        <v>235377.26</v>
      </c>
      <c r="CC2269" s="3812"/>
      <c r="CD2269" s="3812"/>
      <c r="CE2269" s="5310"/>
      <c r="CF2269" s="5310"/>
      <c r="CG2269" s="5310"/>
      <c r="CH2269" s="5310"/>
    </row>
    <row r="2270" s="4974" customFormat="1" ht="22.5" customHeight="1" spans="1:86">
      <c r="A2270" s="3812"/>
      <c r="B2270" s="3812"/>
      <c r="C2270" s="3812"/>
      <c r="D2270" s="5059"/>
      <c r="E2270" s="5059"/>
      <c r="F2270" s="5059"/>
      <c r="G2270" s="5059"/>
      <c r="H2270" s="5059"/>
      <c r="I2270" s="5205"/>
      <c r="J2270" s="5059"/>
      <c r="K2270" s="5059"/>
      <c r="L2270" s="5059"/>
      <c r="M2270" s="3812"/>
      <c r="N2270" s="5711"/>
      <c r="O2270" s="5711"/>
      <c r="P2270" s="5711"/>
      <c r="Q2270" s="7071"/>
      <c r="R2270" s="5711"/>
      <c r="S2270" s="5711"/>
      <c r="T2270" s="5711"/>
      <c r="U2270" s="7071"/>
      <c r="V2270" s="7071"/>
      <c r="W2270" s="5711"/>
      <c r="X2270" s="5711"/>
      <c r="Y2270" s="5711"/>
      <c r="Z2270" s="5711"/>
      <c r="AA2270" s="5711"/>
      <c r="AB2270" s="5711"/>
      <c r="AC2270" s="5206"/>
      <c r="AD2270" s="5942"/>
      <c r="AE2270" s="5206"/>
      <c r="AF2270" s="4842"/>
      <c r="AG2270" s="5123">
        <f t="shared" si="491"/>
        <v>0</v>
      </c>
      <c r="AH2270" s="3406"/>
      <c r="AI2270" s="5123"/>
      <c r="AJ2270" s="3812"/>
      <c r="AK2270" s="5123"/>
      <c r="AL2270" s="3812"/>
      <c r="AM2270" s="5123"/>
      <c r="AN2270" s="5123">
        <f t="shared" si="492"/>
        <v>0</v>
      </c>
      <c r="AO2270" s="5123"/>
      <c r="AP2270" s="3812"/>
      <c r="AQ2270" s="1032"/>
      <c r="AR2270" s="5059"/>
      <c r="AS2270" s="5059"/>
      <c r="AT2270" s="3812"/>
      <c r="AU2270" s="5732"/>
      <c r="AV2270" s="5732"/>
      <c r="AW2270" s="5732"/>
      <c r="AX2270" s="5732"/>
      <c r="AY2270" s="5732"/>
      <c r="AZ2270" s="5732"/>
      <c r="BA2270" s="3812"/>
      <c r="BB2270" s="3812"/>
      <c r="BC2270" s="3812"/>
      <c r="BD2270" s="5123"/>
      <c r="BE2270" s="5123"/>
      <c r="BF2270" s="5123"/>
      <c r="BG2270" s="5123"/>
      <c r="BH2270" s="5123"/>
      <c r="BI2270" s="5123"/>
      <c r="BJ2270" s="5123"/>
      <c r="BK2270" s="5123"/>
      <c r="BL2270" s="5123"/>
      <c r="BM2270" s="5123"/>
      <c r="BN2270" s="5123"/>
      <c r="BO2270" s="3812"/>
      <c r="BP2270" s="3812"/>
      <c r="BQ2270" s="3812"/>
      <c r="BR2270" s="3812"/>
      <c r="BS2270" s="3812"/>
      <c r="BT2270" s="3812"/>
      <c r="BU2270" s="3812"/>
      <c r="BV2270" s="3812"/>
      <c r="BW2270" s="3812"/>
      <c r="BX2270" s="3812"/>
      <c r="BY2270" s="3812"/>
      <c r="BZ2270" s="3812"/>
      <c r="CA2270" s="3812"/>
      <c r="CB2270" s="5123"/>
      <c r="CC2270" s="3812"/>
      <c r="CD2270" s="3812"/>
      <c r="CE2270" s="5310"/>
      <c r="CF2270" s="5310"/>
      <c r="CG2270" s="5310"/>
      <c r="CH2270" s="5310"/>
    </row>
    <row r="2271" s="4974" customFormat="1" ht="29.15" customHeight="1" spans="1:86">
      <c r="A2271" s="3812"/>
      <c r="B2271" s="3812"/>
      <c r="C2271" s="3812"/>
      <c r="D2271" s="5059"/>
      <c r="E2271" s="5059"/>
      <c r="F2271" s="5059"/>
      <c r="G2271" s="5059"/>
      <c r="H2271" s="5059"/>
      <c r="I2271" s="5205"/>
      <c r="J2271" s="5059"/>
      <c r="K2271" s="5059"/>
      <c r="L2271" s="5059"/>
      <c r="M2271" s="3812"/>
      <c r="N2271" s="5711"/>
      <c r="O2271" s="5711"/>
      <c r="P2271" s="5711"/>
      <c r="Q2271" s="7071"/>
      <c r="R2271" s="5711"/>
      <c r="S2271" s="5711"/>
      <c r="T2271" s="5711"/>
      <c r="U2271" s="7071"/>
      <c r="V2271" s="7071"/>
      <c r="W2271" s="5711"/>
      <c r="X2271" s="5711"/>
      <c r="Y2271" s="5711"/>
      <c r="Z2271" s="5711"/>
      <c r="AA2271" s="5711"/>
      <c r="AB2271" s="5711"/>
      <c r="AC2271" s="5073" t="s">
        <v>1789</v>
      </c>
      <c r="AD2271" s="5242" t="s">
        <v>1792</v>
      </c>
      <c r="AE2271" s="5073">
        <v>0.15</v>
      </c>
      <c r="AF2271" s="4840">
        <f>2185056*AE2271</f>
        <v>327758.4</v>
      </c>
      <c r="AG2271" s="3812">
        <f t="shared" ref="AG2271:AG2276" si="493">SUM(BA2271:BN2271)</f>
        <v>126259.2</v>
      </c>
      <c r="AH2271" s="857" t="s">
        <v>122</v>
      </c>
      <c r="AI2271" s="3812">
        <v>45433</v>
      </c>
      <c r="AJ2271" s="3812">
        <v>126259.2</v>
      </c>
      <c r="AK2271" s="3812">
        <v>45433</v>
      </c>
      <c r="AL2271" s="3812">
        <v>126259.2</v>
      </c>
      <c r="AM2271" s="3812">
        <v>45433</v>
      </c>
      <c r="AN2271" s="3812">
        <f t="shared" si="492"/>
        <v>126259.2</v>
      </c>
      <c r="AO2271" s="3812">
        <v>45442</v>
      </c>
      <c r="AP2271" s="3812"/>
      <c r="AQ2271" s="5941" t="s">
        <v>3896</v>
      </c>
      <c r="AR2271" s="5714" t="s">
        <v>3897</v>
      </c>
      <c r="AS2271" s="1032" t="s">
        <v>3899</v>
      </c>
      <c r="AT2271" s="3812"/>
      <c r="AU2271" s="5732"/>
      <c r="AV2271" s="5732"/>
      <c r="AW2271" s="5732"/>
      <c r="AX2271" s="5732"/>
      <c r="AY2271" s="5732"/>
      <c r="AZ2271" s="5732"/>
      <c r="BA2271" s="3812"/>
      <c r="BB2271" s="3812"/>
      <c r="BC2271" s="3812"/>
      <c r="BD2271" s="3812"/>
      <c r="BE2271" s="3812"/>
      <c r="BF2271" s="3812"/>
      <c r="BG2271" s="3812"/>
      <c r="BH2271" s="3812"/>
      <c r="BI2271" s="3812"/>
      <c r="BJ2271" s="3812"/>
      <c r="BK2271" s="3812"/>
      <c r="BL2271" s="3812"/>
      <c r="BM2271" s="3812"/>
      <c r="BN2271" s="3812">
        <v>126259.2</v>
      </c>
      <c r="BO2271" s="3812"/>
      <c r="BP2271" s="3812"/>
      <c r="BQ2271" s="3812"/>
      <c r="BR2271" s="3812"/>
      <c r="BS2271" s="3812"/>
      <c r="BT2271" s="3812"/>
      <c r="BU2271" s="3812"/>
      <c r="BV2271" s="3812"/>
      <c r="BW2271" s="3812"/>
      <c r="BX2271" s="3812"/>
      <c r="BY2271" s="3812"/>
      <c r="BZ2271" s="3812"/>
      <c r="CA2271" s="3812"/>
      <c r="CB2271" s="5123">
        <v>126259.2</v>
      </c>
      <c r="CC2271" s="3812"/>
      <c r="CD2271" s="3812"/>
      <c r="CE2271" s="5310"/>
      <c r="CF2271" s="5310"/>
      <c r="CG2271" s="5310"/>
      <c r="CH2271" s="5310"/>
    </row>
    <row r="2272" s="4974" customFormat="1" ht="29.15" customHeight="1" spans="1:86">
      <c r="A2272" s="3812"/>
      <c r="B2272" s="3812"/>
      <c r="C2272" s="3812"/>
      <c r="D2272" s="5059"/>
      <c r="E2272" s="5059"/>
      <c r="F2272" s="5059"/>
      <c r="G2272" s="5059"/>
      <c r="H2272" s="5059"/>
      <c r="I2272" s="5205"/>
      <c r="J2272" s="5059"/>
      <c r="K2272" s="5059"/>
      <c r="L2272" s="5059"/>
      <c r="M2272" s="3812"/>
      <c r="N2272" s="5711"/>
      <c r="O2272" s="5711"/>
      <c r="P2272" s="5711"/>
      <c r="Q2272" s="7071"/>
      <c r="R2272" s="5711"/>
      <c r="S2272" s="5711"/>
      <c r="T2272" s="5711"/>
      <c r="U2272" s="7071"/>
      <c r="V2272" s="7071"/>
      <c r="W2272" s="5711"/>
      <c r="X2272" s="5711"/>
      <c r="Y2272" s="5711"/>
      <c r="Z2272" s="5711"/>
      <c r="AA2272" s="5711"/>
      <c r="AB2272" s="5711"/>
      <c r="AC2272" s="5205"/>
      <c r="AD2272" s="5977"/>
      <c r="AE2272" s="5205"/>
      <c r="AF2272" s="4841"/>
      <c r="AG2272" s="3812">
        <f t="shared" si="493"/>
        <v>176532.95</v>
      </c>
      <c r="AH2272" s="857" t="s">
        <v>122</v>
      </c>
      <c r="AI2272" s="3812">
        <v>45922</v>
      </c>
      <c r="AJ2272" s="4813">
        <v>176532.95</v>
      </c>
      <c r="AK2272" s="4813">
        <v>45922</v>
      </c>
      <c r="AL2272" s="3812">
        <v>176532.95</v>
      </c>
      <c r="AM2272" s="3812">
        <v>45939</v>
      </c>
      <c r="AN2272" s="5588">
        <f t="shared" si="492"/>
        <v>176532.95</v>
      </c>
      <c r="AO2272" s="3812">
        <v>45959</v>
      </c>
      <c r="AP2272" s="3812"/>
      <c r="AQ2272" s="1032" t="s">
        <v>3895</v>
      </c>
      <c r="AR2272" s="5714"/>
      <c r="AS2272" s="1032"/>
      <c r="AT2272" s="3812"/>
      <c r="AU2272" s="5732"/>
      <c r="AV2272" s="5732"/>
      <c r="AW2272" s="5732"/>
      <c r="AX2272" s="5732"/>
      <c r="AY2272" s="5732"/>
      <c r="AZ2272" s="5732"/>
      <c r="BA2272" s="3812"/>
      <c r="BB2272" s="3812"/>
      <c r="BC2272" s="3812"/>
      <c r="BD2272" s="3812"/>
      <c r="BE2272" s="3812"/>
      <c r="BF2272" s="3812"/>
      <c r="BG2272" s="3812"/>
      <c r="BH2272" s="3812"/>
      <c r="BI2272" s="3812"/>
      <c r="BJ2272" s="3812"/>
      <c r="BK2272" s="3812"/>
      <c r="BL2272" s="3812"/>
      <c r="BM2272" s="3812"/>
      <c r="BN2272" s="4815">
        <v>176532.95</v>
      </c>
      <c r="BO2272" s="3812"/>
      <c r="BP2272" s="3812"/>
      <c r="BQ2272" s="3812"/>
      <c r="BR2272" s="3812"/>
      <c r="BS2272" s="3812"/>
      <c r="BT2272" s="3812"/>
      <c r="BU2272" s="3812"/>
      <c r="BV2272" s="3812"/>
      <c r="BW2272" s="3812"/>
      <c r="BX2272" s="3812"/>
      <c r="BY2272" s="3812"/>
      <c r="BZ2272" s="3812"/>
      <c r="CA2272" s="3812"/>
      <c r="CB2272" s="4815">
        <v>176532.95</v>
      </c>
      <c r="CC2272" s="3812"/>
      <c r="CD2272" s="3812"/>
      <c r="CE2272" s="5310"/>
      <c r="CF2272" s="5310"/>
      <c r="CG2272" s="5310"/>
      <c r="CH2272" s="5310"/>
    </row>
    <row r="2273" s="4974" customFormat="1" ht="29.15" customHeight="1" spans="1:86">
      <c r="A2273" s="3812"/>
      <c r="B2273" s="3812"/>
      <c r="C2273" s="3812"/>
      <c r="D2273" s="5059"/>
      <c r="E2273" s="5059"/>
      <c r="F2273" s="5059"/>
      <c r="G2273" s="5059"/>
      <c r="H2273" s="5059"/>
      <c r="I2273" s="5205"/>
      <c r="J2273" s="5059"/>
      <c r="K2273" s="5059"/>
      <c r="L2273" s="5059"/>
      <c r="M2273" s="3812"/>
      <c r="N2273" s="5711"/>
      <c r="O2273" s="5711"/>
      <c r="P2273" s="5711"/>
      <c r="Q2273" s="7071"/>
      <c r="R2273" s="5711"/>
      <c r="S2273" s="5711"/>
      <c r="T2273" s="5711"/>
      <c r="U2273" s="7071"/>
      <c r="V2273" s="7071"/>
      <c r="W2273" s="5711"/>
      <c r="X2273" s="5711"/>
      <c r="Y2273" s="5711"/>
      <c r="Z2273" s="5711"/>
      <c r="AA2273" s="5711"/>
      <c r="AB2273" s="5711"/>
      <c r="AC2273" s="5206"/>
      <c r="AD2273" s="5942"/>
      <c r="AE2273" s="5206"/>
      <c r="AF2273" s="4842"/>
      <c r="AG2273" s="5123">
        <f t="shared" si="493"/>
        <v>0</v>
      </c>
      <c r="AH2273" s="3406"/>
      <c r="AI2273" s="5123"/>
      <c r="AJ2273" s="3812"/>
      <c r="AK2273" s="3812"/>
      <c r="AL2273" s="3812"/>
      <c r="AM2273" s="3812"/>
      <c r="AN2273" s="5123">
        <f t="shared" si="492"/>
        <v>0</v>
      </c>
      <c r="AO2273" s="5123"/>
      <c r="AP2273" s="3812"/>
      <c r="AQ2273" s="1032"/>
      <c r="AR2273" s="5059"/>
      <c r="AS2273" s="5059"/>
      <c r="AT2273" s="3812"/>
      <c r="AU2273" s="5732"/>
      <c r="AV2273" s="5732"/>
      <c r="AW2273" s="5732"/>
      <c r="AX2273" s="5732"/>
      <c r="AY2273" s="5732"/>
      <c r="AZ2273" s="5732"/>
      <c r="BA2273" s="3812"/>
      <c r="BB2273" s="3812"/>
      <c r="BC2273" s="3812"/>
      <c r="BD2273" s="5123"/>
      <c r="BE2273" s="5123"/>
      <c r="BF2273" s="5123"/>
      <c r="BG2273" s="5123"/>
      <c r="BH2273" s="5123"/>
      <c r="BI2273" s="5123"/>
      <c r="BJ2273" s="5123"/>
      <c r="BK2273" s="5123"/>
      <c r="BL2273" s="5123"/>
      <c r="BM2273" s="5123"/>
      <c r="BN2273" s="5123"/>
      <c r="BO2273" s="3812"/>
      <c r="BP2273" s="3812"/>
      <c r="BQ2273" s="3812"/>
      <c r="BR2273" s="3812"/>
      <c r="BS2273" s="3812"/>
      <c r="BT2273" s="3812"/>
      <c r="BU2273" s="3812"/>
      <c r="BV2273" s="3812"/>
      <c r="BW2273" s="3812"/>
      <c r="BX2273" s="3812"/>
      <c r="BY2273" s="3812"/>
      <c r="BZ2273" s="3812"/>
      <c r="CA2273" s="3812"/>
      <c r="CB2273" s="5123"/>
      <c r="CC2273" s="3812"/>
      <c r="CD2273" s="3812"/>
      <c r="CE2273" s="5310"/>
      <c r="CF2273" s="5310"/>
      <c r="CG2273" s="5310"/>
      <c r="CH2273" s="5310"/>
    </row>
    <row r="2274" s="4974" customFormat="1" ht="26.65" customHeight="1" spans="1:86">
      <c r="A2274" s="3812"/>
      <c r="B2274" s="3812"/>
      <c r="C2274" s="3812"/>
      <c r="D2274" s="5059"/>
      <c r="E2274" s="5059"/>
      <c r="F2274" s="5059"/>
      <c r="G2274" s="5059"/>
      <c r="H2274" s="5059"/>
      <c r="I2274" s="5205"/>
      <c r="J2274" s="5059"/>
      <c r="K2274" s="5059"/>
      <c r="L2274" s="5059"/>
      <c r="M2274" s="3812"/>
      <c r="N2274" s="5711"/>
      <c r="O2274" s="5711"/>
      <c r="P2274" s="5711"/>
      <c r="Q2274" s="7071"/>
      <c r="R2274" s="5711"/>
      <c r="S2274" s="5711"/>
      <c r="T2274" s="5711"/>
      <c r="U2274" s="7071"/>
      <c r="V2274" s="7071"/>
      <c r="W2274" s="5711"/>
      <c r="X2274" s="5711"/>
      <c r="Y2274" s="5711"/>
      <c r="Z2274" s="5711"/>
      <c r="AA2274" s="5711"/>
      <c r="AB2274" s="5711"/>
      <c r="AC2274" s="5073" t="s">
        <v>1789</v>
      </c>
      <c r="AD2274" s="5242" t="s">
        <v>1794</v>
      </c>
      <c r="AE2274" s="5073">
        <v>0.2</v>
      </c>
      <c r="AF2274" s="4840">
        <f>2185056*AE2274</f>
        <v>437011.2</v>
      </c>
      <c r="AG2274" s="3812">
        <f t="shared" si="493"/>
        <v>124752</v>
      </c>
      <c r="AH2274" s="857" t="s">
        <v>122</v>
      </c>
      <c r="AI2274" s="3812">
        <v>45646</v>
      </c>
      <c r="AJ2274" s="3812">
        <v>124752</v>
      </c>
      <c r="AK2274" s="3812">
        <v>45646</v>
      </c>
      <c r="AL2274" s="3812">
        <v>124752</v>
      </c>
      <c r="AM2274" s="4840">
        <v>45741</v>
      </c>
      <c r="AN2274" s="3812">
        <f t="shared" si="492"/>
        <v>124752</v>
      </c>
      <c r="AO2274" s="4840">
        <v>45765</v>
      </c>
      <c r="AP2274" s="3812"/>
      <c r="AQ2274" s="1032"/>
      <c r="AR2274" s="5059"/>
      <c r="AS2274" s="1032" t="s">
        <v>3900</v>
      </c>
      <c r="AT2274" s="3812"/>
      <c r="AU2274" s="5732"/>
      <c r="AV2274" s="5732"/>
      <c r="AW2274" s="5732"/>
      <c r="AX2274" s="5732"/>
      <c r="AY2274" s="5732"/>
      <c r="AZ2274" s="5732"/>
      <c r="BA2274" s="3812"/>
      <c r="BB2274" s="3812"/>
      <c r="BC2274" s="3812"/>
      <c r="BD2274" s="5123"/>
      <c r="BE2274" s="5123"/>
      <c r="BF2274" s="5123"/>
      <c r="BG2274" s="5123"/>
      <c r="BH2274" s="5123"/>
      <c r="BI2274" s="5123"/>
      <c r="BJ2274" s="5123"/>
      <c r="BK2274" s="5123"/>
      <c r="BL2274" s="5123"/>
      <c r="BM2274" s="5123"/>
      <c r="BN2274" s="3812">
        <v>124752</v>
      </c>
      <c r="BO2274" s="3812"/>
      <c r="BP2274" s="3812"/>
      <c r="BQ2274" s="3812"/>
      <c r="BR2274" s="3812"/>
      <c r="BS2274" s="3812"/>
      <c r="BT2274" s="3812"/>
      <c r="BU2274" s="3812"/>
      <c r="BV2274" s="3812"/>
      <c r="BW2274" s="3812"/>
      <c r="BX2274" s="3812"/>
      <c r="BY2274" s="3812"/>
      <c r="BZ2274" s="3812"/>
      <c r="CA2274" s="3812"/>
      <c r="CB2274" s="4813">
        <v>124752</v>
      </c>
      <c r="CC2274" s="3812"/>
      <c r="CD2274" s="3812"/>
      <c r="CE2274" s="5310"/>
      <c r="CF2274" s="5310"/>
      <c r="CG2274" s="5310"/>
      <c r="CH2274" s="5310"/>
    </row>
    <row r="2275" s="4974" customFormat="1" ht="26.65" customHeight="1" spans="1:86">
      <c r="A2275" s="3812"/>
      <c r="B2275" s="3812"/>
      <c r="C2275" s="3812"/>
      <c r="D2275" s="5059"/>
      <c r="E2275" s="5059"/>
      <c r="F2275" s="5059"/>
      <c r="G2275" s="5059"/>
      <c r="H2275" s="5059"/>
      <c r="I2275" s="5205"/>
      <c r="J2275" s="5059"/>
      <c r="K2275" s="5059"/>
      <c r="L2275" s="5059"/>
      <c r="M2275" s="3812"/>
      <c r="N2275" s="5711"/>
      <c r="O2275" s="5711"/>
      <c r="P2275" s="5711"/>
      <c r="Q2275" s="7071"/>
      <c r="R2275" s="5711"/>
      <c r="S2275" s="5711"/>
      <c r="T2275" s="5711"/>
      <c r="U2275" s="7071"/>
      <c r="V2275" s="7071"/>
      <c r="W2275" s="5711"/>
      <c r="X2275" s="5711"/>
      <c r="Y2275" s="5711"/>
      <c r="Z2275" s="5711"/>
      <c r="AA2275" s="5711"/>
      <c r="AB2275" s="5711"/>
      <c r="AC2275" s="5205"/>
      <c r="AD2275" s="5977"/>
      <c r="AE2275" s="5205"/>
      <c r="AF2275" s="4841"/>
      <c r="AG2275" s="3812">
        <f t="shared" si="493"/>
        <v>43593.6</v>
      </c>
      <c r="AH2275" s="857" t="s">
        <v>122</v>
      </c>
      <c r="AI2275" s="3812">
        <v>45805</v>
      </c>
      <c r="AJ2275" s="3812">
        <v>43593.6</v>
      </c>
      <c r="AK2275" s="3812">
        <v>45805</v>
      </c>
      <c r="AL2275" s="3812">
        <v>43593.6</v>
      </c>
      <c r="AM2275" s="3812">
        <v>45805</v>
      </c>
      <c r="AN2275" s="3812">
        <f t="shared" si="492"/>
        <v>43593.6</v>
      </c>
      <c r="AO2275" s="3812">
        <v>45834</v>
      </c>
      <c r="AP2275" s="3812"/>
      <c r="AQ2275" s="1032"/>
      <c r="AR2275" s="5059"/>
      <c r="AS2275" s="1032" t="s">
        <v>3901</v>
      </c>
      <c r="AT2275" s="3812"/>
      <c r="AU2275" s="5732"/>
      <c r="AV2275" s="5732"/>
      <c r="AW2275" s="5732"/>
      <c r="AX2275" s="5732"/>
      <c r="AY2275" s="5732"/>
      <c r="AZ2275" s="5732"/>
      <c r="BA2275" s="3812"/>
      <c r="BB2275" s="3812"/>
      <c r="BC2275" s="3812"/>
      <c r="BD2275" s="4813"/>
      <c r="BE2275" s="4813"/>
      <c r="BF2275" s="4813"/>
      <c r="BG2275" s="4813"/>
      <c r="BH2275" s="4813"/>
      <c r="BI2275" s="4813"/>
      <c r="BJ2275" s="4813"/>
      <c r="BK2275" s="4813"/>
      <c r="BL2275" s="4813"/>
      <c r="BM2275" s="4813"/>
      <c r="BN2275" s="4813">
        <v>43593.6</v>
      </c>
      <c r="BO2275" s="3812"/>
      <c r="BP2275" s="3812"/>
      <c r="BQ2275" s="3812"/>
      <c r="BR2275" s="4813"/>
      <c r="BS2275" s="4813"/>
      <c r="BT2275" s="4813"/>
      <c r="BU2275" s="4813"/>
      <c r="BV2275" s="4813"/>
      <c r="BW2275" s="4815"/>
      <c r="BX2275" s="4815"/>
      <c r="BY2275" s="4815"/>
      <c r="BZ2275" s="4815"/>
      <c r="CA2275" s="4815"/>
      <c r="CB2275" s="4813">
        <v>43593.6</v>
      </c>
      <c r="CC2275" s="3812"/>
      <c r="CD2275" s="3812"/>
      <c r="CE2275" s="5310"/>
      <c r="CF2275" s="5310"/>
      <c r="CG2275" s="5310"/>
      <c r="CH2275" s="5310"/>
    </row>
    <row r="2276" s="4974" customFormat="1" ht="45.4" customHeight="1" spans="1:86">
      <c r="A2276" s="3812"/>
      <c r="B2276" s="3812"/>
      <c r="C2276" s="3812"/>
      <c r="D2276" s="5059"/>
      <c r="E2276" s="5059"/>
      <c r="F2276" s="5059"/>
      <c r="G2276" s="5059"/>
      <c r="H2276" s="5059"/>
      <c r="I2276" s="5205"/>
      <c r="J2276" s="5059"/>
      <c r="K2276" s="5059"/>
      <c r="L2276" s="5059"/>
      <c r="M2276" s="3812"/>
      <c r="N2276" s="5711"/>
      <c r="O2276" s="5711"/>
      <c r="P2276" s="5711"/>
      <c r="Q2276" s="7071"/>
      <c r="R2276" s="5711"/>
      <c r="S2276" s="5711"/>
      <c r="T2276" s="5711"/>
      <c r="U2276" s="7071"/>
      <c r="V2276" s="7071"/>
      <c r="W2276" s="5711"/>
      <c r="X2276" s="5711"/>
      <c r="Y2276" s="5711"/>
      <c r="Z2276" s="5711"/>
      <c r="AA2276" s="5711"/>
      <c r="AB2276" s="5711"/>
      <c r="AC2276" s="5206"/>
      <c r="AD2276" s="5942"/>
      <c r="AE2276" s="5206"/>
      <c r="AF2276" s="4842"/>
      <c r="AG2276" s="4813">
        <f t="shared" si="493"/>
        <v>235377.26</v>
      </c>
      <c r="AH2276" s="1015" t="s">
        <v>122</v>
      </c>
      <c r="AI2276" s="4813">
        <v>45922</v>
      </c>
      <c r="AJ2276" s="4813">
        <v>235377.26</v>
      </c>
      <c r="AK2276" s="4813">
        <v>45922</v>
      </c>
      <c r="AL2276" s="3812">
        <v>235377.26</v>
      </c>
      <c r="AM2276" s="3812"/>
      <c r="AN2276" s="4815">
        <f t="shared" si="492"/>
        <v>235377.26</v>
      </c>
      <c r="AO2276" s="5258">
        <v>46172</v>
      </c>
      <c r="AP2276" s="3812"/>
      <c r="AQ2276" s="1032" t="s">
        <v>3895</v>
      </c>
      <c r="AR2276" s="5059"/>
      <c r="AS2276" s="1032"/>
      <c r="AT2276" s="3812"/>
      <c r="AU2276" s="5732"/>
      <c r="AV2276" s="5732"/>
      <c r="AW2276" s="5732"/>
      <c r="AX2276" s="5732"/>
      <c r="AY2276" s="5732"/>
      <c r="AZ2276" s="5732"/>
      <c r="BA2276" s="3812"/>
      <c r="BB2276" s="3812"/>
      <c r="BC2276" s="3812"/>
      <c r="BD2276" s="5123"/>
      <c r="BE2276" s="5123"/>
      <c r="BF2276" s="5123"/>
      <c r="BG2276" s="5123"/>
      <c r="BH2276" s="5123"/>
      <c r="BI2276" s="5123"/>
      <c r="BJ2276" s="5123"/>
      <c r="BK2276" s="5123"/>
      <c r="BL2276" s="5123"/>
      <c r="BM2276" s="5123"/>
      <c r="BN2276" s="4815">
        <v>235377.26</v>
      </c>
      <c r="BO2276" s="3812"/>
      <c r="BP2276" s="3812"/>
      <c r="BQ2276" s="3812"/>
      <c r="BR2276" s="3812"/>
      <c r="BS2276" s="3812"/>
      <c r="BT2276" s="3812"/>
      <c r="BU2276" s="3812"/>
      <c r="BV2276" s="3812"/>
      <c r="BW2276" s="3812"/>
      <c r="BX2276" s="3812"/>
      <c r="BY2276" s="3812"/>
      <c r="BZ2276" s="3812"/>
      <c r="CA2276" s="3812"/>
      <c r="CB2276" s="4815">
        <v>235377.26</v>
      </c>
      <c r="CC2276" s="3812"/>
      <c r="CD2276" s="3812"/>
      <c r="CE2276" s="5310"/>
      <c r="CF2276" s="5310"/>
      <c r="CG2276" s="5310"/>
      <c r="CH2276" s="5310"/>
    </row>
    <row r="2277" s="4974" customFormat="1" ht="20.85" customHeight="1" spans="1:86">
      <c r="A2277" s="3812"/>
      <c r="B2277" s="3812"/>
      <c r="C2277" s="3812"/>
      <c r="D2277" s="5059"/>
      <c r="E2277" s="5059"/>
      <c r="F2277" s="5059"/>
      <c r="G2277" s="5059"/>
      <c r="H2277" s="5059"/>
      <c r="I2277" s="5205"/>
      <c r="J2277" s="5059"/>
      <c r="K2277" s="5059"/>
      <c r="L2277" s="5059"/>
      <c r="M2277" s="3812"/>
      <c r="N2277" s="5711"/>
      <c r="O2277" s="5711"/>
      <c r="P2277" s="5711"/>
      <c r="Q2277" s="7071"/>
      <c r="R2277" s="5711"/>
      <c r="S2277" s="5711"/>
      <c r="T2277" s="5711"/>
      <c r="U2277" s="7071"/>
      <c r="V2277" s="7071"/>
      <c r="W2277" s="5711"/>
      <c r="X2277" s="5711"/>
      <c r="Y2277" s="5711"/>
      <c r="Z2277" s="5711"/>
      <c r="AA2277" s="5711"/>
      <c r="AB2277" s="5711"/>
      <c r="AC2277" s="5206"/>
      <c r="AD2277" s="5942"/>
      <c r="AE2277" s="5206"/>
      <c r="AF2277" s="4842"/>
      <c r="AG2277" s="5123">
        <f t="shared" ref="AG2277:AG2283" si="494">SUM(BA2277:BN2277)</f>
        <v>0</v>
      </c>
      <c r="AH2277" s="3406"/>
      <c r="AI2277" s="5123"/>
      <c r="AJ2277" s="3812"/>
      <c r="AK2277" s="3812"/>
      <c r="AL2277" s="3812"/>
      <c r="AM2277" s="3812"/>
      <c r="AN2277" s="5123"/>
      <c r="AO2277" s="3812"/>
      <c r="AP2277" s="3812"/>
      <c r="AQ2277" s="1032"/>
      <c r="AR2277" s="5059"/>
      <c r="AS2277" s="1032"/>
      <c r="AT2277" s="3812"/>
      <c r="AU2277" s="5732"/>
      <c r="AV2277" s="5732"/>
      <c r="AW2277" s="5732"/>
      <c r="AX2277" s="5732"/>
      <c r="AY2277" s="5732"/>
      <c r="AZ2277" s="5732"/>
      <c r="BA2277" s="3812"/>
      <c r="BB2277" s="3812"/>
      <c r="BC2277" s="3812"/>
      <c r="BD2277" s="5123"/>
      <c r="BE2277" s="5123"/>
      <c r="BF2277" s="5123"/>
      <c r="BG2277" s="5123"/>
      <c r="BH2277" s="5123"/>
      <c r="BI2277" s="5123"/>
      <c r="BJ2277" s="5123"/>
      <c r="BK2277" s="5123"/>
      <c r="BL2277" s="5123"/>
      <c r="BM2277" s="5123"/>
      <c r="BN2277" s="5123"/>
      <c r="BO2277" s="3812"/>
      <c r="BP2277" s="3812"/>
      <c r="BQ2277" s="3812"/>
      <c r="BR2277" s="3812"/>
      <c r="BS2277" s="3812"/>
      <c r="BT2277" s="3812"/>
      <c r="BU2277" s="3812"/>
      <c r="BV2277" s="3812"/>
      <c r="BW2277" s="3812"/>
      <c r="BX2277" s="3812"/>
      <c r="BY2277" s="3812"/>
      <c r="BZ2277" s="3812"/>
      <c r="CA2277" s="3812"/>
      <c r="CB2277" s="5123"/>
      <c r="CC2277" s="3812"/>
      <c r="CD2277" s="3812"/>
      <c r="CE2277" s="5310"/>
      <c r="CF2277" s="5310"/>
      <c r="CG2277" s="5310"/>
      <c r="CH2277" s="5310"/>
    </row>
    <row r="2278" s="4974" customFormat="1" ht="31" spans="1:86">
      <c r="A2278" s="3812"/>
      <c r="B2278" s="3812"/>
      <c r="C2278" s="3812"/>
      <c r="D2278" s="5059"/>
      <c r="E2278" s="5059"/>
      <c r="F2278" s="5059"/>
      <c r="G2278" s="5059"/>
      <c r="H2278" s="5059"/>
      <c r="I2278" s="5205"/>
      <c r="J2278" s="5059"/>
      <c r="K2278" s="5059"/>
      <c r="L2278" s="5059"/>
      <c r="M2278" s="3812"/>
      <c r="N2278" s="5711"/>
      <c r="O2278" s="5711"/>
      <c r="P2278" s="5711"/>
      <c r="Q2278" s="7071"/>
      <c r="R2278" s="5711"/>
      <c r="S2278" s="5711"/>
      <c r="T2278" s="5711"/>
      <c r="U2278" s="7071"/>
      <c r="V2278" s="7071"/>
      <c r="W2278" s="5711"/>
      <c r="X2278" s="5711"/>
      <c r="Y2278" s="5711"/>
      <c r="Z2278" s="5711"/>
      <c r="AA2278" s="5711"/>
      <c r="AB2278" s="5711"/>
      <c r="AC2278" s="1032" t="s">
        <v>1789</v>
      </c>
      <c r="AD2278" s="5241" t="s">
        <v>1796</v>
      </c>
      <c r="AE2278" s="1032">
        <v>0.05</v>
      </c>
      <c r="AF2278" s="3812">
        <f>2185056*AE2278</f>
        <v>109252.8</v>
      </c>
      <c r="AG2278" s="5123">
        <f t="shared" si="494"/>
        <v>109252.8</v>
      </c>
      <c r="AH2278" s="3406"/>
      <c r="AI2278" s="5123"/>
      <c r="AJ2278" s="3812"/>
      <c r="AK2278" s="3812"/>
      <c r="AL2278" s="3812"/>
      <c r="AM2278" s="3812"/>
      <c r="AN2278" s="5123">
        <f t="shared" ref="AN2278:AN2292" si="495">SUM(BO2278:CB2278)</f>
        <v>109252.8</v>
      </c>
      <c r="AO2278" s="3812"/>
      <c r="AP2278" s="3812"/>
      <c r="AQ2278" s="1032"/>
      <c r="AR2278" s="5059"/>
      <c r="AS2278" s="5059"/>
      <c r="AT2278" s="3812"/>
      <c r="AU2278" s="5732"/>
      <c r="AV2278" s="5732"/>
      <c r="AW2278" s="5732"/>
      <c r="AX2278" s="5732"/>
      <c r="AY2278" s="5732"/>
      <c r="AZ2278" s="5732"/>
      <c r="BA2278" s="3812"/>
      <c r="BB2278" s="3812"/>
      <c r="BC2278" s="3812"/>
      <c r="BD2278" s="5123"/>
      <c r="BE2278" s="5123"/>
      <c r="BF2278" s="5123"/>
      <c r="BG2278" s="5123"/>
      <c r="BH2278" s="5123"/>
      <c r="BI2278" s="5123"/>
      <c r="BJ2278" s="5123"/>
      <c r="BK2278" s="5123"/>
      <c r="BL2278" s="5123"/>
      <c r="BM2278" s="5123"/>
      <c r="BN2278" s="5123">
        <v>109252.8</v>
      </c>
      <c r="BO2278" s="3812"/>
      <c r="BP2278" s="3812"/>
      <c r="BQ2278" s="3812"/>
      <c r="BR2278" s="3812"/>
      <c r="BS2278" s="3812"/>
      <c r="BT2278" s="3812"/>
      <c r="BU2278" s="3812"/>
      <c r="BV2278" s="3812"/>
      <c r="BW2278" s="3812"/>
      <c r="BX2278" s="3812"/>
      <c r="BY2278" s="3812"/>
      <c r="BZ2278" s="3812"/>
      <c r="CA2278" s="3812"/>
      <c r="CB2278" s="5123">
        <v>109252.8</v>
      </c>
      <c r="CC2278" s="3812"/>
      <c r="CD2278" s="3812"/>
      <c r="CE2278" s="5310"/>
      <c r="CF2278" s="5310"/>
      <c r="CG2278" s="5310"/>
      <c r="CH2278" s="5310"/>
    </row>
    <row r="2279" s="4974" customFormat="1" ht="31" spans="1:86">
      <c r="A2279" s="3812"/>
      <c r="B2279" s="3812"/>
      <c r="C2279" s="3812"/>
      <c r="D2279" s="5059"/>
      <c r="E2279" s="5059"/>
      <c r="F2279" s="5059"/>
      <c r="G2279" s="5059"/>
      <c r="H2279" s="5059"/>
      <c r="I2279" s="5205"/>
      <c r="J2279" s="5059"/>
      <c r="K2279" s="5059"/>
      <c r="L2279" s="5059"/>
      <c r="M2279" s="3812"/>
      <c r="N2279" s="5711"/>
      <c r="O2279" s="5711"/>
      <c r="P2279" s="5711"/>
      <c r="Q2279" s="7071"/>
      <c r="R2279" s="5711"/>
      <c r="S2279" s="5711"/>
      <c r="T2279" s="5711"/>
      <c r="U2279" s="7071"/>
      <c r="V2279" s="7071"/>
      <c r="W2279" s="5711"/>
      <c r="X2279" s="5711"/>
      <c r="Y2279" s="5711"/>
      <c r="Z2279" s="5711"/>
      <c r="AA2279" s="5711"/>
      <c r="AB2279" s="5711"/>
      <c r="AC2279" s="1032" t="s">
        <v>1786</v>
      </c>
      <c r="AD2279" s="5241" t="s">
        <v>361</v>
      </c>
      <c r="AE2279" s="1032">
        <v>0.1</v>
      </c>
      <c r="AF2279" s="3812">
        <f>2549016-AF2260-AF2261-AF2262-AF2263-AF2264-AF2268-AF2271-AF2274-AF2278</f>
        <v>364154.4</v>
      </c>
      <c r="AG2279" s="5123">
        <f t="shared" si="494"/>
        <v>364154.4</v>
      </c>
      <c r="AH2279" s="3812"/>
      <c r="AI2279" s="3812"/>
      <c r="AJ2279" s="3812"/>
      <c r="AK2279" s="3812"/>
      <c r="AL2279" s="3812"/>
      <c r="AM2279" s="3812"/>
      <c r="AN2279" s="5123">
        <f t="shared" si="495"/>
        <v>364154.4</v>
      </c>
      <c r="AO2279" s="3812"/>
      <c r="AP2279" s="3812"/>
      <c r="AQ2279" s="1032"/>
      <c r="AR2279" s="5059"/>
      <c r="AS2279" s="5059"/>
      <c r="AT2279" s="3812"/>
      <c r="AU2279" s="5732"/>
      <c r="AV2279" s="5732"/>
      <c r="AW2279" s="5732"/>
      <c r="AX2279" s="5732"/>
      <c r="AY2279" s="5732"/>
      <c r="AZ2279" s="5732"/>
      <c r="BA2279" s="3812"/>
      <c r="BB2279" s="3812"/>
      <c r="BC2279" s="3812"/>
      <c r="BD2279" s="5123"/>
      <c r="BE2279" s="5123"/>
      <c r="BF2279" s="5123"/>
      <c r="BG2279" s="5123"/>
      <c r="BH2279" s="5123"/>
      <c r="BI2279" s="5123"/>
      <c r="BJ2279" s="5123"/>
      <c r="BK2279" s="5123"/>
      <c r="BL2279" s="5123"/>
      <c r="BM2279" s="5123"/>
      <c r="BN2279" s="5123">
        <v>364154.4</v>
      </c>
      <c r="BO2279" s="3812"/>
      <c r="BP2279" s="3812"/>
      <c r="BQ2279" s="3812"/>
      <c r="BR2279" s="3812"/>
      <c r="BS2279" s="3812"/>
      <c r="BT2279" s="3812"/>
      <c r="BU2279" s="3812"/>
      <c r="BV2279" s="3812"/>
      <c r="BW2279" s="3812"/>
      <c r="BX2279" s="3812"/>
      <c r="BY2279" s="3812"/>
      <c r="BZ2279" s="3812"/>
      <c r="CA2279" s="3812"/>
      <c r="CB2279" s="5123">
        <v>364154.4</v>
      </c>
      <c r="CC2279" s="3812"/>
      <c r="CD2279" s="3812"/>
      <c r="CE2279" s="5310"/>
      <c r="CF2279" s="5310"/>
      <c r="CG2279" s="5310"/>
      <c r="CH2279" s="5310"/>
    </row>
    <row r="2280" s="4985" customFormat="1" ht="24" customHeight="1" spans="1:86">
      <c r="A2280" s="5201"/>
      <c r="B2280" s="5201"/>
      <c r="C2280" s="5201"/>
      <c r="D2280" s="5708"/>
      <c r="E2280" s="5059"/>
      <c r="F2280" s="5708"/>
      <c r="G2280" s="5708"/>
      <c r="H2280" s="5708"/>
      <c r="I2280" s="5205"/>
      <c r="J2280" s="5708"/>
      <c r="K2280" s="5708"/>
      <c r="L2280" s="5708"/>
      <c r="M2280" s="5201"/>
      <c r="N2280" s="5711"/>
      <c r="O2280" s="5711"/>
      <c r="P2280" s="5711"/>
      <c r="Q2280" s="7071"/>
      <c r="R2280" s="5711"/>
      <c r="S2280" s="5711"/>
      <c r="T2280" s="5711"/>
      <c r="U2280" s="7071"/>
      <c r="V2280" s="7071"/>
      <c r="W2280" s="5711"/>
      <c r="X2280" s="5711"/>
      <c r="Y2280" s="5711"/>
      <c r="Z2280" s="5711"/>
      <c r="AA2280" s="5711"/>
      <c r="AB2280" s="5711"/>
      <c r="AC2280" s="5714" t="s">
        <v>1797</v>
      </c>
      <c r="AD2280" s="5931" t="s">
        <v>1798</v>
      </c>
      <c r="AE2280" s="5714">
        <v>0.2</v>
      </c>
      <c r="AF2280" s="5201">
        <f>1477400*AE2280</f>
        <v>295480</v>
      </c>
      <c r="AG2280" s="5201">
        <f t="shared" si="494"/>
        <v>295480</v>
      </c>
      <c r="AH2280" s="5930" t="s">
        <v>122</v>
      </c>
      <c r="AI2280" s="5201">
        <v>45357</v>
      </c>
      <c r="AJ2280" s="5201">
        <v>295480</v>
      </c>
      <c r="AK2280" s="5201">
        <v>45357</v>
      </c>
      <c r="AL2280" s="5201">
        <v>295480</v>
      </c>
      <c r="AM2280" s="5201">
        <v>45376</v>
      </c>
      <c r="AN2280" s="5201">
        <f t="shared" si="495"/>
        <v>295480</v>
      </c>
      <c r="AO2280" s="5201">
        <v>45379</v>
      </c>
      <c r="AP2280" s="5201"/>
      <c r="AQ2280" s="5892" t="s">
        <v>3891</v>
      </c>
      <c r="AR2280" s="5708"/>
      <c r="AS2280" s="5708"/>
      <c r="AT2280" s="5201"/>
      <c r="AU2280" s="5732"/>
      <c r="AV2280" s="5732"/>
      <c r="AW2280" s="5732"/>
      <c r="AX2280" s="5732"/>
      <c r="AY2280" s="5732"/>
      <c r="AZ2280" s="5732"/>
      <c r="BA2280" s="5201"/>
      <c r="BB2280" s="5201"/>
      <c r="BC2280" s="5201"/>
      <c r="BD2280" s="5734"/>
      <c r="BE2280" s="5734"/>
      <c r="BF2280" s="5734"/>
      <c r="BG2280" s="5734"/>
      <c r="BH2280" s="5734"/>
      <c r="BI2280" s="5734"/>
      <c r="BJ2280" s="5734"/>
      <c r="BK2280" s="5734"/>
      <c r="BL2280" s="5734"/>
      <c r="BM2280" s="5734"/>
      <c r="BN2280" s="5201">
        <v>295480</v>
      </c>
      <c r="BO2280" s="5201"/>
      <c r="BP2280" s="5201"/>
      <c r="BQ2280" s="5201"/>
      <c r="BR2280" s="5201"/>
      <c r="BS2280" s="5201"/>
      <c r="BT2280" s="5201"/>
      <c r="BU2280" s="5201"/>
      <c r="BV2280" s="5201"/>
      <c r="BW2280" s="5201"/>
      <c r="BX2280" s="5201"/>
      <c r="BY2280" s="5201"/>
      <c r="BZ2280" s="5201"/>
      <c r="CA2280" s="5201"/>
      <c r="CB2280" s="5201">
        <v>295480</v>
      </c>
      <c r="CC2280" s="5201"/>
      <c r="CD2280" s="5201"/>
      <c r="CE2280" s="5990"/>
      <c r="CF2280" s="5990"/>
      <c r="CG2280" s="5990"/>
      <c r="CH2280" s="5990"/>
    </row>
    <row r="2281" s="4974" customFormat="1" ht="24" customHeight="1" spans="1:86">
      <c r="A2281" s="3812"/>
      <c r="B2281" s="3812"/>
      <c r="C2281" s="3812"/>
      <c r="D2281" s="5059"/>
      <c r="E2281" s="5059"/>
      <c r="F2281" s="5059"/>
      <c r="G2281" s="5059"/>
      <c r="H2281" s="5059"/>
      <c r="I2281" s="5205"/>
      <c r="J2281" s="5059"/>
      <c r="K2281" s="5059"/>
      <c r="L2281" s="5059"/>
      <c r="M2281" s="3812"/>
      <c r="N2281" s="5711"/>
      <c r="O2281" s="5711"/>
      <c r="P2281" s="5711"/>
      <c r="Q2281" s="7071"/>
      <c r="R2281" s="5711"/>
      <c r="S2281" s="5711"/>
      <c r="T2281" s="5711"/>
      <c r="U2281" s="7071"/>
      <c r="V2281" s="7071"/>
      <c r="W2281" s="5711"/>
      <c r="X2281" s="5711"/>
      <c r="Y2281" s="5711"/>
      <c r="Z2281" s="5711"/>
      <c r="AA2281" s="5711"/>
      <c r="AB2281" s="5711"/>
      <c r="AC2281" s="1032" t="s">
        <v>1797</v>
      </c>
      <c r="AD2281" s="5241" t="s">
        <v>1799</v>
      </c>
      <c r="AE2281" s="1032">
        <v>0.2</v>
      </c>
      <c r="AF2281" s="3812">
        <f>1477400*AE2281</f>
        <v>295480</v>
      </c>
      <c r="AG2281" s="3812">
        <f t="shared" si="494"/>
        <v>295480</v>
      </c>
      <c r="AH2281" s="857" t="s">
        <v>122</v>
      </c>
      <c r="AI2281" s="3812">
        <v>45357</v>
      </c>
      <c r="AJ2281" s="3812">
        <v>295480</v>
      </c>
      <c r="AK2281" s="3812">
        <v>45357</v>
      </c>
      <c r="AL2281" s="3812">
        <v>295480</v>
      </c>
      <c r="AM2281" s="3812">
        <v>45376</v>
      </c>
      <c r="AN2281" s="3812">
        <f t="shared" si="495"/>
        <v>295480</v>
      </c>
      <c r="AO2281" s="3812">
        <v>45379</v>
      </c>
      <c r="AP2281" s="3812"/>
      <c r="AQ2281" s="5205"/>
      <c r="AR2281" s="5059"/>
      <c r="AS2281" s="5059"/>
      <c r="AT2281" s="3812"/>
      <c r="AU2281" s="5732"/>
      <c r="AV2281" s="5732"/>
      <c r="AW2281" s="5732"/>
      <c r="AX2281" s="5732"/>
      <c r="AY2281" s="5732"/>
      <c r="AZ2281" s="5732"/>
      <c r="BA2281" s="3812"/>
      <c r="BB2281" s="3812"/>
      <c r="BC2281" s="3812"/>
      <c r="BD2281" s="5123"/>
      <c r="BE2281" s="5123"/>
      <c r="BF2281" s="5123"/>
      <c r="BG2281" s="5123"/>
      <c r="BH2281" s="5123"/>
      <c r="BI2281" s="5123"/>
      <c r="BJ2281" s="5123"/>
      <c r="BK2281" s="5123"/>
      <c r="BL2281" s="5123"/>
      <c r="BM2281" s="5123"/>
      <c r="BN2281" s="3812">
        <v>295480</v>
      </c>
      <c r="BO2281" s="3812"/>
      <c r="BP2281" s="3812"/>
      <c r="BQ2281" s="3812"/>
      <c r="BR2281" s="3812"/>
      <c r="BS2281" s="3812"/>
      <c r="BT2281" s="3812"/>
      <c r="BU2281" s="3812"/>
      <c r="BV2281" s="3812"/>
      <c r="BW2281" s="3812"/>
      <c r="BX2281" s="3812"/>
      <c r="BY2281" s="3812"/>
      <c r="BZ2281" s="3812"/>
      <c r="CA2281" s="3812"/>
      <c r="CB2281" s="5709">
        <v>295480</v>
      </c>
      <c r="CC2281" s="3812"/>
      <c r="CD2281" s="3812"/>
      <c r="CE2281" s="5310"/>
      <c r="CF2281" s="5310"/>
      <c r="CG2281" s="5310"/>
      <c r="CH2281" s="5310"/>
    </row>
    <row r="2282" s="4974" customFormat="1" ht="24" customHeight="1" spans="1:86">
      <c r="A2282" s="3812"/>
      <c r="B2282" s="3812"/>
      <c r="C2282" s="3812"/>
      <c r="D2282" s="5059"/>
      <c r="E2282" s="5059"/>
      <c r="F2282" s="5059"/>
      <c r="G2282" s="5059"/>
      <c r="H2282" s="5059"/>
      <c r="I2282" s="5205"/>
      <c r="J2282" s="5059"/>
      <c r="K2282" s="5059"/>
      <c r="L2282" s="5059"/>
      <c r="M2282" s="3812"/>
      <c r="N2282" s="5711"/>
      <c r="O2282" s="5711"/>
      <c r="P2282" s="5711"/>
      <c r="Q2282" s="7071"/>
      <c r="R2282" s="5711"/>
      <c r="S2282" s="5711"/>
      <c r="T2282" s="5711"/>
      <c r="U2282" s="7071"/>
      <c r="V2282" s="7071"/>
      <c r="W2282" s="5711"/>
      <c r="X2282" s="5711"/>
      <c r="Y2282" s="5711"/>
      <c r="Z2282" s="5711"/>
      <c r="AA2282" s="5711"/>
      <c r="AB2282" s="5711"/>
      <c r="AC2282" s="1032" t="s">
        <v>1797</v>
      </c>
      <c r="AD2282" s="5241" t="s">
        <v>1801</v>
      </c>
      <c r="AE2282" s="1032">
        <v>0.2</v>
      </c>
      <c r="AF2282" s="3812">
        <f>1477400*AE2282</f>
        <v>295480</v>
      </c>
      <c r="AG2282" s="3812">
        <f t="shared" si="494"/>
        <v>295480</v>
      </c>
      <c r="AH2282" s="857" t="s">
        <v>122</v>
      </c>
      <c r="AI2282" s="3812">
        <v>45357</v>
      </c>
      <c r="AJ2282" s="3812">
        <v>295480</v>
      </c>
      <c r="AK2282" s="3812">
        <v>45357</v>
      </c>
      <c r="AL2282" s="3812">
        <v>295480</v>
      </c>
      <c r="AM2282" s="3812">
        <v>45376</v>
      </c>
      <c r="AN2282" s="3812">
        <f t="shared" si="495"/>
        <v>295480</v>
      </c>
      <c r="AO2282" s="3812">
        <v>45379</v>
      </c>
      <c r="AP2282" s="3812"/>
      <c r="AQ2282" s="5206"/>
      <c r="AR2282" s="5059"/>
      <c r="AS2282" s="5059"/>
      <c r="AT2282" s="3812"/>
      <c r="AU2282" s="5732"/>
      <c r="AV2282" s="5732"/>
      <c r="AW2282" s="5732"/>
      <c r="AX2282" s="5732"/>
      <c r="AY2282" s="5732"/>
      <c r="AZ2282" s="5732"/>
      <c r="BA2282" s="3812"/>
      <c r="BB2282" s="3812"/>
      <c r="BC2282" s="3812"/>
      <c r="BD2282" s="5123"/>
      <c r="BE2282" s="5123"/>
      <c r="BF2282" s="5123"/>
      <c r="BG2282" s="5123"/>
      <c r="BH2282" s="5123"/>
      <c r="BI2282" s="5123"/>
      <c r="BJ2282" s="5123"/>
      <c r="BK2282" s="5123"/>
      <c r="BL2282" s="5123"/>
      <c r="BM2282" s="5123"/>
      <c r="BN2282" s="3812">
        <v>295480</v>
      </c>
      <c r="BO2282" s="3812"/>
      <c r="BP2282" s="3812"/>
      <c r="BQ2282" s="3812"/>
      <c r="BR2282" s="3812"/>
      <c r="BS2282" s="3812"/>
      <c r="BT2282" s="3812"/>
      <c r="BU2282" s="3812"/>
      <c r="BV2282" s="3812"/>
      <c r="BW2282" s="3812"/>
      <c r="BX2282" s="3812"/>
      <c r="BY2282" s="3812"/>
      <c r="BZ2282" s="3812"/>
      <c r="CA2282" s="3812"/>
      <c r="CB2282" s="5709">
        <v>295480</v>
      </c>
      <c r="CC2282" s="3812"/>
      <c r="CD2282" s="3812"/>
      <c r="CE2282" s="5310"/>
      <c r="CF2282" s="5310"/>
      <c r="CG2282" s="5310"/>
      <c r="CH2282" s="5310"/>
    </row>
    <row r="2283" s="4974" customFormat="1" ht="30.85" customHeight="1" spans="1:86">
      <c r="A2283" s="3812"/>
      <c r="B2283" s="3812"/>
      <c r="C2283" s="3812"/>
      <c r="D2283" s="5059"/>
      <c r="E2283" s="5059"/>
      <c r="F2283" s="5059"/>
      <c r="G2283" s="5059"/>
      <c r="H2283" s="5059"/>
      <c r="I2283" s="5205"/>
      <c r="J2283" s="5059"/>
      <c r="K2283" s="5059"/>
      <c r="L2283" s="5059"/>
      <c r="M2283" s="3812"/>
      <c r="N2283" s="5711"/>
      <c r="O2283" s="5711"/>
      <c r="P2283" s="5711"/>
      <c r="Q2283" s="7071"/>
      <c r="R2283" s="5711"/>
      <c r="S2283" s="5711"/>
      <c r="T2283" s="5711"/>
      <c r="U2283" s="7071"/>
      <c r="V2283" s="7071"/>
      <c r="W2283" s="5711"/>
      <c r="X2283" s="5711"/>
      <c r="Y2283" s="5711"/>
      <c r="Z2283" s="5711"/>
      <c r="AA2283" s="5711"/>
      <c r="AB2283" s="5711"/>
      <c r="AC2283" s="5073" t="s">
        <v>1797</v>
      </c>
      <c r="AD2283" s="5073" t="s">
        <v>1803</v>
      </c>
      <c r="AE2283" s="5073">
        <v>0.2</v>
      </c>
      <c r="AF2283" s="4840">
        <f>1477400*AE2283</f>
        <v>295480</v>
      </c>
      <c r="AG2283" s="4840">
        <f t="shared" si="494"/>
        <v>295480</v>
      </c>
      <c r="AH2283" s="3366" t="s">
        <v>122</v>
      </c>
      <c r="AI2283" s="4840">
        <v>45433</v>
      </c>
      <c r="AJ2283" s="4840">
        <v>295480</v>
      </c>
      <c r="AK2283" s="4840">
        <v>45433</v>
      </c>
      <c r="AL2283" s="3812">
        <v>205240</v>
      </c>
      <c r="AM2283" s="3812">
        <v>45433</v>
      </c>
      <c r="AN2283" s="3812">
        <f t="shared" si="495"/>
        <v>205240</v>
      </c>
      <c r="AO2283" s="3812">
        <v>45442</v>
      </c>
      <c r="AP2283" s="3812"/>
      <c r="AQ2283" s="5941" t="s">
        <v>3902</v>
      </c>
      <c r="AR2283" s="1032"/>
      <c r="AS2283" s="5059"/>
      <c r="AT2283" s="3812"/>
      <c r="AU2283" s="5732"/>
      <c r="AV2283" s="5732"/>
      <c r="AW2283" s="5732"/>
      <c r="AX2283" s="5732"/>
      <c r="AY2283" s="5732"/>
      <c r="AZ2283" s="5732"/>
      <c r="BA2283" s="3812"/>
      <c r="BB2283" s="3812"/>
      <c r="BC2283" s="3812"/>
      <c r="BD2283" s="3812"/>
      <c r="BE2283" s="3812"/>
      <c r="BF2283" s="3812"/>
      <c r="BG2283" s="3812"/>
      <c r="BH2283" s="3812"/>
      <c r="BI2283" s="3812"/>
      <c r="BJ2283" s="3812"/>
      <c r="BK2283" s="3812"/>
      <c r="BL2283" s="3812"/>
      <c r="BM2283" s="4840"/>
      <c r="BN2283" s="4840">
        <v>295480</v>
      </c>
      <c r="BO2283" s="3812"/>
      <c r="BP2283" s="3812"/>
      <c r="BQ2283" s="3812"/>
      <c r="BR2283" s="3812"/>
      <c r="BS2283" s="3812"/>
      <c r="BT2283" s="3812"/>
      <c r="BU2283" s="3812"/>
      <c r="BV2283" s="3812"/>
      <c r="BW2283" s="3812"/>
      <c r="BX2283" s="3812"/>
      <c r="BY2283" s="3812"/>
      <c r="BZ2283" s="3812"/>
      <c r="CA2283" s="3812"/>
      <c r="CB2283" s="3812">
        <v>205240</v>
      </c>
      <c r="CC2283" s="3812"/>
      <c r="CD2283" s="3812"/>
      <c r="CE2283" s="5310"/>
      <c r="CF2283" s="5310"/>
      <c r="CG2283" s="5310"/>
      <c r="CH2283" s="5310"/>
    </row>
    <row r="2284" s="4974" customFormat="1" ht="24" customHeight="1" spans="1:86">
      <c r="A2284" s="3812"/>
      <c r="B2284" s="3812"/>
      <c r="C2284" s="3812"/>
      <c r="D2284" s="5059"/>
      <c r="E2284" s="5059"/>
      <c r="F2284" s="5059"/>
      <c r="G2284" s="5059"/>
      <c r="H2284" s="5059"/>
      <c r="I2284" s="5205"/>
      <c r="J2284" s="5059"/>
      <c r="K2284" s="5059"/>
      <c r="L2284" s="5059"/>
      <c r="M2284" s="3812"/>
      <c r="N2284" s="5711"/>
      <c r="O2284" s="5711"/>
      <c r="P2284" s="5711"/>
      <c r="Q2284" s="7071"/>
      <c r="R2284" s="5711"/>
      <c r="S2284" s="5711"/>
      <c r="T2284" s="5711"/>
      <c r="U2284" s="7071"/>
      <c r="V2284" s="7071"/>
      <c r="W2284" s="5711"/>
      <c r="X2284" s="5711"/>
      <c r="Y2284" s="5711"/>
      <c r="Z2284" s="5711"/>
      <c r="AA2284" s="5711"/>
      <c r="AB2284" s="5711"/>
      <c r="AC2284" s="5205"/>
      <c r="AD2284" s="5205"/>
      <c r="AE2284" s="5205"/>
      <c r="AF2284" s="4841"/>
      <c r="AG2284" s="4842"/>
      <c r="AH2284" s="3409"/>
      <c r="AI2284" s="4842"/>
      <c r="AJ2284" s="4842"/>
      <c r="AK2284" s="4842"/>
      <c r="AL2284" s="3812">
        <v>90240</v>
      </c>
      <c r="AM2284" s="3812">
        <v>45433</v>
      </c>
      <c r="AN2284" s="3812">
        <f t="shared" si="495"/>
        <v>90240</v>
      </c>
      <c r="AO2284" s="3812">
        <v>45442</v>
      </c>
      <c r="AP2284" s="3812"/>
      <c r="AQ2284" s="5941" t="s">
        <v>3902</v>
      </c>
      <c r="AR2284" s="5714" t="s">
        <v>3897</v>
      </c>
      <c r="AS2284" s="5059"/>
      <c r="AT2284" s="3812"/>
      <c r="AU2284" s="5732"/>
      <c r="AV2284" s="5732"/>
      <c r="AW2284" s="5732"/>
      <c r="AX2284" s="5732"/>
      <c r="AY2284" s="5732"/>
      <c r="AZ2284" s="5732"/>
      <c r="BA2284" s="3812"/>
      <c r="BB2284" s="3812"/>
      <c r="BC2284" s="3812"/>
      <c r="BD2284" s="5123"/>
      <c r="BE2284" s="5123"/>
      <c r="BF2284" s="5123"/>
      <c r="BG2284" s="5123"/>
      <c r="BH2284" s="5123"/>
      <c r="BI2284" s="5123"/>
      <c r="BJ2284" s="5123"/>
      <c r="BK2284" s="5123"/>
      <c r="BL2284" s="5123"/>
      <c r="BM2284" s="5301"/>
      <c r="BN2284" s="4842"/>
      <c r="BO2284" s="3812"/>
      <c r="BP2284" s="3812"/>
      <c r="BQ2284" s="3812"/>
      <c r="BR2284" s="3812"/>
      <c r="BS2284" s="3812"/>
      <c r="BT2284" s="3812"/>
      <c r="BU2284" s="3812"/>
      <c r="BV2284" s="3812"/>
      <c r="BW2284" s="3812"/>
      <c r="BX2284" s="3812"/>
      <c r="BY2284" s="3812"/>
      <c r="BZ2284" s="3812"/>
      <c r="CA2284" s="3812"/>
      <c r="CB2284" s="3812">
        <v>90240</v>
      </c>
      <c r="CC2284" s="3812"/>
      <c r="CD2284" s="3812"/>
      <c r="CE2284" s="5310"/>
      <c r="CF2284" s="5310"/>
      <c r="CG2284" s="5310"/>
      <c r="CH2284" s="5310"/>
    </row>
    <row r="2285" s="4974" customFormat="1" ht="24" customHeight="1" spans="1:86">
      <c r="A2285" s="3812"/>
      <c r="B2285" s="3812"/>
      <c r="C2285" s="3812"/>
      <c r="D2285" s="5059"/>
      <c r="E2285" s="5059"/>
      <c r="F2285" s="5059"/>
      <c r="G2285" s="5059"/>
      <c r="H2285" s="5059"/>
      <c r="I2285" s="5205"/>
      <c r="J2285" s="5059"/>
      <c r="K2285" s="5059"/>
      <c r="L2285" s="5059"/>
      <c r="M2285" s="3812"/>
      <c r="N2285" s="5711"/>
      <c r="O2285" s="5711"/>
      <c r="P2285" s="5711"/>
      <c r="Q2285" s="7071"/>
      <c r="R2285" s="5711"/>
      <c r="S2285" s="5711"/>
      <c r="T2285" s="5711"/>
      <c r="U2285" s="7071"/>
      <c r="V2285" s="7071"/>
      <c r="W2285" s="5711"/>
      <c r="X2285" s="5711"/>
      <c r="Y2285" s="5711"/>
      <c r="Z2285" s="5711"/>
      <c r="AA2285" s="5711"/>
      <c r="AB2285" s="5711"/>
      <c r="AC2285" s="1032" t="s">
        <v>1797</v>
      </c>
      <c r="AD2285" s="5241" t="s">
        <v>1804</v>
      </c>
      <c r="AE2285" s="1032">
        <v>0.2</v>
      </c>
      <c r="AF2285" s="3812">
        <f>1477400*AE2285</f>
        <v>295480</v>
      </c>
      <c r="AG2285" s="5123">
        <f t="shared" ref="AG2285:AG2292" si="496">SUM(BA2285:BN2285)</f>
        <v>295480</v>
      </c>
      <c r="AH2285" s="857"/>
      <c r="AI2285" s="5257"/>
      <c r="AJ2285" s="3812"/>
      <c r="AK2285" s="3812"/>
      <c r="AL2285" s="3812"/>
      <c r="AM2285" s="3812"/>
      <c r="AN2285" s="5123">
        <f t="shared" si="495"/>
        <v>295480</v>
      </c>
      <c r="AO2285" s="5257"/>
      <c r="AP2285" s="3812"/>
      <c r="AQ2285" s="1032"/>
      <c r="AR2285" s="5059"/>
      <c r="AS2285" s="5059"/>
      <c r="AT2285" s="3812"/>
      <c r="AU2285" s="5732"/>
      <c r="AV2285" s="5732"/>
      <c r="AW2285" s="5732"/>
      <c r="AX2285" s="5732"/>
      <c r="AY2285" s="5732"/>
      <c r="AZ2285" s="5732"/>
      <c r="BA2285" s="3812"/>
      <c r="BB2285" s="3812"/>
      <c r="BC2285" s="3812"/>
      <c r="BD2285" s="5123"/>
      <c r="BE2285" s="5123"/>
      <c r="BF2285" s="5123"/>
      <c r="BG2285" s="5123"/>
      <c r="BH2285" s="5123"/>
      <c r="BI2285" s="5123"/>
      <c r="BJ2285" s="5123"/>
      <c r="BK2285" s="5123"/>
      <c r="BL2285" s="5123"/>
      <c r="BM2285" s="5123"/>
      <c r="BN2285" s="5123">
        <v>295480</v>
      </c>
      <c r="BO2285" s="3812"/>
      <c r="BP2285" s="3812"/>
      <c r="BQ2285" s="3812"/>
      <c r="BR2285" s="3812"/>
      <c r="BS2285" s="3812"/>
      <c r="BT2285" s="3812"/>
      <c r="BU2285" s="3812"/>
      <c r="BV2285" s="3812"/>
      <c r="BW2285" s="3812"/>
      <c r="BX2285" s="3812"/>
      <c r="BY2285" s="3812"/>
      <c r="BZ2285" s="3812"/>
      <c r="CA2285" s="3812"/>
      <c r="CB2285" s="5123">
        <v>295480</v>
      </c>
      <c r="CC2285" s="3812"/>
      <c r="CD2285" s="3812"/>
      <c r="CE2285" s="5310"/>
      <c r="CF2285" s="5310"/>
      <c r="CG2285" s="5310"/>
      <c r="CH2285" s="5310"/>
    </row>
    <row r="2286" s="4985" customFormat="1" ht="31" spans="1:86">
      <c r="A2286" s="5201"/>
      <c r="B2286" s="5201"/>
      <c r="C2286" s="5201"/>
      <c r="D2286" s="5708"/>
      <c r="E2286" s="5059"/>
      <c r="F2286" s="5708"/>
      <c r="G2286" s="5059"/>
      <c r="H2286" s="5059"/>
      <c r="I2286" s="5205"/>
      <c r="J2286" s="5059"/>
      <c r="K2286" s="5059"/>
      <c r="L2286" s="5059"/>
      <c r="M2286" s="5201"/>
      <c r="N2286" s="5711"/>
      <c r="O2286" s="5711"/>
      <c r="P2286" s="5711"/>
      <c r="Q2286" s="7071"/>
      <c r="R2286" s="5711"/>
      <c r="S2286" s="5711"/>
      <c r="T2286" s="5711"/>
      <c r="U2286" s="7071"/>
      <c r="V2286" s="7071"/>
      <c r="W2286" s="5711"/>
      <c r="X2286" s="5711"/>
      <c r="Y2286" s="5711"/>
      <c r="Z2286" s="5711"/>
      <c r="AA2286" s="5711"/>
      <c r="AB2286" s="5711"/>
      <c r="AC2286" s="5714" t="s">
        <v>1805</v>
      </c>
      <c r="AD2286" s="5931" t="s">
        <v>1798</v>
      </c>
      <c r="AE2286" s="5714">
        <v>0.2</v>
      </c>
      <c r="AF2286" s="5201">
        <f>1698303.67*AE2286</f>
        <v>339660.734</v>
      </c>
      <c r="AG2286" s="5201">
        <f t="shared" si="496"/>
        <v>339660.73</v>
      </c>
      <c r="AH2286" s="5930" t="s">
        <v>122</v>
      </c>
      <c r="AI2286" s="5201">
        <v>45357</v>
      </c>
      <c r="AJ2286" s="5201">
        <v>339660.73</v>
      </c>
      <c r="AK2286" s="5201">
        <v>45357</v>
      </c>
      <c r="AL2286" s="5201">
        <v>339660.73</v>
      </c>
      <c r="AM2286" s="5201">
        <v>45376</v>
      </c>
      <c r="AN2286" s="5201">
        <f t="shared" si="495"/>
        <v>339660.73</v>
      </c>
      <c r="AO2286" s="5201">
        <v>45379</v>
      </c>
      <c r="AP2286" s="5201"/>
      <c r="AQ2286" s="5714" t="s">
        <v>3891</v>
      </c>
      <c r="AR2286" s="5708"/>
      <c r="AS2286" s="5708"/>
      <c r="AT2286" s="5201"/>
      <c r="AU2286" s="5732"/>
      <c r="AV2286" s="5732"/>
      <c r="AW2286" s="5732"/>
      <c r="AX2286" s="5732"/>
      <c r="AY2286" s="5732"/>
      <c r="AZ2286" s="5732"/>
      <c r="BA2286" s="5201"/>
      <c r="BB2286" s="5201"/>
      <c r="BC2286" s="5201"/>
      <c r="BD2286" s="5734"/>
      <c r="BE2286" s="5734"/>
      <c r="BF2286" s="5734"/>
      <c r="BG2286" s="5734"/>
      <c r="BH2286" s="5734"/>
      <c r="BI2286" s="5734"/>
      <c r="BJ2286" s="5734"/>
      <c r="BK2286" s="5734"/>
      <c r="BL2286" s="5734"/>
      <c r="BM2286" s="5734"/>
      <c r="BN2286" s="5201">
        <v>339660.73</v>
      </c>
      <c r="BO2286" s="5201"/>
      <c r="BP2286" s="5201"/>
      <c r="BQ2286" s="5201"/>
      <c r="BR2286" s="5201"/>
      <c r="BS2286" s="5201"/>
      <c r="BT2286" s="5201"/>
      <c r="BU2286" s="5201"/>
      <c r="BV2286" s="5201"/>
      <c r="BW2286" s="5201"/>
      <c r="BX2286" s="5201"/>
      <c r="BY2286" s="5201"/>
      <c r="BZ2286" s="5201"/>
      <c r="CA2286" s="5201"/>
      <c r="CB2286" s="5201">
        <v>339660.73</v>
      </c>
      <c r="CC2286" s="5201"/>
      <c r="CD2286" s="5201"/>
      <c r="CE2286" s="5990"/>
      <c r="CF2286" s="5990"/>
      <c r="CG2286" s="5990"/>
      <c r="CH2286" s="5990"/>
    </row>
    <row r="2287" s="4974" customFormat="1" ht="31" spans="1:86">
      <c r="A2287" s="3812"/>
      <c r="B2287" s="3812"/>
      <c r="C2287" s="3812"/>
      <c r="D2287" s="5059"/>
      <c r="E2287" s="5059"/>
      <c r="F2287" s="5059"/>
      <c r="G2287" s="5059"/>
      <c r="H2287" s="5059"/>
      <c r="I2287" s="5205"/>
      <c r="J2287" s="5059"/>
      <c r="K2287" s="5059"/>
      <c r="L2287" s="5059"/>
      <c r="M2287" s="3812"/>
      <c r="N2287" s="5711"/>
      <c r="O2287" s="5711"/>
      <c r="P2287" s="5711"/>
      <c r="Q2287" s="7071"/>
      <c r="R2287" s="5711"/>
      <c r="S2287" s="5711"/>
      <c r="T2287" s="5711"/>
      <c r="U2287" s="7071"/>
      <c r="V2287" s="7071"/>
      <c r="W2287" s="5711"/>
      <c r="X2287" s="5711"/>
      <c r="Y2287" s="5711"/>
      <c r="Z2287" s="5711"/>
      <c r="AA2287" s="5711"/>
      <c r="AB2287" s="5711"/>
      <c r="AC2287" s="1032" t="s">
        <v>1806</v>
      </c>
      <c r="AD2287" s="5241" t="s">
        <v>1799</v>
      </c>
      <c r="AE2287" s="1032">
        <v>0.2</v>
      </c>
      <c r="AF2287" s="3812">
        <f>1698303.67*AE2287</f>
        <v>339660.734</v>
      </c>
      <c r="AG2287" s="3812">
        <f t="shared" si="496"/>
        <v>339660.73</v>
      </c>
      <c r="AH2287" s="857" t="s">
        <v>122</v>
      </c>
      <c r="AI2287" s="3812">
        <v>45433</v>
      </c>
      <c r="AJ2287" s="3812">
        <v>339660.73</v>
      </c>
      <c r="AK2287" s="3812">
        <v>45433</v>
      </c>
      <c r="AL2287" s="3812">
        <v>339660.73</v>
      </c>
      <c r="AM2287" s="3812">
        <v>45433</v>
      </c>
      <c r="AN2287" s="3812">
        <f t="shared" si="495"/>
        <v>339660.73</v>
      </c>
      <c r="AO2287" s="3812">
        <v>45442</v>
      </c>
      <c r="AP2287" s="3812"/>
      <c r="AQ2287" s="5941" t="s">
        <v>3902</v>
      </c>
      <c r="AR2287" s="5059"/>
      <c r="AS2287" s="5059"/>
      <c r="AT2287" s="3812"/>
      <c r="AU2287" s="5732"/>
      <c r="AV2287" s="5732"/>
      <c r="AW2287" s="5732"/>
      <c r="AX2287" s="5732"/>
      <c r="AY2287" s="5732"/>
      <c r="AZ2287" s="5732"/>
      <c r="BA2287" s="3812"/>
      <c r="BB2287" s="3812"/>
      <c r="BC2287" s="3812"/>
      <c r="BD2287" s="3812"/>
      <c r="BE2287" s="3812"/>
      <c r="BF2287" s="3812"/>
      <c r="BG2287" s="3812"/>
      <c r="BH2287" s="3812"/>
      <c r="BI2287" s="3812"/>
      <c r="BJ2287" s="3812"/>
      <c r="BK2287" s="3812"/>
      <c r="BL2287" s="3812"/>
      <c r="BM2287" s="3812"/>
      <c r="BN2287" s="3812">
        <v>339660.73</v>
      </c>
      <c r="BO2287" s="3812"/>
      <c r="BP2287" s="3812"/>
      <c r="BQ2287" s="3812"/>
      <c r="BR2287" s="3812"/>
      <c r="BS2287" s="3812"/>
      <c r="BT2287" s="3812"/>
      <c r="BU2287" s="3812"/>
      <c r="BV2287" s="3812"/>
      <c r="BW2287" s="3812"/>
      <c r="BX2287" s="3812"/>
      <c r="BY2287" s="3812"/>
      <c r="BZ2287" s="3812"/>
      <c r="CA2287" s="3812"/>
      <c r="CB2287" s="5123">
        <v>339660.73</v>
      </c>
      <c r="CC2287" s="3812"/>
      <c r="CD2287" s="3812"/>
      <c r="CE2287" s="5310"/>
      <c r="CF2287" s="5310"/>
      <c r="CG2287" s="5310"/>
      <c r="CH2287" s="5310"/>
    </row>
    <row r="2288" s="4974" customFormat="1" ht="29.15" customHeight="1" spans="1:86">
      <c r="A2288" s="3812"/>
      <c r="B2288" s="3812"/>
      <c r="C2288" s="3812"/>
      <c r="D2288" s="5059"/>
      <c r="E2288" s="5059"/>
      <c r="F2288" s="5059"/>
      <c r="G2288" s="5059"/>
      <c r="H2288" s="5059"/>
      <c r="I2288" s="5205"/>
      <c r="J2288" s="5059"/>
      <c r="K2288" s="5059"/>
      <c r="L2288" s="5059"/>
      <c r="M2288" s="3812"/>
      <c r="N2288" s="5711"/>
      <c r="O2288" s="5711"/>
      <c r="P2288" s="5711"/>
      <c r="Q2288" s="7071"/>
      <c r="R2288" s="5711"/>
      <c r="S2288" s="5711"/>
      <c r="T2288" s="5711"/>
      <c r="U2288" s="7071"/>
      <c r="V2288" s="7071"/>
      <c r="W2288" s="5711"/>
      <c r="X2288" s="5711"/>
      <c r="Y2288" s="5711"/>
      <c r="Z2288" s="5711"/>
      <c r="AA2288" s="5711"/>
      <c r="AB2288" s="5711"/>
      <c r="AC2288" s="5073" t="s">
        <v>1807</v>
      </c>
      <c r="AD2288" s="5242" t="s">
        <v>1801</v>
      </c>
      <c r="AE2288" s="5073">
        <v>0.2</v>
      </c>
      <c r="AF2288" s="4840">
        <f>1698303.67*AE2288</f>
        <v>339660.734</v>
      </c>
      <c r="AG2288" s="3812">
        <f t="shared" si="496"/>
        <v>58690.75</v>
      </c>
      <c r="AH2288" s="857" t="s">
        <v>122</v>
      </c>
      <c r="AI2288" s="3812">
        <v>45433</v>
      </c>
      <c r="AJ2288" s="3812">
        <v>58690.75</v>
      </c>
      <c r="AK2288" s="3812">
        <v>45433</v>
      </c>
      <c r="AL2288" s="3812">
        <v>58690.75</v>
      </c>
      <c r="AM2288" s="3812">
        <v>45433</v>
      </c>
      <c r="AN2288" s="3812">
        <f t="shared" si="495"/>
        <v>58690.75</v>
      </c>
      <c r="AO2288" s="3812">
        <v>45442</v>
      </c>
      <c r="AP2288" s="3812"/>
      <c r="AQ2288" s="5941" t="s">
        <v>3896</v>
      </c>
      <c r="AR2288" s="5714" t="s">
        <v>3897</v>
      </c>
      <c r="AS2288" s="5059"/>
      <c r="AT2288" s="3812"/>
      <c r="AU2288" s="5732"/>
      <c r="AV2288" s="5732"/>
      <c r="AW2288" s="5732"/>
      <c r="AX2288" s="5732"/>
      <c r="AY2288" s="5732"/>
      <c r="AZ2288" s="5732"/>
      <c r="BA2288" s="3812"/>
      <c r="BB2288" s="3812"/>
      <c r="BC2288" s="3812"/>
      <c r="BD2288" s="3812"/>
      <c r="BE2288" s="3812"/>
      <c r="BF2288" s="3812"/>
      <c r="BG2288" s="3812"/>
      <c r="BH2288" s="3812"/>
      <c r="BI2288" s="3812"/>
      <c r="BJ2288" s="3812"/>
      <c r="BK2288" s="3812"/>
      <c r="BL2288" s="3812"/>
      <c r="BM2288" s="3812"/>
      <c r="BN2288" s="3812">
        <v>58690.75</v>
      </c>
      <c r="BO2288" s="3812"/>
      <c r="BP2288" s="3812"/>
      <c r="BQ2288" s="3812"/>
      <c r="BR2288" s="3812"/>
      <c r="BS2288" s="3812"/>
      <c r="BT2288" s="3812"/>
      <c r="BU2288" s="3812"/>
      <c r="BV2288" s="3812"/>
      <c r="BW2288" s="3812"/>
      <c r="BX2288" s="3812"/>
      <c r="BY2288" s="3812"/>
      <c r="BZ2288" s="3812"/>
      <c r="CA2288" s="3812"/>
      <c r="CB2288" s="5123">
        <v>58690.75</v>
      </c>
      <c r="CC2288" s="3812"/>
      <c r="CD2288" s="3812"/>
      <c r="CE2288" s="5310"/>
      <c r="CF2288" s="5310"/>
      <c r="CG2288" s="5310"/>
      <c r="CH2288" s="5310"/>
    </row>
    <row r="2289" s="4974" customFormat="1" ht="29.15" customHeight="1" spans="1:86">
      <c r="A2289" s="3812"/>
      <c r="B2289" s="3812"/>
      <c r="C2289" s="3812"/>
      <c r="D2289" s="5059"/>
      <c r="E2289" s="5059"/>
      <c r="F2289" s="5059"/>
      <c r="G2289" s="5059"/>
      <c r="H2289" s="5059"/>
      <c r="I2289" s="5205"/>
      <c r="J2289" s="5059"/>
      <c r="K2289" s="5059"/>
      <c r="L2289" s="5059"/>
      <c r="M2289" s="3812"/>
      <c r="N2289" s="5711"/>
      <c r="O2289" s="5711"/>
      <c r="P2289" s="5711"/>
      <c r="Q2289" s="7071"/>
      <c r="R2289" s="5711"/>
      <c r="S2289" s="5711"/>
      <c r="T2289" s="5711"/>
      <c r="U2289" s="7071"/>
      <c r="V2289" s="7071"/>
      <c r="W2289" s="5711"/>
      <c r="X2289" s="5711"/>
      <c r="Y2289" s="5711"/>
      <c r="Z2289" s="5711"/>
      <c r="AA2289" s="5711"/>
      <c r="AB2289" s="5711"/>
      <c r="AC2289" s="5205"/>
      <c r="AD2289" s="5977"/>
      <c r="AE2289" s="5205"/>
      <c r="AF2289" s="4841"/>
      <c r="AG2289" s="3812">
        <f t="shared" si="496"/>
        <v>18143.08</v>
      </c>
      <c r="AH2289" s="857" t="s">
        <v>122</v>
      </c>
      <c r="AI2289" s="3812">
        <v>45436</v>
      </c>
      <c r="AJ2289" s="3812">
        <v>18143.08</v>
      </c>
      <c r="AK2289" s="3812">
        <v>45436</v>
      </c>
      <c r="AL2289" s="3812">
        <v>18143.08</v>
      </c>
      <c r="AM2289" s="3812">
        <v>45436</v>
      </c>
      <c r="AN2289" s="3812">
        <f t="shared" si="495"/>
        <v>18143.08</v>
      </c>
      <c r="AO2289" s="4840">
        <v>45673</v>
      </c>
      <c r="AP2289" s="3812"/>
      <c r="AQ2289" s="5941" t="s">
        <v>3903</v>
      </c>
      <c r="AR2289" s="5059"/>
      <c r="AS2289" s="5059"/>
      <c r="AT2289" s="3812"/>
      <c r="AU2289" s="5732"/>
      <c r="AV2289" s="5732"/>
      <c r="AW2289" s="5732"/>
      <c r="AX2289" s="5732"/>
      <c r="AY2289" s="5732"/>
      <c r="AZ2289" s="5732"/>
      <c r="BA2289" s="3812"/>
      <c r="BB2289" s="3812"/>
      <c r="BC2289" s="3812"/>
      <c r="BD2289" s="3812"/>
      <c r="BE2289" s="3812"/>
      <c r="BF2289" s="3812"/>
      <c r="BG2289" s="3812"/>
      <c r="BH2289" s="3812"/>
      <c r="BI2289" s="3812"/>
      <c r="BJ2289" s="3812"/>
      <c r="BK2289" s="3812"/>
      <c r="BL2289" s="3812"/>
      <c r="BM2289" s="3812"/>
      <c r="BN2289" s="3812">
        <v>18143.08</v>
      </c>
      <c r="BO2289" s="3812"/>
      <c r="BP2289" s="3812"/>
      <c r="BQ2289" s="3812"/>
      <c r="BR2289" s="3812"/>
      <c r="BS2289" s="3812"/>
      <c r="BT2289" s="3812"/>
      <c r="BU2289" s="3812"/>
      <c r="BV2289" s="3812"/>
      <c r="BW2289" s="3812"/>
      <c r="BX2289" s="3812"/>
      <c r="BY2289" s="3812"/>
      <c r="BZ2289" s="3812"/>
      <c r="CA2289" s="3812"/>
      <c r="CB2289" s="3812">
        <v>18143.08</v>
      </c>
      <c r="CC2289" s="3812"/>
      <c r="CD2289" s="3812"/>
      <c r="CE2289" s="5310"/>
      <c r="CF2289" s="5310"/>
      <c r="CG2289" s="5310"/>
      <c r="CH2289" s="5310"/>
    </row>
    <row r="2290" s="4974" customFormat="1" ht="29.15" customHeight="1" spans="1:86">
      <c r="A2290" s="3812"/>
      <c r="B2290" s="3812"/>
      <c r="C2290" s="3812"/>
      <c r="D2290" s="5059"/>
      <c r="E2290" s="5059"/>
      <c r="F2290" s="5059"/>
      <c r="G2290" s="5059"/>
      <c r="H2290" s="5059"/>
      <c r="I2290" s="5205"/>
      <c r="J2290" s="5059"/>
      <c r="K2290" s="5059"/>
      <c r="L2290" s="5059"/>
      <c r="M2290" s="3812"/>
      <c r="N2290" s="5711"/>
      <c r="O2290" s="5711"/>
      <c r="P2290" s="5711"/>
      <c r="Q2290" s="7071"/>
      <c r="R2290" s="5711"/>
      <c r="S2290" s="5711"/>
      <c r="T2290" s="5711"/>
      <c r="U2290" s="7071"/>
      <c r="V2290" s="7071"/>
      <c r="W2290" s="5711"/>
      <c r="X2290" s="5711"/>
      <c r="Y2290" s="5711"/>
      <c r="Z2290" s="5711"/>
      <c r="AA2290" s="5711"/>
      <c r="AB2290" s="5711"/>
      <c r="AC2290" s="5205"/>
      <c r="AD2290" s="5977"/>
      <c r="AE2290" s="5205"/>
      <c r="AF2290" s="4841"/>
      <c r="AG2290" s="3812">
        <f t="shared" si="496"/>
        <v>15424.28</v>
      </c>
      <c r="AH2290" s="857" t="s">
        <v>122</v>
      </c>
      <c r="AI2290" s="4840">
        <v>45580</v>
      </c>
      <c r="AJ2290" s="3812">
        <v>15424.28</v>
      </c>
      <c r="AK2290" s="4840">
        <v>45580</v>
      </c>
      <c r="AL2290" s="3812">
        <v>15424.28</v>
      </c>
      <c r="AM2290" s="4840">
        <v>45580</v>
      </c>
      <c r="AN2290" s="3812">
        <f t="shared" si="495"/>
        <v>15424.28</v>
      </c>
      <c r="AO2290" s="4840">
        <v>45595</v>
      </c>
      <c r="AP2290" s="3812"/>
      <c r="AQ2290" s="5941"/>
      <c r="AR2290" s="1032"/>
      <c r="AS2290" s="5059"/>
      <c r="AT2290" s="3812"/>
      <c r="AU2290" s="5732"/>
      <c r="AV2290" s="5732"/>
      <c r="AW2290" s="5732"/>
      <c r="AX2290" s="5732"/>
      <c r="AY2290" s="5732"/>
      <c r="AZ2290" s="5732"/>
      <c r="BA2290" s="3812"/>
      <c r="BB2290" s="3812"/>
      <c r="BC2290" s="3812"/>
      <c r="BD2290" s="3812"/>
      <c r="BE2290" s="3812"/>
      <c r="BF2290" s="3812"/>
      <c r="BG2290" s="3812"/>
      <c r="BH2290" s="3812"/>
      <c r="BI2290" s="3812"/>
      <c r="BJ2290" s="3812"/>
      <c r="BK2290" s="3812"/>
      <c r="BL2290" s="3812"/>
      <c r="BM2290" s="3812"/>
      <c r="BN2290" s="3812">
        <v>15424.28</v>
      </c>
      <c r="BO2290" s="3812"/>
      <c r="BP2290" s="3812"/>
      <c r="BQ2290" s="3812"/>
      <c r="BR2290" s="3812"/>
      <c r="BS2290" s="3812"/>
      <c r="BT2290" s="3812"/>
      <c r="BU2290" s="3812"/>
      <c r="BV2290" s="3812"/>
      <c r="BW2290" s="3812"/>
      <c r="BX2290" s="3812"/>
      <c r="BY2290" s="3812"/>
      <c r="BZ2290" s="3812"/>
      <c r="CA2290" s="3812"/>
      <c r="CB2290" s="3812">
        <v>15424.28</v>
      </c>
      <c r="CC2290" s="3812"/>
      <c r="CD2290" s="3812"/>
      <c r="CE2290" s="5310"/>
      <c r="CF2290" s="5310"/>
      <c r="CG2290" s="5310"/>
      <c r="CH2290" s="5310"/>
    </row>
    <row r="2291" s="4974" customFormat="1" ht="29.15" customHeight="1" spans="1:86">
      <c r="A2291" s="3812"/>
      <c r="B2291" s="3812"/>
      <c r="C2291" s="3812"/>
      <c r="D2291" s="5059"/>
      <c r="E2291" s="5059"/>
      <c r="F2291" s="5059"/>
      <c r="G2291" s="5059"/>
      <c r="H2291" s="5059"/>
      <c r="I2291" s="5205"/>
      <c r="J2291" s="5059"/>
      <c r="K2291" s="5059"/>
      <c r="L2291" s="5059"/>
      <c r="M2291" s="3812"/>
      <c r="N2291" s="5711"/>
      <c r="O2291" s="5711"/>
      <c r="P2291" s="5711"/>
      <c r="Q2291" s="7071"/>
      <c r="R2291" s="5711"/>
      <c r="S2291" s="5711"/>
      <c r="T2291" s="5711"/>
      <c r="U2291" s="7071"/>
      <c r="V2291" s="7071"/>
      <c r="W2291" s="5711"/>
      <c r="X2291" s="5711"/>
      <c r="Y2291" s="5711"/>
      <c r="Z2291" s="5711"/>
      <c r="AA2291" s="5711"/>
      <c r="AB2291" s="5711"/>
      <c r="AC2291" s="5205"/>
      <c r="AD2291" s="5977"/>
      <c r="AE2291" s="5205"/>
      <c r="AF2291" s="4841"/>
      <c r="AG2291" s="4813">
        <f t="shared" si="496"/>
        <v>84630.81</v>
      </c>
      <c r="AH2291" s="1015" t="s">
        <v>122</v>
      </c>
      <c r="AI2291" s="4840">
        <v>45741</v>
      </c>
      <c r="AJ2291" s="3812">
        <v>84630.81</v>
      </c>
      <c r="AK2291" s="4840">
        <v>45741</v>
      </c>
      <c r="AL2291" s="3812">
        <v>84630.81</v>
      </c>
      <c r="AM2291" s="4840">
        <v>45741</v>
      </c>
      <c r="AN2291" s="3812">
        <f t="shared" si="495"/>
        <v>84630.81</v>
      </c>
      <c r="AO2291" s="4840">
        <v>45765</v>
      </c>
      <c r="AP2291" s="3812"/>
      <c r="AQ2291" s="5941"/>
      <c r="AR2291" s="1032"/>
      <c r="AS2291" s="5059"/>
      <c r="AT2291" s="3812"/>
      <c r="AU2291" s="5732"/>
      <c r="AV2291" s="5732"/>
      <c r="AW2291" s="5732"/>
      <c r="AX2291" s="5732"/>
      <c r="AY2291" s="5732"/>
      <c r="AZ2291" s="5732"/>
      <c r="BA2291" s="3812"/>
      <c r="BB2291" s="3812"/>
      <c r="BC2291" s="3812"/>
      <c r="BD2291" s="3812"/>
      <c r="BE2291" s="3812"/>
      <c r="BF2291" s="3812"/>
      <c r="BG2291" s="3812"/>
      <c r="BH2291" s="3812"/>
      <c r="BI2291" s="3812"/>
      <c r="BJ2291" s="3812"/>
      <c r="BK2291" s="3812"/>
      <c r="BL2291" s="3812"/>
      <c r="BM2291" s="3812"/>
      <c r="BN2291" s="3812">
        <v>84630.81</v>
      </c>
      <c r="BO2291" s="3812"/>
      <c r="BP2291" s="3812"/>
      <c r="BQ2291" s="3812"/>
      <c r="BR2291" s="3812"/>
      <c r="BS2291" s="3812"/>
      <c r="BT2291" s="3812"/>
      <c r="BU2291" s="3812"/>
      <c r="BV2291" s="3812"/>
      <c r="BW2291" s="3812"/>
      <c r="BX2291" s="3812"/>
      <c r="BY2291" s="3812"/>
      <c r="BZ2291" s="3812"/>
      <c r="CA2291" s="3812"/>
      <c r="CB2291" s="4813">
        <v>84630.81</v>
      </c>
      <c r="CC2291" s="3812"/>
      <c r="CD2291" s="3812"/>
      <c r="CE2291" s="5310"/>
      <c r="CF2291" s="5310"/>
      <c r="CG2291" s="5310"/>
      <c r="CH2291" s="5310"/>
    </row>
    <row r="2292" s="4974" customFormat="1" ht="29.15" customHeight="1" spans="1:86">
      <c r="A2292" s="3812"/>
      <c r="B2292" s="3812"/>
      <c r="C2292" s="3812"/>
      <c r="D2292" s="5059"/>
      <c r="E2292" s="5059"/>
      <c r="F2292" s="5059"/>
      <c r="G2292" s="5059"/>
      <c r="H2292" s="5059"/>
      <c r="I2292" s="5205"/>
      <c r="J2292" s="5059"/>
      <c r="K2292" s="5059"/>
      <c r="L2292" s="5059"/>
      <c r="M2292" s="3812"/>
      <c r="N2292" s="5711"/>
      <c r="O2292" s="5711"/>
      <c r="P2292" s="5711"/>
      <c r="Q2292" s="7071"/>
      <c r="R2292" s="5711"/>
      <c r="S2292" s="5711"/>
      <c r="T2292" s="5711"/>
      <c r="U2292" s="7071"/>
      <c r="V2292" s="7071"/>
      <c r="W2292" s="5711"/>
      <c r="X2292" s="5711"/>
      <c r="Y2292" s="5711"/>
      <c r="Z2292" s="5711"/>
      <c r="AA2292" s="5711"/>
      <c r="AB2292" s="5711"/>
      <c r="AC2292" s="5205"/>
      <c r="AD2292" s="5977"/>
      <c r="AE2292" s="5205"/>
      <c r="AF2292" s="4841"/>
      <c r="AG2292" s="3812">
        <f t="shared" si="496"/>
        <v>72096.92</v>
      </c>
      <c r="AH2292" s="857" t="s">
        <v>122</v>
      </c>
      <c r="AI2292" s="3812">
        <v>45805</v>
      </c>
      <c r="AJ2292" s="3812">
        <v>72096.92</v>
      </c>
      <c r="AK2292" s="3812">
        <v>45805</v>
      </c>
      <c r="AL2292" s="3812">
        <v>72096.92</v>
      </c>
      <c r="AM2292" s="3812">
        <v>45805</v>
      </c>
      <c r="AN2292" s="3812">
        <f t="shared" si="495"/>
        <v>72096.92</v>
      </c>
      <c r="AO2292" s="3812">
        <v>45834</v>
      </c>
      <c r="AP2292" s="3812"/>
      <c r="AQ2292" s="5941"/>
      <c r="AR2292" s="1032"/>
      <c r="AS2292" s="5059"/>
      <c r="AT2292" s="3812"/>
      <c r="AU2292" s="5732"/>
      <c r="AV2292" s="5732"/>
      <c r="AW2292" s="5732"/>
      <c r="AX2292" s="5732"/>
      <c r="AY2292" s="5732"/>
      <c r="AZ2292" s="5732"/>
      <c r="BA2292" s="3812"/>
      <c r="BB2292" s="3812"/>
      <c r="BC2292" s="3812"/>
      <c r="BD2292" s="4813"/>
      <c r="BE2292" s="4813"/>
      <c r="BF2292" s="4813"/>
      <c r="BG2292" s="4813"/>
      <c r="BH2292" s="4813"/>
      <c r="BI2292" s="4813"/>
      <c r="BJ2292" s="4813"/>
      <c r="BK2292" s="4813"/>
      <c r="BL2292" s="4813"/>
      <c r="BM2292" s="4813"/>
      <c r="BN2292" s="4813">
        <v>72096.92</v>
      </c>
      <c r="BO2292" s="3812"/>
      <c r="BP2292" s="3812"/>
      <c r="BQ2292" s="3812"/>
      <c r="BR2292" s="4813"/>
      <c r="BS2292" s="4813"/>
      <c r="BT2292" s="4813"/>
      <c r="BU2292" s="4813"/>
      <c r="BV2292" s="4813"/>
      <c r="BW2292" s="4815"/>
      <c r="BX2292" s="4815"/>
      <c r="BY2292" s="4815"/>
      <c r="BZ2292" s="4815"/>
      <c r="CA2292" s="4815"/>
      <c r="CB2292" s="4813">
        <v>72096.92</v>
      </c>
      <c r="CC2292" s="3812"/>
      <c r="CD2292" s="3812"/>
      <c r="CE2292" s="5310"/>
      <c r="CF2292" s="5310"/>
      <c r="CG2292" s="5310"/>
      <c r="CH2292" s="5310"/>
    </row>
    <row r="2293" s="4974" customFormat="1" ht="24" customHeight="1" spans="1:86">
      <c r="A2293" s="3812"/>
      <c r="B2293" s="3812"/>
      <c r="C2293" s="3812"/>
      <c r="D2293" s="5059"/>
      <c r="E2293" s="5059"/>
      <c r="F2293" s="5059"/>
      <c r="G2293" s="5059"/>
      <c r="H2293" s="5059"/>
      <c r="I2293" s="5205"/>
      <c r="J2293" s="5059"/>
      <c r="K2293" s="5059"/>
      <c r="L2293" s="5059"/>
      <c r="M2293" s="3812"/>
      <c r="N2293" s="5711"/>
      <c r="O2293" s="5711"/>
      <c r="P2293" s="5711"/>
      <c r="Q2293" s="7071"/>
      <c r="R2293" s="5711"/>
      <c r="S2293" s="5711"/>
      <c r="T2293" s="5711"/>
      <c r="U2293" s="7071"/>
      <c r="V2293" s="7071"/>
      <c r="W2293" s="5711"/>
      <c r="X2293" s="5711"/>
      <c r="Y2293" s="5711"/>
      <c r="Z2293" s="5711"/>
      <c r="AA2293" s="5711"/>
      <c r="AB2293" s="5711"/>
      <c r="AC2293" s="5206"/>
      <c r="AD2293" s="5942"/>
      <c r="AE2293" s="5206"/>
      <c r="AF2293" s="4842"/>
      <c r="AG2293" s="5123">
        <f t="shared" ref="AG2293:AG2307" si="497">SUM(BA2293:BN2293)</f>
        <v>90674.89</v>
      </c>
      <c r="AH2293" s="3406"/>
      <c r="AI2293" s="5123"/>
      <c r="AJ2293" s="4815">
        <v>90674.89</v>
      </c>
      <c r="AK2293" s="5123"/>
      <c r="AL2293" s="3812"/>
      <c r="AM2293" s="3812"/>
      <c r="AN2293" s="5123"/>
      <c r="AO2293" s="5123"/>
      <c r="AP2293" s="3812"/>
      <c r="AQ2293" s="1032"/>
      <c r="AR2293" s="5059"/>
      <c r="AS2293" s="5059"/>
      <c r="AT2293" s="3812"/>
      <c r="AU2293" s="5732"/>
      <c r="AV2293" s="5732"/>
      <c r="AW2293" s="5732"/>
      <c r="AX2293" s="5732"/>
      <c r="AY2293" s="5732"/>
      <c r="AZ2293" s="5732"/>
      <c r="BA2293" s="3812"/>
      <c r="BB2293" s="3812"/>
      <c r="BC2293" s="3812"/>
      <c r="BD2293" s="5123"/>
      <c r="BE2293" s="5123"/>
      <c r="BF2293" s="5123"/>
      <c r="BG2293" s="5123"/>
      <c r="BH2293" s="5123"/>
      <c r="BI2293" s="5123"/>
      <c r="BJ2293" s="5123"/>
      <c r="BK2293" s="5123"/>
      <c r="BL2293" s="5123"/>
      <c r="BM2293" s="5123"/>
      <c r="BN2293" s="5123">
        <v>90674.89</v>
      </c>
      <c r="BO2293" s="3812"/>
      <c r="BP2293" s="3812"/>
      <c r="BQ2293" s="3812"/>
      <c r="BR2293" s="3812"/>
      <c r="BS2293" s="3812"/>
      <c r="BT2293" s="3812"/>
      <c r="BU2293" s="3812"/>
      <c r="BV2293" s="3812"/>
      <c r="BW2293" s="3812"/>
      <c r="BX2293" s="3812"/>
      <c r="BY2293" s="3812"/>
      <c r="BZ2293" s="3812"/>
      <c r="CA2293" s="3812"/>
      <c r="CB2293" s="5123">
        <v>90674.89</v>
      </c>
      <c r="CC2293" s="3812"/>
      <c r="CD2293" s="3812"/>
      <c r="CE2293" s="5310"/>
      <c r="CF2293" s="5310"/>
      <c r="CG2293" s="5310"/>
      <c r="CH2293" s="5310"/>
    </row>
    <row r="2294" s="4974" customFormat="1" ht="29.15" customHeight="1" spans="1:86">
      <c r="A2294" s="3812"/>
      <c r="B2294" s="3812"/>
      <c r="C2294" s="3812"/>
      <c r="D2294" s="5059"/>
      <c r="E2294" s="5059"/>
      <c r="F2294" s="5059"/>
      <c r="G2294" s="5059"/>
      <c r="H2294" s="5059"/>
      <c r="I2294" s="5205"/>
      <c r="J2294" s="5059"/>
      <c r="K2294" s="5059"/>
      <c r="L2294" s="5059"/>
      <c r="M2294" s="3812"/>
      <c r="N2294" s="5711"/>
      <c r="O2294" s="5711"/>
      <c r="P2294" s="5711"/>
      <c r="Q2294" s="7071"/>
      <c r="R2294" s="5711"/>
      <c r="S2294" s="5711"/>
      <c r="T2294" s="5711"/>
      <c r="U2294" s="7071"/>
      <c r="V2294" s="7071"/>
      <c r="W2294" s="5711"/>
      <c r="X2294" s="5711"/>
      <c r="Y2294" s="5711"/>
      <c r="Z2294" s="5711"/>
      <c r="AA2294" s="5711"/>
      <c r="AB2294" s="5711"/>
      <c r="AC2294" s="5073" t="s">
        <v>1808</v>
      </c>
      <c r="AD2294" s="5242" t="s">
        <v>1803</v>
      </c>
      <c r="AE2294" s="5073">
        <v>0.2</v>
      </c>
      <c r="AF2294" s="4840">
        <f>1698303.67*AE2294</f>
        <v>339660.734</v>
      </c>
      <c r="AG2294" s="4813">
        <f t="shared" si="497"/>
        <v>176888.92</v>
      </c>
      <c r="AH2294" s="1015" t="s">
        <v>122</v>
      </c>
      <c r="AI2294" s="4840">
        <v>45741</v>
      </c>
      <c r="AJ2294" s="3812">
        <v>176888.92</v>
      </c>
      <c r="AK2294" s="4840">
        <v>45741</v>
      </c>
      <c r="AL2294" s="3812">
        <v>176888.92</v>
      </c>
      <c r="AM2294" s="4840">
        <v>45741</v>
      </c>
      <c r="AN2294" s="3812">
        <f>SUM(BO2294:CB2294)</f>
        <v>176888.92</v>
      </c>
      <c r="AO2294" s="4840">
        <v>45765</v>
      </c>
      <c r="AP2294" s="3812"/>
      <c r="AQ2294" s="5241" t="s">
        <v>3904</v>
      </c>
      <c r="AR2294" s="5059"/>
      <c r="AS2294" s="5059"/>
      <c r="AT2294" s="3812"/>
      <c r="AU2294" s="5732"/>
      <c r="AV2294" s="5732"/>
      <c r="AW2294" s="5732"/>
      <c r="AX2294" s="5732"/>
      <c r="AY2294" s="5732"/>
      <c r="AZ2294" s="5732"/>
      <c r="BA2294" s="3812"/>
      <c r="BB2294" s="3812"/>
      <c r="BC2294" s="3812"/>
      <c r="BD2294" s="5123"/>
      <c r="BE2294" s="5123"/>
      <c r="BF2294" s="5123"/>
      <c r="BG2294" s="5123"/>
      <c r="BH2294" s="5123"/>
      <c r="BI2294" s="5123"/>
      <c r="BJ2294" s="5123"/>
      <c r="BK2294" s="5123"/>
      <c r="BL2294" s="5123"/>
      <c r="BM2294" s="5123"/>
      <c r="BN2294" s="3812">
        <v>176888.92</v>
      </c>
      <c r="BO2294" s="3812"/>
      <c r="BP2294" s="3812"/>
      <c r="BQ2294" s="3812"/>
      <c r="BR2294" s="3812"/>
      <c r="BS2294" s="3812"/>
      <c r="BT2294" s="3812"/>
      <c r="BU2294" s="3812"/>
      <c r="BV2294" s="3812"/>
      <c r="BW2294" s="3812"/>
      <c r="BX2294" s="3812"/>
      <c r="BY2294" s="3812"/>
      <c r="BZ2294" s="3812"/>
      <c r="CA2294" s="3812"/>
      <c r="CB2294" s="4813">
        <v>176888.92</v>
      </c>
      <c r="CC2294" s="3812"/>
      <c r="CD2294" s="3812"/>
      <c r="CE2294" s="5310"/>
      <c r="CF2294" s="5310"/>
      <c r="CG2294" s="5310"/>
      <c r="CH2294" s="5310"/>
    </row>
    <row r="2295" s="4974" customFormat="1" ht="21.65" customHeight="1" spans="1:86">
      <c r="A2295" s="3812"/>
      <c r="B2295" s="3812"/>
      <c r="C2295" s="3812"/>
      <c r="D2295" s="5059"/>
      <c r="E2295" s="5059"/>
      <c r="F2295" s="5059"/>
      <c r="G2295" s="5059"/>
      <c r="H2295" s="5059"/>
      <c r="I2295" s="5205"/>
      <c r="J2295" s="5059"/>
      <c r="K2295" s="5059"/>
      <c r="L2295" s="5059"/>
      <c r="M2295" s="3812"/>
      <c r="N2295" s="5711"/>
      <c r="O2295" s="5711"/>
      <c r="P2295" s="5711"/>
      <c r="Q2295" s="7071"/>
      <c r="R2295" s="5711"/>
      <c r="S2295" s="5711"/>
      <c r="T2295" s="5711"/>
      <c r="U2295" s="7071"/>
      <c r="V2295" s="7071"/>
      <c r="W2295" s="5711"/>
      <c r="X2295" s="5711"/>
      <c r="Y2295" s="5711"/>
      <c r="Z2295" s="5711"/>
      <c r="AA2295" s="5711"/>
      <c r="AB2295" s="5711"/>
      <c r="AC2295" s="5206"/>
      <c r="AD2295" s="5942"/>
      <c r="AE2295" s="5206"/>
      <c r="AF2295" s="4842"/>
      <c r="AG2295" s="5123">
        <f t="shared" si="497"/>
        <v>162771.81</v>
      </c>
      <c r="AH2295" s="857"/>
      <c r="AI2295" s="3812"/>
      <c r="AJ2295" s="4815">
        <v>162771.81</v>
      </c>
      <c r="AK2295" s="3812"/>
      <c r="AL2295" s="3812"/>
      <c r="AM2295" s="3812"/>
      <c r="AN2295" s="5123"/>
      <c r="AO2295" s="3812"/>
      <c r="AP2295" s="3812"/>
      <c r="AQ2295" s="1032"/>
      <c r="AR2295" s="5059"/>
      <c r="AS2295" s="5059"/>
      <c r="AT2295" s="3812"/>
      <c r="AU2295" s="5732"/>
      <c r="AV2295" s="5732"/>
      <c r="AW2295" s="5732"/>
      <c r="AX2295" s="5732"/>
      <c r="AY2295" s="5732"/>
      <c r="AZ2295" s="5732"/>
      <c r="BA2295" s="3812"/>
      <c r="BB2295" s="3812"/>
      <c r="BC2295" s="3812"/>
      <c r="BD2295" s="5123"/>
      <c r="BE2295" s="5123"/>
      <c r="BF2295" s="5123"/>
      <c r="BG2295" s="5123"/>
      <c r="BH2295" s="5123"/>
      <c r="BI2295" s="5123"/>
      <c r="BJ2295" s="5123"/>
      <c r="BK2295" s="5123"/>
      <c r="BL2295" s="5123"/>
      <c r="BM2295" s="5123"/>
      <c r="BN2295" s="5123">
        <v>162771.81</v>
      </c>
      <c r="BO2295" s="3812"/>
      <c r="BP2295" s="3812"/>
      <c r="BQ2295" s="3812"/>
      <c r="BR2295" s="3812"/>
      <c r="BS2295" s="3812"/>
      <c r="BT2295" s="3812"/>
      <c r="BU2295" s="3812"/>
      <c r="BV2295" s="3812"/>
      <c r="BW2295" s="3812"/>
      <c r="BX2295" s="3812"/>
      <c r="BY2295" s="3812"/>
      <c r="BZ2295" s="3812"/>
      <c r="CA2295" s="3812"/>
      <c r="CB2295" s="5123">
        <v>162771.81</v>
      </c>
      <c r="CC2295" s="3812"/>
      <c r="CD2295" s="3812"/>
      <c r="CE2295" s="5310"/>
      <c r="CF2295" s="5310"/>
      <c r="CG2295" s="5310"/>
      <c r="CH2295" s="5310"/>
    </row>
    <row r="2296" s="4974" customFormat="1" ht="31" spans="1:86">
      <c r="A2296" s="3812"/>
      <c r="B2296" s="3812"/>
      <c r="C2296" s="3812"/>
      <c r="D2296" s="5059"/>
      <c r="E2296" s="5059"/>
      <c r="F2296" s="5059"/>
      <c r="G2296" s="5059"/>
      <c r="H2296" s="5059"/>
      <c r="I2296" s="5206"/>
      <c r="J2296" s="5059"/>
      <c r="K2296" s="5059"/>
      <c r="L2296" s="5059"/>
      <c r="M2296" s="3812"/>
      <c r="N2296" s="5711">
        <v>0</v>
      </c>
      <c r="O2296" s="5711">
        <v>0</v>
      </c>
      <c r="P2296" s="5711">
        <v>0</v>
      </c>
      <c r="Q2296" s="7071"/>
      <c r="R2296" s="5711"/>
      <c r="S2296" s="5711"/>
      <c r="T2296" s="5711"/>
      <c r="U2296" s="7071"/>
      <c r="V2296" s="7071">
        <v>0</v>
      </c>
      <c r="W2296" s="5711">
        <v>0</v>
      </c>
      <c r="X2296" s="5711">
        <v>0</v>
      </c>
      <c r="Y2296" s="5711"/>
      <c r="Z2296" s="5711"/>
      <c r="AA2296" s="5711"/>
      <c r="AB2296" s="5711"/>
      <c r="AC2296" s="1032" t="s">
        <v>1809</v>
      </c>
      <c r="AD2296" s="5241" t="s">
        <v>1804</v>
      </c>
      <c r="AE2296" s="1032">
        <v>0.2</v>
      </c>
      <c r="AF2296" s="3812">
        <f>1698303.67*AE2296</f>
        <v>339660.734</v>
      </c>
      <c r="AG2296" s="5123">
        <f t="shared" si="497"/>
        <v>339660.73</v>
      </c>
      <c r="AH2296" s="857"/>
      <c r="AI2296" s="3812"/>
      <c r="AJ2296" s="3812"/>
      <c r="AK2296" s="3812"/>
      <c r="AL2296" s="3812"/>
      <c r="AM2296" s="3812"/>
      <c r="AN2296" s="5123">
        <f t="shared" ref="AN2296:AN2308" si="498">SUM(BO2296:CB2296)</f>
        <v>339660.73</v>
      </c>
      <c r="AO2296" s="3812"/>
      <c r="AP2296" s="3812"/>
      <c r="AQ2296" s="1032"/>
      <c r="AR2296" s="5059"/>
      <c r="AS2296" s="5059"/>
      <c r="AT2296" s="3812"/>
      <c r="AU2296" s="5732"/>
      <c r="AV2296" s="5732"/>
      <c r="AW2296" s="5732"/>
      <c r="AX2296" s="5732"/>
      <c r="AY2296" s="5732"/>
      <c r="AZ2296" s="5732"/>
      <c r="BA2296" s="3812"/>
      <c r="BB2296" s="3812"/>
      <c r="BC2296" s="3812"/>
      <c r="BD2296" s="5123"/>
      <c r="BE2296" s="5123"/>
      <c r="BF2296" s="5123"/>
      <c r="BG2296" s="5123"/>
      <c r="BH2296" s="5123"/>
      <c r="BI2296" s="5123"/>
      <c r="BJ2296" s="5123"/>
      <c r="BK2296" s="5123"/>
      <c r="BL2296" s="5123"/>
      <c r="BM2296" s="5123"/>
      <c r="BN2296" s="5123">
        <v>339660.73</v>
      </c>
      <c r="BO2296" s="3812"/>
      <c r="BP2296" s="3812"/>
      <c r="BQ2296" s="3812"/>
      <c r="BR2296" s="3812"/>
      <c r="BS2296" s="3812"/>
      <c r="BT2296" s="3812"/>
      <c r="BU2296" s="3812"/>
      <c r="BV2296" s="3812"/>
      <c r="BW2296" s="3812"/>
      <c r="BX2296" s="3812"/>
      <c r="BY2296" s="3812"/>
      <c r="BZ2296" s="3812"/>
      <c r="CA2296" s="3812"/>
      <c r="CB2296" s="5123">
        <v>339660.73</v>
      </c>
      <c r="CC2296" s="3812"/>
      <c r="CD2296" s="3812"/>
      <c r="CE2296" s="5310"/>
      <c r="CF2296" s="5310"/>
      <c r="CG2296" s="5310"/>
      <c r="CH2296" s="5310"/>
    </row>
    <row r="2297" s="4978" customFormat="1" ht="40" customHeight="1" spans="1:86">
      <c r="A2297" s="2678">
        <v>47</v>
      </c>
      <c r="B2297" s="2678" t="s">
        <v>3079</v>
      </c>
      <c r="C2297" s="2678">
        <v>45765</v>
      </c>
      <c r="D2297" s="1035" t="s">
        <v>3905</v>
      </c>
      <c r="E2297" s="1035"/>
      <c r="F2297" s="1035" t="s">
        <v>3906</v>
      </c>
      <c r="G2297" s="1035" t="s">
        <v>3907</v>
      </c>
      <c r="H2297" s="859" t="s">
        <v>3908</v>
      </c>
      <c r="I2297" s="5050" t="s">
        <v>3909</v>
      </c>
      <c r="J2297" s="1035" t="s">
        <v>3884</v>
      </c>
      <c r="K2297" s="5667">
        <v>150194.26</v>
      </c>
      <c r="L2297" s="1035"/>
      <c r="M2297" s="5733">
        <f>SUM(N2297:AA2303)</f>
        <v>1571248.86</v>
      </c>
      <c r="N2297" s="2678">
        <v>0</v>
      </c>
      <c r="O2297" s="2678">
        <v>0</v>
      </c>
      <c r="P2297" s="2678">
        <v>0</v>
      </c>
      <c r="Q2297" s="2678">
        <v>979648.86</v>
      </c>
      <c r="R2297" s="2678">
        <v>0</v>
      </c>
      <c r="S2297" s="2678">
        <v>0</v>
      </c>
      <c r="T2297" s="5823">
        <v>0</v>
      </c>
      <c r="U2297" s="2678">
        <v>0</v>
      </c>
      <c r="V2297" s="2678">
        <v>0</v>
      </c>
      <c r="W2297" s="2678">
        <v>0</v>
      </c>
      <c r="X2297" s="2678">
        <v>0</v>
      </c>
      <c r="Y2297" s="2678">
        <v>0</v>
      </c>
      <c r="Z2297" s="2678"/>
      <c r="AA2297" s="2678">
        <v>591600</v>
      </c>
      <c r="AB2297" s="5667" t="s">
        <v>171</v>
      </c>
      <c r="AC2297" s="5073" t="s">
        <v>3910</v>
      </c>
      <c r="AD2297" s="5050" t="s">
        <v>1798</v>
      </c>
      <c r="AE2297" s="1032">
        <v>0.9</v>
      </c>
      <c r="AF2297" s="3812">
        <f>979648.86*AE2297</f>
        <v>881683.974</v>
      </c>
      <c r="AG2297" s="5349">
        <f t="shared" si="497"/>
        <v>881683.974</v>
      </c>
      <c r="AH2297" s="857" t="s">
        <v>122</v>
      </c>
      <c r="AI2297" s="3812">
        <v>45805</v>
      </c>
      <c r="AJ2297" s="3812">
        <v>881683.974</v>
      </c>
      <c r="AK2297" s="3812">
        <v>45805</v>
      </c>
      <c r="AL2297" s="3812">
        <v>881683.97</v>
      </c>
      <c r="AM2297" s="3812">
        <v>45805</v>
      </c>
      <c r="AN2297" s="5349">
        <f t="shared" si="498"/>
        <v>881683.974</v>
      </c>
      <c r="AO2297" s="3812">
        <v>45834</v>
      </c>
      <c r="AP2297" s="3812">
        <f>AG2297-AL2297</f>
        <v>0.00400000007357448</v>
      </c>
      <c r="AQ2297" s="857"/>
      <c r="AR2297" s="3812"/>
      <c r="AS2297" s="5059"/>
      <c r="AT2297" s="3812"/>
      <c r="AU2297" s="2678">
        <f>SUM(AG2297:AG2303)</f>
        <v>1571248.86</v>
      </c>
      <c r="AV2297" s="2678">
        <f>SUM(AL2297:AL2303)</f>
        <v>1354963.97</v>
      </c>
      <c r="AW2297" s="2678">
        <f>SUM(AN2297:AN2303)</f>
        <v>1571248.86</v>
      </c>
      <c r="AX2297" s="2678">
        <f>M2297-AU2297</f>
        <v>0</v>
      </c>
      <c r="AY2297" s="2678">
        <f>AU2297-AV2297</f>
        <v>216284.89</v>
      </c>
      <c r="AZ2297" s="2678">
        <f>AV2297-AW2297</f>
        <v>-216284.89</v>
      </c>
      <c r="BA2297" s="2678"/>
      <c r="BB2297" s="2678"/>
      <c r="BC2297" s="2678"/>
      <c r="BD2297" s="5733">
        <v>881683.974</v>
      </c>
      <c r="BE2297" s="5733"/>
      <c r="BF2297" s="5733"/>
      <c r="BG2297" s="5733"/>
      <c r="BH2297" s="4813"/>
      <c r="BI2297" s="5733"/>
      <c r="BJ2297" s="5733"/>
      <c r="BK2297" s="5733"/>
      <c r="BL2297" s="5733"/>
      <c r="BM2297" s="5733"/>
      <c r="BN2297" s="5733"/>
      <c r="BO2297" s="2678"/>
      <c r="BP2297" s="2678"/>
      <c r="BQ2297" s="2678"/>
      <c r="BR2297" s="4813">
        <v>881683.974</v>
      </c>
      <c r="BS2297" s="5733"/>
      <c r="BT2297" s="5733"/>
      <c r="BU2297" s="5733"/>
      <c r="BV2297" s="4813"/>
      <c r="BW2297" s="5854"/>
      <c r="BX2297" s="5854"/>
      <c r="BY2297" s="5854"/>
      <c r="BZ2297" s="5854"/>
      <c r="CA2297" s="5854"/>
      <c r="CB2297" s="5854"/>
      <c r="CC2297" s="2680" t="s">
        <v>1112</v>
      </c>
      <c r="CD2297" s="2680" t="s">
        <v>154</v>
      </c>
      <c r="CE2297" s="5750"/>
      <c r="CF2297" s="5750"/>
      <c r="CG2297" s="5750"/>
      <c r="CH2297" s="5750"/>
    </row>
    <row r="2298" s="4978" customFormat="1" ht="40" customHeight="1" spans="1:86">
      <c r="A2298" s="2678"/>
      <c r="B2298" s="2678"/>
      <c r="C2298" s="2678"/>
      <c r="D2298" s="1035"/>
      <c r="E2298" s="1035"/>
      <c r="F2298" s="1035"/>
      <c r="G2298" s="1035"/>
      <c r="H2298" s="859"/>
      <c r="I2298" s="6040"/>
      <c r="J2298" s="1035"/>
      <c r="K2298" s="5667"/>
      <c r="L2298" s="1035"/>
      <c r="M2298" s="5733"/>
      <c r="N2298" s="2678"/>
      <c r="O2298" s="2678"/>
      <c r="P2298" s="2678"/>
      <c r="Q2298" s="2678"/>
      <c r="R2298" s="2678"/>
      <c r="S2298" s="2678"/>
      <c r="T2298" s="5823"/>
      <c r="U2298" s="2678"/>
      <c r="V2298" s="2678"/>
      <c r="W2298" s="2678"/>
      <c r="X2298" s="2678"/>
      <c r="Y2298" s="2678"/>
      <c r="Z2298" s="2678"/>
      <c r="AA2298" s="2678"/>
      <c r="AB2298" s="5667"/>
      <c r="AC2298" s="5206"/>
      <c r="AD2298" s="5145"/>
      <c r="AE2298" s="1032">
        <v>0.1</v>
      </c>
      <c r="AF2298" s="3812">
        <f>979648.86*AE2298</f>
        <v>97964.886</v>
      </c>
      <c r="AG2298" s="6030">
        <f t="shared" si="497"/>
        <v>97964.886</v>
      </c>
      <c r="AH2298" s="857"/>
      <c r="AI2298" s="3812"/>
      <c r="AJ2298" s="3812">
        <v>97964.886</v>
      </c>
      <c r="AK2298" s="4813"/>
      <c r="AL2298" s="4813"/>
      <c r="AM2298" s="5730"/>
      <c r="AN2298" s="5249">
        <f t="shared" si="498"/>
        <v>97964.886</v>
      </c>
      <c r="AO2298" s="5690"/>
      <c r="AP2298" s="3812"/>
      <c r="AQ2298" s="857"/>
      <c r="AR2298" s="3812"/>
      <c r="AS2298" s="5059"/>
      <c r="AT2298" s="3812"/>
      <c r="AU2298" s="2678"/>
      <c r="AV2298" s="2678"/>
      <c r="AW2298" s="2678"/>
      <c r="AX2298" s="2678"/>
      <c r="AY2298" s="2678"/>
      <c r="AZ2298" s="2678"/>
      <c r="BA2298" s="2678"/>
      <c r="BB2298" s="2678"/>
      <c r="BC2298" s="2678"/>
      <c r="BD2298" s="2678">
        <v>97964.886</v>
      </c>
      <c r="BE2298" s="2678"/>
      <c r="BF2298" s="2678"/>
      <c r="BG2298" s="2678"/>
      <c r="BH2298" s="3812"/>
      <c r="BI2298" s="2678"/>
      <c r="BJ2298" s="2678"/>
      <c r="BK2298" s="2678"/>
      <c r="BL2298" s="2678"/>
      <c r="BM2298" s="2678"/>
      <c r="BN2298" s="2678"/>
      <c r="BO2298" s="2678"/>
      <c r="BP2298" s="2678"/>
      <c r="BQ2298" s="2678"/>
      <c r="BR2298" s="3812">
        <v>97964.886</v>
      </c>
      <c r="BS2298" s="2678"/>
      <c r="BT2298" s="2678"/>
      <c r="BU2298" s="2678"/>
      <c r="BV2298" s="3812"/>
      <c r="BW2298" s="2678"/>
      <c r="BX2298" s="2678"/>
      <c r="BY2298" s="2678"/>
      <c r="BZ2298" s="2678"/>
      <c r="CA2298" s="2678"/>
      <c r="CB2298" s="2678"/>
      <c r="CC2298" s="2680"/>
      <c r="CD2298" s="2680"/>
      <c r="CE2298" s="5750"/>
      <c r="CF2298" s="5750"/>
      <c r="CG2298" s="5750"/>
      <c r="CH2298" s="5750"/>
    </row>
    <row r="2299" s="4978" customFormat="1" ht="40" customHeight="1" spans="1:86">
      <c r="A2299" s="2678"/>
      <c r="B2299" s="2678"/>
      <c r="C2299" s="2678"/>
      <c r="D2299" s="1035"/>
      <c r="E2299" s="1035"/>
      <c r="F2299" s="1035"/>
      <c r="G2299" s="1035"/>
      <c r="H2299" s="859"/>
      <c r="I2299" s="6040"/>
      <c r="J2299" s="1035"/>
      <c r="K2299" s="5667"/>
      <c r="L2299" s="1035"/>
      <c r="M2299" s="5733"/>
      <c r="N2299" s="2678"/>
      <c r="O2299" s="2678"/>
      <c r="P2299" s="2678"/>
      <c r="Q2299" s="2678"/>
      <c r="R2299" s="2678"/>
      <c r="S2299" s="2678"/>
      <c r="T2299" s="5823"/>
      <c r="U2299" s="2678"/>
      <c r="V2299" s="2678"/>
      <c r="W2299" s="2678"/>
      <c r="X2299" s="2678"/>
      <c r="Y2299" s="2678"/>
      <c r="Z2299" s="2678"/>
      <c r="AA2299" s="2678"/>
      <c r="AB2299" s="5667"/>
      <c r="AC2299" s="1032" t="s">
        <v>3911</v>
      </c>
      <c r="AD2299" s="5685" t="s">
        <v>1798</v>
      </c>
      <c r="AE2299" s="1032">
        <v>0.2</v>
      </c>
      <c r="AF2299" s="3812">
        <f>591600*AE2299</f>
        <v>118320</v>
      </c>
      <c r="AG2299" s="6030">
        <f t="shared" si="497"/>
        <v>118320</v>
      </c>
      <c r="AH2299" s="857" t="s">
        <v>122</v>
      </c>
      <c r="AI2299" s="4813">
        <v>45981</v>
      </c>
      <c r="AJ2299" s="4813">
        <v>118320</v>
      </c>
      <c r="AK2299" s="4813">
        <v>45981</v>
      </c>
      <c r="AL2299" s="6030">
        <f t="shared" ref="AL2299:AL2302" si="499">SUM(BF2299:BS2299)</f>
        <v>118320</v>
      </c>
      <c r="AM2299" s="4813">
        <v>45981</v>
      </c>
      <c r="AN2299" s="6030">
        <f t="shared" si="498"/>
        <v>118320</v>
      </c>
      <c r="AO2299" s="4815">
        <v>46021</v>
      </c>
      <c r="AP2299" s="3812">
        <f>AG2299-AL2299</f>
        <v>0</v>
      </c>
      <c r="AQ2299" s="857"/>
      <c r="AR2299" s="3812"/>
      <c r="AS2299" s="5059"/>
      <c r="AT2299" s="3812"/>
      <c r="AU2299" s="2678"/>
      <c r="AV2299" s="2678"/>
      <c r="AW2299" s="2678"/>
      <c r="AX2299" s="2678"/>
      <c r="AY2299" s="2678"/>
      <c r="AZ2299" s="2678"/>
      <c r="BA2299" s="2678"/>
      <c r="BB2299" s="2678"/>
      <c r="BC2299" s="2678"/>
      <c r="BD2299" s="2678"/>
      <c r="BE2299" s="2678"/>
      <c r="BF2299" s="2678"/>
      <c r="BG2299" s="2678"/>
      <c r="BH2299" s="3812"/>
      <c r="BI2299" s="2678"/>
      <c r="BJ2299" s="2678"/>
      <c r="BK2299" s="2678"/>
      <c r="BL2299" s="2678"/>
      <c r="BM2299" s="2678"/>
      <c r="BN2299" s="2678">
        <v>118320</v>
      </c>
      <c r="BO2299" s="2678"/>
      <c r="BP2299" s="2678"/>
      <c r="BQ2299" s="2678"/>
      <c r="BR2299" s="2678"/>
      <c r="BS2299" s="2678"/>
      <c r="BT2299" s="2678"/>
      <c r="BU2299" s="2678"/>
      <c r="BV2299" s="3812"/>
      <c r="BW2299" s="2678"/>
      <c r="BX2299" s="2678"/>
      <c r="BY2299" s="2678"/>
      <c r="BZ2299" s="2678"/>
      <c r="CA2299" s="2678"/>
      <c r="CB2299" s="2678">
        <v>118320</v>
      </c>
      <c r="CC2299" s="2680"/>
      <c r="CD2299" s="2680"/>
      <c r="CE2299" s="5750"/>
      <c r="CF2299" s="5750"/>
      <c r="CG2299" s="5750"/>
      <c r="CH2299" s="5750"/>
    </row>
    <row r="2300" s="4978" customFormat="1" ht="40" customHeight="1" spans="1:86">
      <c r="A2300" s="2678"/>
      <c r="B2300" s="2678"/>
      <c r="C2300" s="2678"/>
      <c r="D2300" s="5667"/>
      <c r="E2300" s="5667"/>
      <c r="F2300" s="5667"/>
      <c r="G2300" s="5667"/>
      <c r="H2300" s="2678"/>
      <c r="I2300" s="6040"/>
      <c r="J2300" s="5667"/>
      <c r="K2300" s="5667"/>
      <c r="L2300" s="5667"/>
      <c r="M2300" s="5733"/>
      <c r="N2300" s="2678"/>
      <c r="O2300" s="2678"/>
      <c r="P2300" s="2678"/>
      <c r="Q2300" s="2678"/>
      <c r="R2300" s="2678"/>
      <c r="S2300" s="2678"/>
      <c r="T2300" s="2678"/>
      <c r="U2300" s="2678"/>
      <c r="V2300" s="2678"/>
      <c r="W2300" s="2678"/>
      <c r="X2300" s="2678"/>
      <c r="Y2300" s="2678"/>
      <c r="Z2300" s="2678"/>
      <c r="AA2300" s="2678"/>
      <c r="AB2300" s="5667"/>
      <c r="AC2300" s="1032" t="s">
        <v>3911</v>
      </c>
      <c r="AD2300" s="5685" t="s">
        <v>1799</v>
      </c>
      <c r="AE2300" s="1035">
        <v>0.2</v>
      </c>
      <c r="AF2300" s="3812">
        <f>591600*AE2300</f>
        <v>118320</v>
      </c>
      <c r="AG2300" s="6030">
        <f t="shared" si="497"/>
        <v>118320</v>
      </c>
      <c r="AH2300" s="857" t="s">
        <v>122</v>
      </c>
      <c r="AI2300" s="4813">
        <v>45981</v>
      </c>
      <c r="AJ2300" s="4813">
        <v>118320</v>
      </c>
      <c r="AK2300" s="4813">
        <v>45981</v>
      </c>
      <c r="AL2300" s="6030">
        <f t="shared" si="499"/>
        <v>118320</v>
      </c>
      <c r="AM2300" s="4813">
        <v>45981</v>
      </c>
      <c r="AN2300" s="6030">
        <f t="shared" si="498"/>
        <v>118320</v>
      </c>
      <c r="AO2300" s="4815">
        <v>46021</v>
      </c>
      <c r="AP2300" s="3812">
        <f>AG2300-AL2300</f>
        <v>0</v>
      </c>
      <c r="AQ2300" s="857"/>
      <c r="AR2300" s="1032"/>
      <c r="AS2300" s="5059"/>
      <c r="AT2300" s="2678"/>
      <c r="AU2300" s="2678"/>
      <c r="AV2300" s="2678"/>
      <c r="AW2300" s="2678"/>
      <c r="AX2300" s="2678"/>
      <c r="AY2300" s="2678"/>
      <c r="AZ2300" s="2678"/>
      <c r="BA2300" s="2678"/>
      <c r="BB2300" s="2678"/>
      <c r="BC2300" s="2678"/>
      <c r="BD2300" s="2678"/>
      <c r="BE2300" s="2678"/>
      <c r="BF2300" s="2678"/>
      <c r="BG2300" s="2678"/>
      <c r="BH2300" s="5349"/>
      <c r="BI2300" s="2678"/>
      <c r="BJ2300" s="2678"/>
      <c r="BK2300" s="2678"/>
      <c r="BL2300" s="2678"/>
      <c r="BM2300" s="2678"/>
      <c r="BN2300" s="2678">
        <v>118320</v>
      </c>
      <c r="BO2300" s="2678"/>
      <c r="BP2300" s="2678"/>
      <c r="BQ2300" s="2678"/>
      <c r="BR2300" s="2678"/>
      <c r="BS2300" s="2678"/>
      <c r="BT2300" s="2678"/>
      <c r="BU2300" s="2678"/>
      <c r="BV2300" s="5349"/>
      <c r="BW2300" s="2678"/>
      <c r="BX2300" s="2678"/>
      <c r="BY2300" s="2678"/>
      <c r="BZ2300" s="2678"/>
      <c r="CA2300" s="2678"/>
      <c r="CB2300" s="2678">
        <v>118320</v>
      </c>
      <c r="CC2300" s="2680"/>
      <c r="CD2300" s="2680"/>
      <c r="CE2300" s="5750"/>
      <c r="CF2300" s="5750"/>
      <c r="CG2300" s="5750"/>
      <c r="CH2300" s="5750"/>
    </row>
    <row r="2301" s="4978" customFormat="1" ht="40" customHeight="1" spans="1:86">
      <c r="A2301" s="2678"/>
      <c r="B2301" s="2678"/>
      <c r="C2301" s="2678"/>
      <c r="D2301" s="5667"/>
      <c r="E2301" s="5667"/>
      <c r="F2301" s="5667"/>
      <c r="G2301" s="5667"/>
      <c r="H2301" s="2678"/>
      <c r="I2301" s="6040"/>
      <c r="J2301" s="5667"/>
      <c r="K2301" s="5667"/>
      <c r="L2301" s="5667"/>
      <c r="M2301" s="5733"/>
      <c r="N2301" s="2678"/>
      <c r="O2301" s="2678"/>
      <c r="P2301" s="2678"/>
      <c r="Q2301" s="2678"/>
      <c r="R2301" s="2678"/>
      <c r="S2301" s="2678"/>
      <c r="T2301" s="2678"/>
      <c r="U2301" s="2678"/>
      <c r="V2301" s="2678"/>
      <c r="W2301" s="2678"/>
      <c r="X2301" s="2678"/>
      <c r="Y2301" s="2678"/>
      <c r="Z2301" s="2678"/>
      <c r="AA2301" s="2678"/>
      <c r="AB2301" s="5667"/>
      <c r="AC2301" s="1032" t="s">
        <v>3911</v>
      </c>
      <c r="AD2301" s="5685" t="s">
        <v>1801</v>
      </c>
      <c r="AE2301" s="1035">
        <v>0.2</v>
      </c>
      <c r="AF2301" s="3812">
        <f>591600*AE2301</f>
        <v>118320</v>
      </c>
      <c r="AG2301" s="6030">
        <f t="shared" si="497"/>
        <v>118320</v>
      </c>
      <c r="AH2301" s="857" t="s">
        <v>122</v>
      </c>
      <c r="AI2301" s="4813">
        <v>45981</v>
      </c>
      <c r="AJ2301" s="4813">
        <v>118320</v>
      </c>
      <c r="AK2301" s="4813">
        <v>45981</v>
      </c>
      <c r="AL2301" s="6030">
        <f t="shared" si="499"/>
        <v>118320</v>
      </c>
      <c r="AM2301" s="4813">
        <v>45981</v>
      </c>
      <c r="AN2301" s="6030">
        <f t="shared" si="498"/>
        <v>118320</v>
      </c>
      <c r="AO2301" s="4815">
        <v>46021</v>
      </c>
      <c r="AP2301" s="3812">
        <f>AG2301-AL2301</f>
        <v>0</v>
      </c>
      <c r="AQ2301" s="857"/>
      <c r="AR2301" s="1032"/>
      <c r="AS2301" s="5059"/>
      <c r="AT2301" s="2678"/>
      <c r="AU2301" s="2678"/>
      <c r="AV2301" s="2678"/>
      <c r="AW2301" s="2678"/>
      <c r="AX2301" s="2678"/>
      <c r="AY2301" s="2678"/>
      <c r="AZ2301" s="2678"/>
      <c r="BA2301" s="2678"/>
      <c r="BB2301" s="2678"/>
      <c r="BC2301" s="2678"/>
      <c r="BD2301" s="2678"/>
      <c r="BE2301" s="2678"/>
      <c r="BF2301" s="2678"/>
      <c r="BG2301" s="2678"/>
      <c r="BH2301" s="5349"/>
      <c r="BI2301" s="2678"/>
      <c r="BJ2301" s="2678"/>
      <c r="BK2301" s="2678"/>
      <c r="BL2301" s="2678"/>
      <c r="BM2301" s="2678"/>
      <c r="BN2301" s="2678">
        <v>118320</v>
      </c>
      <c r="BO2301" s="2678"/>
      <c r="BP2301" s="2678"/>
      <c r="BQ2301" s="2678"/>
      <c r="BR2301" s="2678"/>
      <c r="BS2301" s="2678"/>
      <c r="BT2301" s="2678"/>
      <c r="BU2301" s="2678"/>
      <c r="BV2301" s="5349"/>
      <c r="BW2301" s="2678"/>
      <c r="BX2301" s="2678"/>
      <c r="BY2301" s="2678"/>
      <c r="BZ2301" s="2678"/>
      <c r="CA2301" s="2678"/>
      <c r="CB2301" s="2678">
        <v>118320</v>
      </c>
      <c r="CC2301" s="2680"/>
      <c r="CD2301" s="2680"/>
      <c r="CE2301" s="5750"/>
      <c r="CF2301" s="5750"/>
      <c r="CG2301" s="5750"/>
      <c r="CH2301" s="5750"/>
    </row>
    <row r="2302" s="4978" customFormat="1" ht="40" customHeight="1" spans="1:86">
      <c r="A2302" s="2678"/>
      <c r="B2302" s="2678"/>
      <c r="C2302" s="2678"/>
      <c r="D2302" s="5667"/>
      <c r="E2302" s="5667"/>
      <c r="F2302" s="5667"/>
      <c r="G2302" s="5667"/>
      <c r="H2302" s="2678"/>
      <c r="I2302" s="6040"/>
      <c r="J2302" s="5667"/>
      <c r="K2302" s="5667"/>
      <c r="L2302" s="5667"/>
      <c r="M2302" s="5733"/>
      <c r="N2302" s="2678"/>
      <c r="O2302" s="2678"/>
      <c r="P2302" s="2678"/>
      <c r="Q2302" s="2678"/>
      <c r="R2302" s="2678"/>
      <c r="S2302" s="2678"/>
      <c r="T2302" s="2678"/>
      <c r="U2302" s="2678"/>
      <c r="V2302" s="2678"/>
      <c r="W2302" s="2678"/>
      <c r="X2302" s="2678"/>
      <c r="Y2302" s="2678"/>
      <c r="Z2302" s="2678"/>
      <c r="AA2302" s="2678"/>
      <c r="AB2302" s="5667"/>
      <c r="AC2302" s="1032" t="s">
        <v>3911</v>
      </c>
      <c r="AD2302" s="5685" t="s">
        <v>1803</v>
      </c>
      <c r="AE2302" s="1035">
        <v>0.2</v>
      </c>
      <c r="AF2302" s="3812">
        <f>591600*AE2302</f>
        <v>118320</v>
      </c>
      <c r="AG2302" s="6030">
        <f t="shared" si="497"/>
        <v>118320</v>
      </c>
      <c r="AH2302" s="857" t="s">
        <v>122</v>
      </c>
      <c r="AI2302" s="4813">
        <v>45981</v>
      </c>
      <c r="AJ2302" s="4813">
        <v>118320</v>
      </c>
      <c r="AK2302" s="4813">
        <v>45981</v>
      </c>
      <c r="AL2302" s="6030">
        <f t="shared" si="499"/>
        <v>118320</v>
      </c>
      <c r="AM2302" s="4813">
        <v>45981</v>
      </c>
      <c r="AN2302" s="6030">
        <f t="shared" si="498"/>
        <v>118320</v>
      </c>
      <c r="AO2302" s="4815">
        <v>46021</v>
      </c>
      <c r="AP2302" s="3812">
        <f>AG2302-AL2302</f>
        <v>0</v>
      </c>
      <c r="AQ2302" s="857"/>
      <c r="AR2302" s="1032"/>
      <c r="AS2302" s="5059"/>
      <c r="AT2302" s="2678"/>
      <c r="AU2302" s="2678"/>
      <c r="AV2302" s="2678"/>
      <c r="AW2302" s="2678"/>
      <c r="AX2302" s="2678"/>
      <c r="AY2302" s="2678"/>
      <c r="AZ2302" s="2678"/>
      <c r="BA2302" s="2678"/>
      <c r="BB2302" s="2678"/>
      <c r="BC2302" s="2678"/>
      <c r="BD2302" s="2678"/>
      <c r="BE2302" s="2678"/>
      <c r="BF2302" s="2678"/>
      <c r="BG2302" s="2678"/>
      <c r="BH2302" s="5349"/>
      <c r="BI2302" s="2678"/>
      <c r="BJ2302" s="2678"/>
      <c r="BK2302" s="2678"/>
      <c r="BL2302" s="2678"/>
      <c r="BM2302" s="2678"/>
      <c r="BN2302" s="2678">
        <v>118320</v>
      </c>
      <c r="BO2302" s="2678"/>
      <c r="BP2302" s="2678"/>
      <c r="BQ2302" s="2678"/>
      <c r="BR2302" s="2678"/>
      <c r="BS2302" s="2678"/>
      <c r="BT2302" s="2678"/>
      <c r="BU2302" s="2678"/>
      <c r="BV2302" s="5349"/>
      <c r="BW2302" s="2678"/>
      <c r="BX2302" s="2678"/>
      <c r="BY2302" s="2678"/>
      <c r="BZ2302" s="2678"/>
      <c r="CA2302" s="2678"/>
      <c r="CB2302" s="2678">
        <v>118320</v>
      </c>
      <c r="CC2302" s="2680"/>
      <c r="CD2302" s="2680"/>
      <c r="CE2302" s="5750"/>
      <c r="CF2302" s="5750"/>
      <c r="CG2302" s="5750"/>
      <c r="CH2302" s="5750"/>
    </row>
    <row r="2303" s="4978" customFormat="1" ht="40" customHeight="1" spans="1:86">
      <c r="A2303" s="2678"/>
      <c r="B2303" s="2678"/>
      <c r="C2303" s="2678"/>
      <c r="D2303" s="5667"/>
      <c r="E2303" s="5667"/>
      <c r="F2303" s="5667"/>
      <c r="G2303" s="5667"/>
      <c r="H2303" s="2678"/>
      <c r="I2303" s="5145"/>
      <c r="J2303" s="5667"/>
      <c r="K2303" s="5667"/>
      <c r="L2303" s="5667"/>
      <c r="M2303" s="5733"/>
      <c r="N2303" s="2678"/>
      <c r="O2303" s="2678"/>
      <c r="P2303" s="2678"/>
      <c r="Q2303" s="2678"/>
      <c r="R2303" s="2678"/>
      <c r="S2303" s="2678"/>
      <c r="T2303" s="2678"/>
      <c r="U2303" s="2678"/>
      <c r="V2303" s="2678"/>
      <c r="W2303" s="2678"/>
      <c r="X2303" s="2678"/>
      <c r="Y2303" s="2678"/>
      <c r="Z2303" s="2678"/>
      <c r="AA2303" s="2678"/>
      <c r="AB2303" s="5667"/>
      <c r="AC2303" s="1032" t="s">
        <v>3911</v>
      </c>
      <c r="AD2303" s="5685" t="s">
        <v>1804</v>
      </c>
      <c r="AE2303" s="1035">
        <v>0.2</v>
      </c>
      <c r="AF2303" s="3812">
        <f>591600*AE2303</f>
        <v>118320</v>
      </c>
      <c r="AG2303" s="5349">
        <f t="shared" si="497"/>
        <v>118320</v>
      </c>
      <c r="AH2303" s="859"/>
      <c r="AI2303" s="3812"/>
      <c r="AJ2303" s="3812">
        <v>118320</v>
      </c>
      <c r="AK2303" s="3812"/>
      <c r="AL2303" s="2678"/>
      <c r="AM2303" s="2678"/>
      <c r="AN2303" s="5249">
        <f t="shared" si="498"/>
        <v>118320</v>
      </c>
      <c r="AO2303" s="5883"/>
      <c r="AP2303" s="3812">
        <f>AG2303-AL2303</f>
        <v>118320</v>
      </c>
      <c r="AQ2303" s="857"/>
      <c r="AR2303" s="2678"/>
      <c r="AS2303" s="5667"/>
      <c r="AT2303" s="2678"/>
      <c r="AU2303" s="2678"/>
      <c r="AV2303" s="2678"/>
      <c r="AW2303" s="2678"/>
      <c r="AX2303" s="2678"/>
      <c r="AY2303" s="2678"/>
      <c r="AZ2303" s="2678"/>
      <c r="BA2303" s="2678"/>
      <c r="BB2303" s="2678"/>
      <c r="BC2303" s="2678"/>
      <c r="BD2303" s="2678"/>
      <c r="BE2303" s="2678"/>
      <c r="BF2303" s="2678"/>
      <c r="BG2303" s="2678"/>
      <c r="BH2303" s="2678"/>
      <c r="BI2303" s="2678"/>
      <c r="BJ2303" s="2678"/>
      <c r="BK2303" s="2678"/>
      <c r="BL2303" s="2678"/>
      <c r="BM2303" s="2678"/>
      <c r="BN2303" s="2678">
        <v>118320</v>
      </c>
      <c r="BO2303" s="2678"/>
      <c r="BP2303" s="2678"/>
      <c r="BQ2303" s="2678"/>
      <c r="BR2303" s="2678"/>
      <c r="BS2303" s="2678"/>
      <c r="BT2303" s="2678"/>
      <c r="BU2303" s="2678"/>
      <c r="BV2303" s="2678"/>
      <c r="BW2303" s="2678"/>
      <c r="BX2303" s="2678"/>
      <c r="BY2303" s="2678"/>
      <c r="BZ2303" s="2678"/>
      <c r="CA2303" s="2678"/>
      <c r="CB2303" s="2678">
        <v>118320</v>
      </c>
      <c r="CC2303" s="2680"/>
      <c r="CD2303" s="2680"/>
      <c r="CE2303" s="5750"/>
      <c r="CF2303" s="5750"/>
      <c r="CG2303" s="5750"/>
      <c r="CH2303" s="5750"/>
    </row>
    <row r="2304" s="4978" customFormat="1" ht="40" customHeight="1" spans="1:86">
      <c r="A2304" s="2678"/>
      <c r="B2304" s="1002" t="s">
        <v>690</v>
      </c>
      <c r="C2304" s="3912">
        <v>45765</v>
      </c>
      <c r="D2304" s="5050" t="s">
        <v>3912</v>
      </c>
      <c r="E2304" s="5816"/>
      <c r="F2304" s="5050" t="s">
        <v>3913</v>
      </c>
      <c r="G2304" s="5050" t="s">
        <v>3914</v>
      </c>
      <c r="H2304" s="1002" t="s">
        <v>3915</v>
      </c>
      <c r="I2304" s="6040" t="s">
        <v>3916</v>
      </c>
      <c r="J2304" s="5050" t="s">
        <v>3917</v>
      </c>
      <c r="K2304" s="5816">
        <v>100128</v>
      </c>
      <c r="L2304" s="5050" t="s">
        <v>3918</v>
      </c>
      <c r="M2304" s="7085">
        <f>SUBTOTAL(9,N2304:AA2308)</f>
        <v>490000</v>
      </c>
      <c r="N2304" s="3912"/>
      <c r="O2304" s="3912"/>
      <c r="P2304" s="3912"/>
      <c r="Q2304" s="3912"/>
      <c r="R2304" s="3912"/>
      <c r="S2304" s="3912"/>
      <c r="T2304" s="3912"/>
      <c r="U2304" s="3912">
        <v>30000</v>
      </c>
      <c r="V2304" s="3912"/>
      <c r="W2304" s="3912"/>
      <c r="X2304" s="3912"/>
      <c r="Y2304" s="3912"/>
      <c r="Z2304" s="3912"/>
      <c r="AA2304" s="3912"/>
      <c r="AB2304" s="5667"/>
      <c r="AC2304" s="1032" t="s">
        <v>3919</v>
      </c>
      <c r="AD2304" s="5685" t="s">
        <v>3920</v>
      </c>
      <c r="AE2304" s="1035">
        <v>1</v>
      </c>
      <c r="AF2304" s="3812">
        <v>30000</v>
      </c>
      <c r="AG2304" s="3812">
        <v>30000</v>
      </c>
      <c r="AH2304" s="859" t="s">
        <v>122</v>
      </c>
      <c r="AI2304" s="3812">
        <v>45831</v>
      </c>
      <c r="AJ2304" s="2678">
        <f t="shared" ref="AJ2304:AJ2310" si="500">SUM(BD2304:BQ2304)</f>
        <v>30000</v>
      </c>
      <c r="AK2304" s="3812">
        <v>45831</v>
      </c>
      <c r="AL2304" s="2678">
        <v>30000</v>
      </c>
      <c r="AM2304" s="3812">
        <v>45832</v>
      </c>
      <c r="AN2304" s="3812">
        <f t="shared" si="498"/>
        <v>30000</v>
      </c>
      <c r="AO2304" s="5690">
        <v>45911</v>
      </c>
      <c r="AP2304" s="3812"/>
      <c r="AQ2304" s="857"/>
      <c r="AR2304" s="2678"/>
      <c r="AS2304" s="5667"/>
      <c r="AT2304" s="2678"/>
      <c r="AU2304" s="2678"/>
      <c r="AV2304" s="2678"/>
      <c r="AW2304" s="2678"/>
      <c r="AX2304" s="2678"/>
      <c r="AY2304" s="2678"/>
      <c r="AZ2304" s="2678"/>
      <c r="BA2304" s="2678"/>
      <c r="BB2304" s="2678"/>
      <c r="BC2304" s="2678"/>
      <c r="BD2304" s="2678"/>
      <c r="BE2304" s="2678"/>
      <c r="BF2304" s="2678"/>
      <c r="BG2304" s="2678"/>
      <c r="BH2304" s="2678">
        <v>30000</v>
      </c>
      <c r="BI2304" s="2678"/>
      <c r="BJ2304" s="2678"/>
      <c r="BK2304" s="2678"/>
      <c r="BL2304" s="2678"/>
      <c r="BM2304" s="2678"/>
      <c r="BN2304" s="2678"/>
      <c r="BO2304" s="2678"/>
      <c r="BP2304" s="2678"/>
      <c r="BQ2304" s="2678"/>
      <c r="BR2304" s="2678"/>
      <c r="BS2304" s="2678"/>
      <c r="BT2304" s="2678"/>
      <c r="BU2304" s="2678"/>
      <c r="BV2304" s="2678">
        <v>30000</v>
      </c>
      <c r="BW2304" s="2678"/>
      <c r="BX2304" s="2678"/>
      <c r="BY2304" s="2678"/>
      <c r="BZ2304" s="2678"/>
      <c r="CA2304" s="2678"/>
      <c r="CB2304" s="2678"/>
      <c r="CC2304" s="2680"/>
      <c r="CD2304" s="2680"/>
      <c r="CE2304" s="5750"/>
      <c r="CF2304" s="5750"/>
      <c r="CG2304" s="5750"/>
      <c r="CH2304" s="5750"/>
    </row>
    <row r="2305" s="4978" customFormat="1" ht="122" spans="1:86">
      <c r="A2305" s="2678"/>
      <c r="B2305" s="7067"/>
      <c r="C2305" s="3913"/>
      <c r="D2305" s="7099"/>
      <c r="E2305" s="5868"/>
      <c r="F2305" s="6040"/>
      <c r="G2305" s="6040"/>
      <c r="H2305" s="7067"/>
      <c r="I2305" s="6040"/>
      <c r="J2305" s="6040"/>
      <c r="K2305" s="5868"/>
      <c r="L2305" s="6040"/>
      <c r="M2305" s="7086"/>
      <c r="N2305" s="3912"/>
      <c r="O2305" s="3912"/>
      <c r="P2305" s="3912"/>
      <c r="Q2305" s="3912"/>
      <c r="R2305" s="3912"/>
      <c r="S2305" s="3912"/>
      <c r="T2305" s="3912"/>
      <c r="U2305" s="3912">
        <v>460000</v>
      </c>
      <c r="V2305" s="3912"/>
      <c r="W2305" s="3912"/>
      <c r="X2305" s="3912"/>
      <c r="Y2305" s="3912"/>
      <c r="Z2305" s="3912"/>
      <c r="AA2305" s="3912"/>
      <c r="AB2305" s="5667"/>
      <c r="AC2305" s="1032">
        <v>1</v>
      </c>
      <c r="AD2305" s="5685" t="s">
        <v>3921</v>
      </c>
      <c r="AE2305" s="1035">
        <v>0.8</v>
      </c>
      <c r="AF2305" s="3812">
        <f>150192*AE2305</f>
        <v>120153.6</v>
      </c>
      <c r="AG2305" s="5485">
        <f>SUM(BA2305:BN2305)</f>
        <v>120153.6</v>
      </c>
      <c r="AH2305" s="1016" t="s">
        <v>349</v>
      </c>
      <c r="AI2305" s="5485">
        <v>46111</v>
      </c>
      <c r="AJ2305" s="3932">
        <f t="shared" si="500"/>
        <v>120153.6</v>
      </c>
      <c r="AK2305" s="3812"/>
      <c r="AL2305" s="2678"/>
      <c r="AM2305" s="2678"/>
      <c r="AN2305" s="3932">
        <f t="shared" si="498"/>
        <v>120153.6</v>
      </c>
      <c r="AO2305" s="5123">
        <v>46142</v>
      </c>
      <c r="AP2305" s="2678">
        <f>AG2305-AN2305</f>
        <v>0</v>
      </c>
      <c r="AQ2305" s="857"/>
      <c r="AR2305" s="2678"/>
      <c r="AS2305" s="5667"/>
      <c r="AT2305" s="2678"/>
      <c r="AU2305" s="2678"/>
      <c r="AV2305" s="2678"/>
      <c r="AW2305" s="2678"/>
      <c r="AX2305" s="2678"/>
      <c r="AY2305" s="2678"/>
      <c r="AZ2305" s="2678"/>
      <c r="BA2305" s="2678"/>
      <c r="BB2305" s="2678"/>
      <c r="BC2305" s="2678"/>
      <c r="BD2305" s="2678"/>
      <c r="BE2305" s="2678"/>
      <c r="BF2305" s="2678"/>
      <c r="BG2305" s="2678"/>
      <c r="BH2305" s="2678">
        <v>120153.6</v>
      </c>
      <c r="BI2305" s="2678"/>
      <c r="BJ2305" s="2678"/>
      <c r="BK2305" s="2678"/>
      <c r="BL2305" s="2678"/>
      <c r="BM2305" s="2678"/>
      <c r="BN2305" s="2678"/>
      <c r="BO2305" s="2678"/>
      <c r="BP2305" s="2678"/>
      <c r="BQ2305" s="2678"/>
      <c r="BR2305" s="2678"/>
      <c r="BS2305" s="2678"/>
      <c r="BT2305" s="2678"/>
      <c r="BU2305" s="2678"/>
      <c r="BV2305" s="2678">
        <v>120153.6</v>
      </c>
      <c r="BW2305" s="2678"/>
      <c r="BX2305" s="2678"/>
      <c r="BY2305" s="2678"/>
      <c r="BZ2305" s="2678"/>
      <c r="CA2305" s="2678"/>
      <c r="CB2305" s="2678"/>
      <c r="CC2305" s="2680"/>
      <c r="CD2305" s="2680"/>
      <c r="CE2305" s="5750"/>
      <c r="CF2305" s="5750"/>
      <c r="CG2305" s="5750"/>
      <c r="CH2305" s="5750"/>
    </row>
    <row r="2306" s="4978" customFormat="1" ht="92" spans="1:86">
      <c r="A2306" s="2678"/>
      <c r="B2306" s="7067"/>
      <c r="C2306" s="3913"/>
      <c r="D2306" s="7099"/>
      <c r="E2306" s="5868"/>
      <c r="F2306" s="6040"/>
      <c r="G2306" s="6040"/>
      <c r="H2306" s="7067"/>
      <c r="I2306" s="6040"/>
      <c r="J2306" s="6040"/>
      <c r="K2306" s="5868"/>
      <c r="L2306" s="6040"/>
      <c r="M2306" s="7086"/>
      <c r="N2306" s="3913"/>
      <c r="O2306" s="3913"/>
      <c r="P2306" s="3913"/>
      <c r="Q2306" s="3913"/>
      <c r="R2306" s="3913"/>
      <c r="S2306" s="3913"/>
      <c r="T2306" s="3913"/>
      <c r="U2306" s="3913"/>
      <c r="V2306" s="3913"/>
      <c r="W2306" s="3913"/>
      <c r="X2306" s="3913"/>
      <c r="Y2306" s="3913"/>
      <c r="Z2306" s="3913"/>
      <c r="AA2306" s="3913"/>
      <c r="AB2306" s="5667"/>
      <c r="AC2306" s="1032">
        <v>2</v>
      </c>
      <c r="AD2306" s="5685" t="s">
        <v>3922</v>
      </c>
      <c r="AE2306" s="1035">
        <v>0.2</v>
      </c>
      <c r="AF2306" s="3812">
        <f>AE2306*150192</f>
        <v>30038.4</v>
      </c>
      <c r="AG2306" s="5485">
        <f>SUM(BA2306:BN2306)</f>
        <v>30038.4</v>
      </c>
      <c r="AH2306" s="1016" t="s">
        <v>349</v>
      </c>
      <c r="AI2306" s="5485">
        <v>46111</v>
      </c>
      <c r="AJ2306" s="3932">
        <f t="shared" si="500"/>
        <v>30038.4</v>
      </c>
      <c r="AK2306" s="3812"/>
      <c r="AL2306" s="2678"/>
      <c r="AM2306" s="2678"/>
      <c r="AN2306" s="3932">
        <f t="shared" si="498"/>
        <v>30038.4</v>
      </c>
      <c r="AO2306" s="5123">
        <v>46142</v>
      </c>
      <c r="AP2306" s="2678">
        <f>AG2306-AN2306</f>
        <v>0</v>
      </c>
      <c r="AQ2306" s="857"/>
      <c r="AR2306" s="2678"/>
      <c r="AS2306" s="5667"/>
      <c r="AT2306" s="2678"/>
      <c r="AU2306" s="2678"/>
      <c r="AV2306" s="2678"/>
      <c r="AW2306" s="2678"/>
      <c r="AX2306" s="2678"/>
      <c r="AY2306" s="2678"/>
      <c r="AZ2306" s="2678"/>
      <c r="BA2306" s="2678"/>
      <c r="BB2306" s="2678"/>
      <c r="BC2306" s="2678"/>
      <c r="BD2306" s="2678"/>
      <c r="BE2306" s="2678"/>
      <c r="BF2306" s="2678"/>
      <c r="BG2306" s="2678"/>
      <c r="BH2306" s="2678">
        <v>30038.4</v>
      </c>
      <c r="BI2306" s="2678"/>
      <c r="BJ2306" s="2678"/>
      <c r="BK2306" s="2678"/>
      <c r="BL2306" s="2678"/>
      <c r="BM2306" s="2678"/>
      <c r="BN2306" s="2678"/>
      <c r="BO2306" s="2678"/>
      <c r="BP2306" s="2678"/>
      <c r="BQ2306" s="2678"/>
      <c r="BR2306" s="2678"/>
      <c r="BS2306" s="2678"/>
      <c r="BT2306" s="2678"/>
      <c r="BU2306" s="2678"/>
      <c r="BV2306" s="2678">
        <v>30038.4</v>
      </c>
      <c r="BW2306" s="2678"/>
      <c r="BX2306" s="2678"/>
      <c r="BY2306" s="2678"/>
      <c r="BZ2306" s="2678"/>
      <c r="CA2306" s="2678"/>
      <c r="CB2306" s="2678"/>
      <c r="CC2306" s="2680"/>
      <c r="CD2306" s="2680"/>
      <c r="CE2306" s="5750"/>
      <c r="CF2306" s="5750"/>
      <c r="CG2306" s="5750"/>
      <c r="CH2306" s="5750"/>
    </row>
    <row r="2307" s="4978" customFormat="1" ht="122" spans="1:86">
      <c r="A2307" s="2678"/>
      <c r="B2307" s="7067"/>
      <c r="C2307" s="3913"/>
      <c r="D2307" s="6040"/>
      <c r="E2307" s="5868"/>
      <c r="F2307" s="6040"/>
      <c r="G2307" s="6040"/>
      <c r="H2307" s="7067"/>
      <c r="I2307" s="6040"/>
      <c r="J2307" s="6040"/>
      <c r="K2307" s="5868"/>
      <c r="L2307" s="6040"/>
      <c r="M2307" s="7086"/>
      <c r="N2307" s="3913"/>
      <c r="O2307" s="3913"/>
      <c r="P2307" s="3913"/>
      <c r="Q2307" s="3913"/>
      <c r="R2307" s="3913"/>
      <c r="S2307" s="3913"/>
      <c r="T2307" s="3913"/>
      <c r="U2307" s="3913"/>
      <c r="V2307" s="3913"/>
      <c r="W2307" s="3913"/>
      <c r="X2307" s="3913"/>
      <c r="Y2307" s="3913"/>
      <c r="Z2307" s="3913"/>
      <c r="AA2307" s="3913"/>
      <c r="AB2307" s="5667"/>
      <c r="AC2307" s="1032">
        <v>3</v>
      </c>
      <c r="AD2307" s="5685" t="s">
        <v>3923</v>
      </c>
      <c r="AE2307" s="1035">
        <v>0.9</v>
      </c>
      <c r="AF2307" s="3812">
        <f>(M2304-150192)*0.9</f>
        <v>305827.2</v>
      </c>
      <c r="AG2307" s="4815">
        <f>SUM(BA2307:BN2307)</f>
        <v>0</v>
      </c>
      <c r="AH2307" s="5880" t="s">
        <v>349</v>
      </c>
      <c r="AI2307" s="4815"/>
      <c r="AJ2307" s="2678">
        <f t="shared" si="500"/>
        <v>0</v>
      </c>
      <c r="AK2307" s="3812"/>
      <c r="AL2307" s="3932"/>
      <c r="AM2307" s="3932"/>
      <c r="AN2307" s="3932">
        <f t="shared" si="498"/>
        <v>0</v>
      </c>
      <c r="AO2307" s="5883"/>
      <c r="AP2307" s="2678">
        <f>AG2307-AN2307</f>
        <v>0</v>
      </c>
      <c r="AQ2307" s="857"/>
      <c r="AR2307" s="2678"/>
      <c r="AS2307" s="5667"/>
      <c r="AT2307" s="2678"/>
      <c r="AU2307" s="2678"/>
      <c r="AV2307" s="2678"/>
      <c r="AW2307" s="2678"/>
      <c r="AX2307" s="2678"/>
      <c r="AY2307" s="2678"/>
      <c r="AZ2307" s="2678"/>
      <c r="BA2307" s="2678"/>
      <c r="BB2307" s="2678"/>
      <c r="BC2307" s="2678"/>
      <c r="BD2307" s="2678"/>
      <c r="BE2307" s="2678"/>
      <c r="BF2307" s="2678"/>
      <c r="BG2307" s="2678"/>
      <c r="BH2307" s="2678"/>
      <c r="BI2307" s="2678"/>
      <c r="BJ2307" s="2678"/>
      <c r="BK2307" s="2678"/>
      <c r="BL2307" s="2678"/>
      <c r="BM2307" s="2678"/>
      <c r="BN2307" s="2678"/>
      <c r="BO2307" s="2678"/>
      <c r="BP2307" s="2678"/>
      <c r="BQ2307" s="2678"/>
      <c r="BR2307" s="2678"/>
      <c r="BS2307" s="2678"/>
      <c r="BT2307" s="2678"/>
      <c r="BU2307" s="2678"/>
      <c r="BV2307" s="2678"/>
      <c r="BW2307" s="2678"/>
      <c r="BX2307" s="2678"/>
      <c r="BY2307" s="2678"/>
      <c r="BZ2307" s="2678"/>
      <c r="CA2307" s="2678"/>
      <c r="CB2307" s="2678"/>
      <c r="CC2307" s="2680"/>
      <c r="CD2307" s="2680"/>
      <c r="CE2307" s="5750"/>
      <c r="CF2307" s="5750"/>
      <c r="CG2307" s="5750"/>
      <c r="CH2307" s="5750"/>
    </row>
    <row r="2308" s="4978" customFormat="1" ht="107" spans="1:86">
      <c r="A2308" s="2678"/>
      <c r="B2308" s="1024"/>
      <c r="C2308" s="3914"/>
      <c r="D2308" s="5145"/>
      <c r="E2308" s="5817"/>
      <c r="F2308" s="5145"/>
      <c r="G2308" s="5145"/>
      <c r="H2308" s="1024"/>
      <c r="I2308" s="5145"/>
      <c r="J2308" s="5145"/>
      <c r="K2308" s="5817"/>
      <c r="L2308" s="5145"/>
      <c r="M2308" s="7087"/>
      <c r="N2308" s="3914"/>
      <c r="O2308" s="3914"/>
      <c r="P2308" s="3914"/>
      <c r="Q2308" s="3914"/>
      <c r="R2308" s="3914"/>
      <c r="S2308" s="3914"/>
      <c r="T2308" s="3914"/>
      <c r="U2308" s="3914"/>
      <c r="V2308" s="3914"/>
      <c r="W2308" s="3914"/>
      <c r="X2308" s="3914"/>
      <c r="Y2308" s="3914"/>
      <c r="Z2308" s="3914"/>
      <c r="AA2308" s="3914"/>
      <c r="AB2308" s="5667"/>
      <c r="AC2308" s="1032">
        <v>4</v>
      </c>
      <c r="AD2308" s="5685" t="s">
        <v>3924</v>
      </c>
      <c r="AE2308" s="1035">
        <v>0.1</v>
      </c>
      <c r="AF2308" s="3812">
        <f>(M2304-150192)*0.1</f>
        <v>33980.8</v>
      </c>
      <c r="AG2308" s="3812">
        <f>SUM(BA2308:BN2308)</f>
        <v>0</v>
      </c>
      <c r="AH2308" s="859"/>
      <c r="AI2308" s="3812"/>
      <c r="AJ2308" s="2678">
        <f t="shared" si="500"/>
        <v>0</v>
      </c>
      <c r="AK2308" s="3812"/>
      <c r="AL2308" s="2678"/>
      <c r="AM2308" s="2678"/>
      <c r="AN2308" s="2678">
        <f t="shared" si="498"/>
        <v>0</v>
      </c>
      <c r="AO2308" s="5883"/>
      <c r="AP2308" s="2678">
        <f>AG2308-AN2308</f>
        <v>0</v>
      </c>
      <c r="AQ2308" s="857"/>
      <c r="AR2308" s="2678"/>
      <c r="AS2308" s="5667"/>
      <c r="AT2308" s="2678"/>
      <c r="AU2308" s="2678"/>
      <c r="AV2308" s="2678"/>
      <c r="AW2308" s="2678"/>
      <c r="AX2308" s="2678"/>
      <c r="AY2308" s="2678"/>
      <c r="AZ2308" s="2678"/>
      <c r="BA2308" s="2678"/>
      <c r="BB2308" s="2678"/>
      <c r="BC2308" s="2678"/>
      <c r="BD2308" s="2678"/>
      <c r="BE2308" s="2678"/>
      <c r="BF2308" s="2678"/>
      <c r="BG2308" s="2678"/>
      <c r="BH2308" s="2678"/>
      <c r="BI2308" s="2678"/>
      <c r="BJ2308" s="2678"/>
      <c r="BK2308" s="2678"/>
      <c r="BL2308" s="2678"/>
      <c r="BM2308" s="2678"/>
      <c r="BN2308" s="2678"/>
      <c r="BO2308" s="2678"/>
      <c r="BP2308" s="2678"/>
      <c r="BQ2308" s="2678"/>
      <c r="BR2308" s="2678"/>
      <c r="BS2308" s="2678"/>
      <c r="BT2308" s="2678"/>
      <c r="BU2308" s="2678"/>
      <c r="BV2308" s="2678"/>
      <c r="BW2308" s="2678"/>
      <c r="BX2308" s="2678"/>
      <c r="BY2308" s="2678"/>
      <c r="BZ2308" s="2678"/>
      <c r="CA2308" s="2678"/>
      <c r="CB2308" s="2678"/>
      <c r="CC2308" s="2680"/>
      <c r="CD2308" s="2680"/>
      <c r="CE2308" s="5750"/>
      <c r="CF2308" s="5750"/>
      <c r="CG2308" s="5750"/>
      <c r="CH2308" s="5750"/>
    </row>
    <row r="2309" s="4978" customFormat="1" ht="48.35" customHeight="1" spans="1:86">
      <c r="A2309" s="2678"/>
      <c r="B2309" s="7100" t="s">
        <v>690</v>
      </c>
      <c r="C2309" s="7101">
        <v>45044</v>
      </c>
      <c r="D2309" s="7102" t="s">
        <v>3912</v>
      </c>
      <c r="E2309" s="7102"/>
      <c r="F2309" s="7102" t="s">
        <v>3925</v>
      </c>
      <c r="G2309" s="7102" t="s">
        <v>3926</v>
      </c>
      <c r="H2309" s="7102" t="s">
        <v>3915</v>
      </c>
      <c r="I2309" s="7102"/>
      <c r="J2309" s="7102" t="s">
        <v>3917</v>
      </c>
      <c r="K2309" s="7103">
        <v>100181</v>
      </c>
      <c r="L2309" s="7102" t="s">
        <v>3927</v>
      </c>
      <c r="M2309" s="7101">
        <f>SUM(N2309:AA2311)</f>
        <v>480000</v>
      </c>
      <c r="N2309" s="7101"/>
      <c r="O2309" s="7101"/>
      <c r="P2309" s="7101"/>
      <c r="Q2309" s="7101"/>
      <c r="R2309" s="7101"/>
      <c r="S2309" s="7101"/>
      <c r="T2309" s="7101"/>
      <c r="U2309" s="7101">
        <v>480000</v>
      </c>
      <c r="V2309" s="7101"/>
      <c r="W2309" s="7101"/>
      <c r="X2309" s="7101"/>
      <c r="Y2309" s="7101"/>
      <c r="Z2309" s="7101"/>
      <c r="AA2309" s="7101"/>
      <c r="AB2309" s="7103"/>
      <c r="AC2309" s="7100">
        <v>1</v>
      </c>
      <c r="AD2309" s="7102" t="s">
        <v>3928</v>
      </c>
      <c r="AE2309" s="7102">
        <v>0.2</v>
      </c>
      <c r="AF2309" s="7101">
        <f>2*K2309*AE2309</f>
        <v>40072.4</v>
      </c>
      <c r="AG2309" s="7101">
        <f t="shared" ref="AG2309:AG2331" si="501">SUM(BA2309:BN2309)</f>
        <v>40072.4</v>
      </c>
      <c r="AH2309" s="7100" t="s">
        <v>122</v>
      </c>
      <c r="AI2309" s="7101">
        <v>45124</v>
      </c>
      <c r="AJ2309" s="7101">
        <f t="shared" si="500"/>
        <v>40072.4</v>
      </c>
      <c r="AK2309" s="7101">
        <v>45124</v>
      </c>
      <c r="AL2309" s="7101">
        <v>40072.4</v>
      </c>
      <c r="AM2309" s="7101">
        <v>45124</v>
      </c>
      <c r="AN2309" s="7101">
        <f t="shared" ref="AN2309:AN2326" si="502">SUM(BO2309:CB2309)</f>
        <v>40072.4</v>
      </c>
      <c r="AO2309" s="7101">
        <v>45191</v>
      </c>
      <c r="AP2309" s="7101">
        <f t="shared" ref="AP2309:AP2329" si="503">AG2309-AN2309</f>
        <v>0</v>
      </c>
      <c r="AQ2309" s="7100"/>
      <c r="AR2309" s="7102"/>
      <c r="AS2309" s="7103"/>
      <c r="AT2309" s="7101"/>
      <c r="AU2309" s="7101"/>
      <c r="AV2309" s="7101"/>
      <c r="AW2309" s="7101"/>
      <c r="AX2309" s="7101"/>
      <c r="AY2309" s="7101"/>
      <c r="AZ2309" s="7101"/>
      <c r="BA2309" s="7101"/>
      <c r="BB2309" s="7101"/>
      <c r="BC2309" s="7101"/>
      <c r="BD2309" s="7101"/>
      <c r="BE2309" s="7101"/>
      <c r="BF2309" s="7101"/>
      <c r="BG2309" s="7101"/>
      <c r="BH2309" s="7101">
        <v>40072.4</v>
      </c>
      <c r="BI2309" s="7101"/>
      <c r="BJ2309" s="7101"/>
      <c r="BK2309" s="7101"/>
      <c r="BL2309" s="7101"/>
      <c r="BM2309" s="7101"/>
      <c r="BN2309" s="7101"/>
      <c r="BO2309" s="7101"/>
      <c r="BP2309" s="7101"/>
      <c r="BQ2309" s="7101"/>
      <c r="BR2309" s="7101"/>
      <c r="BS2309" s="7101"/>
      <c r="BT2309" s="7101"/>
      <c r="BU2309" s="7101"/>
      <c r="BV2309" s="7101">
        <v>40072.4</v>
      </c>
      <c r="BW2309" s="7101"/>
      <c r="BX2309" s="7101"/>
      <c r="BY2309" s="7101"/>
      <c r="BZ2309" s="7101"/>
      <c r="CA2309" s="7101"/>
      <c r="CB2309" s="7101"/>
      <c r="CC2309" s="7126"/>
      <c r="CD2309" s="7126"/>
      <c r="CE2309" s="5750"/>
      <c r="CF2309" s="5750"/>
      <c r="CG2309" s="5750"/>
      <c r="CH2309" s="5750"/>
    </row>
    <row r="2310" s="4978" customFormat="1" ht="48.35" customHeight="1" spans="1:86">
      <c r="A2310" s="2678"/>
      <c r="B2310" s="7101"/>
      <c r="C2310" s="7101"/>
      <c r="D2310" s="7103"/>
      <c r="E2310" s="7103"/>
      <c r="F2310" s="7103"/>
      <c r="G2310" s="7103"/>
      <c r="H2310" s="7103"/>
      <c r="I2310" s="7103"/>
      <c r="J2310" s="7103"/>
      <c r="K2310" s="7103"/>
      <c r="L2310" s="7103"/>
      <c r="M2310" s="7101"/>
      <c r="N2310" s="7101"/>
      <c r="O2310" s="7101"/>
      <c r="P2310" s="7101"/>
      <c r="Q2310" s="7101"/>
      <c r="R2310" s="7101"/>
      <c r="S2310" s="7101"/>
      <c r="T2310" s="7101"/>
      <c r="U2310" s="7101"/>
      <c r="V2310" s="7101"/>
      <c r="W2310" s="7101"/>
      <c r="X2310" s="7101"/>
      <c r="Y2310" s="7101"/>
      <c r="Z2310" s="7101"/>
      <c r="AA2310" s="7101"/>
      <c r="AB2310" s="7103"/>
      <c r="AC2310" s="7100">
        <v>2</v>
      </c>
      <c r="AD2310" s="7102" t="s">
        <v>3929</v>
      </c>
      <c r="AE2310" s="7102">
        <v>0.8</v>
      </c>
      <c r="AF2310" s="7101">
        <f>2*K2309*AE2310</f>
        <v>160289.6</v>
      </c>
      <c r="AG2310" s="7101">
        <f t="shared" si="501"/>
        <v>160289.6</v>
      </c>
      <c r="AH2310" s="7100" t="s">
        <v>122</v>
      </c>
      <c r="AI2310" s="7101">
        <v>45124</v>
      </c>
      <c r="AJ2310" s="7101">
        <f t="shared" si="500"/>
        <v>160289.6</v>
      </c>
      <c r="AK2310" s="7101">
        <v>45124</v>
      </c>
      <c r="AL2310" s="7101">
        <v>160289.6</v>
      </c>
      <c r="AM2310" s="7101">
        <v>45124</v>
      </c>
      <c r="AN2310" s="7101">
        <f t="shared" si="502"/>
        <v>160289.6</v>
      </c>
      <c r="AO2310" s="7101">
        <v>45191</v>
      </c>
      <c r="AP2310" s="7101">
        <f t="shared" si="503"/>
        <v>0</v>
      </c>
      <c r="AQ2310" s="7100"/>
      <c r="AR2310" s="7102"/>
      <c r="AS2310" s="7103"/>
      <c r="AT2310" s="7101"/>
      <c r="AU2310" s="7101"/>
      <c r="AV2310" s="7101"/>
      <c r="AW2310" s="7101"/>
      <c r="AX2310" s="7101"/>
      <c r="AY2310" s="7101"/>
      <c r="AZ2310" s="7101"/>
      <c r="BA2310" s="7101"/>
      <c r="BB2310" s="7101"/>
      <c r="BC2310" s="7101"/>
      <c r="BD2310" s="7101"/>
      <c r="BE2310" s="7101"/>
      <c r="BF2310" s="7101"/>
      <c r="BG2310" s="7101"/>
      <c r="BH2310" s="7101">
        <v>160289.6</v>
      </c>
      <c r="BI2310" s="7101"/>
      <c r="BJ2310" s="7101"/>
      <c r="BK2310" s="7101"/>
      <c r="BL2310" s="7101"/>
      <c r="BM2310" s="7101"/>
      <c r="BN2310" s="7101"/>
      <c r="BO2310" s="7101"/>
      <c r="BP2310" s="7101"/>
      <c r="BQ2310" s="7101"/>
      <c r="BR2310" s="7101"/>
      <c r="BS2310" s="7101"/>
      <c r="BT2310" s="7101"/>
      <c r="BU2310" s="7101"/>
      <c r="BV2310" s="7101">
        <v>160289.6</v>
      </c>
      <c r="BW2310" s="7101"/>
      <c r="BX2310" s="7101"/>
      <c r="BY2310" s="7101"/>
      <c r="BZ2310" s="7101"/>
      <c r="CA2310" s="7101"/>
      <c r="CB2310" s="7101"/>
      <c r="CC2310" s="7126"/>
      <c r="CD2310" s="7126"/>
      <c r="CE2310" s="5750"/>
      <c r="CF2310" s="5750"/>
      <c r="CG2310" s="5750"/>
      <c r="CH2310" s="5750"/>
    </row>
    <row r="2311" s="4978" customFormat="1" ht="48.35" customHeight="1" spans="1:86">
      <c r="A2311" s="2678"/>
      <c r="B2311" s="7101"/>
      <c r="C2311" s="7101"/>
      <c r="D2311" s="7103"/>
      <c r="E2311" s="7103"/>
      <c r="F2311" s="7103"/>
      <c r="G2311" s="7103"/>
      <c r="H2311" s="7103"/>
      <c r="I2311" s="7103"/>
      <c r="J2311" s="7103"/>
      <c r="K2311" s="7103"/>
      <c r="L2311" s="7103"/>
      <c r="M2311" s="7101"/>
      <c r="N2311" s="7101"/>
      <c r="O2311" s="7101"/>
      <c r="P2311" s="7101"/>
      <c r="Q2311" s="7101"/>
      <c r="R2311" s="7101"/>
      <c r="S2311" s="7101"/>
      <c r="T2311" s="7101"/>
      <c r="U2311" s="7101"/>
      <c r="V2311" s="7101"/>
      <c r="W2311" s="7101"/>
      <c r="X2311" s="7101"/>
      <c r="Y2311" s="7101"/>
      <c r="Z2311" s="7101"/>
      <c r="AA2311" s="7101"/>
      <c r="AB2311" s="7103"/>
      <c r="AC2311" s="7100">
        <v>3</v>
      </c>
      <c r="AD2311" s="7102" t="s">
        <v>3930</v>
      </c>
      <c r="AE2311" s="7102">
        <v>1</v>
      </c>
      <c r="AF2311" s="7101">
        <v>51367.46</v>
      </c>
      <c r="AG2311" s="7101">
        <f t="shared" si="501"/>
        <v>51367.46</v>
      </c>
      <c r="AH2311" s="7111"/>
      <c r="AI2311" s="7112"/>
      <c r="AJ2311" s="7101"/>
      <c r="AK2311" s="7116"/>
      <c r="AL2311" s="7101"/>
      <c r="AM2311" s="7101"/>
      <c r="AN2311" s="7112">
        <f t="shared" si="502"/>
        <v>51367.46</v>
      </c>
      <c r="AO2311" s="7112"/>
      <c r="AP2311" s="7101">
        <f t="shared" si="503"/>
        <v>0</v>
      </c>
      <c r="AQ2311" s="7100"/>
      <c r="AR2311" s="7102"/>
      <c r="AS2311" s="7103"/>
      <c r="AT2311" s="7101"/>
      <c r="AU2311" s="7101"/>
      <c r="AV2311" s="7101"/>
      <c r="AW2311" s="7101"/>
      <c r="AX2311" s="7101"/>
      <c r="AY2311" s="7101"/>
      <c r="AZ2311" s="7101"/>
      <c r="BA2311" s="7101"/>
      <c r="BB2311" s="7101"/>
      <c r="BC2311" s="7101"/>
      <c r="BD2311" s="7101"/>
      <c r="BE2311" s="7101"/>
      <c r="BF2311" s="7101"/>
      <c r="BG2311" s="7101"/>
      <c r="BH2311" s="7112">
        <v>51367.46</v>
      </c>
      <c r="BI2311" s="7101"/>
      <c r="BJ2311" s="7101"/>
      <c r="BK2311" s="7101"/>
      <c r="BL2311" s="7101"/>
      <c r="BM2311" s="7101"/>
      <c r="BN2311" s="7101"/>
      <c r="BO2311" s="7101"/>
      <c r="BP2311" s="7101"/>
      <c r="BQ2311" s="7101"/>
      <c r="BR2311" s="7101"/>
      <c r="BS2311" s="7101"/>
      <c r="BT2311" s="7101"/>
      <c r="BU2311" s="7101"/>
      <c r="BV2311" s="7112">
        <v>51367.46</v>
      </c>
      <c r="BW2311" s="7101"/>
      <c r="BX2311" s="7101"/>
      <c r="BY2311" s="7101"/>
      <c r="BZ2311" s="7101"/>
      <c r="CA2311" s="7101"/>
      <c r="CB2311" s="7101"/>
      <c r="CC2311" s="7126"/>
      <c r="CD2311" s="7126"/>
      <c r="CE2311" s="5750"/>
      <c r="CF2311" s="5750"/>
      <c r="CG2311" s="5750"/>
      <c r="CH2311" s="5750"/>
    </row>
    <row r="2312" s="4978" customFormat="1" ht="48.35" customHeight="1" spans="1:86">
      <c r="A2312" s="2678"/>
      <c r="B2312" s="5493" t="s">
        <v>690</v>
      </c>
      <c r="C2312" s="5476">
        <v>45083</v>
      </c>
      <c r="D2312" s="5433" t="s">
        <v>3931</v>
      </c>
      <c r="E2312" s="5433"/>
      <c r="F2312" s="5433" t="s">
        <v>3932</v>
      </c>
      <c r="G2312" s="5433" t="s">
        <v>3933</v>
      </c>
      <c r="H2312" s="5433" t="s">
        <v>3934</v>
      </c>
      <c r="I2312" s="5433"/>
      <c r="J2312" s="5433" t="s">
        <v>3935</v>
      </c>
      <c r="K2312" s="7104">
        <v>139400</v>
      </c>
      <c r="L2312" s="5433" t="s">
        <v>3936</v>
      </c>
      <c r="M2312" s="5476">
        <f>SUM(N2312:AA2315)</f>
        <v>453050</v>
      </c>
      <c r="N2312" s="5476"/>
      <c r="O2312" s="5476"/>
      <c r="P2312" s="5476"/>
      <c r="Q2312" s="5476"/>
      <c r="R2312" s="5476"/>
      <c r="S2312" s="5476"/>
      <c r="T2312" s="5476"/>
      <c r="U2312" s="5476">
        <v>453050</v>
      </c>
      <c r="V2312" s="5476"/>
      <c r="W2312" s="5476"/>
      <c r="X2312" s="5476"/>
      <c r="Y2312" s="5476"/>
      <c r="Z2312" s="5476"/>
      <c r="AA2312" s="5476"/>
      <c r="AB2312" s="7104"/>
      <c r="AC2312" s="5493">
        <v>1</v>
      </c>
      <c r="AD2312" s="5433" t="s">
        <v>3937</v>
      </c>
      <c r="AE2312" s="5433">
        <v>0.3</v>
      </c>
      <c r="AF2312" s="5476">
        <f>M2312*AE2312</f>
        <v>135915</v>
      </c>
      <c r="AG2312" s="5476">
        <f t="shared" si="501"/>
        <v>135915</v>
      </c>
      <c r="AH2312" s="5493" t="s">
        <v>122</v>
      </c>
      <c r="AI2312" s="5476">
        <v>45282</v>
      </c>
      <c r="AJ2312" s="5476">
        <v>135915</v>
      </c>
      <c r="AK2312" s="5476">
        <v>45282</v>
      </c>
      <c r="AL2312" s="5476">
        <v>135915</v>
      </c>
      <c r="AM2312" s="5476">
        <v>45315</v>
      </c>
      <c r="AN2312" s="5476">
        <f t="shared" si="502"/>
        <v>135915</v>
      </c>
      <c r="AO2312" s="5493">
        <v>45328</v>
      </c>
      <c r="AP2312" s="5476">
        <f t="shared" si="503"/>
        <v>0</v>
      </c>
      <c r="AQ2312" s="5493"/>
      <c r="AR2312" s="5433"/>
      <c r="AS2312" s="7104"/>
      <c r="AT2312" s="5476"/>
      <c r="AU2312" s="5476"/>
      <c r="AV2312" s="5476"/>
      <c r="AW2312" s="5476"/>
      <c r="AX2312" s="5476"/>
      <c r="AY2312" s="5476"/>
      <c r="AZ2312" s="5476"/>
      <c r="BA2312" s="5476"/>
      <c r="BB2312" s="5476"/>
      <c r="BC2312" s="5476"/>
      <c r="BD2312" s="5476"/>
      <c r="BE2312" s="5476"/>
      <c r="BF2312" s="5476"/>
      <c r="BG2312" s="5476"/>
      <c r="BH2312" s="5476">
        <v>135915</v>
      </c>
      <c r="BI2312" s="5476"/>
      <c r="BJ2312" s="5476"/>
      <c r="BK2312" s="5476"/>
      <c r="BL2312" s="5476"/>
      <c r="BM2312" s="5476"/>
      <c r="BN2312" s="5476"/>
      <c r="BO2312" s="5476"/>
      <c r="BP2312" s="5476"/>
      <c r="BQ2312" s="5476"/>
      <c r="BR2312" s="5476"/>
      <c r="BS2312" s="5476"/>
      <c r="BT2312" s="5476"/>
      <c r="BU2312" s="5476"/>
      <c r="BV2312" s="5476">
        <v>135915</v>
      </c>
      <c r="BW2312" s="5476"/>
      <c r="BX2312" s="5476"/>
      <c r="BY2312" s="5476"/>
      <c r="BZ2312" s="5476"/>
      <c r="CA2312" s="5476"/>
      <c r="CB2312" s="5476"/>
      <c r="CC2312" s="5432"/>
      <c r="CD2312" s="5432"/>
      <c r="CE2312" s="5750"/>
      <c r="CF2312" s="5750"/>
      <c r="CG2312" s="5750"/>
      <c r="CH2312" s="5750"/>
    </row>
    <row r="2313" s="4978" customFormat="1" ht="48.35" customHeight="1" spans="1:86">
      <c r="A2313" s="2678"/>
      <c r="B2313" s="5476"/>
      <c r="C2313" s="5476"/>
      <c r="D2313" s="7104"/>
      <c r="E2313" s="7104"/>
      <c r="F2313" s="7104"/>
      <c r="G2313" s="7104"/>
      <c r="H2313" s="7104"/>
      <c r="I2313" s="7104"/>
      <c r="J2313" s="7104"/>
      <c r="K2313" s="7104"/>
      <c r="L2313" s="7104"/>
      <c r="M2313" s="5476"/>
      <c r="N2313" s="5476"/>
      <c r="O2313" s="5476"/>
      <c r="P2313" s="5476"/>
      <c r="Q2313" s="5476"/>
      <c r="R2313" s="5476"/>
      <c r="S2313" s="5476"/>
      <c r="T2313" s="5476"/>
      <c r="U2313" s="5476"/>
      <c r="V2313" s="5476"/>
      <c r="W2313" s="5476"/>
      <c r="X2313" s="5476"/>
      <c r="Y2313" s="5476"/>
      <c r="Z2313" s="5476"/>
      <c r="AA2313" s="5476"/>
      <c r="AB2313" s="7104"/>
      <c r="AC2313" s="5493">
        <v>2</v>
      </c>
      <c r="AD2313" s="5433" t="s">
        <v>1222</v>
      </c>
      <c r="AE2313" s="5433">
        <v>0.3</v>
      </c>
      <c r="AF2313" s="5476">
        <f>M2312*AE2313</f>
        <v>135915</v>
      </c>
      <c r="AG2313" s="5476">
        <f t="shared" si="501"/>
        <v>135915</v>
      </c>
      <c r="AH2313" s="5493" t="s">
        <v>122</v>
      </c>
      <c r="AI2313" s="5476">
        <v>45282</v>
      </c>
      <c r="AJ2313" s="5476">
        <v>135915</v>
      </c>
      <c r="AK2313" s="5476">
        <v>45282</v>
      </c>
      <c r="AL2313" s="5476">
        <v>135915</v>
      </c>
      <c r="AM2313" s="5476">
        <v>45315</v>
      </c>
      <c r="AN2313" s="5476">
        <f t="shared" si="502"/>
        <v>135915</v>
      </c>
      <c r="AO2313" s="5493">
        <v>45328</v>
      </c>
      <c r="AP2313" s="5476">
        <f t="shared" si="503"/>
        <v>0</v>
      </c>
      <c r="AQ2313" s="5493"/>
      <c r="AR2313" s="5433"/>
      <c r="AS2313" s="7104"/>
      <c r="AT2313" s="5476"/>
      <c r="AU2313" s="5476"/>
      <c r="AV2313" s="5476"/>
      <c r="AW2313" s="5476"/>
      <c r="AX2313" s="5476"/>
      <c r="AY2313" s="5476"/>
      <c r="AZ2313" s="5476"/>
      <c r="BA2313" s="5476"/>
      <c r="BB2313" s="5476"/>
      <c r="BC2313" s="5476"/>
      <c r="BD2313" s="5476"/>
      <c r="BE2313" s="5476"/>
      <c r="BF2313" s="5476"/>
      <c r="BG2313" s="5476"/>
      <c r="BH2313" s="5476">
        <v>135915</v>
      </c>
      <c r="BI2313" s="5476"/>
      <c r="BJ2313" s="5476"/>
      <c r="BK2313" s="5476"/>
      <c r="BL2313" s="5476"/>
      <c r="BM2313" s="5476"/>
      <c r="BN2313" s="5476"/>
      <c r="BO2313" s="5476"/>
      <c r="BP2313" s="5476"/>
      <c r="BQ2313" s="5476"/>
      <c r="BR2313" s="5476"/>
      <c r="BS2313" s="5476"/>
      <c r="BT2313" s="5476"/>
      <c r="BU2313" s="5476"/>
      <c r="BV2313" s="5476">
        <v>135915</v>
      </c>
      <c r="BW2313" s="5476"/>
      <c r="BX2313" s="5476"/>
      <c r="BY2313" s="5476"/>
      <c r="BZ2313" s="5476"/>
      <c r="CA2313" s="5476"/>
      <c r="CB2313" s="5476"/>
      <c r="CC2313" s="5432"/>
      <c r="CD2313" s="5432"/>
      <c r="CE2313" s="5750"/>
      <c r="CF2313" s="5750"/>
      <c r="CG2313" s="5750"/>
      <c r="CH2313" s="5750"/>
    </row>
    <row r="2314" s="4991" customFormat="1" ht="48.35" customHeight="1" spans="1:86">
      <c r="A2314" s="2678"/>
      <c r="B2314" s="5476"/>
      <c r="C2314" s="5476"/>
      <c r="D2314" s="7104"/>
      <c r="E2314" s="7104"/>
      <c r="F2314" s="7104"/>
      <c r="G2314" s="7104"/>
      <c r="H2314" s="7104"/>
      <c r="I2314" s="7104"/>
      <c r="J2314" s="7104"/>
      <c r="K2314" s="7104"/>
      <c r="L2314" s="7104"/>
      <c r="M2314" s="5476"/>
      <c r="N2314" s="5476"/>
      <c r="O2314" s="5476"/>
      <c r="P2314" s="5476"/>
      <c r="Q2314" s="5476"/>
      <c r="R2314" s="5476"/>
      <c r="S2314" s="5476"/>
      <c r="T2314" s="5476"/>
      <c r="U2314" s="5476"/>
      <c r="V2314" s="5476"/>
      <c r="W2314" s="5476"/>
      <c r="X2314" s="5476"/>
      <c r="Y2314" s="5476"/>
      <c r="Z2314" s="5476"/>
      <c r="AA2314" s="5476"/>
      <c r="AB2314" s="7104"/>
      <c r="AC2314" s="5493">
        <v>3</v>
      </c>
      <c r="AD2314" s="5433" t="s">
        <v>3938</v>
      </c>
      <c r="AE2314" s="5433">
        <v>0.2</v>
      </c>
      <c r="AF2314" s="5476">
        <f>M2312*AE2314</f>
        <v>90610</v>
      </c>
      <c r="AG2314" s="7113">
        <f t="shared" si="501"/>
        <v>90610</v>
      </c>
      <c r="AH2314" s="7114" t="s">
        <v>122</v>
      </c>
      <c r="AI2314" s="7113">
        <v>45650</v>
      </c>
      <c r="AJ2314" s="5476">
        <v>90610</v>
      </c>
      <c r="AK2314" s="5476">
        <v>45650</v>
      </c>
      <c r="AL2314" s="5476"/>
      <c r="AM2314" s="5476"/>
      <c r="AN2314" s="5476">
        <f t="shared" si="502"/>
        <v>0</v>
      </c>
      <c r="AO2314" s="5476"/>
      <c r="AP2314" s="5476">
        <f t="shared" si="503"/>
        <v>90610</v>
      </c>
      <c r="AQ2314" s="5493"/>
      <c r="AR2314" s="5433"/>
      <c r="AS2314" s="7104"/>
      <c r="AT2314" s="5476"/>
      <c r="AU2314" s="5476"/>
      <c r="AV2314" s="5476"/>
      <c r="AW2314" s="5476"/>
      <c r="AX2314" s="5476"/>
      <c r="AY2314" s="5476"/>
      <c r="AZ2314" s="5476"/>
      <c r="BA2314" s="5476"/>
      <c r="BB2314" s="5476"/>
      <c r="BC2314" s="5476"/>
      <c r="BD2314" s="5476"/>
      <c r="BE2314" s="5476"/>
      <c r="BF2314" s="5476"/>
      <c r="BG2314" s="5476"/>
      <c r="BH2314" s="7113">
        <v>90610</v>
      </c>
      <c r="BI2314" s="5476"/>
      <c r="BJ2314" s="5476"/>
      <c r="BK2314" s="5476"/>
      <c r="BL2314" s="5476"/>
      <c r="BM2314" s="5476"/>
      <c r="BN2314" s="5476"/>
      <c r="BO2314" s="5476"/>
      <c r="BP2314" s="5476"/>
      <c r="BQ2314" s="5476"/>
      <c r="BR2314" s="5476"/>
      <c r="BS2314" s="5476"/>
      <c r="BT2314" s="5476"/>
      <c r="BU2314" s="5476"/>
      <c r="BV2314" s="5476"/>
      <c r="BW2314" s="5476"/>
      <c r="BX2314" s="5476"/>
      <c r="BY2314" s="5476"/>
      <c r="BZ2314" s="5476"/>
      <c r="CA2314" s="5476"/>
      <c r="CB2314" s="5476"/>
      <c r="CC2314" s="5476"/>
      <c r="CD2314" s="5476"/>
      <c r="CE2314" s="6801"/>
      <c r="CF2314" s="6801"/>
      <c r="CG2314" s="6801"/>
      <c r="CH2314" s="6801"/>
    </row>
    <row r="2315" s="4991" customFormat="1" ht="48.35" customHeight="1" spans="1:86">
      <c r="A2315" s="2678"/>
      <c r="B2315" s="5476"/>
      <c r="C2315" s="5476"/>
      <c r="D2315" s="7104"/>
      <c r="E2315" s="7104"/>
      <c r="F2315" s="7104"/>
      <c r="G2315" s="7104"/>
      <c r="H2315" s="7104"/>
      <c r="I2315" s="7104"/>
      <c r="J2315" s="7104"/>
      <c r="K2315" s="7104"/>
      <c r="L2315" s="7104"/>
      <c r="M2315" s="5476"/>
      <c r="N2315" s="5476"/>
      <c r="O2315" s="5476"/>
      <c r="P2315" s="5476"/>
      <c r="Q2315" s="5476"/>
      <c r="R2315" s="5476"/>
      <c r="S2315" s="5476"/>
      <c r="T2315" s="5476"/>
      <c r="U2315" s="5476"/>
      <c r="V2315" s="5476"/>
      <c r="W2315" s="5476"/>
      <c r="X2315" s="5476"/>
      <c r="Y2315" s="5476"/>
      <c r="Z2315" s="5476"/>
      <c r="AA2315" s="5476"/>
      <c r="AB2315" s="7104"/>
      <c r="AC2315" s="5493">
        <v>4</v>
      </c>
      <c r="AD2315" s="5433" t="s">
        <v>3939</v>
      </c>
      <c r="AE2315" s="5433">
        <v>0.2</v>
      </c>
      <c r="AF2315" s="5476">
        <f>M2312*AE2315</f>
        <v>90610</v>
      </c>
      <c r="AG2315" s="7113">
        <f t="shared" si="501"/>
        <v>90610</v>
      </c>
      <c r="AH2315" s="7114" t="s">
        <v>122</v>
      </c>
      <c r="AI2315" s="7113">
        <v>45650</v>
      </c>
      <c r="AJ2315" s="5476">
        <v>90610</v>
      </c>
      <c r="AK2315" s="5476">
        <v>45650</v>
      </c>
      <c r="AL2315" s="5476"/>
      <c r="AM2315" s="5476"/>
      <c r="AN2315" s="5476">
        <f t="shared" si="502"/>
        <v>0</v>
      </c>
      <c r="AO2315" s="5476"/>
      <c r="AP2315" s="5476">
        <f t="shared" si="503"/>
        <v>90610</v>
      </c>
      <c r="AQ2315" s="5493"/>
      <c r="AR2315" s="5433"/>
      <c r="AS2315" s="7104"/>
      <c r="AT2315" s="5476"/>
      <c r="AU2315" s="5476"/>
      <c r="AV2315" s="5476"/>
      <c r="AW2315" s="5476"/>
      <c r="AX2315" s="5476"/>
      <c r="AY2315" s="5476"/>
      <c r="AZ2315" s="5476"/>
      <c r="BA2315" s="5476"/>
      <c r="BB2315" s="5476"/>
      <c r="BC2315" s="5476"/>
      <c r="BD2315" s="5476"/>
      <c r="BE2315" s="5476"/>
      <c r="BF2315" s="5476"/>
      <c r="BG2315" s="5476"/>
      <c r="BH2315" s="7113">
        <v>90610</v>
      </c>
      <c r="BI2315" s="5476"/>
      <c r="BJ2315" s="5476"/>
      <c r="BK2315" s="5476"/>
      <c r="BL2315" s="5476"/>
      <c r="BM2315" s="5476"/>
      <c r="BN2315" s="5476"/>
      <c r="BO2315" s="5476"/>
      <c r="BP2315" s="5476"/>
      <c r="BQ2315" s="5476"/>
      <c r="BR2315" s="5476"/>
      <c r="BS2315" s="5476"/>
      <c r="BT2315" s="5476"/>
      <c r="BU2315" s="5476"/>
      <c r="BV2315" s="5476"/>
      <c r="BW2315" s="5476"/>
      <c r="BX2315" s="5476"/>
      <c r="BY2315" s="5476"/>
      <c r="BZ2315" s="5476"/>
      <c r="CA2315" s="5476"/>
      <c r="CB2315" s="5476"/>
      <c r="CC2315" s="5476"/>
      <c r="CD2315" s="5476"/>
      <c r="CE2315" s="6801"/>
      <c r="CF2315" s="6801"/>
      <c r="CG2315" s="6801"/>
      <c r="CH2315" s="6801"/>
    </row>
    <row r="2316" s="5011" customFormat="1" ht="92" spans="1:86">
      <c r="A2316" s="2678"/>
      <c r="B2316" s="6901" t="s">
        <v>690</v>
      </c>
      <c r="C2316" s="6932">
        <v>45239</v>
      </c>
      <c r="D2316" s="6474" t="s">
        <v>3931</v>
      </c>
      <c r="E2316" s="6474"/>
      <c r="F2316" s="6474" t="s">
        <v>3940</v>
      </c>
      <c r="G2316" s="6474" t="s">
        <v>3941</v>
      </c>
      <c r="H2316" s="6901" t="s">
        <v>3652</v>
      </c>
      <c r="I2316" s="6901"/>
      <c r="J2316" s="6474" t="s">
        <v>3935</v>
      </c>
      <c r="K2316" s="6474">
        <v>139400</v>
      </c>
      <c r="L2316" s="6474" t="s">
        <v>3942</v>
      </c>
      <c r="M2316" s="6932">
        <f>SUM(N2316:AA2318)</f>
        <v>300000</v>
      </c>
      <c r="N2316" s="6932"/>
      <c r="O2316" s="6932"/>
      <c r="P2316" s="6932"/>
      <c r="Q2316" s="6932"/>
      <c r="R2316" s="6932"/>
      <c r="S2316" s="6932"/>
      <c r="T2316" s="6932"/>
      <c r="U2316" s="6932">
        <v>300000</v>
      </c>
      <c r="V2316" s="6932"/>
      <c r="W2316" s="6932"/>
      <c r="X2316" s="6932"/>
      <c r="Y2316" s="6932"/>
      <c r="Z2316" s="6932"/>
      <c r="AA2316" s="6932"/>
      <c r="AB2316" s="7106"/>
      <c r="AC2316" s="2667">
        <v>1</v>
      </c>
      <c r="AD2316" s="7107" t="s">
        <v>3943</v>
      </c>
      <c r="AE2316" s="6516">
        <v>0.3</v>
      </c>
      <c r="AF2316" s="2667">
        <f>M2316*AE2316</f>
        <v>90000</v>
      </c>
      <c r="AG2316" s="2667">
        <f t="shared" si="501"/>
        <v>90000</v>
      </c>
      <c r="AH2316" s="2711" t="s">
        <v>122</v>
      </c>
      <c r="AI2316" s="2667">
        <v>45282</v>
      </c>
      <c r="AJ2316" s="2667">
        <v>90000</v>
      </c>
      <c r="AK2316" s="2667">
        <v>45282</v>
      </c>
      <c r="AL2316" s="2667">
        <v>90000</v>
      </c>
      <c r="AM2316" s="2667">
        <v>45315</v>
      </c>
      <c r="AN2316" s="2667">
        <f t="shared" si="502"/>
        <v>90000</v>
      </c>
      <c r="AO2316" s="2667">
        <v>45328</v>
      </c>
      <c r="AP2316" s="2667">
        <f t="shared" si="503"/>
        <v>0</v>
      </c>
      <c r="AQ2316" s="2667"/>
      <c r="AR2316" s="2667"/>
      <c r="AS2316" s="6916"/>
      <c r="AT2316" s="2667"/>
      <c r="AU2316" s="2667"/>
      <c r="AV2316" s="2667"/>
      <c r="AW2316" s="2667"/>
      <c r="AX2316" s="2667"/>
      <c r="AY2316" s="2667"/>
      <c r="AZ2316" s="2667"/>
      <c r="BA2316" s="2667"/>
      <c r="BB2316" s="2667"/>
      <c r="BC2316" s="2667"/>
      <c r="BD2316" s="2667"/>
      <c r="BE2316" s="2667"/>
      <c r="BF2316" s="2667"/>
      <c r="BG2316" s="2667"/>
      <c r="BH2316" s="2667">
        <v>90000</v>
      </c>
      <c r="BI2316" s="2667"/>
      <c r="BJ2316" s="2667"/>
      <c r="BK2316" s="2667"/>
      <c r="BL2316" s="2667"/>
      <c r="BM2316" s="2667"/>
      <c r="BN2316" s="2667"/>
      <c r="BO2316" s="2667"/>
      <c r="BP2316" s="2667"/>
      <c r="BQ2316" s="2667"/>
      <c r="BR2316" s="2667"/>
      <c r="BS2316" s="6551"/>
      <c r="BT2316" s="6551"/>
      <c r="BU2316" s="6551"/>
      <c r="BV2316" s="2667">
        <v>90000</v>
      </c>
      <c r="BW2316" s="6551"/>
      <c r="BX2316" s="6551"/>
      <c r="BY2316" s="6551"/>
      <c r="BZ2316" s="6551"/>
      <c r="CA2316" s="6551"/>
      <c r="CB2316" s="6551"/>
      <c r="CC2316" s="2667"/>
      <c r="CD2316" s="2667"/>
      <c r="CE2316" s="7127"/>
      <c r="CF2316" s="7127"/>
      <c r="CG2316" s="7127"/>
      <c r="CH2316" s="7127"/>
    </row>
    <row r="2317" s="5011" customFormat="1" ht="50.25" customHeight="1" spans="1:86">
      <c r="A2317" s="2678"/>
      <c r="B2317" s="6881"/>
      <c r="C2317" s="6895"/>
      <c r="D2317" s="6484"/>
      <c r="E2317" s="6484"/>
      <c r="F2317" s="6484"/>
      <c r="G2317" s="6484"/>
      <c r="H2317" s="6881"/>
      <c r="I2317" s="6881"/>
      <c r="J2317" s="6484"/>
      <c r="K2317" s="6484"/>
      <c r="L2317" s="6484"/>
      <c r="M2317" s="6895"/>
      <c r="N2317" s="6895"/>
      <c r="O2317" s="6895"/>
      <c r="P2317" s="6895"/>
      <c r="Q2317" s="6895"/>
      <c r="R2317" s="6895"/>
      <c r="S2317" s="6895"/>
      <c r="T2317" s="6895"/>
      <c r="U2317" s="6895"/>
      <c r="V2317" s="6895"/>
      <c r="W2317" s="6895"/>
      <c r="X2317" s="6895"/>
      <c r="Y2317" s="6895"/>
      <c r="Z2317" s="6895"/>
      <c r="AA2317" s="6895"/>
      <c r="AB2317" s="6918"/>
      <c r="AC2317" s="2667">
        <v>2</v>
      </c>
      <c r="AD2317" s="7107" t="s">
        <v>3944</v>
      </c>
      <c r="AE2317" s="6516">
        <v>0.5</v>
      </c>
      <c r="AF2317" s="2667">
        <f>M2316*AE2317</f>
        <v>150000</v>
      </c>
      <c r="AG2317" s="2667">
        <f t="shared" si="501"/>
        <v>150000</v>
      </c>
      <c r="AH2317" s="2711" t="s">
        <v>122</v>
      </c>
      <c r="AI2317" s="2667">
        <v>45282</v>
      </c>
      <c r="AJ2317" s="2667">
        <v>150000</v>
      </c>
      <c r="AK2317" s="2667">
        <v>45282</v>
      </c>
      <c r="AL2317" s="2667">
        <v>150000</v>
      </c>
      <c r="AM2317" s="2667">
        <v>45315</v>
      </c>
      <c r="AN2317" s="2667">
        <f t="shared" si="502"/>
        <v>150000</v>
      </c>
      <c r="AO2317" s="2667">
        <v>45328</v>
      </c>
      <c r="AP2317" s="2667">
        <f t="shared" si="503"/>
        <v>0</v>
      </c>
      <c r="AQ2317" s="2667"/>
      <c r="AR2317" s="2667"/>
      <c r="AS2317" s="6916"/>
      <c r="AT2317" s="2667"/>
      <c r="AU2317" s="2667"/>
      <c r="AV2317" s="2667"/>
      <c r="AW2317" s="2667"/>
      <c r="AX2317" s="2667"/>
      <c r="AY2317" s="2667"/>
      <c r="AZ2317" s="2667"/>
      <c r="BA2317" s="2667"/>
      <c r="BB2317" s="2667"/>
      <c r="BC2317" s="2667"/>
      <c r="BD2317" s="2667"/>
      <c r="BE2317" s="2667"/>
      <c r="BF2317" s="2667"/>
      <c r="BG2317" s="2667"/>
      <c r="BH2317" s="2667">
        <v>150000</v>
      </c>
      <c r="BI2317" s="2667"/>
      <c r="BJ2317" s="2667"/>
      <c r="BK2317" s="2667"/>
      <c r="BL2317" s="2667"/>
      <c r="BM2317" s="2667"/>
      <c r="BN2317" s="2667"/>
      <c r="BO2317" s="2667"/>
      <c r="BP2317" s="2667"/>
      <c r="BQ2317" s="2667"/>
      <c r="BR2317" s="2667"/>
      <c r="BS2317" s="6551"/>
      <c r="BT2317" s="6551"/>
      <c r="BU2317" s="6551"/>
      <c r="BV2317" s="2667">
        <v>150000</v>
      </c>
      <c r="BW2317" s="6551"/>
      <c r="BX2317" s="6551"/>
      <c r="BY2317" s="6551"/>
      <c r="BZ2317" s="6551"/>
      <c r="CA2317" s="6551"/>
      <c r="CB2317" s="6551"/>
      <c r="CC2317" s="2667"/>
      <c r="CD2317" s="2667"/>
      <c r="CE2317" s="7127"/>
      <c r="CF2317" s="7127"/>
      <c r="CG2317" s="7127"/>
      <c r="CH2317" s="7127"/>
    </row>
    <row r="2318" s="5011" customFormat="1" ht="50.25" customHeight="1" spans="1:86">
      <c r="A2318" s="2678"/>
      <c r="B2318" s="7008"/>
      <c r="C2318" s="6902"/>
      <c r="D2318" s="2332"/>
      <c r="E2318" s="2332"/>
      <c r="F2318" s="2332"/>
      <c r="G2318" s="2332"/>
      <c r="H2318" s="7008"/>
      <c r="I2318" s="7008"/>
      <c r="J2318" s="2332"/>
      <c r="K2318" s="2332"/>
      <c r="L2318" s="2332"/>
      <c r="M2318" s="6902"/>
      <c r="N2318" s="6902"/>
      <c r="O2318" s="6902"/>
      <c r="P2318" s="6902"/>
      <c r="Q2318" s="6902"/>
      <c r="R2318" s="6902"/>
      <c r="S2318" s="6902"/>
      <c r="T2318" s="6902"/>
      <c r="U2318" s="6902"/>
      <c r="V2318" s="6902"/>
      <c r="W2318" s="6902"/>
      <c r="X2318" s="6902"/>
      <c r="Y2318" s="6902"/>
      <c r="Z2318" s="6902"/>
      <c r="AA2318" s="6902"/>
      <c r="AB2318" s="6917"/>
      <c r="AC2318" s="2667">
        <v>3</v>
      </c>
      <c r="AD2318" s="7107" t="s">
        <v>3945</v>
      </c>
      <c r="AE2318" s="6516">
        <v>0.2</v>
      </c>
      <c r="AF2318" s="2667">
        <f>M2316*AE2318</f>
        <v>60000</v>
      </c>
      <c r="AG2318" s="6542">
        <f t="shared" si="501"/>
        <v>60000</v>
      </c>
      <c r="AH2318" s="6540" t="s">
        <v>122</v>
      </c>
      <c r="AI2318" s="6542">
        <v>45650</v>
      </c>
      <c r="AJ2318" s="2667">
        <v>60000</v>
      </c>
      <c r="AK2318" s="2667">
        <v>45650</v>
      </c>
      <c r="AL2318" s="2667"/>
      <c r="AM2318" s="2667"/>
      <c r="AN2318" s="2667">
        <f t="shared" si="502"/>
        <v>60000</v>
      </c>
      <c r="AO2318" s="2667"/>
      <c r="AP2318" s="2667">
        <f t="shared" si="503"/>
        <v>0</v>
      </c>
      <c r="AQ2318" s="2667"/>
      <c r="AR2318" s="2667"/>
      <c r="AS2318" s="6916"/>
      <c r="AT2318" s="2667"/>
      <c r="AU2318" s="2667"/>
      <c r="AV2318" s="2667"/>
      <c r="AW2318" s="2667"/>
      <c r="AX2318" s="2667"/>
      <c r="AY2318" s="2667"/>
      <c r="AZ2318" s="2667"/>
      <c r="BA2318" s="2667"/>
      <c r="BB2318" s="2667"/>
      <c r="BC2318" s="2667"/>
      <c r="BD2318" s="2667"/>
      <c r="BE2318" s="2667"/>
      <c r="BF2318" s="2667"/>
      <c r="BG2318" s="2667"/>
      <c r="BH2318" s="6542">
        <v>60000</v>
      </c>
      <c r="BI2318" s="2667"/>
      <c r="BJ2318" s="2667"/>
      <c r="BK2318" s="2667"/>
      <c r="BL2318" s="2667"/>
      <c r="BM2318" s="2667"/>
      <c r="BN2318" s="2667"/>
      <c r="BO2318" s="2667"/>
      <c r="BP2318" s="2667"/>
      <c r="BQ2318" s="2667"/>
      <c r="BR2318" s="2667"/>
      <c r="BS2318" s="2667"/>
      <c r="BT2318" s="2667"/>
      <c r="BU2318" s="2667"/>
      <c r="BV2318" s="2667">
        <v>60000</v>
      </c>
      <c r="BW2318" s="2667"/>
      <c r="BX2318" s="2667"/>
      <c r="BY2318" s="2667"/>
      <c r="BZ2318" s="2667"/>
      <c r="CA2318" s="2667"/>
      <c r="CB2318" s="2667"/>
      <c r="CC2318" s="2667"/>
      <c r="CD2318" s="2667"/>
      <c r="CE2318" s="7127"/>
      <c r="CF2318" s="7127"/>
      <c r="CG2318" s="7127"/>
      <c r="CH2318" s="7127"/>
    </row>
    <row r="2319" s="5012" customFormat="1" ht="50.25" customHeight="1" spans="1:86">
      <c r="A2319" s="5667"/>
      <c r="B2319" s="5562" t="s">
        <v>690</v>
      </c>
      <c r="C2319" s="6596">
        <v>45285</v>
      </c>
      <c r="D2319" s="5562" t="s">
        <v>3946</v>
      </c>
      <c r="E2319" s="6596"/>
      <c r="F2319" s="5562" t="s">
        <v>3947</v>
      </c>
      <c r="G2319" s="5562" t="s">
        <v>3948</v>
      </c>
      <c r="H2319" s="5562" t="s">
        <v>286</v>
      </c>
      <c r="I2319" s="5562"/>
      <c r="J2319" s="5562" t="s">
        <v>3949</v>
      </c>
      <c r="K2319" s="6596"/>
      <c r="L2319" s="5562" t="s">
        <v>997</v>
      </c>
      <c r="M2319" s="6354">
        <f>SUM(N2319:AA2321)</f>
        <v>250000</v>
      </c>
      <c r="N2319" s="6596"/>
      <c r="O2319" s="6596"/>
      <c r="P2319" s="6596"/>
      <c r="Q2319" s="6596">
        <v>250000</v>
      </c>
      <c r="R2319" s="6596"/>
      <c r="S2319" s="6596"/>
      <c r="T2319" s="6596"/>
      <c r="U2319" s="6596"/>
      <c r="V2319" s="6596"/>
      <c r="W2319" s="6596"/>
      <c r="X2319" s="6596"/>
      <c r="Y2319" s="6596"/>
      <c r="Z2319" s="6596"/>
      <c r="AA2319" s="6596"/>
      <c r="AB2319" s="6596"/>
      <c r="AC2319" s="6292">
        <v>1</v>
      </c>
      <c r="AD2319" s="6429" t="s">
        <v>3950</v>
      </c>
      <c r="AE2319" s="5543">
        <v>0.3</v>
      </c>
      <c r="AF2319" s="6292">
        <f>M2319*AE2319</f>
        <v>75000</v>
      </c>
      <c r="AG2319" s="6292">
        <f t="shared" si="501"/>
        <v>75000</v>
      </c>
      <c r="AH2319" s="5543" t="s">
        <v>122</v>
      </c>
      <c r="AI2319" s="6292">
        <v>45288</v>
      </c>
      <c r="AJ2319" s="6292">
        <v>75000</v>
      </c>
      <c r="AK2319" s="6292">
        <v>45288</v>
      </c>
      <c r="AL2319" s="6292">
        <v>75000</v>
      </c>
      <c r="AM2319" s="6292">
        <v>45352</v>
      </c>
      <c r="AN2319" s="6292">
        <f t="shared" si="502"/>
        <v>75000</v>
      </c>
      <c r="AO2319" s="6292">
        <v>45632</v>
      </c>
      <c r="AP2319" s="6292">
        <f t="shared" si="503"/>
        <v>0</v>
      </c>
      <c r="AQ2319" s="6292"/>
      <c r="AR2319" s="6292"/>
      <c r="AS2319" s="6292"/>
      <c r="AT2319" s="6292"/>
      <c r="AU2319" s="6292"/>
      <c r="AV2319" s="6292"/>
      <c r="AW2319" s="6292"/>
      <c r="AX2319" s="6292"/>
      <c r="AY2319" s="6292"/>
      <c r="AZ2319" s="6292"/>
      <c r="BA2319" s="6292"/>
      <c r="BB2319" s="6292"/>
      <c r="BC2319" s="6292"/>
      <c r="BD2319" s="6292">
        <v>75000</v>
      </c>
      <c r="BE2319" s="6292"/>
      <c r="BF2319" s="6292"/>
      <c r="BG2319" s="6292"/>
      <c r="BH2319" s="6292"/>
      <c r="BI2319" s="6292"/>
      <c r="BJ2319" s="6292"/>
      <c r="BK2319" s="6292"/>
      <c r="BL2319" s="6292"/>
      <c r="BM2319" s="6292"/>
      <c r="BN2319" s="6292"/>
      <c r="BO2319" s="6292"/>
      <c r="BP2319" s="6292"/>
      <c r="BQ2319" s="6292"/>
      <c r="BR2319" s="6292">
        <v>75000</v>
      </c>
      <c r="BS2319" s="7061"/>
      <c r="BT2319" s="7061"/>
      <c r="BU2319" s="7061"/>
      <c r="BV2319" s="7061"/>
      <c r="BW2319" s="7061"/>
      <c r="BX2319" s="7061"/>
      <c r="BY2319" s="7061"/>
      <c r="BZ2319" s="7061"/>
      <c r="CA2319" s="7061"/>
      <c r="CB2319" s="7061"/>
      <c r="CC2319" s="6292"/>
      <c r="CD2319" s="6292"/>
      <c r="CE2319" s="7128"/>
      <c r="CF2319" s="7128"/>
      <c r="CG2319" s="7128"/>
      <c r="CH2319" s="7128"/>
    </row>
    <row r="2320" s="5012" customFormat="1" ht="50.25" customHeight="1" spans="1:86">
      <c r="A2320" s="5667"/>
      <c r="B2320" s="5562"/>
      <c r="C2320" s="6596"/>
      <c r="D2320" s="6596"/>
      <c r="E2320" s="6596"/>
      <c r="F2320" s="6596"/>
      <c r="G2320" s="6596"/>
      <c r="H2320" s="6596"/>
      <c r="I2320" s="6596"/>
      <c r="J2320" s="6596"/>
      <c r="K2320" s="6596"/>
      <c r="L2320" s="6596"/>
      <c r="M2320" s="6353"/>
      <c r="N2320" s="6596"/>
      <c r="O2320" s="6596"/>
      <c r="P2320" s="6596"/>
      <c r="Q2320" s="6596"/>
      <c r="R2320" s="6596"/>
      <c r="S2320" s="6596"/>
      <c r="T2320" s="6596"/>
      <c r="U2320" s="6596"/>
      <c r="V2320" s="6596"/>
      <c r="W2320" s="6596"/>
      <c r="X2320" s="6596"/>
      <c r="Y2320" s="6596"/>
      <c r="Z2320" s="6596"/>
      <c r="AA2320" s="6596"/>
      <c r="AB2320" s="6596"/>
      <c r="AC2320" s="6292">
        <v>2</v>
      </c>
      <c r="AD2320" s="6429" t="s">
        <v>3951</v>
      </c>
      <c r="AE2320" s="5543">
        <v>0.4</v>
      </c>
      <c r="AF2320" s="6292">
        <f>M2319*AE2320</f>
        <v>100000</v>
      </c>
      <c r="AG2320" s="6292">
        <f t="shared" si="501"/>
        <v>100000</v>
      </c>
      <c r="AH2320" s="5543" t="s">
        <v>122</v>
      </c>
      <c r="AI2320" s="6292">
        <v>45288</v>
      </c>
      <c r="AJ2320" s="6292">
        <v>100000</v>
      </c>
      <c r="AK2320" s="6292">
        <v>45288</v>
      </c>
      <c r="AL2320" s="6292">
        <v>100000</v>
      </c>
      <c r="AM2320" s="6292">
        <v>45352</v>
      </c>
      <c r="AN2320" s="7061">
        <f t="shared" si="502"/>
        <v>100000</v>
      </c>
      <c r="AO2320" s="7061"/>
      <c r="AP2320" s="6292">
        <f t="shared" si="503"/>
        <v>0</v>
      </c>
      <c r="AQ2320" s="6292"/>
      <c r="AR2320" s="6292"/>
      <c r="AS2320" s="6292"/>
      <c r="AT2320" s="6292"/>
      <c r="AU2320" s="6292"/>
      <c r="AV2320" s="6292"/>
      <c r="AW2320" s="6292"/>
      <c r="AX2320" s="6292"/>
      <c r="AY2320" s="6292"/>
      <c r="AZ2320" s="6292"/>
      <c r="BA2320" s="6292"/>
      <c r="BB2320" s="6292"/>
      <c r="BC2320" s="6292"/>
      <c r="BD2320" s="6292">
        <v>100000</v>
      </c>
      <c r="BE2320" s="6292"/>
      <c r="BF2320" s="6292"/>
      <c r="BG2320" s="6292"/>
      <c r="BH2320" s="6292"/>
      <c r="BI2320" s="6292"/>
      <c r="BJ2320" s="6292"/>
      <c r="BK2320" s="6292"/>
      <c r="BL2320" s="6292"/>
      <c r="BM2320" s="6292"/>
      <c r="BN2320" s="6292"/>
      <c r="BO2320" s="6292"/>
      <c r="BP2320" s="6292"/>
      <c r="BQ2320" s="6292"/>
      <c r="BR2320" s="6292">
        <v>100000</v>
      </c>
      <c r="BS2320" s="7061"/>
      <c r="BT2320" s="7061"/>
      <c r="BU2320" s="7061"/>
      <c r="BV2320" s="7061"/>
      <c r="BW2320" s="7061"/>
      <c r="BX2320" s="7061"/>
      <c r="BY2320" s="7061"/>
      <c r="BZ2320" s="7061"/>
      <c r="CA2320" s="7061"/>
      <c r="CB2320" s="7061"/>
      <c r="CC2320" s="6292"/>
      <c r="CD2320" s="6292"/>
      <c r="CE2320" s="7128"/>
      <c r="CF2320" s="7128"/>
      <c r="CG2320" s="7128"/>
      <c r="CH2320" s="7128"/>
    </row>
    <row r="2321" s="5012" customFormat="1" ht="50.25" customHeight="1" spans="1:86">
      <c r="A2321" s="5667"/>
      <c r="B2321" s="5564"/>
      <c r="C2321" s="6597"/>
      <c r="D2321" s="6597"/>
      <c r="E2321" s="6597"/>
      <c r="F2321" s="6597"/>
      <c r="G2321" s="6597"/>
      <c r="H2321" s="6597"/>
      <c r="I2321" s="6597"/>
      <c r="J2321" s="6597"/>
      <c r="K2321" s="6597"/>
      <c r="L2321" s="6597"/>
      <c r="M2321" s="6355"/>
      <c r="N2321" s="6597"/>
      <c r="O2321" s="6597"/>
      <c r="P2321" s="6597"/>
      <c r="Q2321" s="6597"/>
      <c r="R2321" s="6597"/>
      <c r="S2321" s="6597"/>
      <c r="T2321" s="6597"/>
      <c r="U2321" s="6597"/>
      <c r="V2321" s="6597"/>
      <c r="W2321" s="6597"/>
      <c r="X2321" s="6597"/>
      <c r="Y2321" s="6597"/>
      <c r="Z2321" s="6597"/>
      <c r="AA2321" s="6597"/>
      <c r="AB2321" s="6597"/>
      <c r="AC2321" s="6292">
        <v>3</v>
      </c>
      <c r="AD2321" s="6429" t="s">
        <v>3952</v>
      </c>
      <c r="AE2321" s="5543">
        <v>0.3</v>
      </c>
      <c r="AF2321" s="6292">
        <f>M2319*AE2321</f>
        <v>75000</v>
      </c>
      <c r="AG2321" s="6292">
        <f t="shared" si="501"/>
        <v>75000</v>
      </c>
      <c r="AH2321" s="5543" t="s">
        <v>122</v>
      </c>
      <c r="AI2321" s="6292">
        <v>45288</v>
      </c>
      <c r="AJ2321" s="6292">
        <v>75000</v>
      </c>
      <c r="AK2321" s="6292">
        <v>45288</v>
      </c>
      <c r="AL2321" s="6292"/>
      <c r="AM2321" s="6292"/>
      <c r="AN2321" s="7061">
        <f t="shared" si="502"/>
        <v>75000</v>
      </c>
      <c r="AO2321" s="7061"/>
      <c r="AP2321" s="6292">
        <f t="shared" si="503"/>
        <v>0</v>
      </c>
      <c r="AQ2321" s="6292"/>
      <c r="AR2321" s="6292"/>
      <c r="AS2321" s="6292"/>
      <c r="AT2321" s="6292"/>
      <c r="AU2321" s="6292"/>
      <c r="AV2321" s="6292"/>
      <c r="AW2321" s="6292"/>
      <c r="AX2321" s="6292"/>
      <c r="AY2321" s="6292"/>
      <c r="AZ2321" s="6292"/>
      <c r="BA2321" s="6292"/>
      <c r="BB2321" s="6292"/>
      <c r="BC2321" s="6292"/>
      <c r="BD2321" s="6292">
        <v>75000</v>
      </c>
      <c r="BE2321" s="6292"/>
      <c r="BF2321" s="6292"/>
      <c r="BG2321" s="6292"/>
      <c r="BH2321" s="6292"/>
      <c r="BI2321" s="6292"/>
      <c r="BJ2321" s="6292"/>
      <c r="BK2321" s="6292"/>
      <c r="BL2321" s="6292"/>
      <c r="BM2321" s="6292"/>
      <c r="BN2321" s="6292"/>
      <c r="BO2321" s="6292"/>
      <c r="BP2321" s="6292"/>
      <c r="BQ2321" s="6292"/>
      <c r="BR2321" s="6292">
        <v>75000</v>
      </c>
      <c r="BS2321" s="7061"/>
      <c r="BT2321" s="7061"/>
      <c r="BU2321" s="7061"/>
      <c r="BV2321" s="7061"/>
      <c r="BW2321" s="7061"/>
      <c r="BX2321" s="7061"/>
      <c r="BY2321" s="7061"/>
      <c r="BZ2321" s="7061"/>
      <c r="CA2321" s="7061"/>
      <c r="CB2321" s="7061"/>
      <c r="CC2321" s="6292"/>
      <c r="CD2321" s="6292"/>
      <c r="CE2321" s="5169">
        <f>SUBTOTAL(9,BO2321:CB2321)</f>
        <v>75000</v>
      </c>
      <c r="CF2321" s="5169">
        <f>AN2321-CE2321</f>
        <v>0</v>
      </c>
      <c r="CG2321" s="7128"/>
      <c r="CH2321" s="7128"/>
    </row>
    <row r="2322" s="5011" customFormat="1" ht="76" spans="1:86">
      <c r="A2322" s="2678"/>
      <c r="B2322" s="5348" t="s">
        <v>690</v>
      </c>
      <c r="C2322" s="5347">
        <v>44732</v>
      </c>
      <c r="D2322" s="5316" t="s">
        <v>3953</v>
      </c>
      <c r="E2322" s="5316" t="s">
        <v>3954</v>
      </c>
      <c r="F2322" s="5316" t="s">
        <v>3955</v>
      </c>
      <c r="G2322" s="5316" t="s">
        <v>3956</v>
      </c>
      <c r="H2322" s="5348" t="s">
        <v>1397</v>
      </c>
      <c r="I2322" s="5348"/>
      <c r="J2322" s="5316" t="s">
        <v>3957</v>
      </c>
      <c r="K2322" s="5316" t="s">
        <v>171</v>
      </c>
      <c r="L2322" s="5316" t="s">
        <v>171</v>
      </c>
      <c r="M2322" s="5347">
        <f>SUM(N2322:AA2322)</f>
        <v>357351</v>
      </c>
      <c r="N2322" s="2957">
        <v>120000</v>
      </c>
      <c r="O2322" s="2957">
        <v>0</v>
      </c>
      <c r="P2322" s="2957">
        <v>0</v>
      </c>
      <c r="Q2322" s="2957">
        <v>237351</v>
      </c>
      <c r="R2322" s="2957">
        <v>0</v>
      </c>
      <c r="S2322" s="2957">
        <v>0</v>
      </c>
      <c r="T2322" s="7105">
        <v>0</v>
      </c>
      <c r="U2322" s="2957">
        <v>0</v>
      </c>
      <c r="V2322" s="2957">
        <v>0</v>
      </c>
      <c r="W2322" s="2957">
        <v>0</v>
      </c>
      <c r="X2322" s="2957">
        <v>0</v>
      </c>
      <c r="Y2322" s="2957"/>
      <c r="Z2322" s="2957"/>
      <c r="AA2322" s="2957">
        <v>0</v>
      </c>
      <c r="AB2322" s="5196">
        <v>0</v>
      </c>
      <c r="AC2322" s="5347">
        <v>1</v>
      </c>
      <c r="AD2322" s="5895" t="s">
        <v>3958</v>
      </c>
      <c r="AE2322" s="5316">
        <v>1</v>
      </c>
      <c r="AF2322" s="5347">
        <v>357351</v>
      </c>
      <c r="AG2322" s="5347">
        <f t="shared" si="501"/>
        <v>357351</v>
      </c>
      <c r="AH2322" s="5348" t="s">
        <v>206</v>
      </c>
      <c r="AI2322" s="5347">
        <v>44761</v>
      </c>
      <c r="AJ2322" s="5347">
        <v>357351</v>
      </c>
      <c r="AK2322" s="5347">
        <v>44761</v>
      </c>
      <c r="AL2322" s="5347">
        <v>357351</v>
      </c>
      <c r="AM2322" s="5347">
        <v>44761</v>
      </c>
      <c r="AN2322" s="5347">
        <f t="shared" si="502"/>
        <v>357351</v>
      </c>
      <c r="AO2322" s="5347">
        <v>44790</v>
      </c>
      <c r="AP2322" s="5347">
        <f t="shared" si="503"/>
        <v>0</v>
      </c>
      <c r="AQ2322" s="5347"/>
      <c r="AR2322" s="5347"/>
      <c r="AS2322" s="7122"/>
      <c r="AT2322" s="5347"/>
      <c r="AU2322" s="2957"/>
      <c r="AV2322" s="2957"/>
      <c r="AW2322" s="2957"/>
      <c r="AX2322" s="2957"/>
      <c r="AY2322" s="2957"/>
      <c r="AZ2322" s="2957"/>
      <c r="BA2322" s="5347">
        <v>120000</v>
      </c>
      <c r="BB2322" s="5347"/>
      <c r="BC2322" s="5347"/>
      <c r="BD2322" s="5347">
        <v>237351</v>
      </c>
      <c r="BE2322" s="5347"/>
      <c r="BF2322" s="5347"/>
      <c r="BG2322" s="5347"/>
      <c r="BH2322" s="5347"/>
      <c r="BI2322" s="5347"/>
      <c r="BJ2322" s="5347"/>
      <c r="BK2322" s="5347"/>
      <c r="BL2322" s="5347"/>
      <c r="BM2322" s="5347"/>
      <c r="BN2322" s="5347"/>
      <c r="BO2322" s="5347">
        <v>120000</v>
      </c>
      <c r="BP2322" s="5347"/>
      <c r="BQ2322" s="5347"/>
      <c r="BR2322" s="5347">
        <v>237351</v>
      </c>
      <c r="BS2322" s="5473"/>
      <c r="BT2322" s="5473"/>
      <c r="BU2322" s="5473"/>
      <c r="BV2322" s="5473"/>
      <c r="BW2322" s="5473"/>
      <c r="BX2322" s="5473"/>
      <c r="BY2322" s="5473"/>
      <c r="BZ2322" s="5473"/>
      <c r="CA2322" s="5473"/>
      <c r="CB2322" s="5473"/>
      <c r="CC2322" s="5347"/>
      <c r="CD2322" s="5347"/>
      <c r="CE2322" s="7127"/>
      <c r="CF2322" s="7127"/>
      <c r="CG2322" s="7127"/>
      <c r="CH2322" s="7127"/>
    </row>
    <row r="2323" s="5011" customFormat="1" ht="45.85" customHeight="1" spans="1:86">
      <c r="A2323" s="2678"/>
      <c r="B2323" s="5348" t="s">
        <v>690</v>
      </c>
      <c r="C2323" s="5347">
        <v>44729</v>
      </c>
      <c r="D2323" s="5316" t="s">
        <v>3959</v>
      </c>
      <c r="E2323" s="5316" t="s">
        <v>3960</v>
      </c>
      <c r="F2323" s="5316" t="s">
        <v>3961</v>
      </c>
      <c r="G2323" s="5316" t="s">
        <v>3962</v>
      </c>
      <c r="H2323" s="5348" t="s">
        <v>1397</v>
      </c>
      <c r="I2323" s="5348"/>
      <c r="J2323" s="5316" t="s">
        <v>3963</v>
      </c>
      <c r="K2323" s="5316" t="s">
        <v>171</v>
      </c>
      <c r="L2323" s="5316" t="s">
        <v>171</v>
      </c>
      <c r="M2323" s="5347">
        <f>SUM(N2323:AA2323)</f>
        <v>400000</v>
      </c>
      <c r="N2323" s="2957">
        <v>60000</v>
      </c>
      <c r="O2323" s="2957">
        <v>0</v>
      </c>
      <c r="P2323" s="2957">
        <v>320000</v>
      </c>
      <c r="Q2323" s="2957">
        <v>20000</v>
      </c>
      <c r="R2323" s="2957">
        <v>0</v>
      </c>
      <c r="S2323" s="2957">
        <v>0</v>
      </c>
      <c r="T2323" s="7105">
        <v>0</v>
      </c>
      <c r="U2323" s="2957">
        <v>0</v>
      </c>
      <c r="V2323" s="2957">
        <v>0</v>
      </c>
      <c r="W2323" s="2957">
        <v>0</v>
      </c>
      <c r="X2323" s="2957">
        <v>0</v>
      </c>
      <c r="Y2323" s="2957"/>
      <c r="Z2323" s="2957"/>
      <c r="AA2323" s="2957">
        <v>0</v>
      </c>
      <c r="AB2323" s="5196">
        <v>0</v>
      </c>
      <c r="AC2323" s="5347">
        <v>1</v>
      </c>
      <c r="AD2323" s="5895" t="s">
        <v>3964</v>
      </c>
      <c r="AE2323" s="5316">
        <v>1</v>
      </c>
      <c r="AF2323" s="5347">
        <f>AE2323*M2323</f>
        <v>400000</v>
      </c>
      <c r="AG2323" s="5347">
        <f t="shared" si="501"/>
        <v>400000</v>
      </c>
      <c r="AH2323" s="5348" t="s">
        <v>206</v>
      </c>
      <c r="AI2323" s="5347">
        <v>44795</v>
      </c>
      <c r="AJ2323" s="5347">
        <v>400000</v>
      </c>
      <c r="AK2323" s="5347">
        <v>44795</v>
      </c>
      <c r="AL2323" s="5347">
        <v>400000</v>
      </c>
      <c r="AM2323" s="5347">
        <v>44795</v>
      </c>
      <c r="AN2323" s="5347">
        <f t="shared" si="502"/>
        <v>400000</v>
      </c>
      <c r="AO2323" s="5347">
        <v>44802</v>
      </c>
      <c r="AP2323" s="5347">
        <f t="shared" si="503"/>
        <v>0</v>
      </c>
      <c r="AQ2323" s="5347"/>
      <c r="AR2323" s="5347"/>
      <c r="AS2323" s="7122"/>
      <c r="AT2323" s="5347"/>
      <c r="AU2323" s="2957"/>
      <c r="AV2323" s="2957"/>
      <c r="AW2323" s="2957"/>
      <c r="AX2323" s="2957"/>
      <c r="AY2323" s="2957"/>
      <c r="AZ2323" s="2957"/>
      <c r="BA2323" s="5347">
        <v>60000</v>
      </c>
      <c r="BB2323" s="5347"/>
      <c r="BC2323" s="5347">
        <v>320000</v>
      </c>
      <c r="BD2323" s="5347">
        <v>20000</v>
      </c>
      <c r="BE2323" s="5347"/>
      <c r="BF2323" s="5347"/>
      <c r="BG2323" s="5347"/>
      <c r="BH2323" s="5347"/>
      <c r="BI2323" s="5347"/>
      <c r="BJ2323" s="5347"/>
      <c r="BK2323" s="5347"/>
      <c r="BL2323" s="5347"/>
      <c r="BM2323" s="5347"/>
      <c r="BN2323" s="5347"/>
      <c r="BO2323" s="5347">
        <v>60000</v>
      </c>
      <c r="BP2323" s="5347"/>
      <c r="BQ2323" s="5347">
        <v>320000</v>
      </c>
      <c r="BR2323" s="5347">
        <v>20000</v>
      </c>
      <c r="BS2323" s="5473"/>
      <c r="BT2323" s="5473"/>
      <c r="BU2323" s="5473"/>
      <c r="BV2323" s="5473"/>
      <c r="BW2323" s="5473"/>
      <c r="BX2323" s="5473"/>
      <c r="BY2323" s="5473"/>
      <c r="BZ2323" s="5473"/>
      <c r="CA2323" s="5473"/>
      <c r="CB2323" s="5473"/>
      <c r="CC2323" s="5347"/>
      <c r="CD2323" s="5347"/>
      <c r="CE2323" s="7127"/>
      <c r="CF2323" s="7127"/>
      <c r="CG2323" s="7127"/>
      <c r="CH2323" s="7127"/>
    </row>
    <row r="2324" s="4972" customFormat="1" ht="107" spans="1:86">
      <c r="A2324" s="2680"/>
      <c r="B2324" s="3814" t="s">
        <v>690</v>
      </c>
      <c r="C2324" s="5815">
        <v>45194</v>
      </c>
      <c r="D2324" s="5055" t="s">
        <v>3965</v>
      </c>
      <c r="E2324" s="5053"/>
      <c r="F2324" s="5055" t="s">
        <v>3966</v>
      </c>
      <c r="G2324" s="5055" t="s">
        <v>3967</v>
      </c>
      <c r="H2324" s="3814" t="s">
        <v>1397</v>
      </c>
      <c r="I2324" s="3814"/>
      <c r="J2324" s="5055" t="s">
        <v>3968</v>
      </c>
      <c r="K2324" s="5055" t="s">
        <v>171</v>
      </c>
      <c r="L2324" s="5055" t="s">
        <v>171</v>
      </c>
      <c r="M2324" s="3662">
        <f>SUM(N2324:AA2324)</f>
        <v>100000</v>
      </c>
      <c r="N2324" s="2680"/>
      <c r="O2324" s="2680"/>
      <c r="P2324" s="2680"/>
      <c r="Q2324" s="2680">
        <v>100000</v>
      </c>
      <c r="R2324" s="2680"/>
      <c r="S2324" s="2680"/>
      <c r="T2324" s="2680"/>
      <c r="U2324" s="2680"/>
      <c r="V2324" s="2680"/>
      <c r="W2324" s="2680"/>
      <c r="X2324" s="2680"/>
      <c r="Y2324" s="2680"/>
      <c r="Z2324" s="2680"/>
      <c r="AA2324" s="2680"/>
      <c r="AB2324" s="2680"/>
      <c r="AC2324" s="3662">
        <v>1</v>
      </c>
      <c r="AD2324" s="5388" t="s">
        <v>3969</v>
      </c>
      <c r="AE2324" s="5846">
        <v>1</v>
      </c>
      <c r="AF2324" s="5815">
        <v>100000</v>
      </c>
      <c r="AG2324" s="5815">
        <f t="shared" si="501"/>
        <v>100000</v>
      </c>
      <c r="AH2324" s="3814" t="s">
        <v>206</v>
      </c>
      <c r="AI2324" s="3684">
        <v>45188</v>
      </c>
      <c r="AJ2324" s="3684">
        <v>100000</v>
      </c>
      <c r="AK2324" s="3684">
        <v>45188</v>
      </c>
      <c r="AL2324" s="3814">
        <v>100000</v>
      </c>
      <c r="AM2324" s="3684">
        <v>45188</v>
      </c>
      <c r="AN2324" s="3814">
        <f t="shared" si="502"/>
        <v>100000</v>
      </c>
      <c r="AO2324" s="3684">
        <v>45197</v>
      </c>
      <c r="AP2324" s="3684">
        <f t="shared" si="503"/>
        <v>0</v>
      </c>
      <c r="AQ2324" s="5127"/>
      <c r="AR2324" s="3662"/>
      <c r="AS2324" s="5341"/>
      <c r="AT2324" s="5127"/>
      <c r="AU2324" s="2680"/>
      <c r="AV2324" s="2680"/>
      <c r="AW2324" s="2680"/>
      <c r="AX2324" s="2680"/>
      <c r="AY2324" s="2680"/>
      <c r="AZ2324" s="2680"/>
      <c r="BA2324" s="5148"/>
      <c r="BB2324" s="5148"/>
      <c r="BC2324" s="3684"/>
      <c r="BD2324" s="3684">
        <v>100000</v>
      </c>
      <c r="BE2324" s="5148"/>
      <c r="BF2324" s="5148"/>
      <c r="BG2324" s="5148"/>
      <c r="BH2324" s="5859"/>
      <c r="BI2324" s="3684"/>
      <c r="BJ2324" s="5055"/>
      <c r="BK2324" s="5148"/>
      <c r="BL2324" s="5148"/>
      <c r="BM2324" s="5148"/>
      <c r="BN2324" s="5148"/>
      <c r="BO2324" s="5127"/>
      <c r="BP2324" s="5127"/>
      <c r="BQ2324" s="5127"/>
      <c r="BR2324" s="5127">
        <v>100000</v>
      </c>
      <c r="BS2324" s="5127"/>
      <c r="BT2324" s="5164"/>
      <c r="BU2324" s="5164"/>
      <c r="BV2324" s="7124"/>
      <c r="BW2324" s="7125"/>
      <c r="BX2324" s="3684"/>
      <c r="BY2324" s="5127"/>
      <c r="BZ2324" s="5127"/>
      <c r="CA2324" s="5127"/>
      <c r="CB2324" s="5127"/>
      <c r="CC2324" s="3662"/>
      <c r="CD2324" s="3662"/>
      <c r="CE2324" s="5170"/>
      <c r="CF2324" s="5170"/>
      <c r="CG2324" s="5170"/>
      <c r="CH2324" s="5170"/>
    </row>
    <row r="2325" s="4965" customFormat="1" ht="61" customHeight="1" spans="1:86">
      <c r="A2325" s="2680">
        <v>25</v>
      </c>
      <c r="B2325" s="5813" t="s">
        <v>690</v>
      </c>
      <c r="C2325" s="2713">
        <v>44930</v>
      </c>
      <c r="D2325" s="1032" t="s">
        <v>3970</v>
      </c>
      <c r="E2325" s="1032" t="s">
        <v>3971</v>
      </c>
      <c r="F2325" s="1032" t="s">
        <v>3972</v>
      </c>
      <c r="G2325" s="1032" t="s">
        <v>3973</v>
      </c>
      <c r="H2325" s="857" t="s">
        <v>1241</v>
      </c>
      <c r="I2325" s="3366"/>
      <c r="J2325" s="1032" t="s">
        <v>3974</v>
      </c>
      <c r="K2325" s="5818">
        <v>3500</v>
      </c>
      <c r="L2325" s="1032" t="s">
        <v>2184</v>
      </c>
      <c r="M2325" s="3742">
        <f>SUM(N2325:AA2328)</f>
        <v>157500</v>
      </c>
      <c r="N2325" s="2680">
        <v>0</v>
      </c>
      <c r="O2325" s="2680">
        <v>0</v>
      </c>
      <c r="P2325" s="2680">
        <v>0</v>
      </c>
      <c r="Q2325" s="2680">
        <v>0</v>
      </c>
      <c r="R2325" s="2680">
        <v>0</v>
      </c>
      <c r="S2325" s="2680">
        <v>0</v>
      </c>
      <c r="T2325" s="5823">
        <v>0</v>
      </c>
      <c r="U2325" s="2680">
        <v>0</v>
      </c>
      <c r="V2325" s="2680">
        <v>0</v>
      </c>
      <c r="W2325" s="2680">
        <v>157500</v>
      </c>
      <c r="X2325" s="2680">
        <v>0</v>
      </c>
      <c r="Y2325" s="2680">
        <v>0</v>
      </c>
      <c r="Z2325" s="2680"/>
      <c r="AA2325" s="2680">
        <v>0</v>
      </c>
      <c r="AB2325" s="2680">
        <v>0</v>
      </c>
      <c r="AC2325" s="4087">
        <v>1</v>
      </c>
      <c r="AD2325" s="5073" t="s">
        <v>3975</v>
      </c>
      <c r="AE2325" s="6001">
        <v>0.7</v>
      </c>
      <c r="AF2325" s="5874">
        <f>M2325*AE2325</f>
        <v>110250</v>
      </c>
      <c r="AG2325" s="4840">
        <f t="shared" si="501"/>
        <v>117000</v>
      </c>
      <c r="AH2325" s="3366" t="s">
        <v>122</v>
      </c>
      <c r="AI2325" s="4840">
        <v>45160</v>
      </c>
      <c r="AJ2325" s="4840">
        <v>117000</v>
      </c>
      <c r="AK2325" s="4840">
        <v>45160</v>
      </c>
      <c r="AL2325" s="3366">
        <v>117000</v>
      </c>
      <c r="AM2325" s="4840">
        <v>45161</v>
      </c>
      <c r="AN2325" s="3812">
        <f t="shared" si="502"/>
        <v>93600</v>
      </c>
      <c r="AO2325" s="3812">
        <v>45188</v>
      </c>
      <c r="AP2325" s="3812">
        <f t="shared" si="503"/>
        <v>23400</v>
      </c>
      <c r="AQ2325" s="5122"/>
      <c r="AR2325" s="3524"/>
      <c r="AS2325" s="5129"/>
      <c r="AT2325" s="5122"/>
      <c r="AU2325" s="2680">
        <f>SUM(AG2325:AG2328)</f>
        <v>164250</v>
      </c>
      <c r="AV2325" s="2680">
        <f>SUM(AL2325:AL2328)</f>
        <v>117000</v>
      </c>
      <c r="AW2325" s="2680">
        <f>SUM(AN2325:AN2328)</f>
        <v>117000</v>
      </c>
      <c r="AX2325" s="2680">
        <f>M2325-AU2325</f>
        <v>-6750</v>
      </c>
      <c r="AY2325" s="2680">
        <f>AU2325-AV2325</f>
        <v>47250</v>
      </c>
      <c r="AZ2325" s="2680">
        <f>AV2325-AW2325</f>
        <v>0</v>
      </c>
      <c r="BA2325" s="5146"/>
      <c r="BB2325" s="5146"/>
      <c r="BC2325" s="3812"/>
      <c r="BD2325" s="5146"/>
      <c r="BE2325" s="5146"/>
      <c r="BF2325" s="5146"/>
      <c r="BG2325" s="5146"/>
      <c r="BH2325" s="5152"/>
      <c r="BI2325" s="3812"/>
      <c r="BJ2325" s="5073">
        <v>117000</v>
      </c>
      <c r="BK2325" s="5146"/>
      <c r="BL2325" s="5146"/>
      <c r="BM2325" s="5146"/>
      <c r="BN2325" s="5146"/>
      <c r="BO2325" s="5122"/>
      <c r="BP2325" s="5122"/>
      <c r="BQ2325" s="5122"/>
      <c r="BR2325" s="5122"/>
      <c r="BS2325" s="5122"/>
      <c r="BT2325" s="5160"/>
      <c r="BU2325" s="5160"/>
      <c r="BV2325" s="5862"/>
      <c r="BW2325" s="6779"/>
      <c r="BX2325" s="3812">
        <v>93600</v>
      </c>
      <c r="BY2325" s="5122"/>
      <c r="BZ2325" s="5122"/>
      <c r="CA2325" s="5122"/>
      <c r="CB2325" s="5122"/>
      <c r="CC2325" s="3524"/>
      <c r="CD2325" s="3524"/>
      <c r="CE2325" s="5169"/>
      <c r="CF2325" s="5169"/>
      <c r="CG2325" s="5169"/>
      <c r="CH2325" s="5169"/>
    </row>
    <row r="2326" s="4965" customFormat="1" ht="61" customHeight="1" spans="1:86">
      <c r="A2326" s="2680"/>
      <c r="B2326" s="5813"/>
      <c r="C2326" s="2713"/>
      <c r="D2326" s="3742"/>
      <c r="E2326" s="3742"/>
      <c r="F2326" s="3742"/>
      <c r="G2326" s="5818"/>
      <c r="H2326" s="3524"/>
      <c r="I2326" s="3408"/>
      <c r="J2326" s="3742"/>
      <c r="K2326" s="5818"/>
      <c r="L2326" s="3742"/>
      <c r="M2326" s="3742"/>
      <c r="N2326" s="2680"/>
      <c r="O2326" s="2680"/>
      <c r="P2326" s="2680"/>
      <c r="Q2326" s="2680"/>
      <c r="R2326" s="2680"/>
      <c r="S2326" s="2680"/>
      <c r="T2326" s="2680"/>
      <c r="U2326" s="2680"/>
      <c r="V2326" s="2680"/>
      <c r="W2326" s="2680"/>
      <c r="X2326" s="2680"/>
      <c r="Y2326" s="2680"/>
      <c r="Z2326" s="2680"/>
      <c r="AA2326" s="2680"/>
      <c r="AB2326" s="2680"/>
      <c r="AC2326" s="4903"/>
      <c r="AD2326" s="5206"/>
      <c r="AE2326" s="6004"/>
      <c r="AF2326" s="5877"/>
      <c r="AG2326" s="4842"/>
      <c r="AH2326" s="3409"/>
      <c r="AI2326" s="4842"/>
      <c r="AJ2326" s="4842"/>
      <c r="AK2326" s="4842"/>
      <c r="AL2326" s="3409"/>
      <c r="AM2326" s="4842"/>
      <c r="AN2326" s="3812">
        <f t="shared" si="502"/>
        <v>23400</v>
      </c>
      <c r="AO2326" s="5123"/>
      <c r="AP2326" s="3812">
        <f t="shared" si="503"/>
        <v>-23400</v>
      </c>
      <c r="AQ2326" s="5122"/>
      <c r="AR2326" s="3524"/>
      <c r="AS2326" s="5129"/>
      <c r="AT2326" s="5122"/>
      <c r="AU2326" s="2680"/>
      <c r="AV2326" s="2680"/>
      <c r="AW2326" s="2680"/>
      <c r="AX2326" s="2680"/>
      <c r="AY2326" s="2680"/>
      <c r="AZ2326" s="2680"/>
      <c r="BA2326" s="5160"/>
      <c r="BB2326" s="5160"/>
      <c r="BC2326" s="5123"/>
      <c r="BD2326" s="5160"/>
      <c r="BE2326" s="5160"/>
      <c r="BF2326" s="5160"/>
      <c r="BG2326" s="5160"/>
      <c r="BH2326" s="5948"/>
      <c r="BI2326" s="5123"/>
      <c r="BJ2326" s="5206"/>
      <c r="BK2326" s="5160"/>
      <c r="BL2326" s="5160"/>
      <c r="BM2326" s="5160"/>
      <c r="BN2326" s="5160"/>
      <c r="BO2326" s="5122"/>
      <c r="BP2326" s="5122"/>
      <c r="BQ2326" s="5122"/>
      <c r="BR2326" s="5122"/>
      <c r="BS2326" s="5122"/>
      <c r="BT2326" s="5160"/>
      <c r="BU2326" s="5160"/>
      <c r="BV2326" s="5862"/>
      <c r="BW2326" s="3812"/>
      <c r="BX2326" s="3812">
        <f>BJ2325-BX2325</f>
        <v>23400</v>
      </c>
      <c r="BY2326" s="5122"/>
      <c r="BZ2326" s="5122"/>
      <c r="CA2326" s="5122"/>
      <c r="CB2326" s="5122"/>
      <c r="CC2326" s="3524"/>
      <c r="CD2326" s="3524"/>
      <c r="CE2326" s="5169"/>
      <c r="CF2326" s="5169"/>
      <c r="CG2326" s="5169"/>
      <c r="CH2326" s="5169"/>
    </row>
    <row r="2327" s="4965" customFormat="1" ht="61" customHeight="1" spans="1:86">
      <c r="A2327" s="2680"/>
      <c r="B2327" s="5813"/>
      <c r="C2327" s="2713"/>
      <c r="D2327" s="3742"/>
      <c r="E2327" s="3742"/>
      <c r="F2327" s="3742"/>
      <c r="G2327" s="5818"/>
      <c r="H2327" s="3524"/>
      <c r="I2327" s="3408"/>
      <c r="J2327" s="3742"/>
      <c r="K2327" s="5818"/>
      <c r="L2327" s="3742"/>
      <c r="M2327" s="3742"/>
      <c r="N2327" s="2680"/>
      <c r="O2327" s="2680"/>
      <c r="P2327" s="2680"/>
      <c r="Q2327" s="2680"/>
      <c r="R2327" s="2680"/>
      <c r="S2327" s="2680"/>
      <c r="T2327" s="2680"/>
      <c r="U2327" s="2680"/>
      <c r="V2327" s="2680"/>
      <c r="W2327" s="2680"/>
      <c r="X2327" s="2680"/>
      <c r="Y2327" s="2680"/>
      <c r="Z2327" s="2680"/>
      <c r="AA2327" s="2680"/>
      <c r="AB2327" s="2680"/>
      <c r="AC2327" s="3524">
        <v>2</v>
      </c>
      <c r="AD2327" s="5241" t="s">
        <v>3976</v>
      </c>
      <c r="AE2327" s="5870">
        <v>0.2</v>
      </c>
      <c r="AF2327" s="2713">
        <f>M2325*AE2327</f>
        <v>31500</v>
      </c>
      <c r="AG2327" s="5123">
        <f>SUM(BA2327:BN2327)</f>
        <v>31500</v>
      </c>
      <c r="AH2327" s="3406"/>
      <c r="AI2327" s="5123"/>
      <c r="AJ2327" s="3812"/>
      <c r="AK2327" s="5123"/>
      <c r="AL2327" s="5123"/>
      <c r="AM2327" s="5123"/>
      <c r="AN2327" s="5123">
        <f t="shared" ref="AN2327:AN2336" si="504">SUM(BO2327:CB2327)</f>
        <v>0</v>
      </c>
      <c r="AO2327" s="5123"/>
      <c r="AP2327" s="3812">
        <f t="shared" si="503"/>
        <v>31500</v>
      </c>
      <c r="AQ2327" s="5122"/>
      <c r="AR2327" s="3524"/>
      <c r="AS2327" s="5129"/>
      <c r="AT2327" s="5122"/>
      <c r="AU2327" s="2680"/>
      <c r="AV2327" s="2680"/>
      <c r="AW2327" s="2680"/>
      <c r="AX2327" s="2680"/>
      <c r="AY2327" s="2680"/>
      <c r="AZ2327" s="2680"/>
      <c r="BA2327" s="5160"/>
      <c r="BB2327" s="5160"/>
      <c r="BC2327" s="5123"/>
      <c r="BD2327" s="5160"/>
      <c r="BE2327" s="5160"/>
      <c r="BF2327" s="5160"/>
      <c r="BG2327" s="5160"/>
      <c r="BH2327" s="5948"/>
      <c r="BI2327" s="5123"/>
      <c r="BJ2327" s="5123">
        <v>31500</v>
      </c>
      <c r="BK2327" s="5160"/>
      <c r="BL2327" s="5160"/>
      <c r="BM2327" s="5160"/>
      <c r="BN2327" s="5160"/>
      <c r="BO2327" s="5122"/>
      <c r="BP2327" s="5122"/>
      <c r="BQ2327" s="5122"/>
      <c r="BR2327" s="5122"/>
      <c r="BS2327" s="5122"/>
      <c r="BT2327" s="5160"/>
      <c r="BU2327" s="5160"/>
      <c r="BV2327" s="5862"/>
      <c r="BW2327" s="3812"/>
      <c r="BX2327" s="5123"/>
      <c r="BY2327" s="5122"/>
      <c r="BZ2327" s="5122"/>
      <c r="CA2327" s="5122"/>
      <c r="CB2327" s="5122"/>
      <c r="CC2327" s="3524"/>
      <c r="CD2327" s="3524"/>
      <c r="CE2327" s="5169"/>
      <c r="CF2327" s="5169"/>
      <c r="CG2327" s="5169"/>
      <c r="CH2327" s="5169"/>
    </row>
    <row r="2328" s="4965" customFormat="1" ht="76" spans="1:86">
      <c r="A2328" s="3524"/>
      <c r="B2328" s="5813"/>
      <c r="C2328" s="2713"/>
      <c r="D2328" s="3742"/>
      <c r="E2328" s="3742"/>
      <c r="F2328" s="3742"/>
      <c r="G2328" s="5818"/>
      <c r="H2328" s="3524"/>
      <c r="I2328" s="3409"/>
      <c r="J2328" s="3742"/>
      <c r="K2328" s="5818"/>
      <c r="L2328" s="3742"/>
      <c r="M2328" s="3742"/>
      <c r="N2328" s="2680"/>
      <c r="O2328" s="2680"/>
      <c r="P2328" s="2680"/>
      <c r="Q2328" s="2680"/>
      <c r="R2328" s="2680"/>
      <c r="S2328" s="2680"/>
      <c r="T2328" s="2680"/>
      <c r="U2328" s="2680"/>
      <c r="V2328" s="2680"/>
      <c r="W2328" s="2680"/>
      <c r="X2328" s="2680"/>
      <c r="Y2328" s="2680"/>
      <c r="Z2328" s="2680"/>
      <c r="AA2328" s="2680"/>
      <c r="AB2328" s="2680"/>
      <c r="AC2328" s="3524">
        <v>3</v>
      </c>
      <c r="AD2328" s="5241" t="s">
        <v>3977</v>
      </c>
      <c r="AE2328" s="5870">
        <v>0.1</v>
      </c>
      <c r="AF2328" s="2713">
        <f>M2325*AE2328</f>
        <v>15750</v>
      </c>
      <c r="AG2328" s="5123">
        <f>SUM(BA2328:BN2328)</f>
        <v>15750</v>
      </c>
      <c r="AH2328" s="3406"/>
      <c r="AI2328" s="5123"/>
      <c r="AJ2328" s="3812"/>
      <c r="AK2328" s="5123"/>
      <c r="AL2328" s="5123"/>
      <c r="AM2328" s="5123"/>
      <c r="AN2328" s="5123">
        <f t="shared" si="504"/>
        <v>0</v>
      </c>
      <c r="AO2328" s="5123"/>
      <c r="AP2328" s="3812">
        <f t="shared" si="503"/>
        <v>15750</v>
      </c>
      <c r="AQ2328" s="5122"/>
      <c r="AR2328" s="3524"/>
      <c r="AS2328" s="5129"/>
      <c r="AT2328" s="5122"/>
      <c r="AU2328" s="3524"/>
      <c r="AV2328" s="3524"/>
      <c r="AW2328" s="3524"/>
      <c r="AX2328" s="3524"/>
      <c r="AY2328" s="3524"/>
      <c r="AZ2328" s="3524"/>
      <c r="BA2328" s="5122"/>
      <c r="BB2328" s="5122"/>
      <c r="BC2328" s="3524"/>
      <c r="BD2328" s="5122"/>
      <c r="BE2328" s="5122"/>
      <c r="BF2328" s="5122"/>
      <c r="BG2328" s="5160"/>
      <c r="BH2328" s="5862"/>
      <c r="BI2328" s="5123"/>
      <c r="BJ2328" s="5123">
        <v>15750</v>
      </c>
      <c r="BK2328" s="5160"/>
      <c r="BL2328" s="5160"/>
      <c r="BM2328" s="5160"/>
      <c r="BN2328" s="5160"/>
      <c r="BO2328" s="5160"/>
      <c r="BP2328" s="5160"/>
      <c r="BQ2328" s="5160"/>
      <c r="BR2328" s="5160"/>
      <c r="BS2328" s="5160"/>
      <c r="BT2328" s="5160"/>
      <c r="BU2328" s="5160"/>
      <c r="BV2328" s="5948"/>
      <c r="BW2328" s="5160"/>
      <c r="BX2328" s="5123"/>
      <c r="BY2328" s="5122"/>
      <c r="BZ2328" s="5122"/>
      <c r="CA2328" s="5122"/>
      <c r="CB2328" s="5122"/>
      <c r="CC2328" s="3524"/>
      <c r="CD2328" s="3524"/>
      <c r="CE2328" s="5169"/>
      <c r="CF2328" s="5169"/>
      <c r="CG2328" s="5169"/>
      <c r="CH2328" s="5169"/>
    </row>
    <row r="2329" s="4980" customFormat="1" ht="50" customHeight="1" spans="1:86">
      <c r="A2329" s="2680">
        <v>25</v>
      </c>
      <c r="B2329" s="857" t="s">
        <v>690</v>
      </c>
      <c r="C2329" s="857">
        <v>45016</v>
      </c>
      <c r="D2329" s="1032" t="s">
        <v>3978</v>
      </c>
      <c r="E2329" s="1032" t="s">
        <v>3979</v>
      </c>
      <c r="F2329" s="1032" t="s">
        <v>3980</v>
      </c>
      <c r="G2329" s="1032" t="s">
        <v>3981</v>
      </c>
      <c r="H2329" s="3812" t="s">
        <v>193</v>
      </c>
      <c r="I2329" s="4840"/>
      <c r="J2329" s="1032" t="s">
        <v>3982</v>
      </c>
      <c r="K2329" s="1032">
        <v>91000</v>
      </c>
      <c r="L2329" s="1032" t="s">
        <v>3285</v>
      </c>
      <c r="M2329" s="5059">
        <f>SUM(N2329:AA2335)</f>
        <v>460000</v>
      </c>
      <c r="N2329" s="2680">
        <v>0</v>
      </c>
      <c r="O2329" s="2680">
        <v>0</v>
      </c>
      <c r="P2329" s="2680">
        <v>0</v>
      </c>
      <c r="Q2329" s="2680">
        <v>0</v>
      </c>
      <c r="R2329" s="2680">
        <v>0</v>
      </c>
      <c r="S2329" s="2680">
        <v>0</v>
      </c>
      <c r="T2329" s="5823">
        <v>0</v>
      </c>
      <c r="U2329" s="2680">
        <v>0</v>
      </c>
      <c r="V2329" s="2680">
        <v>460000</v>
      </c>
      <c r="W2329" s="2680">
        <v>0</v>
      </c>
      <c r="X2329" s="2680">
        <v>0</v>
      </c>
      <c r="Y2329" s="2680">
        <v>0</v>
      </c>
      <c r="Z2329" s="2680"/>
      <c r="AA2329" s="2680">
        <v>0</v>
      </c>
      <c r="AB2329" s="2680">
        <v>0</v>
      </c>
      <c r="AC2329" s="4840">
        <v>1</v>
      </c>
      <c r="AD2329" s="5073" t="s">
        <v>3983</v>
      </c>
      <c r="AE2329" s="5921">
        <v>0.4</v>
      </c>
      <c r="AF2329" s="3366">
        <f>M2329*AE2329</f>
        <v>184000</v>
      </c>
      <c r="AG2329" s="3812">
        <f>SUM(BA2329:BN2329)</f>
        <v>117171.2</v>
      </c>
      <c r="AH2329" s="857" t="s">
        <v>122</v>
      </c>
      <c r="AI2329" s="3812">
        <v>45140</v>
      </c>
      <c r="AJ2329" s="3812">
        <v>117171.2</v>
      </c>
      <c r="AK2329" s="3812">
        <v>45140</v>
      </c>
      <c r="AL2329" s="3812">
        <v>117171.2</v>
      </c>
      <c r="AM2329" s="3812">
        <v>45140</v>
      </c>
      <c r="AN2329" s="4840">
        <f t="shared" si="504"/>
        <v>117171.2</v>
      </c>
      <c r="AO2329" s="4840">
        <v>45153</v>
      </c>
      <c r="AP2329" s="3812">
        <f t="shared" si="503"/>
        <v>0</v>
      </c>
      <c r="AQ2329" s="5256" t="s">
        <v>3984</v>
      </c>
      <c r="AR2329" s="3812"/>
      <c r="AS2329" s="5242" t="s">
        <v>3985</v>
      </c>
      <c r="AT2329" s="5146"/>
      <c r="AU2329" s="2680">
        <f>SUM(AG2329:AG2335)</f>
        <v>414000</v>
      </c>
      <c r="AV2329" s="2680">
        <f>SUM(AL2329:AL2335)</f>
        <v>368257.45</v>
      </c>
      <c r="AW2329" s="2680">
        <f>SUM(AN2329:AN2335)</f>
        <v>414000</v>
      </c>
      <c r="AX2329" s="2680">
        <f>M2329-AU2329</f>
        <v>46000</v>
      </c>
      <c r="AY2329" s="2680">
        <f>AU2329-AV2329</f>
        <v>45742.55</v>
      </c>
      <c r="AZ2329" s="2680">
        <f>AV2329-AW2329</f>
        <v>-45742.55</v>
      </c>
      <c r="BA2329" s="5146"/>
      <c r="BB2329" s="5146"/>
      <c r="BC2329" s="3812"/>
      <c r="BD2329" s="5146"/>
      <c r="BE2329" s="5146"/>
      <c r="BF2329" s="5146"/>
      <c r="BG2329" s="5146"/>
      <c r="BH2329" s="5152"/>
      <c r="BI2329" s="3812">
        <v>117171.2</v>
      </c>
      <c r="BJ2329" s="3812"/>
      <c r="BK2329" s="5146"/>
      <c r="BL2329" s="5146"/>
      <c r="BM2329" s="5146"/>
      <c r="BN2329" s="5146"/>
      <c r="BO2329" s="5146"/>
      <c r="BP2329" s="5146"/>
      <c r="BQ2329" s="5146"/>
      <c r="BR2329" s="5146"/>
      <c r="BS2329" s="5146"/>
      <c r="BT2329" s="5146"/>
      <c r="BU2329" s="5146"/>
      <c r="BV2329" s="5152"/>
      <c r="BW2329" s="3812">
        <v>117171.2</v>
      </c>
      <c r="BX2329" s="5146"/>
      <c r="BY2329" s="5146"/>
      <c r="BZ2329" s="5146"/>
      <c r="CA2329" s="5146"/>
      <c r="CB2329" s="5146"/>
      <c r="CC2329" s="3812"/>
      <c r="CD2329" s="3812"/>
      <c r="CE2329" s="5154"/>
      <c r="CF2329" s="5154"/>
      <c r="CG2329" s="5154"/>
      <c r="CH2329" s="5154"/>
    </row>
    <row r="2330" s="4980" customFormat="1" ht="50" customHeight="1" spans="1:86">
      <c r="A2330" s="2680"/>
      <c r="B2330" s="857"/>
      <c r="C2330" s="857"/>
      <c r="D2330" s="1032"/>
      <c r="E2330" s="1032"/>
      <c r="F2330" s="1032"/>
      <c r="G2330" s="1032"/>
      <c r="H2330" s="3812"/>
      <c r="I2330" s="4841"/>
      <c r="J2330" s="1032"/>
      <c r="K2330" s="1032"/>
      <c r="L2330" s="1032"/>
      <c r="M2330" s="5059"/>
      <c r="N2330" s="2680"/>
      <c r="O2330" s="2680"/>
      <c r="P2330" s="2680"/>
      <c r="Q2330" s="2680"/>
      <c r="R2330" s="2680"/>
      <c r="S2330" s="2680"/>
      <c r="T2330" s="5823"/>
      <c r="U2330" s="2680"/>
      <c r="V2330" s="2680"/>
      <c r="W2330" s="2680"/>
      <c r="X2330" s="2680"/>
      <c r="Y2330" s="2680"/>
      <c r="Z2330" s="2680"/>
      <c r="AA2330" s="2680"/>
      <c r="AB2330" s="2680"/>
      <c r="AC2330" s="4841"/>
      <c r="AD2330" s="5205"/>
      <c r="AE2330" s="7108"/>
      <c r="AF2330" s="3408"/>
      <c r="AG2330" s="5248">
        <f>SUM(BA2330:BN2331)</f>
        <v>66828.8</v>
      </c>
      <c r="AH2330" s="7084" t="s">
        <v>122</v>
      </c>
      <c r="AI2330" s="5248">
        <v>45652</v>
      </c>
      <c r="AJ2330" s="5248">
        <v>66828.8</v>
      </c>
      <c r="AK2330" s="5248">
        <v>45652</v>
      </c>
      <c r="AL2330" s="3812">
        <v>52311.12</v>
      </c>
      <c r="AM2330" s="3812">
        <v>45880</v>
      </c>
      <c r="AN2330" s="4840">
        <f t="shared" si="504"/>
        <v>52311.12</v>
      </c>
      <c r="AO2330" s="4840">
        <v>45890</v>
      </c>
      <c r="AP2330" s="3812"/>
      <c r="AQ2330" s="5256"/>
      <c r="AR2330" s="3812"/>
      <c r="AS2330" s="5977"/>
      <c r="AT2330" s="5146"/>
      <c r="AU2330" s="2680"/>
      <c r="AV2330" s="2680"/>
      <c r="AW2330" s="2680"/>
      <c r="AX2330" s="2680"/>
      <c r="AY2330" s="2680"/>
      <c r="AZ2330" s="2680"/>
      <c r="BA2330" s="5146"/>
      <c r="BB2330" s="5146"/>
      <c r="BC2330" s="3812"/>
      <c r="BD2330" s="5146"/>
      <c r="BE2330" s="5146"/>
      <c r="BF2330" s="5146"/>
      <c r="BG2330" s="5146"/>
      <c r="BH2330" s="5152"/>
      <c r="BI2330" s="4840">
        <v>66828.8</v>
      </c>
      <c r="BJ2330" s="3812"/>
      <c r="BK2330" s="5146"/>
      <c r="BL2330" s="5146"/>
      <c r="BM2330" s="5146"/>
      <c r="BN2330" s="5146"/>
      <c r="BO2330" s="5146"/>
      <c r="BP2330" s="5146"/>
      <c r="BQ2330" s="5146"/>
      <c r="BR2330" s="5146"/>
      <c r="BS2330" s="5146"/>
      <c r="BT2330" s="5146"/>
      <c r="BU2330" s="5146"/>
      <c r="BV2330" s="5152"/>
      <c r="BW2330" s="3812">
        <v>52311.12</v>
      </c>
      <c r="BX2330" s="5146"/>
      <c r="BY2330" s="5146"/>
      <c r="BZ2330" s="5146"/>
      <c r="CA2330" s="5146"/>
      <c r="CB2330" s="5146"/>
      <c r="CC2330" s="3812"/>
      <c r="CD2330" s="3812"/>
      <c r="CE2330" s="5154"/>
      <c r="CF2330" s="5154"/>
      <c r="CG2330" s="5154"/>
      <c r="CH2330" s="5154"/>
    </row>
    <row r="2331" s="4980" customFormat="1" ht="50" customHeight="1" spans="1:86">
      <c r="A2331" s="2680"/>
      <c r="B2331" s="857"/>
      <c r="C2331" s="857"/>
      <c r="D2331" s="5059"/>
      <c r="E2331" s="5059"/>
      <c r="F2331" s="5059"/>
      <c r="G2331" s="1032"/>
      <c r="H2331" s="3812"/>
      <c r="I2331" s="4841"/>
      <c r="J2331" s="5059"/>
      <c r="K2331" s="1032"/>
      <c r="L2331" s="5059"/>
      <c r="M2331" s="5059"/>
      <c r="N2331" s="2680"/>
      <c r="O2331" s="2680"/>
      <c r="P2331" s="2680"/>
      <c r="Q2331" s="2680"/>
      <c r="R2331" s="2680"/>
      <c r="S2331" s="2680"/>
      <c r="T2331" s="2680"/>
      <c r="U2331" s="2680"/>
      <c r="V2331" s="2680"/>
      <c r="W2331" s="2680"/>
      <c r="X2331" s="2680"/>
      <c r="Y2331" s="2680"/>
      <c r="Z2331" s="2680"/>
      <c r="AA2331" s="2680"/>
      <c r="AB2331" s="2680"/>
      <c r="AC2331" s="4842"/>
      <c r="AD2331" s="5206"/>
      <c r="AE2331" s="5922"/>
      <c r="AF2331" s="3409"/>
      <c r="AG2331" s="5350"/>
      <c r="AH2331" s="7115"/>
      <c r="AI2331" s="5350"/>
      <c r="AJ2331" s="5350"/>
      <c r="AK2331" s="5350"/>
      <c r="AL2331" s="3812"/>
      <c r="AM2331" s="3812"/>
      <c r="AN2331" s="7117">
        <f t="shared" si="504"/>
        <v>14517.68</v>
      </c>
      <c r="AO2331" s="4815"/>
      <c r="AP2331" s="3812"/>
      <c r="AQ2331" s="5256"/>
      <c r="AR2331" s="3812"/>
      <c r="AS2331" s="5977"/>
      <c r="AT2331" s="5146"/>
      <c r="AU2331" s="2680"/>
      <c r="AV2331" s="2680"/>
      <c r="AW2331" s="2680"/>
      <c r="AX2331" s="2680"/>
      <c r="AY2331" s="2680"/>
      <c r="AZ2331" s="2680"/>
      <c r="BA2331" s="5146"/>
      <c r="BB2331" s="5146"/>
      <c r="BC2331" s="3812"/>
      <c r="BD2331" s="5146"/>
      <c r="BE2331" s="5146"/>
      <c r="BF2331" s="5146"/>
      <c r="BG2331" s="5146"/>
      <c r="BH2331" s="5152"/>
      <c r="BI2331" s="4842"/>
      <c r="BJ2331" s="3812"/>
      <c r="BK2331" s="5146"/>
      <c r="BL2331" s="5146"/>
      <c r="BM2331" s="5146"/>
      <c r="BN2331" s="5146"/>
      <c r="BO2331" s="5146"/>
      <c r="BP2331" s="5146"/>
      <c r="BQ2331" s="5146"/>
      <c r="BR2331" s="5146"/>
      <c r="BS2331" s="5146"/>
      <c r="BT2331" s="5146"/>
      <c r="BU2331" s="5146"/>
      <c r="BV2331" s="5152"/>
      <c r="BW2331" s="3812">
        <f>66828.8-BW2330</f>
        <v>14517.68</v>
      </c>
      <c r="BX2331" s="5146"/>
      <c r="BY2331" s="5146"/>
      <c r="BZ2331" s="5146"/>
      <c r="CA2331" s="5146"/>
      <c r="CB2331" s="5146"/>
      <c r="CC2331" s="3812"/>
      <c r="CD2331" s="3812"/>
      <c r="CE2331" s="5154"/>
      <c r="CF2331" s="5154"/>
      <c r="CG2331" s="5154"/>
      <c r="CH2331" s="5154"/>
    </row>
    <row r="2332" s="4980" customFormat="1" ht="92" spans="1:86">
      <c r="A2332" s="2680"/>
      <c r="B2332" s="857"/>
      <c r="C2332" s="857"/>
      <c r="D2332" s="5059"/>
      <c r="E2332" s="5059"/>
      <c r="F2332" s="5059"/>
      <c r="G2332" s="1032"/>
      <c r="H2332" s="3812"/>
      <c r="I2332" s="4841"/>
      <c r="J2332" s="5059"/>
      <c r="K2332" s="1032"/>
      <c r="L2332" s="5059"/>
      <c r="M2332" s="5059"/>
      <c r="N2332" s="2680"/>
      <c r="O2332" s="2680"/>
      <c r="P2332" s="2680"/>
      <c r="Q2332" s="2680"/>
      <c r="R2332" s="2680"/>
      <c r="S2332" s="2680"/>
      <c r="T2332" s="2680"/>
      <c r="U2332" s="2680"/>
      <c r="V2332" s="2680"/>
      <c r="W2332" s="2680"/>
      <c r="X2332" s="2680"/>
      <c r="Y2332" s="2680"/>
      <c r="Z2332" s="2680"/>
      <c r="AA2332" s="2680"/>
      <c r="AB2332" s="2680"/>
      <c r="AC2332" s="4840">
        <v>2</v>
      </c>
      <c r="AD2332" s="5073" t="s">
        <v>3986</v>
      </c>
      <c r="AE2332" s="5921">
        <v>0.5</v>
      </c>
      <c r="AF2332" s="3366">
        <f>M2329*AE2332</f>
        <v>230000</v>
      </c>
      <c r="AG2332" s="3812">
        <f>SUM(BA2332:BN2332)</f>
        <v>146464</v>
      </c>
      <c r="AH2332" s="857" t="s">
        <v>122</v>
      </c>
      <c r="AI2332" s="3812">
        <v>45140</v>
      </c>
      <c r="AJ2332" s="3812">
        <v>146464</v>
      </c>
      <c r="AK2332" s="3812">
        <v>45140</v>
      </c>
      <c r="AL2332" s="3812">
        <v>146464</v>
      </c>
      <c r="AM2332" s="4840">
        <v>45140</v>
      </c>
      <c r="AN2332" s="4840">
        <f t="shared" si="504"/>
        <v>146464</v>
      </c>
      <c r="AO2332" s="4842">
        <v>45153</v>
      </c>
      <c r="AP2332" s="3812">
        <f>AG2332-AN2332</f>
        <v>0</v>
      </c>
      <c r="AQ2332" s="5256"/>
      <c r="AR2332" s="3812"/>
      <c r="AS2332" s="5977" t="s">
        <v>3985</v>
      </c>
      <c r="AT2332" s="5146"/>
      <c r="AU2332" s="2680"/>
      <c r="AV2332" s="2680"/>
      <c r="AW2332" s="2680"/>
      <c r="AX2332" s="2680"/>
      <c r="AY2332" s="2680"/>
      <c r="AZ2332" s="2680"/>
      <c r="BA2332" s="5146"/>
      <c r="BB2332" s="5146"/>
      <c r="BC2332" s="3812"/>
      <c r="BD2332" s="5146"/>
      <c r="BE2332" s="5146"/>
      <c r="BF2332" s="5146"/>
      <c r="BG2332" s="5146"/>
      <c r="BH2332" s="5152"/>
      <c r="BI2332" s="3812">
        <v>146464</v>
      </c>
      <c r="BJ2332" s="3812"/>
      <c r="BK2332" s="5146"/>
      <c r="BL2332" s="5146"/>
      <c r="BM2332" s="5146"/>
      <c r="BN2332" s="5146"/>
      <c r="BO2332" s="5146"/>
      <c r="BP2332" s="5146"/>
      <c r="BQ2332" s="5146"/>
      <c r="BR2332" s="5146"/>
      <c r="BS2332" s="5146"/>
      <c r="BT2332" s="5146"/>
      <c r="BU2332" s="5146"/>
      <c r="BV2332" s="5152"/>
      <c r="BW2332" s="3812">
        <v>146464</v>
      </c>
      <c r="BX2332" s="5146"/>
      <c r="BY2332" s="5146"/>
      <c r="BZ2332" s="5146"/>
      <c r="CA2332" s="5146"/>
      <c r="CB2332" s="5146"/>
      <c r="CC2332" s="3812"/>
      <c r="CD2332" s="3812"/>
      <c r="CE2332" s="5154"/>
      <c r="CF2332" s="5154"/>
      <c r="CG2332" s="5154"/>
      <c r="CH2332" s="5154"/>
    </row>
    <row r="2333" s="4980" customFormat="1" ht="46.5" customHeight="1" spans="1:86">
      <c r="A2333" s="2680"/>
      <c r="B2333" s="857"/>
      <c r="C2333" s="857"/>
      <c r="D2333" s="5059"/>
      <c r="E2333" s="5059"/>
      <c r="F2333" s="5059"/>
      <c r="G2333" s="1032"/>
      <c r="H2333" s="3812"/>
      <c r="I2333" s="4841"/>
      <c r="J2333" s="5059"/>
      <c r="K2333" s="1032"/>
      <c r="L2333" s="5059"/>
      <c r="M2333" s="5059"/>
      <c r="N2333" s="2680"/>
      <c r="O2333" s="2680"/>
      <c r="P2333" s="2680"/>
      <c r="Q2333" s="2680"/>
      <c r="R2333" s="2680"/>
      <c r="S2333" s="2680"/>
      <c r="T2333" s="2680"/>
      <c r="U2333" s="2680"/>
      <c r="V2333" s="2680"/>
      <c r="W2333" s="2680"/>
      <c r="X2333" s="2680"/>
      <c r="Y2333" s="2680"/>
      <c r="Z2333" s="2680"/>
      <c r="AA2333" s="2680"/>
      <c r="AB2333" s="2680"/>
      <c r="AC2333" s="4841"/>
      <c r="AD2333" s="5205"/>
      <c r="AE2333" s="7108"/>
      <c r="AF2333" s="3408"/>
      <c r="AG2333" s="5248">
        <f>SUM(BA2333:BN2334)</f>
        <v>83536</v>
      </c>
      <c r="AH2333" s="7084" t="s">
        <v>122</v>
      </c>
      <c r="AI2333" s="5248">
        <v>45652</v>
      </c>
      <c r="AJ2333" s="5248">
        <v>83536</v>
      </c>
      <c r="AK2333" s="5248">
        <v>45652</v>
      </c>
      <c r="AL2333" s="3812">
        <v>52311.13</v>
      </c>
      <c r="AM2333" s="4840">
        <v>45880</v>
      </c>
      <c r="AN2333" s="4840">
        <f t="shared" si="504"/>
        <v>52311.13</v>
      </c>
      <c r="AO2333" s="4842">
        <v>45890</v>
      </c>
      <c r="AP2333" s="3812"/>
      <c r="AQ2333" s="5256"/>
      <c r="AR2333" s="3812"/>
      <c r="AS2333" s="5977"/>
      <c r="AT2333" s="5146"/>
      <c r="AU2333" s="2680"/>
      <c r="AV2333" s="2680"/>
      <c r="AW2333" s="2680"/>
      <c r="AX2333" s="2680"/>
      <c r="AY2333" s="2680"/>
      <c r="AZ2333" s="2680"/>
      <c r="BA2333" s="5146"/>
      <c r="BB2333" s="5146"/>
      <c r="BC2333" s="3812"/>
      <c r="BD2333" s="5146"/>
      <c r="BE2333" s="5146"/>
      <c r="BF2333" s="5146"/>
      <c r="BG2333" s="5146"/>
      <c r="BH2333" s="5152"/>
      <c r="BI2333" s="4840">
        <v>83536</v>
      </c>
      <c r="BJ2333" s="3812"/>
      <c r="BK2333" s="5146"/>
      <c r="BL2333" s="5146"/>
      <c r="BM2333" s="5146"/>
      <c r="BN2333" s="5146"/>
      <c r="BO2333" s="5146"/>
      <c r="BP2333" s="5146"/>
      <c r="BQ2333" s="5146"/>
      <c r="BR2333" s="5146"/>
      <c r="BS2333" s="5146"/>
      <c r="BT2333" s="5146"/>
      <c r="BU2333" s="5146"/>
      <c r="BV2333" s="5152"/>
      <c r="BW2333" s="3812">
        <v>52311.13</v>
      </c>
      <c r="BX2333" s="5146"/>
      <c r="BY2333" s="5146"/>
      <c r="BZ2333" s="5146"/>
      <c r="CA2333" s="5146"/>
      <c r="CB2333" s="5146"/>
      <c r="CC2333" s="3812"/>
      <c r="CD2333" s="3812"/>
      <c r="CE2333" s="5154"/>
      <c r="CF2333" s="5154"/>
      <c r="CG2333" s="5154"/>
      <c r="CH2333" s="5154"/>
    </row>
    <row r="2334" s="4980" customFormat="1" ht="47.25" customHeight="1" spans="1:86">
      <c r="A2334" s="3524"/>
      <c r="B2334" s="857"/>
      <c r="C2334" s="857"/>
      <c r="D2334" s="5059"/>
      <c r="E2334" s="5059"/>
      <c r="F2334" s="5059"/>
      <c r="G2334" s="1032"/>
      <c r="H2334" s="3812"/>
      <c r="I2334" s="4841"/>
      <c r="J2334" s="5059"/>
      <c r="K2334" s="1032"/>
      <c r="L2334" s="5059"/>
      <c r="M2334" s="5059"/>
      <c r="N2334" s="2680"/>
      <c r="O2334" s="2680"/>
      <c r="P2334" s="2680"/>
      <c r="Q2334" s="2680"/>
      <c r="R2334" s="2680"/>
      <c r="S2334" s="2680"/>
      <c r="T2334" s="2680"/>
      <c r="U2334" s="2680"/>
      <c r="V2334" s="2680"/>
      <c r="W2334" s="2680"/>
      <c r="X2334" s="2680"/>
      <c r="Y2334" s="2680"/>
      <c r="Z2334" s="2680"/>
      <c r="AA2334" s="2680"/>
      <c r="AB2334" s="2680"/>
      <c r="AC2334" s="4842"/>
      <c r="AD2334" s="5206"/>
      <c r="AE2334" s="5922"/>
      <c r="AF2334" s="3409"/>
      <c r="AG2334" s="5350"/>
      <c r="AH2334" s="7115"/>
      <c r="AI2334" s="5350"/>
      <c r="AJ2334" s="5350"/>
      <c r="AK2334" s="5350"/>
      <c r="AL2334" s="3812"/>
      <c r="AM2334" s="4840"/>
      <c r="AN2334" s="7117">
        <f t="shared" si="504"/>
        <v>31224.87</v>
      </c>
      <c r="AO2334" s="4815"/>
      <c r="AP2334" s="3812"/>
      <c r="AQ2334" s="5146"/>
      <c r="AR2334" s="3812"/>
      <c r="AS2334" s="5942"/>
      <c r="AT2334" s="5146"/>
      <c r="AU2334" s="3524"/>
      <c r="AV2334" s="3524"/>
      <c r="AW2334" s="3524"/>
      <c r="AX2334" s="3524"/>
      <c r="AY2334" s="3524"/>
      <c r="AZ2334" s="3524"/>
      <c r="BA2334" s="5146"/>
      <c r="BB2334" s="5146"/>
      <c r="BC2334" s="3812"/>
      <c r="BD2334" s="5146"/>
      <c r="BE2334" s="5146"/>
      <c r="BF2334" s="5146"/>
      <c r="BG2334" s="5146"/>
      <c r="BH2334" s="5152"/>
      <c r="BI2334" s="4842"/>
      <c r="BJ2334" s="3812"/>
      <c r="BK2334" s="5146"/>
      <c r="BL2334" s="5146"/>
      <c r="BM2334" s="5146"/>
      <c r="BN2334" s="5146"/>
      <c r="BO2334" s="5146"/>
      <c r="BP2334" s="5146"/>
      <c r="BQ2334" s="5146"/>
      <c r="BR2334" s="5146"/>
      <c r="BS2334" s="5146"/>
      <c r="BT2334" s="5146"/>
      <c r="BU2334" s="5146"/>
      <c r="BV2334" s="5152"/>
      <c r="BW2334" s="3812">
        <f>83536-BW2333</f>
        <v>31224.87</v>
      </c>
      <c r="BX2334" s="5146"/>
      <c r="BY2334" s="5146"/>
      <c r="BZ2334" s="5146"/>
      <c r="CA2334" s="5146"/>
      <c r="CB2334" s="5146"/>
      <c r="CC2334" s="3812"/>
      <c r="CD2334" s="3812"/>
      <c r="CE2334" s="5154"/>
      <c r="CF2334" s="5154"/>
      <c r="CG2334" s="5154"/>
      <c r="CH2334" s="5154"/>
    </row>
    <row r="2335" s="4980" customFormat="1" ht="42" customHeight="1" spans="1:86">
      <c r="A2335" s="3524"/>
      <c r="B2335" s="857"/>
      <c r="C2335" s="857"/>
      <c r="D2335" s="5059"/>
      <c r="E2335" s="5059"/>
      <c r="F2335" s="5059"/>
      <c r="G2335" s="1032"/>
      <c r="H2335" s="3812"/>
      <c r="I2335" s="4842"/>
      <c r="J2335" s="5059"/>
      <c r="K2335" s="1032"/>
      <c r="L2335" s="5059"/>
      <c r="M2335" s="5059"/>
      <c r="N2335" s="2680"/>
      <c r="O2335" s="2680"/>
      <c r="P2335" s="2680"/>
      <c r="Q2335" s="2680"/>
      <c r="R2335" s="2680"/>
      <c r="S2335" s="2680"/>
      <c r="T2335" s="2680"/>
      <c r="U2335" s="2680"/>
      <c r="V2335" s="2680"/>
      <c r="W2335" s="2680"/>
      <c r="X2335" s="2680"/>
      <c r="Y2335" s="2680"/>
      <c r="Z2335" s="2680"/>
      <c r="AA2335" s="2680"/>
      <c r="AB2335" s="2680"/>
      <c r="AC2335" s="3812">
        <v>3</v>
      </c>
      <c r="AD2335" s="5241" t="s">
        <v>3987</v>
      </c>
      <c r="AE2335" s="5878">
        <v>0.1</v>
      </c>
      <c r="AF2335" s="857">
        <f>M2329*AE2335</f>
        <v>46000</v>
      </c>
      <c r="AG2335" s="3812">
        <f t="shared" ref="AG2335:AG2345" si="505">SUM(BA2335:BN2335)</f>
        <v>0</v>
      </c>
      <c r="AH2335" s="857"/>
      <c r="AI2335" s="3812"/>
      <c r="AJ2335" s="3812"/>
      <c r="AK2335" s="3812"/>
      <c r="AL2335" s="3812"/>
      <c r="AM2335" s="3812"/>
      <c r="AN2335" s="3812">
        <f t="shared" si="504"/>
        <v>0</v>
      </c>
      <c r="AO2335" s="3812"/>
      <c r="AP2335" s="3812">
        <f>AG2335-AN2335</f>
        <v>0</v>
      </c>
      <c r="AQ2335" s="5146"/>
      <c r="AR2335" s="3812"/>
      <c r="AS2335" s="5833"/>
      <c r="AT2335" s="5146"/>
      <c r="AU2335" s="3524"/>
      <c r="AV2335" s="3524"/>
      <c r="AW2335" s="3524"/>
      <c r="AX2335" s="3524"/>
      <c r="AY2335" s="3524"/>
      <c r="AZ2335" s="3524"/>
      <c r="BA2335" s="5146"/>
      <c r="BB2335" s="5146"/>
      <c r="BC2335" s="3812"/>
      <c r="BD2335" s="5146"/>
      <c r="BE2335" s="5146"/>
      <c r="BF2335" s="5146"/>
      <c r="BG2335" s="5146"/>
      <c r="BH2335" s="5152"/>
      <c r="BI2335" s="3812"/>
      <c r="BJ2335" s="3812"/>
      <c r="BK2335" s="5146"/>
      <c r="BL2335" s="5146"/>
      <c r="BM2335" s="5146"/>
      <c r="BN2335" s="5146"/>
      <c r="BO2335" s="5146"/>
      <c r="BP2335" s="5146"/>
      <c r="BQ2335" s="5146"/>
      <c r="BR2335" s="5146"/>
      <c r="BS2335" s="5146"/>
      <c r="BT2335" s="5146"/>
      <c r="BU2335" s="5146"/>
      <c r="BV2335" s="5152"/>
      <c r="BW2335" s="5146"/>
      <c r="BX2335" s="5146"/>
      <c r="BY2335" s="5146"/>
      <c r="BZ2335" s="5146"/>
      <c r="CA2335" s="5146"/>
      <c r="CB2335" s="5146"/>
      <c r="CC2335" s="3812"/>
      <c r="CD2335" s="3812"/>
      <c r="CE2335" s="5154"/>
      <c r="CF2335" s="5154"/>
      <c r="CG2335" s="5154"/>
      <c r="CH2335" s="5154"/>
    </row>
    <row r="2336" s="4980" customFormat="1" ht="26.25" customHeight="1" spans="1:86">
      <c r="A2336" s="2680">
        <v>25</v>
      </c>
      <c r="B2336" s="857" t="s">
        <v>690</v>
      </c>
      <c r="C2336" s="857">
        <v>45174</v>
      </c>
      <c r="D2336" s="1032" t="s">
        <v>3988</v>
      </c>
      <c r="E2336" s="1032" t="s">
        <v>3989</v>
      </c>
      <c r="F2336" s="1032" t="s">
        <v>3990</v>
      </c>
      <c r="G2336" s="1032" t="s">
        <v>3991</v>
      </c>
      <c r="H2336" s="857" t="s">
        <v>813</v>
      </c>
      <c r="I2336" s="3366"/>
      <c r="J2336" s="1032" t="s">
        <v>3982</v>
      </c>
      <c r="K2336" s="1032">
        <v>3277.01</v>
      </c>
      <c r="L2336" s="1032" t="s">
        <v>3285</v>
      </c>
      <c r="M2336" s="5059">
        <f>SUM(N2336:AA2344)</f>
        <v>390000</v>
      </c>
      <c r="N2336" s="2680">
        <v>0</v>
      </c>
      <c r="O2336" s="2680">
        <v>0</v>
      </c>
      <c r="P2336" s="2680">
        <v>0</v>
      </c>
      <c r="Q2336" s="2680">
        <v>0</v>
      </c>
      <c r="R2336" s="2680">
        <v>0</v>
      </c>
      <c r="S2336" s="2680">
        <v>0</v>
      </c>
      <c r="T2336" s="5823">
        <v>0</v>
      </c>
      <c r="U2336" s="2680">
        <v>0</v>
      </c>
      <c r="V2336" s="2680">
        <v>0</v>
      </c>
      <c r="W2336" s="2680">
        <v>0</v>
      </c>
      <c r="X2336" s="2680">
        <v>0</v>
      </c>
      <c r="Y2336" s="3925">
        <v>390000</v>
      </c>
      <c r="Z2336" s="3925"/>
      <c r="AA2336" s="2680">
        <v>0</v>
      </c>
      <c r="AB2336" s="2680">
        <v>0</v>
      </c>
      <c r="AC2336" s="3366" t="s">
        <v>373</v>
      </c>
      <c r="AD2336" s="5242" t="s">
        <v>3992</v>
      </c>
      <c r="AE2336" s="5921">
        <v>0.2</v>
      </c>
      <c r="AF2336" s="3366">
        <f>(217709.7+118328.16)*0.2</f>
        <v>67207.572</v>
      </c>
      <c r="AG2336" s="3812">
        <f t="shared" si="505"/>
        <v>43540</v>
      </c>
      <c r="AH2336" s="857" t="s">
        <v>122</v>
      </c>
      <c r="AI2336" s="3812">
        <v>45261</v>
      </c>
      <c r="AJ2336" s="3812">
        <v>43540</v>
      </c>
      <c r="AK2336" s="3812">
        <v>45261</v>
      </c>
      <c r="AL2336" s="857">
        <v>43540</v>
      </c>
      <c r="AM2336" s="3812">
        <v>45261</v>
      </c>
      <c r="AN2336" s="3812">
        <f t="shared" si="504"/>
        <v>43540</v>
      </c>
      <c r="AO2336" s="3812">
        <v>45288</v>
      </c>
      <c r="AP2336" s="3812">
        <f>AG2336-AN2336</f>
        <v>0</v>
      </c>
      <c r="AQ2336" s="5256" t="s">
        <v>3993</v>
      </c>
      <c r="AR2336" s="3812"/>
      <c r="AS2336" s="5241"/>
      <c r="AT2336" s="5146"/>
      <c r="AU2336" s="2680">
        <f>SUM(AG2336:AG2344)</f>
        <v>232827.57</v>
      </c>
      <c r="AV2336" s="2680">
        <f>SUM(AL2336:AL2344)</f>
        <v>108850</v>
      </c>
      <c r="AW2336" s="2680">
        <f>SUM(AN2336:AN2344)</f>
        <v>108850</v>
      </c>
      <c r="AX2336" s="2680">
        <f>M2336-AU2336</f>
        <v>157172.43</v>
      </c>
      <c r="AY2336" s="2680">
        <f>AU2336-AV2336</f>
        <v>123977.57</v>
      </c>
      <c r="AZ2336" s="2680">
        <f>AV2336-AW2336</f>
        <v>0</v>
      </c>
      <c r="BA2336" s="5146"/>
      <c r="BB2336" s="5146"/>
      <c r="BC2336" s="3812"/>
      <c r="BD2336" s="5146"/>
      <c r="BE2336" s="5146"/>
      <c r="BF2336" s="5146"/>
      <c r="BG2336" s="5123"/>
      <c r="BH2336" s="5152"/>
      <c r="BI2336" s="3812"/>
      <c r="BJ2336" s="3812"/>
      <c r="BK2336" s="5146"/>
      <c r="BL2336" s="3812">
        <v>43540</v>
      </c>
      <c r="BM2336" s="3812"/>
      <c r="BN2336" s="5146"/>
      <c r="BO2336" s="5146"/>
      <c r="BP2336" s="5146"/>
      <c r="BQ2336" s="5146"/>
      <c r="BR2336" s="5146"/>
      <c r="BS2336" s="5146"/>
      <c r="BT2336" s="5146"/>
      <c r="BU2336" s="5146"/>
      <c r="BV2336" s="5152"/>
      <c r="BW2336" s="4840"/>
      <c r="BX2336" s="5146"/>
      <c r="BY2336" s="5146"/>
      <c r="BZ2336" s="3812">
        <v>43540</v>
      </c>
      <c r="CA2336" s="3812"/>
      <c r="CB2336" s="5146"/>
      <c r="CC2336" s="3812"/>
      <c r="CD2336" s="3812"/>
      <c r="CE2336" s="5154"/>
      <c r="CF2336" s="5154"/>
      <c r="CG2336" s="5154"/>
      <c r="CH2336" s="5154"/>
    </row>
    <row r="2337" s="4980" customFormat="1" ht="26.25" customHeight="1" spans="1:86">
      <c r="A2337" s="2680"/>
      <c r="B2337" s="857"/>
      <c r="C2337" s="857"/>
      <c r="D2337" s="5059"/>
      <c r="E2337" s="5059"/>
      <c r="F2337" s="5059"/>
      <c r="G2337" s="1032"/>
      <c r="H2337" s="3812"/>
      <c r="I2337" s="3408"/>
      <c r="J2337" s="5059"/>
      <c r="K2337" s="1032"/>
      <c r="L2337" s="5059"/>
      <c r="M2337" s="5059"/>
      <c r="N2337" s="2680"/>
      <c r="O2337" s="2680"/>
      <c r="P2337" s="2680"/>
      <c r="Q2337" s="2680"/>
      <c r="R2337" s="2680"/>
      <c r="S2337" s="2680"/>
      <c r="T2337" s="2680"/>
      <c r="U2337" s="2680"/>
      <c r="V2337" s="2680"/>
      <c r="W2337" s="2680"/>
      <c r="X2337" s="2680"/>
      <c r="Y2337" s="4026"/>
      <c r="Z2337" s="4026"/>
      <c r="AA2337" s="2680"/>
      <c r="AB2337" s="2680"/>
      <c r="AC2337" s="3409"/>
      <c r="AD2337" s="5942"/>
      <c r="AE2337" s="5922"/>
      <c r="AF2337" s="3409"/>
      <c r="AG2337" s="5123">
        <f t="shared" si="505"/>
        <v>23667.57</v>
      </c>
      <c r="AH2337" s="5345" t="s">
        <v>349</v>
      </c>
      <c r="AI2337" s="5258"/>
      <c r="AJ2337" s="3812"/>
      <c r="AK2337" s="3812"/>
      <c r="AL2337" s="857"/>
      <c r="AM2337" s="3812"/>
      <c r="AN2337" s="3812"/>
      <c r="AO2337" s="3812"/>
      <c r="AP2337" s="3812"/>
      <c r="AQ2337" s="5256"/>
      <c r="AR2337" s="3812"/>
      <c r="AS2337" s="5241"/>
      <c r="AT2337" s="5146"/>
      <c r="AU2337" s="2680"/>
      <c r="AV2337" s="2680"/>
      <c r="AW2337" s="2680"/>
      <c r="AX2337" s="2680"/>
      <c r="AY2337" s="2680"/>
      <c r="AZ2337" s="2680"/>
      <c r="BA2337" s="5146"/>
      <c r="BB2337" s="5146"/>
      <c r="BC2337" s="3812"/>
      <c r="BD2337" s="5146"/>
      <c r="BE2337" s="5146"/>
      <c r="BF2337" s="5146"/>
      <c r="BG2337" s="5123"/>
      <c r="BH2337" s="5152"/>
      <c r="BI2337" s="3812"/>
      <c r="BJ2337" s="3812"/>
      <c r="BK2337" s="5146"/>
      <c r="BL2337" s="5123">
        <v>23667.57</v>
      </c>
      <c r="BM2337" s="5123"/>
      <c r="BN2337" s="5146"/>
      <c r="BO2337" s="5146"/>
      <c r="BP2337" s="5146"/>
      <c r="BQ2337" s="5146"/>
      <c r="BR2337" s="5146"/>
      <c r="BS2337" s="5146"/>
      <c r="BT2337" s="5146"/>
      <c r="BU2337" s="5146"/>
      <c r="BV2337" s="5152"/>
      <c r="BW2337" s="4840"/>
      <c r="BX2337" s="5146"/>
      <c r="BY2337" s="5146"/>
      <c r="BZ2337" s="3812"/>
      <c r="CA2337" s="3812"/>
      <c r="CB2337" s="5146"/>
      <c r="CC2337" s="3812"/>
      <c r="CD2337" s="3812"/>
      <c r="CE2337" s="5154"/>
      <c r="CF2337" s="5154"/>
      <c r="CG2337" s="5154"/>
      <c r="CH2337" s="5154"/>
    </row>
    <row r="2338" s="4980" customFormat="1" ht="26.25" customHeight="1" spans="1:86">
      <c r="A2338" s="2680"/>
      <c r="B2338" s="857"/>
      <c r="C2338" s="857"/>
      <c r="D2338" s="5059"/>
      <c r="E2338" s="5059"/>
      <c r="F2338" s="5059"/>
      <c r="G2338" s="1032"/>
      <c r="H2338" s="3812"/>
      <c r="I2338" s="3408"/>
      <c r="J2338" s="5059"/>
      <c r="K2338" s="1032"/>
      <c r="L2338" s="5059"/>
      <c r="M2338" s="5059"/>
      <c r="N2338" s="2680"/>
      <c r="O2338" s="2680"/>
      <c r="P2338" s="2680"/>
      <c r="Q2338" s="2680"/>
      <c r="R2338" s="2680"/>
      <c r="S2338" s="2680"/>
      <c r="T2338" s="2680"/>
      <c r="U2338" s="2680"/>
      <c r="V2338" s="2680"/>
      <c r="W2338" s="2680"/>
      <c r="X2338" s="2680"/>
      <c r="Y2338" s="4026"/>
      <c r="Z2338" s="4026"/>
      <c r="AA2338" s="2680"/>
      <c r="AB2338" s="2680"/>
      <c r="AC2338" s="3366" t="s">
        <v>375</v>
      </c>
      <c r="AD2338" s="5242" t="s">
        <v>3994</v>
      </c>
      <c r="AE2338" s="5921">
        <v>0.3</v>
      </c>
      <c r="AF2338" s="3366">
        <f>(217709.7+118328.16)*0.3</f>
        <v>100811.358</v>
      </c>
      <c r="AG2338" s="3812">
        <f t="shared" si="505"/>
        <v>65310</v>
      </c>
      <c r="AH2338" s="857" t="s">
        <v>122</v>
      </c>
      <c r="AI2338" s="3812">
        <v>45261</v>
      </c>
      <c r="AJ2338" s="3812">
        <v>65310</v>
      </c>
      <c r="AK2338" s="3812">
        <v>45261</v>
      </c>
      <c r="AL2338" s="857">
        <v>65310</v>
      </c>
      <c r="AM2338" s="3812">
        <v>45261</v>
      </c>
      <c r="AN2338" s="3812">
        <f>SUM(BO2338:CB2338)</f>
        <v>65310</v>
      </c>
      <c r="AO2338" s="3812">
        <v>45288</v>
      </c>
      <c r="AP2338" s="3812">
        <f>AG2338-AN2338</f>
        <v>0</v>
      </c>
      <c r="AQ2338" s="5256" t="s">
        <v>3993</v>
      </c>
      <c r="AR2338" s="3812"/>
      <c r="AS2338" s="5241"/>
      <c r="AT2338" s="5146"/>
      <c r="AU2338" s="2680"/>
      <c r="AV2338" s="2680"/>
      <c r="AW2338" s="2680"/>
      <c r="AX2338" s="2680"/>
      <c r="AY2338" s="2680"/>
      <c r="AZ2338" s="2680"/>
      <c r="BA2338" s="5146"/>
      <c r="BB2338" s="5146"/>
      <c r="BC2338" s="3812"/>
      <c r="BD2338" s="5146"/>
      <c r="BE2338" s="5146"/>
      <c r="BF2338" s="5146"/>
      <c r="BG2338" s="5123"/>
      <c r="BH2338" s="5152"/>
      <c r="BI2338" s="3812"/>
      <c r="BJ2338" s="3812"/>
      <c r="BK2338" s="5146"/>
      <c r="BL2338" s="3812">
        <v>65310</v>
      </c>
      <c r="BM2338" s="3812"/>
      <c r="BN2338" s="5146"/>
      <c r="BO2338" s="5146"/>
      <c r="BP2338" s="5146"/>
      <c r="BQ2338" s="5146"/>
      <c r="BR2338" s="5146"/>
      <c r="BS2338" s="5146"/>
      <c r="BT2338" s="5146"/>
      <c r="BU2338" s="5146"/>
      <c r="BV2338" s="5152"/>
      <c r="BW2338" s="3812"/>
      <c r="BX2338" s="5146"/>
      <c r="BY2338" s="5146"/>
      <c r="BZ2338" s="3812">
        <v>65310</v>
      </c>
      <c r="CA2338" s="3812"/>
      <c r="CB2338" s="5146"/>
      <c r="CC2338" s="3812"/>
      <c r="CD2338" s="3812"/>
      <c r="CE2338" s="5154"/>
      <c r="CF2338" s="5154"/>
      <c r="CG2338" s="5154"/>
      <c r="CH2338" s="5154"/>
    </row>
    <row r="2339" s="4980" customFormat="1" ht="26.25" customHeight="1" spans="1:86">
      <c r="A2339" s="2680"/>
      <c r="B2339" s="857"/>
      <c r="C2339" s="857"/>
      <c r="D2339" s="5059"/>
      <c r="E2339" s="5059"/>
      <c r="F2339" s="5059"/>
      <c r="G2339" s="1032"/>
      <c r="H2339" s="3812"/>
      <c r="I2339" s="3408"/>
      <c r="J2339" s="5059"/>
      <c r="K2339" s="1032"/>
      <c r="L2339" s="5059"/>
      <c r="M2339" s="5059"/>
      <c r="N2339" s="2680"/>
      <c r="O2339" s="2680"/>
      <c r="P2339" s="2680"/>
      <c r="Q2339" s="2680"/>
      <c r="R2339" s="2680"/>
      <c r="S2339" s="2680"/>
      <c r="T2339" s="2680"/>
      <c r="U2339" s="2680"/>
      <c r="V2339" s="2680"/>
      <c r="W2339" s="2680"/>
      <c r="X2339" s="2680"/>
      <c r="Y2339" s="4026"/>
      <c r="Z2339" s="4026"/>
      <c r="AA2339" s="2680"/>
      <c r="AB2339" s="2680"/>
      <c r="AC2339" s="3409"/>
      <c r="AD2339" s="5942"/>
      <c r="AE2339" s="5922"/>
      <c r="AF2339" s="3409"/>
      <c r="AG2339" s="3812">
        <f t="shared" si="505"/>
        <v>0</v>
      </c>
      <c r="AH2339" s="3406"/>
      <c r="AI2339" s="5123"/>
      <c r="AJ2339" s="3812"/>
      <c r="AK2339" s="3812"/>
      <c r="AL2339" s="857"/>
      <c r="AM2339" s="3812"/>
      <c r="AN2339" s="3812">
        <f>SUM(BO2339:CB2339)</f>
        <v>0</v>
      </c>
      <c r="AO2339" s="3812"/>
      <c r="AP2339" s="3812"/>
      <c r="AQ2339" s="5256"/>
      <c r="AR2339" s="3812"/>
      <c r="AS2339" s="7123"/>
      <c r="AT2339" s="5146"/>
      <c r="AU2339" s="2680"/>
      <c r="AV2339" s="2680"/>
      <c r="AW2339" s="2680"/>
      <c r="AX2339" s="2680"/>
      <c r="AY2339" s="2680"/>
      <c r="AZ2339" s="2680"/>
      <c r="BA2339" s="5146"/>
      <c r="BB2339" s="5146"/>
      <c r="BC2339" s="3812"/>
      <c r="BD2339" s="5146"/>
      <c r="BE2339" s="5146"/>
      <c r="BF2339" s="5146"/>
      <c r="BG2339" s="5146"/>
      <c r="BH2339" s="5152"/>
      <c r="BI2339" s="3812"/>
      <c r="BJ2339" s="3812"/>
      <c r="BK2339" s="5146"/>
      <c r="BL2339" s="5146"/>
      <c r="BM2339" s="5146"/>
      <c r="BN2339" s="5146"/>
      <c r="BO2339" s="5146"/>
      <c r="BP2339" s="5146"/>
      <c r="BQ2339" s="5146"/>
      <c r="BR2339" s="5146"/>
      <c r="BS2339" s="5146"/>
      <c r="BT2339" s="5146"/>
      <c r="BU2339" s="5146"/>
      <c r="BV2339" s="5152"/>
      <c r="BW2339" s="4842"/>
      <c r="BX2339" s="5146"/>
      <c r="BY2339" s="5146"/>
      <c r="BZ2339" s="5146"/>
      <c r="CA2339" s="5146"/>
      <c r="CB2339" s="5146"/>
      <c r="CC2339" s="3812"/>
      <c r="CD2339" s="3812"/>
      <c r="CE2339" s="5154"/>
      <c r="CF2339" s="5154"/>
      <c r="CG2339" s="5154"/>
      <c r="CH2339" s="5154"/>
    </row>
    <row r="2340" s="4980" customFormat="1" ht="36" customHeight="1" spans="1:86">
      <c r="A2340" s="2680"/>
      <c r="B2340" s="857"/>
      <c r="C2340" s="857"/>
      <c r="D2340" s="5059"/>
      <c r="E2340" s="5059"/>
      <c r="F2340" s="5059"/>
      <c r="G2340" s="1032"/>
      <c r="H2340" s="3812"/>
      <c r="I2340" s="3408"/>
      <c r="J2340" s="5059"/>
      <c r="K2340" s="1032"/>
      <c r="L2340" s="5059"/>
      <c r="M2340" s="5059"/>
      <c r="N2340" s="2680"/>
      <c r="O2340" s="2680"/>
      <c r="P2340" s="2680"/>
      <c r="Q2340" s="2680"/>
      <c r="R2340" s="2680"/>
      <c r="S2340" s="2680"/>
      <c r="T2340" s="2680"/>
      <c r="U2340" s="2680"/>
      <c r="V2340" s="2680"/>
      <c r="W2340" s="2680"/>
      <c r="X2340" s="2680"/>
      <c r="Y2340" s="4026"/>
      <c r="Z2340" s="4026"/>
      <c r="AA2340" s="2680"/>
      <c r="AB2340" s="2680"/>
      <c r="AC2340" s="3366" t="s">
        <v>377</v>
      </c>
      <c r="AD2340" s="5073" t="s">
        <v>3995</v>
      </c>
      <c r="AE2340" s="5921">
        <v>0.3</v>
      </c>
      <c r="AF2340" s="3366">
        <f>(217709.7+118328.16)*0.3</f>
        <v>100811.358</v>
      </c>
      <c r="AG2340" s="5123">
        <f t="shared" si="505"/>
        <v>65310</v>
      </c>
      <c r="AH2340" s="5345" t="s">
        <v>349</v>
      </c>
      <c r="AI2340" s="5258"/>
      <c r="AJ2340" s="3812"/>
      <c r="AK2340" s="3812"/>
      <c r="AL2340" s="857"/>
      <c r="AM2340" s="3812"/>
      <c r="AN2340" s="3812">
        <f>SUM(BO2340:CB2340)</f>
        <v>0</v>
      </c>
      <c r="AO2340" s="3812"/>
      <c r="AP2340" s="3812">
        <f>AG2340-AN2340</f>
        <v>65310</v>
      </c>
      <c r="AQ2340" s="5256" t="s">
        <v>3996</v>
      </c>
      <c r="AR2340" s="3812"/>
      <c r="AS2340" s="7123"/>
      <c r="AT2340" s="5146"/>
      <c r="AU2340" s="2680"/>
      <c r="AV2340" s="2680"/>
      <c r="AW2340" s="2680"/>
      <c r="AX2340" s="2680"/>
      <c r="AY2340" s="2680"/>
      <c r="AZ2340" s="2680"/>
      <c r="BA2340" s="5146"/>
      <c r="BB2340" s="5146"/>
      <c r="BC2340" s="3812"/>
      <c r="BD2340" s="5146"/>
      <c r="BE2340" s="5146"/>
      <c r="BF2340" s="5146"/>
      <c r="BG2340" s="5146"/>
      <c r="BH2340" s="5948"/>
      <c r="BI2340" s="5123"/>
      <c r="BJ2340" s="5123"/>
      <c r="BK2340" s="5160"/>
      <c r="BL2340" s="5123">
        <v>65310</v>
      </c>
      <c r="BM2340" s="5123"/>
      <c r="BN2340" s="5160"/>
      <c r="BO2340" s="5160"/>
      <c r="BP2340" s="5160"/>
      <c r="BQ2340" s="5146"/>
      <c r="BR2340" s="5146"/>
      <c r="BS2340" s="5146"/>
      <c r="BT2340" s="5146"/>
      <c r="BU2340" s="5146"/>
      <c r="BV2340" s="5152"/>
      <c r="BW2340" s="4842"/>
      <c r="BX2340" s="5146"/>
      <c r="BY2340" s="5146"/>
      <c r="BZ2340" s="5146"/>
      <c r="CA2340" s="5146"/>
      <c r="CB2340" s="5146"/>
      <c r="CC2340" s="3812"/>
      <c r="CD2340" s="3812"/>
      <c r="CE2340" s="5154"/>
      <c r="CF2340" s="5154"/>
      <c r="CG2340" s="5154"/>
      <c r="CH2340" s="5154"/>
    </row>
    <row r="2341" s="4980" customFormat="1" ht="31.5" customHeight="1" spans="1:86">
      <c r="A2341" s="2680"/>
      <c r="B2341" s="857"/>
      <c r="C2341" s="857"/>
      <c r="D2341" s="5059"/>
      <c r="E2341" s="5059"/>
      <c r="F2341" s="5059"/>
      <c r="G2341" s="1032"/>
      <c r="H2341" s="3812"/>
      <c r="I2341" s="3408"/>
      <c r="J2341" s="5059"/>
      <c r="K2341" s="1032"/>
      <c r="L2341" s="5059"/>
      <c r="M2341" s="5059"/>
      <c r="N2341" s="2680"/>
      <c r="O2341" s="2680"/>
      <c r="P2341" s="2680"/>
      <c r="Q2341" s="2680"/>
      <c r="R2341" s="2680"/>
      <c r="S2341" s="2680"/>
      <c r="T2341" s="2680"/>
      <c r="U2341" s="2680"/>
      <c r="V2341" s="2680"/>
      <c r="W2341" s="2680"/>
      <c r="X2341" s="2680"/>
      <c r="Y2341" s="4026"/>
      <c r="Z2341" s="4026"/>
      <c r="AA2341" s="2680"/>
      <c r="AB2341" s="2680"/>
      <c r="AC2341" s="3409"/>
      <c r="AD2341" s="5206"/>
      <c r="AE2341" s="5922"/>
      <c r="AF2341" s="3409"/>
      <c r="AG2341" s="3812"/>
      <c r="AH2341" s="3406"/>
      <c r="AI2341" s="5123"/>
      <c r="AJ2341" s="3812"/>
      <c r="AK2341" s="3812"/>
      <c r="AL2341" s="857"/>
      <c r="AM2341" s="3812"/>
      <c r="AN2341" s="3812"/>
      <c r="AO2341" s="3812"/>
      <c r="AP2341" s="3812"/>
      <c r="AQ2341" s="5256"/>
      <c r="AR2341" s="3812"/>
      <c r="AS2341" s="7123"/>
      <c r="AT2341" s="5146"/>
      <c r="AU2341" s="2680"/>
      <c r="AV2341" s="2680"/>
      <c r="AW2341" s="2680"/>
      <c r="AX2341" s="2680"/>
      <c r="AY2341" s="2680"/>
      <c r="AZ2341" s="2680"/>
      <c r="BA2341" s="5146"/>
      <c r="BB2341" s="5146"/>
      <c r="BC2341" s="3812"/>
      <c r="BD2341" s="5146"/>
      <c r="BE2341" s="5146"/>
      <c r="BF2341" s="5146"/>
      <c r="BG2341" s="5146"/>
      <c r="BH2341" s="5152"/>
      <c r="BI2341" s="3812"/>
      <c r="BJ2341" s="3812"/>
      <c r="BK2341" s="5146"/>
      <c r="BL2341" s="5146"/>
      <c r="BM2341" s="5146"/>
      <c r="BN2341" s="5146"/>
      <c r="BO2341" s="5146"/>
      <c r="BP2341" s="5146"/>
      <c r="BQ2341" s="5146"/>
      <c r="BR2341" s="5146"/>
      <c r="BS2341" s="5146"/>
      <c r="BT2341" s="5146"/>
      <c r="BU2341" s="5146"/>
      <c r="BV2341" s="5152"/>
      <c r="BW2341" s="4842"/>
      <c r="BX2341" s="5146"/>
      <c r="BY2341" s="5146"/>
      <c r="BZ2341" s="5146"/>
      <c r="CA2341" s="5146"/>
      <c r="CB2341" s="5146"/>
      <c r="CC2341" s="3812"/>
      <c r="CD2341" s="3812"/>
      <c r="CE2341" s="5154"/>
      <c r="CF2341" s="5154"/>
      <c r="CG2341" s="5154"/>
      <c r="CH2341" s="5154"/>
    </row>
    <row r="2342" s="4980" customFormat="1" ht="41.65" customHeight="1" spans="1:86">
      <c r="A2342" s="2680"/>
      <c r="B2342" s="857"/>
      <c r="C2342" s="857"/>
      <c r="D2342" s="5059"/>
      <c r="E2342" s="5059"/>
      <c r="F2342" s="5059"/>
      <c r="G2342" s="1032"/>
      <c r="H2342" s="3812"/>
      <c r="I2342" s="3408"/>
      <c r="J2342" s="5059"/>
      <c r="K2342" s="1032"/>
      <c r="L2342" s="5059"/>
      <c r="M2342" s="5059"/>
      <c r="N2342" s="2680"/>
      <c r="O2342" s="2680"/>
      <c r="P2342" s="2680"/>
      <c r="Q2342" s="2680"/>
      <c r="R2342" s="2680"/>
      <c r="S2342" s="2680"/>
      <c r="T2342" s="2680"/>
      <c r="U2342" s="2680"/>
      <c r="V2342" s="2680"/>
      <c r="W2342" s="2680"/>
      <c r="X2342" s="2680"/>
      <c r="Y2342" s="4026"/>
      <c r="Z2342" s="4026"/>
      <c r="AA2342" s="2680"/>
      <c r="AB2342" s="2680"/>
      <c r="AC2342" s="3366" t="s">
        <v>3997</v>
      </c>
      <c r="AD2342" s="5073" t="s">
        <v>3998</v>
      </c>
      <c r="AE2342" s="5921">
        <v>0.8</v>
      </c>
      <c r="AF2342" s="3366">
        <f>53962.14*0.8</f>
        <v>43169.712</v>
      </c>
      <c r="AG2342" s="5123">
        <f>SUM(BA2342:BN2342)</f>
        <v>35000</v>
      </c>
      <c r="AH2342" s="5345" t="s">
        <v>349</v>
      </c>
      <c r="AI2342" s="5258"/>
      <c r="AJ2342" s="3812"/>
      <c r="AK2342" s="3812"/>
      <c r="AL2342" s="857"/>
      <c r="AM2342" s="3812"/>
      <c r="AN2342" s="3812">
        <f>SUM(BO2342:CB2342)</f>
        <v>0</v>
      </c>
      <c r="AO2342" s="3812"/>
      <c r="AP2342" s="3812">
        <f>AG2342-AN2342</f>
        <v>35000</v>
      </c>
      <c r="AQ2342" s="5256" t="s">
        <v>3999</v>
      </c>
      <c r="AR2342" s="3812"/>
      <c r="AS2342" s="7123"/>
      <c r="AT2342" s="5146"/>
      <c r="AU2342" s="2680"/>
      <c r="AV2342" s="2680"/>
      <c r="AW2342" s="2680"/>
      <c r="AX2342" s="2680"/>
      <c r="AY2342" s="2680"/>
      <c r="AZ2342" s="2680"/>
      <c r="BA2342" s="5146"/>
      <c r="BB2342" s="5146"/>
      <c r="BC2342" s="3812"/>
      <c r="BD2342" s="5146"/>
      <c r="BE2342" s="5146"/>
      <c r="BF2342" s="5146"/>
      <c r="BG2342" s="5146"/>
      <c r="BH2342" s="5948"/>
      <c r="BI2342" s="5123"/>
      <c r="BJ2342" s="5123"/>
      <c r="BK2342" s="5160"/>
      <c r="BL2342" s="5123">
        <v>35000</v>
      </c>
      <c r="BM2342" s="5123"/>
      <c r="BN2342" s="5160"/>
      <c r="BO2342" s="5160"/>
      <c r="BP2342" s="5160"/>
      <c r="BQ2342" s="5146"/>
      <c r="BR2342" s="5146"/>
      <c r="BS2342" s="5146"/>
      <c r="BT2342" s="5146"/>
      <c r="BU2342" s="5146"/>
      <c r="BV2342" s="5152"/>
      <c r="BW2342" s="4842"/>
      <c r="BX2342" s="5146"/>
      <c r="BY2342" s="5146"/>
      <c r="BZ2342" s="5146"/>
      <c r="CA2342" s="5146"/>
      <c r="CB2342" s="5146"/>
      <c r="CC2342" s="3812"/>
      <c r="CD2342" s="3812"/>
      <c r="CE2342" s="5154"/>
      <c r="CF2342" s="5154"/>
      <c r="CG2342" s="5154"/>
      <c r="CH2342" s="5154"/>
    </row>
    <row r="2343" s="4980" customFormat="1" ht="41.65" customHeight="1" spans="1:86">
      <c r="A2343" s="3524"/>
      <c r="B2343" s="857"/>
      <c r="C2343" s="857"/>
      <c r="D2343" s="5059"/>
      <c r="E2343" s="5059"/>
      <c r="F2343" s="5059"/>
      <c r="G2343" s="1032"/>
      <c r="H2343" s="3812"/>
      <c r="I2343" s="3408"/>
      <c r="J2343" s="5059"/>
      <c r="K2343" s="1032"/>
      <c r="L2343" s="5059"/>
      <c r="M2343" s="5059"/>
      <c r="N2343" s="2680"/>
      <c r="O2343" s="2680"/>
      <c r="P2343" s="2680"/>
      <c r="Q2343" s="2680"/>
      <c r="R2343" s="2680"/>
      <c r="S2343" s="2680"/>
      <c r="T2343" s="2680"/>
      <c r="U2343" s="2680"/>
      <c r="V2343" s="2680"/>
      <c r="W2343" s="2680"/>
      <c r="X2343" s="2680"/>
      <c r="Y2343" s="4026"/>
      <c r="Z2343" s="4026"/>
      <c r="AA2343" s="2680"/>
      <c r="AB2343" s="2680"/>
      <c r="AC2343" s="3409"/>
      <c r="AD2343" s="5206"/>
      <c r="AE2343" s="5922"/>
      <c r="AF2343" s="3409"/>
      <c r="AG2343" s="3812"/>
      <c r="AH2343" s="857"/>
      <c r="AI2343" s="3812"/>
      <c r="AJ2343" s="3812"/>
      <c r="AK2343" s="3812"/>
      <c r="AL2343" s="3812"/>
      <c r="AM2343" s="3812"/>
      <c r="AN2343" s="3812"/>
      <c r="AO2343" s="3812"/>
      <c r="AP2343" s="3812"/>
      <c r="AQ2343" s="5146"/>
      <c r="AR2343" s="3812"/>
      <c r="AS2343" s="7123"/>
      <c r="AT2343" s="5146"/>
      <c r="AU2343" s="3524"/>
      <c r="AV2343" s="3524"/>
      <c r="AW2343" s="3524"/>
      <c r="AX2343" s="3524"/>
      <c r="AY2343" s="3524"/>
      <c r="AZ2343" s="3524"/>
      <c r="BA2343" s="5146"/>
      <c r="BB2343" s="5146"/>
      <c r="BC2343" s="3812"/>
      <c r="BD2343" s="5146"/>
      <c r="BE2343" s="5146"/>
      <c r="BF2343" s="5146"/>
      <c r="BG2343" s="5146"/>
      <c r="BH2343" s="5152"/>
      <c r="BI2343" s="3812"/>
      <c r="BJ2343" s="3812"/>
      <c r="BK2343" s="5146"/>
      <c r="BL2343" s="3812">
        <v>19000</v>
      </c>
      <c r="BM2343" s="3812"/>
      <c r="BN2343" s="5146"/>
      <c r="BO2343" s="5146"/>
      <c r="BP2343" s="5146"/>
      <c r="BQ2343" s="5146"/>
      <c r="BR2343" s="5146"/>
      <c r="BS2343" s="5146"/>
      <c r="BT2343" s="5146"/>
      <c r="BU2343" s="5146"/>
      <c r="BV2343" s="5152"/>
      <c r="BW2343" s="5792"/>
      <c r="BX2343" s="5146"/>
      <c r="BY2343" s="5146"/>
      <c r="BZ2343" s="5146"/>
      <c r="CA2343" s="5146"/>
      <c r="CB2343" s="5146"/>
      <c r="CC2343" s="3812"/>
      <c r="CD2343" s="3812"/>
      <c r="CE2343" s="5154"/>
      <c r="CF2343" s="5154"/>
      <c r="CG2343" s="5154"/>
      <c r="CH2343" s="5154"/>
    </row>
    <row r="2344" s="4980" customFormat="1" ht="41.65" customHeight="1" spans="1:86">
      <c r="A2344" s="3524"/>
      <c r="B2344" s="857"/>
      <c r="C2344" s="857"/>
      <c r="D2344" s="5059"/>
      <c r="E2344" s="5059"/>
      <c r="F2344" s="5059"/>
      <c r="G2344" s="1032"/>
      <c r="H2344" s="3812"/>
      <c r="I2344" s="3409"/>
      <c r="J2344" s="5059"/>
      <c r="K2344" s="1032"/>
      <c r="L2344" s="5059"/>
      <c r="M2344" s="5059"/>
      <c r="N2344" s="2680"/>
      <c r="O2344" s="2680"/>
      <c r="P2344" s="2680"/>
      <c r="Q2344" s="2680"/>
      <c r="R2344" s="2680"/>
      <c r="S2344" s="2680"/>
      <c r="T2344" s="2680"/>
      <c r="U2344" s="2680"/>
      <c r="V2344" s="2680"/>
      <c r="W2344" s="2680"/>
      <c r="X2344" s="2680"/>
      <c r="Y2344" s="3927"/>
      <c r="Z2344" s="3927"/>
      <c r="AA2344" s="2680"/>
      <c r="AB2344" s="2680"/>
      <c r="AC2344" s="1032" t="s">
        <v>4000</v>
      </c>
      <c r="AD2344" s="5241" t="s">
        <v>4001</v>
      </c>
      <c r="AE2344" s="5878">
        <v>0.2</v>
      </c>
      <c r="AF2344" s="857">
        <f>M2336-AF2336-AF2338-AF2340-AF2342</f>
        <v>78000</v>
      </c>
      <c r="AG2344" s="3812">
        <f>SUM(BA2344:BN2344)</f>
        <v>0</v>
      </c>
      <c r="AH2344" s="857"/>
      <c r="AI2344" s="3812"/>
      <c r="AJ2344" s="3812"/>
      <c r="AK2344" s="3812"/>
      <c r="AL2344" s="3812"/>
      <c r="AM2344" s="3812"/>
      <c r="AN2344" s="3812">
        <f t="shared" ref="AN2344:AN2359" si="506">SUM(BO2344:CB2344)</f>
        <v>0</v>
      </c>
      <c r="AO2344" s="3812"/>
      <c r="AP2344" s="3812">
        <f t="shared" ref="AP2344:AP2358" si="507">AG2344-AN2344</f>
        <v>0</v>
      </c>
      <c r="AQ2344" s="5146"/>
      <c r="AR2344" s="3812"/>
      <c r="AS2344" s="5833"/>
      <c r="AT2344" s="5146"/>
      <c r="AU2344" s="3524"/>
      <c r="AV2344" s="3524"/>
      <c r="AW2344" s="3524"/>
      <c r="AX2344" s="3524"/>
      <c r="AY2344" s="3524"/>
      <c r="AZ2344" s="3524"/>
      <c r="BA2344" s="5146"/>
      <c r="BB2344" s="5146"/>
      <c r="BC2344" s="3812"/>
      <c r="BD2344" s="5146"/>
      <c r="BE2344" s="5146"/>
      <c r="BF2344" s="5146"/>
      <c r="BG2344" s="5146"/>
      <c r="BH2344" s="5152"/>
      <c r="BI2344" s="3812"/>
      <c r="BJ2344" s="3812"/>
      <c r="BK2344" s="5146"/>
      <c r="BL2344" s="5146"/>
      <c r="BM2344" s="5146"/>
      <c r="BN2344" s="5146"/>
      <c r="BO2344" s="5146"/>
      <c r="BP2344" s="5146"/>
      <c r="BQ2344" s="5146"/>
      <c r="BR2344" s="5146"/>
      <c r="BS2344" s="5146"/>
      <c r="BT2344" s="5146"/>
      <c r="BU2344" s="5146"/>
      <c r="BV2344" s="5152"/>
      <c r="BW2344" s="5146"/>
      <c r="BX2344" s="5146"/>
      <c r="BY2344" s="5146"/>
      <c r="BZ2344" s="5146"/>
      <c r="CA2344" s="5146"/>
      <c r="CB2344" s="5146"/>
      <c r="CC2344" s="3812"/>
      <c r="CD2344" s="3812"/>
      <c r="CE2344" s="5154"/>
      <c r="CF2344" s="5154"/>
      <c r="CG2344" s="5154"/>
      <c r="CH2344" s="5154"/>
    </row>
    <row r="2345" s="4980" customFormat="1" ht="61" customHeight="1" spans="1:86">
      <c r="A2345" s="2680">
        <v>25</v>
      </c>
      <c r="B2345" s="857" t="s">
        <v>690</v>
      </c>
      <c r="C2345" s="857">
        <v>45122</v>
      </c>
      <c r="D2345" s="1032" t="s">
        <v>4002</v>
      </c>
      <c r="E2345" s="5059"/>
      <c r="F2345" s="1032" t="s">
        <v>4003</v>
      </c>
      <c r="G2345" s="1032" t="s">
        <v>4004</v>
      </c>
      <c r="H2345" s="857" t="s">
        <v>31</v>
      </c>
      <c r="I2345" s="3366"/>
      <c r="J2345" s="1032" t="s">
        <v>4005</v>
      </c>
      <c r="K2345" s="1032">
        <v>140000</v>
      </c>
      <c r="L2345" s="1032" t="s">
        <v>4006</v>
      </c>
      <c r="M2345" s="5059">
        <f>SUM(N2345:AA2347)</f>
        <v>420000</v>
      </c>
      <c r="N2345" s="2680">
        <v>0</v>
      </c>
      <c r="O2345" s="2680">
        <v>0</v>
      </c>
      <c r="P2345" s="2680">
        <v>0</v>
      </c>
      <c r="Q2345" s="2680">
        <v>0</v>
      </c>
      <c r="R2345" s="2680">
        <v>0</v>
      </c>
      <c r="S2345" s="2680">
        <v>0</v>
      </c>
      <c r="T2345" s="5823">
        <v>0</v>
      </c>
      <c r="U2345" s="2680">
        <v>420000</v>
      </c>
      <c r="V2345" s="2680">
        <v>0</v>
      </c>
      <c r="W2345" s="2680">
        <v>0</v>
      </c>
      <c r="X2345" s="2680">
        <v>0</v>
      </c>
      <c r="Y2345" s="2680">
        <v>0</v>
      </c>
      <c r="Z2345" s="2680"/>
      <c r="AA2345" s="2680">
        <v>0</v>
      </c>
      <c r="AB2345" s="2680">
        <v>0</v>
      </c>
      <c r="AC2345" s="857" t="s">
        <v>4007</v>
      </c>
      <c r="AD2345" s="5241" t="s">
        <v>4008</v>
      </c>
      <c r="AE2345" s="5878">
        <v>0.8</v>
      </c>
      <c r="AF2345" s="857">
        <f>140000*AE2345</f>
        <v>112000</v>
      </c>
      <c r="AG2345" s="3812">
        <f>SUM(BA2345:BN2345)</f>
        <v>112000</v>
      </c>
      <c r="AH2345" s="857" t="s">
        <v>122</v>
      </c>
      <c r="AI2345" s="3812">
        <v>45240</v>
      </c>
      <c r="AJ2345" s="3812">
        <v>112000</v>
      </c>
      <c r="AK2345" s="3812">
        <v>45240</v>
      </c>
      <c r="AL2345" s="857">
        <v>112000</v>
      </c>
      <c r="AM2345" s="3812">
        <v>45240</v>
      </c>
      <c r="AN2345" s="3812">
        <f t="shared" si="506"/>
        <v>112000</v>
      </c>
      <c r="AO2345" s="3812">
        <v>45271</v>
      </c>
      <c r="AP2345" s="3812">
        <f t="shared" si="507"/>
        <v>0</v>
      </c>
      <c r="AQ2345" s="5146"/>
      <c r="AR2345" s="3812"/>
      <c r="AS2345" s="5833"/>
      <c r="AT2345" s="5146"/>
      <c r="AU2345" s="2678">
        <f>SUM(AG2345:AG2347)</f>
        <v>416000</v>
      </c>
      <c r="AV2345" s="2678">
        <f>SUM(AL2345:AL2347)</f>
        <v>112000</v>
      </c>
      <c r="AW2345" s="2678">
        <f>SUM(AN2345:AN2347)</f>
        <v>416000</v>
      </c>
      <c r="AX2345" s="2678">
        <f>M2345-AU2345</f>
        <v>4000</v>
      </c>
      <c r="AY2345" s="2678">
        <f>AU2345-AV2345</f>
        <v>304000</v>
      </c>
      <c r="AZ2345" s="2678">
        <f>AV2345-AW2345</f>
        <v>-304000</v>
      </c>
      <c r="BA2345" s="5146"/>
      <c r="BB2345" s="5146"/>
      <c r="BC2345" s="3812"/>
      <c r="BD2345" s="5146"/>
      <c r="BE2345" s="5146"/>
      <c r="BF2345" s="5146"/>
      <c r="BG2345" s="5146"/>
      <c r="BH2345" s="5152">
        <v>112000</v>
      </c>
      <c r="BI2345" s="3812"/>
      <c r="BJ2345" s="3812"/>
      <c r="BK2345" s="5146"/>
      <c r="BL2345" s="5146"/>
      <c r="BM2345" s="5146"/>
      <c r="BN2345" s="5146"/>
      <c r="BO2345" s="5146"/>
      <c r="BP2345" s="5146"/>
      <c r="BQ2345" s="5146"/>
      <c r="BR2345" s="5146"/>
      <c r="BS2345" s="5146"/>
      <c r="BT2345" s="5146"/>
      <c r="BU2345" s="5146"/>
      <c r="BV2345" s="5152">
        <v>112000</v>
      </c>
      <c r="BW2345" s="5146"/>
      <c r="BX2345" s="5146"/>
      <c r="BY2345" s="5146"/>
      <c r="BZ2345" s="5146"/>
      <c r="CA2345" s="5146"/>
      <c r="CB2345" s="5146"/>
      <c r="CC2345" s="3812"/>
      <c r="CD2345" s="3812"/>
      <c r="CE2345" s="5154"/>
      <c r="CF2345" s="5154"/>
      <c r="CG2345" s="5154"/>
      <c r="CH2345" s="5154"/>
    </row>
    <row r="2346" s="4980" customFormat="1" ht="61" customHeight="1" spans="1:86">
      <c r="A2346" s="2680"/>
      <c r="B2346" s="857"/>
      <c r="C2346" s="857"/>
      <c r="D2346" s="5059"/>
      <c r="E2346" s="5059"/>
      <c r="F2346" s="5059"/>
      <c r="G2346" s="1032"/>
      <c r="H2346" s="3812"/>
      <c r="I2346" s="3408"/>
      <c r="J2346" s="5059"/>
      <c r="K2346" s="1032"/>
      <c r="L2346" s="5059"/>
      <c r="M2346" s="5059"/>
      <c r="N2346" s="2680"/>
      <c r="O2346" s="2680"/>
      <c r="P2346" s="2680"/>
      <c r="Q2346" s="2680"/>
      <c r="R2346" s="2680"/>
      <c r="S2346" s="2680"/>
      <c r="T2346" s="2680"/>
      <c r="U2346" s="2680"/>
      <c r="V2346" s="2680"/>
      <c r="W2346" s="2680"/>
      <c r="X2346" s="2680"/>
      <c r="Y2346" s="2680"/>
      <c r="Z2346" s="2680"/>
      <c r="AA2346" s="2680"/>
      <c r="AB2346" s="2680"/>
      <c r="AC2346" s="857" t="s">
        <v>4009</v>
      </c>
      <c r="AD2346" s="5241" t="s">
        <v>4010</v>
      </c>
      <c r="AE2346" s="5878">
        <v>0.8</v>
      </c>
      <c r="AF2346" s="857">
        <f>380000*AE2346</f>
        <v>304000</v>
      </c>
      <c r="AG2346" s="3812">
        <f>SUM(BA2346:BN2346)</f>
        <v>304000</v>
      </c>
      <c r="AH2346" s="857" t="s">
        <v>122</v>
      </c>
      <c r="AI2346" s="3812">
        <v>45281</v>
      </c>
      <c r="AJ2346" s="3812">
        <v>304000</v>
      </c>
      <c r="AK2346" s="3812">
        <v>45281</v>
      </c>
      <c r="AL2346" s="3812"/>
      <c r="AM2346" s="3812"/>
      <c r="AN2346" s="4815">
        <f t="shared" si="506"/>
        <v>304000</v>
      </c>
      <c r="AO2346" s="4815"/>
      <c r="AP2346" s="3812">
        <f t="shared" si="507"/>
        <v>0</v>
      </c>
      <c r="AQ2346" s="5146"/>
      <c r="AR2346" s="3812"/>
      <c r="AS2346" s="5833"/>
      <c r="AT2346" s="5146"/>
      <c r="AU2346" s="2678"/>
      <c r="AV2346" s="2678"/>
      <c r="AW2346" s="2678"/>
      <c r="AX2346" s="2678"/>
      <c r="AY2346" s="2678"/>
      <c r="AZ2346" s="2678"/>
      <c r="BA2346" s="5146"/>
      <c r="BB2346" s="5146"/>
      <c r="BC2346" s="3812"/>
      <c r="BD2346" s="5146"/>
      <c r="BE2346" s="5146"/>
      <c r="BF2346" s="5146"/>
      <c r="BG2346" s="5146"/>
      <c r="BH2346" s="5152">
        <v>304000</v>
      </c>
      <c r="BI2346" s="3812"/>
      <c r="BJ2346" s="3812"/>
      <c r="BK2346" s="5146"/>
      <c r="BL2346" s="5146"/>
      <c r="BM2346" s="5146"/>
      <c r="BN2346" s="5146"/>
      <c r="BO2346" s="5146"/>
      <c r="BP2346" s="5146"/>
      <c r="BQ2346" s="5146"/>
      <c r="BR2346" s="5146"/>
      <c r="BS2346" s="5146"/>
      <c r="BT2346" s="5146"/>
      <c r="BU2346" s="5146"/>
      <c r="BV2346" s="5152">
        <v>304000</v>
      </c>
      <c r="BW2346" s="3812"/>
      <c r="BX2346" s="5146"/>
      <c r="BY2346" s="5146"/>
      <c r="BZ2346" s="5146"/>
      <c r="CA2346" s="5146"/>
      <c r="CB2346" s="5146"/>
      <c r="CC2346" s="3812"/>
      <c r="CD2346" s="3812"/>
      <c r="CE2346" s="5154"/>
      <c r="CF2346" s="5154"/>
      <c r="CG2346" s="5154"/>
      <c r="CH2346" s="5154"/>
    </row>
    <row r="2347" s="4980" customFormat="1" ht="56.65" customHeight="1" spans="1:86">
      <c r="A2347" s="3524"/>
      <c r="B2347" s="857"/>
      <c r="C2347" s="857"/>
      <c r="D2347" s="5059"/>
      <c r="E2347" s="5059"/>
      <c r="F2347" s="5059"/>
      <c r="G2347" s="1032"/>
      <c r="H2347" s="3812"/>
      <c r="I2347" s="3409"/>
      <c r="J2347" s="5059"/>
      <c r="K2347" s="1032"/>
      <c r="L2347" s="5059"/>
      <c r="M2347" s="5059"/>
      <c r="N2347" s="2680"/>
      <c r="O2347" s="2680"/>
      <c r="P2347" s="2680"/>
      <c r="Q2347" s="2680"/>
      <c r="R2347" s="2680"/>
      <c r="S2347" s="2680"/>
      <c r="T2347" s="2680"/>
      <c r="U2347" s="2680"/>
      <c r="V2347" s="2680"/>
      <c r="W2347" s="2680"/>
      <c r="X2347" s="2680"/>
      <c r="Y2347" s="2680"/>
      <c r="Z2347" s="2680"/>
      <c r="AA2347" s="2680"/>
      <c r="AB2347" s="2680"/>
      <c r="AC2347" s="857" t="s">
        <v>4011</v>
      </c>
      <c r="AD2347" s="5241" t="s">
        <v>4012</v>
      </c>
      <c r="AE2347" s="5878">
        <v>0.2</v>
      </c>
      <c r="AF2347" s="857">
        <f>M2345-AF2345-AF2346</f>
        <v>4000</v>
      </c>
      <c r="AG2347" s="3812">
        <f>SUM(BA2347:BN2347)</f>
        <v>0</v>
      </c>
      <c r="AH2347" s="857"/>
      <c r="AI2347" s="3812"/>
      <c r="AJ2347" s="3812"/>
      <c r="AK2347" s="3812"/>
      <c r="AL2347" s="3812"/>
      <c r="AM2347" s="3812"/>
      <c r="AN2347" s="3812">
        <f t="shared" si="506"/>
        <v>0</v>
      </c>
      <c r="AO2347" s="3812"/>
      <c r="AP2347" s="3812">
        <f t="shared" si="507"/>
        <v>0</v>
      </c>
      <c r="AQ2347" s="5146"/>
      <c r="AR2347" s="3812"/>
      <c r="AS2347" s="5833"/>
      <c r="AT2347" s="5146"/>
      <c r="AU2347" s="3812"/>
      <c r="AV2347" s="3812"/>
      <c r="AW2347" s="3812"/>
      <c r="AX2347" s="3812"/>
      <c r="AY2347" s="3812"/>
      <c r="AZ2347" s="3812"/>
      <c r="BA2347" s="5146"/>
      <c r="BB2347" s="5146"/>
      <c r="BC2347" s="3812"/>
      <c r="BD2347" s="5146"/>
      <c r="BE2347" s="5146"/>
      <c r="BF2347" s="5146"/>
      <c r="BG2347" s="5146"/>
      <c r="BH2347" s="5152"/>
      <c r="BI2347" s="3812"/>
      <c r="BJ2347" s="3812"/>
      <c r="BK2347" s="5146"/>
      <c r="BL2347" s="5146"/>
      <c r="BM2347" s="5146"/>
      <c r="BN2347" s="5146"/>
      <c r="BO2347" s="5146"/>
      <c r="BP2347" s="5146"/>
      <c r="BQ2347" s="5146"/>
      <c r="BR2347" s="5146"/>
      <c r="BS2347" s="5146"/>
      <c r="BT2347" s="5146"/>
      <c r="BU2347" s="5146"/>
      <c r="BV2347" s="5152"/>
      <c r="BW2347" s="5146"/>
      <c r="BX2347" s="5146"/>
      <c r="BY2347" s="5146"/>
      <c r="BZ2347" s="5146"/>
      <c r="CA2347" s="5146"/>
      <c r="CB2347" s="5146"/>
      <c r="CC2347" s="3812"/>
      <c r="CD2347" s="3812"/>
      <c r="CE2347" s="5154"/>
      <c r="CF2347" s="5154"/>
      <c r="CG2347" s="5154"/>
      <c r="CH2347" s="5154"/>
    </row>
    <row r="2348" s="4980" customFormat="1" ht="61" customHeight="1" spans="1:86">
      <c r="A2348" s="2680">
        <v>25</v>
      </c>
      <c r="B2348" s="857" t="s">
        <v>690</v>
      </c>
      <c r="C2348" s="857">
        <v>45107</v>
      </c>
      <c r="D2348" s="1032" t="s">
        <v>4013</v>
      </c>
      <c r="E2348" s="1032" t="s">
        <v>4014</v>
      </c>
      <c r="F2348" s="1032" t="s">
        <v>4015</v>
      </c>
      <c r="G2348" s="1032" t="s">
        <v>4016</v>
      </c>
      <c r="H2348" s="3812" t="s">
        <v>193</v>
      </c>
      <c r="I2348" s="5073" t="s">
        <v>4017</v>
      </c>
      <c r="J2348" s="1032" t="s">
        <v>4018</v>
      </c>
      <c r="K2348" s="1032">
        <v>39852.39</v>
      </c>
      <c r="L2348" s="1032" t="s">
        <v>4019</v>
      </c>
      <c r="M2348" s="5059">
        <f>SUM(N2348:AA2351)</f>
        <v>180000</v>
      </c>
      <c r="N2348" s="2680">
        <v>0</v>
      </c>
      <c r="O2348" s="2680">
        <v>0</v>
      </c>
      <c r="P2348" s="2680">
        <v>0</v>
      </c>
      <c r="Q2348" s="2680">
        <v>0</v>
      </c>
      <c r="R2348" s="2680">
        <v>0</v>
      </c>
      <c r="S2348" s="2680">
        <v>0</v>
      </c>
      <c r="T2348" s="5823">
        <v>0</v>
      </c>
      <c r="U2348" s="2680">
        <v>0</v>
      </c>
      <c r="V2348" s="2680">
        <v>180000</v>
      </c>
      <c r="W2348" s="2680">
        <v>0</v>
      </c>
      <c r="X2348" s="2680">
        <v>0</v>
      </c>
      <c r="Y2348" s="2680">
        <v>0</v>
      </c>
      <c r="Z2348" s="2680"/>
      <c r="AA2348" s="2680">
        <v>0</v>
      </c>
      <c r="AB2348" s="2680">
        <v>0</v>
      </c>
      <c r="AC2348" s="3812">
        <v>1</v>
      </c>
      <c r="AD2348" s="5241" t="s">
        <v>4020</v>
      </c>
      <c r="AE2348" s="5878">
        <v>0.3</v>
      </c>
      <c r="AF2348" s="857">
        <f>M2348*AE2348</f>
        <v>54000</v>
      </c>
      <c r="AG2348" s="3812">
        <v>54000</v>
      </c>
      <c r="AH2348" s="857" t="s">
        <v>122</v>
      </c>
      <c r="AI2348" s="3812">
        <v>45257</v>
      </c>
      <c r="AJ2348" s="4840">
        <v>108000</v>
      </c>
      <c r="AK2348" s="4840">
        <v>45240</v>
      </c>
      <c r="AL2348" s="3366">
        <v>108000</v>
      </c>
      <c r="AM2348" s="4840">
        <v>45258</v>
      </c>
      <c r="AN2348" s="4840">
        <v>54000</v>
      </c>
      <c r="AO2348" s="4840">
        <v>45327</v>
      </c>
      <c r="AP2348" s="3812">
        <f t="shared" si="507"/>
        <v>0</v>
      </c>
      <c r="AQ2348" s="3366" t="s">
        <v>4021</v>
      </c>
      <c r="AR2348" s="3812"/>
      <c r="AS2348" s="5833"/>
      <c r="AT2348" s="5146"/>
      <c r="AU2348" s="2680">
        <f>SUM(AG2348:AG2351)</f>
        <v>180000</v>
      </c>
      <c r="AV2348" s="2680">
        <f>SUM(AL2348:AL2351)</f>
        <v>171000</v>
      </c>
      <c r="AW2348" s="2680">
        <f>SUM(AN2348:AN2351)</f>
        <v>171000</v>
      </c>
      <c r="AX2348" s="2680">
        <f>M2348-AU2348</f>
        <v>0</v>
      </c>
      <c r="AY2348" s="2680">
        <f>AU2348-AV2348</f>
        <v>9000</v>
      </c>
      <c r="AZ2348" s="2680">
        <f>AV2348-AW2348</f>
        <v>0</v>
      </c>
      <c r="BA2348" s="5146"/>
      <c r="BB2348" s="5146"/>
      <c r="BC2348" s="3812"/>
      <c r="BD2348" s="5146"/>
      <c r="BE2348" s="5146"/>
      <c r="BF2348" s="5146"/>
      <c r="BG2348" s="5146"/>
      <c r="BH2348" s="5152"/>
      <c r="BI2348" s="3812">
        <v>54000</v>
      </c>
      <c r="BJ2348" s="3812"/>
      <c r="BK2348" s="5146"/>
      <c r="BL2348" s="5146"/>
      <c r="BM2348" s="5146"/>
      <c r="BN2348" s="5146"/>
      <c r="BO2348" s="5146"/>
      <c r="BP2348" s="5146"/>
      <c r="BQ2348" s="5146"/>
      <c r="BR2348" s="5146"/>
      <c r="BS2348" s="5146"/>
      <c r="BT2348" s="5146"/>
      <c r="BU2348" s="5146"/>
      <c r="BV2348" s="857"/>
      <c r="BW2348" s="3812">
        <v>54000</v>
      </c>
      <c r="BX2348" s="5146"/>
      <c r="BY2348" s="5146"/>
      <c r="BZ2348" s="5146"/>
      <c r="CA2348" s="5146"/>
      <c r="CB2348" s="5146"/>
      <c r="CC2348" s="3812"/>
      <c r="CD2348" s="3812"/>
      <c r="CE2348" s="5154"/>
      <c r="CF2348" s="5154"/>
      <c r="CG2348" s="5154"/>
      <c r="CH2348" s="5154"/>
    </row>
    <row r="2349" s="4980" customFormat="1" ht="61" customHeight="1" spans="1:86">
      <c r="A2349" s="2680"/>
      <c r="B2349" s="857"/>
      <c r="C2349" s="857"/>
      <c r="D2349" s="5059"/>
      <c r="E2349" s="5059"/>
      <c r="F2349" s="5059"/>
      <c r="G2349" s="1032"/>
      <c r="H2349" s="3812"/>
      <c r="I2349" s="5074"/>
      <c r="J2349" s="5059"/>
      <c r="K2349" s="1032"/>
      <c r="L2349" s="5059"/>
      <c r="M2349" s="5059"/>
      <c r="N2349" s="2680"/>
      <c r="O2349" s="2680"/>
      <c r="P2349" s="2680"/>
      <c r="Q2349" s="2680"/>
      <c r="R2349" s="2680"/>
      <c r="S2349" s="2680"/>
      <c r="T2349" s="2680"/>
      <c r="U2349" s="2680"/>
      <c r="V2349" s="2680"/>
      <c r="W2349" s="2680"/>
      <c r="X2349" s="2680"/>
      <c r="Y2349" s="2680"/>
      <c r="Z2349" s="2680"/>
      <c r="AA2349" s="2680"/>
      <c r="AB2349" s="2680"/>
      <c r="AC2349" s="3812">
        <v>2</v>
      </c>
      <c r="AD2349" s="5241" t="s">
        <v>4022</v>
      </c>
      <c r="AE2349" s="5878">
        <v>0.3</v>
      </c>
      <c r="AF2349" s="857">
        <f>M2348*AE2349</f>
        <v>54000</v>
      </c>
      <c r="AG2349" s="3812">
        <v>54000</v>
      </c>
      <c r="AH2349" s="857" t="s">
        <v>122</v>
      </c>
      <c r="AI2349" s="3812">
        <v>45257</v>
      </c>
      <c r="AJ2349" s="4842"/>
      <c r="AK2349" s="4842"/>
      <c r="AL2349" s="3409"/>
      <c r="AM2349" s="4842"/>
      <c r="AN2349" s="4842">
        <v>54000</v>
      </c>
      <c r="AO2349" s="4840">
        <v>45327</v>
      </c>
      <c r="AP2349" s="3812">
        <f t="shared" si="507"/>
        <v>0</v>
      </c>
      <c r="AQ2349" s="4842"/>
      <c r="AR2349" s="3812"/>
      <c r="AS2349" s="5833"/>
      <c r="AT2349" s="5146"/>
      <c r="AU2349" s="2680"/>
      <c r="AV2349" s="2680"/>
      <c r="AW2349" s="2680"/>
      <c r="AX2349" s="2680"/>
      <c r="AY2349" s="2680"/>
      <c r="AZ2349" s="2680"/>
      <c r="BA2349" s="5146"/>
      <c r="BB2349" s="5146"/>
      <c r="BC2349" s="3812"/>
      <c r="BD2349" s="5146"/>
      <c r="BE2349" s="5146"/>
      <c r="BF2349" s="5146"/>
      <c r="BG2349" s="5146"/>
      <c r="BH2349" s="5152"/>
      <c r="BI2349" s="3812">
        <v>54000</v>
      </c>
      <c r="BJ2349" s="3812"/>
      <c r="BK2349" s="5146"/>
      <c r="BL2349" s="5146"/>
      <c r="BM2349" s="5146"/>
      <c r="BN2349" s="5146"/>
      <c r="BO2349" s="5146"/>
      <c r="BP2349" s="5146"/>
      <c r="BQ2349" s="5146"/>
      <c r="BR2349" s="5146"/>
      <c r="BS2349" s="5146"/>
      <c r="BT2349" s="5146"/>
      <c r="BU2349" s="5146"/>
      <c r="BV2349" s="857"/>
      <c r="BW2349" s="3812">
        <v>54000</v>
      </c>
      <c r="BX2349" s="5146"/>
      <c r="BY2349" s="5146"/>
      <c r="BZ2349" s="5146"/>
      <c r="CA2349" s="5146"/>
      <c r="CB2349" s="5146"/>
      <c r="CC2349" s="3812"/>
      <c r="CD2349" s="3812"/>
      <c r="CE2349" s="5154"/>
      <c r="CF2349" s="5154"/>
      <c r="CG2349" s="5154"/>
      <c r="CH2349" s="5154"/>
    </row>
    <row r="2350" s="4980" customFormat="1" ht="61" customHeight="1" spans="1:86">
      <c r="A2350" s="2680"/>
      <c r="B2350" s="857"/>
      <c r="C2350" s="857"/>
      <c r="D2350" s="5059"/>
      <c r="E2350" s="5059"/>
      <c r="F2350" s="5059"/>
      <c r="G2350" s="1032"/>
      <c r="H2350" s="3812"/>
      <c r="I2350" s="5074"/>
      <c r="J2350" s="5059"/>
      <c r="K2350" s="1032"/>
      <c r="L2350" s="5059"/>
      <c r="M2350" s="5059"/>
      <c r="N2350" s="2680"/>
      <c r="O2350" s="2680"/>
      <c r="P2350" s="2680"/>
      <c r="Q2350" s="2680"/>
      <c r="R2350" s="2680"/>
      <c r="S2350" s="2680"/>
      <c r="T2350" s="2680"/>
      <c r="U2350" s="2680"/>
      <c r="V2350" s="2680"/>
      <c r="W2350" s="2680"/>
      <c r="X2350" s="2680"/>
      <c r="Y2350" s="2680"/>
      <c r="Z2350" s="2680"/>
      <c r="AA2350" s="2680"/>
      <c r="AB2350" s="2680"/>
      <c r="AC2350" s="3812">
        <v>3</v>
      </c>
      <c r="AD2350" s="5241" t="s">
        <v>4023</v>
      </c>
      <c r="AE2350" s="5878">
        <v>0.35</v>
      </c>
      <c r="AF2350" s="857">
        <f>M2348*AE2350</f>
        <v>63000</v>
      </c>
      <c r="AG2350" s="1015">
        <v>63000</v>
      </c>
      <c r="AH2350" s="1015" t="s">
        <v>122</v>
      </c>
      <c r="AI2350" s="4813">
        <v>45519</v>
      </c>
      <c r="AJ2350" s="4813">
        <v>63000</v>
      </c>
      <c r="AK2350" s="4813">
        <v>45519</v>
      </c>
      <c r="AL2350" s="4813">
        <v>63000</v>
      </c>
      <c r="AM2350" s="4813">
        <v>45519</v>
      </c>
      <c r="AN2350" s="4815">
        <f t="shared" si="506"/>
        <v>63000</v>
      </c>
      <c r="AO2350" s="4815"/>
      <c r="AP2350" s="3812">
        <f t="shared" si="507"/>
        <v>0</v>
      </c>
      <c r="AQ2350" s="5146"/>
      <c r="AR2350" s="3812"/>
      <c r="AS2350" s="5833"/>
      <c r="AT2350" s="5146"/>
      <c r="AU2350" s="2680"/>
      <c r="AV2350" s="2680"/>
      <c r="AW2350" s="2680"/>
      <c r="AX2350" s="2680"/>
      <c r="AY2350" s="2680"/>
      <c r="AZ2350" s="2680"/>
      <c r="BA2350" s="5146"/>
      <c r="BB2350" s="5146"/>
      <c r="BC2350" s="3812"/>
      <c r="BD2350" s="5146"/>
      <c r="BE2350" s="5146"/>
      <c r="BF2350" s="5146"/>
      <c r="BG2350" s="5146"/>
      <c r="BH2350" s="5152"/>
      <c r="BI2350" s="5123">
        <v>63000</v>
      </c>
      <c r="BJ2350" s="3812"/>
      <c r="BK2350" s="5146"/>
      <c r="BL2350" s="5146"/>
      <c r="BM2350" s="5146"/>
      <c r="BN2350" s="5146"/>
      <c r="BO2350" s="5146"/>
      <c r="BP2350" s="5146"/>
      <c r="BQ2350" s="5146"/>
      <c r="BR2350" s="5146"/>
      <c r="BS2350" s="5146"/>
      <c r="BT2350" s="5146"/>
      <c r="BU2350" s="5146"/>
      <c r="BV2350" s="5152"/>
      <c r="BW2350" s="5123">
        <v>63000</v>
      </c>
      <c r="BX2350" s="5146"/>
      <c r="BY2350" s="5146"/>
      <c r="BZ2350" s="5146"/>
      <c r="CA2350" s="5146"/>
      <c r="CB2350" s="5146"/>
      <c r="CC2350" s="3812"/>
      <c r="CD2350" s="3812"/>
      <c r="CE2350" s="5169">
        <f>SUBTOTAL(9,BO2350:CB2350)</f>
        <v>63000</v>
      </c>
      <c r="CF2350" s="5169">
        <f>AN2350-CE2350</f>
        <v>0</v>
      </c>
      <c r="CG2350" s="5154"/>
      <c r="CH2350" s="5154"/>
    </row>
    <row r="2351" s="4980" customFormat="1" ht="45.85" customHeight="1" spans="1:86">
      <c r="A2351" s="3524"/>
      <c r="B2351" s="857"/>
      <c r="C2351" s="857"/>
      <c r="D2351" s="5059"/>
      <c r="E2351" s="5059"/>
      <c r="F2351" s="5059"/>
      <c r="G2351" s="1032"/>
      <c r="H2351" s="3812"/>
      <c r="I2351" s="5075"/>
      <c r="J2351" s="5059"/>
      <c r="K2351" s="1032"/>
      <c r="L2351" s="5059"/>
      <c r="M2351" s="5059"/>
      <c r="N2351" s="2680"/>
      <c r="O2351" s="2680"/>
      <c r="P2351" s="2680"/>
      <c r="Q2351" s="2680"/>
      <c r="R2351" s="2680"/>
      <c r="S2351" s="2680"/>
      <c r="T2351" s="2680"/>
      <c r="U2351" s="2680"/>
      <c r="V2351" s="2680"/>
      <c r="W2351" s="2680"/>
      <c r="X2351" s="2680"/>
      <c r="Y2351" s="2680"/>
      <c r="Z2351" s="2680"/>
      <c r="AA2351" s="2680"/>
      <c r="AB2351" s="2680"/>
      <c r="AC2351" s="3812">
        <v>4</v>
      </c>
      <c r="AD2351" s="5241" t="s">
        <v>4024</v>
      </c>
      <c r="AE2351" s="5878">
        <v>0.05</v>
      </c>
      <c r="AF2351" s="857">
        <f>M2348*AE2351</f>
        <v>9000</v>
      </c>
      <c r="AG2351" s="5123">
        <v>9000</v>
      </c>
      <c r="AH2351" s="857"/>
      <c r="AI2351" s="3812"/>
      <c r="AJ2351" s="3812"/>
      <c r="AK2351" s="3812"/>
      <c r="AL2351" s="3812"/>
      <c r="AM2351" s="3812"/>
      <c r="AN2351" s="3812">
        <f t="shared" si="506"/>
        <v>0</v>
      </c>
      <c r="AO2351" s="3812"/>
      <c r="AP2351" s="3812">
        <f t="shared" si="507"/>
        <v>9000</v>
      </c>
      <c r="AQ2351" s="5146"/>
      <c r="AR2351" s="3812"/>
      <c r="AS2351" s="5833"/>
      <c r="AT2351" s="5146"/>
      <c r="AU2351" s="3524"/>
      <c r="AV2351" s="3524"/>
      <c r="AW2351" s="3524"/>
      <c r="AX2351" s="3524"/>
      <c r="AY2351" s="3524"/>
      <c r="AZ2351" s="3524"/>
      <c r="BA2351" s="5146"/>
      <c r="BB2351" s="5146"/>
      <c r="BC2351" s="3812"/>
      <c r="BD2351" s="5146"/>
      <c r="BE2351" s="5146"/>
      <c r="BF2351" s="5146"/>
      <c r="BG2351" s="5146"/>
      <c r="BH2351" s="5152"/>
      <c r="BI2351" s="3812"/>
      <c r="BJ2351" s="3812"/>
      <c r="BK2351" s="5146"/>
      <c r="BL2351" s="5146"/>
      <c r="BM2351" s="5146"/>
      <c r="BN2351" s="5146"/>
      <c r="BO2351" s="5146"/>
      <c r="BP2351" s="5146"/>
      <c r="BQ2351" s="5146"/>
      <c r="BR2351" s="5146"/>
      <c r="BS2351" s="5146"/>
      <c r="BT2351" s="5146"/>
      <c r="BU2351" s="5146"/>
      <c r="BV2351" s="5152"/>
      <c r="BW2351" s="5146"/>
      <c r="BX2351" s="5146"/>
      <c r="BY2351" s="5146"/>
      <c r="BZ2351" s="5146"/>
      <c r="CA2351" s="5146"/>
      <c r="CB2351" s="5146"/>
      <c r="CC2351" s="3812"/>
      <c r="CD2351" s="3812"/>
      <c r="CE2351" s="5154"/>
      <c r="CF2351" s="5154"/>
      <c r="CG2351" s="5154"/>
      <c r="CH2351" s="5154"/>
    </row>
    <row r="2352" s="5013" customFormat="1" ht="24" customHeight="1" spans="1:86">
      <c r="A2352" s="3662">
        <v>25</v>
      </c>
      <c r="B2352" s="3814" t="s">
        <v>690</v>
      </c>
      <c r="C2352" s="3814">
        <v>45020</v>
      </c>
      <c r="D2352" s="5055" t="s">
        <v>4025</v>
      </c>
      <c r="E2352" s="1032" t="s">
        <v>4026</v>
      </c>
      <c r="F2352" s="5055" t="s">
        <v>4027</v>
      </c>
      <c r="G2352" s="5055" t="s">
        <v>4028</v>
      </c>
      <c r="H2352" s="3814" t="s">
        <v>1241</v>
      </c>
      <c r="I2352" s="3815"/>
      <c r="J2352" s="5055" t="s">
        <v>3974</v>
      </c>
      <c r="K2352" s="5055">
        <v>3500</v>
      </c>
      <c r="L2352" s="5055" t="s">
        <v>4029</v>
      </c>
      <c r="M2352" s="5060">
        <f>SUM(N2352:AA2359)</f>
        <v>245000</v>
      </c>
      <c r="N2352" s="2680">
        <v>0</v>
      </c>
      <c r="O2352" s="2680">
        <v>0</v>
      </c>
      <c r="P2352" s="2680">
        <v>0</v>
      </c>
      <c r="Q2352" s="2680">
        <v>0</v>
      </c>
      <c r="R2352" s="2680">
        <v>0</v>
      </c>
      <c r="S2352" s="2680">
        <v>0</v>
      </c>
      <c r="T2352" s="5823">
        <v>0</v>
      </c>
      <c r="U2352" s="2680">
        <v>0</v>
      </c>
      <c r="V2352" s="2680">
        <v>0</v>
      </c>
      <c r="W2352" s="2680">
        <v>245000</v>
      </c>
      <c r="X2352" s="2680">
        <v>0</v>
      </c>
      <c r="Y2352" s="2680">
        <v>0</v>
      </c>
      <c r="Z2352" s="2680"/>
      <c r="AA2352" s="2680">
        <v>0</v>
      </c>
      <c r="AB2352" s="2680">
        <v>0</v>
      </c>
      <c r="AC2352" s="3684">
        <v>1</v>
      </c>
      <c r="AD2352" s="5055" t="s">
        <v>3975</v>
      </c>
      <c r="AE2352" s="6016">
        <v>0.7</v>
      </c>
      <c r="AF2352" s="3814">
        <f>M2352*AE2352</f>
        <v>171500</v>
      </c>
      <c r="AG2352" s="4200">
        <f>SUM(BA2352:BN2352)</f>
        <v>68600</v>
      </c>
      <c r="AH2352" s="3909" t="s">
        <v>122</v>
      </c>
      <c r="AI2352" s="4200">
        <v>45212</v>
      </c>
      <c r="AJ2352" s="4200">
        <v>68600</v>
      </c>
      <c r="AK2352" s="4200">
        <v>45212</v>
      </c>
      <c r="AL2352" s="3815">
        <v>68600</v>
      </c>
      <c r="AM2352" s="4200">
        <v>45212</v>
      </c>
      <c r="AN2352" s="3684">
        <f t="shared" si="506"/>
        <v>48020</v>
      </c>
      <c r="AO2352" s="3684">
        <v>45356</v>
      </c>
      <c r="AP2352" s="3684">
        <f t="shared" si="507"/>
        <v>20580</v>
      </c>
      <c r="AQ2352" s="7118" t="s">
        <v>4030</v>
      </c>
      <c r="AR2352" s="3684"/>
      <c r="AS2352" s="6072"/>
      <c r="AT2352" s="5148"/>
      <c r="AU2352" s="3812">
        <f>SUM(AG2352:AG2359)</f>
        <v>186470</v>
      </c>
      <c r="AV2352" s="3812">
        <f>SUM(AL2352:AL2359)</f>
        <v>235470</v>
      </c>
      <c r="AW2352" s="3812">
        <f>SUM(AN2352:AN2359)</f>
        <v>235470</v>
      </c>
      <c r="AX2352" s="3812">
        <f>M2352-AU2352</f>
        <v>58530</v>
      </c>
      <c r="AY2352" s="3812">
        <f>AU2352-AV2352</f>
        <v>-49000</v>
      </c>
      <c r="AZ2352" s="3812">
        <f>AV2352-AW2352</f>
        <v>0</v>
      </c>
      <c r="BA2352" s="5148"/>
      <c r="BB2352" s="5148"/>
      <c r="BC2352" s="3684"/>
      <c r="BD2352" s="5148"/>
      <c r="BE2352" s="5148"/>
      <c r="BF2352" s="5148"/>
      <c r="BG2352" s="5148"/>
      <c r="BH2352" s="5859"/>
      <c r="BI2352" s="3684"/>
      <c r="BJ2352" s="4200">
        <v>68600</v>
      </c>
      <c r="BK2352" s="5148"/>
      <c r="BL2352" s="5148"/>
      <c r="BM2352" s="5148"/>
      <c r="BN2352" s="5148"/>
      <c r="BO2352" s="5148"/>
      <c r="BP2352" s="5148"/>
      <c r="BQ2352" s="5148"/>
      <c r="BR2352" s="5148"/>
      <c r="BS2352" s="5148"/>
      <c r="BT2352" s="5148"/>
      <c r="BU2352" s="3684"/>
      <c r="BV2352" s="5859"/>
      <c r="BW2352" s="5517"/>
      <c r="BX2352" s="3684">
        <v>48020</v>
      </c>
      <c r="BY2352" s="5148"/>
      <c r="BZ2352" s="5148"/>
      <c r="CA2352" s="5148"/>
      <c r="CB2352" s="5148"/>
      <c r="CC2352" s="3684"/>
      <c r="CD2352" s="3684"/>
      <c r="CE2352" s="7129"/>
      <c r="CF2352" s="7129"/>
      <c r="CG2352" s="7129"/>
      <c r="CH2352" s="7129"/>
    </row>
    <row r="2353" s="5013" customFormat="1" ht="24" customHeight="1" spans="1:86">
      <c r="A2353" s="3662"/>
      <c r="B2353" s="3814"/>
      <c r="C2353" s="3814"/>
      <c r="D2353" s="5060"/>
      <c r="E2353" s="5059"/>
      <c r="F2353" s="5060"/>
      <c r="G2353" s="5055"/>
      <c r="H2353" s="3684"/>
      <c r="I2353" s="1837"/>
      <c r="J2353" s="5060"/>
      <c r="K2353" s="5055"/>
      <c r="L2353" s="5060"/>
      <c r="M2353" s="5060"/>
      <c r="N2353" s="2680"/>
      <c r="O2353" s="2680"/>
      <c r="P2353" s="2680"/>
      <c r="Q2353" s="2680"/>
      <c r="R2353" s="2680"/>
      <c r="S2353" s="2680"/>
      <c r="T2353" s="2680"/>
      <c r="U2353" s="2680"/>
      <c r="V2353" s="2680"/>
      <c r="W2353" s="2680"/>
      <c r="X2353" s="2680"/>
      <c r="Y2353" s="2680"/>
      <c r="Z2353" s="2680"/>
      <c r="AA2353" s="2680"/>
      <c r="AB2353" s="2680"/>
      <c r="AC2353" s="3684"/>
      <c r="AD2353" s="5055"/>
      <c r="AE2353" s="6016"/>
      <c r="AF2353" s="3814"/>
      <c r="AG2353" s="4202"/>
      <c r="AH2353" s="3911"/>
      <c r="AI2353" s="4202"/>
      <c r="AJ2353" s="4202"/>
      <c r="AK2353" s="4202"/>
      <c r="AL2353" s="4830"/>
      <c r="AM2353" s="4202"/>
      <c r="AN2353" s="3684">
        <f t="shared" si="506"/>
        <v>20580</v>
      </c>
      <c r="AO2353" s="3684">
        <v>45680</v>
      </c>
      <c r="AP2353" s="3684">
        <f t="shared" si="507"/>
        <v>-20580</v>
      </c>
      <c r="AQ2353" s="7119"/>
      <c r="AR2353" s="3684"/>
      <c r="AS2353" s="6072"/>
      <c r="AT2353" s="5148"/>
      <c r="AU2353" s="3524"/>
      <c r="AV2353" s="3524"/>
      <c r="AW2353" s="3524"/>
      <c r="AX2353" s="3524"/>
      <c r="AY2353" s="3524"/>
      <c r="AZ2353" s="3524"/>
      <c r="BA2353" s="5148"/>
      <c r="BB2353" s="5148"/>
      <c r="BC2353" s="3684"/>
      <c r="BD2353" s="5148"/>
      <c r="BE2353" s="5148"/>
      <c r="BF2353" s="5148"/>
      <c r="BG2353" s="5148"/>
      <c r="BH2353" s="5859"/>
      <c r="BI2353" s="3684"/>
      <c r="BJ2353" s="4202"/>
      <c r="BK2353" s="5148"/>
      <c r="BL2353" s="5148"/>
      <c r="BM2353" s="5148"/>
      <c r="BN2353" s="5148"/>
      <c r="BO2353" s="5148"/>
      <c r="BP2353" s="5148"/>
      <c r="BQ2353" s="5148"/>
      <c r="BR2353" s="5164"/>
      <c r="BS2353" s="5164"/>
      <c r="BT2353" s="5164"/>
      <c r="BU2353" s="5164"/>
      <c r="BV2353" s="5859"/>
      <c r="BW2353" s="3708"/>
      <c r="BX2353" s="5162">
        <v>20580</v>
      </c>
      <c r="BY2353" s="5148"/>
      <c r="BZ2353" s="5148"/>
      <c r="CA2353" s="5148"/>
      <c r="CB2353" s="5148"/>
      <c r="CC2353" s="3684"/>
      <c r="CD2353" s="3684"/>
      <c r="CE2353" s="7129"/>
      <c r="CF2353" s="7129"/>
      <c r="CG2353" s="7129"/>
      <c r="CH2353" s="7129"/>
    </row>
    <row r="2354" s="5013" customFormat="1" ht="24" customHeight="1" spans="1:86">
      <c r="A2354" s="3662"/>
      <c r="B2354" s="3814"/>
      <c r="C2354" s="3814"/>
      <c r="D2354" s="5060"/>
      <c r="E2354" s="5059"/>
      <c r="F2354" s="5060"/>
      <c r="G2354" s="5055"/>
      <c r="H2354" s="3684"/>
      <c r="I2354" s="1837"/>
      <c r="J2354" s="5060"/>
      <c r="K2354" s="5055"/>
      <c r="L2354" s="5060"/>
      <c r="M2354" s="5060"/>
      <c r="N2354" s="2680"/>
      <c r="O2354" s="2680"/>
      <c r="P2354" s="2680"/>
      <c r="Q2354" s="2680"/>
      <c r="R2354" s="2680"/>
      <c r="S2354" s="2680"/>
      <c r="T2354" s="2680"/>
      <c r="U2354" s="2680"/>
      <c r="V2354" s="2680"/>
      <c r="W2354" s="2680"/>
      <c r="X2354" s="2680"/>
      <c r="Y2354" s="2680"/>
      <c r="Z2354" s="2680"/>
      <c r="AA2354" s="2680"/>
      <c r="AB2354" s="2680"/>
      <c r="AC2354" s="3684"/>
      <c r="AD2354" s="5055"/>
      <c r="AE2354" s="6016"/>
      <c r="AF2354" s="3814"/>
      <c r="AG2354" s="4201">
        <f>SUM(AX2354:BJ2356)</f>
        <v>102400</v>
      </c>
      <c r="AH2354" s="3910" t="s">
        <v>122</v>
      </c>
      <c r="AI2354" s="3684">
        <v>45264</v>
      </c>
      <c r="AJ2354" s="3684">
        <v>102400</v>
      </c>
      <c r="AK2354" s="3684">
        <v>45264</v>
      </c>
      <c r="AL2354" s="1837">
        <v>66395</v>
      </c>
      <c r="AM2354" s="3684">
        <v>45324</v>
      </c>
      <c r="AN2354" s="3684">
        <f t="shared" si="506"/>
        <v>66395</v>
      </c>
      <c r="AO2354" s="3684">
        <v>45364</v>
      </c>
      <c r="AP2354" s="3684">
        <f t="shared" si="507"/>
        <v>36005</v>
      </c>
      <c r="AQ2354" s="7119"/>
      <c r="AR2354" s="3684"/>
      <c r="AS2354" s="6072"/>
      <c r="AT2354" s="5148"/>
      <c r="AU2354" s="3524"/>
      <c r="AV2354" s="3524"/>
      <c r="AW2354" s="3524"/>
      <c r="AX2354" s="3524"/>
      <c r="AY2354" s="3524"/>
      <c r="AZ2354" s="3524"/>
      <c r="BA2354" s="5148"/>
      <c r="BB2354" s="5148"/>
      <c r="BC2354" s="3684"/>
      <c r="BD2354" s="5148"/>
      <c r="BE2354" s="5148"/>
      <c r="BF2354" s="5148"/>
      <c r="BG2354" s="5148"/>
      <c r="BH2354" s="5859"/>
      <c r="BI2354" s="3684"/>
      <c r="BJ2354" s="4201">
        <v>102400</v>
      </c>
      <c r="BK2354" s="5148"/>
      <c r="BL2354" s="5148"/>
      <c r="BM2354" s="5148"/>
      <c r="BN2354" s="5148"/>
      <c r="BO2354" s="5148"/>
      <c r="BP2354" s="5148"/>
      <c r="BQ2354" s="5148"/>
      <c r="BR2354" s="5164"/>
      <c r="BS2354" s="5164"/>
      <c r="BT2354" s="5164"/>
      <c r="BU2354" s="5164"/>
      <c r="BV2354" s="6012"/>
      <c r="BW2354" s="3708"/>
      <c r="BX2354" s="3684">
        <v>66395</v>
      </c>
      <c r="BY2354" s="5148"/>
      <c r="BZ2354" s="5148"/>
      <c r="CA2354" s="5148"/>
      <c r="CB2354" s="5148"/>
      <c r="CC2354" s="3684"/>
      <c r="CD2354" s="3684"/>
      <c r="CE2354" s="7129"/>
      <c r="CF2354" s="7129"/>
      <c r="CG2354" s="7129"/>
      <c r="CH2354" s="7129"/>
    </row>
    <row r="2355" s="5013" customFormat="1" ht="24" customHeight="1" spans="1:86">
      <c r="A2355" s="3662"/>
      <c r="B2355" s="3814"/>
      <c r="C2355" s="3814"/>
      <c r="D2355" s="5060"/>
      <c r="E2355" s="5059"/>
      <c r="F2355" s="5060"/>
      <c r="G2355" s="5055"/>
      <c r="H2355" s="3684"/>
      <c r="I2355" s="1837"/>
      <c r="J2355" s="5060"/>
      <c r="K2355" s="5055"/>
      <c r="L2355" s="5060"/>
      <c r="M2355" s="5060"/>
      <c r="N2355" s="2680"/>
      <c r="O2355" s="2680"/>
      <c r="P2355" s="2680"/>
      <c r="Q2355" s="2680"/>
      <c r="R2355" s="2680"/>
      <c r="S2355" s="2680"/>
      <c r="T2355" s="2680"/>
      <c r="U2355" s="2680"/>
      <c r="V2355" s="2680"/>
      <c r="W2355" s="2680"/>
      <c r="X2355" s="2680"/>
      <c r="Y2355" s="2680"/>
      <c r="Z2355" s="2680"/>
      <c r="AA2355" s="2680"/>
      <c r="AB2355" s="2680"/>
      <c r="AC2355" s="3684"/>
      <c r="AD2355" s="5055"/>
      <c r="AE2355" s="6016"/>
      <c r="AF2355" s="3814"/>
      <c r="AG2355" s="4201"/>
      <c r="AH2355" s="3910"/>
      <c r="AI2355" s="3684"/>
      <c r="AJ2355" s="3684"/>
      <c r="AK2355" s="3684"/>
      <c r="AL2355" s="1837">
        <v>26590</v>
      </c>
      <c r="AM2355" s="4200">
        <v>45562</v>
      </c>
      <c r="AN2355" s="4200">
        <f t="shared" si="506"/>
        <v>3763</v>
      </c>
      <c r="AO2355" s="3684">
        <v>45623</v>
      </c>
      <c r="AP2355" s="3684">
        <f t="shared" si="507"/>
        <v>-3763</v>
      </c>
      <c r="AQ2355" s="7119"/>
      <c r="AR2355" s="3684"/>
      <c r="AS2355" s="6072"/>
      <c r="AT2355" s="5148"/>
      <c r="AU2355" s="3524"/>
      <c r="AV2355" s="3524"/>
      <c r="AW2355" s="3524"/>
      <c r="AX2355" s="3524"/>
      <c r="AY2355" s="3524"/>
      <c r="AZ2355" s="3524"/>
      <c r="BA2355" s="5148"/>
      <c r="BB2355" s="5148"/>
      <c r="BC2355" s="3684"/>
      <c r="BD2355" s="5148"/>
      <c r="BE2355" s="5148"/>
      <c r="BF2355" s="5148"/>
      <c r="BG2355" s="5148"/>
      <c r="BH2355" s="5859"/>
      <c r="BI2355" s="3684"/>
      <c r="BJ2355" s="4201"/>
      <c r="BK2355" s="5148"/>
      <c r="BL2355" s="5148"/>
      <c r="BM2355" s="5148"/>
      <c r="BN2355" s="5148"/>
      <c r="BO2355" s="5148"/>
      <c r="BP2355" s="5148"/>
      <c r="BQ2355" s="5148"/>
      <c r="BR2355" s="5164"/>
      <c r="BS2355" s="5164"/>
      <c r="BT2355" s="5164"/>
      <c r="BU2355" s="5164"/>
      <c r="BV2355" s="6012"/>
      <c r="BW2355" s="3708"/>
      <c r="BX2355" s="3684">
        <v>3763</v>
      </c>
      <c r="BY2355" s="5148"/>
      <c r="BZ2355" s="5148"/>
      <c r="CA2355" s="5148"/>
      <c r="CB2355" s="5148"/>
      <c r="CC2355" s="3684"/>
      <c r="CD2355" s="3684"/>
      <c r="CE2355" s="7129"/>
      <c r="CF2355" s="7129"/>
      <c r="CG2355" s="7129"/>
      <c r="CH2355" s="7129"/>
    </row>
    <row r="2356" s="5013" customFormat="1" ht="24" customHeight="1" spans="1:86">
      <c r="A2356" s="3662"/>
      <c r="B2356" s="3814"/>
      <c r="C2356" s="3814"/>
      <c r="D2356" s="5060"/>
      <c r="E2356" s="5059"/>
      <c r="F2356" s="5060"/>
      <c r="G2356" s="5055"/>
      <c r="H2356" s="3684"/>
      <c r="I2356" s="1837"/>
      <c r="J2356" s="5060"/>
      <c r="K2356" s="5055"/>
      <c r="L2356" s="5060"/>
      <c r="M2356" s="5060"/>
      <c r="N2356" s="2680"/>
      <c r="O2356" s="2680"/>
      <c r="P2356" s="2680"/>
      <c r="Q2356" s="2680"/>
      <c r="R2356" s="2680"/>
      <c r="S2356" s="2680"/>
      <c r="T2356" s="2680"/>
      <c r="U2356" s="2680"/>
      <c r="V2356" s="2680"/>
      <c r="W2356" s="2680"/>
      <c r="X2356" s="2680"/>
      <c r="Y2356" s="2680"/>
      <c r="Z2356" s="2680"/>
      <c r="AA2356" s="2680"/>
      <c r="AB2356" s="2680"/>
      <c r="AC2356" s="3684"/>
      <c r="AD2356" s="5055"/>
      <c r="AE2356" s="6016"/>
      <c r="AF2356" s="3814"/>
      <c r="AG2356" s="4202"/>
      <c r="AH2356" s="3911"/>
      <c r="AI2356" s="3684"/>
      <c r="AJ2356" s="3684"/>
      <c r="AK2356" s="3684"/>
      <c r="AL2356" s="4830"/>
      <c r="AM2356" s="4202"/>
      <c r="AN2356" s="3684">
        <f t="shared" si="506"/>
        <v>22827</v>
      </c>
      <c r="AO2356" s="3684">
        <v>45680</v>
      </c>
      <c r="AP2356" s="3684">
        <f t="shared" si="507"/>
        <v>-22827</v>
      </c>
      <c r="AQ2356" s="7119"/>
      <c r="AR2356" s="3684"/>
      <c r="AS2356" s="6072"/>
      <c r="AT2356" s="5148"/>
      <c r="AU2356" s="3524"/>
      <c r="AV2356" s="3524"/>
      <c r="AW2356" s="3524"/>
      <c r="AX2356" s="3524"/>
      <c r="AY2356" s="3524"/>
      <c r="AZ2356" s="3524"/>
      <c r="BA2356" s="5148"/>
      <c r="BB2356" s="5148"/>
      <c r="BC2356" s="3684"/>
      <c r="BD2356" s="5148">
        <v>0</v>
      </c>
      <c r="BE2356" s="5148"/>
      <c r="BF2356" s="5148">
        <v>0</v>
      </c>
      <c r="BG2356" s="5148"/>
      <c r="BH2356" s="5859"/>
      <c r="BI2356" s="3684"/>
      <c r="BJ2356" s="4202"/>
      <c r="BK2356" s="5148"/>
      <c r="BL2356" s="5148"/>
      <c r="BM2356" s="5148"/>
      <c r="BN2356" s="5148"/>
      <c r="BO2356" s="5148"/>
      <c r="BP2356" s="5148"/>
      <c r="BQ2356" s="5148"/>
      <c r="BR2356" s="5164">
        <v>0</v>
      </c>
      <c r="BS2356" s="5164"/>
      <c r="BT2356" s="5164">
        <v>0</v>
      </c>
      <c r="BU2356" s="5164"/>
      <c r="BV2356" s="5859"/>
      <c r="BW2356" s="3708"/>
      <c r="BX2356" s="5162">
        <v>22827</v>
      </c>
      <c r="BY2356" s="5148"/>
      <c r="BZ2356" s="5148"/>
      <c r="CA2356" s="5148"/>
      <c r="CB2356" s="5148"/>
      <c r="CC2356" s="3684"/>
      <c r="CD2356" s="3684"/>
      <c r="CE2356" s="7129"/>
      <c r="CF2356" s="7129"/>
      <c r="CG2356" s="7129"/>
      <c r="CH2356" s="7129"/>
    </row>
    <row r="2357" s="5013" customFormat="1" ht="42" customHeight="1" spans="1:86">
      <c r="A2357" s="3662"/>
      <c r="B2357" s="3814"/>
      <c r="C2357" s="3814"/>
      <c r="D2357" s="5060"/>
      <c r="E2357" s="5059"/>
      <c r="F2357" s="5060"/>
      <c r="G2357" s="5055"/>
      <c r="H2357" s="3684"/>
      <c r="I2357" s="1837"/>
      <c r="J2357" s="5060"/>
      <c r="K2357" s="5055"/>
      <c r="L2357" s="5060"/>
      <c r="M2357" s="5060"/>
      <c r="N2357" s="2680"/>
      <c r="O2357" s="2680"/>
      <c r="P2357" s="2680"/>
      <c r="Q2357" s="2680"/>
      <c r="R2357" s="2680"/>
      <c r="S2357" s="2680"/>
      <c r="T2357" s="2680"/>
      <c r="U2357" s="2680"/>
      <c r="V2357" s="2680"/>
      <c r="W2357" s="2680"/>
      <c r="X2357" s="2680"/>
      <c r="Y2357" s="2680"/>
      <c r="Z2357" s="2680"/>
      <c r="AA2357" s="2680"/>
      <c r="AB2357" s="2680"/>
      <c r="AC2357" s="4200">
        <v>2</v>
      </c>
      <c r="AD2357" s="3911" t="s">
        <v>4031</v>
      </c>
      <c r="AE2357" s="7109">
        <v>0.2</v>
      </c>
      <c r="AF2357" s="1837">
        <f>M2352*AE2357</f>
        <v>49000</v>
      </c>
      <c r="AG2357" s="3684">
        <f>SUM(AX2357:BJ2357)</f>
        <v>49500</v>
      </c>
      <c r="AH2357" s="5055" t="s">
        <v>122</v>
      </c>
      <c r="AI2357" s="3684">
        <v>45280</v>
      </c>
      <c r="AJ2357" s="3684">
        <v>49500</v>
      </c>
      <c r="AK2357" s="3684">
        <v>45280</v>
      </c>
      <c r="AL2357" s="3684">
        <v>49500</v>
      </c>
      <c r="AM2357" s="3684">
        <v>45562</v>
      </c>
      <c r="AN2357" s="3684">
        <f t="shared" si="506"/>
        <v>49500</v>
      </c>
      <c r="AO2357" s="3684">
        <v>45623</v>
      </c>
      <c r="AP2357" s="3684">
        <f t="shared" si="507"/>
        <v>0</v>
      </c>
      <c r="AQ2357" s="7119"/>
      <c r="AR2357" s="3684"/>
      <c r="AS2357" s="6072"/>
      <c r="AT2357" s="5148"/>
      <c r="AU2357" s="3524"/>
      <c r="AV2357" s="3524"/>
      <c r="AW2357" s="3524"/>
      <c r="AX2357" s="3524"/>
      <c r="AY2357" s="3524"/>
      <c r="AZ2357" s="3524"/>
      <c r="BA2357" s="5148"/>
      <c r="BB2357" s="5148"/>
      <c r="BC2357" s="3684"/>
      <c r="BD2357" s="5148">
        <v>16500</v>
      </c>
      <c r="BE2357" s="5148"/>
      <c r="BF2357" s="5148">
        <v>33000</v>
      </c>
      <c r="BG2357" s="5148"/>
      <c r="BH2357" s="5859"/>
      <c r="BI2357" s="3684"/>
      <c r="BJ2357" s="3684"/>
      <c r="BK2357" s="5148"/>
      <c r="BL2357" s="5148"/>
      <c r="BM2357" s="5148"/>
      <c r="BN2357" s="5148"/>
      <c r="BO2357" s="5148"/>
      <c r="BP2357" s="5148"/>
      <c r="BQ2357" s="5148"/>
      <c r="BR2357" s="5517">
        <v>16500</v>
      </c>
      <c r="BS2357" s="5164"/>
      <c r="BT2357" s="5517">
        <v>33000</v>
      </c>
      <c r="BU2357" s="5164"/>
      <c r="BV2357" s="6012"/>
      <c r="BW2357" s="3708"/>
      <c r="BX2357" s="3708"/>
      <c r="BY2357" s="5148"/>
      <c r="BZ2357" s="5148"/>
      <c r="CA2357" s="5148"/>
      <c r="CB2357" s="5148"/>
      <c r="CC2357" s="3684"/>
      <c r="CD2357" s="3684"/>
      <c r="CE2357" s="7129"/>
      <c r="CF2357" s="7129"/>
      <c r="CG2357" s="7129"/>
      <c r="CH2357" s="7129"/>
    </row>
    <row r="2358" s="5013" customFormat="1" ht="40.5" customHeight="1" spans="1:86">
      <c r="A2358" s="3662"/>
      <c r="B2358" s="3814"/>
      <c r="C2358" s="3814"/>
      <c r="D2358" s="5060"/>
      <c r="E2358" s="5059"/>
      <c r="F2358" s="5060"/>
      <c r="G2358" s="5055"/>
      <c r="H2358" s="3684"/>
      <c r="I2358" s="1837"/>
      <c r="J2358" s="5060"/>
      <c r="K2358" s="5055"/>
      <c r="L2358" s="5060"/>
      <c r="M2358" s="5060"/>
      <c r="N2358" s="2680"/>
      <c r="O2358" s="2680"/>
      <c r="P2358" s="2680"/>
      <c r="Q2358" s="2680"/>
      <c r="R2358" s="2680"/>
      <c r="S2358" s="2680"/>
      <c r="T2358" s="2680"/>
      <c r="U2358" s="2680"/>
      <c r="V2358" s="2680"/>
      <c r="W2358" s="2680"/>
      <c r="X2358" s="2680"/>
      <c r="Y2358" s="2680"/>
      <c r="Z2358" s="2680"/>
      <c r="AA2358" s="2680"/>
      <c r="AB2358" s="2680"/>
      <c r="AC2358" s="4202"/>
      <c r="AD2358" s="5388" t="s">
        <v>3976</v>
      </c>
      <c r="AE2358" s="7110"/>
      <c r="AF2358" s="4830"/>
      <c r="AG2358" s="3684">
        <f>SUM(BA2358:BN2358)</f>
        <v>-49000</v>
      </c>
      <c r="AH2358" s="5055" t="s">
        <v>122</v>
      </c>
      <c r="AI2358" s="3684">
        <v>45264</v>
      </c>
      <c r="AJ2358" s="3684">
        <v>-49000</v>
      </c>
      <c r="AK2358" s="3684">
        <v>45264</v>
      </c>
      <c r="AL2358" s="3684"/>
      <c r="AM2358" s="3684"/>
      <c r="AN2358" s="3708">
        <f t="shared" si="506"/>
        <v>0</v>
      </c>
      <c r="AO2358" s="3708"/>
      <c r="AP2358" s="3684">
        <f t="shared" si="507"/>
        <v>-49000</v>
      </c>
      <c r="AQ2358" s="7119"/>
      <c r="AR2358" s="3684"/>
      <c r="AS2358" s="6072"/>
      <c r="AT2358" s="5148"/>
      <c r="AU2358" s="3524"/>
      <c r="AV2358" s="3524"/>
      <c r="AW2358" s="3524"/>
      <c r="AX2358" s="3524"/>
      <c r="AY2358" s="3524"/>
      <c r="AZ2358" s="3524"/>
      <c r="BA2358" s="5148"/>
      <c r="BB2358" s="5148"/>
      <c r="BC2358" s="3684"/>
      <c r="BD2358" s="5148"/>
      <c r="BE2358" s="5148"/>
      <c r="BF2358" s="5148"/>
      <c r="BG2358" s="5148"/>
      <c r="BH2358" s="5859"/>
      <c r="BI2358" s="3684"/>
      <c r="BJ2358" s="3684">
        <v>-49000</v>
      </c>
      <c r="BK2358" s="5148"/>
      <c r="BL2358" s="5148"/>
      <c r="BM2358" s="5148"/>
      <c r="BN2358" s="5148"/>
      <c r="BO2358" s="5148"/>
      <c r="BP2358" s="5148"/>
      <c r="BQ2358" s="5148"/>
      <c r="BR2358" s="5148"/>
      <c r="BS2358" s="5148"/>
      <c r="BT2358" s="5148"/>
      <c r="BU2358" s="3708"/>
      <c r="BV2358" s="5859"/>
      <c r="BW2358" s="3684"/>
      <c r="BX2358" s="3708"/>
      <c r="BY2358" s="5148"/>
      <c r="BZ2358" s="5148"/>
      <c r="CA2358" s="5148"/>
      <c r="CB2358" s="5148"/>
      <c r="CC2358" s="3684"/>
      <c r="CD2358" s="3684"/>
      <c r="CE2358" s="7129"/>
      <c r="CF2358" s="7129"/>
      <c r="CG2358" s="7129"/>
      <c r="CH2358" s="7129"/>
    </row>
    <row r="2359" s="5013" customFormat="1" ht="76" spans="1:86">
      <c r="A2359" s="3662"/>
      <c r="B2359" s="3814"/>
      <c r="C2359" s="3814"/>
      <c r="D2359" s="5060"/>
      <c r="E2359" s="5059"/>
      <c r="F2359" s="5060"/>
      <c r="G2359" s="5055"/>
      <c r="H2359" s="3684"/>
      <c r="I2359" s="4830"/>
      <c r="J2359" s="5060"/>
      <c r="K2359" s="5055"/>
      <c r="L2359" s="5060"/>
      <c r="M2359" s="5060"/>
      <c r="N2359" s="2680"/>
      <c r="O2359" s="2680"/>
      <c r="P2359" s="2680"/>
      <c r="Q2359" s="2680"/>
      <c r="R2359" s="2680"/>
      <c r="S2359" s="2680"/>
      <c r="T2359" s="2680"/>
      <c r="U2359" s="2680"/>
      <c r="V2359" s="2680"/>
      <c r="W2359" s="2680"/>
      <c r="X2359" s="2680"/>
      <c r="Y2359" s="2680"/>
      <c r="Z2359" s="2680"/>
      <c r="AA2359" s="2680"/>
      <c r="AB2359" s="2680"/>
      <c r="AC2359" s="3684">
        <v>3</v>
      </c>
      <c r="AD2359" s="5388" t="s">
        <v>3977</v>
      </c>
      <c r="AE2359" s="6016">
        <v>0.1</v>
      </c>
      <c r="AF2359" s="3814">
        <f>M2352*AE2359</f>
        <v>24500</v>
      </c>
      <c r="AG2359" s="5162">
        <f>SUM(BA2359:BN2359)</f>
        <v>14970</v>
      </c>
      <c r="AH2359" s="5055" t="s">
        <v>122</v>
      </c>
      <c r="AI2359" s="3684">
        <v>45672</v>
      </c>
      <c r="AJ2359" s="3684">
        <v>14970</v>
      </c>
      <c r="AK2359" s="3684">
        <v>45672</v>
      </c>
      <c r="AL2359" s="3684">
        <v>24385</v>
      </c>
      <c r="AM2359" s="3684">
        <v>45673</v>
      </c>
      <c r="AN2359" s="3684">
        <f t="shared" si="506"/>
        <v>24385</v>
      </c>
      <c r="AO2359" s="3684">
        <v>45680</v>
      </c>
      <c r="AP2359" s="3684">
        <f t="shared" ref="AP2359:AP2364" si="508">AG2359-AN2359</f>
        <v>-9415</v>
      </c>
      <c r="AQ2359" s="7120"/>
      <c r="AR2359" s="3684"/>
      <c r="AS2359" s="6072"/>
      <c r="AT2359" s="5148"/>
      <c r="AU2359" s="3524"/>
      <c r="AV2359" s="3524"/>
      <c r="AW2359" s="3524"/>
      <c r="AX2359" s="3524"/>
      <c r="AY2359" s="3524"/>
      <c r="AZ2359" s="3524"/>
      <c r="BA2359" s="5148"/>
      <c r="BB2359" s="5148"/>
      <c r="BC2359" s="3684"/>
      <c r="BD2359" s="5148"/>
      <c r="BE2359" s="5148"/>
      <c r="BF2359" s="5148"/>
      <c r="BG2359" s="5148"/>
      <c r="BH2359" s="5859"/>
      <c r="BI2359" s="3684"/>
      <c r="BJ2359" s="5162">
        <v>14970</v>
      </c>
      <c r="BK2359" s="5148"/>
      <c r="BL2359" s="5148"/>
      <c r="BM2359" s="5148"/>
      <c r="BN2359" s="5148"/>
      <c r="BO2359" s="5148"/>
      <c r="BP2359" s="5148"/>
      <c r="BQ2359" s="5148"/>
      <c r="BR2359" s="5148"/>
      <c r="BS2359" s="5148"/>
      <c r="BT2359" s="5148"/>
      <c r="BU2359" s="5148"/>
      <c r="BV2359" s="5859"/>
      <c r="BW2359" s="5148"/>
      <c r="BX2359" s="5162">
        <v>24385</v>
      </c>
      <c r="BY2359" s="5148"/>
      <c r="BZ2359" s="5148"/>
      <c r="CA2359" s="5148"/>
      <c r="CB2359" s="5148"/>
      <c r="CC2359" s="3684"/>
      <c r="CD2359" s="3684"/>
      <c r="CE2359" s="7129"/>
      <c r="CF2359" s="7129"/>
      <c r="CG2359" s="7129"/>
      <c r="CH2359" s="7129"/>
    </row>
    <row r="2360" s="4980" customFormat="1" ht="24" customHeight="1" spans="1:86">
      <c r="A2360" s="2680">
        <v>25</v>
      </c>
      <c r="B2360" s="857" t="s">
        <v>690</v>
      </c>
      <c r="C2360" s="857">
        <v>45020</v>
      </c>
      <c r="D2360" s="1032" t="s">
        <v>4032</v>
      </c>
      <c r="E2360" s="1032" t="s">
        <v>4033</v>
      </c>
      <c r="F2360" s="1032" t="s">
        <v>4034</v>
      </c>
      <c r="G2360" s="1032" t="s">
        <v>4035</v>
      </c>
      <c r="H2360" s="857" t="s">
        <v>1241</v>
      </c>
      <c r="I2360" s="3366"/>
      <c r="J2360" s="1032" t="s">
        <v>3974</v>
      </c>
      <c r="K2360" s="1032">
        <v>600</v>
      </c>
      <c r="L2360" s="1032" t="s">
        <v>2184</v>
      </c>
      <c r="M2360" s="5059">
        <f>SUM(N2360:AA2363)</f>
        <v>27000</v>
      </c>
      <c r="N2360" s="2680">
        <v>0</v>
      </c>
      <c r="O2360" s="2680">
        <v>0</v>
      </c>
      <c r="P2360" s="2680">
        <v>0</v>
      </c>
      <c r="Q2360" s="2680">
        <v>0</v>
      </c>
      <c r="R2360" s="2680">
        <v>0</v>
      </c>
      <c r="S2360" s="2680">
        <v>0</v>
      </c>
      <c r="T2360" s="5823">
        <v>0</v>
      </c>
      <c r="U2360" s="2680">
        <v>0</v>
      </c>
      <c r="V2360" s="2680">
        <v>0</v>
      </c>
      <c r="W2360" s="2680">
        <v>27000</v>
      </c>
      <c r="X2360" s="2680">
        <v>0</v>
      </c>
      <c r="Y2360" s="2680">
        <v>0</v>
      </c>
      <c r="Z2360" s="2680"/>
      <c r="AA2360" s="2680">
        <v>0</v>
      </c>
      <c r="AB2360" s="2680">
        <v>0</v>
      </c>
      <c r="AC2360" s="4840">
        <v>1</v>
      </c>
      <c r="AD2360" s="5073" t="s">
        <v>3975</v>
      </c>
      <c r="AE2360" s="5921">
        <v>0.7</v>
      </c>
      <c r="AF2360" s="3366">
        <f>M2360*AE2360</f>
        <v>18900</v>
      </c>
      <c r="AG2360" s="3812">
        <f>SUM(BA2360:BN2360)</f>
        <v>7020</v>
      </c>
      <c r="AH2360" s="1032" t="s">
        <v>122</v>
      </c>
      <c r="AI2360" s="3812">
        <v>45231</v>
      </c>
      <c r="AJ2360" s="3812">
        <v>7020</v>
      </c>
      <c r="AK2360" s="3812">
        <v>45231</v>
      </c>
      <c r="AL2360" s="857">
        <v>7020</v>
      </c>
      <c r="AM2360" s="3812">
        <v>45231</v>
      </c>
      <c r="AN2360" s="3812">
        <f t="shared" ref="AN2359:AN2369" si="509">SUM(BO2360:CB2360)</f>
        <v>5616</v>
      </c>
      <c r="AO2360" s="3812">
        <v>45260</v>
      </c>
      <c r="AP2360" s="3812">
        <f t="shared" si="508"/>
        <v>1404</v>
      </c>
      <c r="AQ2360" s="5146"/>
      <c r="AR2360" s="3812"/>
      <c r="AS2360" s="5833"/>
      <c r="AT2360" s="5146"/>
      <c r="AU2360" s="2678">
        <f>SUM(AG2360:AG2363)</f>
        <v>12420</v>
      </c>
      <c r="AV2360" s="2678">
        <f>SUM(AL2360:AL2363)</f>
        <v>7020</v>
      </c>
      <c r="AW2360" s="2678">
        <f>SUM(AN2360:AN2363)</f>
        <v>11016</v>
      </c>
      <c r="AX2360" s="2678">
        <f>M2360-AU2360</f>
        <v>14580</v>
      </c>
      <c r="AY2360" s="2678">
        <f>AU2360-AV2360</f>
        <v>5400</v>
      </c>
      <c r="AZ2360" s="2678">
        <f>AV2360-AW2360</f>
        <v>-3996</v>
      </c>
      <c r="BA2360" s="5146"/>
      <c r="BB2360" s="5146"/>
      <c r="BC2360" s="3812"/>
      <c r="BD2360" s="5146"/>
      <c r="BE2360" s="5146"/>
      <c r="BF2360" s="5146"/>
      <c r="BG2360" s="5146"/>
      <c r="BH2360" s="5152"/>
      <c r="BI2360" s="3812"/>
      <c r="BJ2360" s="857">
        <v>7020</v>
      </c>
      <c r="BK2360" s="5146"/>
      <c r="BL2360" s="5146"/>
      <c r="BM2360" s="5146"/>
      <c r="BN2360" s="5146"/>
      <c r="BO2360" s="5146"/>
      <c r="BP2360" s="5146"/>
      <c r="BQ2360" s="5146"/>
      <c r="BR2360" s="5146"/>
      <c r="BS2360" s="5160"/>
      <c r="BT2360" s="5160"/>
      <c r="BU2360" s="5160"/>
      <c r="BV2360" s="5948"/>
      <c r="BW2360" s="6023"/>
      <c r="BX2360" s="857">
        <f>7020*0.8</f>
        <v>5616</v>
      </c>
      <c r="BY2360" s="5160"/>
      <c r="BZ2360" s="5160"/>
      <c r="CA2360" s="5160"/>
      <c r="CB2360" s="5160"/>
      <c r="CC2360" s="3812"/>
      <c r="CD2360" s="3812"/>
      <c r="CE2360" s="5154"/>
      <c r="CF2360" s="5154"/>
      <c r="CG2360" s="5154"/>
      <c r="CH2360" s="5154"/>
    </row>
    <row r="2361" s="4980" customFormat="1" ht="24" customHeight="1" spans="1:86">
      <c r="A2361" s="2680"/>
      <c r="B2361" s="857"/>
      <c r="C2361" s="857"/>
      <c r="D2361" s="5059"/>
      <c r="E2361" s="5059"/>
      <c r="F2361" s="5059"/>
      <c r="G2361" s="1032"/>
      <c r="H2361" s="3812"/>
      <c r="I2361" s="3408"/>
      <c r="J2361" s="5059"/>
      <c r="K2361" s="1032"/>
      <c r="L2361" s="5059"/>
      <c r="M2361" s="5059"/>
      <c r="N2361" s="2680"/>
      <c r="O2361" s="2680"/>
      <c r="P2361" s="2680"/>
      <c r="Q2361" s="2680"/>
      <c r="R2361" s="2680"/>
      <c r="S2361" s="2680"/>
      <c r="T2361" s="2680"/>
      <c r="U2361" s="2680"/>
      <c r="V2361" s="2680"/>
      <c r="W2361" s="2680"/>
      <c r="X2361" s="2680"/>
      <c r="Y2361" s="2680"/>
      <c r="Z2361" s="2680"/>
      <c r="AA2361" s="2680"/>
      <c r="AB2361" s="2680"/>
      <c r="AC2361" s="4842"/>
      <c r="AD2361" s="5206"/>
      <c r="AE2361" s="5922"/>
      <c r="AF2361" s="3409"/>
      <c r="AG2361" s="5123"/>
      <c r="AH2361" s="3406"/>
      <c r="AI2361" s="5123"/>
      <c r="AJ2361" s="3812"/>
      <c r="AK2361" s="3812"/>
      <c r="AL2361" s="3812"/>
      <c r="AM2361" s="3812"/>
      <c r="AN2361" s="3812"/>
      <c r="AO2361" s="3812"/>
      <c r="AP2361" s="3812"/>
      <c r="AQ2361" s="5146"/>
      <c r="AR2361" s="3812"/>
      <c r="AS2361" s="5833"/>
      <c r="AT2361" s="5146"/>
      <c r="AU2361" s="2678"/>
      <c r="AV2361" s="2678"/>
      <c r="AW2361" s="2678"/>
      <c r="AX2361" s="2678"/>
      <c r="AY2361" s="2678"/>
      <c r="AZ2361" s="2678"/>
      <c r="BA2361" s="5146"/>
      <c r="BB2361" s="5146"/>
      <c r="BC2361" s="3812"/>
      <c r="BD2361" s="5146"/>
      <c r="BE2361" s="5146"/>
      <c r="BF2361" s="5146"/>
      <c r="BG2361" s="5146"/>
      <c r="BH2361" s="5152"/>
      <c r="BI2361" s="3812"/>
      <c r="BJ2361" s="3406"/>
      <c r="BK2361" s="5146"/>
      <c r="BL2361" s="5146"/>
      <c r="BM2361" s="5146"/>
      <c r="BN2361" s="5146"/>
      <c r="BO2361" s="5146"/>
      <c r="BP2361" s="5146"/>
      <c r="BQ2361" s="5146"/>
      <c r="BR2361" s="5146"/>
      <c r="BS2361" s="5146"/>
      <c r="BT2361" s="5146"/>
      <c r="BU2361" s="5146"/>
      <c r="BV2361" s="5152"/>
      <c r="BW2361" s="3812"/>
      <c r="BX2361" s="3406"/>
      <c r="BY2361" s="5146"/>
      <c r="BZ2361" s="5146"/>
      <c r="CA2361" s="5146"/>
      <c r="CB2361" s="5146"/>
      <c r="CC2361" s="3812"/>
      <c r="CD2361" s="3812"/>
      <c r="CE2361" s="5154"/>
      <c r="CF2361" s="5154"/>
      <c r="CG2361" s="5154"/>
      <c r="CH2361" s="5154"/>
    </row>
    <row r="2362" s="4980" customFormat="1" ht="46.5" customHeight="1" spans="1:86">
      <c r="A2362" s="2680"/>
      <c r="B2362" s="857"/>
      <c r="C2362" s="857"/>
      <c r="D2362" s="5059"/>
      <c r="E2362" s="5059"/>
      <c r="F2362" s="5059"/>
      <c r="G2362" s="1032"/>
      <c r="H2362" s="3812"/>
      <c r="I2362" s="3408"/>
      <c r="J2362" s="5059"/>
      <c r="K2362" s="1032"/>
      <c r="L2362" s="5059"/>
      <c r="M2362" s="5059"/>
      <c r="N2362" s="2680"/>
      <c r="O2362" s="2680"/>
      <c r="P2362" s="2680"/>
      <c r="Q2362" s="2680"/>
      <c r="R2362" s="2680"/>
      <c r="S2362" s="2680"/>
      <c r="T2362" s="2680"/>
      <c r="U2362" s="2680"/>
      <c r="V2362" s="2680"/>
      <c r="W2362" s="2680"/>
      <c r="X2362" s="2680"/>
      <c r="Y2362" s="2680"/>
      <c r="Z2362" s="2680"/>
      <c r="AA2362" s="2680"/>
      <c r="AB2362" s="2680"/>
      <c r="AC2362" s="3812">
        <v>2</v>
      </c>
      <c r="AD2362" s="1032" t="s">
        <v>3976</v>
      </c>
      <c r="AE2362" s="5878">
        <v>0.2</v>
      </c>
      <c r="AF2362" s="857">
        <f>M2360*AE2362</f>
        <v>5400</v>
      </c>
      <c r="AG2362" s="5123">
        <f>SUM(BA2362:BN2362)</f>
        <v>5400</v>
      </c>
      <c r="AH2362" s="3406"/>
      <c r="AI2362" s="5123"/>
      <c r="AJ2362" s="3812"/>
      <c r="AK2362" s="3812"/>
      <c r="AL2362" s="3812"/>
      <c r="AM2362" s="3812"/>
      <c r="AN2362" s="3812">
        <f t="shared" si="509"/>
        <v>5400</v>
      </c>
      <c r="AO2362" s="3812"/>
      <c r="AP2362" s="3812">
        <f t="shared" si="508"/>
        <v>0</v>
      </c>
      <c r="AQ2362" s="5146"/>
      <c r="AR2362" s="3812"/>
      <c r="AS2362" s="5833"/>
      <c r="AT2362" s="5146"/>
      <c r="AU2362" s="2678"/>
      <c r="AV2362" s="2678"/>
      <c r="AW2362" s="2678"/>
      <c r="AX2362" s="2678"/>
      <c r="AY2362" s="2678"/>
      <c r="AZ2362" s="2678"/>
      <c r="BA2362" s="5146"/>
      <c r="BB2362" s="5146"/>
      <c r="BC2362" s="3812"/>
      <c r="BD2362" s="5146"/>
      <c r="BE2362" s="5146"/>
      <c r="BF2362" s="5146"/>
      <c r="BG2362" s="5146"/>
      <c r="BH2362" s="5152"/>
      <c r="BI2362" s="3812"/>
      <c r="BJ2362" s="3406">
        <v>5400</v>
      </c>
      <c r="BK2362" s="5146"/>
      <c r="BL2362" s="5146"/>
      <c r="BM2362" s="5146"/>
      <c r="BN2362" s="5146"/>
      <c r="BO2362" s="5146"/>
      <c r="BP2362" s="5146"/>
      <c r="BQ2362" s="5146"/>
      <c r="BR2362" s="5146"/>
      <c r="BS2362" s="5146"/>
      <c r="BT2362" s="5146"/>
      <c r="BU2362" s="5146"/>
      <c r="BV2362" s="5152"/>
      <c r="BW2362" s="3812"/>
      <c r="BX2362" s="3406">
        <v>5400</v>
      </c>
      <c r="BY2362" s="5146"/>
      <c r="BZ2362" s="5146"/>
      <c r="CA2362" s="5146"/>
      <c r="CB2362" s="5146"/>
      <c r="CC2362" s="3812"/>
      <c r="CD2362" s="3812"/>
      <c r="CE2362" s="5154"/>
      <c r="CF2362" s="5154"/>
      <c r="CG2362" s="5154"/>
      <c r="CH2362" s="5154"/>
    </row>
    <row r="2363" s="4980" customFormat="1" ht="76" spans="1:86">
      <c r="A2363" s="3524"/>
      <c r="B2363" s="857"/>
      <c r="C2363" s="857"/>
      <c r="D2363" s="5059"/>
      <c r="E2363" s="5059"/>
      <c r="F2363" s="5059"/>
      <c r="G2363" s="1032"/>
      <c r="H2363" s="3812"/>
      <c r="I2363" s="3409"/>
      <c r="J2363" s="5059"/>
      <c r="K2363" s="1032"/>
      <c r="L2363" s="5059"/>
      <c r="M2363" s="5059"/>
      <c r="N2363" s="2680"/>
      <c r="O2363" s="2680"/>
      <c r="P2363" s="2680"/>
      <c r="Q2363" s="2680"/>
      <c r="R2363" s="2680"/>
      <c r="S2363" s="2680"/>
      <c r="T2363" s="2680"/>
      <c r="U2363" s="2680"/>
      <c r="V2363" s="2680"/>
      <c r="W2363" s="2680"/>
      <c r="X2363" s="2680"/>
      <c r="Y2363" s="2680"/>
      <c r="Z2363" s="2680"/>
      <c r="AA2363" s="2680"/>
      <c r="AB2363" s="2680"/>
      <c r="AC2363" s="3812">
        <v>3</v>
      </c>
      <c r="AD2363" s="5241" t="s">
        <v>3977</v>
      </c>
      <c r="AE2363" s="5878">
        <v>0.1</v>
      </c>
      <c r="AF2363" s="857">
        <f>M2360*AE2363</f>
        <v>2700</v>
      </c>
      <c r="AG2363" s="3812">
        <f>SUM(BA2363:BN2363)</f>
        <v>0</v>
      </c>
      <c r="AH2363" s="857"/>
      <c r="AI2363" s="3812"/>
      <c r="AJ2363" s="3812"/>
      <c r="AK2363" s="3812"/>
      <c r="AL2363" s="3812"/>
      <c r="AM2363" s="3812"/>
      <c r="AN2363" s="3812">
        <f t="shared" si="509"/>
        <v>0</v>
      </c>
      <c r="AO2363" s="3812"/>
      <c r="AP2363" s="3812">
        <f t="shared" si="508"/>
        <v>0</v>
      </c>
      <c r="AQ2363" s="5146"/>
      <c r="AR2363" s="3812"/>
      <c r="AS2363" s="5833"/>
      <c r="AT2363" s="5146"/>
      <c r="AU2363" s="3812"/>
      <c r="AV2363" s="3812"/>
      <c r="AW2363" s="3812"/>
      <c r="AX2363" s="3812"/>
      <c r="AY2363" s="3812"/>
      <c r="AZ2363" s="3812"/>
      <c r="BA2363" s="5146"/>
      <c r="BB2363" s="5146"/>
      <c r="BC2363" s="3812"/>
      <c r="BD2363" s="5146"/>
      <c r="BE2363" s="5146"/>
      <c r="BF2363" s="5146"/>
      <c r="BG2363" s="5146"/>
      <c r="BH2363" s="5152"/>
      <c r="BI2363" s="3812"/>
      <c r="BJ2363" s="3812"/>
      <c r="BK2363" s="5146"/>
      <c r="BL2363" s="5146"/>
      <c r="BM2363" s="5146"/>
      <c r="BN2363" s="5146"/>
      <c r="BO2363" s="5146"/>
      <c r="BP2363" s="5146"/>
      <c r="BQ2363" s="5146"/>
      <c r="BR2363" s="5146"/>
      <c r="BS2363" s="5146"/>
      <c r="BT2363" s="5146"/>
      <c r="BU2363" s="5146"/>
      <c r="BV2363" s="5152"/>
      <c r="BW2363" s="5146"/>
      <c r="BX2363" s="5146"/>
      <c r="BY2363" s="5146"/>
      <c r="BZ2363" s="5146"/>
      <c r="CA2363" s="5146"/>
      <c r="CB2363" s="5146"/>
      <c r="CC2363" s="3812"/>
      <c r="CD2363" s="3812"/>
      <c r="CE2363" s="5154"/>
      <c r="CF2363" s="5154"/>
      <c r="CG2363" s="5154"/>
      <c r="CH2363" s="5154"/>
    </row>
    <row r="2364" s="4980" customFormat="1" ht="18.75" customHeight="1" spans="1:86">
      <c r="A2364" s="2680">
        <v>25</v>
      </c>
      <c r="B2364" s="857" t="s">
        <v>690</v>
      </c>
      <c r="C2364" s="857">
        <v>45161</v>
      </c>
      <c r="D2364" s="1032" t="s">
        <v>4036</v>
      </c>
      <c r="E2364" s="1032" t="s">
        <v>4037</v>
      </c>
      <c r="F2364" s="1032" t="s">
        <v>4038</v>
      </c>
      <c r="G2364" s="1032" t="s">
        <v>4039</v>
      </c>
      <c r="H2364" s="857" t="s">
        <v>1241</v>
      </c>
      <c r="I2364" s="3366"/>
      <c r="J2364" s="1032" t="s">
        <v>4040</v>
      </c>
      <c r="K2364" s="1032" t="s">
        <v>4041</v>
      </c>
      <c r="L2364" s="1032" t="s">
        <v>4042</v>
      </c>
      <c r="M2364" s="5059">
        <f>SUM(N2364:AA2370)</f>
        <v>169600</v>
      </c>
      <c r="N2364" s="2680">
        <v>0</v>
      </c>
      <c r="O2364" s="2680">
        <v>0</v>
      </c>
      <c r="P2364" s="2680">
        <v>0</v>
      </c>
      <c r="Q2364" s="2680">
        <v>0</v>
      </c>
      <c r="R2364" s="2680">
        <v>0</v>
      </c>
      <c r="S2364" s="2680">
        <v>0</v>
      </c>
      <c r="T2364" s="5823">
        <v>0</v>
      </c>
      <c r="U2364" s="2680">
        <v>0</v>
      </c>
      <c r="V2364" s="2680">
        <v>0</v>
      </c>
      <c r="W2364" s="2680">
        <v>169600</v>
      </c>
      <c r="X2364" s="2680">
        <v>0</v>
      </c>
      <c r="Y2364" s="2680">
        <v>0</v>
      </c>
      <c r="Z2364" s="2680"/>
      <c r="AA2364" s="2680">
        <v>0</v>
      </c>
      <c r="AB2364" s="2680">
        <v>0</v>
      </c>
      <c r="AC2364" s="4840">
        <v>1</v>
      </c>
      <c r="AD2364" s="5073" t="s">
        <v>4043</v>
      </c>
      <c r="AE2364" s="5921">
        <v>0.85</v>
      </c>
      <c r="AF2364" s="3366">
        <f>M2364*AE2364</f>
        <v>144160</v>
      </c>
      <c r="AG2364" s="3812">
        <f>SUM(BA2364:BN2364)</f>
        <v>43340.62</v>
      </c>
      <c r="AH2364" s="857" t="s">
        <v>122</v>
      </c>
      <c r="AI2364" s="3812">
        <v>45163</v>
      </c>
      <c r="AJ2364" s="3812">
        <v>43340.62</v>
      </c>
      <c r="AK2364" s="3812">
        <v>45163</v>
      </c>
      <c r="AL2364" s="857">
        <v>43340.62</v>
      </c>
      <c r="AM2364" s="3812">
        <v>45166</v>
      </c>
      <c r="AN2364" s="3812">
        <f t="shared" si="509"/>
        <v>43340.62</v>
      </c>
      <c r="AO2364" s="3812">
        <v>45197</v>
      </c>
      <c r="AP2364" s="3812">
        <f t="shared" si="508"/>
        <v>0</v>
      </c>
      <c r="AQ2364" s="5146"/>
      <c r="AR2364" s="3812"/>
      <c r="AS2364" s="5833"/>
      <c r="AT2364" s="5146"/>
      <c r="AU2364" s="6746">
        <f>SUM(AG2364:AG2370)</f>
        <v>106874.29</v>
      </c>
      <c r="AV2364" s="6746">
        <f>SUM(AL2364:AL2370)</f>
        <v>106874.29</v>
      </c>
      <c r="AW2364" s="6746">
        <f>SUM(AN2364:AN2370)</f>
        <v>106874.29</v>
      </c>
      <c r="AX2364" s="6746">
        <f>M2364-AU2364</f>
        <v>62725.71</v>
      </c>
      <c r="AY2364" s="6746">
        <f>AU2364-AV2364</f>
        <v>0</v>
      </c>
      <c r="AZ2364" s="6746">
        <f>AV2364-AW2364</f>
        <v>0</v>
      </c>
      <c r="BA2364" s="5146"/>
      <c r="BB2364" s="5146"/>
      <c r="BC2364" s="3812"/>
      <c r="BD2364" s="5146"/>
      <c r="BE2364" s="5146"/>
      <c r="BF2364" s="5146"/>
      <c r="BG2364" s="5146"/>
      <c r="BH2364" s="5152"/>
      <c r="BI2364" s="3812"/>
      <c r="BJ2364" s="3812">
        <v>43340.62</v>
      </c>
      <c r="BK2364" s="5146"/>
      <c r="BL2364" s="5146"/>
      <c r="BM2364" s="5146"/>
      <c r="BN2364" s="5146"/>
      <c r="BO2364" s="5146"/>
      <c r="BP2364" s="5146"/>
      <c r="BQ2364" s="5146"/>
      <c r="BR2364" s="5146"/>
      <c r="BS2364" s="5146"/>
      <c r="BT2364" s="5146"/>
      <c r="BU2364" s="3812"/>
      <c r="BV2364" s="5152"/>
      <c r="BW2364" s="5741"/>
      <c r="BX2364" s="3812">
        <v>43340.62</v>
      </c>
      <c r="BY2364" s="5146"/>
      <c r="BZ2364" s="5146"/>
      <c r="CA2364" s="5146"/>
      <c r="CB2364" s="5146"/>
      <c r="CC2364" s="3812"/>
      <c r="CD2364" s="3812"/>
      <c r="CE2364" s="5154"/>
      <c r="CF2364" s="5154"/>
      <c r="CG2364" s="5154"/>
      <c r="CH2364" s="5154"/>
    </row>
    <row r="2365" s="4980" customFormat="1" ht="18.75" customHeight="1" spans="1:86">
      <c r="A2365" s="2680"/>
      <c r="B2365" s="857"/>
      <c r="C2365" s="857"/>
      <c r="D2365" s="1032"/>
      <c r="E2365" s="5059"/>
      <c r="F2365" s="1032"/>
      <c r="G2365" s="1032"/>
      <c r="H2365" s="857"/>
      <c r="I2365" s="3408"/>
      <c r="J2365" s="1032"/>
      <c r="K2365" s="1032"/>
      <c r="L2365" s="1032"/>
      <c r="M2365" s="5059"/>
      <c r="N2365" s="2680"/>
      <c r="O2365" s="2680"/>
      <c r="P2365" s="2680"/>
      <c r="Q2365" s="2680"/>
      <c r="R2365" s="2680"/>
      <c r="S2365" s="2680"/>
      <c r="T2365" s="2680"/>
      <c r="U2365" s="2680"/>
      <c r="V2365" s="2680"/>
      <c r="W2365" s="2680"/>
      <c r="X2365" s="2680"/>
      <c r="Y2365" s="2680"/>
      <c r="Z2365" s="2680"/>
      <c r="AA2365" s="2680"/>
      <c r="AB2365" s="2680"/>
      <c r="AC2365" s="4841"/>
      <c r="AD2365" s="5205"/>
      <c r="AE2365" s="7108"/>
      <c r="AF2365" s="3408"/>
      <c r="AG2365" s="4840">
        <v>47649.78</v>
      </c>
      <c r="AH2365" s="3366" t="s">
        <v>122</v>
      </c>
      <c r="AI2365" s="4840">
        <v>45231</v>
      </c>
      <c r="AJ2365" s="4840">
        <v>47649.78</v>
      </c>
      <c r="AK2365" s="4840">
        <v>45231</v>
      </c>
      <c r="AL2365" s="857">
        <v>7648.35</v>
      </c>
      <c r="AM2365" s="3812">
        <v>45233</v>
      </c>
      <c r="AN2365" s="5258">
        <f t="shared" si="509"/>
        <v>7648.35</v>
      </c>
      <c r="AO2365" s="7121"/>
      <c r="AP2365" s="3812"/>
      <c r="AQ2365" s="5146"/>
      <c r="AR2365" s="3812"/>
      <c r="AS2365" s="5833"/>
      <c r="AT2365" s="5146"/>
      <c r="AU2365" s="6746"/>
      <c r="AV2365" s="6746"/>
      <c r="AW2365" s="6746"/>
      <c r="AX2365" s="6746"/>
      <c r="AY2365" s="6746"/>
      <c r="AZ2365" s="6746"/>
      <c r="BA2365" s="5146"/>
      <c r="BB2365" s="5146"/>
      <c r="BC2365" s="3812"/>
      <c r="BD2365" s="5146"/>
      <c r="BE2365" s="5146"/>
      <c r="BF2365" s="5146"/>
      <c r="BG2365" s="5146"/>
      <c r="BH2365" s="5152"/>
      <c r="BI2365" s="3812"/>
      <c r="BJ2365" s="857">
        <v>7648.35</v>
      </c>
      <c r="BK2365" s="5146"/>
      <c r="BL2365" s="5146"/>
      <c r="BM2365" s="5146"/>
      <c r="BN2365" s="5146"/>
      <c r="BO2365" s="5146"/>
      <c r="BP2365" s="5146"/>
      <c r="BQ2365" s="5146"/>
      <c r="BR2365" s="5146"/>
      <c r="BS2365" s="5160"/>
      <c r="BT2365" s="5160"/>
      <c r="BU2365" s="5123"/>
      <c r="BV2365" s="5948"/>
      <c r="BW2365" s="6023"/>
      <c r="BX2365" s="857">
        <v>7648.35</v>
      </c>
      <c r="BY2365" s="5160"/>
      <c r="BZ2365" s="5160"/>
      <c r="CA2365" s="5160"/>
      <c r="CB2365" s="5160"/>
      <c r="CC2365" s="3812"/>
      <c r="CD2365" s="3812"/>
      <c r="CE2365" s="5154"/>
      <c r="CF2365" s="5154"/>
      <c r="CG2365" s="5154"/>
      <c r="CH2365" s="5154"/>
    </row>
    <row r="2366" s="4980" customFormat="1" ht="18.75" customHeight="1" spans="1:86">
      <c r="A2366" s="2680"/>
      <c r="B2366" s="857"/>
      <c r="C2366" s="857"/>
      <c r="D2366" s="1032"/>
      <c r="E2366" s="5059"/>
      <c r="F2366" s="1032"/>
      <c r="G2366" s="1032"/>
      <c r="H2366" s="857"/>
      <c r="I2366" s="3408"/>
      <c r="J2366" s="1032"/>
      <c r="K2366" s="1032"/>
      <c r="L2366" s="1032"/>
      <c r="M2366" s="5059"/>
      <c r="N2366" s="2680"/>
      <c r="O2366" s="2680"/>
      <c r="P2366" s="2680"/>
      <c r="Q2366" s="2680"/>
      <c r="R2366" s="2680"/>
      <c r="S2366" s="2680"/>
      <c r="T2366" s="2680"/>
      <c r="U2366" s="2680"/>
      <c r="V2366" s="2680"/>
      <c r="W2366" s="2680"/>
      <c r="X2366" s="2680"/>
      <c r="Y2366" s="2680"/>
      <c r="Z2366" s="2680"/>
      <c r="AA2366" s="2680"/>
      <c r="AB2366" s="2680"/>
      <c r="AC2366" s="4841"/>
      <c r="AD2366" s="5205"/>
      <c r="AE2366" s="7108"/>
      <c r="AF2366" s="3408"/>
      <c r="AG2366" s="4841"/>
      <c r="AH2366" s="3408"/>
      <c r="AI2366" s="4840">
        <v>45231</v>
      </c>
      <c r="AJ2366" s="4841"/>
      <c r="AK2366" s="4841"/>
      <c r="AL2366" s="857">
        <v>34001.22</v>
      </c>
      <c r="AM2366" s="3812">
        <v>45233</v>
      </c>
      <c r="AN2366" s="3812">
        <f t="shared" si="509"/>
        <v>34001.22</v>
      </c>
      <c r="AO2366" s="4842">
        <v>45303</v>
      </c>
      <c r="AP2366" s="3812"/>
      <c r="AQ2366" s="5146"/>
      <c r="AR2366" s="3812"/>
      <c r="AS2366" s="5833"/>
      <c r="AT2366" s="5146"/>
      <c r="AU2366" s="6746"/>
      <c r="AV2366" s="6746"/>
      <c r="AW2366" s="6746"/>
      <c r="AX2366" s="6746"/>
      <c r="AY2366" s="6746"/>
      <c r="AZ2366" s="6746"/>
      <c r="BA2366" s="5146"/>
      <c r="BB2366" s="5146"/>
      <c r="BC2366" s="3812"/>
      <c r="BD2366" s="5146"/>
      <c r="BE2366" s="5146"/>
      <c r="BF2366" s="5146"/>
      <c r="BG2366" s="5146"/>
      <c r="BH2366" s="5152"/>
      <c r="BI2366" s="3812"/>
      <c r="BJ2366" s="857">
        <v>34001.22</v>
      </c>
      <c r="BK2366" s="5146"/>
      <c r="BL2366" s="5146"/>
      <c r="BM2366" s="5146"/>
      <c r="BN2366" s="5146"/>
      <c r="BO2366" s="5146"/>
      <c r="BP2366" s="5146"/>
      <c r="BQ2366" s="5146"/>
      <c r="BR2366" s="5146"/>
      <c r="BS2366" s="5160"/>
      <c r="BT2366" s="5160"/>
      <c r="BU2366" s="5123"/>
      <c r="BV2366" s="5948"/>
      <c r="BW2366" s="6023"/>
      <c r="BX2366" s="857">
        <v>34001.22</v>
      </c>
      <c r="BY2366" s="5160"/>
      <c r="BZ2366" s="5160"/>
      <c r="CA2366" s="5160"/>
      <c r="CB2366" s="5160"/>
      <c r="CC2366" s="3812"/>
      <c r="CD2366" s="3812"/>
      <c r="CE2366" s="5154"/>
      <c r="CF2366" s="5154"/>
      <c r="CG2366" s="5154"/>
      <c r="CH2366" s="5154"/>
    </row>
    <row r="2367" s="4980" customFormat="1" ht="18.75" customHeight="1" spans="1:86">
      <c r="A2367" s="2680"/>
      <c r="B2367" s="857"/>
      <c r="C2367" s="857"/>
      <c r="D2367" s="1032"/>
      <c r="E2367" s="5059"/>
      <c r="F2367" s="1032"/>
      <c r="G2367" s="1032"/>
      <c r="H2367" s="857"/>
      <c r="I2367" s="3408"/>
      <c r="J2367" s="1032"/>
      <c r="K2367" s="1032"/>
      <c r="L2367" s="1032"/>
      <c r="M2367" s="5059"/>
      <c r="N2367" s="2680"/>
      <c r="O2367" s="2680"/>
      <c r="P2367" s="2680"/>
      <c r="Q2367" s="2680"/>
      <c r="R2367" s="2680"/>
      <c r="S2367" s="2680"/>
      <c r="T2367" s="2680"/>
      <c r="U2367" s="2680"/>
      <c r="V2367" s="2680"/>
      <c r="W2367" s="2680"/>
      <c r="X2367" s="2680"/>
      <c r="Y2367" s="2680"/>
      <c r="Z2367" s="2680"/>
      <c r="AA2367" s="2680"/>
      <c r="AB2367" s="2680"/>
      <c r="AC2367" s="4841"/>
      <c r="AD2367" s="5205"/>
      <c r="AE2367" s="7108"/>
      <c r="AF2367" s="3408"/>
      <c r="AG2367" s="4842"/>
      <c r="AH2367" s="3409"/>
      <c r="AI2367" s="4840">
        <v>45231</v>
      </c>
      <c r="AJ2367" s="4842"/>
      <c r="AK2367" s="4842"/>
      <c r="AL2367" s="857">
        <v>6000.21</v>
      </c>
      <c r="AM2367" s="3812">
        <v>45233</v>
      </c>
      <c r="AN2367" s="5258">
        <f t="shared" si="509"/>
        <v>6000.21</v>
      </c>
      <c r="AO2367" s="7121"/>
      <c r="AP2367" s="3812"/>
      <c r="AQ2367" s="5146"/>
      <c r="AR2367" s="3812"/>
      <c r="AS2367" s="5833"/>
      <c r="AT2367" s="5146"/>
      <c r="AU2367" s="6746"/>
      <c r="AV2367" s="6746"/>
      <c r="AW2367" s="6746"/>
      <c r="AX2367" s="6746"/>
      <c r="AY2367" s="6746"/>
      <c r="AZ2367" s="6746"/>
      <c r="BA2367" s="5146"/>
      <c r="BB2367" s="5146"/>
      <c r="BC2367" s="3812"/>
      <c r="BD2367" s="5146"/>
      <c r="BE2367" s="5146"/>
      <c r="BF2367" s="5146"/>
      <c r="BG2367" s="5146"/>
      <c r="BH2367" s="5152"/>
      <c r="BI2367" s="3812"/>
      <c r="BJ2367" s="857">
        <v>6000.21</v>
      </c>
      <c r="BK2367" s="5146"/>
      <c r="BL2367" s="5146"/>
      <c r="BM2367" s="5146"/>
      <c r="BN2367" s="5146"/>
      <c r="BO2367" s="5146"/>
      <c r="BP2367" s="5146"/>
      <c r="BQ2367" s="5146"/>
      <c r="BR2367" s="5146"/>
      <c r="BS2367" s="5160"/>
      <c r="BT2367" s="5160"/>
      <c r="BU2367" s="5123"/>
      <c r="BV2367" s="5948"/>
      <c r="BW2367" s="6023"/>
      <c r="BX2367" s="857">
        <v>6000.21</v>
      </c>
      <c r="BY2367" s="5160"/>
      <c r="BZ2367" s="5160"/>
      <c r="CA2367" s="5160"/>
      <c r="CB2367" s="5160"/>
      <c r="CC2367" s="3812"/>
      <c r="CD2367" s="3812"/>
      <c r="CE2367" s="5154"/>
      <c r="CF2367" s="5154"/>
      <c r="CG2367" s="5154"/>
      <c r="CH2367" s="5154"/>
    </row>
    <row r="2368" s="4980" customFormat="1" ht="18.75" customHeight="1" spans="1:86">
      <c r="A2368" s="2680"/>
      <c r="B2368" s="857"/>
      <c r="C2368" s="857"/>
      <c r="D2368" s="5059"/>
      <c r="E2368" s="5059"/>
      <c r="F2368" s="5059"/>
      <c r="G2368" s="1032"/>
      <c r="H2368" s="3812"/>
      <c r="I2368" s="3408"/>
      <c r="J2368" s="5059"/>
      <c r="K2368" s="1032"/>
      <c r="L2368" s="5059"/>
      <c r="M2368" s="5059"/>
      <c r="N2368" s="2680"/>
      <c r="O2368" s="2680"/>
      <c r="P2368" s="2680"/>
      <c r="Q2368" s="2680"/>
      <c r="R2368" s="2680"/>
      <c r="S2368" s="2680"/>
      <c r="T2368" s="2680"/>
      <c r="U2368" s="2680"/>
      <c r="V2368" s="2680"/>
      <c r="W2368" s="2680"/>
      <c r="X2368" s="2680"/>
      <c r="Y2368" s="2680"/>
      <c r="Z2368" s="2680"/>
      <c r="AA2368" s="2680"/>
      <c r="AB2368" s="2680"/>
      <c r="AC2368" s="4841"/>
      <c r="AD2368" s="5205"/>
      <c r="AE2368" s="7108"/>
      <c r="AF2368" s="3408"/>
      <c r="AG2368" s="4840">
        <f>SUM(BA2368:BN2368)</f>
        <v>15883.89</v>
      </c>
      <c r="AH2368" s="3366" t="s">
        <v>122</v>
      </c>
      <c r="AI2368" s="4840">
        <v>45323</v>
      </c>
      <c r="AJ2368" s="4840">
        <v>15883.89</v>
      </c>
      <c r="AK2368" s="4840">
        <v>45323</v>
      </c>
      <c r="AL2368" s="4840">
        <v>15883.89</v>
      </c>
      <c r="AM2368" s="4840">
        <v>45323</v>
      </c>
      <c r="AN2368" s="3812">
        <f t="shared" si="509"/>
        <v>13501.3</v>
      </c>
      <c r="AO2368" s="3812">
        <v>45393</v>
      </c>
      <c r="AP2368" s="3812"/>
      <c r="AQ2368" s="5146"/>
      <c r="AR2368" s="3812"/>
      <c r="AS2368" s="5833"/>
      <c r="AT2368" s="5146"/>
      <c r="AU2368" s="6746"/>
      <c r="AV2368" s="6746"/>
      <c r="AW2368" s="6746"/>
      <c r="AX2368" s="6746"/>
      <c r="AY2368" s="6746"/>
      <c r="AZ2368" s="6746"/>
      <c r="BA2368" s="5146"/>
      <c r="BB2368" s="5146"/>
      <c r="BC2368" s="3812"/>
      <c r="BD2368" s="5146"/>
      <c r="BE2368" s="5146"/>
      <c r="BF2368" s="5146"/>
      <c r="BG2368" s="5146"/>
      <c r="BH2368" s="5152"/>
      <c r="BI2368" s="3812"/>
      <c r="BJ2368" s="4840">
        <v>15883.89</v>
      </c>
      <c r="BK2368" s="5146"/>
      <c r="BL2368" s="5146"/>
      <c r="BM2368" s="5146"/>
      <c r="BN2368" s="5146"/>
      <c r="BO2368" s="5146"/>
      <c r="BP2368" s="5146"/>
      <c r="BQ2368" s="5146"/>
      <c r="BR2368" s="5146"/>
      <c r="BS2368" s="5146"/>
      <c r="BT2368" s="5146"/>
      <c r="BU2368" s="3812"/>
      <c r="BV2368" s="5152"/>
      <c r="BW2368" s="3812"/>
      <c r="BX2368" s="3812">
        <v>13501.3</v>
      </c>
      <c r="BY2368" s="5146"/>
      <c r="BZ2368" s="5146"/>
      <c r="CA2368" s="5146"/>
      <c r="CB2368" s="5146"/>
      <c r="CC2368" s="3812"/>
      <c r="CD2368" s="3812"/>
      <c r="CE2368" s="5154"/>
      <c r="CF2368" s="5154"/>
      <c r="CG2368" s="5154"/>
      <c r="CH2368" s="5154"/>
    </row>
    <row r="2369" s="4980" customFormat="1" ht="16.65" customHeight="1" spans="1:86">
      <c r="A2369" s="2680"/>
      <c r="B2369" s="857"/>
      <c r="C2369" s="857"/>
      <c r="D2369" s="5059"/>
      <c r="E2369" s="5059"/>
      <c r="F2369" s="5059"/>
      <c r="G2369" s="1032"/>
      <c r="H2369" s="3812"/>
      <c r="I2369" s="3408"/>
      <c r="J2369" s="5059"/>
      <c r="K2369" s="1032"/>
      <c r="L2369" s="5059"/>
      <c r="M2369" s="5059"/>
      <c r="N2369" s="2680"/>
      <c r="O2369" s="2680"/>
      <c r="P2369" s="2680"/>
      <c r="Q2369" s="2680"/>
      <c r="R2369" s="2680"/>
      <c r="S2369" s="2680"/>
      <c r="T2369" s="2680"/>
      <c r="U2369" s="2680"/>
      <c r="V2369" s="2680"/>
      <c r="W2369" s="2680"/>
      <c r="X2369" s="2680"/>
      <c r="Y2369" s="2680"/>
      <c r="Z2369" s="2680"/>
      <c r="AA2369" s="2680"/>
      <c r="AB2369" s="2680"/>
      <c r="AC2369" s="4842"/>
      <c r="AD2369" s="5206"/>
      <c r="AE2369" s="5922"/>
      <c r="AF2369" s="3409"/>
      <c r="AG2369" s="4842"/>
      <c r="AH2369" s="3409"/>
      <c r="AI2369" s="4842"/>
      <c r="AJ2369" s="4842"/>
      <c r="AK2369" s="4842"/>
      <c r="AL2369" s="4842"/>
      <c r="AM2369" s="4842"/>
      <c r="AN2369" s="3812">
        <f t="shared" si="509"/>
        <v>2382.59</v>
      </c>
      <c r="AO2369" s="3812"/>
      <c r="AP2369" s="3812"/>
      <c r="AQ2369" s="5146"/>
      <c r="AR2369" s="3812"/>
      <c r="AS2369" s="5833"/>
      <c r="AT2369" s="5146"/>
      <c r="AU2369" s="6746"/>
      <c r="AV2369" s="6746"/>
      <c r="AW2369" s="6746"/>
      <c r="AX2369" s="6746"/>
      <c r="AY2369" s="6746"/>
      <c r="AZ2369" s="6746"/>
      <c r="BA2369" s="5146"/>
      <c r="BB2369" s="5146"/>
      <c r="BC2369" s="3812"/>
      <c r="BD2369" s="5146"/>
      <c r="BE2369" s="5146"/>
      <c r="BF2369" s="5146"/>
      <c r="BG2369" s="5146"/>
      <c r="BH2369" s="5152"/>
      <c r="BI2369" s="3812"/>
      <c r="BJ2369" s="4842"/>
      <c r="BK2369" s="5146"/>
      <c r="BL2369" s="5146"/>
      <c r="BM2369" s="5146"/>
      <c r="BN2369" s="5146"/>
      <c r="BO2369" s="5146"/>
      <c r="BP2369" s="5146"/>
      <c r="BQ2369" s="5146"/>
      <c r="BR2369" s="5146"/>
      <c r="BS2369" s="5146"/>
      <c r="BT2369" s="5146"/>
      <c r="BU2369" s="3812"/>
      <c r="BV2369" s="5152"/>
      <c r="BW2369" s="3812"/>
      <c r="BX2369" s="3812">
        <v>2382.59</v>
      </c>
      <c r="BY2369" s="5146"/>
      <c r="BZ2369" s="5146"/>
      <c r="CA2369" s="5146"/>
      <c r="CB2369" s="5146"/>
      <c r="CC2369" s="3812"/>
      <c r="CD2369" s="3812"/>
      <c r="CE2369" s="5154"/>
      <c r="CF2369" s="5154"/>
      <c r="CG2369" s="5154"/>
      <c r="CH2369" s="5154"/>
    </row>
    <row r="2370" s="4980" customFormat="1" ht="43.5" customHeight="1" spans="1:86">
      <c r="A2370" s="2680"/>
      <c r="B2370" s="857"/>
      <c r="C2370" s="857"/>
      <c r="D2370" s="5059"/>
      <c r="E2370" s="5059"/>
      <c r="F2370" s="5059"/>
      <c r="G2370" s="1032"/>
      <c r="H2370" s="3812"/>
      <c r="I2370" s="3409"/>
      <c r="J2370" s="5059"/>
      <c r="K2370" s="1032"/>
      <c r="L2370" s="5059"/>
      <c r="M2370" s="5059"/>
      <c r="N2370" s="2680"/>
      <c r="O2370" s="2680"/>
      <c r="P2370" s="2680"/>
      <c r="Q2370" s="2680"/>
      <c r="R2370" s="2680"/>
      <c r="S2370" s="2680"/>
      <c r="T2370" s="2680"/>
      <c r="U2370" s="2680"/>
      <c r="V2370" s="2680"/>
      <c r="W2370" s="2680"/>
      <c r="X2370" s="2680"/>
      <c r="Y2370" s="2680"/>
      <c r="Z2370" s="2680"/>
      <c r="AA2370" s="2680"/>
      <c r="AB2370" s="2680"/>
      <c r="AC2370" s="3812">
        <v>2</v>
      </c>
      <c r="AD2370" s="5241" t="s">
        <v>4044</v>
      </c>
      <c r="AE2370" s="5878">
        <v>0.15</v>
      </c>
      <c r="AF2370" s="857">
        <f>M2364*AE2370</f>
        <v>25440</v>
      </c>
      <c r="AG2370" s="3812"/>
      <c r="AH2370" s="857"/>
      <c r="AI2370" s="3812"/>
      <c r="AJ2370" s="3812"/>
      <c r="AK2370" s="3812"/>
      <c r="AL2370" s="3812"/>
      <c r="AM2370" s="3812"/>
      <c r="AN2370" s="3812"/>
      <c r="AO2370" s="3812"/>
      <c r="AP2370" s="3812">
        <f>AG2370-AN2370</f>
        <v>0</v>
      </c>
      <c r="AQ2370" s="5146"/>
      <c r="AR2370" s="3812"/>
      <c r="AS2370" s="5833"/>
      <c r="AT2370" s="5146"/>
      <c r="AU2370" s="6746"/>
      <c r="AV2370" s="6746"/>
      <c r="AW2370" s="6746"/>
      <c r="AX2370" s="6746"/>
      <c r="AY2370" s="6746"/>
      <c r="AZ2370" s="6746"/>
      <c r="BA2370" s="5146"/>
      <c r="BB2370" s="5146"/>
      <c r="BC2370" s="3812"/>
      <c r="BD2370" s="5146"/>
      <c r="BE2370" s="5146"/>
      <c r="BF2370" s="5146"/>
      <c r="BG2370" s="5146"/>
      <c r="BH2370" s="5152"/>
      <c r="BI2370" s="3812"/>
      <c r="BJ2370" s="3812">
        <v>49000</v>
      </c>
      <c r="BK2370" s="5146"/>
      <c r="BL2370" s="5146"/>
      <c r="BM2370" s="5146"/>
      <c r="BN2370" s="5146"/>
      <c r="BO2370" s="5146"/>
      <c r="BP2370" s="5146"/>
      <c r="BQ2370" s="5146"/>
      <c r="BR2370" s="5146"/>
      <c r="BS2370" s="5146"/>
      <c r="BT2370" s="5146"/>
      <c r="BU2370" s="3812"/>
      <c r="BV2370" s="5152"/>
      <c r="BW2370" s="3812"/>
      <c r="BX2370" s="3812">
        <v>49000</v>
      </c>
      <c r="BY2370" s="5146"/>
      <c r="BZ2370" s="5146"/>
      <c r="CA2370" s="5146"/>
      <c r="CB2370" s="5146"/>
      <c r="CC2370" s="3812"/>
      <c r="CD2370" s="3812"/>
      <c r="CE2370" s="5154"/>
      <c r="CF2370" s="5154"/>
      <c r="CG2370" s="5154"/>
      <c r="CH2370" s="5154"/>
    </row>
    <row r="2371" s="4980" customFormat="1" ht="18.75" customHeight="1" spans="1:86">
      <c r="A2371" s="2680">
        <v>25</v>
      </c>
      <c r="B2371" s="857" t="s">
        <v>690</v>
      </c>
      <c r="C2371" s="857">
        <v>45386</v>
      </c>
      <c r="D2371" s="1032" t="s">
        <v>4045</v>
      </c>
      <c r="E2371" s="1032" t="s">
        <v>4046</v>
      </c>
      <c r="F2371" s="1032" t="s">
        <v>4047</v>
      </c>
      <c r="G2371" s="1032" t="s">
        <v>4048</v>
      </c>
      <c r="H2371" s="857" t="s">
        <v>1241</v>
      </c>
      <c r="I2371" s="3366"/>
      <c r="J2371" s="1032" t="s">
        <v>4040</v>
      </c>
      <c r="K2371" s="1032" t="s">
        <v>4049</v>
      </c>
      <c r="L2371" s="1032" t="s">
        <v>4050</v>
      </c>
      <c r="M2371" s="5059">
        <f>SUM(N2371:AA2374)</f>
        <v>175112</v>
      </c>
      <c r="N2371" s="2680">
        <v>0</v>
      </c>
      <c r="O2371" s="2680">
        <v>0</v>
      </c>
      <c r="P2371" s="2680">
        <v>0</v>
      </c>
      <c r="Q2371" s="2680">
        <v>0</v>
      </c>
      <c r="R2371" s="2680">
        <v>0</v>
      </c>
      <c r="S2371" s="2680">
        <v>0</v>
      </c>
      <c r="T2371" s="5823">
        <v>0</v>
      </c>
      <c r="U2371" s="2680">
        <v>0</v>
      </c>
      <c r="V2371" s="2680">
        <v>0</v>
      </c>
      <c r="W2371" s="2680">
        <v>175112</v>
      </c>
      <c r="X2371" s="2680">
        <v>0</v>
      </c>
      <c r="Y2371" s="2680">
        <v>0</v>
      </c>
      <c r="Z2371" s="2680"/>
      <c r="AA2371" s="2680">
        <v>0</v>
      </c>
      <c r="AB2371" s="2680">
        <v>0</v>
      </c>
      <c r="AC2371" s="4840">
        <v>1</v>
      </c>
      <c r="AD2371" s="5073" t="s">
        <v>4043</v>
      </c>
      <c r="AE2371" s="5921">
        <v>0.85</v>
      </c>
      <c r="AF2371" s="3366">
        <f>M2371*AE2371</f>
        <v>148845.2</v>
      </c>
      <c r="AG2371" s="3812">
        <f>SUM(BA2371:BN2371)</f>
        <v>50752.8</v>
      </c>
      <c r="AH2371" s="857" t="s">
        <v>122</v>
      </c>
      <c r="AI2371" s="3812">
        <v>45408</v>
      </c>
      <c r="AJ2371" s="3812">
        <v>50752.8</v>
      </c>
      <c r="AK2371" s="3812">
        <v>45408</v>
      </c>
      <c r="AL2371" s="857">
        <v>50752.8</v>
      </c>
      <c r="AM2371" s="3812">
        <v>45408</v>
      </c>
      <c r="AN2371" s="3812">
        <f>SUM(BO2371:CB2371)</f>
        <v>43139.88</v>
      </c>
      <c r="AO2371" s="3812">
        <v>45498</v>
      </c>
      <c r="AP2371" s="3812">
        <f>AG2371-AN2371</f>
        <v>7612.92000000001</v>
      </c>
      <c r="AQ2371" s="5252" t="s">
        <v>4051</v>
      </c>
      <c r="AR2371" s="3812"/>
      <c r="AS2371" s="5833"/>
      <c r="AT2371" s="5146"/>
      <c r="AU2371" s="6746">
        <f>SUM(AG2371:AG2374)</f>
        <v>175112</v>
      </c>
      <c r="AV2371" s="6746">
        <f>SUM(AL2371:AL2374)</f>
        <v>175112</v>
      </c>
      <c r="AW2371" s="6746">
        <f>SUM(AN2371:AN2374)</f>
        <v>155568.52</v>
      </c>
      <c r="AX2371" s="6746">
        <f>M2371-AU2371</f>
        <v>0</v>
      </c>
      <c r="AY2371" s="6746">
        <f>AU2371-AV2371</f>
        <v>0</v>
      </c>
      <c r="AZ2371" s="6746">
        <f>AV2371-AW2371</f>
        <v>19543.48</v>
      </c>
      <c r="BA2371" s="5146"/>
      <c r="BB2371" s="5146"/>
      <c r="BC2371" s="3812"/>
      <c r="BD2371" s="5146"/>
      <c r="BE2371" s="5146"/>
      <c r="BF2371" s="5146"/>
      <c r="BG2371" s="5146"/>
      <c r="BH2371" s="5152"/>
      <c r="BI2371" s="3812"/>
      <c r="BJ2371" s="3812">
        <v>50752.8</v>
      </c>
      <c r="BK2371" s="5146"/>
      <c r="BL2371" s="5146"/>
      <c r="BM2371" s="5146"/>
      <c r="BN2371" s="5146"/>
      <c r="BO2371" s="5146"/>
      <c r="BP2371" s="5146"/>
      <c r="BQ2371" s="5146"/>
      <c r="BR2371" s="5146"/>
      <c r="BS2371" s="5146"/>
      <c r="BT2371" s="5146"/>
      <c r="BU2371" s="3812"/>
      <c r="BV2371" s="5152"/>
      <c r="BW2371" s="5741"/>
      <c r="BX2371" s="3812">
        <v>43139.88</v>
      </c>
      <c r="BY2371" s="5146"/>
      <c r="BZ2371" s="5146"/>
      <c r="CA2371" s="5146"/>
      <c r="CB2371" s="5146"/>
      <c r="CC2371" s="3812"/>
      <c r="CD2371" s="3812"/>
      <c r="CE2371" s="5169">
        <f>SUBTOTAL(9,BO2371:CB2371)</f>
        <v>43139.88</v>
      </c>
      <c r="CF2371" s="5169">
        <f>AN2371-CE2371</f>
        <v>0</v>
      </c>
      <c r="CG2371" s="5154"/>
      <c r="CH2371" s="5154"/>
    </row>
    <row r="2372" s="4980" customFormat="1" ht="18.75" customHeight="1" spans="1:86">
      <c r="A2372" s="2680"/>
      <c r="B2372" s="857"/>
      <c r="C2372" s="857"/>
      <c r="D2372" s="1032"/>
      <c r="E2372" s="5059"/>
      <c r="F2372" s="1032"/>
      <c r="G2372" s="1032"/>
      <c r="H2372" s="857"/>
      <c r="I2372" s="3408"/>
      <c r="J2372" s="1032"/>
      <c r="K2372" s="1032"/>
      <c r="L2372" s="1032"/>
      <c r="M2372" s="5059"/>
      <c r="N2372" s="2680"/>
      <c r="O2372" s="2680"/>
      <c r="P2372" s="2680"/>
      <c r="Q2372" s="2680"/>
      <c r="R2372" s="2680"/>
      <c r="S2372" s="2680"/>
      <c r="T2372" s="2680"/>
      <c r="U2372" s="2680"/>
      <c r="V2372" s="2680"/>
      <c r="W2372" s="2680"/>
      <c r="X2372" s="2680"/>
      <c r="Y2372" s="2680"/>
      <c r="Z2372" s="2680"/>
      <c r="AA2372" s="2680"/>
      <c r="AB2372" s="2680"/>
      <c r="AC2372" s="4841"/>
      <c r="AD2372" s="5205"/>
      <c r="AE2372" s="7108"/>
      <c r="AF2372" s="3408"/>
      <c r="AG2372" s="3812">
        <f>SUM(BA2372:BN2372)</f>
        <v>76930.56</v>
      </c>
      <c r="AH2372" s="3366" t="s">
        <v>206</v>
      </c>
      <c r="AI2372" s="4840">
        <v>45553</v>
      </c>
      <c r="AJ2372" s="4840">
        <v>76930.56</v>
      </c>
      <c r="AK2372" s="4840">
        <v>45553</v>
      </c>
      <c r="AL2372" s="857">
        <v>76930.56</v>
      </c>
      <c r="AM2372" s="4840">
        <v>45553</v>
      </c>
      <c r="AN2372" s="3812">
        <f>SUM(BO2372:CB2372)</f>
        <v>65000</v>
      </c>
      <c r="AO2372" s="4842">
        <v>45610</v>
      </c>
      <c r="AP2372" s="3812"/>
      <c r="AQ2372" s="5252" t="s">
        <v>4051</v>
      </c>
      <c r="AR2372" s="3812"/>
      <c r="AS2372" s="5833"/>
      <c r="AT2372" s="5146"/>
      <c r="AU2372" s="6746"/>
      <c r="AV2372" s="6746"/>
      <c r="AW2372" s="6746"/>
      <c r="AX2372" s="6746"/>
      <c r="AY2372" s="6746"/>
      <c r="AZ2372" s="6746"/>
      <c r="BA2372" s="5146"/>
      <c r="BB2372" s="5146"/>
      <c r="BC2372" s="3812"/>
      <c r="BD2372" s="5146"/>
      <c r="BE2372" s="5146"/>
      <c r="BF2372" s="5146"/>
      <c r="BG2372" s="5146"/>
      <c r="BH2372" s="5152"/>
      <c r="BI2372" s="3812"/>
      <c r="BJ2372" s="857">
        <v>76930.56</v>
      </c>
      <c r="BK2372" s="5146"/>
      <c r="BL2372" s="5146"/>
      <c r="BM2372" s="5146"/>
      <c r="BN2372" s="5146"/>
      <c r="BO2372" s="5146"/>
      <c r="BP2372" s="5146"/>
      <c r="BQ2372" s="5146"/>
      <c r="BR2372" s="5146"/>
      <c r="BS2372" s="5160"/>
      <c r="BT2372" s="5160"/>
      <c r="BU2372" s="5123"/>
      <c r="BV2372" s="5948"/>
      <c r="BW2372" s="6023"/>
      <c r="BX2372" s="857">
        <v>65000</v>
      </c>
      <c r="BY2372" s="5160"/>
      <c r="BZ2372" s="5160"/>
      <c r="CA2372" s="5160"/>
      <c r="CB2372" s="5160"/>
      <c r="CC2372" s="3812"/>
      <c r="CD2372" s="3812"/>
      <c r="CE2372" s="5154"/>
      <c r="CF2372" s="5154"/>
      <c r="CG2372" s="5154"/>
      <c r="CH2372" s="5154"/>
    </row>
    <row r="2373" s="4980" customFormat="1" ht="18.75" customHeight="1" spans="1:86">
      <c r="A2373" s="2680"/>
      <c r="B2373" s="857"/>
      <c r="C2373" s="857"/>
      <c r="D2373" s="5059"/>
      <c r="E2373" s="5059"/>
      <c r="F2373" s="5059"/>
      <c r="G2373" s="1032"/>
      <c r="H2373" s="3812"/>
      <c r="I2373" s="3408"/>
      <c r="J2373" s="5059"/>
      <c r="K2373" s="1032"/>
      <c r="L2373" s="5059"/>
      <c r="M2373" s="5059"/>
      <c r="N2373" s="2680"/>
      <c r="O2373" s="2680"/>
      <c r="P2373" s="2680"/>
      <c r="Q2373" s="2680"/>
      <c r="R2373" s="2680"/>
      <c r="S2373" s="2680"/>
      <c r="T2373" s="2680"/>
      <c r="U2373" s="2680"/>
      <c r="V2373" s="2680"/>
      <c r="W2373" s="2680"/>
      <c r="X2373" s="2680"/>
      <c r="Y2373" s="2680"/>
      <c r="Z2373" s="2680"/>
      <c r="AA2373" s="2680"/>
      <c r="AB2373" s="2680"/>
      <c r="AC2373" s="4841"/>
      <c r="AD2373" s="5205"/>
      <c r="AE2373" s="7108"/>
      <c r="AF2373" s="3408"/>
      <c r="AG2373" s="4840">
        <f>SUM(BA2373:BN2373)</f>
        <v>47428.64</v>
      </c>
      <c r="AH2373" s="3366" t="s">
        <v>206</v>
      </c>
      <c r="AI2373" s="4840">
        <v>46007</v>
      </c>
      <c r="AJ2373" s="4840">
        <v>47428.64</v>
      </c>
      <c r="AK2373" s="4840">
        <v>46007</v>
      </c>
      <c r="AL2373" s="5250">
        <v>47428.64</v>
      </c>
      <c r="AM2373" s="5250">
        <v>46007</v>
      </c>
      <c r="AN2373" s="3812">
        <f>SUM(BO2373:CB2373)</f>
        <v>47428.64</v>
      </c>
      <c r="AO2373" s="3812"/>
      <c r="AP2373" s="3812"/>
      <c r="AQ2373" s="5146"/>
      <c r="AR2373" s="3812"/>
      <c r="AS2373" s="5833"/>
      <c r="AT2373" s="5146"/>
      <c r="AU2373" s="6746"/>
      <c r="AV2373" s="6746"/>
      <c r="AW2373" s="6746"/>
      <c r="AX2373" s="6746"/>
      <c r="AY2373" s="6746"/>
      <c r="AZ2373" s="6746"/>
      <c r="BA2373" s="5146"/>
      <c r="BB2373" s="5146"/>
      <c r="BC2373" s="3812"/>
      <c r="BD2373" s="5146"/>
      <c r="BE2373" s="5146"/>
      <c r="BF2373" s="5146"/>
      <c r="BG2373" s="5146"/>
      <c r="BH2373" s="5152"/>
      <c r="BI2373" s="3812"/>
      <c r="BJ2373" s="4840">
        <v>47428.64</v>
      </c>
      <c r="BK2373" s="5146"/>
      <c r="BL2373" s="5146"/>
      <c r="BM2373" s="5146"/>
      <c r="BN2373" s="5146"/>
      <c r="BO2373" s="5146"/>
      <c r="BP2373" s="5146"/>
      <c r="BQ2373" s="5146"/>
      <c r="BR2373" s="5146"/>
      <c r="BS2373" s="5146"/>
      <c r="BT2373" s="5146"/>
      <c r="BU2373" s="3812"/>
      <c r="BV2373" s="5152"/>
      <c r="BW2373" s="3812"/>
      <c r="BX2373" s="3812">
        <v>47428.64</v>
      </c>
      <c r="BY2373" s="5146"/>
      <c r="BZ2373" s="5146"/>
      <c r="CA2373" s="5146"/>
      <c r="CB2373" s="5146"/>
      <c r="CC2373" s="3812"/>
      <c r="CD2373" s="3812"/>
      <c r="CE2373" s="5154"/>
      <c r="CF2373" s="5154"/>
      <c r="CG2373" s="5154"/>
      <c r="CH2373" s="5154"/>
    </row>
    <row r="2374" s="4980" customFormat="1" ht="76" spans="1:86">
      <c r="A2374" s="2680"/>
      <c r="B2374" s="857"/>
      <c r="C2374" s="857"/>
      <c r="D2374" s="5059"/>
      <c r="E2374" s="5059"/>
      <c r="F2374" s="5059"/>
      <c r="G2374" s="1032"/>
      <c r="H2374" s="3812"/>
      <c r="I2374" s="3409"/>
      <c r="J2374" s="5059"/>
      <c r="K2374" s="1032"/>
      <c r="L2374" s="5059"/>
      <c r="M2374" s="5059"/>
      <c r="N2374" s="2680"/>
      <c r="O2374" s="2680"/>
      <c r="P2374" s="2680"/>
      <c r="Q2374" s="2680"/>
      <c r="R2374" s="2680"/>
      <c r="S2374" s="2680"/>
      <c r="T2374" s="2680"/>
      <c r="U2374" s="2680"/>
      <c r="V2374" s="2680"/>
      <c r="W2374" s="2680"/>
      <c r="X2374" s="2680"/>
      <c r="Y2374" s="2680"/>
      <c r="Z2374" s="2680"/>
      <c r="AA2374" s="2680"/>
      <c r="AB2374" s="2680"/>
      <c r="AC2374" s="3812">
        <v>2</v>
      </c>
      <c r="AD2374" s="5241" t="s">
        <v>4052</v>
      </c>
      <c r="AE2374" s="5878">
        <v>0.15</v>
      </c>
      <c r="AF2374" s="857">
        <f>M2371*AE2374</f>
        <v>26266.8</v>
      </c>
      <c r="AG2374" s="3812"/>
      <c r="AH2374" s="857"/>
      <c r="AI2374" s="3812"/>
      <c r="AJ2374" s="3812"/>
      <c r="AK2374" s="3812"/>
      <c r="AL2374" s="3812"/>
      <c r="AM2374" s="3812"/>
      <c r="AN2374" s="3812"/>
      <c r="AO2374" s="3812"/>
      <c r="AP2374" s="3812">
        <f>AG2374-AN2374</f>
        <v>0</v>
      </c>
      <c r="AQ2374" s="5146"/>
      <c r="AR2374" s="3812"/>
      <c r="AS2374" s="5833"/>
      <c r="AT2374" s="5146"/>
      <c r="AU2374" s="6746"/>
      <c r="AV2374" s="6746"/>
      <c r="AW2374" s="6746"/>
      <c r="AX2374" s="6746"/>
      <c r="AY2374" s="6746"/>
      <c r="AZ2374" s="6746"/>
      <c r="BA2374" s="5146"/>
      <c r="BB2374" s="5146"/>
      <c r="BC2374" s="3812"/>
      <c r="BD2374" s="5146"/>
      <c r="BE2374" s="5146"/>
      <c r="BF2374" s="5146"/>
      <c r="BG2374" s="5146"/>
      <c r="BH2374" s="5152"/>
      <c r="BI2374" s="3812"/>
      <c r="BJ2374" s="3812"/>
      <c r="BK2374" s="5146"/>
      <c r="BL2374" s="5146"/>
      <c r="BM2374" s="5146"/>
      <c r="BN2374" s="5146"/>
      <c r="BO2374" s="5146"/>
      <c r="BP2374" s="5146"/>
      <c r="BQ2374" s="5146"/>
      <c r="BR2374" s="5146"/>
      <c r="BS2374" s="5146"/>
      <c r="BT2374" s="5146"/>
      <c r="BU2374" s="3812"/>
      <c r="BV2374" s="5152"/>
      <c r="BW2374" s="3812"/>
      <c r="BX2374" s="3812"/>
      <c r="BY2374" s="5146"/>
      <c r="BZ2374" s="5146"/>
      <c r="CA2374" s="5146"/>
      <c r="CB2374" s="5146"/>
      <c r="CC2374" s="3812"/>
      <c r="CD2374" s="3812"/>
      <c r="CE2374" s="5154"/>
      <c r="CF2374" s="5154"/>
      <c r="CG2374" s="5154"/>
      <c r="CH2374" s="5154"/>
    </row>
    <row r="2375" s="4980" customFormat="1" ht="39.15" customHeight="1" spans="1:86">
      <c r="A2375" s="2680">
        <v>25</v>
      </c>
      <c r="B2375" s="857" t="s">
        <v>690</v>
      </c>
      <c r="C2375" s="857">
        <v>45421</v>
      </c>
      <c r="D2375" s="1032" t="s">
        <v>4053</v>
      </c>
      <c r="E2375" s="1032" t="s">
        <v>4054</v>
      </c>
      <c r="F2375" s="1032" t="s">
        <v>4055</v>
      </c>
      <c r="G2375" s="1032" t="s">
        <v>4056</v>
      </c>
      <c r="H2375" s="857" t="s">
        <v>1241</v>
      </c>
      <c r="I2375" s="3366"/>
      <c r="J2375" s="1032" t="s">
        <v>4040</v>
      </c>
      <c r="K2375" s="1032" t="s">
        <v>4057</v>
      </c>
      <c r="L2375" s="1032" t="s">
        <v>4058</v>
      </c>
      <c r="M2375" s="5059">
        <f>SUM(N2375:AA2378)</f>
        <v>79712</v>
      </c>
      <c r="N2375" s="2680">
        <v>0</v>
      </c>
      <c r="O2375" s="2680">
        <v>0</v>
      </c>
      <c r="P2375" s="2680">
        <v>0</v>
      </c>
      <c r="Q2375" s="2680">
        <v>0</v>
      </c>
      <c r="R2375" s="2680">
        <v>0</v>
      </c>
      <c r="S2375" s="2680">
        <v>0</v>
      </c>
      <c r="T2375" s="5823">
        <v>0</v>
      </c>
      <c r="U2375" s="2680">
        <v>0</v>
      </c>
      <c r="V2375" s="2680">
        <v>0</v>
      </c>
      <c r="W2375" s="2680">
        <v>79712</v>
      </c>
      <c r="X2375" s="2680">
        <v>0</v>
      </c>
      <c r="Y2375" s="3925">
        <v>0</v>
      </c>
      <c r="Z2375" s="3925"/>
      <c r="AA2375" s="2680">
        <v>0</v>
      </c>
      <c r="AB2375" s="2680">
        <v>0</v>
      </c>
      <c r="AC2375" s="4840">
        <v>1</v>
      </c>
      <c r="AD2375" s="5073" t="s">
        <v>4043</v>
      </c>
      <c r="AE2375" s="5921">
        <v>0.85</v>
      </c>
      <c r="AF2375" s="3366">
        <f>M2375*AE2375</f>
        <v>67755.2</v>
      </c>
      <c r="AG2375" s="3812">
        <f t="shared" ref="AG2375:AG2382" si="510">SUM(BA2375:BN2375)</f>
        <v>35984.99</v>
      </c>
      <c r="AH2375" s="857" t="s">
        <v>122</v>
      </c>
      <c r="AI2375" s="3812">
        <v>45433</v>
      </c>
      <c r="AJ2375" s="3812">
        <v>35984.99</v>
      </c>
      <c r="AK2375" s="3812">
        <v>45433</v>
      </c>
      <c r="AL2375" s="857">
        <v>35984.99</v>
      </c>
      <c r="AM2375" s="3812">
        <v>45433</v>
      </c>
      <c r="AN2375" s="3812">
        <f t="shared" ref="AN2375:AN2382" si="511">SUM(BO2375:CB2375)</f>
        <v>30587.24</v>
      </c>
      <c r="AO2375" s="3812">
        <v>45537</v>
      </c>
      <c r="AP2375" s="3812">
        <f t="shared" ref="AP2375:AP2385" si="512">AG2375-AN2375</f>
        <v>5397.75</v>
      </c>
      <c r="AQ2375" s="5146"/>
      <c r="AR2375" s="3812"/>
      <c r="AS2375" s="5833"/>
      <c r="AT2375" s="5146"/>
      <c r="AU2375" s="6746">
        <f>SUM(AG2375:AG2378)</f>
        <v>35984.99</v>
      </c>
      <c r="AV2375" s="6746">
        <f>SUM(AL2375:AL2378)</f>
        <v>35984.99</v>
      </c>
      <c r="AW2375" s="6746">
        <f>SUM(AN2375:AN2378)</f>
        <v>30587.24</v>
      </c>
      <c r="AX2375" s="6746">
        <f>M2375-AU2375</f>
        <v>43727.01</v>
      </c>
      <c r="AY2375" s="6746">
        <f>AU2375-AV2375</f>
        <v>0</v>
      </c>
      <c r="AZ2375" s="6746">
        <f>AV2375-AW2375</f>
        <v>5397.75</v>
      </c>
      <c r="BA2375" s="5146"/>
      <c r="BB2375" s="5146"/>
      <c r="BC2375" s="3812"/>
      <c r="BD2375" s="5146"/>
      <c r="BE2375" s="5146"/>
      <c r="BF2375" s="5146"/>
      <c r="BG2375" s="5146"/>
      <c r="BH2375" s="5152"/>
      <c r="BI2375" s="3812"/>
      <c r="BJ2375" s="3812">
        <v>35984.99</v>
      </c>
      <c r="BK2375" s="5146"/>
      <c r="BL2375" s="5146"/>
      <c r="BM2375" s="5146"/>
      <c r="BN2375" s="5146"/>
      <c r="BO2375" s="5146"/>
      <c r="BP2375" s="5146"/>
      <c r="BQ2375" s="5146"/>
      <c r="BR2375" s="5146"/>
      <c r="BS2375" s="5146"/>
      <c r="BT2375" s="5146"/>
      <c r="BU2375" s="3812"/>
      <c r="BV2375" s="5152"/>
      <c r="BW2375" s="5741"/>
      <c r="BX2375" s="3812">
        <v>30587.24</v>
      </c>
      <c r="BY2375" s="5146"/>
      <c r="BZ2375" s="5146"/>
      <c r="CA2375" s="5146"/>
      <c r="CB2375" s="5146"/>
      <c r="CC2375" s="3812"/>
      <c r="CD2375" s="3812"/>
      <c r="CE2375" s="5169">
        <f>SUBTOTAL(9,BO2375:CB2375)</f>
        <v>30587.24</v>
      </c>
      <c r="CF2375" s="5169">
        <f>AN2375-CE2375</f>
        <v>0</v>
      </c>
      <c r="CG2375" s="5154"/>
      <c r="CH2375" s="5154"/>
    </row>
    <row r="2376" s="4980" customFormat="1" ht="18.75" customHeight="1" spans="1:86">
      <c r="A2376" s="2680"/>
      <c r="B2376" s="857"/>
      <c r="C2376" s="857"/>
      <c r="D2376" s="1032"/>
      <c r="E2376" s="5059"/>
      <c r="F2376" s="1032"/>
      <c r="G2376" s="1032"/>
      <c r="H2376" s="857"/>
      <c r="I2376" s="3408"/>
      <c r="J2376" s="1032"/>
      <c r="K2376" s="1032"/>
      <c r="L2376" s="1032"/>
      <c r="M2376" s="5059"/>
      <c r="N2376" s="2680"/>
      <c r="O2376" s="2680"/>
      <c r="P2376" s="2680"/>
      <c r="Q2376" s="2680"/>
      <c r="R2376" s="2680"/>
      <c r="S2376" s="2680"/>
      <c r="T2376" s="2680"/>
      <c r="U2376" s="2680"/>
      <c r="V2376" s="2680"/>
      <c r="W2376" s="2680"/>
      <c r="X2376" s="2680"/>
      <c r="Y2376" s="4026"/>
      <c r="Z2376" s="4026"/>
      <c r="AA2376" s="2680"/>
      <c r="AB2376" s="2680"/>
      <c r="AC2376" s="4841"/>
      <c r="AD2376" s="5205"/>
      <c r="AE2376" s="7108"/>
      <c r="AF2376" s="3408"/>
      <c r="AG2376" s="3812">
        <f t="shared" si="510"/>
        <v>0</v>
      </c>
      <c r="AH2376" s="3366"/>
      <c r="AI2376" s="4840"/>
      <c r="AJ2376" s="4840"/>
      <c r="AK2376" s="4840"/>
      <c r="AL2376" s="857"/>
      <c r="AM2376" s="3812"/>
      <c r="AN2376" s="3812">
        <f t="shared" si="511"/>
        <v>0</v>
      </c>
      <c r="AO2376" s="5301"/>
      <c r="AP2376" s="3812"/>
      <c r="AQ2376" s="5146"/>
      <c r="AR2376" s="3812"/>
      <c r="AS2376" s="5833"/>
      <c r="AT2376" s="5146"/>
      <c r="AU2376" s="6746"/>
      <c r="AV2376" s="6746"/>
      <c r="AW2376" s="6746"/>
      <c r="AX2376" s="6746"/>
      <c r="AY2376" s="6746"/>
      <c r="AZ2376" s="6746"/>
      <c r="BA2376" s="5146"/>
      <c r="BB2376" s="5146"/>
      <c r="BC2376" s="3812"/>
      <c r="BD2376" s="5146"/>
      <c r="BE2376" s="5146"/>
      <c r="BF2376" s="5146"/>
      <c r="BG2376" s="5146"/>
      <c r="BH2376" s="5152"/>
      <c r="BI2376" s="3812"/>
      <c r="BJ2376" s="857"/>
      <c r="BK2376" s="5146"/>
      <c r="BL2376" s="5146"/>
      <c r="BM2376" s="5146"/>
      <c r="BN2376" s="5146"/>
      <c r="BO2376" s="5146"/>
      <c r="BP2376" s="5146"/>
      <c r="BQ2376" s="5146"/>
      <c r="BR2376" s="5146"/>
      <c r="BS2376" s="5160"/>
      <c r="BT2376" s="5160"/>
      <c r="BU2376" s="5123"/>
      <c r="BV2376" s="5948"/>
      <c r="BW2376" s="6023"/>
      <c r="BX2376" s="857"/>
      <c r="BY2376" s="5160"/>
      <c r="BZ2376" s="5160"/>
      <c r="CA2376" s="5160"/>
      <c r="CB2376" s="5160"/>
      <c r="CC2376" s="3812"/>
      <c r="CD2376" s="3812"/>
      <c r="CE2376" s="5154"/>
      <c r="CF2376" s="5154"/>
      <c r="CG2376" s="5154"/>
      <c r="CH2376" s="5154"/>
    </row>
    <row r="2377" s="4980" customFormat="1" ht="18.75" customHeight="1" spans="1:86">
      <c r="A2377" s="2680"/>
      <c r="B2377" s="857"/>
      <c r="C2377" s="857"/>
      <c r="D2377" s="5059"/>
      <c r="E2377" s="5059"/>
      <c r="F2377" s="5059"/>
      <c r="G2377" s="1032"/>
      <c r="H2377" s="3812"/>
      <c r="I2377" s="3408"/>
      <c r="J2377" s="5059"/>
      <c r="K2377" s="1032"/>
      <c r="L2377" s="5059"/>
      <c r="M2377" s="5059"/>
      <c r="N2377" s="2680"/>
      <c r="O2377" s="2680"/>
      <c r="P2377" s="2680"/>
      <c r="Q2377" s="2680"/>
      <c r="R2377" s="2680"/>
      <c r="S2377" s="2680"/>
      <c r="T2377" s="2680"/>
      <c r="U2377" s="2680"/>
      <c r="V2377" s="2680"/>
      <c r="W2377" s="2680"/>
      <c r="X2377" s="2680"/>
      <c r="Y2377" s="4026"/>
      <c r="Z2377" s="4026"/>
      <c r="AA2377" s="2680"/>
      <c r="AB2377" s="2680"/>
      <c r="AC2377" s="4841"/>
      <c r="AD2377" s="5205"/>
      <c r="AE2377" s="7108"/>
      <c r="AF2377" s="3408"/>
      <c r="AG2377" s="4840">
        <f t="shared" si="510"/>
        <v>0</v>
      </c>
      <c r="AH2377" s="3366"/>
      <c r="AI2377" s="4840"/>
      <c r="AJ2377" s="4840"/>
      <c r="AK2377" s="4840"/>
      <c r="AL2377" s="4840"/>
      <c r="AM2377" s="4840"/>
      <c r="AN2377" s="3812">
        <f t="shared" si="511"/>
        <v>0</v>
      </c>
      <c r="AO2377" s="3812"/>
      <c r="AP2377" s="3812"/>
      <c r="AQ2377" s="5146"/>
      <c r="AR2377" s="3812"/>
      <c r="AS2377" s="5833"/>
      <c r="AT2377" s="5146"/>
      <c r="AU2377" s="6746"/>
      <c r="AV2377" s="6746"/>
      <c r="AW2377" s="6746"/>
      <c r="AX2377" s="6746"/>
      <c r="AY2377" s="6746"/>
      <c r="AZ2377" s="6746"/>
      <c r="BA2377" s="5146"/>
      <c r="BB2377" s="5146"/>
      <c r="BC2377" s="3812"/>
      <c r="BD2377" s="5146"/>
      <c r="BE2377" s="5146"/>
      <c r="BF2377" s="5146"/>
      <c r="BG2377" s="5146"/>
      <c r="BH2377" s="5152"/>
      <c r="BI2377" s="3812"/>
      <c r="BJ2377" s="4840"/>
      <c r="BK2377" s="5146"/>
      <c r="BL2377" s="5146"/>
      <c r="BM2377" s="5146"/>
      <c r="BN2377" s="5146"/>
      <c r="BO2377" s="5146"/>
      <c r="BP2377" s="5146"/>
      <c r="BQ2377" s="5146"/>
      <c r="BR2377" s="5146"/>
      <c r="BS2377" s="5146"/>
      <c r="BT2377" s="5146"/>
      <c r="BU2377" s="3812"/>
      <c r="BV2377" s="5152"/>
      <c r="BW2377" s="3812"/>
      <c r="BX2377" s="3812"/>
      <c r="BY2377" s="5146"/>
      <c r="BZ2377" s="5146"/>
      <c r="CA2377" s="5146"/>
      <c r="CB2377" s="5146"/>
      <c r="CC2377" s="3812"/>
      <c r="CD2377" s="3812"/>
      <c r="CE2377" s="5154"/>
      <c r="CF2377" s="5154"/>
      <c r="CG2377" s="5154"/>
      <c r="CH2377" s="5154"/>
    </row>
    <row r="2378" s="4980" customFormat="1" ht="76" spans="1:86">
      <c r="A2378" s="2680"/>
      <c r="B2378" s="857"/>
      <c r="C2378" s="857"/>
      <c r="D2378" s="5059"/>
      <c r="E2378" s="5059"/>
      <c r="F2378" s="5059"/>
      <c r="G2378" s="1032"/>
      <c r="H2378" s="3812"/>
      <c r="I2378" s="3409"/>
      <c r="J2378" s="5059"/>
      <c r="K2378" s="1032"/>
      <c r="L2378" s="5059"/>
      <c r="M2378" s="5059"/>
      <c r="N2378" s="2680"/>
      <c r="O2378" s="2680"/>
      <c r="P2378" s="2680"/>
      <c r="Q2378" s="2680"/>
      <c r="R2378" s="2680"/>
      <c r="S2378" s="2680"/>
      <c r="T2378" s="2680"/>
      <c r="U2378" s="2680"/>
      <c r="V2378" s="2680"/>
      <c r="W2378" s="2680"/>
      <c r="X2378" s="2680"/>
      <c r="Y2378" s="3927"/>
      <c r="Z2378" s="3927"/>
      <c r="AA2378" s="2680"/>
      <c r="AB2378" s="2680"/>
      <c r="AC2378" s="3812">
        <v>2</v>
      </c>
      <c r="AD2378" s="5241" t="s">
        <v>4052</v>
      </c>
      <c r="AE2378" s="5878">
        <v>0.15</v>
      </c>
      <c r="AF2378" s="857">
        <f>M2375*AE2378</f>
        <v>11956.8</v>
      </c>
      <c r="AG2378" s="3812"/>
      <c r="AH2378" s="857"/>
      <c r="AI2378" s="3812"/>
      <c r="AJ2378" s="3812"/>
      <c r="AK2378" s="3812"/>
      <c r="AL2378" s="3812"/>
      <c r="AM2378" s="3812"/>
      <c r="AN2378" s="3812"/>
      <c r="AO2378" s="3812"/>
      <c r="AP2378" s="3812">
        <f t="shared" si="512"/>
        <v>0</v>
      </c>
      <c r="AQ2378" s="5146"/>
      <c r="AR2378" s="3812"/>
      <c r="AS2378" s="5833"/>
      <c r="AT2378" s="5146"/>
      <c r="AU2378" s="6746"/>
      <c r="AV2378" s="6746"/>
      <c r="AW2378" s="6746"/>
      <c r="AX2378" s="6746"/>
      <c r="AY2378" s="6746"/>
      <c r="AZ2378" s="6746"/>
      <c r="BA2378" s="5146"/>
      <c r="BB2378" s="5146"/>
      <c r="BC2378" s="3812"/>
      <c r="BD2378" s="5146"/>
      <c r="BE2378" s="5146"/>
      <c r="BF2378" s="5146"/>
      <c r="BG2378" s="5146"/>
      <c r="BH2378" s="5152"/>
      <c r="BI2378" s="3812"/>
      <c r="BJ2378" s="3812"/>
      <c r="BK2378" s="5146"/>
      <c r="BL2378" s="5146"/>
      <c r="BM2378" s="5146"/>
      <c r="BN2378" s="5146"/>
      <c r="BO2378" s="5146"/>
      <c r="BP2378" s="5146"/>
      <c r="BQ2378" s="5146"/>
      <c r="BR2378" s="5146"/>
      <c r="BS2378" s="5146"/>
      <c r="BT2378" s="5146"/>
      <c r="BU2378" s="3812"/>
      <c r="BV2378" s="5152"/>
      <c r="BW2378" s="3812"/>
      <c r="BX2378" s="3812"/>
      <c r="BY2378" s="5146"/>
      <c r="BZ2378" s="5146"/>
      <c r="CA2378" s="5146"/>
      <c r="CB2378" s="5146"/>
      <c r="CC2378" s="3812"/>
      <c r="CD2378" s="3812"/>
      <c r="CE2378" s="5154"/>
      <c r="CF2378" s="5154"/>
      <c r="CG2378" s="5154"/>
      <c r="CH2378" s="5154"/>
    </row>
    <row r="2379" s="5008" customFormat="1" ht="51.75" customHeight="1" spans="1:86">
      <c r="A2379" s="3057"/>
      <c r="B2379" s="584" t="s">
        <v>690</v>
      </c>
      <c r="C2379" s="3057">
        <v>44682</v>
      </c>
      <c r="D2379" s="1125" t="s">
        <v>4059</v>
      </c>
      <c r="E2379" s="5056"/>
      <c r="F2379" s="1125" t="s">
        <v>4060</v>
      </c>
      <c r="G2379" s="1125" t="s">
        <v>4061</v>
      </c>
      <c r="H2379" s="1125" t="s">
        <v>286</v>
      </c>
      <c r="I2379" s="1125"/>
      <c r="J2379" s="1125" t="s">
        <v>4062</v>
      </c>
      <c r="K2379" s="1125" t="s">
        <v>171</v>
      </c>
      <c r="L2379" s="1125">
        <v>50000</v>
      </c>
      <c r="M2379" s="3057">
        <f>SUM(N2379:AA2379)</f>
        <v>50000</v>
      </c>
      <c r="N2379" s="4099"/>
      <c r="O2379" s="4099"/>
      <c r="P2379" s="4099">
        <v>50000</v>
      </c>
      <c r="Q2379" s="4099"/>
      <c r="R2379" s="4099"/>
      <c r="S2379" s="4099"/>
      <c r="T2379" s="4099"/>
      <c r="U2379" s="4099"/>
      <c r="V2379" s="4099"/>
      <c r="W2379" s="4099"/>
      <c r="X2379" s="4099"/>
      <c r="Y2379" s="4099"/>
      <c r="Z2379" s="4099"/>
      <c r="AA2379" s="4099"/>
      <c r="AB2379" s="6587"/>
      <c r="AC2379" s="3057">
        <v>1</v>
      </c>
      <c r="AD2379" s="5837" t="s">
        <v>4063</v>
      </c>
      <c r="AE2379" s="1125">
        <v>1</v>
      </c>
      <c r="AF2379" s="3057">
        <v>50000</v>
      </c>
      <c r="AG2379" s="3057">
        <f t="shared" si="510"/>
        <v>50000</v>
      </c>
      <c r="AH2379" s="584" t="s">
        <v>122</v>
      </c>
      <c r="AI2379" s="3057">
        <v>44999</v>
      </c>
      <c r="AJ2379" s="3057">
        <v>50000</v>
      </c>
      <c r="AK2379" s="3057">
        <v>44999</v>
      </c>
      <c r="AL2379" s="3057">
        <v>50000</v>
      </c>
      <c r="AM2379" s="3057">
        <v>44999</v>
      </c>
      <c r="AN2379" s="3057">
        <f t="shared" si="511"/>
        <v>50000</v>
      </c>
      <c r="AO2379" s="3057">
        <v>45061</v>
      </c>
      <c r="AP2379" s="6860">
        <f t="shared" si="512"/>
        <v>0</v>
      </c>
      <c r="AQ2379" s="1125"/>
      <c r="AR2379" s="3057"/>
      <c r="AS2379" s="5056"/>
      <c r="AT2379" s="3057"/>
      <c r="AU2379" s="4099"/>
      <c r="AV2379" s="4099"/>
      <c r="AW2379" s="4099"/>
      <c r="AX2379" s="4099"/>
      <c r="AY2379" s="4099"/>
      <c r="AZ2379" s="4099"/>
      <c r="BA2379" s="3057"/>
      <c r="BB2379" s="3057"/>
      <c r="BC2379" s="3057">
        <v>50000</v>
      </c>
      <c r="BD2379" s="5125"/>
      <c r="BE2379" s="3057"/>
      <c r="BF2379" s="3057"/>
      <c r="BG2379" s="3057"/>
      <c r="BH2379" s="3057"/>
      <c r="BI2379" s="4059"/>
      <c r="BJ2379" s="4059"/>
      <c r="BK2379" s="4059"/>
      <c r="BL2379" s="4059"/>
      <c r="BM2379" s="4059"/>
      <c r="BN2379" s="3057"/>
      <c r="BO2379" s="4059"/>
      <c r="BP2379" s="4059"/>
      <c r="BQ2379" s="3057">
        <v>50000</v>
      </c>
      <c r="BR2379" s="4059"/>
      <c r="BS2379" s="4059"/>
      <c r="BT2379" s="4059"/>
      <c r="BU2379" s="4059"/>
      <c r="BV2379" s="4059"/>
      <c r="BW2379" s="4059"/>
      <c r="BX2379" s="4059"/>
      <c r="BY2379" s="4059"/>
      <c r="BZ2379" s="4059"/>
      <c r="CA2379" s="4059"/>
      <c r="CB2379" s="4059"/>
      <c r="CC2379" s="3057"/>
      <c r="CD2379" s="3057"/>
      <c r="CE2379" s="7066"/>
      <c r="CF2379" s="7066"/>
      <c r="CG2379" s="7066"/>
      <c r="CH2379" s="7066"/>
    </row>
    <row r="2380" s="4980" customFormat="1" ht="39.15" customHeight="1" spans="1:86">
      <c r="A2380" s="2680">
        <v>25</v>
      </c>
      <c r="B2380" s="857" t="s">
        <v>690</v>
      </c>
      <c r="C2380" s="857"/>
      <c r="D2380" s="1032" t="s">
        <v>4064</v>
      </c>
      <c r="E2380" s="1032" t="s">
        <v>4054</v>
      </c>
      <c r="F2380" s="1032" t="s">
        <v>4065</v>
      </c>
      <c r="G2380" s="1032" t="s">
        <v>4066</v>
      </c>
      <c r="H2380" s="857" t="s">
        <v>1241</v>
      </c>
      <c r="I2380" s="5073" t="s">
        <v>4067</v>
      </c>
      <c r="J2380" s="1032" t="s">
        <v>4040</v>
      </c>
      <c r="K2380" s="1032" t="s">
        <v>4068</v>
      </c>
      <c r="L2380" s="1032" t="s">
        <v>4042</v>
      </c>
      <c r="M2380" s="5059">
        <f>SUM(N2380:AA2383)</f>
        <v>1060000</v>
      </c>
      <c r="N2380" s="2680">
        <v>0</v>
      </c>
      <c r="O2380" s="2680">
        <v>0</v>
      </c>
      <c r="P2380" s="2680">
        <v>0</v>
      </c>
      <c r="Q2380" s="2680">
        <v>0</v>
      </c>
      <c r="R2380" s="2680">
        <v>0</v>
      </c>
      <c r="S2380" s="2680">
        <v>0</v>
      </c>
      <c r="T2380" s="2680">
        <v>0</v>
      </c>
      <c r="U2380" s="2680">
        <v>0</v>
      </c>
      <c r="V2380" s="2680">
        <v>0</v>
      </c>
      <c r="W2380" s="2680">
        <v>1060000</v>
      </c>
      <c r="X2380" s="2680">
        <v>0</v>
      </c>
      <c r="Y2380" s="3925">
        <v>0</v>
      </c>
      <c r="Z2380" s="3925"/>
      <c r="AA2380" s="2680">
        <v>0</v>
      </c>
      <c r="AB2380" s="2680">
        <v>0</v>
      </c>
      <c r="AC2380" s="4840">
        <v>1</v>
      </c>
      <c r="AD2380" s="5073" t="s">
        <v>4043</v>
      </c>
      <c r="AE2380" s="5921">
        <v>0.85</v>
      </c>
      <c r="AF2380" s="3366">
        <f>M2380*AE2380</f>
        <v>901000</v>
      </c>
      <c r="AG2380" s="3812">
        <f t="shared" si="510"/>
        <v>0</v>
      </c>
      <c r="AH2380" s="857"/>
      <c r="AI2380" s="3812"/>
      <c r="AJ2380" s="3812"/>
      <c r="AK2380" s="3812"/>
      <c r="AL2380" s="857"/>
      <c r="AM2380" s="3812"/>
      <c r="AN2380" s="3812">
        <f t="shared" si="511"/>
        <v>0</v>
      </c>
      <c r="AO2380" s="3812"/>
      <c r="AP2380" s="3812">
        <f t="shared" si="512"/>
        <v>0</v>
      </c>
      <c r="AQ2380" s="5146"/>
      <c r="AR2380" s="3812"/>
      <c r="AS2380" s="5833"/>
      <c r="AT2380" s="5146"/>
      <c r="AU2380" s="6746">
        <f>SUM(AG2380:AG2383)</f>
        <v>0</v>
      </c>
      <c r="AV2380" s="6746">
        <f>SUM(AL2380:AL2383)</f>
        <v>0</v>
      </c>
      <c r="AW2380" s="6746">
        <f>SUM(AN2380:AN2383)</f>
        <v>0</v>
      </c>
      <c r="AX2380" s="6746">
        <f>M2380-AU2380</f>
        <v>1060000</v>
      </c>
      <c r="AY2380" s="6746">
        <f>AU2380-AV2380</f>
        <v>0</v>
      </c>
      <c r="AZ2380" s="6746">
        <f>AV2380-AW2380</f>
        <v>0</v>
      </c>
      <c r="BA2380" s="5146"/>
      <c r="BB2380" s="5146"/>
      <c r="BC2380" s="3812"/>
      <c r="BD2380" s="5146"/>
      <c r="BE2380" s="5146"/>
      <c r="BF2380" s="5146"/>
      <c r="BG2380" s="5146"/>
      <c r="BH2380" s="5152"/>
      <c r="BI2380" s="3812"/>
      <c r="BJ2380" s="3812">
        <v>0</v>
      </c>
      <c r="BK2380" s="5146"/>
      <c r="BL2380" s="5146"/>
      <c r="BM2380" s="5146"/>
      <c r="BN2380" s="5146"/>
      <c r="BO2380" s="5146"/>
      <c r="BP2380" s="5146"/>
      <c r="BQ2380" s="5146"/>
      <c r="BR2380" s="5146"/>
      <c r="BS2380" s="5146"/>
      <c r="BT2380" s="5146"/>
      <c r="BU2380" s="3812"/>
      <c r="BV2380" s="5152"/>
      <c r="BW2380" s="5741"/>
      <c r="BX2380" s="3812">
        <v>0</v>
      </c>
      <c r="BY2380" s="5146"/>
      <c r="BZ2380" s="5146"/>
      <c r="CA2380" s="5146"/>
      <c r="CB2380" s="5146"/>
      <c r="CC2380" s="3812"/>
      <c r="CD2380" s="3812"/>
      <c r="CE2380" s="5169">
        <f>SUBTOTAL(9,BO2380:CB2380)</f>
        <v>0</v>
      </c>
      <c r="CF2380" s="5169">
        <f>AN2380-CE2380</f>
        <v>0</v>
      </c>
      <c r="CG2380" s="5154"/>
      <c r="CH2380" s="5154"/>
    </row>
    <row r="2381" s="4980" customFormat="1" ht="18.75" customHeight="1" spans="1:86">
      <c r="A2381" s="2680"/>
      <c r="B2381" s="857"/>
      <c r="C2381" s="857"/>
      <c r="D2381" s="1032"/>
      <c r="E2381" s="5059"/>
      <c r="F2381" s="1032"/>
      <c r="G2381" s="1032"/>
      <c r="H2381" s="857"/>
      <c r="I2381" s="5205"/>
      <c r="J2381" s="1032"/>
      <c r="K2381" s="1032"/>
      <c r="L2381" s="1032"/>
      <c r="M2381" s="5059"/>
      <c r="N2381" s="2680"/>
      <c r="O2381" s="2680"/>
      <c r="P2381" s="2680"/>
      <c r="Q2381" s="2680"/>
      <c r="R2381" s="2680"/>
      <c r="S2381" s="2680"/>
      <c r="T2381" s="2680"/>
      <c r="U2381" s="2680"/>
      <c r="V2381" s="2680"/>
      <c r="W2381" s="2680"/>
      <c r="X2381" s="2680"/>
      <c r="Y2381" s="4026"/>
      <c r="Z2381" s="4026"/>
      <c r="AA2381" s="2680"/>
      <c r="AB2381" s="2680"/>
      <c r="AC2381" s="4841"/>
      <c r="AD2381" s="5205"/>
      <c r="AE2381" s="7108"/>
      <c r="AF2381" s="3408"/>
      <c r="AG2381" s="3812">
        <f t="shared" si="510"/>
        <v>0</v>
      </c>
      <c r="AH2381" s="3366"/>
      <c r="AI2381" s="4840"/>
      <c r="AJ2381" s="4840"/>
      <c r="AK2381" s="4840"/>
      <c r="AL2381" s="857"/>
      <c r="AM2381" s="3812"/>
      <c r="AN2381" s="3812">
        <f t="shared" si="511"/>
        <v>0</v>
      </c>
      <c r="AO2381" s="5301"/>
      <c r="AP2381" s="3812">
        <f t="shared" si="512"/>
        <v>0</v>
      </c>
      <c r="AQ2381" s="5146"/>
      <c r="AR2381" s="3812"/>
      <c r="AS2381" s="5833"/>
      <c r="AT2381" s="5146"/>
      <c r="AU2381" s="6746"/>
      <c r="AV2381" s="6746"/>
      <c r="AW2381" s="6746"/>
      <c r="AX2381" s="6746"/>
      <c r="AY2381" s="6746"/>
      <c r="AZ2381" s="6746"/>
      <c r="BA2381" s="5146"/>
      <c r="BB2381" s="5146"/>
      <c r="BC2381" s="3812"/>
      <c r="BD2381" s="5146"/>
      <c r="BE2381" s="5146"/>
      <c r="BF2381" s="5146"/>
      <c r="BG2381" s="5146"/>
      <c r="BH2381" s="5152"/>
      <c r="BI2381" s="3812"/>
      <c r="BJ2381" s="857"/>
      <c r="BK2381" s="5146"/>
      <c r="BL2381" s="5146"/>
      <c r="BM2381" s="5146"/>
      <c r="BN2381" s="5146"/>
      <c r="BO2381" s="5146"/>
      <c r="BP2381" s="5146"/>
      <c r="BQ2381" s="5146"/>
      <c r="BR2381" s="5146"/>
      <c r="BS2381" s="5160"/>
      <c r="BT2381" s="5160"/>
      <c r="BU2381" s="5123"/>
      <c r="BV2381" s="5948"/>
      <c r="BW2381" s="6023"/>
      <c r="BX2381" s="857"/>
      <c r="BY2381" s="5160"/>
      <c r="BZ2381" s="5160"/>
      <c r="CA2381" s="5160"/>
      <c r="CB2381" s="5160"/>
      <c r="CC2381" s="3812"/>
      <c r="CD2381" s="3812"/>
      <c r="CE2381" s="5154"/>
      <c r="CF2381" s="5154"/>
      <c r="CG2381" s="5154"/>
      <c r="CH2381" s="5154"/>
    </row>
    <row r="2382" s="4980" customFormat="1" ht="18.75" customHeight="1" spans="1:86">
      <c r="A2382" s="2680"/>
      <c r="B2382" s="857"/>
      <c r="C2382" s="857"/>
      <c r="D2382" s="5059"/>
      <c r="E2382" s="5059"/>
      <c r="F2382" s="5059"/>
      <c r="G2382" s="1032"/>
      <c r="H2382" s="3812"/>
      <c r="I2382" s="5205"/>
      <c r="J2382" s="5059"/>
      <c r="K2382" s="1032"/>
      <c r="L2382" s="5059"/>
      <c r="M2382" s="5059"/>
      <c r="N2382" s="2680"/>
      <c r="O2382" s="2680"/>
      <c r="P2382" s="2680"/>
      <c r="Q2382" s="2680"/>
      <c r="R2382" s="2680"/>
      <c r="S2382" s="2680"/>
      <c r="T2382" s="2680"/>
      <c r="U2382" s="2680"/>
      <c r="V2382" s="2680"/>
      <c r="W2382" s="2680"/>
      <c r="X2382" s="2680"/>
      <c r="Y2382" s="4026"/>
      <c r="Z2382" s="4026"/>
      <c r="AA2382" s="2680"/>
      <c r="AB2382" s="2680"/>
      <c r="AC2382" s="4841"/>
      <c r="AD2382" s="5205"/>
      <c r="AE2382" s="7108"/>
      <c r="AF2382" s="3408"/>
      <c r="AG2382" s="4840">
        <f t="shared" si="510"/>
        <v>0</v>
      </c>
      <c r="AH2382" s="3366"/>
      <c r="AI2382" s="4840"/>
      <c r="AJ2382" s="4840"/>
      <c r="AK2382" s="4840"/>
      <c r="AL2382" s="4840"/>
      <c r="AM2382" s="4840"/>
      <c r="AN2382" s="3812">
        <f t="shared" si="511"/>
        <v>0</v>
      </c>
      <c r="AO2382" s="3812"/>
      <c r="AP2382" s="3812">
        <f t="shared" si="512"/>
        <v>0</v>
      </c>
      <c r="AQ2382" s="5146"/>
      <c r="AR2382" s="3812"/>
      <c r="AS2382" s="5833"/>
      <c r="AT2382" s="5146"/>
      <c r="AU2382" s="6746"/>
      <c r="AV2382" s="6746"/>
      <c r="AW2382" s="6746"/>
      <c r="AX2382" s="6746"/>
      <c r="AY2382" s="6746"/>
      <c r="AZ2382" s="6746"/>
      <c r="BA2382" s="5146"/>
      <c r="BB2382" s="5146"/>
      <c r="BC2382" s="3812"/>
      <c r="BD2382" s="5146"/>
      <c r="BE2382" s="5146"/>
      <c r="BF2382" s="5146"/>
      <c r="BG2382" s="5146"/>
      <c r="BH2382" s="5152"/>
      <c r="BI2382" s="3812"/>
      <c r="BJ2382" s="4840"/>
      <c r="BK2382" s="5146"/>
      <c r="BL2382" s="5146"/>
      <c r="BM2382" s="5146"/>
      <c r="BN2382" s="5146"/>
      <c r="BO2382" s="5146"/>
      <c r="BP2382" s="5146"/>
      <c r="BQ2382" s="5146"/>
      <c r="BR2382" s="5146"/>
      <c r="BS2382" s="5146"/>
      <c r="BT2382" s="5146"/>
      <c r="BU2382" s="3812"/>
      <c r="BV2382" s="5152"/>
      <c r="BW2382" s="3812"/>
      <c r="BX2382" s="3812"/>
      <c r="BY2382" s="5146"/>
      <c r="BZ2382" s="5146"/>
      <c r="CA2382" s="5146"/>
      <c r="CB2382" s="5146"/>
      <c r="CC2382" s="3812"/>
      <c r="CD2382" s="3812"/>
      <c r="CE2382" s="5154"/>
      <c r="CF2382" s="5154"/>
      <c r="CG2382" s="5154"/>
      <c r="CH2382" s="5154"/>
    </row>
    <row r="2383" s="4980" customFormat="1" ht="76" spans="1:86">
      <c r="A2383" s="2680"/>
      <c r="B2383" s="857"/>
      <c r="C2383" s="857"/>
      <c r="D2383" s="5059"/>
      <c r="E2383" s="5059"/>
      <c r="F2383" s="5059"/>
      <c r="G2383" s="1032"/>
      <c r="H2383" s="3812"/>
      <c r="I2383" s="5206"/>
      <c r="J2383" s="5059"/>
      <c r="K2383" s="1032"/>
      <c r="L2383" s="5059"/>
      <c r="M2383" s="5059"/>
      <c r="N2383" s="2680"/>
      <c r="O2383" s="2680"/>
      <c r="P2383" s="2680"/>
      <c r="Q2383" s="2680"/>
      <c r="R2383" s="2680"/>
      <c r="S2383" s="2680"/>
      <c r="T2383" s="2680"/>
      <c r="U2383" s="2680"/>
      <c r="V2383" s="2680"/>
      <c r="W2383" s="2680"/>
      <c r="X2383" s="2680"/>
      <c r="Y2383" s="3927"/>
      <c r="Z2383" s="3927"/>
      <c r="AA2383" s="2680"/>
      <c r="AB2383" s="2680"/>
      <c r="AC2383" s="3812">
        <v>2</v>
      </c>
      <c r="AD2383" s="5241" t="s">
        <v>4052</v>
      </c>
      <c r="AE2383" s="5878">
        <v>0.15</v>
      </c>
      <c r="AF2383" s="857">
        <f>M2380*AE2383</f>
        <v>159000</v>
      </c>
      <c r="AG2383" s="3812"/>
      <c r="AH2383" s="857"/>
      <c r="AI2383" s="3812"/>
      <c r="AJ2383" s="3812"/>
      <c r="AK2383" s="3812"/>
      <c r="AL2383" s="3812"/>
      <c r="AM2383" s="3812"/>
      <c r="AN2383" s="3812"/>
      <c r="AO2383" s="3812"/>
      <c r="AP2383" s="3812">
        <f t="shared" si="512"/>
        <v>0</v>
      </c>
      <c r="AQ2383" s="5146"/>
      <c r="AR2383" s="3812"/>
      <c r="AS2383" s="5833"/>
      <c r="AT2383" s="5146"/>
      <c r="AU2383" s="6746"/>
      <c r="AV2383" s="6746"/>
      <c r="AW2383" s="6746"/>
      <c r="AX2383" s="6746"/>
      <c r="AY2383" s="6746"/>
      <c r="AZ2383" s="6746"/>
      <c r="BA2383" s="5146"/>
      <c r="BB2383" s="5146"/>
      <c r="BC2383" s="3812"/>
      <c r="BD2383" s="5146"/>
      <c r="BE2383" s="5146"/>
      <c r="BF2383" s="5146"/>
      <c r="BG2383" s="5146"/>
      <c r="BH2383" s="5152"/>
      <c r="BI2383" s="3812"/>
      <c r="BJ2383" s="3812"/>
      <c r="BK2383" s="5146"/>
      <c r="BL2383" s="5146"/>
      <c r="BM2383" s="5146"/>
      <c r="BN2383" s="5146"/>
      <c r="BO2383" s="5146"/>
      <c r="BP2383" s="5146"/>
      <c r="BQ2383" s="5146"/>
      <c r="BR2383" s="5146"/>
      <c r="BS2383" s="5146"/>
      <c r="BT2383" s="5146"/>
      <c r="BU2383" s="3812"/>
      <c r="BV2383" s="5152"/>
      <c r="BW2383" s="3812"/>
      <c r="BX2383" s="3812"/>
      <c r="BY2383" s="5146"/>
      <c r="BZ2383" s="5146"/>
      <c r="CA2383" s="5146"/>
      <c r="CB2383" s="5146"/>
      <c r="CC2383" s="3812"/>
      <c r="CD2383" s="3812"/>
      <c r="CE2383" s="5154"/>
      <c r="CF2383" s="5154"/>
      <c r="CG2383" s="5154"/>
      <c r="CH2383" s="5154"/>
    </row>
    <row r="2384" s="5014" customFormat="1" ht="122" spans="1:86">
      <c r="A2384" s="2678"/>
      <c r="B2384" s="857" t="s">
        <v>690</v>
      </c>
      <c r="C2384" s="3812">
        <v>45255</v>
      </c>
      <c r="D2384" s="1032" t="s">
        <v>4069</v>
      </c>
      <c r="E2384" s="5059"/>
      <c r="F2384" s="1032" t="s">
        <v>4070</v>
      </c>
      <c r="G2384" s="1032" t="s">
        <v>4071</v>
      </c>
      <c r="H2384" s="1032" t="s">
        <v>286</v>
      </c>
      <c r="I2384" s="1032"/>
      <c r="J2384" s="1032" t="s">
        <v>4062</v>
      </c>
      <c r="K2384" s="1032" t="s">
        <v>171</v>
      </c>
      <c r="L2384" s="1032">
        <v>49000</v>
      </c>
      <c r="M2384" s="3812">
        <f>SUM(N2384:AA2384)</f>
        <v>49000</v>
      </c>
      <c r="N2384" s="4099"/>
      <c r="O2384" s="4099"/>
      <c r="P2384" s="4099"/>
      <c r="Q2384" s="4099">
        <v>49000</v>
      </c>
      <c r="R2384" s="4099"/>
      <c r="S2384" s="4099"/>
      <c r="T2384" s="4099"/>
      <c r="U2384" s="4099"/>
      <c r="V2384" s="4099"/>
      <c r="W2384" s="4099"/>
      <c r="X2384" s="4099"/>
      <c r="Y2384" s="4099"/>
      <c r="Z2384" s="4099"/>
      <c r="AA2384" s="4099"/>
      <c r="AB2384" s="6587"/>
      <c r="AC2384" s="3812">
        <v>1</v>
      </c>
      <c r="AD2384" s="1032" t="s">
        <v>4072</v>
      </c>
      <c r="AE2384" s="1032">
        <v>1</v>
      </c>
      <c r="AF2384" s="3812">
        <v>49000</v>
      </c>
      <c r="AG2384" s="3812">
        <f>SUM(BA2384:BN2384)</f>
        <v>49000</v>
      </c>
      <c r="AH2384" s="857" t="s">
        <v>122</v>
      </c>
      <c r="AI2384" s="3812">
        <v>45287</v>
      </c>
      <c r="AJ2384" s="3812">
        <v>49000</v>
      </c>
      <c r="AK2384" s="3812">
        <v>45287</v>
      </c>
      <c r="AL2384" s="3812">
        <v>49000</v>
      </c>
      <c r="AM2384" s="3812">
        <v>45847</v>
      </c>
      <c r="AN2384" s="3812">
        <f>SUM(BO2384:CB2384)</f>
        <v>49000</v>
      </c>
      <c r="AO2384" s="3812"/>
      <c r="AP2384" s="3812">
        <f t="shared" si="512"/>
        <v>0</v>
      </c>
      <c r="AQ2384" s="1032"/>
      <c r="AR2384" s="3812"/>
      <c r="AS2384" s="5059"/>
      <c r="AT2384" s="3812"/>
      <c r="AU2384" s="4099"/>
      <c r="AV2384" s="4099"/>
      <c r="AW2384" s="4099"/>
      <c r="AX2384" s="4099"/>
      <c r="AY2384" s="4099"/>
      <c r="AZ2384" s="4099"/>
      <c r="BA2384" s="3812"/>
      <c r="BB2384" s="3812"/>
      <c r="BC2384" s="3812"/>
      <c r="BD2384" s="3812">
        <v>49000</v>
      </c>
      <c r="BE2384" s="3812"/>
      <c r="BF2384" s="3812"/>
      <c r="BG2384" s="3812"/>
      <c r="BH2384" s="3812"/>
      <c r="BI2384" s="3812"/>
      <c r="BJ2384" s="3812"/>
      <c r="BK2384" s="3812"/>
      <c r="BL2384" s="3812"/>
      <c r="BM2384" s="3812"/>
      <c r="BN2384" s="3812"/>
      <c r="BO2384" s="5123"/>
      <c r="BP2384" s="5123"/>
      <c r="BQ2384" s="5123"/>
      <c r="BR2384" s="3812">
        <v>49000</v>
      </c>
      <c r="BS2384" s="3812"/>
      <c r="BT2384" s="3812"/>
      <c r="BU2384" s="3812"/>
      <c r="BV2384" s="3812"/>
      <c r="BW2384" s="3812"/>
      <c r="BX2384" s="3812"/>
      <c r="BY2384" s="3812"/>
      <c r="BZ2384" s="3812"/>
      <c r="CA2384" s="3812"/>
      <c r="CB2384" s="3812"/>
      <c r="CC2384" s="3812"/>
      <c r="CD2384" s="3812"/>
      <c r="CE2384" s="7140"/>
      <c r="CF2384" s="7140"/>
      <c r="CG2384" s="7140"/>
      <c r="CH2384" s="7140"/>
    </row>
    <row r="2385" s="5014" customFormat="1" ht="31.65" customHeight="1" spans="1:86">
      <c r="A2385" s="2678"/>
      <c r="B2385" s="857" t="s">
        <v>690</v>
      </c>
      <c r="C2385" s="3812">
        <v>44734</v>
      </c>
      <c r="D2385" s="1032" t="s">
        <v>4073</v>
      </c>
      <c r="E2385" s="5059"/>
      <c r="F2385" s="1032" t="s">
        <v>4074</v>
      </c>
      <c r="G2385" s="1032" t="s">
        <v>4075</v>
      </c>
      <c r="H2385" s="1032" t="s">
        <v>116</v>
      </c>
      <c r="I2385" s="5073"/>
      <c r="J2385" s="1032" t="s">
        <v>1391</v>
      </c>
      <c r="K2385" s="1032" t="s">
        <v>4076</v>
      </c>
      <c r="L2385" s="1032">
        <v>44.8</v>
      </c>
      <c r="M2385" s="3812">
        <f>SUM(N2385:AA2395)</f>
        <v>22400000</v>
      </c>
      <c r="N2385" s="4099"/>
      <c r="O2385" s="4099"/>
      <c r="P2385" s="4099"/>
      <c r="Q2385" s="4099">
        <v>13171860</v>
      </c>
      <c r="R2385" s="4099"/>
      <c r="S2385" s="4099">
        <v>7589218</v>
      </c>
      <c r="T2385" s="4099"/>
      <c r="U2385" s="4099">
        <v>966922</v>
      </c>
      <c r="V2385" s="4099"/>
      <c r="W2385" s="4099"/>
      <c r="X2385" s="4099"/>
      <c r="Y2385" s="4099"/>
      <c r="Z2385" s="4099"/>
      <c r="AA2385" s="4099">
        <v>672000</v>
      </c>
      <c r="AB2385" s="6587"/>
      <c r="AC2385" s="3812">
        <v>1</v>
      </c>
      <c r="AD2385" s="1032" t="s">
        <v>4077</v>
      </c>
      <c r="AE2385" s="1032">
        <v>0.15</v>
      </c>
      <c r="AF2385" s="3812">
        <v>1327905.43</v>
      </c>
      <c r="AG2385" s="3812">
        <f>SUM(BA2385:BN2385)</f>
        <v>1327905.43</v>
      </c>
      <c r="AH2385" s="857" t="s">
        <v>122</v>
      </c>
      <c r="AI2385" s="3812">
        <v>44922</v>
      </c>
      <c r="AJ2385" s="3812">
        <v>1327905.43</v>
      </c>
      <c r="AK2385" s="3812">
        <v>44922</v>
      </c>
      <c r="AL2385" s="3812">
        <v>1012524.31</v>
      </c>
      <c r="AM2385" s="3812">
        <v>44936</v>
      </c>
      <c r="AN2385" s="3812">
        <f t="shared" ref="AN2385:AN2404" si="513">SUM(BO2385:CB2385)</f>
        <v>1012524.31</v>
      </c>
      <c r="AO2385" s="3812">
        <v>44944</v>
      </c>
      <c r="AP2385" s="3812">
        <f t="shared" si="512"/>
        <v>315381.12</v>
      </c>
      <c r="AQ2385" s="1032"/>
      <c r="AR2385" s="3812"/>
      <c r="AS2385" s="5059"/>
      <c r="AT2385" s="3812"/>
      <c r="AU2385" s="4099"/>
      <c r="AV2385" s="4099"/>
      <c r="AW2385" s="4099"/>
      <c r="AX2385" s="4099"/>
      <c r="AY2385" s="4099"/>
      <c r="AZ2385" s="4099"/>
      <c r="BA2385" s="3812"/>
      <c r="BB2385" s="3812"/>
      <c r="BC2385" s="3812"/>
      <c r="BD2385" s="3812">
        <v>1118665.45</v>
      </c>
      <c r="BE2385" s="3812"/>
      <c r="BF2385" s="3812"/>
      <c r="BG2385" s="3812"/>
      <c r="BH2385" s="3812">
        <v>127085.35</v>
      </c>
      <c r="BI2385" s="3812"/>
      <c r="BJ2385" s="3812"/>
      <c r="BK2385" s="3812"/>
      <c r="BL2385" s="3812"/>
      <c r="BM2385" s="3812"/>
      <c r="BN2385" s="3812">
        <v>82154.63</v>
      </c>
      <c r="BO2385" s="5123"/>
      <c r="BP2385" s="5123"/>
      <c r="BQ2385" s="5123"/>
      <c r="BR2385" s="3812">
        <v>950828.13</v>
      </c>
      <c r="BS2385" s="3812"/>
      <c r="BT2385" s="3812"/>
      <c r="BU2385" s="3812"/>
      <c r="BV2385" s="3812">
        <v>31320.45</v>
      </c>
      <c r="BW2385" s="3812"/>
      <c r="BX2385" s="3812"/>
      <c r="BY2385" s="3812"/>
      <c r="BZ2385" s="3812"/>
      <c r="CA2385" s="3812"/>
      <c r="CB2385" s="3812">
        <v>30375.73</v>
      </c>
      <c r="CC2385" s="3812"/>
      <c r="CD2385" s="3812"/>
      <c r="CE2385" s="7140"/>
      <c r="CF2385" s="7140"/>
      <c r="CG2385" s="7140"/>
      <c r="CH2385" s="7140"/>
    </row>
    <row r="2386" s="5014" customFormat="1" ht="32.5" customHeight="1" spans="1:86">
      <c r="A2386" s="2678"/>
      <c r="B2386" s="857"/>
      <c r="C2386" s="3812"/>
      <c r="D2386" s="1032"/>
      <c r="E2386" s="5059"/>
      <c r="F2386" s="1032"/>
      <c r="G2386" s="1032"/>
      <c r="H2386" s="1032"/>
      <c r="I2386" s="5205"/>
      <c r="J2386" s="1032"/>
      <c r="K2386" s="1032"/>
      <c r="L2386" s="1032"/>
      <c r="M2386" s="3812"/>
      <c r="N2386" s="4099"/>
      <c r="O2386" s="4099"/>
      <c r="P2386" s="4099"/>
      <c r="Q2386" s="4099"/>
      <c r="R2386" s="4099"/>
      <c r="S2386" s="4099"/>
      <c r="T2386" s="4099"/>
      <c r="U2386" s="4099"/>
      <c r="V2386" s="4099"/>
      <c r="W2386" s="4099"/>
      <c r="X2386" s="4099"/>
      <c r="Y2386" s="4099"/>
      <c r="Z2386" s="4099"/>
      <c r="AA2386" s="4099"/>
      <c r="AB2386" s="6587"/>
      <c r="AC2386" s="3812"/>
      <c r="AD2386" s="1032"/>
      <c r="AE2386" s="1032"/>
      <c r="AF2386" s="3812"/>
      <c r="AG2386" s="3812"/>
      <c r="AH2386" s="857"/>
      <c r="AI2386" s="3812"/>
      <c r="AJ2386" s="3812"/>
      <c r="AK2386" s="3812"/>
      <c r="AL2386" s="3812"/>
      <c r="AM2386" s="3812"/>
      <c r="AN2386" s="3812">
        <f t="shared" si="513"/>
        <v>0</v>
      </c>
      <c r="AO2386" s="3812"/>
      <c r="AP2386" s="3812"/>
      <c r="AQ2386" s="3812"/>
      <c r="AR2386" s="3812"/>
      <c r="AS2386" s="5059"/>
      <c r="AT2386" s="3812"/>
      <c r="AU2386" s="4099"/>
      <c r="AV2386" s="4099"/>
      <c r="AW2386" s="4099"/>
      <c r="AX2386" s="4099"/>
      <c r="AY2386" s="4099"/>
      <c r="AZ2386" s="4099"/>
      <c r="BA2386" s="3812"/>
      <c r="BB2386" s="3812"/>
      <c r="BC2386" s="3812"/>
      <c r="BD2386" s="3812"/>
      <c r="BE2386" s="3812"/>
      <c r="BF2386" s="3812"/>
      <c r="BG2386" s="3812"/>
      <c r="BH2386" s="3812"/>
      <c r="BI2386" s="3812"/>
      <c r="BJ2386" s="3812"/>
      <c r="BK2386" s="3812"/>
      <c r="BL2386" s="3812"/>
      <c r="BM2386" s="3812"/>
      <c r="BN2386" s="3812"/>
      <c r="BO2386" s="5123"/>
      <c r="BP2386" s="5123"/>
      <c r="BQ2386" s="5123"/>
      <c r="BR2386" s="3812"/>
      <c r="BS2386" s="3812"/>
      <c r="BT2386" s="3812"/>
      <c r="BU2386" s="3812"/>
      <c r="BV2386" s="3812"/>
      <c r="BW2386" s="3812"/>
      <c r="BX2386" s="3812"/>
      <c r="BY2386" s="3812"/>
      <c r="BZ2386" s="3812"/>
      <c r="CA2386" s="3812"/>
      <c r="CB2386" s="3812"/>
      <c r="CC2386" s="3812"/>
      <c r="CD2386" s="3812"/>
      <c r="CE2386" s="7140"/>
      <c r="CF2386" s="7140"/>
      <c r="CG2386" s="7140"/>
      <c r="CH2386" s="7140"/>
    </row>
    <row r="2387" s="5014" customFormat="1" ht="28.5" customHeight="1" spans="1:86">
      <c r="A2387" s="2678"/>
      <c r="B2387" s="857"/>
      <c r="C2387" s="3812"/>
      <c r="D2387" s="1032"/>
      <c r="E2387" s="5059"/>
      <c r="F2387" s="1032"/>
      <c r="G2387" s="1032"/>
      <c r="H2387" s="1032"/>
      <c r="I2387" s="5205"/>
      <c r="J2387" s="1032"/>
      <c r="K2387" s="1032"/>
      <c r="L2387" s="1032"/>
      <c r="M2387" s="3812"/>
      <c r="N2387" s="4099"/>
      <c r="O2387" s="4099"/>
      <c r="P2387" s="4099"/>
      <c r="Q2387" s="4099"/>
      <c r="R2387" s="4099"/>
      <c r="S2387" s="4099"/>
      <c r="T2387" s="4099"/>
      <c r="U2387" s="4099"/>
      <c r="V2387" s="4099"/>
      <c r="W2387" s="4099"/>
      <c r="X2387" s="4099"/>
      <c r="Y2387" s="4099"/>
      <c r="Z2387" s="4099"/>
      <c r="AA2387" s="4099"/>
      <c r="AB2387" s="6587"/>
      <c r="AC2387" s="3812"/>
      <c r="AD2387" s="1032" t="s">
        <v>4078</v>
      </c>
      <c r="AE2387" s="1032"/>
      <c r="AF2387" s="3812">
        <v>621512.24</v>
      </c>
      <c r="AG2387" s="3812">
        <f>SUM(BA2387:BN2387)</f>
        <v>621512.24</v>
      </c>
      <c r="AH2387" s="857" t="s">
        <v>122</v>
      </c>
      <c r="AI2387" s="3812">
        <v>44903</v>
      </c>
      <c r="AJ2387" s="3812">
        <v>621512.24</v>
      </c>
      <c r="AK2387" s="3812">
        <v>44903</v>
      </c>
      <c r="AL2387" s="3812">
        <v>621512.24</v>
      </c>
      <c r="AM2387" s="3812">
        <v>44903</v>
      </c>
      <c r="AN2387" s="3812">
        <f t="shared" si="513"/>
        <v>621512.24</v>
      </c>
      <c r="AO2387" s="3812">
        <v>44916</v>
      </c>
      <c r="AP2387" s="3812">
        <f>AG2387-AN2387</f>
        <v>0</v>
      </c>
      <c r="AQ2387" s="3812"/>
      <c r="AR2387" s="3812"/>
      <c r="AS2387" s="5059"/>
      <c r="AT2387" s="3812"/>
      <c r="AU2387" s="4099"/>
      <c r="AV2387" s="4099"/>
      <c r="AW2387" s="4099"/>
      <c r="AX2387" s="4099"/>
      <c r="AY2387" s="4099"/>
      <c r="AZ2387" s="4099"/>
      <c r="BA2387" s="3812"/>
      <c r="BB2387" s="3812"/>
      <c r="BC2387" s="3812"/>
      <c r="BD2387" s="3812">
        <v>373417.2</v>
      </c>
      <c r="BE2387" s="3812"/>
      <c r="BF2387" s="3812">
        <v>211496.72</v>
      </c>
      <c r="BG2387" s="3812"/>
      <c r="BH2387" s="3812">
        <v>17952.95</v>
      </c>
      <c r="BI2387" s="3812"/>
      <c r="BJ2387" s="3812"/>
      <c r="BK2387" s="3812"/>
      <c r="BL2387" s="3812"/>
      <c r="BM2387" s="3812"/>
      <c r="BN2387" s="3812">
        <v>18645.37</v>
      </c>
      <c r="BO2387" s="5123"/>
      <c r="BP2387" s="5123"/>
      <c r="BQ2387" s="5123"/>
      <c r="BR2387" s="3812">
        <v>373417.2</v>
      </c>
      <c r="BS2387" s="3812"/>
      <c r="BT2387" s="3812">
        <v>211496.72</v>
      </c>
      <c r="BU2387" s="3812"/>
      <c r="BV2387" s="3812">
        <v>17952.95</v>
      </c>
      <c r="BW2387" s="3812"/>
      <c r="BX2387" s="3812"/>
      <c r="BY2387" s="3812"/>
      <c r="BZ2387" s="3812"/>
      <c r="CA2387" s="3812"/>
      <c r="CB2387" s="3812">
        <v>18645.37</v>
      </c>
      <c r="CC2387" s="3812"/>
      <c r="CD2387" s="3812"/>
      <c r="CE2387" s="7140"/>
      <c r="CF2387" s="7140"/>
      <c r="CG2387" s="7140"/>
      <c r="CH2387" s="7140"/>
    </row>
    <row r="2388" s="5014" customFormat="1" ht="28.5" customHeight="1" spans="1:86">
      <c r="A2388" s="2678"/>
      <c r="B2388" s="857"/>
      <c r="C2388" s="3812"/>
      <c r="D2388" s="1032"/>
      <c r="E2388" s="5059"/>
      <c r="F2388" s="1032"/>
      <c r="G2388" s="1032"/>
      <c r="H2388" s="1032"/>
      <c r="I2388" s="5205"/>
      <c r="J2388" s="1032"/>
      <c r="K2388" s="1032"/>
      <c r="L2388" s="1032"/>
      <c r="M2388" s="3812"/>
      <c r="N2388" s="4099"/>
      <c r="O2388" s="4099"/>
      <c r="P2388" s="4099"/>
      <c r="Q2388" s="4099"/>
      <c r="R2388" s="4099"/>
      <c r="S2388" s="4099"/>
      <c r="T2388" s="4099"/>
      <c r="U2388" s="4099"/>
      <c r="V2388" s="4099"/>
      <c r="W2388" s="4099"/>
      <c r="X2388" s="4099"/>
      <c r="Y2388" s="4099"/>
      <c r="Z2388" s="4099"/>
      <c r="AA2388" s="4099"/>
      <c r="AB2388" s="6587"/>
      <c r="AC2388" s="3812"/>
      <c r="AD2388" s="1032" t="s">
        <v>4079</v>
      </c>
      <c r="AE2388" s="1032"/>
      <c r="AF2388" s="3812">
        <v>1410582.33</v>
      </c>
      <c r="AG2388" s="3812">
        <f>SUM(BA2388:BN2388)</f>
        <v>1410582.33</v>
      </c>
      <c r="AH2388" s="857" t="s">
        <v>122</v>
      </c>
      <c r="AI2388" s="3812">
        <v>44922</v>
      </c>
      <c r="AJ2388" s="3812">
        <v>1410582.33</v>
      </c>
      <c r="AK2388" s="3812">
        <v>44922</v>
      </c>
      <c r="AL2388" s="3812"/>
      <c r="AM2388" s="3812"/>
      <c r="AN2388" s="3812">
        <f t="shared" si="513"/>
        <v>0</v>
      </c>
      <c r="AO2388" s="3812"/>
      <c r="AP2388" s="3812"/>
      <c r="AQ2388" s="3812"/>
      <c r="AR2388" s="3812"/>
      <c r="AS2388" s="5059"/>
      <c r="AT2388" s="3812"/>
      <c r="AU2388" s="4099"/>
      <c r="AV2388" s="4099"/>
      <c r="AW2388" s="4099"/>
      <c r="AX2388" s="4099"/>
      <c r="AY2388" s="4099"/>
      <c r="AZ2388" s="4099"/>
      <c r="BA2388" s="3812"/>
      <c r="BB2388" s="3812"/>
      <c r="BC2388" s="3812"/>
      <c r="BD2388" s="3812">
        <v>1410582.33</v>
      </c>
      <c r="BE2388" s="3812"/>
      <c r="BF2388" s="3812"/>
      <c r="BG2388" s="3812"/>
      <c r="BH2388" s="3812"/>
      <c r="BI2388" s="3812"/>
      <c r="BJ2388" s="3812"/>
      <c r="BK2388" s="3812"/>
      <c r="BL2388" s="3812"/>
      <c r="BM2388" s="3812"/>
      <c r="BN2388" s="3812"/>
      <c r="BO2388" s="5485"/>
      <c r="BP2388" s="5123"/>
      <c r="BQ2388" s="5123"/>
      <c r="BR2388" s="5123"/>
      <c r="BS2388" s="5123"/>
      <c r="BT2388" s="5123"/>
      <c r="BU2388" s="5123"/>
      <c r="BV2388" s="5123"/>
      <c r="BW2388" s="5123"/>
      <c r="BX2388" s="5123"/>
      <c r="BY2388" s="5123"/>
      <c r="BZ2388" s="5123"/>
      <c r="CA2388" s="5123"/>
      <c r="CB2388" s="5123"/>
      <c r="CC2388" s="3812"/>
      <c r="CD2388" s="3812"/>
      <c r="CE2388" s="7140"/>
      <c r="CF2388" s="7140"/>
      <c r="CG2388" s="7140"/>
      <c r="CH2388" s="7140"/>
    </row>
    <row r="2389" s="5014" customFormat="1" ht="137" spans="1:86">
      <c r="A2389" s="2678"/>
      <c r="B2389" s="857"/>
      <c r="C2389" s="3812"/>
      <c r="D2389" s="1032"/>
      <c r="E2389" s="5059"/>
      <c r="F2389" s="1032"/>
      <c r="G2389" s="1032"/>
      <c r="H2389" s="1032"/>
      <c r="I2389" s="5205"/>
      <c r="J2389" s="1032"/>
      <c r="K2389" s="1032"/>
      <c r="L2389" s="1032"/>
      <c r="M2389" s="3812"/>
      <c r="N2389" s="4099"/>
      <c r="O2389" s="4099"/>
      <c r="P2389" s="4099"/>
      <c r="Q2389" s="4099"/>
      <c r="R2389" s="4099"/>
      <c r="S2389" s="4099"/>
      <c r="T2389" s="4099"/>
      <c r="U2389" s="4099"/>
      <c r="V2389" s="4099"/>
      <c r="W2389" s="4099"/>
      <c r="X2389" s="4099"/>
      <c r="Y2389" s="4099"/>
      <c r="Z2389" s="4099"/>
      <c r="AA2389" s="4099"/>
      <c r="AB2389" s="6587"/>
      <c r="AC2389" s="3812">
        <v>2</v>
      </c>
      <c r="AD2389" s="5241" t="s">
        <v>4080</v>
      </c>
      <c r="AE2389" s="1032">
        <v>0.05</v>
      </c>
      <c r="AF2389" s="3812">
        <f t="shared" ref="AF2389:AF2395" si="514">22400000*AE2389</f>
        <v>1120000</v>
      </c>
      <c r="AG2389" s="5123">
        <f t="shared" ref="AG2389:AG2410" si="515">SUM(BA2389:BN2389)</f>
        <v>1120000</v>
      </c>
      <c r="AH2389" s="3406"/>
      <c r="AI2389" s="5123"/>
      <c r="AJ2389" s="3812"/>
      <c r="AK2389" s="3812"/>
      <c r="AL2389" s="3812">
        <f>AL2385+AL2387+1350000</f>
        <v>2984036.55</v>
      </c>
      <c r="AM2389" s="3812"/>
      <c r="AN2389" s="3812">
        <f t="shared" si="513"/>
        <v>0</v>
      </c>
      <c r="AO2389" s="3812"/>
      <c r="AP2389" s="3812">
        <f t="shared" ref="AP2389:AP2397" si="516">AG2389-AN2389</f>
        <v>1120000</v>
      </c>
      <c r="AQ2389" s="3812"/>
      <c r="AR2389" s="3812"/>
      <c r="AS2389" s="5059"/>
      <c r="AT2389" s="3812"/>
      <c r="AU2389" s="4099"/>
      <c r="AV2389" s="4099"/>
      <c r="AW2389" s="4099"/>
      <c r="AX2389" s="4099"/>
      <c r="AY2389" s="4099"/>
      <c r="AZ2389" s="4099"/>
      <c r="BA2389" s="3812"/>
      <c r="BB2389" s="3812"/>
      <c r="BC2389" s="3812"/>
      <c r="BD2389" s="5123">
        <v>1038053.9</v>
      </c>
      <c r="BE2389" s="5123"/>
      <c r="BF2389" s="5123"/>
      <c r="BG2389" s="5123"/>
      <c r="BH2389" s="5123">
        <v>48346.1</v>
      </c>
      <c r="BI2389" s="5123"/>
      <c r="BJ2389" s="5123"/>
      <c r="BK2389" s="5123"/>
      <c r="BL2389" s="5123"/>
      <c r="BM2389" s="5123"/>
      <c r="BN2389" s="5123">
        <v>33600</v>
      </c>
      <c r="BO2389" s="5123"/>
      <c r="BP2389" s="5123"/>
      <c r="BQ2389" s="5123"/>
      <c r="BR2389" s="5123"/>
      <c r="BS2389" s="5123"/>
      <c r="BT2389" s="5123"/>
      <c r="BU2389" s="5123"/>
      <c r="BV2389" s="5123"/>
      <c r="BW2389" s="5123"/>
      <c r="BX2389" s="5123"/>
      <c r="BY2389" s="5123"/>
      <c r="BZ2389" s="5123"/>
      <c r="CA2389" s="5123"/>
      <c r="CB2389" s="5123"/>
      <c r="CC2389" s="3812"/>
      <c r="CD2389" s="3812"/>
      <c r="CE2389" s="7140"/>
      <c r="CF2389" s="7140"/>
      <c r="CG2389" s="7140"/>
      <c r="CH2389" s="7140"/>
    </row>
    <row r="2390" s="5014" customFormat="1" ht="92" spans="1:86">
      <c r="A2390" s="2678"/>
      <c r="B2390" s="857"/>
      <c r="C2390" s="3812"/>
      <c r="D2390" s="1032"/>
      <c r="E2390" s="5059"/>
      <c r="F2390" s="1032"/>
      <c r="G2390" s="1032"/>
      <c r="H2390" s="1032"/>
      <c r="I2390" s="5205"/>
      <c r="J2390" s="1032"/>
      <c r="K2390" s="1032"/>
      <c r="L2390" s="1032"/>
      <c r="M2390" s="3812"/>
      <c r="N2390" s="4099"/>
      <c r="O2390" s="4099"/>
      <c r="P2390" s="4099"/>
      <c r="Q2390" s="4099"/>
      <c r="R2390" s="4099"/>
      <c r="S2390" s="4099"/>
      <c r="T2390" s="4099"/>
      <c r="U2390" s="4099"/>
      <c r="V2390" s="4099"/>
      <c r="W2390" s="4099"/>
      <c r="X2390" s="4099"/>
      <c r="Y2390" s="4099"/>
      <c r="Z2390" s="4099"/>
      <c r="AA2390" s="4099"/>
      <c r="AB2390" s="6587"/>
      <c r="AC2390" s="3812">
        <v>3</v>
      </c>
      <c r="AD2390" s="5241" t="s">
        <v>4081</v>
      </c>
      <c r="AE2390" s="1032">
        <v>0.1</v>
      </c>
      <c r="AF2390" s="3812">
        <f t="shared" si="514"/>
        <v>2240000</v>
      </c>
      <c r="AG2390" s="5123">
        <f t="shared" si="515"/>
        <v>2240000</v>
      </c>
      <c r="AH2390" s="3406"/>
      <c r="AI2390" s="5123"/>
      <c r="AJ2390" s="3812"/>
      <c r="AK2390" s="3812"/>
      <c r="AL2390" s="3812"/>
      <c r="AM2390" s="3812"/>
      <c r="AN2390" s="3812">
        <f t="shared" si="513"/>
        <v>0</v>
      </c>
      <c r="AO2390" s="3812"/>
      <c r="AP2390" s="3812">
        <f t="shared" si="516"/>
        <v>2240000</v>
      </c>
      <c r="AQ2390" s="3812"/>
      <c r="AR2390" s="3812"/>
      <c r="AS2390" s="5059"/>
      <c r="AT2390" s="3812"/>
      <c r="AU2390" s="4099"/>
      <c r="AV2390" s="4099"/>
      <c r="AW2390" s="4099"/>
      <c r="AX2390" s="4099"/>
      <c r="AY2390" s="4099"/>
      <c r="AZ2390" s="4099"/>
      <c r="BA2390" s="3812"/>
      <c r="BB2390" s="3812"/>
      <c r="BC2390" s="3812"/>
      <c r="BD2390" s="5123">
        <v>2076107.8</v>
      </c>
      <c r="BE2390" s="5123"/>
      <c r="BF2390" s="5123"/>
      <c r="BG2390" s="5123"/>
      <c r="BH2390" s="5123">
        <v>96692.2</v>
      </c>
      <c r="BI2390" s="5123"/>
      <c r="BJ2390" s="5123"/>
      <c r="BK2390" s="5123"/>
      <c r="BL2390" s="5123"/>
      <c r="BM2390" s="5123"/>
      <c r="BN2390" s="5123">
        <v>67200</v>
      </c>
      <c r="BO2390" s="5123"/>
      <c r="BP2390" s="5123"/>
      <c r="BQ2390" s="5123"/>
      <c r="BR2390" s="5123"/>
      <c r="BS2390" s="5123"/>
      <c r="BT2390" s="5123"/>
      <c r="BU2390" s="5123"/>
      <c r="BV2390" s="5123"/>
      <c r="BW2390" s="5123"/>
      <c r="BX2390" s="5123"/>
      <c r="BY2390" s="5123"/>
      <c r="BZ2390" s="5123"/>
      <c r="CA2390" s="5123"/>
      <c r="CB2390" s="5123"/>
      <c r="CC2390" s="3812"/>
      <c r="CD2390" s="3812"/>
      <c r="CE2390" s="7140"/>
      <c r="CF2390" s="7140"/>
      <c r="CG2390" s="7140"/>
      <c r="CH2390" s="7140"/>
    </row>
    <row r="2391" s="5014" customFormat="1" ht="76" spans="1:86">
      <c r="A2391" s="2678"/>
      <c r="B2391" s="857"/>
      <c r="C2391" s="3812"/>
      <c r="D2391" s="1032"/>
      <c r="E2391" s="5059"/>
      <c r="F2391" s="1032"/>
      <c r="G2391" s="1032"/>
      <c r="H2391" s="1032"/>
      <c r="I2391" s="5205"/>
      <c r="J2391" s="1032"/>
      <c r="K2391" s="1032"/>
      <c r="L2391" s="1032"/>
      <c r="M2391" s="3812"/>
      <c r="N2391" s="4099"/>
      <c r="O2391" s="4099"/>
      <c r="P2391" s="4099"/>
      <c r="Q2391" s="4099"/>
      <c r="R2391" s="4099"/>
      <c r="S2391" s="4099"/>
      <c r="T2391" s="4099"/>
      <c r="U2391" s="4099"/>
      <c r="V2391" s="4099"/>
      <c r="W2391" s="4099"/>
      <c r="X2391" s="4099"/>
      <c r="Y2391" s="4099"/>
      <c r="Z2391" s="4099"/>
      <c r="AA2391" s="4099"/>
      <c r="AB2391" s="6587"/>
      <c r="AC2391" s="3812">
        <v>4</v>
      </c>
      <c r="AD2391" s="5241" t="s">
        <v>4082</v>
      </c>
      <c r="AE2391" s="1032">
        <v>0.15</v>
      </c>
      <c r="AF2391" s="3812">
        <f t="shared" si="514"/>
        <v>3360000</v>
      </c>
      <c r="AG2391" s="3812">
        <f t="shared" si="515"/>
        <v>0</v>
      </c>
      <c r="AH2391" s="857"/>
      <c r="AI2391" s="3812"/>
      <c r="AJ2391" s="3812"/>
      <c r="AK2391" s="3812"/>
      <c r="AL2391" s="3812"/>
      <c r="AM2391" s="3812"/>
      <c r="AN2391" s="3812">
        <f t="shared" si="513"/>
        <v>0</v>
      </c>
      <c r="AO2391" s="3812"/>
      <c r="AP2391" s="3812">
        <f t="shared" si="516"/>
        <v>0</v>
      </c>
      <c r="AQ2391" s="3812"/>
      <c r="AR2391" s="3812"/>
      <c r="AS2391" s="5059"/>
      <c r="AT2391" s="3812"/>
      <c r="AU2391" s="4099"/>
      <c r="AV2391" s="4099"/>
      <c r="AW2391" s="4099"/>
      <c r="AX2391" s="4099"/>
      <c r="AY2391" s="4099"/>
      <c r="AZ2391" s="4099"/>
      <c r="BA2391" s="3812"/>
      <c r="BB2391" s="3812"/>
      <c r="BC2391" s="3812"/>
      <c r="BD2391" s="3812"/>
      <c r="BE2391" s="5123"/>
      <c r="BF2391" s="5123"/>
      <c r="BG2391" s="5123"/>
      <c r="BH2391" s="5123"/>
      <c r="BI2391" s="5123"/>
      <c r="BJ2391" s="5123"/>
      <c r="BK2391" s="5123"/>
      <c r="BL2391" s="5123"/>
      <c r="BM2391" s="5123"/>
      <c r="BN2391" s="5123"/>
      <c r="BO2391" s="5123"/>
      <c r="BP2391" s="5123"/>
      <c r="BQ2391" s="5123"/>
      <c r="BR2391" s="5123"/>
      <c r="BS2391" s="5123"/>
      <c r="BT2391" s="5123"/>
      <c r="BU2391" s="5123"/>
      <c r="BV2391" s="5123"/>
      <c r="BW2391" s="5123"/>
      <c r="BX2391" s="5123"/>
      <c r="BY2391" s="5123"/>
      <c r="BZ2391" s="5123"/>
      <c r="CA2391" s="5123"/>
      <c r="CB2391" s="5123"/>
      <c r="CC2391" s="3812"/>
      <c r="CD2391" s="3812"/>
      <c r="CE2391" s="7140"/>
      <c r="CF2391" s="7140"/>
      <c r="CG2391" s="7140"/>
      <c r="CH2391" s="7140"/>
    </row>
    <row r="2392" s="5014" customFormat="1" ht="61" spans="1:86">
      <c r="A2392" s="2678"/>
      <c r="B2392" s="857"/>
      <c r="C2392" s="3812"/>
      <c r="D2392" s="1032"/>
      <c r="E2392" s="5059"/>
      <c r="F2392" s="1032"/>
      <c r="G2392" s="1032"/>
      <c r="H2392" s="1032"/>
      <c r="I2392" s="5205"/>
      <c r="J2392" s="1032"/>
      <c r="K2392" s="1032"/>
      <c r="L2392" s="1032"/>
      <c r="M2392" s="3812"/>
      <c r="N2392" s="4099"/>
      <c r="O2392" s="4099"/>
      <c r="P2392" s="4099"/>
      <c r="Q2392" s="4099"/>
      <c r="R2392" s="4099"/>
      <c r="S2392" s="4099"/>
      <c r="T2392" s="4099"/>
      <c r="U2392" s="4099"/>
      <c r="V2392" s="4099"/>
      <c r="W2392" s="4099"/>
      <c r="X2392" s="4099"/>
      <c r="Y2392" s="4099"/>
      <c r="Z2392" s="4099"/>
      <c r="AA2392" s="4099"/>
      <c r="AB2392" s="6587"/>
      <c r="AC2392" s="3812">
        <v>5</v>
      </c>
      <c r="AD2392" s="5241" t="s">
        <v>4083</v>
      </c>
      <c r="AE2392" s="1032">
        <v>0.2</v>
      </c>
      <c r="AF2392" s="3812">
        <f t="shared" si="514"/>
        <v>4480000</v>
      </c>
      <c r="AG2392" s="3812">
        <f t="shared" si="515"/>
        <v>0</v>
      </c>
      <c r="AH2392" s="857"/>
      <c r="AI2392" s="3812"/>
      <c r="AJ2392" s="3812"/>
      <c r="AK2392" s="3812"/>
      <c r="AL2392" s="3812"/>
      <c r="AM2392" s="3812"/>
      <c r="AN2392" s="3812">
        <f t="shared" si="513"/>
        <v>0</v>
      </c>
      <c r="AO2392" s="3812"/>
      <c r="AP2392" s="3812">
        <f t="shared" si="516"/>
        <v>0</v>
      </c>
      <c r="AQ2392" s="3812"/>
      <c r="AR2392" s="3812"/>
      <c r="AS2392" s="5059"/>
      <c r="AT2392" s="3812"/>
      <c r="AU2392" s="4099"/>
      <c r="AV2392" s="4099"/>
      <c r="AW2392" s="4099"/>
      <c r="AX2392" s="4099"/>
      <c r="AY2392" s="4099"/>
      <c r="AZ2392" s="4099"/>
      <c r="BA2392" s="3812"/>
      <c r="BB2392" s="3812"/>
      <c r="BC2392" s="3812"/>
      <c r="BD2392" s="3812"/>
      <c r="BE2392" s="5123"/>
      <c r="BF2392" s="5123"/>
      <c r="BG2392" s="5123"/>
      <c r="BH2392" s="5123"/>
      <c r="BI2392" s="5123"/>
      <c r="BJ2392" s="5123"/>
      <c r="BK2392" s="5123"/>
      <c r="BL2392" s="5123"/>
      <c r="BM2392" s="5123"/>
      <c r="BN2392" s="5123"/>
      <c r="BO2392" s="5123"/>
      <c r="BP2392" s="5123"/>
      <c r="BQ2392" s="5123"/>
      <c r="BR2392" s="5123"/>
      <c r="BS2392" s="5123"/>
      <c r="BT2392" s="5123"/>
      <c r="BU2392" s="5123"/>
      <c r="BV2392" s="5123"/>
      <c r="BW2392" s="5123"/>
      <c r="BX2392" s="5123"/>
      <c r="BY2392" s="5123"/>
      <c r="BZ2392" s="5123"/>
      <c r="CA2392" s="5123"/>
      <c r="CB2392" s="5123"/>
      <c r="CC2392" s="3812"/>
      <c r="CD2392" s="3812"/>
      <c r="CE2392" s="7140"/>
      <c r="CF2392" s="7140"/>
      <c r="CG2392" s="7140"/>
      <c r="CH2392" s="7140"/>
    </row>
    <row r="2393" s="5014" customFormat="1" ht="61" spans="1:86">
      <c r="A2393" s="2678"/>
      <c r="B2393" s="857"/>
      <c r="C2393" s="3812"/>
      <c r="D2393" s="1032"/>
      <c r="E2393" s="5059"/>
      <c r="F2393" s="1032"/>
      <c r="G2393" s="1032"/>
      <c r="H2393" s="1032"/>
      <c r="I2393" s="5205"/>
      <c r="J2393" s="1032"/>
      <c r="K2393" s="1032"/>
      <c r="L2393" s="1032"/>
      <c r="M2393" s="3812"/>
      <c r="N2393" s="4099"/>
      <c r="O2393" s="4099"/>
      <c r="P2393" s="4099"/>
      <c r="Q2393" s="4099"/>
      <c r="R2393" s="4099"/>
      <c r="S2393" s="4099"/>
      <c r="T2393" s="4099"/>
      <c r="U2393" s="4099"/>
      <c r="V2393" s="4099"/>
      <c r="W2393" s="4099"/>
      <c r="X2393" s="4099"/>
      <c r="Y2393" s="4099"/>
      <c r="Z2393" s="4099"/>
      <c r="AA2393" s="4099"/>
      <c r="AB2393" s="6587"/>
      <c r="AC2393" s="3812">
        <v>6</v>
      </c>
      <c r="AD2393" s="5241" t="s">
        <v>4084</v>
      </c>
      <c r="AE2393" s="1032">
        <v>0.1</v>
      </c>
      <c r="AF2393" s="3812">
        <f t="shared" si="514"/>
        <v>2240000</v>
      </c>
      <c r="AG2393" s="3812">
        <f t="shared" si="515"/>
        <v>0</v>
      </c>
      <c r="AH2393" s="857"/>
      <c r="AI2393" s="3812"/>
      <c r="AJ2393" s="3812"/>
      <c r="AK2393" s="3812"/>
      <c r="AL2393" s="3812"/>
      <c r="AM2393" s="3812"/>
      <c r="AN2393" s="3812">
        <f t="shared" si="513"/>
        <v>0</v>
      </c>
      <c r="AO2393" s="3812"/>
      <c r="AP2393" s="3812">
        <f t="shared" si="516"/>
        <v>0</v>
      </c>
      <c r="AQ2393" s="3812"/>
      <c r="AR2393" s="3812"/>
      <c r="AS2393" s="5059"/>
      <c r="AT2393" s="3812"/>
      <c r="AU2393" s="4099"/>
      <c r="AV2393" s="4099"/>
      <c r="AW2393" s="4099"/>
      <c r="AX2393" s="4099"/>
      <c r="AY2393" s="4099"/>
      <c r="AZ2393" s="4099"/>
      <c r="BA2393" s="3812"/>
      <c r="BB2393" s="3812"/>
      <c r="BC2393" s="3812"/>
      <c r="BD2393" s="3812"/>
      <c r="BE2393" s="5123"/>
      <c r="BF2393" s="5123"/>
      <c r="BG2393" s="5123"/>
      <c r="BH2393" s="5123"/>
      <c r="BI2393" s="5123"/>
      <c r="BJ2393" s="5123"/>
      <c r="BK2393" s="5123"/>
      <c r="BL2393" s="5123"/>
      <c r="BM2393" s="5123"/>
      <c r="BN2393" s="5123"/>
      <c r="BO2393" s="5123"/>
      <c r="BP2393" s="5123"/>
      <c r="BQ2393" s="5123"/>
      <c r="BR2393" s="5123"/>
      <c r="BS2393" s="5123"/>
      <c r="BT2393" s="5123"/>
      <c r="BU2393" s="5123"/>
      <c r="BV2393" s="5123"/>
      <c r="BW2393" s="5123"/>
      <c r="BX2393" s="5123"/>
      <c r="BY2393" s="5123"/>
      <c r="BZ2393" s="5123"/>
      <c r="CA2393" s="5123"/>
      <c r="CB2393" s="5123"/>
      <c r="CC2393" s="3812"/>
      <c r="CD2393" s="3812"/>
      <c r="CE2393" s="7140"/>
      <c r="CF2393" s="7140"/>
      <c r="CG2393" s="7140"/>
      <c r="CH2393" s="7140"/>
    </row>
    <row r="2394" s="5014" customFormat="1" ht="76" spans="1:86">
      <c r="A2394" s="2678"/>
      <c r="B2394" s="857"/>
      <c r="C2394" s="3812"/>
      <c r="D2394" s="1032"/>
      <c r="E2394" s="5059"/>
      <c r="F2394" s="1032"/>
      <c r="G2394" s="1032"/>
      <c r="H2394" s="1032"/>
      <c r="I2394" s="5205"/>
      <c r="J2394" s="1032"/>
      <c r="K2394" s="1032"/>
      <c r="L2394" s="1032"/>
      <c r="M2394" s="3812"/>
      <c r="N2394" s="4099"/>
      <c r="O2394" s="4099"/>
      <c r="P2394" s="4099"/>
      <c r="Q2394" s="4099"/>
      <c r="R2394" s="4099"/>
      <c r="S2394" s="4099"/>
      <c r="T2394" s="4099"/>
      <c r="U2394" s="4099"/>
      <c r="V2394" s="4099"/>
      <c r="W2394" s="4099"/>
      <c r="X2394" s="4099"/>
      <c r="Y2394" s="4099"/>
      <c r="Z2394" s="4099"/>
      <c r="AA2394" s="4099"/>
      <c r="AB2394" s="6587"/>
      <c r="AC2394" s="3812">
        <v>7</v>
      </c>
      <c r="AD2394" s="5241" t="s">
        <v>4085</v>
      </c>
      <c r="AE2394" s="1032">
        <v>0.1</v>
      </c>
      <c r="AF2394" s="3812">
        <f t="shared" si="514"/>
        <v>2240000</v>
      </c>
      <c r="AG2394" s="3812">
        <f t="shared" si="515"/>
        <v>0</v>
      </c>
      <c r="AH2394" s="857"/>
      <c r="AI2394" s="3812"/>
      <c r="AJ2394" s="3812"/>
      <c r="AK2394" s="3812"/>
      <c r="AL2394" s="3812"/>
      <c r="AM2394" s="3812"/>
      <c r="AN2394" s="3812">
        <f t="shared" si="513"/>
        <v>0</v>
      </c>
      <c r="AO2394" s="3812"/>
      <c r="AP2394" s="3812">
        <f t="shared" si="516"/>
        <v>0</v>
      </c>
      <c r="AQ2394" s="3812"/>
      <c r="AR2394" s="3812"/>
      <c r="AS2394" s="5059"/>
      <c r="AT2394" s="3812"/>
      <c r="AU2394" s="4099"/>
      <c r="AV2394" s="4099"/>
      <c r="AW2394" s="4099"/>
      <c r="AX2394" s="4099"/>
      <c r="AY2394" s="4099"/>
      <c r="AZ2394" s="4099"/>
      <c r="BA2394" s="3812"/>
      <c r="BB2394" s="3812"/>
      <c r="BC2394" s="3812"/>
      <c r="BD2394" s="3812"/>
      <c r="BE2394" s="5123"/>
      <c r="BF2394" s="5123"/>
      <c r="BG2394" s="5123"/>
      <c r="BH2394" s="5123"/>
      <c r="BI2394" s="5123"/>
      <c r="BJ2394" s="5123"/>
      <c r="BK2394" s="5123"/>
      <c r="BL2394" s="5123"/>
      <c r="BM2394" s="5123"/>
      <c r="BN2394" s="5123"/>
      <c r="BO2394" s="5123"/>
      <c r="BP2394" s="5123"/>
      <c r="BQ2394" s="5123"/>
      <c r="BR2394" s="5123"/>
      <c r="BS2394" s="5123"/>
      <c r="BT2394" s="5123"/>
      <c r="BU2394" s="5123"/>
      <c r="BV2394" s="5123"/>
      <c r="BW2394" s="5123"/>
      <c r="BX2394" s="5123"/>
      <c r="BY2394" s="5123"/>
      <c r="BZ2394" s="5123"/>
      <c r="CA2394" s="5123"/>
      <c r="CB2394" s="5123"/>
      <c r="CC2394" s="3812"/>
      <c r="CD2394" s="3812"/>
      <c r="CE2394" s="7140"/>
      <c r="CF2394" s="7140"/>
      <c r="CG2394" s="7140"/>
      <c r="CH2394" s="7140"/>
    </row>
    <row r="2395" s="5014" customFormat="1" ht="76" spans="1:86">
      <c r="A2395" s="2678"/>
      <c r="B2395" s="857"/>
      <c r="C2395" s="3812"/>
      <c r="D2395" s="1032"/>
      <c r="E2395" s="5059"/>
      <c r="F2395" s="1032"/>
      <c r="G2395" s="1032"/>
      <c r="H2395" s="1032"/>
      <c r="I2395" s="5206"/>
      <c r="J2395" s="1032"/>
      <c r="K2395" s="1032"/>
      <c r="L2395" s="1032"/>
      <c r="M2395" s="3812"/>
      <c r="N2395" s="4099"/>
      <c r="O2395" s="4099"/>
      <c r="P2395" s="4099"/>
      <c r="Q2395" s="4099"/>
      <c r="R2395" s="4099"/>
      <c r="S2395" s="4099"/>
      <c r="T2395" s="4099"/>
      <c r="U2395" s="4099"/>
      <c r="V2395" s="4099"/>
      <c r="W2395" s="4099"/>
      <c r="X2395" s="4099"/>
      <c r="Y2395" s="4099"/>
      <c r="Z2395" s="4099"/>
      <c r="AA2395" s="4099"/>
      <c r="AB2395" s="6587"/>
      <c r="AC2395" s="3812">
        <v>8</v>
      </c>
      <c r="AD2395" s="5241" t="s">
        <v>4086</v>
      </c>
      <c r="AE2395" s="1032">
        <v>0.15</v>
      </c>
      <c r="AF2395" s="3812">
        <f t="shared" si="514"/>
        <v>3360000</v>
      </c>
      <c r="AG2395" s="3812">
        <f t="shared" si="515"/>
        <v>0</v>
      </c>
      <c r="AH2395" s="857"/>
      <c r="AI2395" s="3812"/>
      <c r="AJ2395" s="3812"/>
      <c r="AK2395" s="3812"/>
      <c r="AL2395" s="3812"/>
      <c r="AM2395" s="3812"/>
      <c r="AN2395" s="3812">
        <f t="shared" si="513"/>
        <v>0</v>
      </c>
      <c r="AO2395" s="3812"/>
      <c r="AP2395" s="3812">
        <f t="shared" si="516"/>
        <v>0</v>
      </c>
      <c r="AQ2395" s="3812"/>
      <c r="AR2395" s="3812"/>
      <c r="AS2395" s="5059"/>
      <c r="AT2395" s="3812"/>
      <c r="AU2395" s="4099"/>
      <c r="AV2395" s="4099"/>
      <c r="AW2395" s="4099"/>
      <c r="AX2395" s="4099"/>
      <c r="AY2395" s="4099"/>
      <c r="AZ2395" s="4099"/>
      <c r="BA2395" s="3812"/>
      <c r="BB2395" s="3812"/>
      <c r="BC2395" s="3812"/>
      <c r="BD2395" s="3812"/>
      <c r="BE2395" s="5123"/>
      <c r="BF2395" s="5123"/>
      <c r="BG2395" s="5123"/>
      <c r="BH2395" s="5123"/>
      <c r="BI2395" s="5123"/>
      <c r="BJ2395" s="5123"/>
      <c r="BK2395" s="5123"/>
      <c r="BL2395" s="5123"/>
      <c r="BM2395" s="5123"/>
      <c r="BN2395" s="5123"/>
      <c r="BO2395" s="5123"/>
      <c r="BP2395" s="5123"/>
      <c r="BQ2395" s="5123"/>
      <c r="BR2395" s="5123"/>
      <c r="BS2395" s="5123"/>
      <c r="BT2395" s="5123"/>
      <c r="BU2395" s="5123"/>
      <c r="BV2395" s="5123"/>
      <c r="BW2395" s="5123"/>
      <c r="BX2395" s="5123"/>
      <c r="BY2395" s="5123"/>
      <c r="BZ2395" s="5123"/>
      <c r="CA2395" s="5123"/>
      <c r="CB2395" s="5123"/>
      <c r="CC2395" s="3812"/>
      <c r="CD2395" s="3812"/>
      <c r="CE2395" s="7140"/>
      <c r="CF2395" s="7140"/>
      <c r="CG2395" s="7140"/>
      <c r="CH2395" s="7140"/>
    </row>
    <row r="2396" s="5015" customFormat="1" ht="40.5" customHeight="1" spans="1:86">
      <c r="A2396" s="2680"/>
      <c r="B2396" s="3524" t="s">
        <v>690</v>
      </c>
      <c r="C2396" s="5059">
        <v>44165</v>
      </c>
      <c r="D2396" s="3742" t="s">
        <v>4087</v>
      </c>
      <c r="E2396" s="3524"/>
      <c r="F2396" s="3742" t="s">
        <v>4088</v>
      </c>
      <c r="G2396" s="3742" t="s">
        <v>4089</v>
      </c>
      <c r="H2396" s="3524" t="s">
        <v>658</v>
      </c>
      <c r="I2396" s="4087"/>
      <c r="J2396" s="3742" t="s">
        <v>4090</v>
      </c>
      <c r="K2396" s="3524" t="s">
        <v>171</v>
      </c>
      <c r="L2396" s="3742" t="s">
        <v>2887</v>
      </c>
      <c r="M2396" s="3524">
        <f>SUBTOTAL(9,N2396:AA2397)</f>
        <v>160000</v>
      </c>
      <c r="N2396" s="2680"/>
      <c r="O2396" s="2680"/>
      <c r="P2396" s="2680"/>
      <c r="Q2396" s="2680"/>
      <c r="R2396" s="2680"/>
      <c r="S2396" s="2680">
        <v>160000</v>
      </c>
      <c r="T2396" s="2680"/>
      <c r="U2396" s="2680"/>
      <c r="V2396" s="2680"/>
      <c r="W2396" s="2680"/>
      <c r="X2396" s="2680"/>
      <c r="Y2396" s="2680"/>
      <c r="Z2396" s="2680"/>
      <c r="AA2396" s="2680"/>
      <c r="AB2396" s="2680"/>
      <c r="AC2396" s="3524">
        <v>1</v>
      </c>
      <c r="AD2396" s="3524" t="s">
        <v>4091</v>
      </c>
      <c r="AE2396" s="3524">
        <v>0.8</v>
      </c>
      <c r="AF2396" s="3742">
        <f>AE2396*M2396</f>
        <v>128000</v>
      </c>
      <c r="AG2396" s="5059">
        <f t="shared" si="515"/>
        <v>128000</v>
      </c>
      <c r="AH2396" s="3524" t="s">
        <v>122</v>
      </c>
      <c r="AI2396" s="3524">
        <v>44168</v>
      </c>
      <c r="AJ2396" s="3524">
        <v>128000</v>
      </c>
      <c r="AK2396" s="3524">
        <v>44168</v>
      </c>
      <c r="AL2396" s="3524">
        <v>128000</v>
      </c>
      <c r="AM2396" s="3524">
        <v>44167</v>
      </c>
      <c r="AN2396" s="3742">
        <f t="shared" si="513"/>
        <v>128000</v>
      </c>
      <c r="AO2396" s="3524">
        <v>44230</v>
      </c>
      <c r="AP2396" s="3812">
        <f t="shared" si="516"/>
        <v>0</v>
      </c>
      <c r="AQ2396" s="3524"/>
      <c r="AR2396" s="3524"/>
      <c r="AS2396" s="3742"/>
      <c r="AT2396" s="3524"/>
      <c r="AU2396" s="2680">
        <f>SUM(AG2396:AG2397)</f>
        <v>160000</v>
      </c>
      <c r="AV2396" s="2680">
        <f>SUM(AL2396:AL2397)</f>
        <v>128000</v>
      </c>
      <c r="AW2396" s="2680">
        <f>SUM(AN2396:AN2397)</f>
        <v>128000</v>
      </c>
      <c r="AX2396" s="2680">
        <f>M2396-AU2396</f>
        <v>0</v>
      </c>
      <c r="AY2396" s="2680">
        <f>AU2396-AV2396</f>
        <v>32000</v>
      </c>
      <c r="AZ2396" s="2680">
        <f>AV2396-AW2396</f>
        <v>0</v>
      </c>
      <c r="BA2396" s="3812"/>
      <c r="BB2396" s="3812"/>
      <c r="BC2396" s="3812"/>
      <c r="BD2396" s="3812"/>
      <c r="BE2396" s="3812"/>
      <c r="BF2396" s="3812">
        <v>128000</v>
      </c>
      <c r="BG2396" s="3812"/>
      <c r="BH2396" s="3812"/>
      <c r="BI2396" s="3812"/>
      <c r="BJ2396" s="3812"/>
      <c r="BK2396" s="3812"/>
      <c r="BL2396" s="3812"/>
      <c r="BM2396" s="3812"/>
      <c r="BN2396" s="3812"/>
      <c r="BO2396" s="3812"/>
      <c r="BP2396" s="3812"/>
      <c r="BQ2396" s="3812"/>
      <c r="BR2396" s="3812"/>
      <c r="BS2396" s="3812"/>
      <c r="BT2396" s="3812">
        <v>128000</v>
      </c>
      <c r="BU2396" s="3812"/>
      <c r="BV2396" s="3812"/>
      <c r="BW2396" s="3812"/>
      <c r="BX2396" s="3812"/>
      <c r="BY2396" s="3812"/>
      <c r="BZ2396" s="3812"/>
      <c r="CA2396" s="3812"/>
      <c r="CB2396" s="3812"/>
      <c r="CC2396" s="3524" t="s">
        <v>166</v>
      </c>
      <c r="CD2396" s="3524" t="s">
        <v>154</v>
      </c>
      <c r="CE2396" s="7141"/>
      <c r="CF2396" s="7141"/>
      <c r="CG2396" s="7141"/>
      <c r="CH2396" s="7141"/>
    </row>
    <row r="2397" s="5015" customFormat="1" ht="40.5" customHeight="1" spans="1:86">
      <c r="A2397" s="2680"/>
      <c r="B2397" s="3524"/>
      <c r="C2397" s="5059"/>
      <c r="D2397" s="3742"/>
      <c r="E2397" s="3524"/>
      <c r="F2397" s="3742"/>
      <c r="G2397" s="3742"/>
      <c r="H2397" s="3524"/>
      <c r="I2397" s="4903"/>
      <c r="J2397" s="3742"/>
      <c r="K2397" s="3524"/>
      <c r="L2397" s="3742"/>
      <c r="M2397" s="3524"/>
      <c r="N2397" s="2680"/>
      <c r="O2397" s="2680"/>
      <c r="P2397" s="2680"/>
      <c r="Q2397" s="2680"/>
      <c r="R2397" s="2680"/>
      <c r="S2397" s="2680"/>
      <c r="T2397" s="2680"/>
      <c r="U2397" s="2680"/>
      <c r="V2397" s="2680"/>
      <c r="W2397" s="2680"/>
      <c r="X2397" s="2680"/>
      <c r="Y2397" s="2680"/>
      <c r="Z2397" s="2680"/>
      <c r="AA2397" s="2680"/>
      <c r="AB2397" s="2680"/>
      <c r="AC2397" s="3524">
        <v>2</v>
      </c>
      <c r="AD2397" s="3524" t="s">
        <v>4092</v>
      </c>
      <c r="AE2397" s="3524">
        <v>0.2</v>
      </c>
      <c r="AF2397" s="3742">
        <f>M2396*AE2397</f>
        <v>32000</v>
      </c>
      <c r="AG2397" s="5059">
        <f t="shared" si="515"/>
        <v>32000</v>
      </c>
      <c r="AH2397" s="857"/>
      <c r="AI2397" s="3524"/>
      <c r="AJ2397" s="7130"/>
      <c r="AK2397" s="3524"/>
      <c r="AL2397" s="7131"/>
      <c r="AM2397" s="3524"/>
      <c r="AN2397" s="3742">
        <f t="shared" si="513"/>
        <v>0</v>
      </c>
      <c r="AO2397" s="3524"/>
      <c r="AP2397" s="3812">
        <f t="shared" si="516"/>
        <v>32000</v>
      </c>
      <c r="AQ2397" s="3524"/>
      <c r="AR2397" s="3524"/>
      <c r="AS2397" s="3742"/>
      <c r="AT2397" s="3524"/>
      <c r="AU2397" s="2680"/>
      <c r="AV2397" s="2680"/>
      <c r="AW2397" s="2680"/>
      <c r="AX2397" s="2680"/>
      <c r="AY2397" s="2680"/>
      <c r="AZ2397" s="2680"/>
      <c r="BA2397" s="3524"/>
      <c r="BB2397" s="3524"/>
      <c r="BC2397" s="3524"/>
      <c r="BD2397" s="3524"/>
      <c r="BE2397" s="3524"/>
      <c r="BF2397" s="3524">
        <v>32000</v>
      </c>
      <c r="BG2397" s="3524"/>
      <c r="BH2397" s="3524"/>
      <c r="BI2397" s="3524"/>
      <c r="BJ2397" s="3524"/>
      <c r="BK2397" s="3524"/>
      <c r="BL2397" s="3524"/>
      <c r="BM2397" s="3524"/>
      <c r="BN2397" s="3524"/>
      <c r="BO2397" s="3524"/>
      <c r="BP2397" s="3524"/>
      <c r="BQ2397" s="3524"/>
      <c r="BR2397" s="3524"/>
      <c r="BS2397" s="3524"/>
      <c r="BT2397" s="3524"/>
      <c r="BU2397" s="3524"/>
      <c r="BV2397" s="3524"/>
      <c r="BW2397" s="3524"/>
      <c r="BX2397" s="3524"/>
      <c r="BY2397" s="3524"/>
      <c r="BZ2397" s="3524"/>
      <c r="CA2397" s="3524"/>
      <c r="CB2397" s="3524"/>
      <c r="CC2397" s="3524"/>
      <c r="CD2397" s="3524"/>
      <c r="CE2397" s="7141"/>
      <c r="CF2397" s="7141"/>
      <c r="CG2397" s="7141"/>
      <c r="CH2397" s="7141"/>
    </row>
    <row r="2398" s="4992" customFormat="1" ht="213" spans="1:86">
      <c r="A2398" s="3812"/>
      <c r="B2398" s="3814" t="s">
        <v>4093</v>
      </c>
      <c r="C2398" s="3684">
        <v>44484</v>
      </c>
      <c r="D2398" s="5055" t="s">
        <v>3219</v>
      </c>
      <c r="E2398" s="3684" t="s">
        <v>113</v>
      </c>
      <c r="F2398" s="5060" t="s">
        <v>3220</v>
      </c>
      <c r="G2398" s="5055" t="s">
        <v>4094</v>
      </c>
      <c r="H2398" s="3684" t="s">
        <v>286</v>
      </c>
      <c r="I2398" s="3684"/>
      <c r="J2398" s="5055" t="s">
        <v>2909</v>
      </c>
      <c r="K2398" s="5060" t="s">
        <v>171</v>
      </c>
      <c r="L2398" s="5055" t="s">
        <v>4095</v>
      </c>
      <c r="M2398" s="3662">
        <f>SUBTOTAL(9,N2398:AA2398)</f>
        <v>1000000</v>
      </c>
      <c r="N2398" s="3812">
        <v>0</v>
      </c>
      <c r="O2398" s="3812">
        <v>0</v>
      </c>
      <c r="P2398" s="3812">
        <v>0</v>
      </c>
      <c r="Q2398" s="3812">
        <v>1000000</v>
      </c>
      <c r="R2398" s="3812">
        <v>0</v>
      </c>
      <c r="S2398" s="3812">
        <v>0</v>
      </c>
      <c r="T2398" s="5089">
        <v>0</v>
      </c>
      <c r="U2398" s="3812">
        <v>0</v>
      </c>
      <c r="V2398" s="3812">
        <v>0</v>
      </c>
      <c r="W2398" s="3812">
        <v>0</v>
      </c>
      <c r="X2398" s="3812">
        <v>0</v>
      </c>
      <c r="Y2398" s="3812">
        <v>0</v>
      </c>
      <c r="Z2398" s="3812"/>
      <c r="AA2398" s="3812">
        <v>0</v>
      </c>
      <c r="AB2398" s="3812" t="s">
        <v>171</v>
      </c>
      <c r="AC2398" s="3684" t="s">
        <v>1034</v>
      </c>
      <c r="AD2398" s="5388" t="s">
        <v>4096</v>
      </c>
      <c r="AE2398" s="2139">
        <v>1</v>
      </c>
      <c r="AF2398" s="3684">
        <f>AE2398*M2398</f>
        <v>1000000</v>
      </c>
      <c r="AG2398" s="3684">
        <f t="shared" si="515"/>
        <v>240000</v>
      </c>
      <c r="AH2398" s="3684" t="s">
        <v>122</v>
      </c>
      <c r="AI2398" s="3684">
        <v>44525</v>
      </c>
      <c r="AJ2398" s="3684">
        <v>240000</v>
      </c>
      <c r="AK2398" s="3684">
        <v>44525</v>
      </c>
      <c r="AL2398" s="3684">
        <v>240000</v>
      </c>
      <c r="AM2398" s="3684">
        <v>44575</v>
      </c>
      <c r="AN2398" s="3684">
        <f t="shared" si="513"/>
        <v>240000</v>
      </c>
      <c r="AO2398" s="3684">
        <v>44936</v>
      </c>
      <c r="AP2398" s="3684">
        <f>AG2398-AL2398</f>
        <v>0</v>
      </c>
      <c r="AQ2398" s="5055" t="s">
        <v>4097</v>
      </c>
      <c r="AR2398" s="3684" t="s">
        <v>1463</v>
      </c>
      <c r="AS2398" s="5055" t="s">
        <v>4098</v>
      </c>
      <c r="AT2398" s="3684" t="s">
        <v>171</v>
      </c>
      <c r="AU2398" s="3812">
        <f>SUM(AG2398:AG2398)</f>
        <v>240000</v>
      </c>
      <c r="AV2398" s="3812">
        <f>SUM(AL2398:AL2398)</f>
        <v>240000</v>
      </c>
      <c r="AW2398" s="3812">
        <f>SUM(AN2398:AN2398)</f>
        <v>240000</v>
      </c>
      <c r="AX2398" s="3812">
        <f>M2398-AU2398</f>
        <v>760000</v>
      </c>
      <c r="AY2398" s="3812">
        <f>AU2398-AV2398</f>
        <v>0</v>
      </c>
      <c r="AZ2398" s="3812">
        <f>AV2398-AW2398</f>
        <v>0</v>
      </c>
      <c r="BA2398" s="3684">
        <v>0</v>
      </c>
      <c r="BB2398" s="3684"/>
      <c r="BC2398" s="3684">
        <v>0</v>
      </c>
      <c r="BD2398" s="3684">
        <v>240000</v>
      </c>
      <c r="BE2398" s="3684"/>
      <c r="BF2398" s="3684"/>
      <c r="BG2398" s="3684"/>
      <c r="BH2398" s="3684"/>
      <c r="BI2398" s="3684"/>
      <c r="BJ2398" s="3684"/>
      <c r="BK2398" s="3684"/>
      <c r="BL2398" s="3684"/>
      <c r="BM2398" s="3684"/>
      <c r="BN2398" s="3684"/>
      <c r="BO2398" s="3684"/>
      <c r="BP2398" s="3684"/>
      <c r="BQ2398" s="3684">
        <v>0</v>
      </c>
      <c r="BR2398" s="3684">
        <v>240000</v>
      </c>
      <c r="BS2398" s="3684"/>
      <c r="BT2398" s="3684"/>
      <c r="BU2398" s="3684"/>
      <c r="BV2398" s="3684"/>
      <c r="BW2398" s="3684"/>
      <c r="BX2398" s="3684"/>
      <c r="BY2398" s="3684"/>
      <c r="BZ2398" s="3684"/>
      <c r="CA2398" s="3684"/>
      <c r="CB2398" s="3684"/>
      <c r="CC2398" s="3662"/>
      <c r="CD2398" s="3662"/>
      <c r="CE2398" s="6802"/>
      <c r="CF2398" s="6802"/>
      <c r="CG2398" s="6802"/>
      <c r="CH2398" s="6802"/>
    </row>
    <row r="2399" s="4965" customFormat="1" ht="39.75" customHeight="1" spans="1:86">
      <c r="A2399" s="3524"/>
      <c r="B2399" s="857" t="s">
        <v>159</v>
      </c>
      <c r="C2399" s="857">
        <v>44560</v>
      </c>
      <c r="D2399" s="1032" t="s">
        <v>4099</v>
      </c>
      <c r="E2399" s="1032" t="s">
        <v>4100</v>
      </c>
      <c r="F2399" s="1032" t="s">
        <v>4101</v>
      </c>
      <c r="G2399" s="1032" t="s">
        <v>4102</v>
      </c>
      <c r="H2399" s="3524" t="s">
        <v>31</v>
      </c>
      <c r="I2399" s="4087"/>
      <c r="J2399" s="1032" t="s">
        <v>4103</v>
      </c>
      <c r="K2399" s="5818">
        <v>468251</v>
      </c>
      <c r="L2399" s="1032" t="s">
        <v>3095</v>
      </c>
      <c r="M2399" s="3524">
        <f>SUM(N2399:AA2413)</f>
        <v>3277757</v>
      </c>
      <c r="N2399" s="2680">
        <v>0</v>
      </c>
      <c r="O2399" s="2680">
        <v>0</v>
      </c>
      <c r="P2399" s="2680">
        <v>0</v>
      </c>
      <c r="Q2399" s="2680">
        <v>0</v>
      </c>
      <c r="R2399" s="2680">
        <v>0</v>
      </c>
      <c r="S2399" s="2680">
        <v>0</v>
      </c>
      <c r="T2399" s="5823">
        <v>0</v>
      </c>
      <c r="U2399" s="2680">
        <v>3277757</v>
      </c>
      <c r="V2399" s="2680">
        <v>0</v>
      </c>
      <c r="W2399" s="2680">
        <v>0</v>
      </c>
      <c r="X2399" s="2680">
        <v>0</v>
      </c>
      <c r="Y2399" s="2680">
        <v>0</v>
      </c>
      <c r="Z2399" s="2680"/>
      <c r="AA2399" s="2680">
        <v>0</v>
      </c>
      <c r="AB2399" s="2680">
        <v>0</v>
      </c>
      <c r="AC2399" s="4087">
        <v>1</v>
      </c>
      <c r="AD2399" s="5242" t="s">
        <v>1590</v>
      </c>
      <c r="AE2399" s="6001">
        <v>0.2</v>
      </c>
      <c r="AF2399" s="5874">
        <f>M2399*AE2399</f>
        <v>655551.4</v>
      </c>
      <c r="AG2399" s="3812">
        <f t="shared" si="515"/>
        <v>597318.53</v>
      </c>
      <c r="AH2399" s="3812" t="s">
        <v>122</v>
      </c>
      <c r="AI2399" s="3812">
        <v>44559</v>
      </c>
      <c r="AJ2399" s="3524">
        <v>597318.53</v>
      </c>
      <c r="AK2399" s="3812">
        <v>44558</v>
      </c>
      <c r="AL2399" s="3812">
        <v>500000</v>
      </c>
      <c r="AM2399" s="3812">
        <v>44889</v>
      </c>
      <c r="AN2399" s="3812">
        <f t="shared" si="513"/>
        <v>500000</v>
      </c>
      <c r="AO2399" s="3812">
        <v>44907</v>
      </c>
      <c r="AP2399" s="3812">
        <f t="shared" ref="AP2399:AP2404" si="517">AG2399-AN2399</f>
        <v>97318.53</v>
      </c>
      <c r="AQ2399" s="5129"/>
      <c r="AR2399" s="5073" t="s">
        <v>4104</v>
      </c>
      <c r="AS2399" s="7132" t="s">
        <v>4105</v>
      </c>
      <c r="AT2399" s="5122"/>
      <c r="AU2399" s="3524">
        <f>SUM(AG2399:AG2413)</f>
        <v>3015709.07</v>
      </c>
      <c r="AV2399" s="3524">
        <f>SUM(AL2399:AL2413)</f>
        <v>2746166.24</v>
      </c>
      <c r="AW2399" s="3524">
        <f>SUM(AN2399:AN2413)</f>
        <v>2687933.37</v>
      </c>
      <c r="AX2399" s="3524">
        <f>M2399-AU2399</f>
        <v>262047.93</v>
      </c>
      <c r="AY2399" s="3524">
        <f>AU2399-AV2399</f>
        <v>269542.83</v>
      </c>
      <c r="AZ2399" s="3524">
        <f>AV2399-AW2399</f>
        <v>58232.8700000001</v>
      </c>
      <c r="BA2399" s="5146"/>
      <c r="BB2399" s="5146"/>
      <c r="BC2399" s="3812"/>
      <c r="BD2399" s="5146"/>
      <c r="BE2399" s="5146"/>
      <c r="BF2399" s="5146"/>
      <c r="BG2399" s="5146"/>
      <c r="BH2399" s="3812">
        <v>597318.53</v>
      </c>
      <c r="BI2399" s="5146"/>
      <c r="BJ2399" s="5146"/>
      <c r="BK2399" s="5146"/>
      <c r="BL2399" s="5146"/>
      <c r="BM2399" s="5146"/>
      <c r="BN2399" s="5146"/>
      <c r="BO2399" s="5146"/>
      <c r="BP2399" s="5146"/>
      <c r="BQ2399" s="5146"/>
      <c r="BR2399" s="5146"/>
      <c r="BS2399" s="5146"/>
      <c r="BT2399" s="5146"/>
      <c r="BU2399" s="5146"/>
      <c r="BV2399" s="3812">
        <v>500000</v>
      </c>
      <c r="BW2399" s="5146"/>
      <c r="BX2399" s="5146"/>
      <c r="BY2399" s="5146"/>
      <c r="BZ2399" s="5146"/>
      <c r="CA2399" s="5146"/>
      <c r="CB2399" s="5146"/>
      <c r="CC2399" s="3524"/>
      <c r="CD2399" s="3524"/>
      <c r="CE2399" s="5169"/>
      <c r="CF2399" s="5169"/>
      <c r="CG2399" s="5169"/>
      <c r="CH2399" s="5169"/>
    </row>
    <row r="2400" s="4965" customFormat="1" ht="39.75" customHeight="1" spans="1:86">
      <c r="A2400" s="3524"/>
      <c r="B2400" s="857"/>
      <c r="C2400" s="857"/>
      <c r="D2400" s="1032"/>
      <c r="E2400" s="1032"/>
      <c r="F2400" s="1032"/>
      <c r="G2400" s="1032"/>
      <c r="H2400" s="3524"/>
      <c r="I2400" s="4088"/>
      <c r="J2400" s="1032"/>
      <c r="K2400" s="5818"/>
      <c r="L2400" s="1032"/>
      <c r="M2400" s="3524"/>
      <c r="N2400" s="2680"/>
      <c r="O2400" s="2680"/>
      <c r="P2400" s="2680"/>
      <c r="Q2400" s="2680"/>
      <c r="R2400" s="2680"/>
      <c r="S2400" s="2680"/>
      <c r="T2400" s="2680"/>
      <c r="U2400" s="2680"/>
      <c r="V2400" s="2680"/>
      <c r="W2400" s="2680"/>
      <c r="X2400" s="2680"/>
      <c r="Y2400" s="2680"/>
      <c r="Z2400" s="2680"/>
      <c r="AA2400" s="2680"/>
      <c r="AB2400" s="2680"/>
      <c r="AC2400" s="4088"/>
      <c r="AD2400" s="5977"/>
      <c r="AE2400" s="6002"/>
      <c r="AF2400" s="6003"/>
      <c r="AG2400" s="3812"/>
      <c r="AH2400" s="3812"/>
      <c r="AI2400" s="3812"/>
      <c r="AJ2400" s="3524"/>
      <c r="AK2400" s="3812"/>
      <c r="AL2400" s="3812">
        <v>97318.53</v>
      </c>
      <c r="AM2400" s="3812">
        <v>45149</v>
      </c>
      <c r="AN2400" s="3812">
        <f t="shared" si="513"/>
        <v>97318.53</v>
      </c>
      <c r="AO2400" s="3812">
        <v>45169</v>
      </c>
      <c r="AP2400" s="3812">
        <f t="shared" si="517"/>
        <v>-97318.53</v>
      </c>
      <c r="AQ2400" s="5241" t="s">
        <v>4106</v>
      </c>
      <c r="AR2400" s="5205"/>
      <c r="AS2400" s="7133"/>
      <c r="AT2400" s="5122"/>
      <c r="AU2400" s="3524"/>
      <c r="AV2400" s="3524"/>
      <c r="AW2400" s="3524"/>
      <c r="AX2400" s="3524"/>
      <c r="AY2400" s="3524"/>
      <c r="AZ2400" s="3524"/>
      <c r="BA2400" s="5146"/>
      <c r="BB2400" s="5146"/>
      <c r="BC2400" s="3812"/>
      <c r="BD2400" s="5146"/>
      <c r="BE2400" s="5146"/>
      <c r="BF2400" s="5146"/>
      <c r="BG2400" s="5146"/>
      <c r="BH2400" s="3812"/>
      <c r="BI2400" s="5146"/>
      <c r="BJ2400" s="5146"/>
      <c r="BK2400" s="5146"/>
      <c r="BL2400" s="5146"/>
      <c r="BM2400" s="5146"/>
      <c r="BN2400" s="5146"/>
      <c r="BO2400" s="5146"/>
      <c r="BP2400" s="5146"/>
      <c r="BQ2400" s="5146"/>
      <c r="BR2400" s="5146"/>
      <c r="BS2400" s="5146"/>
      <c r="BT2400" s="5146"/>
      <c r="BU2400" s="5146"/>
      <c r="BV2400" s="3812">
        <v>97318.53</v>
      </c>
      <c r="BW2400" s="5146"/>
      <c r="BX2400" s="5146"/>
      <c r="BY2400" s="5146"/>
      <c r="BZ2400" s="5146"/>
      <c r="CA2400" s="5146"/>
      <c r="CB2400" s="5146"/>
      <c r="CC2400" s="3524"/>
      <c r="CD2400" s="3524"/>
      <c r="CE2400" s="5169"/>
      <c r="CF2400" s="5169"/>
      <c r="CG2400" s="5169"/>
      <c r="CH2400" s="5169"/>
    </row>
    <row r="2401" s="4965" customFormat="1" ht="36.75" customHeight="1" spans="1:86">
      <c r="A2401" s="3524"/>
      <c r="B2401" s="857"/>
      <c r="C2401" s="857"/>
      <c r="D2401" s="1032"/>
      <c r="E2401" s="1032"/>
      <c r="F2401" s="1032"/>
      <c r="G2401" s="1032"/>
      <c r="H2401" s="3524"/>
      <c r="I2401" s="4088"/>
      <c r="J2401" s="1032"/>
      <c r="K2401" s="5818"/>
      <c r="L2401" s="1032"/>
      <c r="M2401" s="3524"/>
      <c r="N2401" s="2680"/>
      <c r="O2401" s="2680"/>
      <c r="P2401" s="2680"/>
      <c r="Q2401" s="2680"/>
      <c r="R2401" s="2680"/>
      <c r="S2401" s="2680"/>
      <c r="T2401" s="2680"/>
      <c r="U2401" s="2680"/>
      <c r="V2401" s="2680"/>
      <c r="W2401" s="2680"/>
      <c r="X2401" s="2680"/>
      <c r="Y2401" s="2680"/>
      <c r="Z2401" s="2680"/>
      <c r="AA2401" s="2680"/>
      <c r="AB2401" s="2680"/>
      <c r="AC2401" s="4903"/>
      <c r="AD2401" s="5942"/>
      <c r="AE2401" s="6004"/>
      <c r="AF2401" s="5877"/>
      <c r="AG2401" s="3812"/>
      <c r="AH2401" s="3812"/>
      <c r="AI2401" s="3812"/>
      <c r="AJ2401" s="5123">
        <v>58232.87</v>
      </c>
      <c r="AK2401" s="3812"/>
      <c r="AL2401" s="5123">
        <f>AF2399-AL2399-AL2400</f>
        <v>58232.87</v>
      </c>
      <c r="AM2401" s="3812"/>
      <c r="AN2401" s="3812">
        <f t="shared" si="513"/>
        <v>0</v>
      </c>
      <c r="AO2401" s="3812"/>
      <c r="AP2401" s="3812">
        <f t="shared" si="517"/>
        <v>0</v>
      </c>
      <c r="AQ2401" s="5241"/>
      <c r="AR2401" s="5205"/>
      <c r="AS2401" s="7134"/>
      <c r="AT2401" s="5122"/>
      <c r="AU2401" s="3524"/>
      <c r="AV2401" s="3524"/>
      <c r="AW2401" s="3524"/>
      <c r="AX2401" s="3524"/>
      <c r="AY2401" s="3524"/>
      <c r="AZ2401" s="3524"/>
      <c r="BA2401" s="5146"/>
      <c r="BB2401" s="5146"/>
      <c r="BC2401" s="3812"/>
      <c r="BD2401" s="5146"/>
      <c r="BE2401" s="5146"/>
      <c r="BF2401" s="5146"/>
      <c r="BG2401" s="5146"/>
      <c r="BH2401" s="3812"/>
      <c r="BI2401" s="5146"/>
      <c r="BJ2401" s="5146"/>
      <c r="BK2401" s="5146"/>
      <c r="BL2401" s="5146"/>
      <c r="BM2401" s="5146"/>
      <c r="BN2401" s="5146"/>
      <c r="BO2401" s="5146"/>
      <c r="BP2401" s="5146"/>
      <c r="BQ2401" s="5146"/>
      <c r="BR2401" s="5146"/>
      <c r="BS2401" s="5146"/>
      <c r="BT2401" s="5146"/>
      <c r="BU2401" s="5146"/>
      <c r="BV2401" s="3812"/>
      <c r="BW2401" s="5146"/>
      <c r="BX2401" s="5146"/>
      <c r="BY2401" s="5146"/>
      <c r="BZ2401" s="5146"/>
      <c r="CA2401" s="5146"/>
      <c r="CB2401" s="5146"/>
      <c r="CC2401" s="3524"/>
      <c r="CD2401" s="3524"/>
      <c r="CE2401" s="5169"/>
      <c r="CF2401" s="5169"/>
      <c r="CG2401" s="5169"/>
      <c r="CH2401" s="5169"/>
    </row>
    <row r="2402" s="4965" customFormat="1" ht="36.75" customHeight="1" spans="1:86">
      <c r="A2402" s="3524"/>
      <c r="B2402" s="857"/>
      <c r="C2402" s="857"/>
      <c r="D2402" s="1032"/>
      <c r="E2402" s="1032"/>
      <c r="F2402" s="1032"/>
      <c r="G2402" s="1032"/>
      <c r="H2402" s="3524"/>
      <c r="I2402" s="4088"/>
      <c r="J2402" s="1032"/>
      <c r="K2402" s="5818"/>
      <c r="L2402" s="1032"/>
      <c r="M2402" s="3524"/>
      <c r="N2402" s="2680"/>
      <c r="O2402" s="2680"/>
      <c r="P2402" s="2680"/>
      <c r="Q2402" s="2680"/>
      <c r="R2402" s="2680"/>
      <c r="S2402" s="2680"/>
      <c r="T2402" s="2680"/>
      <c r="U2402" s="2680"/>
      <c r="V2402" s="2680"/>
      <c r="W2402" s="2680"/>
      <c r="X2402" s="2680"/>
      <c r="Y2402" s="2680"/>
      <c r="Z2402" s="2680"/>
      <c r="AA2402" s="2680"/>
      <c r="AB2402" s="2680"/>
      <c r="AC2402" s="3524">
        <v>2</v>
      </c>
      <c r="AD2402" s="5241" t="s">
        <v>1592</v>
      </c>
      <c r="AE2402" s="5818">
        <v>0.3</v>
      </c>
      <c r="AF2402" s="2713">
        <f>M2399*AE2402</f>
        <v>983327.1</v>
      </c>
      <c r="AG2402" s="3812">
        <f>SUM(BA2402:BN2402)</f>
        <v>582797.69</v>
      </c>
      <c r="AH2402" s="3812" t="s">
        <v>122</v>
      </c>
      <c r="AI2402" s="3812">
        <v>44559</v>
      </c>
      <c r="AJ2402" s="3524">
        <v>582797.69</v>
      </c>
      <c r="AK2402" s="3812">
        <v>44558</v>
      </c>
      <c r="AL2402" s="3812">
        <v>200000</v>
      </c>
      <c r="AM2402" s="3812">
        <v>44918</v>
      </c>
      <c r="AN2402" s="3812">
        <f t="shared" si="513"/>
        <v>200000</v>
      </c>
      <c r="AO2402" s="3812">
        <v>44939</v>
      </c>
      <c r="AP2402" s="3812">
        <f t="shared" si="517"/>
        <v>382797.69</v>
      </c>
      <c r="AQ2402" s="5241"/>
      <c r="AR2402" s="5205"/>
      <c r="AS2402" s="7132" t="s">
        <v>4107</v>
      </c>
      <c r="AT2402" s="5122"/>
      <c r="AU2402" s="3524"/>
      <c r="AV2402" s="3524"/>
      <c r="AW2402" s="3524"/>
      <c r="AX2402" s="3524"/>
      <c r="AY2402" s="3524"/>
      <c r="AZ2402" s="3524"/>
      <c r="BA2402" s="5146"/>
      <c r="BB2402" s="5146"/>
      <c r="BC2402" s="3812"/>
      <c r="BD2402" s="5146"/>
      <c r="BE2402" s="5146"/>
      <c r="BF2402" s="5146"/>
      <c r="BG2402" s="5146"/>
      <c r="BH2402" s="3812">
        <v>582797.69</v>
      </c>
      <c r="BI2402" s="5146"/>
      <c r="BJ2402" s="5146"/>
      <c r="BK2402" s="5146"/>
      <c r="BL2402" s="5146"/>
      <c r="BM2402" s="5146"/>
      <c r="BN2402" s="5146"/>
      <c r="BO2402" s="5146"/>
      <c r="BP2402" s="5146"/>
      <c r="BQ2402" s="5146"/>
      <c r="BR2402" s="5146"/>
      <c r="BS2402" s="5146"/>
      <c r="BT2402" s="5146"/>
      <c r="BU2402" s="5146"/>
      <c r="BV2402" s="3812">
        <v>200000</v>
      </c>
      <c r="BW2402" s="5146"/>
      <c r="BX2402" s="5146"/>
      <c r="BY2402" s="5146"/>
      <c r="BZ2402" s="5146"/>
      <c r="CA2402" s="5146"/>
      <c r="CB2402" s="5146"/>
      <c r="CC2402" s="3524"/>
      <c r="CD2402" s="3524"/>
      <c r="CE2402" s="5169"/>
      <c r="CF2402" s="5169"/>
      <c r="CG2402" s="5169"/>
      <c r="CH2402" s="5169"/>
    </row>
    <row r="2403" s="4965" customFormat="1" ht="36.75" customHeight="1" spans="1:86">
      <c r="A2403" s="3524"/>
      <c r="B2403" s="857"/>
      <c r="C2403" s="857"/>
      <c r="D2403" s="1032"/>
      <c r="E2403" s="1032"/>
      <c r="F2403" s="1032"/>
      <c r="G2403" s="1032"/>
      <c r="H2403" s="3524"/>
      <c r="I2403" s="4088"/>
      <c r="J2403" s="1032"/>
      <c r="K2403" s="5818"/>
      <c r="L2403" s="1032"/>
      <c r="M2403" s="3524"/>
      <c r="N2403" s="2680"/>
      <c r="O2403" s="2680"/>
      <c r="P2403" s="2680"/>
      <c r="Q2403" s="2680"/>
      <c r="R2403" s="2680"/>
      <c r="S2403" s="2680"/>
      <c r="T2403" s="2680"/>
      <c r="U2403" s="2680"/>
      <c r="V2403" s="2680"/>
      <c r="W2403" s="2680"/>
      <c r="X2403" s="2680"/>
      <c r="Y2403" s="2680"/>
      <c r="Z2403" s="2680"/>
      <c r="AA2403" s="2680"/>
      <c r="AB2403" s="2680"/>
      <c r="AC2403" s="3524"/>
      <c r="AD2403" s="5241"/>
      <c r="AE2403" s="5818"/>
      <c r="AF2403" s="2713"/>
      <c r="AG2403" s="3812"/>
      <c r="AH2403" s="3812"/>
      <c r="AI2403" s="3812"/>
      <c r="AJ2403" s="3524"/>
      <c r="AK2403" s="3812"/>
      <c r="AL2403" s="3812">
        <v>271329.49</v>
      </c>
      <c r="AM2403" s="3812">
        <v>44977</v>
      </c>
      <c r="AN2403" s="3812">
        <f t="shared" si="513"/>
        <v>271329.49</v>
      </c>
      <c r="AO2403" s="3812">
        <v>45037</v>
      </c>
      <c r="AP2403" s="3812">
        <f t="shared" si="517"/>
        <v>-271329.49</v>
      </c>
      <c r="AQ2403" s="5241"/>
      <c r="AR2403" s="5205"/>
      <c r="AS2403" s="7133"/>
      <c r="AT2403" s="5122"/>
      <c r="AU2403" s="3524"/>
      <c r="AV2403" s="3524"/>
      <c r="AW2403" s="3524"/>
      <c r="AX2403" s="3524"/>
      <c r="AY2403" s="3524"/>
      <c r="AZ2403" s="3524"/>
      <c r="BA2403" s="5146"/>
      <c r="BB2403" s="5146"/>
      <c r="BC2403" s="3812"/>
      <c r="BD2403" s="5146"/>
      <c r="BE2403" s="5146"/>
      <c r="BF2403" s="5146"/>
      <c r="BG2403" s="5146"/>
      <c r="BH2403" s="3812"/>
      <c r="BI2403" s="5146"/>
      <c r="BJ2403" s="5146"/>
      <c r="BK2403" s="5146"/>
      <c r="BL2403" s="5146"/>
      <c r="BM2403" s="5146"/>
      <c r="BN2403" s="5146"/>
      <c r="BO2403" s="5146"/>
      <c r="BP2403" s="5146"/>
      <c r="BQ2403" s="5146"/>
      <c r="BR2403" s="5146"/>
      <c r="BS2403" s="5146"/>
      <c r="BT2403" s="5146"/>
      <c r="BU2403" s="5146"/>
      <c r="BV2403" s="3812">
        <v>271329.49</v>
      </c>
      <c r="BW2403" s="5146"/>
      <c r="BX2403" s="5146"/>
      <c r="BY2403" s="5146"/>
      <c r="BZ2403" s="5146"/>
      <c r="CA2403" s="5146"/>
      <c r="CB2403" s="5146"/>
      <c r="CC2403" s="3524"/>
      <c r="CD2403" s="3524"/>
      <c r="CE2403" s="5169"/>
      <c r="CF2403" s="5169"/>
      <c r="CG2403" s="5169"/>
      <c r="CH2403" s="5169"/>
    </row>
    <row r="2404" s="4965" customFormat="1" ht="36.75" customHeight="1" spans="1:86">
      <c r="A2404" s="3524"/>
      <c r="B2404" s="857"/>
      <c r="C2404" s="857"/>
      <c r="D2404" s="1032"/>
      <c r="E2404" s="1032"/>
      <c r="F2404" s="1032"/>
      <c r="G2404" s="1032"/>
      <c r="H2404" s="3524"/>
      <c r="I2404" s="4088"/>
      <c r="J2404" s="1032"/>
      <c r="K2404" s="5818"/>
      <c r="L2404" s="1032"/>
      <c r="M2404" s="3524"/>
      <c r="N2404" s="2680"/>
      <c r="O2404" s="2680"/>
      <c r="P2404" s="2680"/>
      <c r="Q2404" s="2680"/>
      <c r="R2404" s="2680"/>
      <c r="S2404" s="2680"/>
      <c r="T2404" s="2680"/>
      <c r="U2404" s="2680"/>
      <c r="V2404" s="2680"/>
      <c r="W2404" s="2680"/>
      <c r="X2404" s="2680"/>
      <c r="Y2404" s="2680"/>
      <c r="Z2404" s="2680"/>
      <c r="AA2404" s="2680"/>
      <c r="AB2404" s="2680"/>
      <c r="AC2404" s="3524"/>
      <c r="AD2404" s="5241"/>
      <c r="AE2404" s="5818"/>
      <c r="AF2404" s="2713"/>
      <c r="AG2404" s="3812"/>
      <c r="AH2404" s="3812"/>
      <c r="AI2404" s="3812"/>
      <c r="AJ2404" s="3524"/>
      <c r="AK2404" s="3812"/>
      <c r="AL2404" s="3812">
        <f>AG2402-AL2402-AL2403</f>
        <v>111468.2</v>
      </c>
      <c r="AM2404" s="3812">
        <v>45149</v>
      </c>
      <c r="AN2404" s="3812">
        <f t="shared" si="513"/>
        <v>111468.2</v>
      </c>
      <c r="AO2404" s="3812">
        <v>45169</v>
      </c>
      <c r="AP2404" s="3812">
        <f t="shared" si="517"/>
        <v>-111468.2</v>
      </c>
      <c r="AQ2404" s="5241"/>
      <c r="AR2404" s="5205"/>
      <c r="AS2404" s="7133"/>
      <c r="AT2404" s="5122"/>
      <c r="AU2404" s="3524"/>
      <c r="AV2404" s="3524"/>
      <c r="AW2404" s="3524"/>
      <c r="AX2404" s="3524"/>
      <c r="AY2404" s="3524"/>
      <c r="AZ2404" s="3524"/>
      <c r="BA2404" s="5146"/>
      <c r="BB2404" s="5146"/>
      <c r="BC2404" s="3812"/>
      <c r="BD2404" s="5146"/>
      <c r="BE2404" s="5146"/>
      <c r="BF2404" s="5146"/>
      <c r="BG2404" s="5146"/>
      <c r="BH2404" s="3812"/>
      <c r="BI2404" s="5146"/>
      <c r="BJ2404" s="5146"/>
      <c r="BK2404" s="5146"/>
      <c r="BL2404" s="5146"/>
      <c r="BM2404" s="5146"/>
      <c r="BN2404" s="5146"/>
      <c r="BO2404" s="5146"/>
      <c r="BP2404" s="5146"/>
      <c r="BQ2404" s="5146"/>
      <c r="BR2404" s="5146"/>
      <c r="BS2404" s="5146"/>
      <c r="BT2404" s="5146"/>
      <c r="BU2404" s="5146"/>
      <c r="BV2404" s="3812">
        <v>111468.2</v>
      </c>
      <c r="BW2404" s="5146"/>
      <c r="BX2404" s="5146"/>
      <c r="BY2404" s="5146"/>
      <c r="BZ2404" s="5146"/>
      <c r="CA2404" s="5146"/>
      <c r="CB2404" s="5146"/>
      <c r="CC2404" s="3524"/>
      <c r="CD2404" s="3524"/>
      <c r="CE2404" s="5169"/>
      <c r="CF2404" s="5169"/>
      <c r="CG2404" s="5169"/>
      <c r="CH2404" s="5169"/>
    </row>
    <row r="2405" s="4965" customFormat="1" ht="36.75" customHeight="1" spans="1:86">
      <c r="A2405" s="3524"/>
      <c r="B2405" s="857"/>
      <c r="C2405" s="857"/>
      <c r="D2405" s="1032"/>
      <c r="E2405" s="1032"/>
      <c r="F2405" s="1032"/>
      <c r="G2405" s="1032"/>
      <c r="H2405" s="3524"/>
      <c r="I2405" s="4088"/>
      <c r="J2405" s="1032"/>
      <c r="K2405" s="5818"/>
      <c r="L2405" s="1032"/>
      <c r="M2405" s="3524"/>
      <c r="N2405" s="2680"/>
      <c r="O2405" s="2680"/>
      <c r="P2405" s="2680"/>
      <c r="Q2405" s="2680"/>
      <c r="R2405" s="2680"/>
      <c r="S2405" s="2680"/>
      <c r="T2405" s="2680"/>
      <c r="U2405" s="2680"/>
      <c r="V2405" s="2680"/>
      <c r="W2405" s="2680"/>
      <c r="X2405" s="2680"/>
      <c r="Y2405" s="2680"/>
      <c r="Z2405" s="2680"/>
      <c r="AA2405" s="2680"/>
      <c r="AB2405" s="2680"/>
      <c r="AC2405" s="3524"/>
      <c r="AD2405" s="5241"/>
      <c r="AE2405" s="5818"/>
      <c r="AF2405" s="2713"/>
      <c r="AG2405" s="3812">
        <f t="shared" ref="AG2405:AG2419" si="518">SUM(BA2405:BN2405)</f>
        <v>44083.19</v>
      </c>
      <c r="AH2405" s="857" t="s">
        <v>122</v>
      </c>
      <c r="AI2405" s="3812">
        <v>44882</v>
      </c>
      <c r="AJ2405" s="3524">
        <v>44083.19</v>
      </c>
      <c r="AK2405" s="3812">
        <v>44882</v>
      </c>
      <c r="AL2405" s="4840">
        <v>313180.1</v>
      </c>
      <c r="AM2405" s="4087">
        <v>45189</v>
      </c>
      <c r="AN2405" s="4840">
        <f>SUM(BO2405:CB2406)</f>
        <v>313180.1</v>
      </c>
      <c r="AO2405" s="4840">
        <v>45197</v>
      </c>
      <c r="AP2405" s="4840">
        <f>AG2405+AG2406-AN2405</f>
        <v>0</v>
      </c>
      <c r="AQ2405" s="5241"/>
      <c r="AR2405" s="5205"/>
      <c r="AS2405" s="7133"/>
      <c r="AT2405" s="5122"/>
      <c r="AU2405" s="3524"/>
      <c r="AV2405" s="3524"/>
      <c r="AW2405" s="3524"/>
      <c r="AX2405" s="3524"/>
      <c r="AY2405" s="3524"/>
      <c r="AZ2405" s="3524"/>
      <c r="BA2405" s="5146"/>
      <c r="BB2405" s="5146"/>
      <c r="BC2405" s="3812"/>
      <c r="BD2405" s="5146"/>
      <c r="BE2405" s="5146"/>
      <c r="BF2405" s="5146"/>
      <c r="BG2405" s="5146"/>
      <c r="BH2405" s="3812">
        <v>44083.19</v>
      </c>
      <c r="BI2405" s="5146"/>
      <c r="BJ2405" s="5146"/>
      <c r="BK2405" s="5146"/>
      <c r="BL2405" s="5146"/>
      <c r="BM2405" s="5146"/>
      <c r="BN2405" s="5146"/>
      <c r="BO2405" s="5146"/>
      <c r="BP2405" s="5146"/>
      <c r="BQ2405" s="5146"/>
      <c r="BR2405" s="5146"/>
      <c r="BS2405" s="5146"/>
      <c r="BT2405" s="5146"/>
      <c r="BU2405" s="5146"/>
      <c r="BV2405" s="3812">
        <v>44083.19</v>
      </c>
      <c r="BW2405" s="5146"/>
      <c r="BX2405" s="5146"/>
      <c r="BY2405" s="5146"/>
      <c r="BZ2405" s="5146"/>
      <c r="CA2405" s="5146"/>
      <c r="CB2405" s="5146"/>
      <c r="CC2405" s="3524"/>
      <c r="CD2405" s="3524"/>
      <c r="CE2405" s="5169"/>
      <c r="CF2405" s="5169"/>
      <c r="CG2405" s="5169"/>
      <c r="CH2405" s="5169"/>
    </row>
    <row r="2406" s="4965" customFormat="1" ht="36.75" customHeight="1" spans="1:86">
      <c r="A2406" s="3524"/>
      <c r="B2406" s="857"/>
      <c r="C2406" s="857"/>
      <c r="D2406" s="1032"/>
      <c r="E2406" s="1032"/>
      <c r="F2406" s="1032"/>
      <c r="G2406" s="1032"/>
      <c r="H2406" s="3524"/>
      <c r="I2406" s="4088"/>
      <c r="J2406" s="1032"/>
      <c r="K2406" s="5818"/>
      <c r="L2406" s="1032"/>
      <c r="M2406" s="3524"/>
      <c r="N2406" s="2680"/>
      <c r="O2406" s="2680"/>
      <c r="P2406" s="2680"/>
      <c r="Q2406" s="2680"/>
      <c r="R2406" s="2680"/>
      <c r="S2406" s="2680"/>
      <c r="T2406" s="2680"/>
      <c r="U2406" s="2680"/>
      <c r="V2406" s="2680"/>
      <c r="W2406" s="2680"/>
      <c r="X2406" s="2680"/>
      <c r="Y2406" s="2680"/>
      <c r="Z2406" s="2680"/>
      <c r="AA2406" s="2680"/>
      <c r="AB2406" s="2680"/>
      <c r="AC2406" s="3524"/>
      <c r="AD2406" s="5241"/>
      <c r="AE2406" s="5818"/>
      <c r="AF2406" s="2713"/>
      <c r="AG2406" s="3812">
        <f t="shared" si="518"/>
        <v>269096.91</v>
      </c>
      <c r="AH2406" s="857" t="s">
        <v>122</v>
      </c>
      <c r="AI2406" s="3812">
        <v>45188</v>
      </c>
      <c r="AJ2406" s="3812">
        <v>269096.91</v>
      </c>
      <c r="AK2406" s="3812">
        <v>45188</v>
      </c>
      <c r="AL2406" s="4842"/>
      <c r="AM2406" s="4903"/>
      <c r="AN2406" s="4842"/>
      <c r="AO2406" s="4842">
        <v>45197</v>
      </c>
      <c r="AP2406" s="4842"/>
      <c r="AQ2406" s="5241"/>
      <c r="AR2406" s="5205"/>
      <c r="AS2406" s="5205"/>
      <c r="AT2406" s="5122"/>
      <c r="AU2406" s="3524"/>
      <c r="AV2406" s="3524"/>
      <c r="AW2406" s="3524"/>
      <c r="AX2406" s="3524"/>
      <c r="AY2406" s="3524"/>
      <c r="AZ2406" s="3524"/>
      <c r="BA2406" s="5146"/>
      <c r="BB2406" s="5146"/>
      <c r="BC2406" s="3812"/>
      <c r="BD2406" s="5146"/>
      <c r="BE2406" s="5146"/>
      <c r="BF2406" s="5146"/>
      <c r="BG2406" s="5146"/>
      <c r="BH2406" s="3812">
        <v>269096.91</v>
      </c>
      <c r="BI2406" s="5146"/>
      <c r="BJ2406" s="5146"/>
      <c r="BK2406" s="5146"/>
      <c r="BL2406" s="5146"/>
      <c r="BM2406" s="5146"/>
      <c r="BN2406" s="5146"/>
      <c r="BO2406" s="5146"/>
      <c r="BP2406" s="5146"/>
      <c r="BQ2406" s="5146"/>
      <c r="BR2406" s="5146"/>
      <c r="BS2406" s="5146"/>
      <c r="BT2406" s="5146"/>
      <c r="BU2406" s="5146"/>
      <c r="BV2406" s="3812">
        <v>269096.91</v>
      </c>
      <c r="BW2406" s="5146"/>
      <c r="BX2406" s="5146"/>
      <c r="BY2406" s="5146"/>
      <c r="BZ2406" s="5146"/>
      <c r="CA2406" s="5146"/>
      <c r="CB2406" s="5146"/>
      <c r="CC2406" s="3524"/>
      <c r="CD2406" s="3524"/>
      <c r="CE2406" s="5169"/>
      <c r="CF2406" s="5169"/>
      <c r="CG2406" s="5169"/>
      <c r="CH2406" s="5169"/>
    </row>
    <row r="2407" s="4965" customFormat="1" ht="36.75" customHeight="1" spans="1:86">
      <c r="A2407" s="3524"/>
      <c r="B2407" s="5813"/>
      <c r="C2407" s="857"/>
      <c r="D2407" s="3742"/>
      <c r="E2407" s="3742"/>
      <c r="F2407" s="3742"/>
      <c r="G2407" s="5818"/>
      <c r="H2407" s="3524"/>
      <c r="I2407" s="4088"/>
      <c r="J2407" s="3742"/>
      <c r="K2407" s="5818"/>
      <c r="L2407" s="3742"/>
      <c r="M2407" s="3524"/>
      <c r="N2407" s="2680"/>
      <c r="O2407" s="2680"/>
      <c r="P2407" s="2680"/>
      <c r="Q2407" s="2680"/>
      <c r="R2407" s="2680"/>
      <c r="S2407" s="2680"/>
      <c r="T2407" s="2680"/>
      <c r="U2407" s="2680"/>
      <c r="V2407" s="2680"/>
      <c r="W2407" s="2680"/>
      <c r="X2407" s="2680"/>
      <c r="Y2407" s="2680"/>
      <c r="Z2407" s="2680"/>
      <c r="AA2407" s="2680"/>
      <c r="AB2407" s="2680"/>
      <c r="AC2407" s="3524"/>
      <c r="AD2407" s="5241"/>
      <c r="AE2407" s="5818"/>
      <c r="AF2407" s="2713"/>
      <c r="AG2407" s="5123">
        <f t="shared" si="518"/>
        <v>0</v>
      </c>
      <c r="AH2407" s="3406" t="s">
        <v>349</v>
      </c>
      <c r="AI2407" s="5123"/>
      <c r="AJ2407" s="5123"/>
      <c r="AK2407" s="3812"/>
      <c r="AL2407" s="5123"/>
      <c r="AM2407" s="5123"/>
      <c r="AN2407" s="5123">
        <f>SUM(BO2407:CB2407)</f>
        <v>0</v>
      </c>
      <c r="AO2407" s="5123"/>
      <c r="AP2407" s="3812">
        <f>AG2407-AN2407</f>
        <v>0</v>
      </c>
      <c r="AQ2407" s="5241" t="s">
        <v>4108</v>
      </c>
      <c r="AR2407" s="5205"/>
      <c r="AS2407" s="7134"/>
      <c r="AT2407" s="5122"/>
      <c r="AU2407" s="3524"/>
      <c r="AV2407" s="3524"/>
      <c r="AW2407" s="3524"/>
      <c r="AX2407" s="3524"/>
      <c r="AY2407" s="3524"/>
      <c r="AZ2407" s="3524"/>
      <c r="BA2407" s="5146"/>
      <c r="BB2407" s="5146"/>
      <c r="BC2407" s="3812"/>
      <c r="BD2407" s="5146"/>
      <c r="BE2407" s="5146"/>
      <c r="BF2407" s="5146"/>
      <c r="BG2407" s="857"/>
      <c r="BH2407" s="7137"/>
      <c r="BI2407" s="5146"/>
      <c r="BJ2407" s="5146"/>
      <c r="BK2407" s="5146"/>
      <c r="BL2407" s="5146"/>
      <c r="BM2407" s="5146"/>
      <c r="BN2407" s="5146"/>
      <c r="BO2407" s="5146"/>
      <c r="BP2407" s="5146"/>
      <c r="BQ2407" s="5146"/>
      <c r="BR2407" s="5146"/>
      <c r="BS2407" s="5146"/>
      <c r="BT2407" s="5146"/>
      <c r="BU2407" s="5146"/>
      <c r="BV2407" s="3406"/>
      <c r="BW2407" s="5146"/>
      <c r="BX2407" s="5146"/>
      <c r="BY2407" s="5146"/>
      <c r="BZ2407" s="5146"/>
      <c r="CA2407" s="5146"/>
      <c r="CB2407" s="5146"/>
      <c r="CC2407" s="3524"/>
      <c r="CD2407" s="3524"/>
      <c r="CE2407" s="5169"/>
      <c r="CF2407" s="5169"/>
      <c r="CG2407" s="5169"/>
      <c r="CH2407" s="5169"/>
    </row>
    <row r="2408" s="4965" customFormat="1" ht="41.25" customHeight="1" spans="1:86">
      <c r="A2408" s="3524"/>
      <c r="B2408" s="5813"/>
      <c r="C2408" s="857"/>
      <c r="D2408" s="3742"/>
      <c r="E2408" s="3742"/>
      <c r="F2408" s="3742"/>
      <c r="G2408" s="5818"/>
      <c r="H2408" s="3524"/>
      <c r="I2408" s="4088"/>
      <c r="J2408" s="3742"/>
      <c r="K2408" s="5818"/>
      <c r="L2408" s="3742"/>
      <c r="M2408" s="3524"/>
      <c r="N2408" s="2680"/>
      <c r="O2408" s="2680"/>
      <c r="P2408" s="2680"/>
      <c r="Q2408" s="2680"/>
      <c r="R2408" s="2680"/>
      <c r="S2408" s="2680"/>
      <c r="T2408" s="2680"/>
      <c r="U2408" s="2680"/>
      <c r="V2408" s="2680"/>
      <c r="W2408" s="2680"/>
      <c r="X2408" s="2680"/>
      <c r="Y2408" s="2680"/>
      <c r="Z2408" s="2680"/>
      <c r="AA2408" s="2680"/>
      <c r="AB2408" s="2680"/>
      <c r="AC2408" s="4087">
        <v>3</v>
      </c>
      <c r="AD2408" s="5242" t="s">
        <v>1593</v>
      </c>
      <c r="AE2408" s="5873">
        <v>0.4</v>
      </c>
      <c r="AF2408" s="5874">
        <f>M2399*AE2408</f>
        <v>1311102.8</v>
      </c>
      <c r="AG2408" s="3812">
        <f t="shared" si="518"/>
        <v>513123.69</v>
      </c>
      <c r="AH2408" s="3812" t="s">
        <v>122</v>
      </c>
      <c r="AI2408" s="3812">
        <v>44559</v>
      </c>
      <c r="AJ2408" s="3524">
        <v>513123.69</v>
      </c>
      <c r="AK2408" s="3812">
        <v>44558</v>
      </c>
      <c r="AL2408" s="3524">
        <v>513123.69</v>
      </c>
      <c r="AM2408" s="3812">
        <v>45149</v>
      </c>
      <c r="AN2408" s="3812">
        <f>SUM(BO2408:CB2408)</f>
        <v>513123.69</v>
      </c>
      <c r="AO2408" s="3812">
        <v>45169</v>
      </c>
      <c r="AP2408" s="3812">
        <f>AG2408-AN2408</f>
        <v>0</v>
      </c>
      <c r="AQ2408" s="5241"/>
      <c r="AR2408" s="5205"/>
      <c r="AS2408" s="5838"/>
      <c r="AT2408" s="5122"/>
      <c r="AU2408" s="3524"/>
      <c r="AV2408" s="3524"/>
      <c r="AW2408" s="3524"/>
      <c r="AX2408" s="3524"/>
      <c r="AY2408" s="3524"/>
      <c r="AZ2408" s="3524"/>
      <c r="BA2408" s="5146"/>
      <c r="BB2408" s="5146"/>
      <c r="BC2408" s="3812"/>
      <c r="BD2408" s="5146"/>
      <c r="BE2408" s="5146"/>
      <c r="BF2408" s="5146"/>
      <c r="BG2408" s="5146"/>
      <c r="BH2408" s="857">
        <v>513123.69</v>
      </c>
      <c r="BI2408" s="5146"/>
      <c r="BJ2408" s="5146"/>
      <c r="BK2408" s="5146"/>
      <c r="BL2408" s="5146"/>
      <c r="BM2408" s="5146"/>
      <c r="BN2408" s="5146"/>
      <c r="BO2408" s="5146"/>
      <c r="BP2408" s="5146"/>
      <c r="BQ2408" s="5146"/>
      <c r="BR2408" s="5146"/>
      <c r="BS2408" s="5146"/>
      <c r="BT2408" s="5146"/>
      <c r="BU2408" s="5146"/>
      <c r="BV2408" s="857">
        <v>513123.69</v>
      </c>
      <c r="BW2408" s="5146"/>
      <c r="BX2408" s="5146"/>
      <c r="BY2408" s="5146"/>
      <c r="BZ2408" s="5146"/>
      <c r="CA2408" s="5146"/>
      <c r="CB2408" s="5146"/>
      <c r="CC2408" s="3524"/>
      <c r="CD2408" s="3524"/>
      <c r="CE2408" s="5169"/>
      <c r="CF2408" s="5169"/>
      <c r="CG2408" s="5169"/>
      <c r="CH2408" s="5169"/>
    </row>
    <row r="2409" s="4965" customFormat="1" ht="41.25" customHeight="1" spans="1:86">
      <c r="A2409" s="3524"/>
      <c r="B2409" s="5813"/>
      <c r="C2409" s="857"/>
      <c r="D2409" s="3742"/>
      <c r="E2409" s="3742"/>
      <c r="F2409" s="3742"/>
      <c r="G2409" s="5818"/>
      <c r="H2409" s="3524"/>
      <c r="I2409" s="4088"/>
      <c r="J2409" s="3742"/>
      <c r="K2409" s="5818"/>
      <c r="L2409" s="3742"/>
      <c r="M2409" s="3524"/>
      <c r="N2409" s="2680"/>
      <c r="O2409" s="2680"/>
      <c r="P2409" s="2680"/>
      <c r="Q2409" s="2680"/>
      <c r="R2409" s="2680"/>
      <c r="S2409" s="2680"/>
      <c r="T2409" s="2680"/>
      <c r="U2409" s="2680"/>
      <c r="V2409" s="2680"/>
      <c r="W2409" s="2680"/>
      <c r="X2409" s="2680"/>
      <c r="Y2409" s="2680"/>
      <c r="Z2409" s="2680"/>
      <c r="AA2409" s="2680"/>
      <c r="AB2409" s="2680"/>
      <c r="AC2409" s="4088"/>
      <c r="AD2409" s="5977"/>
      <c r="AE2409" s="5998"/>
      <c r="AF2409" s="6003"/>
      <c r="AG2409" s="3812">
        <f t="shared" si="518"/>
        <v>263939.9</v>
      </c>
      <c r="AH2409" s="857" t="s">
        <v>122</v>
      </c>
      <c r="AI2409" s="3812">
        <v>44882</v>
      </c>
      <c r="AJ2409" s="3524">
        <v>263939.9</v>
      </c>
      <c r="AK2409" s="3812">
        <v>44882</v>
      </c>
      <c r="AL2409" s="3524">
        <v>263939.9</v>
      </c>
      <c r="AM2409" s="3812">
        <v>45149</v>
      </c>
      <c r="AN2409" s="3812">
        <f>SUM(BO2409:CB2409)</f>
        <v>263939.9</v>
      </c>
      <c r="AO2409" s="3812">
        <v>45169</v>
      </c>
      <c r="AP2409" s="3812">
        <f>AG2409-AN2409</f>
        <v>0</v>
      </c>
      <c r="AQ2409" s="5241"/>
      <c r="AR2409" s="5205"/>
      <c r="AS2409" s="5839"/>
      <c r="AT2409" s="5122"/>
      <c r="AU2409" s="3524"/>
      <c r="AV2409" s="3524"/>
      <c r="AW2409" s="3524"/>
      <c r="AX2409" s="3524"/>
      <c r="AY2409" s="3524"/>
      <c r="AZ2409" s="3524"/>
      <c r="BA2409" s="5146"/>
      <c r="BB2409" s="5146"/>
      <c r="BC2409" s="3812"/>
      <c r="BD2409" s="5146"/>
      <c r="BE2409" s="5146"/>
      <c r="BF2409" s="5146"/>
      <c r="BG2409" s="5146"/>
      <c r="BH2409" s="857">
        <v>263939.9</v>
      </c>
      <c r="BI2409" s="5146"/>
      <c r="BJ2409" s="5146"/>
      <c r="BK2409" s="5146"/>
      <c r="BL2409" s="5146"/>
      <c r="BM2409" s="5146"/>
      <c r="BN2409" s="5146"/>
      <c r="BO2409" s="5146"/>
      <c r="BP2409" s="5146"/>
      <c r="BQ2409" s="5146"/>
      <c r="BR2409" s="5146"/>
      <c r="BS2409" s="5146"/>
      <c r="BT2409" s="5146"/>
      <c r="BU2409" s="5146"/>
      <c r="BV2409" s="857">
        <v>263939.9</v>
      </c>
      <c r="BW2409" s="5146"/>
      <c r="BX2409" s="5146"/>
      <c r="BY2409" s="5146"/>
      <c r="BZ2409" s="5146"/>
      <c r="CA2409" s="5146"/>
      <c r="CB2409" s="5146"/>
      <c r="CC2409" s="3524"/>
      <c r="CD2409" s="3524"/>
      <c r="CE2409" s="5169"/>
      <c r="CF2409" s="5169"/>
      <c r="CG2409" s="5169"/>
      <c r="CH2409" s="5169"/>
    </row>
    <row r="2410" s="4965" customFormat="1" ht="41.25" customHeight="1" spans="1:86">
      <c r="A2410" s="3524"/>
      <c r="B2410" s="5813"/>
      <c r="C2410" s="857"/>
      <c r="D2410" s="3742"/>
      <c r="E2410" s="3742"/>
      <c r="F2410" s="3742"/>
      <c r="G2410" s="5818"/>
      <c r="H2410" s="3524"/>
      <c r="I2410" s="4088"/>
      <c r="J2410" s="3742"/>
      <c r="K2410" s="5818"/>
      <c r="L2410" s="3742"/>
      <c r="M2410" s="3524"/>
      <c r="N2410" s="2680"/>
      <c r="O2410" s="2680"/>
      <c r="P2410" s="2680"/>
      <c r="Q2410" s="2680"/>
      <c r="R2410" s="2680"/>
      <c r="S2410" s="2680"/>
      <c r="T2410" s="2680"/>
      <c r="U2410" s="2680"/>
      <c r="V2410" s="2680"/>
      <c r="W2410" s="2680"/>
      <c r="X2410" s="2680"/>
      <c r="Y2410" s="2680"/>
      <c r="Z2410" s="2680"/>
      <c r="AA2410" s="2680"/>
      <c r="AB2410" s="2680"/>
      <c r="AC2410" s="4088"/>
      <c r="AD2410" s="5977"/>
      <c r="AE2410" s="5998"/>
      <c r="AF2410" s="6003"/>
      <c r="AG2410" s="3812">
        <f t="shared" si="518"/>
        <v>14149.68</v>
      </c>
      <c r="AH2410" s="857" t="s">
        <v>122</v>
      </c>
      <c r="AI2410" s="3812">
        <v>44559</v>
      </c>
      <c r="AJ2410" s="3524">
        <v>14149.68</v>
      </c>
      <c r="AK2410" s="3812">
        <v>44558</v>
      </c>
      <c r="AL2410" s="3524">
        <v>14149.68</v>
      </c>
      <c r="AM2410" s="3812">
        <v>45149</v>
      </c>
      <c r="AN2410" s="3812">
        <f>SUM(BO2410:CB2410)</f>
        <v>14149.68</v>
      </c>
      <c r="AO2410" s="3812">
        <v>45169</v>
      </c>
      <c r="AP2410" s="3812">
        <f>AG2410-AN2410</f>
        <v>0</v>
      </c>
      <c r="AQ2410" s="5241"/>
      <c r="AR2410" s="5205"/>
      <c r="AS2410" s="5839"/>
      <c r="AT2410" s="5122"/>
      <c r="AU2410" s="3524"/>
      <c r="AV2410" s="3524"/>
      <c r="AW2410" s="3524"/>
      <c r="AX2410" s="3524"/>
      <c r="AY2410" s="3524"/>
      <c r="AZ2410" s="3524"/>
      <c r="BA2410" s="5146"/>
      <c r="BB2410" s="5146"/>
      <c r="BC2410" s="3812"/>
      <c r="BD2410" s="5146"/>
      <c r="BE2410" s="5146"/>
      <c r="BF2410" s="5146"/>
      <c r="BG2410" s="5146"/>
      <c r="BH2410" s="857">
        <v>14149.68</v>
      </c>
      <c r="BI2410" s="5146"/>
      <c r="BJ2410" s="5146"/>
      <c r="BK2410" s="5146"/>
      <c r="BL2410" s="5146"/>
      <c r="BM2410" s="5146"/>
      <c r="BN2410" s="5146"/>
      <c r="BO2410" s="5146"/>
      <c r="BP2410" s="5146"/>
      <c r="BQ2410" s="5146"/>
      <c r="BR2410" s="5146"/>
      <c r="BS2410" s="5146"/>
      <c r="BT2410" s="5146"/>
      <c r="BU2410" s="5146"/>
      <c r="BV2410" s="857">
        <v>14149.68</v>
      </c>
      <c r="BW2410" s="5146"/>
      <c r="BX2410" s="5146"/>
      <c r="BY2410" s="5146"/>
      <c r="BZ2410" s="5146"/>
      <c r="CA2410" s="5146"/>
      <c r="CB2410" s="5146"/>
      <c r="CC2410" s="3524"/>
      <c r="CD2410" s="3524"/>
      <c r="CE2410" s="5169"/>
      <c r="CF2410" s="5169"/>
      <c r="CG2410" s="5169"/>
      <c r="CH2410" s="5169"/>
    </row>
    <row r="2411" s="4965" customFormat="1" ht="41.25" customHeight="1" spans="1:86">
      <c r="A2411" s="3524"/>
      <c r="B2411" s="5813"/>
      <c r="C2411" s="857"/>
      <c r="D2411" s="3742"/>
      <c r="E2411" s="3742"/>
      <c r="F2411" s="3742"/>
      <c r="G2411" s="5818"/>
      <c r="H2411" s="3524"/>
      <c r="I2411" s="4088"/>
      <c r="J2411" s="3742"/>
      <c r="K2411" s="5818"/>
      <c r="L2411" s="3742"/>
      <c r="M2411" s="3524"/>
      <c r="N2411" s="2680"/>
      <c r="O2411" s="2680"/>
      <c r="P2411" s="2680"/>
      <c r="Q2411" s="2680"/>
      <c r="R2411" s="2680"/>
      <c r="S2411" s="2680"/>
      <c r="T2411" s="2680"/>
      <c r="U2411" s="2680"/>
      <c r="V2411" s="2680"/>
      <c r="W2411" s="2680"/>
      <c r="X2411" s="2680"/>
      <c r="Y2411" s="2680"/>
      <c r="Z2411" s="2680"/>
      <c r="AA2411" s="2680"/>
      <c r="AB2411" s="2680"/>
      <c r="AC2411" s="4088"/>
      <c r="AD2411" s="5977"/>
      <c r="AE2411" s="5998"/>
      <c r="AF2411" s="6003"/>
      <c r="AG2411" s="3812">
        <f t="shared" si="518"/>
        <v>403423.78</v>
      </c>
      <c r="AH2411" s="857" t="s">
        <v>122</v>
      </c>
      <c r="AI2411" s="3812">
        <v>45188</v>
      </c>
      <c r="AJ2411" s="3812">
        <v>403423.78</v>
      </c>
      <c r="AK2411" s="3812">
        <v>45188</v>
      </c>
      <c r="AL2411" s="3812">
        <v>403423.78</v>
      </c>
      <c r="AM2411" s="3524">
        <v>45189</v>
      </c>
      <c r="AN2411" s="3812">
        <f>SUM(BO2411:CB2411)</f>
        <v>403423.78</v>
      </c>
      <c r="AO2411" s="3812">
        <v>45197</v>
      </c>
      <c r="AP2411" s="3812">
        <f>AG2411-AN2411</f>
        <v>0</v>
      </c>
      <c r="AQ2411" s="5129"/>
      <c r="AR2411" s="5205"/>
      <c r="AS2411" s="7135"/>
      <c r="AT2411" s="5122"/>
      <c r="AU2411" s="3524"/>
      <c r="AV2411" s="3524"/>
      <c r="AW2411" s="3524"/>
      <c r="AX2411" s="3524"/>
      <c r="AY2411" s="3524"/>
      <c r="AZ2411" s="3524"/>
      <c r="BA2411" s="5146"/>
      <c r="BB2411" s="5146"/>
      <c r="BC2411" s="3812"/>
      <c r="BD2411" s="5146"/>
      <c r="BE2411" s="5146"/>
      <c r="BF2411" s="5146"/>
      <c r="BG2411" s="5146"/>
      <c r="BH2411" s="857">
        <v>403423.78</v>
      </c>
      <c r="BI2411" s="5146"/>
      <c r="BJ2411" s="5146"/>
      <c r="BK2411" s="5146"/>
      <c r="BL2411" s="5146"/>
      <c r="BM2411" s="5146"/>
      <c r="BN2411" s="5146"/>
      <c r="BO2411" s="5146"/>
      <c r="BP2411" s="5146"/>
      <c r="BQ2411" s="5146"/>
      <c r="BR2411" s="5146"/>
      <c r="BS2411" s="5146"/>
      <c r="BT2411" s="5146"/>
      <c r="BU2411" s="5146"/>
      <c r="BV2411" s="857">
        <v>403423.78</v>
      </c>
      <c r="BW2411" s="5146"/>
      <c r="BX2411" s="5146"/>
      <c r="BY2411" s="5146"/>
      <c r="BZ2411" s="5146"/>
      <c r="CA2411" s="5146"/>
      <c r="CB2411" s="5146"/>
      <c r="CC2411" s="3524"/>
      <c r="CD2411" s="3524"/>
      <c r="CE2411" s="5169"/>
      <c r="CF2411" s="5169"/>
      <c r="CG2411" s="5169"/>
      <c r="CH2411" s="5169"/>
    </row>
    <row r="2412" s="4965" customFormat="1" ht="41.25" customHeight="1" spans="1:86">
      <c r="A2412" s="3524"/>
      <c r="B2412" s="5813"/>
      <c r="C2412" s="857"/>
      <c r="D2412" s="3742"/>
      <c r="E2412" s="3742"/>
      <c r="F2412" s="3742"/>
      <c r="G2412" s="5818"/>
      <c r="H2412" s="3524"/>
      <c r="I2412" s="4088"/>
      <c r="J2412" s="3742"/>
      <c r="K2412" s="5818"/>
      <c r="L2412" s="3742"/>
      <c r="M2412" s="3524"/>
      <c r="N2412" s="2680"/>
      <c r="O2412" s="2680"/>
      <c r="P2412" s="2680"/>
      <c r="Q2412" s="2680"/>
      <c r="R2412" s="2680"/>
      <c r="S2412" s="2680"/>
      <c r="T2412" s="2680"/>
      <c r="U2412" s="2680"/>
      <c r="V2412" s="2680"/>
      <c r="W2412" s="2680"/>
      <c r="X2412" s="2680"/>
      <c r="Y2412" s="2680"/>
      <c r="Z2412" s="2680"/>
      <c r="AA2412" s="2680"/>
      <c r="AB2412" s="2680"/>
      <c r="AC2412" s="4903"/>
      <c r="AD2412" s="5942"/>
      <c r="AE2412" s="5876"/>
      <c r="AF2412" s="5877"/>
      <c r="AG2412" s="3812">
        <f t="shared" si="518"/>
        <v>0</v>
      </c>
      <c r="AH2412" s="3406"/>
      <c r="AI2412" s="5123"/>
      <c r="AJ2412" s="5123"/>
      <c r="AK2412" s="5123"/>
      <c r="AL2412" s="5123"/>
      <c r="AM2412" s="5123"/>
      <c r="AN2412" s="5123"/>
      <c r="AO2412" s="5123"/>
      <c r="AP2412" s="3812"/>
      <c r="AQ2412" s="5122"/>
      <c r="AR2412" s="5205"/>
      <c r="AS2412" s="5129"/>
      <c r="AT2412" s="5122"/>
      <c r="AU2412" s="3524"/>
      <c r="AV2412" s="3524"/>
      <c r="AW2412" s="3524"/>
      <c r="AX2412" s="3524"/>
      <c r="AY2412" s="3524"/>
      <c r="AZ2412" s="3524"/>
      <c r="BA2412" s="5122"/>
      <c r="BB2412" s="5122"/>
      <c r="BC2412" s="3524"/>
      <c r="BD2412" s="5122"/>
      <c r="BE2412" s="5122"/>
      <c r="BF2412" s="5122"/>
      <c r="BG2412" s="5122"/>
      <c r="BH2412" s="5160"/>
      <c r="BI2412" s="5122"/>
      <c r="BJ2412" s="5122"/>
      <c r="BK2412" s="5122"/>
      <c r="BL2412" s="5122"/>
      <c r="BM2412" s="5122"/>
      <c r="BN2412" s="5122"/>
      <c r="BO2412" s="5122"/>
      <c r="BP2412" s="5122"/>
      <c r="BQ2412" s="5122"/>
      <c r="BR2412" s="5122"/>
      <c r="BS2412" s="5122"/>
      <c r="BT2412" s="7138"/>
      <c r="BU2412" s="7138"/>
      <c r="BV2412" s="5122"/>
      <c r="BW2412" s="5122"/>
      <c r="BX2412" s="5122"/>
      <c r="BY2412" s="5122"/>
      <c r="BZ2412" s="5122"/>
      <c r="CA2412" s="5122"/>
      <c r="CB2412" s="5122"/>
      <c r="CC2412" s="3524"/>
      <c r="CD2412" s="3524"/>
      <c r="CE2412" s="5169"/>
      <c r="CF2412" s="5169"/>
      <c r="CG2412" s="5169"/>
      <c r="CH2412" s="5169"/>
    </row>
    <row r="2413" s="4965" customFormat="1" ht="41.25" customHeight="1" spans="1:86">
      <c r="A2413" s="3524"/>
      <c r="B2413" s="5813"/>
      <c r="C2413" s="857"/>
      <c r="D2413" s="3742"/>
      <c r="E2413" s="3742"/>
      <c r="F2413" s="3742"/>
      <c r="G2413" s="5818"/>
      <c r="H2413" s="3524"/>
      <c r="I2413" s="4903"/>
      <c r="J2413" s="3742"/>
      <c r="K2413" s="5818"/>
      <c r="L2413" s="3742"/>
      <c r="M2413" s="3524"/>
      <c r="N2413" s="2680"/>
      <c r="O2413" s="2680"/>
      <c r="P2413" s="2680"/>
      <c r="Q2413" s="2680"/>
      <c r="R2413" s="2680"/>
      <c r="S2413" s="2680"/>
      <c r="T2413" s="2680"/>
      <c r="U2413" s="2680"/>
      <c r="V2413" s="2680"/>
      <c r="W2413" s="2680"/>
      <c r="X2413" s="2680"/>
      <c r="Y2413" s="2680"/>
      <c r="Z2413" s="2680"/>
      <c r="AA2413" s="2680"/>
      <c r="AB2413" s="2680"/>
      <c r="AC2413" s="3524">
        <v>4</v>
      </c>
      <c r="AD2413" s="5241" t="s">
        <v>1595</v>
      </c>
      <c r="AE2413" s="5870">
        <v>0.1</v>
      </c>
      <c r="AF2413" s="857">
        <f>M2399*AE2413</f>
        <v>327775.7</v>
      </c>
      <c r="AG2413" s="5123">
        <f t="shared" si="518"/>
        <v>327775.7</v>
      </c>
      <c r="AH2413" s="3406"/>
      <c r="AI2413" s="5123"/>
      <c r="AJ2413" s="5123"/>
      <c r="AK2413" s="5123"/>
      <c r="AL2413" s="5123"/>
      <c r="AM2413" s="5123"/>
      <c r="AN2413" s="5123">
        <f>SUM(BO2413:CB2413)</f>
        <v>0</v>
      </c>
      <c r="AO2413" s="5123"/>
      <c r="AP2413" s="3812">
        <f>AG2413-AN2413</f>
        <v>327775.7</v>
      </c>
      <c r="AQ2413" s="5122"/>
      <c r="AR2413" s="5206"/>
      <c r="AS2413" s="5129"/>
      <c r="AT2413" s="5122"/>
      <c r="AU2413" s="3524"/>
      <c r="AV2413" s="3524"/>
      <c r="AW2413" s="3524"/>
      <c r="AX2413" s="3524"/>
      <c r="AY2413" s="3524"/>
      <c r="AZ2413" s="3524"/>
      <c r="BA2413" s="5122"/>
      <c r="BB2413" s="5122"/>
      <c r="BC2413" s="3524"/>
      <c r="BD2413" s="5122"/>
      <c r="BE2413" s="5122"/>
      <c r="BF2413" s="5122"/>
      <c r="BG2413" s="5122"/>
      <c r="BH2413" s="5160">
        <v>327775.7</v>
      </c>
      <c r="BI2413" s="5122"/>
      <c r="BJ2413" s="5122"/>
      <c r="BK2413" s="5122"/>
      <c r="BL2413" s="5122"/>
      <c r="BM2413" s="5122"/>
      <c r="BN2413" s="5122"/>
      <c r="BO2413" s="5122"/>
      <c r="BP2413" s="5122"/>
      <c r="BQ2413" s="5122"/>
      <c r="BR2413" s="5122"/>
      <c r="BS2413" s="5122"/>
      <c r="BT2413" s="7138"/>
      <c r="BU2413" s="7138"/>
      <c r="BV2413" s="5122"/>
      <c r="BW2413" s="5122"/>
      <c r="BX2413" s="5122"/>
      <c r="BY2413" s="5122"/>
      <c r="BZ2413" s="5122"/>
      <c r="CA2413" s="5122"/>
      <c r="CB2413" s="5122"/>
      <c r="CC2413" s="3524"/>
      <c r="CD2413" s="3524"/>
      <c r="CE2413" s="5169"/>
      <c r="CF2413" s="5169"/>
      <c r="CG2413" s="5169"/>
      <c r="CH2413" s="5169"/>
    </row>
    <row r="2414" s="4965" customFormat="1" ht="122" spans="1:86">
      <c r="A2414" s="3524"/>
      <c r="B2414" s="857" t="s">
        <v>159</v>
      </c>
      <c r="C2414" s="857">
        <v>45490</v>
      </c>
      <c r="D2414" s="1032" t="s">
        <v>4109</v>
      </c>
      <c r="E2414" s="6737"/>
      <c r="F2414" s="1032" t="s">
        <v>4110</v>
      </c>
      <c r="G2414" s="1032" t="s">
        <v>4111</v>
      </c>
      <c r="H2414" s="857" t="s">
        <v>286</v>
      </c>
      <c r="I2414" s="1032" t="s">
        <v>4112</v>
      </c>
      <c r="J2414" s="1032" t="s">
        <v>4103</v>
      </c>
      <c r="K2414" s="1032" t="s">
        <v>171</v>
      </c>
      <c r="L2414" s="1032" t="s">
        <v>4113</v>
      </c>
      <c r="M2414" s="3524">
        <f>SUBTOTAL(9,N2414:AA2414)</f>
        <v>50000</v>
      </c>
      <c r="N2414" s="2680"/>
      <c r="O2414" s="2680"/>
      <c r="P2414" s="2680"/>
      <c r="Q2414" s="3524">
        <v>50000</v>
      </c>
      <c r="R2414" s="2680"/>
      <c r="S2414" s="2680"/>
      <c r="T2414" s="2680"/>
      <c r="U2414" s="2680"/>
      <c r="V2414" s="2680"/>
      <c r="W2414" s="2680"/>
      <c r="X2414" s="2680"/>
      <c r="Y2414" s="2680"/>
      <c r="Z2414" s="2680"/>
      <c r="AA2414" s="2680"/>
      <c r="AB2414" s="2680"/>
      <c r="AC2414" s="3524">
        <v>1</v>
      </c>
      <c r="AD2414" s="5241" t="s">
        <v>4114</v>
      </c>
      <c r="AE2414" s="5870">
        <v>1</v>
      </c>
      <c r="AF2414" s="857">
        <v>50000</v>
      </c>
      <c r="AG2414" s="5123">
        <f t="shared" si="518"/>
        <v>50000</v>
      </c>
      <c r="AH2414" s="3406" t="s">
        <v>349</v>
      </c>
      <c r="AI2414" s="5123"/>
      <c r="AJ2414" s="5123"/>
      <c r="AK2414" s="5123"/>
      <c r="AL2414" s="5123"/>
      <c r="AM2414" s="5123"/>
      <c r="AN2414" s="5302"/>
      <c r="AO2414" s="5302"/>
      <c r="AP2414" s="4840"/>
      <c r="AQ2414" s="5122"/>
      <c r="AR2414" s="5206"/>
      <c r="AS2414" s="5129"/>
      <c r="AT2414" s="5122"/>
      <c r="AU2414" s="3524"/>
      <c r="AV2414" s="3524"/>
      <c r="AW2414" s="3524"/>
      <c r="AX2414" s="3524"/>
      <c r="AY2414" s="3524"/>
      <c r="AZ2414" s="3524"/>
      <c r="BA2414" s="5122"/>
      <c r="BB2414" s="5122"/>
      <c r="BC2414" s="3524"/>
      <c r="BD2414" s="5123">
        <v>50000</v>
      </c>
      <c r="BE2414" s="5122"/>
      <c r="BF2414" s="5122"/>
      <c r="BG2414" s="5122"/>
      <c r="BH2414" s="5160"/>
      <c r="BI2414" s="5122"/>
      <c r="BJ2414" s="5122"/>
      <c r="BK2414" s="5122"/>
      <c r="BL2414" s="5122"/>
      <c r="BM2414" s="5122"/>
      <c r="BN2414" s="5122"/>
      <c r="BO2414" s="5122"/>
      <c r="BP2414" s="5122"/>
      <c r="BQ2414" s="5122"/>
      <c r="BR2414" s="5122"/>
      <c r="BS2414" s="5122"/>
      <c r="BT2414" s="7138"/>
      <c r="BU2414" s="7138"/>
      <c r="BV2414" s="5122"/>
      <c r="BW2414" s="7139"/>
      <c r="BX2414" s="5122"/>
      <c r="BY2414" s="5122"/>
      <c r="BZ2414" s="5122"/>
      <c r="CA2414" s="5122"/>
      <c r="CB2414" s="5122"/>
      <c r="CC2414" s="3524"/>
      <c r="CD2414" s="3524"/>
      <c r="CE2414" s="5169"/>
      <c r="CF2414" s="5169"/>
      <c r="CG2414" s="5169"/>
      <c r="CH2414" s="5169"/>
    </row>
    <row r="2415" s="4965" customFormat="1" ht="65" customHeight="1" spans="1:86">
      <c r="A2415" s="3524"/>
      <c r="B2415" s="857" t="s">
        <v>159</v>
      </c>
      <c r="C2415" s="857">
        <v>44844</v>
      </c>
      <c r="D2415" s="1032" t="s">
        <v>4099</v>
      </c>
      <c r="E2415" s="1032" t="s">
        <v>4100</v>
      </c>
      <c r="F2415" s="1032" t="s">
        <v>4115</v>
      </c>
      <c r="G2415" s="1032" t="s">
        <v>4116</v>
      </c>
      <c r="H2415" s="857" t="s">
        <v>193</v>
      </c>
      <c r="I2415" s="5073" t="s">
        <v>4117</v>
      </c>
      <c r="J2415" s="1032" t="s">
        <v>4103</v>
      </c>
      <c r="K2415" s="5818">
        <v>92500</v>
      </c>
      <c r="L2415" s="1032" t="s">
        <v>4118</v>
      </c>
      <c r="M2415" s="3524">
        <f>SUM(N2415:AA2421)</f>
        <v>647500</v>
      </c>
      <c r="N2415" s="2680">
        <v>0</v>
      </c>
      <c r="O2415" s="2680">
        <v>0</v>
      </c>
      <c r="P2415" s="2680">
        <v>0</v>
      </c>
      <c r="Q2415" s="2680">
        <v>0</v>
      </c>
      <c r="R2415" s="2680">
        <v>0</v>
      </c>
      <c r="S2415" s="2680">
        <v>0</v>
      </c>
      <c r="T2415" s="5823">
        <v>0</v>
      </c>
      <c r="U2415" s="2680">
        <v>0</v>
      </c>
      <c r="V2415" s="2680">
        <v>647500</v>
      </c>
      <c r="W2415" s="2680">
        <v>0</v>
      </c>
      <c r="X2415" s="2680">
        <v>0</v>
      </c>
      <c r="Y2415" s="3925">
        <v>0</v>
      </c>
      <c r="Z2415" s="3925"/>
      <c r="AA2415" s="2680">
        <v>0</v>
      </c>
      <c r="AB2415" s="2680">
        <v>0</v>
      </c>
      <c r="AC2415" s="3524">
        <v>1</v>
      </c>
      <c r="AD2415" s="5241" t="s">
        <v>4119</v>
      </c>
      <c r="AE2415" s="5870">
        <v>0.2</v>
      </c>
      <c r="AF2415" s="2713">
        <f>M2415*AE2415</f>
        <v>129500</v>
      </c>
      <c r="AG2415" s="3812">
        <f t="shared" si="518"/>
        <v>129500</v>
      </c>
      <c r="AH2415" s="857" t="s">
        <v>122</v>
      </c>
      <c r="AI2415" s="3812">
        <v>44854</v>
      </c>
      <c r="AJ2415" s="3812">
        <v>129500</v>
      </c>
      <c r="AK2415" s="3812">
        <v>44854</v>
      </c>
      <c r="AL2415" s="3812">
        <v>300000</v>
      </c>
      <c r="AM2415" s="3812">
        <v>45247</v>
      </c>
      <c r="AN2415" s="4840">
        <f>SUM(BO2415:CB2415)</f>
        <v>300000</v>
      </c>
      <c r="AO2415" s="4840">
        <v>45261</v>
      </c>
      <c r="AP2415" s="4840">
        <f>AG2415+AG2416+AG2417-AN2415</f>
        <v>0</v>
      </c>
      <c r="AQ2415" s="5241"/>
      <c r="AR2415" s="3524"/>
      <c r="AS2415" s="7136"/>
      <c r="AT2415" s="5122"/>
      <c r="AU2415" s="3524">
        <f>SUM(AG2415:AG2421)</f>
        <v>647500</v>
      </c>
      <c r="AV2415" s="3524">
        <f>SUM(AL2415:AL2421)</f>
        <v>559000</v>
      </c>
      <c r="AW2415" s="3524">
        <f>SUM(AN2415:AN2421)</f>
        <v>447500</v>
      </c>
      <c r="AX2415" s="3524">
        <f>M2415-AU2415</f>
        <v>0</v>
      </c>
      <c r="AY2415" s="3524">
        <f>AU2415-AV2415</f>
        <v>88500</v>
      </c>
      <c r="AZ2415" s="3524">
        <f>AV2415-AW2415</f>
        <v>111500</v>
      </c>
      <c r="BA2415" s="5741"/>
      <c r="BB2415" s="5741"/>
      <c r="BC2415" s="4813"/>
      <c r="BD2415" s="5741"/>
      <c r="BE2415" s="5741"/>
      <c r="BF2415" s="5741"/>
      <c r="BG2415" s="5741"/>
      <c r="BH2415" s="4813"/>
      <c r="BI2415" s="3812">
        <v>129500</v>
      </c>
      <c r="BJ2415" s="5741"/>
      <c r="BK2415" s="5741"/>
      <c r="BL2415" s="5741"/>
      <c r="BM2415" s="5741"/>
      <c r="BN2415" s="5741"/>
      <c r="BO2415" s="5146"/>
      <c r="BP2415" s="5146"/>
      <c r="BQ2415" s="5146"/>
      <c r="BR2415" s="5146"/>
      <c r="BS2415" s="5146"/>
      <c r="BT2415" s="5146"/>
      <c r="BU2415" s="5146"/>
      <c r="BV2415" s="3812"/>
      <c r="BW2415" s="4840">
        <v>300000</v>
      </c>
      <c r="BX2415" s="5146"/>
      <c r="BY2415" s="5146"/>
      <c r="BZ2415" s="5146"/>
      <c r="CA2415" s="5146"/>
      <c r="CB2415" s="5146"/>
      <c r="CC2415" s="3524"/>
      <c r="CD2415" s="3524"/>
      <c r="CE2415" s="5169"/>
      <c r="CF2415" s="5169"/>
      <c r="CG2415" s="5169"/>
      <c r="CH2415" s="5169"/>
    </row>
    <row r="2416" s="4965" customFormat="1" ht="36.75" customHeight="1" spans="1:86">
      <c r="A2416" s="3524"/>
      <c r="B2416" s="857"/>
      <c r="C2416" s="857"/>
      <c r="D2416" s="1032"/>
      <c r="E2416" s="1032"/>
      <c r="F2416" s="1032"/>
      <c r="G2416" s="1032"/>
      <c r="H2416" s="3524"/>
      <c r="I2416" s="5205"/>
      <c r="J2416" s="1032"/>
      <c r="K2416" s="5818"/>
      <c r="L2416" s="1032"/>
      <c r="M2416" s="3524"/>
      <c r="N2416" s="2680"/>
      <c r="O2416" s="2680"/>
      <c r="P2416" s="2680"/>
      <c r="Q2416" s="2680"/>
      <c r="R2416" s="2680"/>
      <c r="S2416" s="2680"/>
      <c r="T2416" s="2680"/>
      <c r="U2416" s="2680"/>
      <c r="V2416" s="2680"/>
      <c r="W2416" s="2680"/>
      <c r="X2416" s="2680"/>
      <c r="Y2416" s="4026"/>
      <c r="Z2416" s="4026"/>
      <c r="AA2416" s="2680"/>
      <c r="AB2416" s="2680"/>
      <c r="AC2416" s="3524">
        <v>2</v>
      </c>
      <c r="AD2416" s="5241" t="s">
        <v>4120</v>
      </c>
      <c r="AE2416" s="5818">
        <v>0.3</v>
      </c>
      <c r="AF2416" s="2713">
        <f>M2415*AE2416</f>
        <v>194250</v>
      </c>
      <c r="AG2416" s="3812">
        <f t="shared" si="518"/>
        <v>123190.2</v>
      </c>
      <c r="AH2416" s="857" t="s">
        <v>122</v>
      </c>
      <c r="AI2416" s="3812">
        <v>44854</v>
      </c>
      <c r="AJ2416" s="3524">
        <v>123190.2</v>
      </c>
      <c r="AK2416" s="3812">
        <v>44854</v>
      </c>
      <c r="AL2416" s="3812"/>
      <c r="AM2416" s="3812"/>
      <c r="AN2416" s="4841"/>
      <c r="AO2416" s="4841"/>
      <c r="AP2416" s="4841"/>
      <c r="AQ2416" s="5129"/>
      <c r="AR2416" s="3524"/>
      <c r="AS2416" s="7136"/>
      <c r="AT2416" s="5122"/>
      <c r="AU2416" s="3524"/>
      <c r="AV2416" s="3524"/>
      <c r="AW2416" s="3524"/>
      <c r="AX2416" s="3524"/>
      <c r="AY2416" s="3524"/>
      <c r="AZ2416" s="3524"/>
      <c r="BA2416" s="5741"/>
      <c r="BB2416" s="5741"/>
      <c r="BC2416" s="4813"/>
      <c r="BD2416" s="5741"/>
      <c r="BE2416" s="5741"/>
      <c r="BF2416" s="5741"/>
      <c r="BG2416" s="5741"/>
      <c r="BH2416" s="4813"/>
      <c r="BI2416" s="3812">
        <v>123190.2</v>
      </c>
      <c r="BJ2416" s="5741"/>
      <c r="BK2416" s="5741"/>
      <c r="BL2416" s="5741"/>
      <c r="BM2416" s="5741"/>
      <c r="BN2416" s="5741"/>
      <c r="BO2416" s="5146"/>
      <c r="BP2416" s="5146"/>
      <c r="BQ2416" s="5146"/>
      <c r="BR2416" s="5146"/>
      <c r="BS2416" s="5146"/>
      <c r="BT2416" s="5146"/>
      <c r="BU2416" s="5146"/>
      <c r="BV2416" s="3812"/>
      <c r="BW2416" s="4841"/>
      <c r="BX2416" s="5146"/>
      <c r="BY2416" s="5146"/>
      <c r="BZ2416" s="5146"/>
      <c r="CA2416" s="5146"/>
      <c r="CB2416" s="5146"/>
      <c r="CC2416" s="3524"/>
      <c r="CD2416" s="3524"/>
      <c r="CE2416" s="5169"/>
      <c r="CF2416" s="5169"/>
      <c r="CG2416" s="5169"/>
      <c r="CH2416" s="5169"/>
    </row>
    <row r="2417" s="4965" customFormat="1" ht="36.75" customHeight="1" spans="1:86">
      <c r="A2417" s="3524"/>
      <c r="B2417" s="857"/>
      <c r="C2417" s="857"/>
      <c r="D2417" s="1032"/>
      <c r="E2417" s="1032"/>
      <c r="F2417" s="1032"/>
      <c r="G2417" s="1032"/>
      <c r="H2417" s="3524"/>
      <c r="I2417" s="5205"/>
      <c r="J2417" s="1032"/>
      <c r="K2417" s="5818"/>
      <c r="L2417" s="1032"/>
      <c r="M2417" s="3524"/>
      <c r="N2417" s="2680"/>
      <c r="O2417" s="2680"/>
      <c r="P2417" s="2680"/>
      <c r="Q2417" s="2680"/>
      <c r="R2417" s="2680"/>
      <c r="S2417" s="2680"/>
      <c r="T2417" s="2680"/>
      <c r="U2417" s="2680"/>
      <c r="V2417" s="2680"/>
      <c r="W2417" s="2680"/>
      <c r="X2417" s="2680"/>
      <c r="Y2417" s="4026"/>
      <c r="Z2417" s="4026"/>
      <c r="AA2417" s="2680"/>
      <c r="AB2417" s="2680"/>
      <c r="AC2417" s="3524"/>
      <c r="AD2417" s="5241"/>
      <c r="AE2417" s="5818"/>
      <c r="AF2417" s="2713"/>
      <c r="AG2417" s="3812">
        <f t="shared" si="518"/>
        <v>47309.8</v>
      </c>
      <c r="AH2417" s="857" t="s">
        <v>122</v>
      </c>
      <c r="AI2417" s="3812">
        <v>45247</v>
      </c>
      <c r="AJ2417" s="3524">
        <v>47309.8</v>
      </c>
      <c r="AK2417" s="3812">
        <v>45247</v>
      </c>
      <c r="AL2417" s="3812"/>
      <c r="AM2417" s="3812"/>
      <c r="AN2417" s="4842"/>
      <c r="AO2417" s="4842"/>
      <c r="AP2417" s="4842"/>
      <c r="AQ2417" s="5129"/>
      <c r="AR2417" s="3524"/>
      <c r="AS2417" s="7136"/>
      <c r="AT2417" s="5122"/>
      <c r="AU2417" s="3524"/>
      <c r="AV2417" s="3524"/>
      <c r="AW2417" s="3524"/>
      <c r="AX2417" s="3524"/>
      <c r="AY2417" s="3524"/>
      <c r="AZ2417" s="3524"/>
      <c r="BA2417" s="5741"/>
      <c r="BB2417" s="5741"/>
      <c r="BC2417" s="4813"/>
      <c r="BD2417" s="5741"/>
      <c r="BE2417" s="5741"/>
      <c r="BF2417" s="5741"/>
      <c r="BG2417" s="5741"/>
      <c r="BH2417" s="4813"/>
      <c r="BI2417" s="3812">
        <v>47309.8</v>
      </c>
      <c r="BJ2417" s="5741"/>
      <c r="BK2417" s="5741"/>
      <c r="BL2417" s="5741"/>
      <c r="BM2417" s="5741"/>
      <c r="BN2417" s="5741"/>
      <c r="BO2417" s="5146"/>
      <c r="BP2417" s="5146"/>
      <c r="BQ2417" s="5146"/>
      <c r="BR2417" s="5146"/>
      <c r="BS2417" s="5146"/>
      <c r="BT2417" s="5146"/>
      <c r="BU2417" s="5146"/>
      <c r="BV2417" s="3812"/>
      <c r="BW2417" s="4842"/>
      <c r="BX2417" s="5146"/>
      <c r="BY2417" s="5146"/>
      <c r="BZ2417" s="5146"/>
      <c r="CA2417" s="5146"/>
      <c r="CB2417" s="5146"/>
      <c r="CC2417" s="3524"/>
      <c r="CD2417" s="3524"/>
      <c r="CE2417" s="5169"/>
      <c r="CF2417" s="5169"/>
      <c r="CG2417" s="5169"/>
      <c r="CH2417" s="5169"/>
    </row>
    <row r="2418" s="4965" customFormat="1" ht="41.25" customHeight="1" spans="1:86">
      <c r="A2418" s="3524"/>
      <c r="B2418" s="5813"/>
      <c r="C2418" s="857"/>
      <c r="D2418" s="3742"/>
      <c r="E2418" s="3742"/>
      <c r="F2418" s="3742"/>
      <c r="G2418" s="5818"/>
      <c r="H2418" s="3524"/>
      <c r="I2418" s="5205"/>
      <c r="J2418" s="3742"/>
      <c r="K2418" s="5818"/>
      <c r="L2418" s="3742"/>
      <c r="M2418" s="3524"/>
      <c r="N2418" s="2680"/>
      <c r="O2418" s="2680"/>
      <c r="P2418" s="2680"/>
      <c r="Q2418" s="2680"/>
      <c r="R2418" s="2680"/>
      <c r="S2418" s="2680"/>
      <c r="T2418" s="2680"/>
      <c r="U2418" s="2680"/>
      <c r="V2418" s="2680"/>
      <c r="W2418" s="2680"/>
      <c r="X2418" s="2680"/>
      <c r="Y2418" s="4026"/>
      <c r="Z2418" s="4026"/>
      <c r="AA2418" s="2680"/>
      <c r="AB2418" s="2680"/>
      <c r="AC2418" s="3524"/>
      <c r="AD2418" s="5241"/>
      <c r="AE2418" s="5818"/>
      <c r="AF2418" s="2713"/>
      <c r="AG2418" s="5123">
        <f t="shared" si="518"/>
        <v>23750</v>
      </c>
      <c r="AH2418" s="3406" t="s">
        <v>349</v>
      </c>
      <c r="AI2418" s="5123"/>
      <c r="AJ2418" s="3524"/>
      <c r="AK2418" s="3812"/>
      <c r="AL2418" s="3812"/>
      <c r="AM2418" s="3812"/>
      <c r="AN2418" s="4815"/>
      <c r="AO2418" s="5123"/>
      <c r="AP2418" s="3812"/>
      <c r="AQ2418" s="5129"/>
      <c r="AR2418" s="3524"/>
      <c r="AS2418" s="7135"/>
      <c r="AT2418" s="5122"/>
      <c r="AU2418" s="3524"/>
      <c r="AV2418" s="3524"/>
      <c r="AW2418" s="3524"/>
      <c r="AX2418" s="3524"/>
      <c r="AY2418" s="3524"/>
      <c r="AZ2418" s="3524"/>
      <c r="BA2418" s="5146"/>
      <c r="BB2418" s="5146"/>
      <c r="BC2418" s="3812"/>
      <c r="BD2418" s="5146"/>
      <c r="BE2418" s="5146"/>
      <c r="BF2418" s="5146"/>
      <c r="BG2418" s="5146"/>
      <c r="BH2418" s="857"/>
      <c r="BI2418" s="5123">
        <f>AF2416-BI2416-BI2417</f>
        <v>23750</v>
      </c>
      <c r="BJ2418" s="5146"/>
      <c r="BK2418" s="5146"/>
      <c r="BL2418" s="5146"/>
      <c r="BM2418" s="5146"/>
      <c r="BN2418" s="5146"/>
      <c r="BO2418" s="5146"/>
      <c r="BP2418" s="5146"/>
      <c r="BQ2418" s="5146"/>
      <c r="BR2418" s="5146"/>
      <c r="BS2418" s="5146"/>
      <c r="BT2418" s="5146"/>
      <c r="BU2418" s="5146"/>
      <c r="BV2418" s="857"/>
      <c r="BW2418" s="5123"/>
      <c r="BX2418" s="5146"/>
      <c r="BY2418" s="5146"/>
      <c r="BZ2418" s="5146"/>
      <c r="CA2418" s="5146"/>
      <c r="CB2418" s="5146"/>
      <c r="CC2418" s="3524"/>
      <c r="CD2418" s="3524"/>
      <c r="CE2418" s="5169"/>
      <c r="CF2418" s="5169"/>
      <c r="CG2418" s="5169"/>
      <c r="CH2418" s="5169"/>
    </row>
    <row r="2419" s="4965" customFormat="1" ht="41.25" customHeight="1" spans="1:86">
      <c r="A2419" s="3524"/>
      <c r="B2419" s="5813"/>
      <c r="C2419" s="857"/>
      <c r="D2419" s="3742"/>
      <c r="E2419" s="3742"/>
      <c r="F2419" s="3742"/>
      <c r="G2419" s="5818"/>
      <c r="H2419" s="3524"/>
      <c r="I2419" s="5205"/>
      <c r="J2419" s="3742"/>
      <c r="K2419" s="5818"/>
      <c r="L2419" s="3742"/>
      <c r="M2419" s="3524"/>
      <c r="N2419" s="2680"/>
      <c r="O2419" s="2680"/>
      <c r="P2419" s="2680"/>
      <c r="Q2419" s="2680"/>
      <c r="R2419" s="2680"/>
      <c r="S2419" s="2680"/>
      <c r="T2419" s="2680"/>
      <c r="U2419" s="2680"/>
      <c r="V2419" s="2680"/>
      <c r="W2419" s="2680"/>
      <c r="X2419" s="2680"/>
      <c r="Y2419" s="4026"/>
      <c r="Z2419" s="4026"/>
      <c r="AA2419" s="2680"/>
      <c r="AB2419" s="2680"/>
      <c r="AC2419" s="4087">
        <v>3</v>
      </c>
      <c r="AD2419" s="5242" t="s">
        <v>4121</v>
      </c>
      <c r="AE2419" s="5873">
        <v>0.4</v>
      </c>
      <c r="AF2419" s="5874">
        <f>M2415*AE2419</f>
        <v>259000</v>
      </c>
      <c r="AG2419" s="4840">
        <f t="shared" si="518"/>
        <v>259000</v>
      </c>
      <c r="AH2419" s="3366" t="s">
        <v>122</v>
      </c>
      <c r="AI2419" s="4840">
        <v>45272</v>
      </c>
      <c r="AJ2419" s="4840">
        <v>259000</v>
      </c>
      <c r="AK2419" s="4840">
        <v>45272</v>
      </c>
      <c r="AL2419" s="3812">
        <v>147500</v>
      </c>
      <c r="AM2419" s="3812">
        <v>45639</v>
      </c>
      <c r="AN2419" s="4813">
        <f>SUM(BO2419:CB2419)</f>
        <v>147500</v>
      </c>
      <c r="AO2419" s="3812">
        <v>45657</v>
      </c>
      <c r="AP2419" s="3812"/>
      <c r="AQ2419" s="5129"/>
      <c r="AR2419" s="3524"/>
      <c r="AS2419" s="7135"/>
      <c r="AT2419" s="5122"/>
      <c r="AU2419" s="3524"/>
      <c r="AV2419" s="3524"/>
      <c r="AW2419" s="3524"/>
      <c r="AX2419" s="3524"/>
      <c r="AY2419" s="3524"/>
      <c r="AZ2419" s="3524"/>
      <c r="BA2419" s="5146"/>
      <c r="BB2419" s="5146"/>
      <c r="BC2419" s="3812"/>
      <c r="BD2419" s="5146"/>
      <c r="BE2419" s="5146"/>
      <c r="BF2419" s="5146"/>
      <c r="BG2419" s="5146"/>
      <c r="BH2419" s="857"/>
      <c r="BI2419" s="3812">
        <v>259000</v>
      </c>
      <c r="BJ2419" s="5146"/>
      <c r="BK2419" s="5146"/>
      <c r="BL2419" s="5146"/>
      <c r="BM2419" s="5146"/>
      <c r="BN2419" s="5146"/>
      <c r="BO2419" s="5146"/>
      <c r="BP2419" s="5146"/>
      <c r="BQ2419" s="5146"/>
      <c r="BR2419" s="5146"/>
      <c r="BS2419" s="5146"/>
      <c r="BT2419" s="5146"/>
      <c r="BU2419" s="5146"/>
      <c r="BV2419" s="857"/>
      <c r="BW2419" s="5146">
        <v>147500</v>
      </c>
      <c r="BX2419" s="5146"/>
      <c r="BY2419" s="5146"/>
      <c r="BZ2419" s="5146"/>
      <c r="CA2419" s="5146"/>
      <c r="CB2419" s="5146"/>
      <c r="CC2419" s="3524"/>
      <c r="CD2419" s="3524"/>
      <c r="CE2419" s="5169"/>
      <c r="CF2419" s="5169"/>
      <c r="CG2419" s="5169"/>
      <c r="CH2419" s="5169"/>
    </row>
    <row r="2420" s="4965" customFormat="1" ht="44.15" customHeight="1" spans="1:86">
      <c r="A2420" s="3524"/>
      <c r="B2420" s="5813"/>
      <c r="C2420" s="857"/>
      <c r="D2420" s="3742"/>
      <c r="E2420" s="3742"/>
      <c r="F2420" s="3742"/>
      <c r="G2420" s="5818"/>
      <c r="H2420" s="3524"/>
      <c r="I2420" s="5205"/>
      <c r="J2420" s="3742"/>
      <c r="K2420" s="5818"/>
      <c r="L2420" s="3742"/>
      <c r="M2420" s="3524"/>
      <c r="N2420" s="2680"/>
      <c r="O2420" s="2680"/>
      <c r="P2420" s="2680"/>
      <c r="Q2420" s="2680"/>
      <c r="R2420" s="2680"/>
      <c r="S2420" s="2680"/>
      <c r="T2420" s="2680"/>
      <c r="U2420" s="2680"/>
      <c r="V2420" s="2680"/>
      <c r="W2420" s="2680"/>
      <c r="X2420" s="2680"/>
      <c r="Y2420" s="4026"/>
      <c r="Z2420" s="4026"/>
      <c r="AA2420" s="2680"/>
      <c r="AB2420" s="2680"/>
      <c r="AC2420" s="4903"/>
      <c r="AD2420" s="5942"/>
      <c r="AE2420" s="5876"/>
      <c r="AF2420" s="5877"/>
      <c r="AG2420" s="4842"/>
      <c r="AH2420" s="3409"/>
      <c r="AI2420" s="4842"/>
      <c r="AJ2420" s="4842"/>
      <c r="AK2420" s="4842"/>
      <c r="AL2420" s="5123">
        <f>AJ2419-AL2419</f>
        <v>111500</v>
      </c>
      <c r="AM2420" s="5123"/>
      <c r="AN2420" s="4815"/>
      <c r="AO2420" s="5123"/>
      <c r="AP2420" s="3812"/>
      <c r="AQ2420" s="5122"/>
      <c r="AR2420" s="3524"/>
      <c r="AS2420" s="5129"/>
      <c r="AT2420" s="5122"/>
      <c r="AU2420" s="3524"/>
      <c r="AV2420" s="3524"/>
      <c r="AW2420" s="3524"/>
      <c r="AX2420" s="3524"/>
      <c r="AY2420" s="3524"/>
      <c r="AZ2420" s="3524"/>
      <c r="BA2420" s="5122"/>
      <c r="BB2420" s="5122"/>
      <c r="BC2420" s="3524"/>
      <c r="BD2420" s="5122"/>
      <c r="BE2420" s="5122"/>
      <c r="BF2420" s="5122"/>
      <c r="BG2420" s="5122"/>
      <c r="BH2420" s="7138"/>
      <c r="BI2420" s="5123"/>
      <c r="BJ2420" s="5122"/>
      <c r="BK2420" s="5122"/>
      <c r="BL2420" s="5122"/>
      <c r="BM2420" s="5122"/>
      <c r="BN2420" s="5122"/>
      <c r="BO2420" s="5122"/>
      <c r="BP2420" s="5122"/>
      <c r="BQ2420" s="5122"/>
      <c r="BR2420" s="5122"/>
      <c r="BS2420" s="5122"/>
      <c r="BT2420" s="7138"/>
      <c r="BU2420" s="7138"/>
      <c r="BV2420" s="5122"/>
      <c r="BW2420" s="5122"/>
      <c r="BX2420" s="5122"/>
      <c r="BY2420" s="5122"/>
      <c r="BZ2420" s="5122"/>
      <c r="CA2420" s="5122"/>
      <c r="CB2420" s="5122"/>
      <c r="CC2420" s="3524"/>
      <c r="CD2420" s="3524"/>
      <c r="CE2420" s="5169"/>
      <c r="CF2420" s="5169"/>
      <c r="CG2420" s="5169"/>
      <c r="CH2420" s="5169"/>
    </row>
    <row r="2421" s="4965" customFormat="1" ht="56.65" customHeight="1" spans="1:86">
      <c r="A2421" s="3524"/>
      <c r="B2421" s="5813"/>
      <c r="C2421" s="857"/>
      <c r="D2421" s="3742"/>
      <c r="E2421" s="3742"/>
      <c r="F2421" s="3742"/>
      <c r="G2421" s="5818"/>
      <c r="H2421" s="3524"/>
      <c r="I2421" s="5206"/>
      <c r="J2421" s="3742"/>
      <c r="K2421" s="5818"/>
      <c r="L2421" s="3742"/>
      <c r="M2421" s="3524"/>
      <c r="N2421" s="2680"/>
      <c r="O2421" s="2680"/>
      <c r="P2421" s="2680"/>
      <c r="Q2421" s="2680"/>
      <c r="R2421" s="2680"/>
      <c r="S2421" s="2680"/>
      <c r="T2421" s="2680"/>
      <c r="U2421" s="2680"/>
      <c r="V2421" s="2680"/>
      <c r="W2421" s="2680"/>
      <c r="X2421" s="2680"/>
      <c r="Y2421" s="3927"/>
      <c r="Z2421" s="3927"/>
      <c r="AA2421" s="2680"/>
      <c r="AB2421" s="2680"/>
      <c r="AC2421" s="3524">
        <v>4</v>
      </c>
      <c r="AD2421" s="5241" t="s">
        <v>4122</v>
      </c>
      <c r="AE2421" s="5870">
        <v>0.1</v>
      </c>
      <c r="AF2421" s="857">
        <f>M2415*AE2421</f>
        <v>64750</v>
      </c>
      <c r="AG2421" s="5123">
        <f>SUM(BA2421:BN2421)</f>
        <v>64750</v>
      </c>
      <c r="AH2421" s="3406" t="s">
        <v>349</v>
      </c>
      <c r="AI2421" s="5123"/>
      <c r="AJ2421" s="5123"/>
      <c r="AK2421" s="5123"/>
      <c r="AL2421" s="5123"/>
      <c r="AM2421" s="5123"/>
      <c r="AN2421" s="4815">
        <f t="shared" ref="AN2421:AN2435" si="519">SUM(BO2421:CB2421)</f>
        <v>0</v>
      </c>
      <c r="AO2421" s="5123"/>
      <c r="AP2421" s="3812">
        <f>AG2421-AN2421</f>
        <v>64750</v>
      </c>
      <c r="AQ2421" s="5122"/>
      <c r="AR2421" s="3524"/>
      <c r="AS2421" s="5129"/>
      <c r="AT2421" s="5122"/>
      <c r="AU2421" s="3524"/>
      <c r="AV2421" s="3524"/>
      <c r="AW2421" s="3524"/>
      <c r="AX2421" s="3524"/>
      <c r="AY2421" s="3524"/>
      <c r="AZ2421" s="3524"/>
      <c r="BA2421" s="5122"/>
      <c r="BB2421" s="5122"/>
      <c r="BC2421" s="3524"/>
      <c r="BD2421" s="5122"/>
      <c r="BE2421" s="5122"/>
      <c r="BF2421" s="5122"/>
      <c r="BG2421" s="5122"/>
      <c r="BH2421" s="7138"/>
      <c r="BI2421" s="5123">
        <v>64750</v>
      </c>
      <c r="BJ2421" s="5122"/>
      <c r="BK2421" s="5122"/>
      <c r="BL2421" s="5122"/>
      <c r="BM2421" s="5122"/>
      <c r="BN2421" s="5122"/>
      <c r="BO2421" s="5122"/>
      <c r="BP2421" s="5122"/>
      <c r="BQ2421" s="5122"/>
      <c r="BR2421" s="5122"/>
      <c r="BS2421" s="5122"/>
      <c r="BT2421" s="7138"/>
      <c r="BU2421" s="7138"/>
      <c r="BV2421" s="5122"/>
      <c r="BW2421" s="5122"/>
      <c r="BX2421" s="5122"/>
      <c r="BY2421" s="5122"/>
      <c r="BZ2421" s="5122"/>
      <c r="CA2421" s="5122"/>
      <c r="CB2421" s="5122"/>
      <c r="CC2421" s="3524"/>
      <c r="CD2421" s="3524"/>
      <c r="CE2421" s="5169"/>
      <c r="CF2421" s="5169"/>
      <c r="CG2421" s="5169"/>
      <c r="CH2421" s="5169"/>
    </row>
    <row r="2422" s="4965" customFormat="1" ht="40" customHeight="1" spans="1:86">
      <c r="A2422" s="3524"/>
      <c r="B2422" s="3366" t="s">
        <v>173</v>
      </c>
      <c r="C2422" s="3366">
        <v>45349</v>
      </c>
      <c r="D2422" s="5073" t="s">
        <v>4123</v>
      </c>
      <c r="E2422" s="5073" t="s">
        <v>171</v>
      </c>
      <c r="F2422" s="5073" t="s">
        <v>4124</v>
      </c>
      <c r="G2422" s="5073" t="s">
        <v>4125</v>
      </c>
      <c r="H2422" s="3366" t="s">
        <v>286</v>
      </c>
      <c r="I2422" s="5073" t="s">
        <v>4126</v>
      </c>
      <c r="J2422" s="5073" t="s">
        <v>194</v>
      </c>
      <c r="K2422" s="5073" t="s">
        <v>171</v>
      </c>
      <c r="L2422" s="5073" t="s">
        <v>4127</v>
      </c>
      <c r="M2422" s="4087">
        <f>SUM(N2422:AA2422)</f>
        <v>2950000</v>
      </c>
      <c r="N2422" s="2680">
        <v>0</v>
      </c>
      <c r="O2422" s="2680">
        <v>0</v>
      </c>
      <c r="P2422" s="3925">
        <v>950000</v>
      </c>
      <c r="Q2422" s="3925">
        <v>2000000</v>
      </c>
      <c r="R2422" s="2680">
        <v>0</v>
      </c>
      <c r="S2422" s="2680">
        <v>0</v>
      </c>
      <c r="T2422" s="5823">
        <v>0</v>
      </c>
      <c r="U2422" s="2680">
        <v>0</v>
      </c>
      <c r="V2422" s="2680">
        <v>0</v>
      </c>
      <c r="W2422" s="2680">
        <v>0</v>
      </c>
      <c r="X2422" s="2680">
        <v>0</v>
      </c>
      <c r="Y2422" s="3925">
        <v>0</v>
      </c>
      <c r="Z2422" s="3925"/>
      <c r="AA2422" s="2680">
        <v>0</v>
      </c>
      <c r="AB2422" s="2680">
        <v>0</v>
      </c>
      <c r="AC2422" s="4087">
        <v>1</v>
      </c>
      <c r="AD2422" s="5073" t="s">
        <v>4128</v>
      </c>
      <c r="AE2422" s="6001">
        <v>1</v>
      </c>
      <c r="AF2422" s="5874">
        <f>M2422*AE2422</f>
        <v>2950000</v>
      </c>
      <c r="AG2422" s="4840">
        <f>SUM(BA2422:BN2422)</f>
        <v>970000</v>
      </c>
      <c r="AH2422" s="3366" t="s">
        <v>122</v>
      </c>
      <c r="AI2422" s="4840">
        <v>45638</v>
      </c>
      <c r="AJ2422" s="4840">
        <v>970000</v>
      </c>
      <c r="AK2422" s="4840">
        <v>45638</v>
      </c>
      <c r="AL2422" s="3812">
        <v>200600</v>
      </c>
      <c r="AM2422" s="3524">
        <v>45638</v>
      </c>
      <c r="AN2422" s="3812">
        <f t="shared" si="519"/>
        <v>200600</v>
      </c>
      <c r="AO2422" s="3812">
        <v>45651</v>
      </c>
      <c r="AP2422" s="4840">
        <f>AG2422-AN2422</f>
        <v>769400</v>
      </c>
      <c r="AQ2422" s="5241" t="s">
        <v>4129</v>
      </c>
      <c r="AR2422" s="3524"/>
      <c r="AS2422" s="7135"/>
      <c r="AT2422" s="5122"/>
      <c r="AU2422" s="3524">
        <f>SUM(AG2422:AG2422)</f>
        <v>970000</v>
      </c>
      <c r="AV2422" s="3524">
        <f>SUM(AL2422:AL2422)</f>
        <v>200600</v>
      </c>
      <c r="AW2422" s="3524">
        <f>SUM(AN2422:AN2422)</f>
        <v>200600</v>
      </c>
      <c r="AX2422" s="3524">
        <f>M2422-AU2422</f>
        <v>1980000</v>
      </c>
      <c r="AY2422" s="3524">
        <f>AU2422-AV2422</f>
        <v>769400</v>
      </c>
      <c r="AZ2422" s="3524">
        <f>AV2422-AW2422</f>
        <v>0</v>
      </c>
      <c r="BA2422" s="5146"/>
      <c r="BB2422" s="5146"/>
      <c r="BC2422" s="4840">
        <v>480000</v>
      </c>
      <c r="BD2422" s="4840">
        <v>490000</v>
      </c>
      <c r="BE2422" s="5146"/>
      <c r="BF2422" s="5146"/>
      <c r="BG2422" s="5146"/>
      <c r="BH2422" s="857"/>
      <c r="BI2422" s="5146"/>
      <c r="BJ2422" s="5146"/>
      <c r="BK2422" s="5146"/>
      <c r="BL2422" s="5146"/>
      <c r="BM2422" s="5146"/>
      <c r="BN2422" s="5146"/>
      <c r="BO2422" s="5146"/>
      <c r="BP2422" s="5146"/>
      <c r="BQ2422" s="3812">
        <v>200600</v>
      </c>
      <c r="BR2422" s="5146"/>
      <c r="BS2422" s="5146"/>
      <c r="BT2422" s="5146"/>
      <c r="BU2422" s="857"/>
      <c r="BV2422" s="3406"/>
      <c r="BW2422" s="5146"/>
      <c r="BX2422" s="5146"/>
      <c r="BY2422" s="5146"/>
      <c r="BZ2422" s="5146"/>
      <c r="CA2422" s="5146"/>
      <c r="CB2422" s="5146"/>
      <c r="CC2422" s="3524"/>
      <c r="CD2422" s="3524"/>
      <c r="CE2422" s="5169"/>
      <c r="CF2422" s="5169"/>
      <c r="CG2422" s="5169"/>
      <c r="CH2422" s="5169"/>
    </row>
    <row r="2423" s="4965" customFormat="1" ht="40" customHeight="1" spans="1:86">
      <c r="A2423" s="3524"/>
      <c r="B2423" s="3408"/>
      <c r="C2423" s="3408"/>
      <c r="D2423" s="5205"/>
      <c r="E2423" s="5205"/>
      <c r="F2423" s="5205"/>
      <c r="G2423" s="5205"/>
      <c r="H2423" s="3408"/>
      <c r="I2423" s="5205"/>
      <c r="J2423" s="5205"/>
      <c r="K2423" s="5205"/>
      <c r="L2423" s="5205"/>
      <c r="M2423" s="4088"/>
      <c r="N2423" s="2680"/>
      <c r="O2423" s="2680"/>
      <c r="P2423" s="4026"/>
      <c r="Q2423" s="4026"/>
      <c r="R2423" s="2680"/>
      <c r="S2423" s="2680"/>
      <c r="T2423" s="2680"/>
      <c r="U2423" s="2680"/>
      <c r="V2423" s="2680"/>
      <c r="W2423" s="2680"/>
      <c r="X2423" s="2680"/>
      <c r="Y2423" s="3925"/>
      <c r="Z2423" s="3925"/>
      <c r="AA2423" s="2680"/>
      <c r="AB2423" s="2680"/>
      <c r="AC2423" s="4088"/>
      <c r="AD2423" s="5205"/>
      <c r="AE2423" s="6002"/>
      <c r="AF2423" s="6003"/>
      <c r="AG2423" s="4841"/>
      <c r="AH2423" s="3408"/>
      <c r="AI2423" s="4841"/>
      <c r="AJ2423" s="4841"/>
      <c r="AK2423" s="4841"/>
      <c r="AL2423" s="3812">
        <v>92400</v>
      </c>
      <c r="AM2423" s="3524">
        <v>45638</v>
      </c>
      <c r="AN2423" s="3812">
        <f t="shared" si="519"/>
        <v>92400</v>
      </c>
      <c r="AO2423" s="3812">
        <v>45651</v>
      </c>
      <c r="AP2423" s="4841"/>
      <c r="AQ2423" s="5241" t="s">
        <v>4130</v>
      </c>
      <c r="AR2423" s="3524"/>
      <c r="AS2423" s="7135"/>
      <c r="AT2423" s="5122"/>
      <c r="AU2423" s="3524"/>
      <c r="AV2423" s="3524"/>
      <c r="AW2423" s="3524"/>
      <c r="AX2423" s="3524"/>
      <c r="AY2423" s="3524"/>
      <c r="AZ2423" s="3524"/>
      <c r="BA2423" s="5146"/>
      <c r="BB2423" s="5146"/>
      <c r="BC2423" s="4841"/>
      <c r="BD2423" s="4841"/>
      <c r="BE2423" s="5146"/>
      <c r="BF2423" s="5146"/>
      <c r="BG2423" s="5146"/>
      <c r="BH2423" s="857"/>
      <c r="BI2423" s="5146"/>
      <c r="BJ2423" s="5146"/>
      <c r="BK2423" s="5146"/>
      <c r="BL2423" s="5146"/>
      <c r="BM2423" s="5146"/>
      <c r="BN2423" s="5146"/>
      <c r="BO2423" s="5146"/>
      <c r="BP2423" s="5146"/>
      <c r="BQ2423" s="3812">
        <v>92400</v>
      </c>
      <c r="BR2423" s="5146"/>
      <c r="BS2423" s="5146"/>
      <c r="BT2423" s="5146"/>
      <c r="BU2423" s="857"/>
      <c r="BV2423" s="3406"/>
      <c r="BW2423" s="5146"/>
      <c r="BX2423" s="5146"/>
      <c r="BY2423" s="5146"/>
      <c r="BZ2423" s="5146"/>
      <c r="CA2423" s="5146"/>
      <c r="CB2423" s="5146"/>
      <c r="CC2423" s="3524"/>
      <c r="CD2423" s="3524"/>
      <c r="CE2423" s="5169"/>
      <c r="CF2423" s="5169"/>
      <c r="CG2423" s="5169"/>
      <c r="CH2423" s="5169"/>
    </row>
    <row r="2424" s="4965" customFormat="1" ht="40" customHeight="1" spans="1:86">
      <c r="A2424" s="3524"/>
      <c r="B2424" s="3408"/>
      <c r="C2424" s="3408"/>
      <c r="D2424" s="5205"/>
      <c r="E2424" s="5205"/>
      <c r="F2424" s="5205"/>
      <c r="G2424" s="5205"/>
      <c r="H2424" s="3408"/>
      <c r="I2424" s="5205"/>
      <c r="J2424" s="5205"/>
      <c r="K2424" s="5205"/>
      <c r="L2424" s="5205"/>
      <c r="M2424" s="4088"/>
      <c r="N2424" s="2680"/>
      <c r="O2424" s="2680"/>
      <c r="P2424" s="4026"/>
      <c r="Q2424" s="4026"/>
      <c r="R2424" s="2680"/>
      <c r="S2424" s="2680"/>
      <c r="T2424" s="2680"/>
      <c r="U2424" s="2680"/>
      <c r="V2424" s="2680"/>
      <c r="W2424" s="2680"/>
      <c r="X2424" s="2680"/>
      <c r="Y2424" s="3925"/>
      <c r="Z2424" s="3925"/>
      <c r="AA2424" s="2680"/>
      <c r="AB2424" s="2680"/>
      <c r="AC2424" s="4088"/>
      <c r="AD2424" s="5205"/>
      <c r="AE2424" s="6002"/>
      <c r="AF2424" s="6003"/>
      <c r="AG2424" s="4841"/>
      <c r="AH2424" s="3408"/>
      <c r="AI2424" s="4841"/>
      <c r="AJ2424" s="4841"/>
      <c r="AK2424" s="4841"/>
      <c r="AL2424" s="3812">
        <v>231000</v>
      </c>
      <c r="AM2424" s="3524">
        <v>45638</v>
      </c>
      <c r="AN2424" s="3812">
        <f t="shared" si="519"/>
        <v>231000</v>
      </c>
      <c r="AO2424" s="3812">
        <v>45656</v>
      </c>
      <c r="AP2424" s="4841"/>
      <c r="AQ2424" s="5241" t="s">
        <v>4131</v>
      </c>
      <c r="AR2424" s="3524"/>
      <c r="AS2424" s="7135"/>
      <c r="AT2424" s="5122"/>
      <c r="AU2424" s="3524"/>
      <c r="AV2424" s="3524"/>
      <c r="AW2424" s="3524"/>
      <c r="AX2424" s="3524"/>
      <c r="AY2424" s="3524"/>
      <c r="AZ2424" s="3524"/>
      <c r="BA2424" s="5146"/>
      <c r="BB2424" s="5146"/>
      <c r="BC2424" s="4841"/>
      <c r="BD2424" s="4841"/>
      <c r="BE2424" s="5146"/>
      <c r="BF2424" s="5146"/>
      <c r="BG2424" s="5146"/>
      <c r="BH2424" s="857"/>
      <c r="BI2424" s="5146"/>
      <c r="BJ2424" s="5146"/>
      <c r="BK2424" s="5146"/>
      <c r="BL2424" s="5146"/>
      <c r="BM2424" s="5146"/>
      <c r="BN2424" s="5146"/>
      <c r="BO2424" s="5146"/>
      <c r="BP2424" s="5146"/>
      <c r="BQ2424" s="3812">
        <v>187000</v>
      </c>
      <c r="BR2424" s="3812">
        <v>44000</v>
      </c>
      <c r="BS2424" s="5146"/>
      <c r="BT2424" s="5146"/>
      <c r="BU2424" s="857"/>
      <c r="BV2424" s="3406"/>
      <c r="BW2424" s="5146"/>
      <c r="BX2424" s="5146"/>
      <c r="BY2424" s="5146"/>
      <c r="BZ2424" s="5146"/>
      <c r="CA2424" s="5146"/>
      <c r="CB2424" s="5146"/>
      <c r="CC2424" s="3524"/>
      <c r="CD2424" s="3524"/>
      <c r="CE2424" s="5169"/>
      <c r="CF2424" s="5169"/>
      <c r="CG2424" s="5169"/>
      <c r="CH2424" s="5169"/>
    </row>
    <row r="2425" s="4965" customFormat="1" ht="40" customHeight="1" spans="1:86">
      <c r="A2425" s="3524"/>
      <c r="B2425" s="3408"/>
      <c r="C2425" s="3408"/>
      <c r="D2425" s="5205"/>
      <c r="E2425" s="5205"/>
      <c r="F2425" s="5205"/>
      <c r="G2425" s="5205"/>
      <c r="H2425" s="3408"/>
      <c r="I2425" s="5205"/>
      <c r="J2425" s="5205"/>
      <c r="K2425" s="5205"/>
      <c r="L2425" s="5205"/>
      <c r="M2425" s="4088"/>
      <c r="N2425" s="2680"/>
      <c r="O2425" s="2680"/>
      <c r="P2425" s="4026"/>
      <c r="Q2425" s="4026"/>
      <c r="R2425" s="2680"/>
      <c r="S2425" s="2680"/>
      <c r="T2425" s="2680"/>
      <c r="U2425" s="2680"/>
      <c r="V2425" s="2680"/>
      <c r="W2425" s="2680"/>
      <c r="X2425" s="2680"/>
      <c r="Y2425" s="3925"/>
      <c r="Z2425" s="3925"/>
      <c r="AA2425" s="2680"/>
      <c r="AB2425" s="2680"/>
      <c r="AC2425" s="4088"/>
      <c r="AD2425" s="5205"/>
      <c r="AE2425" s="6002"/>
      <c r="AF2425" s="6003"/>
      <c r="AG2425" s="4841"/>
      <c r="AH2425" s="3408"/>
      <c r="AI2425" s="4841"/>
      <c r="AJ2425" s="4841"/>
      <c r="AK2425" s="4841"/>
      <c r="AL2425" s="3812">
        <v>316800</v>
      </c>
      <c r="AM2425" s="3524">
        <v>45638</v>
      </c>
      <c r="AN2425" s="3812">
        <f t="shared" si="519"/>
        <v>316800</v>
      </c>
      <c r="AO2425" s="3812">
        <v>45715</v>
      </c>
      <c r="AP2425" s="4841"/>
      <c r="AQ2425" s="5241" t="s">
        <v>4132</v>
      </c>
      <c r="AR2425" s="3524"/>
      <c r="AS2425" s="7135"/>
      <c r="AT2425" s="5122"/>
      <c r="AU2425" s="3524"/>
      <c r="AV2425" s="3524"/>
      <c r="AW2425" s="3524"/>
      <c r="AX2425" s="3524"/>
      <c r="AY2425" s="3524"/>
      <c r="AZ2425" s="3524"/>
      <c r="BA2425" s="5146"/>
      <c r="BB2425" s="5146"/>
      <c r="BC2425" s="4841"/>
      <c r="BD2425" s="4841"/>
      <c r="BE2425" s="5146"/>
      <c r="BF2425" s="5146"/>
      <c r="BG2425" s="5146"/>
      <c r="BH2425" s="857"/>
      <c r="BI2425" s="5146"/>
      <c r="BJ2425" s="5146"/>
      <c r="BK2425" s="5146"/>
      <c r="BL2425" s="5146"/>
      <c r="BM2425" s="5146"/>
      <c r="BN2425" s="5146"/>
      <c r="BO2425" s="5146"/>
      <c r="BP2425" s="5146"/>
      <c r="BQ2425" s="3812"/>
      <c r="BR2425" s="5146">
        <v>316800</v>
      </c>
      <c r="BS2425" s="5146"/>
      <c r="BT2425" s="5146"/>
      <c r="BU2425" s="857"/>
      <c r="BV2425" s="3406"/>
      <c r="BW2425" s="5146"/>
      <c r="BX2425" s="5146"/>
      <c r="BY2425" s="5146"/>
      <c r="BZ2425" s="5146"/>
      <c r="CA2425" s="5146"/>
      <c r="CB2425" s="5146"/>
      <c r="CC2425" s="3524"/>
      <c r="CD2425" s="3524"/>
      <c r="CE2425" s="5169"/>
      <c r="CF2425" s="5169"/>
      <c r="CG2425" s="5169"/>
      <c r="CH2425" s="5169"/>
    </row>
    <row r="2426" s="4965" customFormat="1" ht="40" customHeight="1" spans="1:86">
      <c r="A2426" s="3524"/>
      <c r="B2426" s="3408"/>
      <c r="C2426" s="3408"/>
      <c r="D2426" s="5205"/>
      <c r="E2426" s="5205"/>
      <c r="F2426" s="5205"/>
      <c r="G2426" s="5205"/>
      <c r="H2426" s="3408"/>
      <c r="I2426" s="5205"/>
      <c r="J2426" s="5205"/>
      <c r="K2426" s="5205"/>
      <c r="L2426" s="5205"/>
      <c r="M2426" s="4088"/>
      <c r="N2426" s="2680"/>
      <c r="O2426" s="2680"/>
      <c r="P2426" s="4026"/>
      <c r="Q2426" s="4026"/>
      <c r="R2426" s="2680"/>
      <c r="S2426" s="2680"/>
      <c r="T2426" s="2680"/>
      <c r="U2426" s="2680"/>
      <c r="V2426" s="2680"/>
      <c r="W2426" s="2680"/>
      <c r="X2426" s="2680"/>
      <c r="Y2426" s="3925"/>
      <c r="Z2426" s="3925"/>
      <c r="AA2426" s="2680"/>
      <c r="AB2426" s="2680"/>
      <c r="AC2426" s="4088"/>
      <c r="AD2426" s="5205"/>
      <c r="AE2426" s="6002"/>
      <c r="AF2426" s="6003"/>
      <c r="AG2426" s="4842"/>
      <c r="AH2426" s="3409"/>
      <c r="AI2426" s="4842"/>
      <c r="AJ2426" s="4842"/>
      <c r="AK2426" s="4842"/>
      <c r="AL2426" s="3812">
        <v>129200</v>
      </c>
      <c r="AM2426" s="3812">
        <v>45659</v>
      </c>
      <c r="AN2426" s="3812">
        <f t="shared" si="519"/>
        <v>129200</v>
      </c>
      <c r="AO2426" s="3812">
        <v>45680</v>
      </c>
      <c r="AP2426" s="4842"/>
      <c r="AQ2426" s="5241" t="s">
        <v>4133</v>
      </c>
      <c r="AR2426" s="3524"/>
      <c r="AS2426" s="7135"/>
      <c r="AT2426" s="5122"/>
      <c r="AU2426" s="3524"/>
      <c r="AV2426" s="3524"/>
      <c r="AW2426" s="3524"/>
      <c r="AX2426" s="3524"/>
      <c r="AY2426" s="3524"/>
      <c r="AZ2426" s="3524"/>
      <c r="BA2426" s="5146"/>
      <c r="BB2426" s="5146"/>
      <c r="BC2426" s="4842"/>
      <c r="BD2426" s="4842"/>
      <c r="BE2426" s="5146"/>
      <c r="BF2426" s="5146"/>
      <c r="BG2426" s="5146"/>
      <c r="BH2426" s="857"/>
      <c r="BI2426" s="5146"/>
      <c r="BJ2426" s="5146"/>
      <c r="BK2426" s="5146"/>
      <c r="BL2426" s="5146"/>
      <c r="BM2426" s="5146"/>
      <c r="BN2426" s="5146"/>
      <c r="BO2426" s="5146"/>
      <c r="BP2426" s="5146"/>
      <c r="BQ2426" s="5146"/>
      <c r="BR2426" s="5146">
        <v>129200</v>
      </c>
      <c r="BS2426" s="5146"/>
      <c r="BT2426" s="5146"/>
      <c r="BU2426" s="857"/>
      <c r="BV2426" s="857"/>
      <c r="BW2426" s="5146"/>
      <c r="BX2426" s="5146"/>
      <c r="BY2426" s="5146"/>
      <c r="BZ2426" s="5146"/>
      <c r="CA2426" s="5146"/>
      <c r="CB2426" s="5146"/>
      <c r="CC2426" s="3524"/>
      <c r="CD2426" s="3524"/>
      <c r="CE2426" s="5169"/>
      <c r="CF2426" s="5169"/>
      <c r="CG2426" s="5169"/>
      <c r="CH2426" s="5169"/>
    </row>
    <row r="2427" s="4965" customFormat="1" ht="40" customHeight="1" spans="1:86">
      <c r="A2427" s="3524"/>
      <c r="B2427" s="3408"/>
      <c r="C2427" s="3408"/>
      <c r="D2427" s="5205"/>
      <c r="E2427" s="5205"/>
      <c r="F2427" s="5205"/>
      <c r="G2427" s="5205"/>
      <c r="H2427" s="3408"/>
      <c r="I2427" s="5205"/>
      <c r="J2427" s="5205"/>
      <c r="K2427" s="5205"/>
      <c r="L2427" s="5205"/>
      <c r="M2427" s="4088"/>
      <c r="N2427" s="2680"/>
      <c r="O2427" s="2680"/>
      <c r="P2427" s="4026"/>
      <c r="Q2427" s="4026"/>
      <c r="R2427" s="2680"/>
      <c r="S2427" s="2680"/>
      <c r="T2427" s="2680"/>
      <c r="U2427" s="2680"/>
      <c r="V2427" s="2680"/>
      <c r="W2427" s="2680"/>
      <c r="X2427" s="2680"/>
      <c r="Y2427" s="3925"/>
      <c r="Z2427" s="3925"/>
      <c r="AA2427" s="2680"/>
      <c r="AB2427" s="2680"/>
      <c r="AC2427" s="4088"/>
      <c r="AD2427" s="5205"/>
      <c r="AE2427" s="6002"/>
      <c r="AF2427" s="6003"/>
      <c r="AG2427" s="4813">
        <f t="shared" ref="AG2427:AG2433" si="520">SUM(BA2427:BN2427)</f>
        <v>248200</v>
      </c>
      <c r="AH2427" s="1015" t="s">
        <v>122</v>
      </c>
      <c r="AI2427" s="4813">
        <v>45952</v>
      </c>
      <c r="AJ2427" s="4813">
        <v>248200</v>
      </c>
      <c r="AK2427" s="4813">
        <v>45952</v>
      </c>
      <c r="AL2427" s="4813">
        <v>248200</v>
      </c>
      <c r="AM2427" s="4813">
        <v>45952</v>
      </c>
      <c r="AN2427" s="4813">
        <f t="shared" si="519"/>
        <v>248200</v>
      </c>
      <c r="AO2427" s="3812">
        <v>46007</v>
      </c>
      <c r="AP2427" s="3812">
        <f>AG2427-AL2427</f>
        <v>0</v>
      </c>
      <c r="AQ2427" s="5241" t="s">
        <v>4134</v>
      </c>
      <c r="AR2427" s="3524"/>
      <c r="AS2427" s="7135"/>
      <c r="AT2427" s="5122"/>
      <c r="AU2427" s="3524"/>
      <c r="AV2427" s="3524"/>
      <c r="AW2427" s="3524"/>
      <c r="AX2427" s="3524"/>
      <c r="AY2427" s="3524"/>
      <c r="AZ2427" s="3524"/>
      <c r="BA2427" s="5146"/>
      <c r="BB2427" s="5146"/>
      <c r="BC2427" s="4813">
        <v>248200</v>
      </c>
      <c r="BD2427" s="4813"/>
      <c r="BE2427" s="5146"/>
      <c r="BF2427" s="5146"/>
      <c r="BG2427" s="5146"/>
      <c r="BH2427" s="857"/>
      <c r="BI2427" s="5146"/>
      <c r="BJ2427" s="5146"/>
      <c r="BK2427" s="5146"/>
      <c r="BL2427" s="5146"/>
      <c r="BM2427" s="5146"/>
      <c r="BN2427" s="5146"/>
      <c r="BO2427" s="5146"/>
      <c r="BP2427" s="5146"/>
      <c r="BQ2427" s="4813">
        <v>248200</v>
      </c>
      <c r="BR2427" s="4813"/>
      <c r="BS2427" s="5146"/>
      <c r="BT2427" s="5146"/>
      <c r="BU2427" s="857"/>
      <c r="BV2427" s="3406"/>
      <c r="BW2427" s="5146"/>
      <c r="BX2427" s="5146"/>
      <c r="BY2427" s="5146"/>
      <c r="BZ2427" s="5146"/>
      <c r="CA2427" s="5146"/>
      <c r="CB2427" s="5146"/>
      <c r="CC2427" s="3524"/>
      <c r="CD2427" s="3524"/>
      <c r="CE2427" s="5169"/>
      <c r="CF2427" s="5169"/>
      <c r="CG2427" s="5169"/>
      <c r="CH2427" s="5169"/>
    </row>
    <row r="2428" s="4965" customFormat="1" ht="40" customHeight="1" spans="1:86">
      <c r="A2428" s="3524"/>
      <c r="B2428" s="3408"/>
      <c r="C2428" s="3408"/>
      <c r="D2428" s="5205"/>
      <c r="E2428" s="5205"/>
      <c r="F2428" s="5205"/>
      <c r="G2428" s="5205"/>
      <c r="H2428" s="3408"/>
      <c r="I2428" s="5205"/>
      <c r="J2428" s="5205"/>
      <c r="K2428" s="5205"/>
      <c r="L2428" s="5205"/>
      <c r="M2428" s="4088"/>
      <c r="N2428" s="2680"/>
      <c r="O2428" s="2680"/>
      <c r="P2428" s="4026"/>
      <c r="Q2428" s="4026"/>
      <c r="R2428" s="2680"/>
      <c r="S2428" s="2680"/>
      <c r="T2428" s="2680"/>
      <c r="U2428" s="2680"/>
      <c r="V2428" s="2680"/>
      <c r="W2428" s="2680"/>
      <c r="X2428" s="2680"/>
      <c r="Y2428" s="3925"/>
      <c r="Z2428" s="3925"/>
      <c r="AA2428" s="2680"/>
      <c r="AB2428" s="2680"/>
      <c r="AC2428" s="4088"/>
      <c r="AD2428" s="5205"/>
      <c r="AE2428" s="6002"/>
      <c r="AF2428" s="6003"/>
      <c r="AG2428" s="4813">
        <f t="shared" si="520"/>
        <v>280600</v>
      </c>
      <c r="AH2428" s="1015" t="s">
        <v>122</v>
      </c>
      <c r="AI2428" s="4813">
        <v>45952</v>
      </c>
      <c r="AJ2428" s="4813">
        <v>280600</v>
      </c>
      <c r="AK2428" s="4813">
        <v>45952</v>
      </c>
      <c r="AL2428" s="4813">
        <v>280600</v>
      </c>
      <c r="AM2428" s="4813">
        <v>45952</v>
      </c>
      <c r="AN2428" s="3812">
        <f t="shared" si="519"/>
        <v>280600</v>
      </c>
      <c r="AO2428" s="3812">
        <v>45960</v>
      </c>
      <c r="AP2428" s="3812"/>
      <c r="AQ2428" s="5241" t="s">
        <v>4135</v>
      </c>
      <c r="AR2428" s="3524"/>
      <c r="AS2428" s="7135"/>
      <c r="AT2428" s="5122"/>
      <c r="AU2428" s="3524"/>
      <c r="AV2428" s="3524"/>
      <c r="AW2428" s="3524"/>
      <c r="AX2428" s="3524"/>
      <c r="AY2428" s="3524"/>
      <c r="AZ2428" s="3524"/>
      <c r="BA2428" s="5146"/>
      <c r="BB2428" s="5146"/>
      <c r="BC2428" s="4813">
        <v>280600</v>
      </c>
      <c r="BD2428" s="4813"/>
      <c r="BE2428" s="5146"/>
      <c r="BF2428" s="5146"/>
      <c r="BG2428" s="5146"/>
      <c r="BH2428" s="857"/>
      <c r="BI2428" s="5146"/>
      <c r="BJ2428" s="5146"/>
      <c r="BK2428" s="5146"/>
      <c r="BL2428" s="5146"/>
      <c r="BM2428" s="5146"/>
      <c r="BN2428" s="5146"/>
      <c r="BO2428" s="5146"/>
      <c r="BP2428" s="5146"/>
      <c r="BQ2428" s="4813">
        <v>280600</v>
      </c>
      <c r="BR2428" s="4813"/>
      <c r="BS2428" s="5146"/>
      <c r="BT2428" s="5146"/>
      <c r="BU2428" s="857"/>
      <c r="BV2428" s="3406"/>
      <c r="BW2428" s="5146"/>
      <c r="BX2428" s="5146"/>
      <c r="BY2428" s="5146"/>
      <c r="BZ2428" s="5146"/>
      <c r="CA2428" s="5146"/>
      <c r="CB2428" s="5146"/>
      <c r="CC2428" s="3524"/>
      <c r="CD2428" s="3524"/>
      <c r="CE2428" s="5169"/>
      <c r="CF2428" s="5169"/>
      <c r="CG2428" s="5169"/>
      <c r="CH2428" s="5169"/>
    </row>
    <row r="2429" s="4965" customFormat="1" ht="40" customHeight="1" spans="1:86">
      <c r="A2429" s="3524"/>
      <c r="B2429" s="3408"/>
      <c r="C2429" s="3408"/>
      <c r="D2429" s="5205"/>
      <c r="E2429" s="5205"/>
      <c r="F2429" s="5205"/>
      <c r="G2429" s="5205"/>
      <c r="H2429" s="3408"/>
      <c r="I2429" s="5205"/>
      <c r="J2429" s="5205"/>
      <c r="K2429" s="5205"/>
      <c r="L2429" s="5205"/>
      <c r="M2429" s="4088"/>
      <c r="N2429" s="2680"/>
      <c r="O2429" s="2680"/>
      <c r="P2429" s="4026"/>
      <c r="Q2429" s="4026"/>
      <c r="R2429" s="2680"/>
      <c r="S2429" s="2680"/>
      <c r="T2429" s="2680"/>
      <c r="U2429" s="2680"/>
      <c r="V2429" s="2680"/>
      <c r="W2429" s="2680"/>
      <c r="X2429" s="2680"/>
      <c r="Y2429" s="3925"/>
      <c r="Z2429" s="3925"/>
      <c r="AA2429" s="2680"/>
      <c r="AB2429" s="2680"/>
      <c r="AC2429" s="4088"/>
      <c r="AD2429" s="5205"/>
      <c r="AE2429" s="6002"/>
      <c r="AF2429" s="6003"/>
      <c r="AG2429" s="4813">
        <f t="shared" si="520"/>
        <v>72500</v>
      </c>
      <c r="AH2429" s="1015" t="s">
        <v>122</v>
      </c>
      <c r="AI2429" s="4813">
        <v>45952</v>
      </c>
      <c r="AJ2429" s="4813">
        <v>72500</v>
      </c>
      <c r="AK2429" s="4813">
        <v>45952</v>
      </c>
      <c r="AL2429" s="4813">
        <v>72500</v>
      </c>
      <c r="AM2429" s="4813">
        <v>45952</v>
      </c>
      <c r="AN2429" s="3812">
        <f t="shared" si="519"/>
        <v>72500</v>
      </c>
      <c r="AO2429" s="3812">
        <v>45959</v>
      </c>
      <c r="AP2429" s="3812"/>
      <c r="AQ2429" s="5241" t="s">
        <v>4136</v>
      </c>
      <c r="AR2429" s="3524"/>
      <c r="AS2429" s="7135"/>
      <c r="AT2429" s="5122"/>
      <c r="AU2429" s="3524"/>
      <c r="AV2429" s="3524"/>
      <c r="AW2429" s="3524"/>
      <c r="AX2429" s="3524"/>
      <c r="AY2429" s="3524"/>
      <c r="AZ2429" s="3524"/>
      <c r="BA2429" s="5146"/>
      <c r="BB2429" s="5146"/>
      <c r="BC2429" s="4813">
        <v>72500</v>
      </c>
      <c r="BD2429" s="4813"/>
      <c r="BE2429" s="5146"/>
      <c r="BF2429" s="5146"/>
      <c r="BG2429" s="5146"/>
      <c r="BH2429" s="857"/>
      <c r="BI2429" s="5146"/>
      <c r="BJ2429" s="5146"/>
      <c r="BK2429" s="5146"/>
      <c r="BL2429" s="5146"/>
      <c r="BM2429" s="5146"/>
      <c r="BN2429" s="5146"/>
      <c r="BO2429" s="5146"/>
      <c r="BP2429" s="5146"/>
      <c r="BQ2429" s="4813">
        <v>72500</v>
      </c>
      <c r="BR2429" s="4813"/>
      <c r="BS2429" s="5146"/>
      <c r="BT2429" s="5146"/>
      <c r="BU2429" s="857"/>
      <c r="BV2429" s="3406"/>
      <c r="BW2429" s="5146"/>
      <c r="BX2429" s="5146"/>
      <c r="BY2429" s="5146"/>
      <c r="BZ2429" s="5146"/>
      <c r="CA2429" s="5146"/>
      <c r="CB2429" s="5146"/>
      <c r="CC2429" s="3524"/>
      <c r="CD2429" s="3524"/>
      <c r="CE2429" s="5169"/>
      <c r="CF2429" s="5169"/>
      <c r="CG2429" s="5169"/>
      <c r="CH2429" s="5169"/>
    </row>
    <row r="2430" s="4965" customFormat="1" ht="40" customHeight="1" spans="1:86">
      <c r="A2430" s="3524"/>
      <c r="B2430" s="3408"/>
      <c r="C2430" s="3408"/>
      <c r="D2430" s="5205"/>
      <c r="E2430" s="5205"/>
      <c r="F2430" s="5205"/>
      <c r="G2430" s="5205"/>
      <c r="H2430" s="3408"/>
      <c r="I2430" s="5205"/>
      <c r="J2430" s="5205"/>
      <c r="K2430" s="5205"/>
      <c r="L2430" s="5205"/>
      <c r="M2430" s="4088"/>
      <c r="N2430" s="2680"/>
      <c r="O2430" s="2680"/>
      <c r="P2430" s="4026"/>
      <c r="Q2430" s="4026"/>
      <c r="R2430" s="2680"/>
      <c r="S2430" s="2680"/>
      <c r="T2430" s="2680"/>
      <c r="U2430" s="2680"/>
      <c r="V2430" s="2680"/>
      <c r="W2430" s="2680"/>
      <c r="X2430" s="2680"/>
      <c r="Y2430" s="3925"/>
      <c r="Z2430" s="3925"/>
      <c r="AA2430" s="2680"/>
      <c r="AB2430" s="2680"/>
      <c r="AC2430" s="4088"/>
      <c r="AD2430" s="5205"/>
      <c r="AE2430" s="6002"/>
      <c r="AF2430" s="6003"/>
      <c r="AG2430" s="4813">
        <f t="shared" si="520"/>
        <v>280600</v>
      </c>
      <c r="AH2430" s="1015" t="s">
        <v>122</v>
      </c>
      <c r="AI2430" s="4813">
        <v>45952</v>
      </c>
      <c r="AJ2430" s="4813">
        <v>280600</v>
      </c>
      <c r="AK2430" s="4813">
        <v>45952</v>
      </c>
      <c r="AL2430" s="4813">
        <v>280600</v>
      </c>
      <c r="AM2430" s="4813">
        <v>45952</v>
      </c>
      <c r="AN2430" s="3812">
        <f t="shared" si="519"/>
        <v>280600</v>
      </c>
      <c r="AO2430" s="3812">
        <v>45980</v>
      </c>
      <c r="AP2430" s="3812"/>
      <c r="AQ2430" s="5241" t="s">
        <v>4137</v>
      </c>
      <c r="AR2430" s="3524"/>
      <c r="AS2430" s="7135"/>
      <c r="AT2430" s="5122"/>
      <c r="AU2430" s="3524"/>
      <c r="AV2430" s="3524"/>
      <c r="AW2430" s="3524"/>
      <c r="AX2430" s="3524"/>
      <c r="AY2430" s="3524"/>
      <c r="AZ2430" s="3524"/>
      <c r="BA2430" s="5146"/>
      <c r="BB2430" s="5146"/>
      <c r="BC2430" s="4813">
        <v>280600</v>
      </c>
      <c r="BD2430" s="4813"/>
      <c r="BE2430" s="5146"/>
      <c r="BF2430" s="5146"/>
      <c r="BG2430" s="5146"/>
      <c r="BH2430" s="857"/>
      <c r="BI2430" s="5146"/>
      <c r="BJ2430" s="5146"/>
      <c r="BK2430" s="5146"/>
      <c r="BL2430" s="5146"/>
      <c r="BM2430" s="5146"/>
      <c r="BN2430" s="5146"/>
      <c r="BO2430" s="5146"/>
      <c r="BP2430" s="5146"/>
      <c r="BQ2430" s="4813">
        <v>280600</v>
      </c>
      <c r="BR2430" s="4813"/>
      <c r="BS2430" s="5146"/>
      <c r="BT2430" s="5146"/>
      <c r="BU2430" s="857"/>
      <c r="BV2430" s="3406"/>
      <c r="BW2430" s="5146"/>
      <c r="BX2430" s="5146"/>
      <c r="BY2430" s="5146"/>
      <c r="BZ2430" s="5146"/>
      <c r="CA2430" s="5146"/>
      <c r="CB2430" s="5146"/>
      <c r="CC2430" s="3524"/>
      <c r="CD2430" s="3524"/>
      <c r="CE2430" s="5169"/>
      <c r="CF2430" s="5169"/>
      <c r="CG2430" s="5169"/>
      <c r="CH2430" s="5169"/>
    </row>
    <row r="2431" s="4965" customFormat="1" ht="40" customHeight="1" spans="1:86">
      <c r="A2431" s="3524"/>
      <c r="B2431" s="3408"/>
      <c r="C2431" s="3408"/>
      <c r="D2431" s="5205"/>
      <c r="E2431" s="5205"/>
      <c r="F2431" s="5205"/>
      <c r="G2431" s="5205"/>
      <c r="H2431" s="3408"/>
      <c r="I2431" s="5205"/>
      <c r="J2431" s="5205"/>
      <c r="K2431" s="5205"/>
      <c r="L2431" s="5205"/>
      <c r="M2431" s="4088"/>
      <c r="N2431" s="2680"/>
      <c r="O2431" s="2680"/>
      <c r="P2431" s="4026"/>
      <c r="Q2431" s="4026"/>
      <c r="R2431" s="2680"/>
      <c r="S2431" s="2680"/>
      <c r="T2431" s="2680"/>
      <c r="U2431" s="2680"/>
      <c r="V2431" s="2680"/>
      <c r="W2431" s="2680"/>
      <c r="X2431" s="2680"/>
      <c r="Y2431" s="3925"/>
      <c r="Z2431" s="3925"/>
      <c r="AA2431" s="2680"/>
      <c r="AB2431" s="2680"/>
      <c r="AC2431" s="4088"/>
      <c r="AD2431" s="5205"/>
      <c r="AE2431" s="6002"/>
      <c r="AF2431" s="6003"/>
      <c r="AG2431" s="4813">
        <f t="shared" si="520"/>
        <v>631600</v>
      </c>
      <c r="AH2431" s="1015" t="s">
        <v>122</v>
      </c>
      <c r="AI2431" s="4813">
        <v>45952</v>
      </c>
      <c r="AJ2431" s="4813">
        <v>631600</v>
      </c>
      <c r="AK2431" s="4813">
        <v>45952</v>
      </c>
      <c r="AL2431" s="4813">
        <v>631600</v>
      </c>
      <c r="AM2431" s="4813">
        <v>45952</v>
      </c>
      <c r="AN2431" s="3812">
        <f t="shared" si="519"/>
        <v>631600</v>
      </c>
      <c r="AO2431" s="3812">
        <v>45960</v>
      </c>
      <c r="AP2431" s="3812"/>
      <c r="AQ2431" s="5241" t="s">
        <v>4138</v>
      </c>
      <c r="AR2431" s="3524"/>
      <c r="AS2431" s="7135"/>
      <c r="AT2431" s="5122"/>
      <c r="AU2431" s="3524"/>
      <c r="AV2431" s="3524"/>
      <c r="AW2431" s="3524"/>
      <c r="AX2431" s="3524"/>
      <c r="AY2431" s="3524"/>
      <c r="AZ2431" s="3524"/>
      <c r="BA2431" s="5146"/>
      <c r="BB2431" s="5146"/>
      <c r="BC2431" s="4813"/>
      <c r="BD2431" s="4813">
        <v>631600</v>
      </c>
      <c r="BE2431" s="5146"/>
      <c r="BF2431" s="5146"/>
      <c r="BG2431" s="5146"/>
      <c r="BH2431" s="857"/>
      <c r="BI2431" s="5146"/>
      <c r="BJ2431" s="5146"/>
      <c r="BK2431" s="5146"/>
      <c r="BL2431" s="5146"/>
      <c r="BM2431" s="5146"/>
      <c r="BN2431" s="5146"/>
      <c r="BO2431" s="5146"/>
      <c r="BP2431" s="5146"/>
      <c r="BQ2431" s="4813"/>
      <c r="BR2431" s="4813">
        <v>631600</v>
      </c>
      <c r="BS2431" s="5146"/>
      <c r="BT2431" s="5146"/>
      <c r="BU2431" s="857"/>
      <c r="BV2431" s="3406"/>
      <c r="BW2431" s="5146"/>
      <c r="BX2431" s="5146"/>
      <c r="BY2431" s="5146"/>
      <c r="BZ2431" s="5146"/>
      <c r="CA2431" s="5146"/>
      <c r="CB2431" s="5146"/>
      <c r="CC2431" s="3524"/>
      <c r="CD2431" s="3524"/>
      <c r="CE2431" s="5169"/>
      <c r="CF2431" s="5169"/>
      <c r="CG2431" s="5169"/>
      <c r="CH2431" s="5169"/>
    </row>
    <row r="2432" s="4965" customFormat="1" ht="40" customHeight="1" spans="1:86">
      <c r="A2432" s="3524"/>
      <c r="B2432" s="3408"/>
      <c r="C2432" s="3408"/>
      <c r="D2432" s="5205"/>
      <c r="E2432" s="5205"/>
      <c r="F2432" s="5205"/>
      <c r="G2432" s="5205"/>
      <c r="H2432" s="3408"/>
      <c r="I2432" s="5205"/>
      <c r="J2432" s="5205"/>
      <c r="K2432" s="5205"/>
      <c r="L2432" s="5205"/>
      <c r="M2432" s="4088"/>
      <c r="N2432" s="2680"/>
      <c r="O2432" s="2680"/>
      <c r="P2432" s="4026"/>
      <c r="Q2432" s="4026"/>
      <c r="R2432" s="2680"/>
      <c r="S2432" s="2680"/>
      <c r="T2432" s="2680"/>
      <c r="U2432" s="2680"/>
      <c r="V2432" s="2680"/>
      <c r="W2432" s="2680"/>
      <c r="X2432" s="2680"/>
      <c r="Y2432" s="3925"/>
      <c r="Z2432" s="3925"/>
      <c r="AA2432" s="2680"/>
      <c r="AB2432" s="2680"/>
      <c r="AC2432" s="4088"/>
      <c r="AD2432" s="5205"/>
      <c r="AE2432" s="6002"/>
      <c r="AF2432" s="6003"/>
      <c r="AG2432" s="4813">
        <f t="shared" si="520"/>
        <v>276500</v>
      </c>
      <c r="AH2432" s="1015" t="s">
        <v>122</v>
      </c>
      <c r="AI2432" s="4813">
        <v>45952</v>
      </c>
      <c r="AJ2432" s="4813">
        <v>276500</v>
      </c>
      <c r="AK2432" s="4813">
        <v>45952</v>
      </c>
      <c r="AL2432" s="4813">
        <v>276500</v>
      </c>
      <c r="AM2432" s="4813">
        <v>45952</v>
      </c>
      <c r="AN2432" s="3812">
        <f t="shared" si="519"/>
        <v>276500</v>
      </c>
      <c r="AO2432" s="3812">
        <v>45961</v>
      </c>
      <c r="AP2432" s="3812"/>
      <c r="AQ2432" s="5241" t="s">
        <v>4139</v>
      </c>
      <c r="AR2432" s="3524"/>
      <c r="AS2432" s="7135"/>
      <c r="AT2432" s="5122"/>
      <c r="AU2432" s="3524"/>
      <c r="AV2432" s="3524"/>
      <c r="AW2432" s="3524"/>
      <c r="AX2432" s="3524"/>
      <c r="AY2432" s="3524"/>
      <c r="AZ2432" s="3524"/>
      <c r="BA2432" s="5146"/>
      <c r="BB2432" s="5146"/>
      <c r="BC2432" s="4813"/>
      <c r="BD2432" s="4813">
        <v>276500</v>
      </c>
      <c r="BE2432" s="5146"/>
      <c r="BF2432" s="5146"/>
      <c r="BG2432" s="5146"/>
      <c r="BH2432" s="857"/>
      <c r="BI2432" s="5146"/>
      <c r="BJ2432" s="5146"/>
      <c r="BK2432" s="5146"/>
      <c r="BL2432" s="5146"/>
      <c r="BM2432" s="5146"/>
      <c r="BN2432" s="5146"/>
      <c r="BO2432" s="5146"/>
      <c r="BP2432" s="5146"/>
      <c r="BQ2432" s="4813"/>
      <c r="BR2432" s="4813">
        <v>276500</v>
      </c>
      <c r="BS2432" s="5146"/>
      <c r="BT2432" s="5146"/>
      <c r="BU2432" s="857"/>
      <c r="BV2432" s="3406"/>
      <c r="BW2432" s="5146"/>
      <c r="BX2432" s="5146"/>
      <c r="BY2432" s="5146"/>
      <c r="BZ2432" s="5146"/>
      <c r="CA2432" s="5146"/>
      <c r="CB2432" s="5146"/>
      <c r="CC2432" s="3524"/>
      <c r="CD2432" s="3524"/>
      <c r="CE2432" s="5169"/>
      <c r="CF2432" s="5169"/>
      <c r="CG2432" s="5169"/>
      <c r="CH2432" s="5169"/>
    </row>
    <row r="2433" s="4965" customFormat="1" ht="40" customHeight="1" spans="1:86">
      <c r="A2433" s="3524"/>
      <c r="B2433" s="3408"/>
      <c r="C2433" s="3408"/>
      <c r="D2433" s="5205"/>
      <c r="E2433" s="5205"/>
      <c r="F2433" s="5205"/>
      <c r="G2433" s="5205"/>
      <c r="H2433" s="3408"/>
      <c r="I2433" s="5205"/>
      <c r="J2433" s="5205"/>
      <c r="K2433" s="5205"/>
      <c r="L2433" s="5205"/>
      <c r="M2433" s="4088"/>
      <c r="N2433" s="2680"/>
      <c r="O2433" s="2680"/>
      <c r="P2433" s="4026"/>
      <c r="Q2433" s="4026"/>
      <c r="R2433" s="2680"/>
      <c r="S2433" s="2680"/>
      <c r="T2433" s="2680"/>
      <c r="U2433" s="2680"/>
      <c r="V2433" s="2680"/>
      <c r="W2433" s="2680"/>
      <c r="X2433" s="2680"/>
      <c r="Y2433" s="3925"/>
      <c r="Z2433" s="3925"/>
      <c r="AA2433" s="2680"/>
      <c r="AB2433" s="2680"/>
      <c r="AC2433" s="4088"/>
      <c r="AD2433" s="5205"/>
      <c r="AE2433" s="6002"/>
      <c r="AF2433" s="6003"/>
      <c r="AG2433" s="3812">
        <f t="shared" si="520"/>
        <v>0</v>
      </c>
      <c r="AH2433" s="857"/>
      <c r="AI2433" s="3812"/>
      <c r="AJ2433" s="3812"/>
      <c r="AK2433" s="3812"/>
      <c r="AL2433" s="3812"/>
      <c r="AM2433" s="3524"/>
      <c r="AN2433" s="3812">
        <f t="shared" si="519"/>
        <v>0</v>
      </c>
      <c r="AO2433" s="5123"/>
      <c r="AP2433" s="3812"/>
      <c r="AQ2433" s="5241"/>
      <c r="AR2433" s="3524"/>
      <c r="AS2433" s="7135"/>
      <c r="AT2433" s="5122"/>
      <c r="AU2433" s="3524"/>
      <c r="AV2433" s="3524"/>
      <c r="AW2433" s="3524"/>
      <c r="AX2433" s="3524"/>
      <c r="AY2433" s="3524"/>
      <c r="AZ2433" s="3524"/>
      <c r="BA2433" s="5146"/>
      <c r="BB2433" s="5146"/>
      <c r="BC2433" s="5123"/>
      <c r="BD2433" s="5146"/>
      <c r="BE2433" s="5146"/>
      <c r="BF2433" s="5146"/>
      <c r="BG2433" s="5146"/>
      <c r="BH2433" s="857"/>
      <c r="BI2433" s="5146"/>
      <c r="BJ2433" s="5146"/>
      <c r="BK2433" s="5146"/>
      <c r="BL2433" s="5146"/>
      <c r="BM2433" s="5146"/>
      <c r="BN2433" s="5146"/>
      <c r="BO2433" s="5146"/>
      <c r="BP2433" s="5146"/>
      <c r="BQ2433" s="5146"/>
      <c r="BR2433" s="5146"/>
      <c r="BS2433" s="5146"/>
      <c r="BT2433" s="5146"/>
      <c r="BU2433" s="857"/>
      <c r="BV2433" s="3406"/>
      <c r="BW2433" s="5146"/>
      <c r="BX2433" s="5146"/>
      <c r="BY2433" s="5146"/>
      <c r="BZ2433" s="5146"/>
      <c r="CA2433" s="5146"/>
      <c r="CB2433" s="5146"/>
      <c r="CC2433" s="3524"/>
      <c r="CD2433" s="3524"/>
      <c r="CE2433" s="5169"/>
      <c r="CF2433" s="5169"/>
      <c r="CG2433" s="5169"/>
      <c r="CH2433" s="5169"/>
    </row>
    <row r="2434" s="4965" customFormat="1" ht="40" customHeight="1" spans="1:86">
      <c r="A2434" s="3524"/>
      <c r="B2434" s="3409"/>
      <c r="C2434" s="3409"/>
      <c r="D2434" s="5206"/>
      <c r="E2434" s="5206"/>
      <c r="F2434" s="5206"/>
      <c r="G2434" s="5206"/>
      <c r="H2434" s="3409"/>
      <c r="I2434" s="5205"/>
      <c r="J2434" s="5206"/>
      <c r="K2434" s="5206"/>
      <c r="L2434" s="5206"/>
      <c r="M2434" s="4903"/>
      <c r="N2434" s="2680"/>
      <c r="O2434" s="2680"/>
      <c r="P2434" s="3927"/>
      <c r="Q2434" s="3927"/>
      <c r="R2434" s="2680"/>
      <c r="S2434" s="2680"/>
      <c r="T2434" s="2680"/>
      <c r="U2434" s="2680"/>
      <c r="V2434" s="2680"/>
      <c r="W2434" s="2680"/>
      <c r="X2434" s="2680"/>
      <c r="Y2434" s="3925"/>
      <c r="Z2434" s="3925"/>
      <c r="AA2434" s="2680"/>
      <c r="AB2434" s="2680"/>
      <c r="AC2434" s="4088"/>
      <c r="AD2434" s="5205"/>
      <c r="AE2434" s="6002"/>
      <c r="AF2434" s="6003"/>
      <c r="AG2434" s="3812">
        <f t="shared" ref="AG2434:AG2439" si="521">SUM(BA2434:BN2434)</f>
        <v>0</v>
      </c>
      <c r="AH2434" s="857"/>
      <c r="AI2434" s="3812"/>
      <c r="AJ2434" s="3812"/>
      <c r="AK2434" s="3812"/>
      <c r="AL2434" s="3812"/>
      <c r="AM2434" s="3524"/>
      <c r="AN2434" s="3812">
        <f t="shared" si="519"/>
        <v>0</v>
      </c>
      <c r="AO2434" s="5123"/>
      <c r="AP2434" s="3812"/>
      <c r="AQ2434" s="5241"/>
      <c r="AR2434" s="3524"/>
      <c r="AS2434" s="7135"/>
      <c r="AT2434" s="5122"/>
      <c r="AU2434" s="3524"/>
      <c r="AV2434" s="3524"/>
      <c r="AW2434" s="3524"/>
      <c r="AX2434" s="3524"/>
      <c r="AY2434" s="3524"/>
      <c r="AZ2434" s="3524"/>
      <c r="BA2434" s="5146"/>
      <c r="BB2434" s="5146"/>
      <c r="BC2434" s="5123"/>
      <c r="BD2434" s="5146"/>
      <c r="BE2434" s="5146"/>
      <c r="BF2434" s="5146"/>
      <c r="BG2434" s="5146"/>
      <c r="BH2434" s="857"/>
      <c r="BI2434" s="5146"/>
      <c r="BJ2434" s="5146"/>
      <c r="BK2434" s="5146"/>
      <c r="BL2434" s="5146"/>
      <c r="BM2434" s="5146"/>
      <c r="BN2434" s="5146"/>
      <c r="BO2434" s="5146"/>
      <c r="BP2434" s="5146"/>
      <c r="BQ2434" s="5146"/>
      <c r="BR2434" s="5146"/>
      <c r="BS2434" s="5146"/>
      <c r="BT2434" s="5146"/>
      <c r="BU2434" s="857"/>
      <c r="BV2434" s="3406"/>
      <c r="BW2434" s="5146"/>
      <c r="BX2434" s="5146"/>
      <c r="BY2434" s="5146"/>
      <c r="BZ2434" s="5146"/>
      <c r="CA2434" s="5146"/>
      <c r="CB2434" s="5146"/>
      <c r="CC2434" s="3524"/>
      <c r="CD2434" s="3524"/>
      <c r="CE2434" s="5169"/>
      <c r="CF2434" s="5169"/>
      <c r="CG2434" s="5169"/>
      <c r="CH2434" s="5169"/>
    </row>
    <row r="2435" s="4965" customFormat="1" ht="41.65" customHeight="1" spans="1:86">
      <c r="A2435" s="3524"/>
      <c r="B2435" s="857" t="s">
        <v>173</v>
      </c>
      <c r="C2435" s="857">
        <v>44550</v>
      </c>
      <c r="D2435" s="1032" t="s">
        <v>4140</v>
      </c>
      <c r="E2435" s="1032" t="s">
        <v>171</v>
      </c>
      <c r="F2435" s="1032" t="s">
        <v>4141</v>
      </c>
      <c r="G2435" s="1032" t="s">
        <v>4142</v>
      </c>
      <c r="H2435" s="3524" t="s">
        <v>31</v>
      </c>
      <c r="I2435" s="4840"/>
      <c r="J2435" s="1032" t="s">
        <v>4143</v>
      </c>
      <c r="K2435" s="5818">
        <v>302426.47</v>
      </c>
      <c r="L2435" s="1032" t="s">
        <v>3095</v>
      </c>
      <c r="M2435" s="3524">
        <f>SUM(N2435:AA2440)</f>
        <v>2116985.27</v>
      </c>
      <c r="N2435" s="2680">
        <v>0</v>
      </c>
      <c r="O2435" s="2680">
        <v>0</v>
      </c>
      <c r="P2435" s="2680">
        <v>0</v>
      </c>
      <c r="Q2435" s="2680">
        <v>0</v>
      </c>
      <c r="R2435" s="2680">
        <v>0</v>
      </c>
      <c r="S2435" s="2680">
        <v>0</v>
      </c>
      <c r="T2435" s="5823">
        <v>0</v>
      </c>
      <c r="U2435" s="2680">
        <v>2116985.27</v>
      </c>
      <c r="V2435" s="2680">
        <v>0</v>
      </c>
      <c r="W2435" s="2680">
        <v>0</v>
      </c>
      <c r="X2435" s="2680">
        <v>0</v>
      </c>
      <c r="Y2435" s="3925"/>
      <c r="Z2435" s="3925"/>
      <c r="AA2435" s="2680">
        <v>0</v>
      </c>
      <c r="AB2435" s="2680">
        <v>0</v>
      </c>
      <c r="AC2435" s="4087">
        <v>1</v>
      </c>
      <c r="AD2435" s="5242" t="s">
        <v>4144</v>
      </c>
      <c r="AE2435" s="6001">
        <v>0.4</v>
      </c>
      <c r="AF2435" s="5874">
        <f>M2435*AE2435</f>
        <v>846794.108</v>
      </c>
      <c r="AG2435" s="3812">
        <f t="shared" si="521"/>
        <v>423397.06</v>
      </c>
      <c r="AH2435" s="857" t="s">
        <v>409</v>
      </c>
      <c r="AI2435" s="3812">
        <v>45286</v>
      </c>
      <c r="AJ2435" s="3812">
        <v>423397.06</v>
      </c>
      <c r="AK2435" s="3812">
        <v>45285</v>
      </c>
      <c r="AL2435" s="3812"/>
      <c r="AM2435" s="3524"/>
      <c r="AN2435" s="5123">
        <f t="shared" si="519"/>
        <v>846794.11</v>
      </c>
      <c r="AO2435" s="5123"/>
      <c r="AP2435" s="3812">
        <f>AG2435-AN2435</f>
        <v>-423397.05</v>
      </c>
      <c r="AQ2435" s="5129"/>
      <c r="AR2435" s="3524"/>
      <c r="AS2435" s="7135"/>
      <c r="AT2435" s="5122"/>
      <c r="AU2435" s="3524">
        <f>SUM(AG2435:AG2440)</f>
        <v>846794.11</v>
      </c>
      <c r="AV2435" s="3524">
        <f>SUM(AL2435:AL2440)</f>
        <v>0</v>
      </c>
      <c r="AW2435" s="3524">
        <f>SUM(AN2435:AN2440)</f>
        <v>2011136.01</v>
      </c>
      <c r="AX2435" s="3524">
        <f>M2435-AU2435</f>
        <v>1270191.16</v>
      </c>
      <c r="AY2435" s="3524">
        <f>AU2435-AV2435</f>
        <v>846794.11</v>
      </c>
      <c r="AZ2435" s="3524">
        <f>AV2435-AW2435</f>
        <v>-2011136.01</v>
      </c>
      <c r="BA2435" s="5146"/>
      <c r="BB2435" s="5146"/>
      <c r="BC2435" s="5123"/>
      <c r="BD2435" s="5146"/>
      <c r="BE2435" s="5146"/>
      <c r="BF2435" s="5146"/>
      <c r="BG2435" s="5146"/>
      <c r="BH2435" s="857">
        <v>423397.06</v>
      </c>
      <c r="BI2435" s="5146"/>
      <c r="BJ2435" s="5146"/>
      <c r="BK2435" s="5146"/>
      <c r="BL2435" s="5146"/>
      <c r="BM2435" s="5146"/>
      <c r="BN2435" s="5146"/>
      <c r="BO2435" s="5146"/>
      <c r="BP2435" s="5146"/>
      <c r="BQ2435" s="5146"/>
      <c r="BR2435" s="5146"/>
      <c r="BS2435" s="5146"/>
      <c r="BT2435" s="5146"/>
      <c r="BU2435" s="857"/>
      <c r="BV2435" s="3406">
        <v>846794.11</v>
      </c>
      <c r="BW2435" s="5146"/>
      <c r="BX2435" s="5146"/>
      <c r="BY2435" s="5146"/>
      <c r="BZ2435" s="5146"/>
      <c r="CA2435" s="5146"/>
      <c r="CB2435" s="5146"/>
      <c r="CC2435" s="3524"/>
      <c r="CD2435" s="3524"/>
      <c r="CE2435" s="5169"/>
      <c r="CF2435" s="5169"/>
      <c r="CG2435" s="5169"/>
      <c r="CH2435" s="5169"/>
    </row>
    <row r="2436" s="4965" customFormat="1" ht="38.35" customHeight="1" spans="1:86">
      <c r="A2436" s="3524"/>
      <c r="B2436" s="857"/>
      <c r="C2436" s="857"/>
      <c r="D2436" s="1032"/>
      <c r="E2436" s="1032"/>
      <c r="F2436" s="1032"/>
      <c r="G2436" s="1032"/>
      <c r="H2436" s="3524"/>
      <c r="I2436" s="4841"/>
      <c r="J2436" s="1032"/>
      <c r="K2436" s="5818"/>
      <c r="L2436" s="1032"/>
      <c r="M2436" s="3524"/>
      <c r="N2436" s="2680"/>
      <c r="O2436" s="2680"/>
      <c r="P2436" s="2680"/>
      <c r="Q2436" s="2680"/>
      <c r="R2436" s="2680"/>
      <c r="S2436" s="2680"/>
      <c r="T2436" s="2680"/>
      <c r="U2436" s="2680"/>
      <c r="V2436" s="2680"/>
      <c r="W2436" s="2680"/>
      <c r="X2436" s="2680"/>
      <c r="Y2436" s="4026"/>
      <c r="Z2436" s="4026"/>
      <c r="AA2436" s="2680"/>
      <c r="AB2436" s="2680"/>
      <c r="AC2436" s="4088"/>
      <c r="AD2436" s="5977"/>
      <c r="AE2436" s="6002"/>
      <c r="AF2436" s="6003"/>
      <c r="AG2436" s="4815">
        <f t="shared" si="521"/>
        <v>300000</v>
      </c>
      <c r="AH2436" s="5345"/>
      <c r="AI2436" s="4815"/>
      <c r="AJ2436" s="3812"/>
      <c r="AK2436" s="3812"/>
      <c r="AL2436" s="3812"/>
      <c r="AM2436" s="3524"/>
      <c r="AN2436" s="5123"/>
      <c r="AO2436" s="5123"/>
      <c r="AP2436" s="3812"/>
      <c r="AQ2436" s="5129"/>
      <c r="AR2436" s="3524"/>
      <c r="AS2436" s="7135"/>
      <c r="AT2436" s="5122"/>
      <c r="AU2436" s="3524"/>
      <c r="AV2436" s="3524"/>
      <c r="AW2436" s="3524"/>
      <c r="AX2436" s="3524"/>
      <c r="AY2436" s="3524"/>
      <c r="AZ2436" s="3524"/>
      <c r="BA2436" s="5146"/>
      <c r="BB2436" s="5146"/>
      <c r="BC2436" s="5123"/>
      <c r="BD2436" s="5146"/>
      <c r="BE2436" s="5146"/>
      <c r="BF2436" s="5146"/>
      <c r="BG2436" s="5146"/>
      <c r="BH2436" s="3812">
        <v>300000</v>
      </c>
      <c r="BI2436" s="5146"/>
      <c r="BJ2436" s="5146"/>
      <c r="BK2436" s="5146"/>
      <c r="BL2436" s="5146"/>
      <c r="BM2436" s="5146"/>
      <c r="BN2436" s="5146"/>
      <c r="BO2436" s="5146"/>
      <c r="BP2436" s="5146"/>
      <c r="BQ2436" s="5146"/>
      <c r="BR2436" s="5146"/>
      <c r="BS2436" s="5146"/>
      <c r="BT2436" s="5146"/>
      <c r="BU2436" s="857"/>
      <c r="BV2436" s="3406"/>
      <c r="BW2436" s="5146"/>
      <c r="BX2436" s="5146"/>
      <c r="BY2436" s="5146"/>
      <c r="BZ2436" s="5146"/>
      <c r="CA2436" s="5146"/>
      <c r="CB2436" s="5146"/>
      <c r="CC2436" s="3524"/>
      <c r="CD2436" s="3524"/>
      <c r="CE2436" s="5169"/>
      <c r="CF2436" s="5169"/>
      <c r="CG2436" s="5169"/>
      <c r="CH2436" s="5169"/>
    </row>
    <row r="2437" s="4965" customFormat="1" ht="38.35" customHeight="1" spans="1:86">
      <c r="A2437" s="3524"/>
      <c r="B2437" s="857"/>
      <c r="C2437" s="857"/>
      <c r="D2437" s="1032"/>
      <c r="E2437" s="1032"/>
      <c r="F2437" s="1032"/>
      <c r="G2437" s="1032"/>
      <c r="H2437" s="3524"/>
      <c r="I2437" s="4841"/>
      <c r="J2437" s="1032"/>
      <c r="K2437" s="5818"/>
      <c r="L2437" s="1032"/>
      <c r="M2437" s="3524"/>
      <c r="N2437" s="2680"/>
      <c r="O2437" s="2680"/>
      <c r="P2437" s="2680"/>
      <c r="Q2437" s="2680"/>
      <c r="R2437" s="2680"/>
      <c r="S2437" s="2680"/>
      <c r="T2437" s="2680"/>
      <c r="U2437" s="2680"/>
      <c r="V2437" s="2680"/>
      <c r="W2437" s="2680"/>
      <c r="X2437" s="2680"/>
      <c r="Y2437" s="4026"/>
      <c r="Z2437" s="4026"/>
      <c r="AA2437" s="2680"/>
      <c r="AB2437" s="2680"/>
      <c r="AC2437" s="4903"/>
      <c r="AD2437" s="5942"/>
      <c r="AE2437" s="6004"/>
      <c r="AF2437" s="5877"/>
      <c r="AG2437" s="3812">
        <f t="shared" si="521"/>
        <v>123397.05</v>
      </c>
      <c r="AH2437" s="3406"/>
      <c r="AI2437" s="5123"/>
      <c r="AJ2437" s="3812"/>
      <c r="AK2437" s="3812"/>
      <c r="AL2437" s="3812"/>
      <c r="AM2437" s="3524"/>
      <c r="AN2437" s="5123"/>
      <c r="AO2437" s="5123"/>
      <c r="AP2437" s="3812"/>
      <c r="AQ2437" s="5129"/>
      <c r="AR2437" s="3524"/>
      <c r="AS2437" s="7135"/>
      <c r="AT2437" s="5122"/>
      <c r="AU2437" s="3524"/>
      <c r="AV2437" s="3524"/>
      <c r="AW2437" s="3524"/>
      <c r="AX2437" s="3524"/>
      <c r="AY2437" s="3524"/>
      <c r="AZ2437" s="3524"/>
      <c r="BA2437" s="5146"/>
      <c r="BB2437" s="5146"/>
      <c r="BC2437" s="5123"/>
      <c r="BD2437" s="5146"/>
      <c r="BE2437" s="5146"/>
      <c r="BF2437" s="5146"/>
      <c r="BG2437" s="5146"/>
      <c r="BH2437" s="3812">
        <v>123397.05</v>
      </c>
      <c r="BI2437" s="5146"/>
      <c r="BJ2437" s="5146"/>
      <c r="BK2437" s="5146"/>
      <c r="BL2437" s="5146"/>
      <c r="BM2437" s="5146"/>
      <c r="BN2437" s="5146"/>
      <c r="BO2437" s="5146"/>
      <c r="BP2437" s="5146"/>
      <c r="BQ2437" s="5146"/>
      <c r="BR2437" s="5146"/>
      <c r="BS2437" s="5146"/>
      <c r="BT2437" s="5146"/>
      <c r="BU2437" s="857"/>
      <c r="BV2437" s="3406"/>
      <c r="BW2437" s="5146"/>
      <c r="BX2437" s="5146"/>
      <c r="BY2437" s="5146"/>
      <c r="BZ2437" s="5146"/>
      <c r="CA2437" s="5146"/>
      <c r="CB2437" s="5146"/>
      <c r="CC2437" s="3524"/>
      <c r="CD2437" s="3524"/>
      <c r="CE2437" s="5169"/>
      <c r="CF2437" s="5169"/>
      <c r="CG2437" s="5169"/>
      <c r="CH2437" s="5169"/>
    </row>
    <row r="2438" s="4965" customFormat="1" ht="61.65" customHeight="1" spans="1:86">
      <c r="A2438" s="3524"/>
      <c r="B2438" s="5813"/>
      <c r="C2438" s="857"/>
      <c r="D2438" s="3742"/>
      <c r="E2438" s="3742"/>
      <c r="F2438" s="3742"/>
      <c r="G2438" s="5818"/>
      <c r="H2438" s="3524"/>
      <c r="I2438" s="4841"/>
      <c r="J2438" s="3742"/>
      <c r="K2438" s="5818"/>
      <c r="L2438" s="3742"/>
      <c r="M2438" s="3524"/>
      <c r="N2438" s="2680"/>
      <c r="O2438" s="2680"/>
      <c r="P2438" s="2680"/>
      <c r="Q2438" s="2680"/>
      <c r="R2438" s="2680"/>
      <c r="S2438" s="2680"/>
      <c r="T2438" s="2680"/>
      <c r="U2438" s="2680"/>
      <c r="V2438" s="2680"/>
      <c r="W2438" s="2680"/>
      <c r="X2438" s="2680"/>
      <c r="Y2438" s="4026"/>
      <c r="Z2438" s="4026"/>
      <c r="AA2438" s="2680"/>
      <c r="AB2438" s="2680"/>
      <c r="AC2438" s="4087">
        <v>2</v>
      </c>
      <c r="AD2438" s="5242" t="s">
        <v>4145</v>
      </c>
      <c r="AE2438" s="5873">
        <v>0.55</v>
      </c>
      <c r="AF2438" s="5874">
        <f>M2435*AE2438</f>
        <v>1164341.8985</v>
      </c>
      <c r="AG2438" s="5123">
        <f t="shared" si="521"/>
        <v>0</v>
      </c>
      <c r="AH2438" s="3406"/>
      <c r="AI2438" s="5123"/>
      <c r="AJ2438" s="3524"/>
      <c r="AK2438" s="3524"/>
      <c r="AL2438" s="3812"/>
      <c r="AM2438" s="3524"/>
      <c r="AN2438" s="5123">
        <f>SUM(BO2438:CB2438)</f>
        <v>1164341.9</v>
      </c>
      <c r="AO2438" s="5123"/>
      <c r="AP2438" s="3812">
        <f>AG2438-AN2438</f>
        <v>-1164341.9</v>
      </c>
      <c r="AQ2438" s="5129"/>
      <c r="AR2438" s="3524"/>
      <c r="AS2438" s="7135"/>
      <c r="AT2438" s="5122"/>
      <c r="AU2438" s="3524"/>
      <c r="AV2438" s="3524"/>
      <c r="AW2438" s="3524"/>
      <c r="AX2438" s="3524"/>
      <c r="AY2438" s="3524"/>
      <c r="AZ2438" s="3524"/>
      <c r="BA2438" s="5146"/>
      <c r="BB2438" s="5146"/>
      <c r="BC2438" s="3812"/>
      <c r="BD2438" s="5146"/>
      <c r="BE2438" s="5146"/>
      <c r="BF2438" s="5146"/>
      <c r="BG2438" s="5146"/>
      <c r="BH2438" s="857"/>
      <c r="BI2438" s="5146"/>
      <c r="BJ2438" s="5146"/>
      <c r="BK2438" s="5146"/>
      <c r="BL2438" s="5146"/>
      <c r="BM2438" s="5146"/>
      <c r="BN2438" s="5146"/>
      <c r="BO2438" s="5146"/>
      <c r="BP2438" s="5146"/>
      <c r="BQ2438" s="5146"/>
      <c r="BR2438" s="5146"/>
      <c r="BS2438" s="5146"/>
      <c r="BT2438" s="5146"/>
      <c r="BU2438" s="857"/>
      <c r="BV2438" s="857">
        <v>1164341.9</v>
      </c>
      <c r="BW2438" s="5146"/>
      <c r="BX2438" s="5146"/>
      <c r="BY2438" s="5146"/>
      <c r="BZ2438" s="5146"/>
      <c r="CA2438" s="5146"/>
      <c r="CB2438" s="5146"/>
      <c r="CC2438" s="3524"/>
      <c r="CD2438" s="3524"/>
      <c r="CE2438" s="5169"/>
      <c r="CF2438" s="5169"/>
      <c r="CG2438" s="5169"/>
      <c r="CH2438" s="5169"/>
    </row>
    <row r="2439" s="4965" customFormat="1" ht="43.35" customHeight="1" spans="1:86">
      <c r="A2439" s="3524"/>
      <c r="B2439" s="5813"/>
      <c r="C2439" s="857"/>
      <c r="D2439" s="3742"/>
      <c r="E2439" s="3742"/>
      <c r="F2439" s="3742"/>
      <c r="G2439" s="5818"/>
      <c r="H2439" s="3524"/>
      <c r="I2439" s="4841"/>
      <c r="J2439" s="3742"/>
      <c r="K2439" s="5818"/>
      <c r="L2439" s="3742"/>
      <c r="M2439" s="3524"/>
      <c r="N2439" s="2680"/>
      <c r="O2439" s="2680"/>
      <c r="P2439" s="2680"/>
      <c r="Q2439" s="2680"/>
      <c r="R2439" s="2680"/>
      <c r="S2439" s="2680"/>
      <c r="T2439" s="2680"/>
      <c r="U2439" s="2680"/>
      <c r="V2439" s="2680"/>
      <c r="W2439" s="2680"/>
      <c r="X2439" s="2680"/>
      <c r="Y2439" s="4026"/>
      <c r="Z2439" s="4026"/>
      <c r="AA2439" s="2680"/>
      <c r="AB2439" s="2680"/>
      <c r="AC2439" s="4903"/>
      <c r="AD2439" s="5942"/>
      <c r="AE2439" s="5876"/>
      <c r="AF2439" s="5877"/>
      <c r="AG2439" s="5123">
        <f t="shared" si="521"/>
        <v>0</v>
      </c>
      <c r="AH2439" s="5346"/>
      <c r="AI2439" s="5123"/>
      <c r="AJ2439" s="5123"/>
      <c r="AK2439" s="5123"/>
      <c r="AL2439" s="5123"/>
      <c r="AM2439" s="5123"/>
      <c r="AN2439" s="5123"/>
      <c r="AO2439" s="5123"/>
      <c r="AP2439" s="3812"/>
      <c r="AQ2439" s="5122"/>
      <c r="AR2439" s="3524"/>
      <c r="AS2439" s="5129"/>
      <c r="AT2439" s="5122"/>
      <c r="AU2439" s="3524"/>
      <c r="AV2439" s="3524"/>
      <c r="AW2439" s="3524"/>
      <c r="AX2439" s="3524"/>
      <c r="AY2439" s="3524"/>
      <c r="AZ2439" s="3524"/>
      <c r="BA2439" s="5122"/>
      <c r="BB2439" s="5122"/>
      <c r="BC2439" s="3524"/>
      <c r="BD2439" s="5122"/>
      <c r="BE2439" s="5122"/>
      <c r="BF2439" s="5122"/>
      <c r="BG2439" s="5122"/>
      <c r="BH2439" s="7149"/>
      <c r="BI2439" s="5122"/>
      <c r="BJ2439" s="5122"/>
      <c r="BK2439" s="5122"/>
      <c r="BL2439" s="5122"/>
      <c r="BM2439" s="5122"/>
      <c r="BN2439" s="5122"/>
      <c r="BO2439" s="5122"/>
      <c r="BP2439" s="5122"/>
      <c r="BQ2439" s="5122"/>
      <c r="BR2439" s="5122"/>
      <c r="BS2439" s="5122"/>
      <c r="BT2439" s="7138"/>
      <c r="BU2439" s="7138"/>
      <c r="BV2439" s="5122"/>
      <c r="BW2439" s="5122"/>
      <c r="BX2439" s="5122"/>
      <c r="BY2439" s="5122"/>
      <c r="BZ2439" s="5122"/>
      <c r="CA2439" s="5122"/>
      <c r="CB2439" s="5122"/>
      <c r="CC2439" s="3524"/>
      <c r="CD2439" s="3524"/>
      <c r="CE2439" s="5169"/>
      <c r="CF2439" s="5169"/>
      <c r="CG2439" s="5169"/>
      <c r="CH2439" s="5169"/>
    </row>
    <row r="2440" s="4965" customFormat="1" ht="92" spans="1:86">
      <c r="A2440" s="3524"/>
      <c r="B2440" s="5813"/>
      <c r="C2440" s="857"/>
      <c r="D2440" s="3742"/>
      <c r="E2440" s="3742"/>
      <c r="F2440" s="3742"/>
      <c r="G2440" s="5818"/>
      <c r="H2440" s="3524"/>
      <c r="I2440" s="4842"/>
      <c r="J2440" s="3742"/>
      <c r="K2440" s="5818"/>
      <c r="L2440" s="3742"/>
      <c r="M2440" s="3524"/>
      <c r="N2440" s="2680"/>
      <c r="O2440" s="2680"/>
      <c r="P2440" s="2680"/>
      <c r="Q2440" s="2680"/>
      <c r="R2440" s="2680"/>
      <c r="S2440" s="2680"/>
      <c r="T2440" s="2680"/>
      <c r="U2440" s="2680"/>
      <c r="V2440" s="2680"/>
      <c r="W2440" s="2680"/>
      <c r="X2440" s="2680"/>
      <c r="Y2440" s="3927"/>
      <c r="Z2440" s="3927"/>
      <c r="AA2440" s="2680"/>
      <c r="AB2440" s="2680"/>
      <c r="AC2440" s="3524">
        <v>3</v>
      </c>
      <c r="AD2440" s="5241" t="s">
        <v>4146</v>
      </c>
      <c r="AE2440" s="5870">
        <v>0.05</v>
      </c>
      <c r="AF2440" s="857">
        <f>M2435*AE2440</f>
        <v>105849.2635</v>
      </c>
      <c r="AG2440" s="5123">
        <f t="shared" ref="AG2440:AG2463" si="522">SUM(BA2440:BN2440)</f>
        <v>0</v>
      </c>
      <c r="AH2440" s="5346"/>
      <c r="AI2440" s="5123"/>
      <c r="AJ2440" s="5123"/>
      <c r="AK2440" s="5123"/>
      <c r="AL2440" s="5123"/>
      <c r="AM2440" s="5123"/>
      <c r="AN2440" s="5123">
        <f t="shared" ref="AN2440:AN2463" si="523">SUM(BO2440:CB2440)</f>
        <v>0</v>
      </c>
      <c r="AO2440" s="5123"/>
      <c r="AP2440" s="3812">
        <f>AG2440-AN2440</f>
        <v>0</v>
      </c>
      <c r="AQ2440" s="5122"/>
      <c r="AR2440" s="3524"/>
      <c r="AS2440" s="5129"/>
      <c r="AT2440" s="5122"/>
      <c r="AU2440" s="3524"/>
      <c r="AV2440" s="3524"/>
      <c r="AW2440" s="3524"/>
      <c r="AX2440" s="3524"/>
      <c r="AY2440" s="3524"/>
      <c r="AZ2440" s="3524"/>
      <c r="BA2440" s="5122"/>
      <c r="BB2440" s="5122"/>
      <c r="BC2440" s="3524"/>
      <c r="BD2440" s="5122"/>
      <c r="BE2440" s="5122"/>
      <c r="BF2440" s="5122"/>
      <c r="BG2440" s="5122"/>
      <c r="BH2440" s="7149"/>
      <c r="BI2440" s="5122"/>
      <c r="BJ2440" s="5122"/>
      <c r="BK2440" s="5122"/>
      <c r="BL2440" s="5122"/>
      <c r="BM2440" s="5122"/>
      <c r="BN2440" s="5122"/>
      <c r="BO2440" s="5122"/>
      <c r="BP2440" s="5122"/>
      <c r="BQ2440" s="5122"/>
      <c r="BR2440" s="5122"/>
      <c r="BS2440" s="5122"/>
      <c r="BT2440" s="7138"/>
      <c r="BU2440" s="7138"/>
      <c r="BV2440" s="5122"/>
      <c r="BW2440" s="5122"/>
      <c r="BX2440" s="5122"/>
      <c r="BY2440" s="5122"/>
      <c r="BZ2440" s="5122"/>
      <c r="CA2440" s="5122"/>
      <c r="CB2440" s="5122"/>
      <c r="CC2440" s="3524"/>
      <c r="CD2440" s="3524"/>
      <c r="CE2440" s="5169"/>
      <c r="CF2440" s="5169"/>
      <c r="CG2440" s="5169"/>
      <c r="CH2440" s="5169"/>
    </row>
    <row r="2441" s="4965" customFormat="1" ht="57" customHeight="1" spans="1:86">
      <c r="A2441" s="3524"/>
      <c r="B2441" s="857" t="s">
        <v>2570</v>
      </c>
      <c r="C2441" s="857">
        <v>44743</v>
      </c>
      <c r="D2441" s="1032" t="s">
        <v>4147</v>
      </c>
      <c r="E2441" s="3742"/>
      <c r="F2441" s="1032" t="s">
        <v>4148</v>
      </c>
      <c r="G2441" s="1032" t="s">
        <v>4149</v>
      </c>
      <c r="H2441" s="857" t="s">
        <v>286</v>
      </c>
      <c r="I2441" s="5073" t="s">
        <v>4150</v>
      </c>
      <c r="J2441" s="1032" t="s">
        <v>2909</v>
      </c>
      <c r="K2441" s="1032" t="s">
        <v>171</v>
      </c>
      <c r="L2441" s="1032" t="s">
        <v>4151</v>
      </c>
      <c r="M2441" s="3524">
        <f>SUM(N2441:AA2445)</f>
        <v>1500000</v>
      </c>
      <c r="N2441" s="2680"/>
      <c r="O2441" s="2680"/>
      <c r="P2441" s="2680">
        <v>750000</v>
      </c>
      <c r="Q2441" s="2680">
        <v>750000</v>
      </c>
      <c r="R2441" s="2680"/>
      <c r="S2441" s="2680"/>
      <c r="T2441" s="2680"/>
      <c r="U2441" s="2680"/>
      <c r="V2441" s="2680"/>
      <c r="W2441" s="2680"/>
      <c r="X2441" s="2680"/>
      <c r="Y2441" s="3925"/>
      <c r="Z2441" s="3925"/>
      <c r="AA2441" s="2680"/>
      <c r="AB2441" s="1035" t="s">
        <v>4152</v>
      </c>
      <c r="AC2441" s="3524">
        <v>1</v>
      </c>
      <c r="AD2441" s="5241" t="s">
        <v>4153</v>
      </c>
      <c r="AE2441" s="5870"/>
      <c r="AF2441" s="857"/>
      <c r="AG2441" s="3812">
        <f t="shared" si="522"/>
        <v>20000</v>
      </c>
      <c r="AH2441" s="1032" t="s">
        <v>122</v>
      </c>
      <c r="AI2441" s="3812">
        <v>44916</v>
      </c>
      <c r="AJ2441" s="3812">
        <f>SUM(BD2441:BQ2441)</f>
        <v>20000</v>
      </c>
      <c r="AK2441" s="3812">
        <v>44916</v>
      </c>
      <c r="AL2441" s="3812">
        <f>SUM(BF2441:BS2441)</f>
        <v>20000</v>
      </c>
      <c r="AM2441" s="3812">
        <v>44931</v>
      </c>
      <c r="AN2441" s="3812">
        <f t="shared" si="523"/>
        <v>20000</v>
      </c>
      <c r="AO2441" s="3812">
        <v>44944</v>
      </c>
      <c r="AP2441" s="3812"/>
      <c r="AQ2441" s="7146" t="s">
        <v>4154</v>
      </c>
      <c r="AR2441" s="3524"/>
      <c r="AS2441" s="5129"/>
      <c r="AT2441" s="5122"/>
      <c r="AU2441" s="3524"/>
      <c r="AV2441" s="3524"/>
      <c r="AW2441" s="3524"/>
      <c r="AX2441" s="3524"/>
      <c r="AY2441" s="3524"/>
      <c r="AZ2441" s="3524"/>
      <c r="BA2441" s="5146"/>
      <c r="BB2441" s="5146"/>
      <c r="BC2441" s="3812"/>
      <c r="BD2441" s="3812">
        <v>20000</v>
      </c>
      <c r="BE2441" s="5146"/>
      <c r="BF2441" s="5146"/>
      <c r="BG2441" s="5146"/>
      <c r="BH2441" s="5146"/>
      <c r="BI2441" s="5146"/>
      <c r="BJ2441" s="5146"/>
      <c r="BK2441" s="5146"/>
      <c r="BL2441" s="5146"/>
      <c r="BM2441" s="5146"/>
      <c r="BN2441" s="5146"/>
      <c r="BO2441" s="5122"/>
      <c r="BP2441" s="5146"/>
      <c r="BQ2441" s="3812"/>
      <c r="BR2441" s="3812">
        <v>20000</v>
      </c>
      <c r="BS2441" s="5146"/>
      <c r="BT2441" s="5146"/>
      <c r="BU2441" s="7138"/>
      <c r="BV2441" s="5122"/>
      <c r="BW2441" s="5122"/>
      <c r="BX2441" s="5122"/>
      <c r="BY2441" s="5122"/>
      <c r="BZ2441" s="5122"/>
      <c r="CA2441" s="5122"/>
      <c r="CB2441" s="5122"/>
      <c r="CC2441" s="3524"/>
      <c r="CD2441" s="3524"/>
      <c r="CE2441" s="5169"/>
      <c r="CF2441" s="5169"/>
      <c r="CG2441" s="5169"/>
      <c r="CH2441" s="5169"/>
    </row>
    <row r="2442" s="4965" customFormat="1" ht="409" customHeight="1" spans="1:86">
      <c r="A2442" s="3524"/>
      <c r="B2442" s="857"/>
      <c r="C2442" s="857"/>
      <c r="D2442" s="1032"/>
      <c r="E2442" s="3742"/>
      <c r="F2442" s="1032"/>
      <c r="G2442" s="1032"/>
      <c r="H2442" s="857"/>
      <c r="I2442" s="5205"/>
      <c r="J2442" s="1032"/>
      <c r="K2442" s="1032"/>
      <c r="L2442" s="1032"/>
      <c r="M2442" s="3524"/>
      <c r="N2442" s="2680"/>
      <c r="O2442" s="2680"/>
      <c r="P2442" s="2680"/>
      <c r="Q2442" s="2680"/>
      <c r="R2442" s="2680"/>
      <c r="S2442" s="2680"/>
      <c r="T2442" s="2680"/>
      <c r="U2442" s="2680"/>
      <c r="V2442" s="2680"/>
      <c r="W2442" s="2680"/>
      <c r="X2442" s="2680"/>
      <c r="Y2442" s="4026"/>
      <c r="Z2442" s="4026"/>
      <c r="AA2442" s="2680"/>
      <c r="AB2442" s="5079"/>
      <c r="AC2442" s="3524">
        <v>2</v>
      </c>
      <c r="AD2442" s="5241" t="s">
        <v>552</v>
      </c>
      <c r="AE2442" s="5870"/>
      <c r="AF2442" s="857"/>
      <c r="AG2442" s="3812">
        <f t="shared" si="522"/>
        <v>925000</v>
      </c>
      <c r="AH2442" s="1032" t="s">
        <v>122</v>
      </c>
      <c r="AI2442" s="3812">
        <v>44930</v>
      </c>
      <c r="AJ2442" s="3812">
        <f>SUM(BD2442:BQ2442)</f>
        <v>925000</v>
      </c>
      <c r="AK2442" s="3812">
        <v>44930</v>
      </c>
      <c r="AL2442" s="3812">
        <f>SUM(BF2442:BS2442)</f>
        <v>925000</v>
      </c>
      <c r="AM2442" s="3812">
        <v>44931</v>
      </c>
      <c r="AN2442" s="3812">
        <f t="shared" si="523"/>
        <v>925000</v>
      </c>
      <c r="AO2442" s="3812">
        <v>44944</v>
      </c>
      <c r="AP2442" s="3812"/>
      <c r="AQ2442" s="7146" t="s">
        <v>4155</v>
      </c>
      <c r="AR2442" s="3524"/>
      <c r="AS2442" s="5129"/>
      <c r="AT2442" s="5122"/>
      <c r="AU2442" s="3524"/>
      <c r="AV2442" s="3524"/>
      <c r="AW2442" s="3524"/>
      <c r="AX2442" s="3524"/>
      <c r="AY2442" s="3524"/>
      <c r="AZ2442" s="3524"/>
      <c r="BA2442" s="5122"/>
      <c r="BB2442" s="5122"/>
      <c r="BC2442" s="3812">
        <v>430000</v>
      </c>
      <c r="BD2442" s="3812">
        <v>495000</v>
      </c>
      <c r="BE2442" s="5122"/>
      <c r="BF2442" s="5122"/>
      <c r="BG2442" s="5122"/>
      <c r="BH2442" s="7138"/>
      <c r="BI2442" s="5122"/>
      <c r="BJ2442" s="5122"/>
      <c r="BK2442" s="5122"/>
      <c r="BL2442" s="5122"/>
      <c r="BM2442" s="5122"/>
      <c r="BN2442" s="5122"/>
      <c r="BO2442" s="5122"/>
      <c r="BP2442" s="5146"/>
      <c r="BQ2442" s="5485">
        <v>430000</v>
      </c>
      <c r="BR2442" s="5485">
        <v>495000</v>
      </c>
      <c r="BS2442" s="3812"/>
      <c r="BT2442" s="5146"/>
      <c r="BU2442" s="7138"/>
      <c r="BV2442" s="5122"/>
      <c r="BW2442" s="5122"/>
      <c r="BX2442" s="5122"/>
      <c r="BY2442" s="5122"/>
      <c r="BZ2442" s="5122"/>
      <c r="CA2442" s="5122"/>
      <c r="CB2442" s="5122"/>
      <c r="CC2442" s="3524"/>
      <c r="CD2442" s="3524"/>
      <c r="CE2442" s="5169"/>
      <c r="CF2442" s="5169"/>
      <c r="CG2442" s="5169"/>
      <c r="CH2442" s="5169"/>
    </row>
    <row r="2443" s="4965" customFormat="1" ht="76" spans="1:86">
      <c r="A2443" s="3524"/>
      <c r="B2443" s="857"/>
      <c r="C2443" s="857"/>
      <c r="D2443" s="1032"/>
      <c r="E2443" s="3742"/>
      <c r="F2443" s="1032"/>
      <c r="G2443" s="1032"/>
      <c r="H2443" s="857"/>
      <c r="I2443" s="5205"/>
      <c r="J2443" s="1032"/>
      <c r="K2443" s="1032"/>
      <c r="L2443" s="1032"/>
      <c r="M2443" s="3524"/>
      <c r="N2443" s="2680"/>
      <c r="O2443" s="2680"/>
      <c r="P2443" s="2680"/>
      <c r="Q2443" s="2680"/>
      <c r="R2443" s="2680"/>
      <c r="S2443" s="2680"/>
      <c r="T2443" s="2680"/>
      <c r="U2443" s="2680"/>
      <c r="V2443" s="2680"/>
      <c r="W2443" s="2680"/>
      <c r="X2443" s="2680"/>
      <c r="Y2443" s="4026"/>
      <c r="Z2443" s="4026"/>
      <c r="AA2443" s="2680"/>
      <c r="AB2443" s="5079"/>
      <c r="AC2443" s="3524">
        <v>3</v>
      </c>
      <c r="AD2443" s="5241" t="s">
        <v>4156</v>
      </c>
      <c r="AE2443" s="5870"/>
      <c r="AF2443" s="857"/>
      <c r="AG2443" s="4813">
        <f t="shared" si="522"/>
        <v>550000</v>
      </c>
      <c r="AH2443" s="1032" t="s">
        <v>409</v>
      </c>
      <c r="AI2443" s="3812">
        <v>45601</v>
      </c>
      <c r="AJ2443" s="3812">
        <f>SUM(BD2443:BQ2443)</f>
        <v>550000</v>
      </c>
      <c r="AK2443" s="3812">
        <v>45601</v>
      </c>
      <c r="AL2443" s="4813">
        <f>SUM(BF2443:BS2443)</f>
        <v>550000</v>
      </c>
      <c r="AM2443" s="3812">
        <v>45601</v>
      </c>
      <c r="AN2443" s="3812">
        <f t="shared" si="523"/>
        <v>550000</v>
      </c>
      <c r="AO2443" s="3812">
        <v>45637</v>
      </c>
      <c r="AP2443" s="3812"/>
      <c r="AQ2443" s="5256" t="s">
        <v>4157</v>
      </c>
      <c r="AR2443" s="3524"/>
      <c r="AS2443" s="5129"/>
      <c r="AT2443" s="5122"/>
      <c r="AU2443" s="3524"/>
      <c r="AV2443" s="3524"/>
      <c r="AW2443" s="3524"/>
      <c r="AX2443" s="3524"/>
      <c r="AY2443" s="3524"/>
      <c r="AZ2443" s="3524"/>
      <c r="BA2443" s="5122"/>
      <c r="BB2443" s="5122"/>
      <c r="BC2443" s="3812">
        <v>250000</v>
      </c>
      <c r="BD2443" s="3812">
        <v>300000</v>
      </c>
      <c r="BE2443" s="5122"/>
      <c r="BF2443" s="5122"/>
      <c r="BG2443" s="5122"/>
      <c r="BH2443" s="7138"/>
      <c r="BI2443" s="5122"/>
      <c r="BJ2443" s="5122"/>
      <c r="BK2443" s="5122"/>
      <c r="BL2443" s="5122"/>
      <c r="BM2443" s="5122"/>
      <c r="BN2443" s="5122"/>
      <c r="BO2443" s="5122"/>
      <c r="BP2443" s="5146"/>
      <c r="BQ2443" s="5123">
        <v>250000</v>
      </c>
      <c r="BR2443" s="5123">
        <v>300000</v>
      </c>
      <c r="BS2443" s="5146"/>
      <c r="BT2443" s="5146"/>
      <c r="BU2443" s="7138"/>
      <c r="BV2443" s="5122"/>
      <c r="BW2443" s="5122"/>
      <c r="BX2443" s="5122"/>
      <c r="BY2443" s="5122"/>
      <c r="BZ2443" s="5122"/>
      <c r="CA2443" s="5122"/>
      <c r="CB2443" s="5122"/>
      <c r="CC2443" s="3524"/>
      <c r="CD2443" s="3524"/>
      <c r="CE2443" s="5169"/>
      <c r="CF2443" s="5169"/>
      <c r="CG2443" s="5169"/>
      <c r="CH2443" s="5169"/>
    </row>
    <row r="2444" s="4965" customFormat="1" ht="15.2" spans="1:86">
      <c r="A2444" s="3524"/>
      <c r="B2444" s="857"/>
      <c r="C2444" s="857"/>
      <c r="D2444" s="1032"/>
      <c r="E2444" s="3742"/>
      <c r="F2444" s="1032"/>
      <c r="G2444" s="1032"/>
      <c r="H2444" s="857"/>
      <c r="I2444" s="5205"/>
      <c r="J2444" s="1032"/>
      <c r="K2444" s="1032"/>
      <c r="L2444" s="1032"/>
      <c r="M2444" s="3524"/>
      <c r="N2444" s="2680"/>
      <c r="O2444" s="2680"/>
      <c r="P2444" s="2680"/>
      <c r="Q2444" s="2680"/>
      <c r="R2444" s="2680"/>
      <c r="S2444" s="2680"/>
      <c r="T2444" s="2680"/>
      <c r="U2444" s="2680"/>
      <c r="V2444" s="2680"/>
      <c r="W2444" s="2680"/>
      <c r="X2444" s="2680"/>
      <c r="Y2444" s="4026"/>
      <c r="Z2444" s="4026"/>
      <c r="AA2444" s="2680"/>
      <c r="AB2444" s="5079"/>
      <c r="AC2444" s="3524"/>
      <c r="AD2444" s="5241"/>
      <c r="AE2444" s="5870"/>
      <c r="AF2444" s="857"/>
      <c r="AG2444" s="3812">
        <f t="shared" si="522"/>
        <v>0</v>
      </c>
      <c r="AH2444" s="5346"/>
      <c r="AI2444" s="5123"/>
      <c r="AJ2444" s="5123"/>
      <c r="AK2444" s="5123"/>
      <c r="AL2444" s="5123"/>
      <c r="AM2444" s="5123"/>
      <c r="AN2444" s="3812">
        <f t="shared" si="523"/>
        <v>0</v>
      </c>
      <c r="AO2444" s="5123"/>
      <c r="AP2444" s="3812"/>
      <c r="AQ2444" s="5122"/>
      <c r="AR2444" s="3524"/>
      <c r="AS2444" s="5129"/>
      <c r="AT2444" s="5122"/>
      <c r="AU2444" s="3524"/>
      <c r="AV2444" s="3524"/>
      <c r="AW2444" s="3524"/>
      <c r="AX2444" s="3524"/>
      <c r="AY2444" s="3524"/>
      <c r="AZ2444" s="3524"/>
      <c r="BA2444" s="5122"/>
      <c r="BB2444" s="5122"/>
      <c r="BC2444" s="3524"/>
      <c r="BD2444" s="5122"/>
      <c r="BE2444" s="5122"/>
      <c r="BF2444" s="5122"/>
      <c r="BG2444" s="5122"/>
      <c r="BH2444" s="7138"/>
      <c r="BI2444" s="5122"/>
      <c r="BJ2444" s="5122"/>
      <c r="BK2444" s="5122"/>
      <c r="BL2444" s="5122"/>
      <c r="BM2444" s="5122"/>
      <c r="BN2444" s="5122"/>
      <c r="BO2444" s="5122"/>
      <c r="BP2444" s="5146"/>
      <c r="BQ2444" s="5146"/>
      <c r="BR2444" s="5146"/>
      <c r="BS2444" s="5146"/>
      <c r="BT2444" s="5146"/>
      <c r="BU2444" s="7138"/>
      <c r="BV2444" s="5122"/>
      <c r="BW2444" s="5122"/>
      <c r="BX2444" s="5122"/>
      <c r="BY2444" s="5122"/>
      <c r="BZ2444" s="5122"/>
      <c r="CA2444" s="5122"/>
      <c r="CB2444" s="5122"/>
      <c r="CC2444" s="3524"/>
      <c r="CD2444" s="3524"/>
      <c r="CE2444" s="5169"/>
      <c r="CF2444" s="5169"/>
      <c r="CG2444" s="5169"/>
      <c r="CH2444" s="5169"/>
    </row>
    <row r="2445" s="4965" customFormat="1" ht="15.2" spans="1:86">
      <c r="A2445" s="3524"/>
      <c r="B2445" s="857"/>
      <c r="C2445" s="857"/>
      <c r="D2445" s="1032"/>
      <c r="E2445" s="3742"/>
      <c r="F2445" s="1032"/>
      <c r="G2445" s="1032"/>
      <c r="H2445" s="857"/>
      <c r="I2445" s="5206"/>
      <c r="J2445" s="1032"/>
      <c r="K2445" s="1032"/>
      <c r="L2445" s="1032"/>
      <c r="M2445" s="3524"/>
      <c r="N2445" s="2680"/>
      <c r="O2445" s="2680"/>
      <c r="P2445" s="2680"/>
      <c r="Q2445" s="2680"/>
      <c r="R2445" s="2680"/>
      <c r="S2445" s="2680"/>
      <c r="T2445" s="2680"/>
      <c r="U2445" s="2680"/>
      <c r="V2445" s="2680"/>
      <c r="W2445" s="2680"/>
      <c r="X2445" s="2680"/>
      <c r="Y2445" s="3927"/>
      <c r="Z2445" s="3927"/>
      <c r="AA2445" s="2680"/>
      <c r="AB2445" s="5079"/>
      <c r="AC2445" s="3524"/>
      <c r="AD2445" s="5241"/>
      <c r="AE2445" s="5870"/>
      <c r="AF2445" s="857"/>
      <c r="AG2445" s="3812">
        <f t="shared" si="522"/>
        <v>0</v>
      </c>
      <c r="AH2445" s="5346"/>
      <c r="AI2445" s="5123"/>
      <c r="AJ2445" s="5123"/>
      <c r="AK2445" s="5123"/>
      <c r="AL2445" s="5123"/>
      <c r="AM2445" s="5123"/>
      <c r="AN2445" s="3812">
        <f t="shared" si="523"/>
        <v>0</v>
      </c>
      <c r="AO2445" s="5123"/>
      <c r="AP2445" s="3812"/>
      <c r="AQ2445" s="5122"/>
      <c r="AR2445" s="3524"/>
      <c r="AS2445" s="5129"/>
      <c r="AT2445" s="5122"/>
      <c r="AU2445" s="3524"/>
      <c r="AV2445" s="3524"/>
      <c r="AW2445" s="3524"/>
      <c r="AX2445" s="3524"/>
      <c r="AY2445" s="3524"/>
      <c r="AZ2445" s="3524"/>
      <c r="BA2445" s="5122"/>
      <c r="BB2445" s="5122"/>
      <c r="BC2445" s="3524"/>
      <c r="BD2445" s="5122"/>
      <c r="BE2445" s="5122"/>
      <c r="BF2445" s="5122"/>
      <c r="BG2445" s="5122"/>
      <c r="BH2445" s="7138"/>
      <c r="BI2445" s="5122"/>
      <c r="BJ2445" s="5122"/>
      <c r="BK2445" s="5122"/>
      <c r="BL2445" s="5122"/>
      <c r="BM2445" s="5122"/>
      <c r="BN2445" s="5122"/>
      <c r="BO2445" s="5122"/>
      <c r="BP2445" s="5146"/>
      <c r="BQ2445" s="5146"/>
      <c r="BR2445" s="5146"/>
      <c r="BS2445" s="5146"/>
      <c r="BT2445" s="5146"/>
      <c r="BU2445" s="7138"/>
      <c r="BV2445" s="5122"/>
      <c r="BW2445" s="5122"/>
      <c r="BX2445" s="5122"/>
      <c r="BY2445" s="5122"/>
      <c r="BZ2445" s="5122"/>
      <c r="CA2445" s="5122"/>
      <c r="CB2445" s="5122"/>
      <c r="CC2445" s="3524"/>
      <c r="CD2445" s="3524"/>
      <c r="CE2445" s="5169"/>
      <c r="CF2445" s="5169"/>
      <c r="CG2445" s="5169"/>
      <c r="CH2445" s="5169"/>
    </row>
    <row r="2446" s="4965" customFormat="1" ht="357" customHeight="1" spans="1:86">
      <c r="A2446" s="3524"/>
      <c r="B2446" s="857" t="s">
        <v>2570</v>
      </c>
      <c r="C2446" s="857">
        <v>44799</v>
      </c>
      <c r="D2446" s="1032" t="s">
        <v>4158</v>
      </c>
      <c r="E2446" s="3742"/>
      <c r="F2446" s="1032" t="s">
        <v>4148</v>
      </c>
      <c r="G2446" s="1032" t="s">
        <v>4159</v>
      </c>
      <c r="H2446" s="857" t="s">
        <v>286</v>
      </c>
      <c r="I2446" s="857"/>
      <c r="J2446" s="1032" t="s">
        <v>2941</v>
      </c>
      <c r="K2446" s="1032" t="s">
        <v>171</v>
      </c>
      <c r="L2446" s="1032" t="s">
        <v>4151</v>
      </c>
      <c r="M2446" s="3524">
        <f>SUM(N2446:AA2447)</f>
        <v>3000000</v>
      </c>
      <c r="N2446" s="2680"/>
      <c r="O2446" s="2680"/>
      <c r="P2446" s="2680">
        <v>1500000</v>
      </c>
      <c r="Q2446" s="2680">
        <v>1500000</v>
      </c>
      <c r="R2446" s="2680"/>
      <c r="S2446" s="2680"/>
      <c r="T2446" s="2680"/>
      <c r="U2446" s="2680"/>
      <c r="V2446" s="2680"/>
      <c r="W2446" s="2680"/>
      <c r="X2446" s="2680"/>
      <c r="Y2446" s="3925"/>
      <c r="Z2446" s="3925"/>
      <c r="AA2446" s="2680"/>
      <c r="AB2446" s="1035" t="s">
        <v>4152</v>
      </c>
      <c r="AC2446" s="3524">
        <v>1</v>
      </c>
      <c r="AD2446" s="1032" t="s">
        <v>4153</v>
      </c>
      <c r="AE2446" s="5870"/>
      <c r="AF2446" s="857"/>
      <c r="AG2446" s="3812">
        <f t="shared" si="522"/>
        <v>1090000</v>
      </c>
      <c r="AH2446" s="1032" t="s">
        <v>122</v>
      </c>
      <c r="AI2446" s="1032">
        <v>44915</v>
      </c>
      <c r="AJ2446" s="3812">
        <f>SUM(BD2446:BQ2446)</f>
        <v>1090000</v>
      </c>
      <c r="AK2446" s="1032">
        <v>44915</v>
      </c>
      <c r="AL2446" s="3812">
        <f>SUM(BF2446:BS2446)</f>
        <v>1090000</v>
      </c>
      <c r="AM2446" s="3812">
        <v>45196</v>
      </c>
      <c r="AN2446" s="3812">
        <f t="shared" si="523"/>
        <v>1090000</v>
      </c>
      <c r="AO2446" s="3812">
        <v>45230</v>
      </c>
      <c r="AP2446" s="3812"/>
      <c r="AQ2446" s="7146" t="s">
        <v>4160</v>
      </c>
      <c r="AR2446" s="3524"/>
      <c r="AS2446" s="5129"/>
      <c r="AT2446" s="5122"/>
      <c r="AU2446" s="3524"/>
      <c r="AV2446" s="3524"/>
      <c r="AW2446" s="3524"/>
      <c r="AX2446" s="3524"/>
      <c r="AY2446" s="3524"/>
      <c r="AZ2446" s="3524"/>
      <c r="BA2446" s="5146"/>
      <c r="BB2446" s="5146"/>
      <c r="BC2446" s="3812">
        <v>890000</v>
      </c>
      <c r="BD2446" s="3812">
        <v>200000</v>
      </c>
      <c r="BE2446" s="5146"/>
      <c r="BF2446" s="5146"/>
      <c r="BG2446" s="5146"/>
      <c r="BH2446" s="5146"/>
      <c r="BI2446" s="5146"/>
      <c r="BJ2446" s="5146"/>
      <c r="BK2446" s="5146"/>
      <c r="BL2446" s="5146"/>
      <c r="BM2446" s="5146"/>
      <c r="BN2446" s="5146"/>
      <c r="BO2446" s="5122"/>
      <c r="BP2446" s="5122"/>
      <c r="BQ2446" s="3812">
        <v>890000</v>
      </c>
      <c r="BR2446" s="3812">
        <v>200000</v>
      </c>
      <c r="BS2446" s="5122"/>
      <c r="BT2446" s="7138"/>
      <c r="BU2446" s="7138"/>
      <c r="BV2446" s="5122"/>
      <c r="BW2446" s="5122"/>
      <c r="BX2446" s="5122"/>
      <c r="BY2446" s="5122"/>
      <c r="BZ2446" s="5122"/>
      <c r="CA2446" s="5122"/>
      <c r="CB2446" s="5122"/>
      <c r="CC2446" s="3524"/>
      <c r="CD2446" s="3524"/>
      <c r="CE2446" s="5169"/>
      <c r="CF2446" s="5169"/>
      <c r="CG2446" s="5169"/>
      <c r="CH2446" s="5169"/>
    </row>
    <row r="2447" s="4965" customFormat="1" ht="29.25" customHeight="1" spans="1:86">
      <c r="A2447" s="3524"/>
      <c r="B2447" s="857"/>
      <c r="C2447" s="857"/>
      <c r="D2447" s="1032"/>
      <c r="E2447" s="3742"/>
      <c r="F2447" s="1032"/>
      <c r="G2447" s="1032"/>
      <c r="H2447" s="857"/>
      <c r="I2447" s="857"/>
      <c r="J2447" s="1032"/>
      <c r="K2447" s="1032"/>
      <c r="L2447" s="1032"/>
      <c r="M2447" s="3524"/>
      <c r="N2447" s="2680"/>
      <c r="O2447" s="2680"/>
      <c r="P2447" s="2680"/>
      <c r="Q2447" s="2680"/>
      <c r="R2447" s="2680"/>
      <c r="S2447" s="2680"/>
      <c r="T2447" s="2680"/>
      <c r="U2447" s="2680"/>
      <c r="V2447" s="2680"/>
      <c r="W2447" s="2680"/>
      <c r="X2447" s="2680"/>
      <c r="Y2447" s="4026"/>
      <c r="Z2447" s="4026"/>
      <c r="AA2447" s="2680"/>
      <c r="AB2447" s="5079"/>
      <c r="AC2447" s="3524">
        <v>2</v>
      </c>
      <c r="AD2447" s="1032" t="s">
        <v>552</v>
      </c>
      <c r="AE2447" s="5870"/>
      <c r="AF2447" s="857"/>
      <c r="AG2447" s="3812">
        <f t="shared" si="522"/>
        <v>1910000</v>
      </c>
      <c r="AH2447" s="1032" t="s">
        <v>122</v>
      </c>
      <c r="AI2447" s="1032">
        <v>45191</v>
      </c>
      <c r="AJ2447" s="3812">
        <f>SUM(BD2447:BQ2447)</f>
        <v>1910000</v>
      </c>
      <c r="AK2447" s="1032">
        <v>45191</v>
      </c>
      <c r="AL2447" s="3812">
        <f>SUM(BF2447:BS2447)</f>
        <v>1910000</v>
      </c>
      <c r="AM2447" s="3812">
        <v>45196</v>
      </c>
      <c r="AN2447" s="3812">
        <f t="shared" si="523"/>
        <v>1910000</v>
      </c>
      <c r="AO2447" s="3812">
        <v>45230</v>
      </c>
      <c r="AP2447" s="3812"/>
      <c r="AQ2447" s="7147"/>
      <c r="AR2447" s="3524"/>
      <c r="AS2447" s="5129"/>
      <c r="AT2447" s="5122"/>
      <c r="AU2447" s="3524"/>
      <c r="AV2447" s="3524"/>
      <c r="AW2447" s="3524"/>
      <c r="AX2447" s="3524"/>
      <c r="AY2447" s="3524"/>
      <c r="AZ2447" s="3524"/>
      <c r="BA2447" s="5122"/>
      <c r="BB2447" s="5122"/>
      <c r="BC2447" s="3812">
        <v>1560000</v>
      </c>
      <c r="BD2447" s="3812">
        <v>350000</v>
      </c>
      <c r="BE2447" s="5146"/>
      <c r="BF2447" s="5146"/>
      <c r="BG2447" s="5146"/>
      <c r="BH2447" s="5146"/>
      <c r="BI2447" s="5146"/>
      <c r="BJ2447" s="5146"/>
      <c r="BK2447" s="5146"/>
      <c r="BL2447" s="5146"/>
      <c r="BM2447" s="5146"/>
      <c r="BN2447" s="5146"/>
      <c r="BO2447" s="5122"/>
      <c r="BP2447" s="5122"/>
      <c r="BQ2447" s="3812">
        <v>1560000</v>
      </c>
      <c r="BR2447" s="3812">
        <v>350000</v>
      </c>
      <c r="BS2447" s="5122"/>
      <c r="BT2447" s="7138"/>
      <c r="BU2447" s="7138"/>
      <c r="BV2447" s="5122"/>
      <c r="BW2447" s="5122"/>
      <c r="BX2447" s="5122"/>
      <c r="BY2447" s="5122"/>
      <c r="BZ2447" s="5122"/>
      <c r="CA2447" s="5122"/>
      <c r="CB2447" s="5122"/>
      <c r="CC2447" s="3524"/>
      <c r="CD2447" s="3524"/>
      <c r="CE2447" s="5169"/>
      <c r="CF2447" s="5169"/>
      <c r="CG2447" s="5169"/>
      <c r="CH2447" s="5169"/>
    </row>
    <row r="2448" s="4965" customFormat="1" ht="61" spans="1:86">
      <c r="A2448" s="3524"/>
      <c r="B2448" s="857" t="s">
        <v>2570</v>
      </c>
      <c r="C2448" s="3366">
        <v>45187</v>
      </c>
      <c r="D2448" s="1032" t="s">
        <v>4161</v>
      </c>
      <c r="E2448" s="3740"/>
      <c r="F2448" s="1032" t="s">
        <v>4162</v>
      </c>
      <c r="G2448" s="5073" t="s">
        <v>4163</v>
      </c>
      <c r="H2448" s="5073" t="s">
        <v>286</v>
      </c>
      <c r="I2448" s="5073"/>
      <c r="J2448" s="5073" t="s">
        <v>4164</v>
      </c>
      <c r="K2448" s="1032" t="s">
        <v>171</v>
      </c>
      <c r="L2448" s="1032" t="s">
        <v>4151</v>
      </c>
      <c r="M2448" s="3524">
        <f>SUM(N2448:AA2449)</f>
        <v>2000000</v>
      </c>
      <c r="N2448" s="3925"/>
      <c r="O2448" s="3925"/>
      <c r="P2448" s="3925">
        <v>1000000</v>
      </c>
      <c r="Q2448" s="3925">
        <v>1000000</v>
      </c>
      <c r="R2448" s="3925"/>
      <c r="S2448" s="3925"/>
      <c r="T2448" s="3925"/>
      <c r="U2448" s="3925"/>
      <c r="V2448" s="3925"/>
      <c r="W2448" s="3925"/>
      <c r="X2448" s="3925"/>
      <c r="Y2448" s="3925"/>
      <c r="Z2448" s="3925"/>
      <c r="AA2448" s="3925"/>
      <c r="AB2448" s="1035" t="s">
        <v>4152</v>
      </c>
      <c r="AC2448" s="3524">
        <v>1</v>
      </c>
      <c r="AD2448" s="1032" t="s">
        <v>4165</v>
      </c>
      <c r="AE2448" s="5870"/>
      <c r="AF2448" s="857"/>
      <c r="AG2448" s="3812">
        <f t="shared" si="522"/>
        <v>170000</v>
      </c>
      <c r="AH2448" s="857" t="s">
        <v>122</v>
      </c>
      <c r="AI2448" s="3812">
        <v>45422</v>
      </c>
      <c r="AJ2448" s="3812">
        <v>170000</v>
      </c>
      <c r="AK2448" s="3812">
        <v>45422</v>
      </c>
      <c r="AL2448" s="4813">
        <v>170000</v>
      </c>
      <c r="AM2448" s="3812">
        <v>45426</v>
      </c>
      <c r="AN2448" s="3812">
        <f t="shared" si="523"/>
        <v>170000</v>
      </c>
      <c r="AO2448" s="857">
        <v>45475</v>
      </c>
      <c r="AP2448" s="3812"/>
      <c r="AQ2448" s="5256" t="s">
        <v>4166</v>
      </c>
      <c r="AR2448" s="3524"/>
      <c r="AS2448" s="5129"/>
      <c r="AT2448" s="5122"/>
      <c r="AU2448" s="3524"/>
      <c r="AV2448" s="3524"/>
      <c r="AW2448" s="3524"/>
      <c r="AX2448" s="3524"/>
      <c r="AY2448" s="3524"/>
      <c r="AZ2448" s="3524"/>
      <c r="BA2448" s="5146"/>
      <c r="BB2448" s="5146"/>
      <c r="BC2448" s="3812">
        <v>170000</v>
      </c>
      <c r="BD2448" s="5146"/>
      <c r="BE2448" s="5146"/>
      <c r="BF2448" s="5146"/>
      <c r="BG2448" s="5146"/>
      <c r="BH2448" s="5146"/>
      <c r="BI2448" s="5146"/>
      <c r="BJ2448" s="5146"/>
      <c r="BK2448" s="5146"/>
      <c r="BL2448" s="5146"/>
      <c r="BM2448" s="5146"/>
      <c r="BN2448" s="5146"/>
      <c r="BO2448" s="5122"/>
      <c r="BP2448" s="5122"/>
      <c r="BQ2448" s="5123">
        <v>170000</v>
      </c>
      <c r="BR2448" s="3524"/>
      <c r="BS2448" s="5122"/>
      <c r="BT2448" s="7138"/>
      <c r="BU2448" s="7138"/>
      <c r="BV2448" s="5122"/>
      <c r="BW2448" s="5122"/>
      <c r="BX2448" s="5122"/>
      <c r="BY2448" s="5122"/>
      <c r="BZ2448" s="5122"/>
      <c r="CA2448" s="5122"/>
      <c r="CB2448" s="5122"/>
      <c r="CC2448" s="3524"/>
      <c r="CD2448" s="3524"/>
      <c r="CE2448" s="5169">
        <f>SUBTOTAL(9,BO2448:CB2448)</f>
        <v>170000</v>
      </c>
      <c r="CF2448" s="5169">
        <f>AN2448-CE2448</f>
        <v>0</v>
      </c>
      <c r="CG2448" s="5169"/>
      <c r="CH2448" s="5169"/>
    </row>
    <row r="2449" s="4965" customFormat="1" ht="16" spans="1:86">
      <c r="A2449" s="3524"/>
      <c r="B2449" s="857"/>
      <c r="C2449" s="3408"/>
      <c r="D2449" s="1032"/>
      <c r="E2449" s="3669"/>
      <c r="F2449" s="1032"/>
      <c r="G2449" s="3669"/>
      <c r="H2449" s="3669"/>
      <c r="I2449" s="3669"/>
      <c r="J2449" s="5205"/>
      <c r="K2449" s="1032"/>
      <c r="L2449" s="1032"/>
      <c r="M2449" s="3524"/>
      <c r="N2449" s="4026"/>
      <c r="O2449" s="4026"/>
      <c r="P2449" s="4026"/>
      <c r="Q2449" s="4026"/>
      <c r="R2449" s="4026"/>
      <c r="S2449" s="4026"/>
      <c r="T2449" s="4026"/>
      <c r="U2449" s="4026"/>
      <c r="V2449" s="4026"/>
      <c r="W2449" s="4026"/>
      <c r="X2449" s="4026"/>
      <c r="Y2449" s="4026"/>
      <c r="Z2449" s="4026"/>
      <c r="AA2449" s="4026"/>
      <c r="AB2449" s="5079"/>
      <c r="AC2449" s="857">
        <v>2</v>
      </c>
      <c r="AD2449" s="1032" t="s">
        <v>4156</v>
      </c>
      <c r="AE2449" s="5870"/>
      <c r="AF2449" s="857"/>
      <c r="AG2449" s="3812">
        <f t="shared" si="522"/>
        <v>1830000</v>
      </c>
      <c r="AH2449" s="857" t="s">
        <v>122</v>
      </c>
      <c r="AI2449" s="3812">
        <v>45422</v>
      </c>
      <c r="AJ2449" s="3812">
        <v>1830000</v>
      </c>
      <c r="AK2449" s="3812">
        <v>45422</v>
      </c>
      <c r="AL2449" s="4813">
        <v>1830000</v>
      </c>
      <c r="AM2449" s="3812">
        <v>45426</v>
      </c>
      <c r="AN2449" s="3812">
        <f t="shared" si="523"/>
        <v>1830000</v>
      </c>
      <c r="AO2449" s="3812">
        <v>45475</v>
      </c>
      <c r="AP2449" s="3812"/>
      <c r="AQ2449" s="5122"/>
      <c r="AR2449" s="3524"/>
      <c r="AS2449" s="5129"/>
      <c r="AT2449" s="5122"/>
      <c r="AU2449" s="3524"/>
      <c r="AV2449" s="3524"/>
      <c r="AW2449" s="3524"/>
      <c r="AX2449" s="3524"/>
      <c r="AY2449" s="3524"/>
      <c r="AZ2449" s="3524"/>
      <c r="BA2449" s="5146"/>
      <c r="BB2449" s="5146"/>
      <c r="BC2449" s="5485">
        <v>830000</v>
      </c>
      <c r="BD2449" s="5485">
        <v>1000000</v>
      </c>
      <c r="BE2449" s="5146"/>
      <c r="BF2449" s="5146"/>
      <c r="BG2449" s="5146"/>
      <c r="BH2449" s="5146"/>
      <c r="BI2449" s="5146"/>
      <c r="BJ2449" s="5146"/>
      <c r="BK2449" s="5146"/>
      <c r="BL2449" s="5146"/>
      <c r="BM2449" s="5146"/>
      <c r="BN2449" s="5146"/>
      <c r="BO2449" s="5122"/>
      <c r="BP2449" s="5122"/>
      <c r="BQ2449" s="5123">
        <v>830000</v>
      </c>
      <c r="BR2449" s="5123">
        <v>1000000</v>
      </c>
      <c r="BS2449" s="5122"/>
      <c r="BT2449" s="7138"/>
      <c r="BU2449" s="7138"/>
      <c r="BV2449" s="5122"/>
      <c r="BW2449" s="5122"/>
      <c r="BX2449" s="5122"/>
      <c r="BY2449" s="5122"/>
      <c r="BZ2449" s="5122"/>
      <c r="CA2449" s="5122"/>
      <c r="CB2449" s="5122"/>
      <c r="CC2449" s="3524"/>
      <c r="CD2449" s="3524"/>
      <c r="CE2449" s="5169">
        <f>SUBTOTAL(9,BO2449:CB2449)</f>
        <v>1830000</v>
      </c>
      <c r="CF2449" s="5169">
        <f>AN2449-CE2449</f>
        <v>0</v>
      </c>
      <c r="CG2449" s="5169"/>
      <c r="CH2449" s="5169"/>
    </row>
    <row r="2450" s="4965" customFormat="1" ht="15.55" customHeight="1" spans="1:86">
      <c r="A2450" s="3524"/>
      <c r="B2450" s="857" t="s">
        <v>2570</v>
      </c>
      <c r="C2450" s="3366">
        <v>45187</v>
      </c>
      <c r="D2450" s="1032" t="s">
        <v>4161</v>
      </c>
      <c r="E2450" s="3740"/>
      <c r="F2450" s="1032" t="s">
        <v>4167</v>
      </c>
      <c r="G2450" s="5073" t="s">
        <v>4168</v>
      </c>
      <c r="H2450" s="5073" t="s">
        <v>286</v>
      </c>
      <c r="I2450" s="5073"/>
      <c r="J2450" s="5073" t="s">
        <v>4169</v>
      </c>
      <c r="K2450" s="1032" t="s">
        <v>171</v>
      </c>
      <c r="L2450" s="1032" t="s">
        <v>4151</v>
      </c>
      <c r="M2450" s="3524">
        <f>SUM(N2450:AA2453)</f>
        <v>2000000</v>
      </c>
      <c r="N2450" s="3925"/>
      <c r="O2450" s="3925"/>
      <c r="P2450" s="3925">
        <v>1000000</v>
      </c>
      <c r="Q2450" s="3925">
        <v>1000000</v>
      </c>
      <c r="R2450" s="2680"/>
      <c r="S2450" s="2680"/>
      <c r="T2450" s="2680"/>
      <c r="U2450" s="2680"/>
      <c r="V2450" s="2680"/>
      <c r="W2450" s="2680"/>
      <c r="X2450" s="2680"/>
      <c r="Y2450" s="2680"/>
      <c r="Z2450" s="2680"/>
      <c r="AA2450" s="2680"/>
      <c r="AB2450" s="1035" t="s">
        <v>4152</v>
      </c>
      <c r="AC2450" s="3524">
        <v>1</v>
      </c>
      <c r="AD2450" s="1032" t="s">
        <v>4165</v>
      </c>
      <c r="AE2450" s="5870"/>
      <c r="AF2450" s="857"/>
      <c r="AG2450" s="3812">
        <f t="shared" si="522"/>
        <v>20000</v>
      </c>
      <c r="AH2450" s="1032" t="s">
        <v>122</v>
      </c>
      <c r="AI2450" s="3812">
        <v>45422</v>
      </c>
      <c r="AJ2450" s="3812">
        <v>20000</v>
      </c>
      <c r="AK2450" s="3812">
        <v>45422</v>
      </c>
      <c r="AL2450" s="4813">
        <f>SUM(BL2450:BY2450)</f>
        <v>20000</v>
      </c>
      <c r="AM2450" s="3812">
        <v>45422</v>
      </c>
      <c r="AN2450" s="3812">
        <f t="shared" si="523"/>
        <v>20000</v>
      </c>
      <c r="AO2450" s="3812">
        <v>45988</v>
      </c>
      <c r="AP2450" s="3812"/>
      <c r="AQ2450" s="5256" t="s">
        <v>4170</v>
      </c>
      <c r="AR2450" s="3524"/>
      <c r="AS2450" s="5129"/>
      <c r="AT2450" s="5122"/>
      <c r="AU2450" s="3524"/>
      <c r="AV2450" s="3524"/>
      <c r="AW2450" s="3524"/>
      <c r="AX2450" s="3524"/>
      <c r="AY2450" s="3524"/>
      <c r="AZ2450" s="3524"/>
      <c r="BA2450" s="5146"/>
      <c r="BB2450" s="5146"/>
      <c r="BC2450" s="3812">
        <v>20000</v>
      </c>
      <c r="BD2450" s="5146"/>
      <c r="BE2450" s="5146"/>
      <c r="BF2450" s="5146"/>
      <c r="BG2450" s="5146"/>
      <c r="BH2450" s="5146"/>
      <c r="BI2450" s="5146"/>
      <c r="BJ2450" s="5146"/>
      <c r="BK2450" s="5146"/>
      <c r="BL2450" s="5146"/>
      <c r="BM2450" s="5146"/>
      <c r="BN2450" s="5146"/>
      <c r="BO2450" s="5122"/>
      <c r="BP2450" s="5122"/>
      <c r="BQ2450" s="3812">
        <v>20000</v>
      </c>
      <c r="BR2450" s="5146"/>
      <c r="BS2450" s="5122"/>
      <c r="BT2450" s="7138"/>
      <c r="BU2450" s="7138"/>
      <c r="BV2450" s="5122"/>
      <c r="BW2450" s="5122"/>
      <c r="BX2450" s="5122"/>
      <c r="BY2450" s="5122"/>
      <c r="BZ2450" s="5122"/>
      <c r="CA2450" s="5122"/>
      <c r="CB2450" s="5122"/>
      <c r="CC2450" s="3524"/>
      <c r="CD2450" s="3524"/>
      <c r="CE2450" s="5169">
        <f>SUBTOTAL(9,BO2450:CB2450)</f>
        <v>20000</v>
      </c>
      <c r="CF2450" s="5169">
        <f>AN2450-CE2450</f>
        <v>0</v>
      </c>
      <c r="CG2450" s="5169"/>
      <c r="CH2450" s="5169"/>
    </row>
    <row r="2451" s="4965" customFormat="1" ht="15.55" customHeight="1" spans="1:86">
      <c r="A2451" s="3524"/>
      <c r="B2451" s="857"/>
      <c r="C2451" s="3408"/>
      <c r="D2451" s="1032"/>
      <c r="E2451" s="3669"/>
      <c r="F2451" s="1032"/>
      <c r="G2451" s="3669"/>
      <c r="H2451" s="3669"/>
      <c r="I2451" s="5205"/>
      <c r="J2451" s="5205"/>
      <c r="K2451" s="1032"/>
      <c r="L2451" s="1032"/>
      <c r="M2451" s="3524"/>
      <c r="N2451" s="4026"/>
      <c r="O2451" s="4026"/>
      <c r="P2451" s="4026"/>
      <c r="Q2451" s="4026"/>
      <c r="R2451" s="2680"/>
      <c r="S2451" s="2680"/>
      <c r="T2451" s="2680"/>
      <c r="U2451" s="2680"/>
      <c r="V2451" s="2680"/>
      <c r="W2451" s="2680"/>
      <c r="X2451" s="2680"/>
      <c r="Y2451" s="2680"/>
      <c r="Z2451" s="2680"/>
      <c r="AA2451" s="2680"/>
      <c r="AB2451" s="5079"/>
      <c r="AC2451" s="3524">
        <v>2</v>
      </c>
      <c r="AD2451" s="1032" t="s">
        <v>4156</v>
      </c>
      <c r="AE2451" s="5870"/>
      <c r="AF2451" s="857"/>
      <c r="AG2451" s="3812">
        <f t="shared" si="522"/>
        <v>520000</v>
      </c>
      <c r="AH2451" s="1032" t="s">
        <v>122</v>
      </c>
      <c r="AI2451" s="3812">
        <v>45422</v>
      </c>
      <c r="AJ2451" s="3812">
        <v>520000</v>
      </c>
      <c r="AK2451" s="3812">
        <v>45422</v>
      </c>
      <c r="AL2451" s="4813">
        <f>SUM(BL2451:BY2451)</f>
        <v>520000</v>
      </c>
      <c r="AM2451" s="3812">
        <v>45422</v>
      </c>
      <c r="AN2451" s="3812">
        <f t="shared" si="523"/>
        <v>520000</v>
      </c>
      <c r="AO2451" s="3812">
        <v>45988</v>
      </c>
      <c r="AP2451" s="3812"/>
      <c r="AQ2451" s="5252" t="s">
        <v>4171</v>
      </c>
      <c r="AR2451" s="3524"/>
      <c r="AS2451" s="5129"/>
      <c r="AT2451" s="5122"/>
      <c r="AU2451" s="3524"/>
      <c r="AV2451" s="3524"/>
      <c r="AW2451" s="3524"/>
      <c r="AX2451" s="3524"/>
      <c r="AY2451" s="3524"/>
      <c r="AZ2451" s="3524"/>
      <c r="BA2451" s="5146"/>
      <c r="BB2451" s="5146"/>
      <c r="BC2451" s="5485">
        <v>260000</v>
      </c>
      <c r="BD2451" s="5485">
        <v>260000</v>
      </c>
      <c r="BE2451" s="5146"/>
      <c r="BF2451" s="5146"/>
      <c r="BG2451" s="5146"/>
      <c r="BH2451" s="5146"/>
      <c r="BI2451" s="5146"/>
      <c r="BJ2451" s="5146"/>
      <c r="BK2451" s="5146"/>
      <c r="BL2451" s="5146"/>
      <c r="BM2451" s="5146"/>
      <c r="BN2451" s="5146"/>
      <c r="BO2451" s="5122"/>
      <c r="BP2451" s="5122"/>
      <c r="BQ2451" s="3812">
        <v>260000</v>
      </c>
      <c r="BR2451" s="3812">
        <v>260000</v>
      </c>
      <c r="BS2451" s="5122"/>
      <c r="BT2451" s="7138"/>
      <c r="BU2451" s="7138"/>
      <c r="BV2451" s="5122"/>
      <c r="BW2451" s="5122"/>
      <c r="BX2451" s="5122"/>
      <c r="BY2451" s="5122"/>
      <c r="BZ2451" s="5122"/>
      <c r="CA2451" s="5122"/>
      <c r="CB2451" s="5122"/>
      <c r="CC2451" s="3524"/>
      <c r="CD2451" s="3524"/>
      <c r="CE2451" s="5169">
        <f>SUBTOTAL(9,BO2451:CB2451)</f>
        <v>520000</v>
      </c>
      <c r="CF2451" s="5169">
        <f>AN2451-CE2451</f>
        <v>0</v>
      </c>
      <c r="CG2451" s="5169"/>
      <c r="CH2451" s="5169"/>
    </row>
    <row r="2452" s="4965" customFormat="1" ht="166.65" customHeight="1" spans="1:86">
      <c r="A2452" s="3524"/>
      <c r="B2452" s="857"/>
      <c r="C2452" s="3408"/>
      <c r="D2452" s="1032"/>
      <c r="E2452" s="3669"/>
      <c r="F2452" s="1032"/>
      <c r="G2452" s="3669"/>
      <c r="H2452" s="3669"/>
      <c r="I2452" s="5205"/>
      <c r="J2452" s="5205"/>
      <c r="K2452" s="1032"/>
      <c r="L2452" s="1032"/>
      <c r="M2452" s="3524"/>
      <c r="N2452" s="4026"/>
      <c r="O2452" s="4026"/>
      <c r="P2452" s="4026"/>
      <c r="Q2452" s="4026"/>
      <c r="R2452" s="2680"/>
      <c r="S2452" s="2680"/>
      <c r="T2452" s="2680"/>
      <c r="U2452" s="2680"/>
      <c r="V2452" s="2680"/>
      <c r="W2452" s="2680"/>
      <c r="X2452" s="2680"/>
      <c r="Y2452" s="2680"/>
      <c r="Z2452" s="2680"/>
      <c r="AA2452" s="2680"/>
      <c r="AB2452" s="5079"/>
      <c r="AC2452" s="3524">
        <v>3</v>
      </c>
      <c r="AD2452" s="1032" t="s">
        <v>4172</v>
      </c>
      <c r="AE2452" s="5870"/>
      <c r="AF2452" s="857"/>
      <c r="AG2452" s="3812">
        <f t="shared" si="522"/>
        <v>1280000</v>
      </c>
      <c r="AH2452" s="1032" t="s">
        <v>122</v>
      </c>
      <c r="AI2452" s="3812">
        <v>45422</v>
      </c>
      <c r="AJ2452" s="3812">
        <f>SUM(BD2452:BQ2452)</f>
        <v>1280000</v>
      </c>
      <c r="AK2452" s="3812">
        <v>45422</v>
      </c>
      <c r="AL2452" s="3812">
        <v>1070000</v>
      </c>
      <c r="AM2452" s="3812">
        <v>45422</v>
      </c>
      <c r="AN2452" s="3812">
        <f t="shared" si="523"/>
        <v>1280000</v>
      </c>
      <c r="AO2452" s="3812">
        <v>45777</v>
      </c>
      <c r="AP2452" s="3812"/>
      <c r="AQ2452" s="7148" t="s">
        <v>4173</v>
      </c>
      <c r="AR2452" s="3524"/>
      <c r="AS2452" s="5129"/>
      <c r="AT2452" s="5122"/>
      <c r="AU2452" s="3524"/>
      <c r="AV2452" s="3524"/>
      <c r="AW2452" s="3524"/>
      <c r="AX2452" s="3524"/>
      <c r="AY2452" s="3524"/>
      <c r="AZ2452" s="3524"/>
      <c r="BA2452" s="5146"/>
      <c r="BB2452" s="5146"/>
      <c r="BC2452" s="3812">
        <v>610000</v>
      </c>
      <c r="BD2452" s="3812">
        <v>670000</v>
      </c>
      <c r="BE2452" s="5146"/>
      <c r="BF2452" s="5146"/>
      <c r="BG2452" s="5146"/>
      <c r="BH2452" s="5146"/>
      <c r="BI2452" s="5146"/>
      <c r="BJ2452" s="5146"/>
      <c r="BK2452" s="5146"/>
      <c r="BL2452" s="5146"/>
      <c r="BM2452" s="5146"/>
      <c r="BN2452" s="5146"/>
      <c r="BO2452" s="5122"/>
      <c r="BP2452" s="5122"/>
      <c r="BQ2452" s="3812">
        <v>610000</v>
      </c>
      <c r="BR2452" s="3812">
        <v>670000</v>
      </c>
      <c r="BS2452" s="5122"/>
      <c r="BT2452" s="7138"/>
      <c r="BU2452" s="7138"/>
      <c r="BV2452" s="5122"/>
      <c r="BW2452" s="5122"/>
      <c r="BX2452" s="5122"/>
      <c r="BY2452" s="5122"/>
      <c r="BZ2452" s="5122"/>
      <c r="CA2452" s="5122"/>
      <c r="CB2452" s="5122"/>
      <c r="CC2452" s="3524"/>
      <c r="CD2452" s="3524"/>
      <c r="CE2452" s="5169">
        <f>SUBTOTAL(9,BO2452:CB2452)</f>
        <v>1280000</v>
      </c>
      <c r="CF2452" s="5169">
        <f>AN2452-CE2452</f>
        <v>0</v>
      </c>
      <c r="CG2452" s="5169"/>
      <c r="CH2452" s="5169"/>
    </row>
    <row r="2453" s="4965" customFormat="1" ht="23.35" customHeight="1" spans="1:86">
      <c r="A2453" s="3524"/>
      <c r="B2453" s="857"/>
      <c r="C2453" s="3408"/>
      <c r="D2453" s="1032"/>
      <c r="E2453" s="3669"/>
      <c r="F2453" s="1032"/>
      <c r="G2453" s="3669"/>
      <c r="H2453" s="3669"/>
      <c r="I2453" s="5205"/>
      <c r="J2453" s="5205"/>
      <c r="K2453" s="1032"/>
      <c r="L2453" s="1032"/>
      <c r="M2453" s="3524"/>
      <c r="N2453" s="4026"/>
      <c r="O2453" s="4026"/>
      <c r="P2453" s="4026"/>
      <c r="Q2453" s="4026"/>
      <c r="R2453" s="2680"/>
      <c r="S2453" s="2680"/>
      <c r="T2453" s="2680"/>
      <c r="U2453" s="2680"/>
      <c r="V2453" s="2680"/>
      <c r="W2453" s="2680"/>
      <c r="X2453" s="2680"/>
      <c r="Y2453" s="2680"/>
      <c r="Z2453" s="2680"/>
      <c r="AA2453" s="2680"/>
      <c r="AB2453" s="5079"/>
      <c r="AC2453" s="4903"/>
      <c r="AD2453" s="1032" t="s">
        <v>4174</v>
      </c>
      <c r="AE2453" s="5870"/>
      <c r="AF2453" s="857"/>
      <c r="AG2453" s="3812">
        <f t="shared" si="522"/>
        <v>180000</v>
      </c>
      <c r="AH2453" s="1032" t="s">
        <v>122</v>
      </c>
      <c r="AI2453" s="3812">
        <v>45422</v>
      </c>
      <c r="AJ2453" s="3812">
        <f>SUM(BD2453:BQ2453)</f>
        <v>180000</v>
      </c>
      <c r="AK2453" s="3812">
        <v>45422</v>
      </c>
      <c r="AL2453" s="4813">
        <v>390000</v>
      </c>
      <c r="AM2453" s="3812">
        <v>45422</v>
      </c>
      <c r="AN2453" s="5123">
        <f t="shared" si="523"/>
        <v>180000</v>
      </c>
      <c r="AO2453" s="5123"/>
      <c r="AP2453" s="3812"/>
      <c r="AQ2453" s="5252" t="s">
        <v>4175</v>
      </c>
      <c r="AR2453" s="3524"/>
      <c r="AS2453" s="5129"/>
      <c r="AT2453" s="5122"/>
      <c r="AU2453" s="3524"/>
      <c r="AV2453" s="3524"/>
      <c r="AW2453" s="3524"/>
      <c r="AX2453" s="3524"/>
      <c r="AY2453" s="3524"/>
      <c r="AZ2453" s="3524"/>
      <c r="BA2453" s="5146"/>
      <c r="BB2453" s="5146"/>
      <c r="BC2453" s="5485">
        <v>110000</v>
      </c>
      <c r="BD2453" s="5485">
        <v>70000</v>
      </c>
      <c r="BE2453" s="5146"/>
      <c r="BF2453" s="5146"/>
      <c r="BG2453" s="5146"/>
      <c r="BH2453" s="5146"/>
      <c r="BI2453" s="5146"/>
      <c r="BJ2453" s="5146"/>
      <c r="BK2453" s="5146"/>
      <c r="BL2453" s="5146"/>
      <c r="BM2453" s="5146"/>
      <c r="BN2453" s="5146"/>
      <c r="BO2453" s="5122"/>
      <c r="BP2453" s="5122"/>
      <c r="BQ2453" s="5485">
        <v>110000</v>
      </c>
      <c r="BR2453" s="5485">
        <v>70000</v>
      </c>
      <c r="BS2453" s="5122"/>
      <c r="BT2453" s="7138"/>
      <c r="BU2453" s="7138"/>
      <c r="BV2453" s="5122"/>
      <c r="BW2453" s="5122"/>
      <c r="BX2453" s="5122"/>
      <c r="BY2453" s="5122"/>
      <c r="BZ2453" s="5122"/>
      <c r="CA2453" s="5122"/>
      <c r="CB2453" s="5122"/>
      <c r="CC2453" s="3524"/>
      <c r="CD2453" s="3524"/>
      <c r="CE2453" s="5169"/>
      <c r="CF2453" s="5169"/>
      <c r="CG2453" s="5169"/>
      <c r="CH2453" s="5169"/>
    </row>
    <row r="2454" s="4965" customFormat="1" ht="201.3" customHeight="1" spans="1:86">
      <c r="A2454" s="3524"/>
      <c r="B2454" s="857" t="s">
        <v>2570</v>
      </c>
      <c r="C2454" s="3366">
        <v>45131</v>
      </c>
      <c r="D2454" s="1032" t="s">
        <v>4161</v>
      </c>
      <c r="E2454" s="3740"/>
      <c r="F2454" s="1032" t="s">
        <v>4162</v>
      </c>
      <c r="G2454" s="5073" t="s">
        <v>4176</v>
      </c>
      <c r="H2454" s="5073" t="s">
        <v>286</v>
      </c>
      <c r="I2454" s="5073"/>
      <c r="J2454" s="5073" t="s">
        <v>4177</v>
      </c>
      <c r="K2454" s="1032" t="s">
        <v>171</v>
      </c>
      <c r="L2454" s="1032" t="s">
        <v>4151</v>
      </c>
      <c r="M2454" s="3524">
        <f>SUM(N2454:AA2455)</f>
        <v>2000000</v>
      </c>
      <c r="N2454" s="4026"/>
      <c r="O2454" s="4026"/>
      <c r="P2454" s="3925">
        <v>1000000</v>
      </c>
      <c r="Q2454" s="3925">
        <v>1000000</v>
      </c>
      <c r="R2454" s="2680"/>
      <c r="S2454" s="2680"/>
      <c r="T2454" s="2680"/>
      <c r="U2454" s="2680"/>
      <c r="V2454" s="2680"/>
      <c r="W2454" s="2680"/>
      <c r="X2454" s="2680"/>
      <c r="Y2454" s="2680"/>
      <c r="Z2454" s="2680"/>
      <c r="AA2454" s="2680"/>
      <c r="AB2454" s="1035" t="s">
        <v>4152</v>
      </c>
      <c r="AC2454" s="3524">
        <v>1</v>
      </c>
      <c r="AD2454" s="1032" t="s">
        <v>4178</v>
      </c>
      <c r="AE2454" s="5870"/>
      <c r="AF2454" s="857"/>
      <c r="AG2454" s="3812">
        <f t="shared" si="522"/>
        <v>190000</v>
      </c>
      <c r="AH2454" s="5168" t="s">
        <v>122</v>
      </c>
      <c r="AI2454" s="3812">
        <v>45287</v>
      </c>
      <c r="AJ2454" s="3812">
        <f>SUM(BD2454:BQ2454)</f>
        <v>190000</v>
      </c>
      <c r="AK2454" s="3812">
        <v>45287</v>
      </c>
      <c r="AL2454" s="4813">
        <f>SUM(BL2454:BY2454)</f>
        <v>190000</v>
      </c>
      <c r="AM2454" s="3812">
        <v>45434</v>
      </c>
      <c r="AN2454" s="3812">
        <f t="shared" si="523"/>
        <v>190000</v>
      </c>
      <c r="AO2454" s="857">
        <v>45477</v>
      </c>
      <c r="AP2454" s="3812"/>
      <c r="AQ2454" s="5256"/>
      <c r="AR2454" s="3524"/>
      <c r="AS2454" s="5129"/>
      <c r="AT2454" s="5122"/>
      <c r="AU2454" s="3524"/>
      <c r="AV2454" s="3524"/>
      <c r="AW2454" s="3524"/>
      <c r="AX2454" s="3524"/>
      <c r="AY2454" s="3524"/>
      <c r="AZ2454" s="3524"/>
      <c r="BA2454" s="5122"/>
      <c r="BB2454" s="5122"/>
      <c r="BC2454" s="3812">
        <v>190000</v>
      </c>
      <c r="BD2454" s="5160"/>
      <c r="BE2454" s="5122"/>
      <c r="BF2454" s="5122"/>
      <c r="BG2454" s="5122"/>
      <c r="BH2454" s="7138"/>
      <c r="BI2454" s="5122"/>
      <c r="BJ2454" s="5122"/>
      <c r="BK2454" s="5122"/>
      <c r="BL2454" s="5122"/>
      <c r="BM2454" s="5122"/>
      <c r="BN2454" s="5122"/>
      <c r="BO2454" s="5122"/>
      <c r="BP2454" s="5122"/>
      <c r="BQ2454" s="3812">
        <v>190000</v>
      </c>
      <c r="BR2454" s="5160"/>
      <c r="BS2454" s="5122"/>
      <c r="BT2454" s="7138"/>
      <c r="BU2454" s="7138"/>
      <c r="BV2454" s="5122"/>
      <c r="BW2454" s="5122"/>
      <c r="BX2454" s="5122"/>
      <c r="BY2454" s="5122"/>
      <c r="BZ2454" s="5122"/>
      <c r="CA2454" s="5122"/>
      <c r="CB2454" s="5122"/>
      <c r="CC2454" s="3524"/>
      <c r="CD2454" s="3524"/>
      <c r="CE2454" s="5169">
        <f>SUBTOTAL(9,BO2454:CB2454)</f>
        <v>190000</v>
      </c>
      <c r="CF2454" s="5169">
        <f>AN2454-CE2454</f>
        <v>0</v>
      </c>
      <c r="CG2454" s="5169"/>
      <c r="CH2454" s="5169"/>
    </row>
    <row r="2455" s="4980" customFormat="1" ht="16" spans="1:86">
      <c r="A2455" s="3812"/>
      <c r="B2455" s="857"/>
      <c r="C2455" s="3408"/>
      <c r="D2455" s="1032"/>
      <c r="E2455" s="3669"/>
      <c r="F2455" s="1032"/>
      <c r="G2455" s="5074"/>
      <c r="H2455" s="5074"/>
      <c r="I2455" s="5074"/>
      <c r="J2455" s="5205"/>
      <c r="K2455" s="1032"/>
      <c r="L2455" s="1032"/>
      <c r="M2455" s="3812"/>
      <c r="N2455" s="4026"/>
      <c r="O2455" s="4026"/>
      <c r="P2455" s="4026"/>
      <c r="Q2455" s="4026"/>
      <c r="R2455" s="2680"/>
      <c r="S2455" s="2680"/>
      <c r="T2455" s="2680"/>
      <c r="U2455" s="2680"/>
      <c r="V2455" s="2680"/>
      <c r="W2455" s="2680"/>
      <c r="X2455" s="2680"/>
      <c r="Y2455" s="2680"/>
      <c r="Z2455" s="2680"/>
      <c r="AA2455" s="2680"/>
      <c r="AB2455" s="5079"/>
      <c r="AC2455" s="3812">
        <v>3</v>
      </c>
      <c r="AD2455" s="1032" t="s">
        <v>4156</v>
      </c>
      <c r="AE2455" s="5878"/>
      <c r="AF2455" s="857"/>
      <c r="AG2455" s="3812">
        <f t="shared" si="522"/>
        <v>1810000</v>
      </c>
      <c r="AH2455" s="1032" t="s">
        <v>122</v>
      </c>
      <c r="AI2455" s="3812">
        <v>45434</v>
      </c>
      <c r="AJ2455" s="3812">
        <f>SUM(BD2455:BQ2455)</f>
        <v>1810000</v>
      </c>
      <c r="AK2455" s="3812">
        <v>45434</v>
      </c>
      <c r="AL2455" s="4813">
        <v>1810000</v>
      </c>
      <c r="AM2455" s="3812">
        <v>45434</v>
      </c>
      <c r="AN2455" s="3812">
        <f t="shared" si="523"/>
        <v>1810000</v>
      </c>
      <c r="AO2455" s="857">
        <v>45477</v>
      </c>
      <c r="AP2455" s="3812"/>
      <c r="AQ2455" s="5146"/>
      <c r="AR2455" s="3812"/>
      <c r="AS2455" s="5833"/>
      <c r="AT2455" s="5146"/>
      <c r="AU2455" s="3524"/>
      <c r="AV2455" s="3524"/>
      <c r="AW2455" s="3524"/>
      <c r="AX2455" s="3524"/>
      <c r="AY2455" s="3524"/>
      <c r="AZ2455" s="3524"/>
      <c r="BA2455" s="5146"/>
      <c r="BB2455" s="5146"/>
      <c r="BC2455" s="5485">
        <v>810000</v>
      </c>
      <c r="BD2455" s="5485">
        <v>1000000</v>
      </c>
      <c r="BE2455" s="5146"/>
      <c r="BF2455" s="5146"/>
      <c r="BG2455" s="5146"/>
      <c r="BH2455" s="5146"/>
      <c r="BI2455" s="5146"/>
      <c r="BJ2455" s="5146"/>
      <c r="BK2455" s="5146"/>
      <c r="BL2455" s="5146"/>
      <c r="BM2455" s="5146"/>
      <c r="BN2455" s="5146"/>
      <c r="BO2455" s="5146"/>
      <c r="BP2455" s="5146"/>
      <c r="BQ2455" s="3812">
        <v>810000</v>
      </c>
      <c r="BR2455" s="3812">
        <v>1000000</v>
      </c>
      <c r="BS2455" s="5146"/>
      <c r="BT2455" s="5146"/>
      <c r="BU2455" s="5146"/>
      <c r="BV2455" s="5146"/>
      <c r="BW2455" s="5146"/>
      <c r="BX2455" s="5146"/>
      <c r="BY2455" s="5146"/>
      <c r="BZ2455" s="5146"/>
      <c r="CA2455" s="5146"/>
      <c r="CB2455" s="5146"/>
      <c r="CC2455" s="3812"/>
      <c r="CD2455" s="3812"/>
      <c r="CE2455" s="5169">
        <f>SUBTOTAL(9,BO2455:CB2455)</f>
        <v>1810000</v>
      </c>
      <c r="CF2455" s="5169">
        <f>AN2455-CE2455</f>
        <v>0</v>
      </c>
      <c r="CG2455" s="5154"/>
      <c r="CH2455" s="5154"/>
    </row>
    <row r="2456" s="4980" customFormat="1" ht="20" customHeight="1" spans="1:86">
      <c r="A2456" s="3812"/>
      <c r="B2456" s="3366" t="s">
        <v>2570</v>
      </c>
      <c r="C2456" s="3408">
        <v>45558</v>
      </c>
      <c r="D2456" s="5073" t="s">
        <v>4179</v>
      </c>
      <c r="E2456" s="3669"/>
      <c r="F2456" s="5073" t="s">
        <v>4180</v>
      </c>
      <c r="G2456" s="5205" t="s">
        <v>4181</v>
      </c>
      <c r="H2456" s="5205" t="s">
        <v>286</v>
      </c>
      <c r="I2456" s="5205" t="s">
        <v>4182</v>
      </c>
      <c r="J2456" s="5205" t="s">
        <v>4183</v>
      </c>
      <c r="K2456" s="5073"/>
      <c r="L2456" s="5073" t="s">
        <v>4184</v>
      </c>
      <c r="M2456" s="4840">
        <f>SUM(N2456:AA2469)</f>
        <v>1800000</v>
      </c>
      <c r="N2456" s="4026"/>
      <c r="O2456" s="4026"/>
      <c r="P2456" s="4026">
        <v>900000</v>
      </c>
      <c r="Q2456" s="4026">
        <v>900000</v>
      </c>
      <c r="R2456" s="4026"/>
      <c r="S2456" s="4026"/>
      <c r="T2456" s="4026"/>
      <c r="U2456" s="4026"/>
      <c r="V2456" s="4026"/>
      <c r="W2456" s="4026"/>
      <c r="X2456" s="4026"/>
      <c r="Y2456" s="4026"/>
      <c r="Z2456" s="4026"/>
      <c r="AA2456" s="4026"/>
      <c r="AB2456" s="6040" t="s">
        <v>4152</v>
      </c>
      <c r="AC2456" s="3366">
        <v>1</v>
      </c>
      <c r="AD2456" s="1032" t="s">
        <v>4185</v>
      </c>
      <c r="AE2456" s="5878" t="s">
        <v>4186</v>
      </c>
      <c r="AF2456" s="857"/>
      <c r="AG2456" s="4813">
        <f t="shared" si="522"/>
        <v>200000</v>
      </c>
      <c r="AH2456" s="1032" t="s">
        <v>122</v>
      </c>
      <c r="AI2456" s="3812">
        <v>45615</v>
      </c>
      <c r="AJ2456" s="3812">
        <v>200000</v>
      </c>
      <c r="AK2456" s="4813">
        <v>45615</v>
      </c>
      <c r="AL2456" s="3812">
        <v>200000</v>
      </c>
      <c r="AM2456" s="3812">
        <v>45615</v>
      </c>
      <c r="AN2456" s="3812">
        <f t="shared" si="523"/>
        <v>200000</v>
      </c>
      <c r="AO2456" s="857">
        <v>45635</v>
      </c>
      <c r="AP2456" s="3812"/>
      <c r="AQ2456" s="5146"/>
      <c r="AR2456" s="3812"/>
      <c r="AS2456" s="5833"/>
      <c r="AT2456" s="5146"/>
      <c r="AU2456" s="3524"/>
      <c r="AV2456" s="3524"/>
      <c r="AW2456" s="3524"/>
      <c r="AX2456" s="3524"/>
      <c r="AY2456" s="3524"/>
      <c r="AZ2456" s="3524"/>
      <c r="BA2456" s="5146"/>
      <c r="BB2456" s="5146"/>
      <c r="BC2456" s="3812">
        <v>200000</v>
      </c>
      <c r="BD2456" s="3812"/>
      <c r="BE2456" s="5146"/>
      <c r="BF2456" s="5146"/>
      <c r="BG2456" s="5146"/>
      <c r="BH2456" s="5146"/>
      <c r="BI2456" s="5146"/>
      <c r="BJ2456" s="5146"/>
      <c r="BK2456" s="5146"/>
      <c r="BL2456" s="5146"/>
      <c r="BM2456" s="5146"/>
      <c r="BN2456" s="5146"/>
      <c r="BO2456" s="5146"/>
      <c r="BP2456" s="5146"/>
      <c r="BQ2456" s="5123">
        <v>200000</v>
      </c>
      <c r="BR2456" s="5123"/>
      <c r="BS2456" s="5146"/>
      <c r="BT2456" s="5146"/>
      <c r="BU2456" s="5146"/>
      <c r="BV2456" s="5146"/>
      <c r="BW2456" s="5146"/>
      <c r="BX2456" s="5146"/>
      <c r="BY2456" s="5146"/>
      <c r="BZ2456" s="5146"/>
      <c r="CA2456" s="5146"/>
      <c r="CB2456" s="5146"/>
      <c r="CC2456" s="3812"/>
      <c r="CD2456" s="3812"/>
      <c r="CE2456" s="5169"/>
      <c r="CF2456" s="5169"/>
      <c r="CG2456" s="5154"/>
      <c r="CH2456" s="5154"/>
    </row>
    <row r="2457" s="4980" customFormat="1" ht="137" spans="1:86">
      <c r="A2457" s="3812"/>
      <c r="B2457" s="3408"/>
      <c r="C2457" s="3408"/>
      <c r="D2457" s="5205"/>
      <c r="E2457" s="3669"/>
      <c r="F2457" s="5205"/>
      <c r="G2457" s="5074"/>
      <c r="H2457" s="5074"/>
      <c r="I2457" s="5074"/>
      <c r="J2457" s="5205"/>
      <c r="K2457" s="5205"/>
      <c r="L2457" s="5205"/>
      <c r="M2457" s="4841"/>
      <c r="N2457" s="4026"/>
      <c r="O2457" s="4026"/>
      <c r="P2457" s="4026"/>
      <c r="Q2457" s="4026"/>
      <c r="R2457" s="4026"/>
      <c r="S2457" s="4026"/>
      <c r="T2457" s="4026"/>
      <c r="U2457" s="4026"/>
      <c r="V2457" s="4026"/>
      <c r="W2457" s="4026"/>
      <c r="X2457" s="4026"/>
      <c r="Y2457" s="4026"/>
      <c r="Z2457" s="4026"/>
      <c r="AA2457" s="4026"/>
      <c r="AB2457" s="5821"/>
      <c r="AC2457" s="3408"/>
      <c r="AD2457" s="7142" t="s">
        <v>4187</v>
      </c>
      <c r="AE2457" s="5878" t="s">
        <v>4186</v>
      </c>
      <c r="AF2457" s="857"/>
      <c r="AG2457" s="4813">
        <f t="shared" si="522"/>
        <v>220000</v>
      </c>
      <c r="AH2457" s="1032" t="s">
        <v>122</v>
      </c>
      <c r="AI2457" s="3812">
        <v>45615</v>
      </c>
      <c r="AJ2457" s="3812">
        <v>220000</v>
      </c>
      <c r="AK2457" s="4813">
        <v>45615</v>
      </c>
      <c r="AL2457" s="3812">
        <v>220000</v>
      </c>
      <c r="AM2457" s="3812">
        <v>45615</v>
      </c>
      <c r="AN2457" s="3812">
        <f t="shared" ref="AN2457:AN2465" si="524">SUM(BO2457:CB2457)</f>
        <v>220000</v>
      </c>
      <c r="AO2457" s="857">
        <v>45635</v>
      </c>
      <c r="AP2457" s="3812"/>
      <c r="AQ2457" s="5146"/>
      <c r="AR2457" s="3812"/>
      <c r="AS2457" s="5833"/>
      <c r="AT2457" s="5146"/>
      <c r="AU2457" s="3524"/>
      <c r="AV2457" s="3524"/>
      <c r="AW2457" s="3524"/>
      <c r="AX2457" s="3524"/>
      <c r="AY2457" s="3524"/>
      <c r="AZ2457" s="3524"/>
      <c r="BA2457" s="5146"/>
      <c r="BB2457" s="5146"/>
      <c r="BC2457" s="3812">
        <f>50000+50000+20000+50000+50000</f>
        <v>220000</v>
      </c>
      <c r="BD2457" s="3812"/>
      <c r="BE2457" s="5146"/>
      <c r="BF2457" s="5146"/>
      <c r="BG2457" s="5146"/>
      <c r="BH2457" s="5146"/>
      <c r="BI2457" s="5146"/>
      <c r="BJ2457" s="5146"/>
      <c r="BK2457" s="5146"/>
      <c r="BL2457" s="5146"/>
      <c r="BM2457" s="5146"/>
      <c r="BN2457" s="5146"/>
      <c r="BO2457" s="5146"/>
      <c r="BP2457" s="5146"/>
      <c r="BQ2457" s="5123">
        <f>50000+50000+20000+50000+50000</f>
        <v>220000</v>
      </c>
      <c r="BR2457" s="5123"/>
      <c r="BS2457" s="5146"/>
      <c r="BT2457" s="5146"/>
      <c r="BU2457" s="5146"/>
      <c r="BV2457" s="5146"/>
      <c r="BW2457" s="5146"/>
      <c r="BX2457" s="5146"/>
      <c r="BY2457" s="5146"/>
      <c r="BZ2457" s="5146"/>
      <c r="CA2457" s="5146"/>
      <c r="CB2457" s="5146"/>
      <c r="CC2457" s="3812"/>
      <c r="CD2457" s="3812"/>
      <c r="CE2457" s="5169"/>
      <c r="CF2457" s="5169"/>
      <c r="CG2457" s="5154"/>
      <c r="CH2457" s="5154"/>
    </row>
    <row r="2458" s="4980" customFormat="1" ht="33" customHeight="1" spans="1:86">
      <c r="A2458" s="3812"/>
      <c r="B2458" s="3408"/>
      <c r="C2458" s="3408"/>
      <c r="D2458" s="5205"/>
      <c r="E2458" s="3669"/>
      <c r="F2458" s="5205"/>
      <c r="G2458" s="5074"/>
      <c r="H2458" s="5074"/>
      <c r="I2458" s="5074"/>
      <c r="J2458" s="5205"/>
      <c r="K2458" s="5205"/>
      <c r="L2458" s="5205"/>
      <c r="M2458" s="4841"/>
      <c r="N2458" s="4026"/>
      <c r="O2458" s="4026"/>
      <c r="P2458" s="4026"/>
      <c r="Q2458" s="4026"/>
      <c r="R2458" s="4026"/>
      <c r="S2458" s="4026"/>
      <c r="T2458" s="4026"/>
      <c r="U2458" s="4026"/>
      <c r="V2458" s="4026"/>
      <c r="W2458" s="4026"/>
      <c r="X2458" s="4026"/>
      <c r="Y2458" s="4026"/>
      <c r="Z2458" s="4026"/>
      <c r="AA2458" s="4026"/>
      <c r="AB2458" s="5821"/>
      <c r="AC2458" s="3408"/>
      <c r="AD2458" s="1032" t="s">
        <v>4188</v>
      </c>
      <c r="AE2458" s="5878" t="s">
        <v>4186</v>
      </c>
      <c r="AF2458" s="857"/>
      <c r="AG2458" s="4813">
        <f t="shared" si="522"/>
        <v>20000</v>
      </c>
      <c r="AH2458" s="1032" t="s">
        <v>122</v>
      </c>
      <c r="AI2458" s="3812">
        <v>45615</v>
      </c>
      <c r="AJ2458" s="3812">
        <v>20000</v>
      </c>
      <c r="AK2458" s="4813">
        <v>45615</v>
      </c>
      <c r="AL2458" s="3812">
        <v>20000</v>
      </c>
      <c r="AM2458" s="3812">
        <v>45615</v>
      </c>
      <c r="AN2458" s="3812">
        <f t="shared" si="524"/>
        <v>20000</v>
      </c>
      <c r="AO2458" s="857">
        <v>45635</v>
      </c>
      <c r="AP2458" s="3812"/>
      <c r="AQ2458" s="5146"/>
      <c r="AR2458" s="3812"/>
      <c r="AS2458" s="5833"/>
      <c r="AT2458" s="5146"/>
      <c r="AU2458" s="3524"/>
      <c r="AV2458" s="3524"/>
      <c r="AW2458" s="3524"/>
      <c r="AX2458" s="3524"/>
      <c r="AY2458" s="3524"/>
      <c r="AZ2458" s="3524"/>
      <c r="BA2458" s="5146"/>
      <c r="BB2458" s="5146"/>
      <c r="BC2458" s="3812">
        <v>20000</v>
      </c>
      <c r="BD2458" s="3812"/>
      <c r="BE2458" s="5146"/>
      <c r="BF2458" s="5146"/>
      <c r="BG2458" s="5146"/>
      <c r="BH2458" s="5146"/>
      <c r="BI2458" s="5146"/>
      <c r="BJ2458" s="5146"/>
      <c r="BK2458" s="5146"/>
      <c r="BL2458" s="5146"/>
      <c r="BM2458" s="5146"/>
      <c r="BN2458" s="5146"/>
      <c r="BO2458" s="5146"/>
      <c r="BP2458" s="5146"/>
      <c r="BQ2458" s="5123">
        <v>20000</v>
      </c>
      <c r="BR2458" s="5123"/>
      <c r="BS2458" s="5146"/>
      <c r="BT2458" s="5146"/>
      <c r="BU2458" s="5146"/>
      <c r="BV2458" s="5146"/>
      <c r="BW2458" s="5146"/>
      <c r="BX2458" s="5146"/>
      <c r="BY2458" s="5146"/>
      <c r="BZ2458" s="5146"/>
      <c r="CA2458" s="5146"/>
      <c r="CB2458" s="5146"/>
      <c r="CC2458" s="3812"/>
      <c r="CD2458" s="3812"/>
      <c r="CE2458" s="5169"/>
      <c r="CF2458" s="5169"/>
      <c r="CG2458" s="5154"/>
      <c r="CH2458" s="5154"/>
    </row>
    <row r="2459" s="4980" customFormat="1" ht="20" customHeight="1" spans="1:86">
      <c r="A2459" s="3812"/>
      <c r="B2459" s="3408"/>
      <c r="C2459" s="3408"/>
      <c r="D2459" s="5205"/>
      <c r="E2459" s="3669"/>
      <c r="F2459" s="5205"/>
      <c r="G2459" s="5074"/>
      <c r="H2459" s="5074"/>
      <c r="I2459" s="5074"/>
      <c r="J2459" s="5205"/>
      <c r="K2459" s="5205"/>
      <c r="L2459" s="5205"/>
      <c r="M2459" s="4841"/>
      <c r="N2459" s="4026"/>
      <c r="O2459" s="4026"/>
      <c r="P2459" s="4026"/>
      <c r="Q2459" s="4026"/>
      <c r="R2459" s="4026"/>
      <c r="S2459" s="4026"/>
      <c r="T2459" s="4026"/>
      <c r="U2459" s="4026"/>
      <c r="V2459" s="4026"/>
      <c r="W2459" s="4026"/>
      <c r="X2459" s="4026"/>
      <c r="Y2459" s="4026"/>
      <c r="Z2459" s="4026"/>
      <c r="AA2459" s="4026"/>
      <c r="AB2459" s="5821"/>
      <c r="AC2459" s="3408"/>
      <c r="AD2459" s="1032" t="s">
        <v>4189</v>
      </c>
      <c r="AE2459" s="5878" t="s">
        <v>4186</v>
      </c>
      <c r="AF2459" s="857"/>
      <c r="AG2459" s="4813">
        <f t="shared" ref="AG2459:AG2473" si="525">SUM(BA2459:BN2459)</f>
        <v>120000</v>
      </c>
      <c r="AH2459" s="1032" t="s">
        <v>122</v>
      </c>
      <c r="AI2459" s="3812">
        <v>45615</v>
      </c>
      <c r="AJ2459" s="3812">
        <v>120000</v>
      </c>
      <c r="AK2459" s="4813">
        <v>45615</v>
      </c>
      <c r="AL2459" s="3812">
        <v>120000</v>
      </c>
      <c r="AM2459" s="3812">
        <v>45615</v>
      </c>
      <c r="AN2459" s="3812">
        <f t="shared" si="524"/>
        <v>120000</v>
      </c>
      <c r="AO2459" s="857">
        <v>45635</v>
      </c>
      <c r="AP2459" s="3812"/>
      <c r="AQ2459" s="5146"/>
      <c r="AR2459" s="3812"/>
      <c r="AS2459" s="5833"/>
      <c r="AT2459" s="5146"/>
      <c r="AU2459" s="3524"/>
      <c r="AV2459" s="3524"/>
      <c r="AW2459" s="3524"/>
      <c r="AX2459" s="3524"/>
      <c r="AY2459" s="3524"/>
      <c r="AZ2459" s="3524"/>
      <c r="BA2459" s="5146"/>
      <c r="BB2459" s="5146"/>
      <c r="BC2459" s="3812">
        <v>120000</v>
      </c>
      <c r="BD2459" s="3812"/>
      <c r="BE2459" s="5146"/>
      <c r="BF2459" s="5146"/>
      <c r="BG2459" s="5146"/>
      <c r="BH2459" s="5146"/>
      <c r="BI2459" s="5146"/>
      <c r="BJ2459" s="5146"/>
      <c r="BK2459" s="5146"/>
      <c r="BL2459" s="5146"/>
      <c r="BM2459" s="5146"/>
      <c r="BN2459" s="5146"/>
      <c r="BO2459" s="5146"/>
      <c r="BP2459" s="5146"/>
      <c r="BQ2459" s="5123">
        <v>120000</v>
      </c>
      <c r="BR2459" s="5123"/>
      <c r="BS2459" s="5146"/>
      <c r="BT2459" s="5146"/>
      <c r="BU2459" s="5146"/>
      <c r="BV2459" s="5146"/>
      <c r="BW2459" s="5146"/>
      <c r="BX2459" s="5146"/>
      <c r="BY2459" s="5146"/>
      <c r="BZ2459" s="5146"/>
      <c r="CA2459" s="5146"/>
      <c r="CB2459" s="5146"/>
      <c r="CC2459" s="3812"/>
      <c r="CD2459" s="3812"/>
      <c r="CE2459" s="5169"/>
      <c r="CF2459" s="5169"/>
      <c r="CG2459" s="5154"/>
      <c r="CH2459" s="5154"/>
    </row>
    <row r="2460" s="4980" customFormat="1" ht="20" customHeight="1" spans="1:86">
      <c r="A2460" s="3812"/>
      <c r="B2460" s="3408"/>
      <c r="C2460" s="3408"/>
      <c r="D2460" s="5205"/>
      <c r="E2460" s="3669"/>
      <c r="F2460" s="5205"/>
      <c r="G2460" s="5074"/>
      <c r="H2460" s="5074"/>
      <c r="I2460" s="5074"/>
      <c r="J2460" s="5205"/>
      <c r="K2460" s="5205"/>
      <c r="L2460" s="5205"/>
      <c r="M2460" s="4841"/>
      <c r="N2460" s="4026"/>
      <c r="O2460" s="4026"/>
      <c r="P2460" s="4026"/>
      <c r="Q2460" s="4026"/>
      <c r="R2460" s="4026"/>
      <c r="S2460" s="4026"/>
      <c r="T2460" s="4026"/>
      <c r="U2460" s="4026"/>
      <c r="V2460" s="4026"/>
      <c r="W2460" s="4026"/>
      <c r="X2460" s="4026"/>
      <c r="Y2460" s="4026"/>
      <c r="Z2460" s="4026"/>
      <c r="AA2460" s="4026"/>
      <c r="AB2460" s="5821"/>
      <c r="AC2460" s="3408"/>
      <c r="AD2460" s="1032" t="s">
        <v>4190</v>
      </c>
      <c r="AE2460" s="5878" t="s">
        <v>4186</v>
      </c>
      <c r="AF2460" s="857"/>
      <c r="AG2460" s="4813">
        <f t="shared" si="525"/>
        <v>20000</v>
      </c>
      <c r="AH2460" s="1032" t="s">
        <v>122</v>
      </c>
      <c r="AI2460" s="3812">
        <v>45615</v>
      </c>
      <c r="AJ2460" s="3812">
        <v>20000</v>
      </c>
      <c r="AK2460" s="4813">
        <v>45615</v>
      </c>
      <c r="AL2460" s="3812">
        <v>20000</v>
      </c>
      <c r="AM2460" s="3812">
        <v>45615</v>
      </c>
      <c r="AN2460" s="3812">
        <f t="shared" si="524"/>
        <v>20000</v>
      </c>
      <c r="AO2460" s="857">
        <v>45635</v>
      </c>
      <c r="AP2460" s="3812"/>
      <c r="AQ2460" s="5146"/>
      <c r="AR2460" s="3812"/>
      <c r="AS2460" s="5833"/>
      <c r="AT2460" s="5146"/>
      <c r="AU2460" s="3524"/>
      <c r="AV2460" s="3524"/>
      <c r="AW2460" s="3524"/>
      <c r="AX2460" s="3524"/>
      <c r="AY2460" s="3524"/>
      <c r="AZ2460" s="3524"/>
      <c r="BA2460" s="5146"/>
      <c r="BB2460" s="5146"/>
      <c r="BC2460" s="3812">
        <v>20000</v>
      </c>
      <c r="BD2460" s="3812"/>
      <c r="BE2460" s="5146"/>
      <c r="BF2460" s="5146"/>
      <c r="BG2460" s="5146"/>
      <c r="BH2460" s="5146"/>
      <c r="BI2460" s="5146"/>
      <c r="BJ2460" s="5146"/>
      <c r="BK2460" s="5146"/>
      <c r="BL2460" s="5146"/>
      <c r="BM2460" s="5146"/>
      <c r="BN2460" s="5146"/>
      <c r="BO2460" s="5146"/>
      <c r="BP2460" s="5146"/>
      <c r="BQ2460" s="5123">
        <v>20000</v>
      </c>
      <c r="BR2460" s="5123"/>
      <c r="BS2460" s="5146"/>
      <c r="BT2460" s="5146"/>
      <c r="BU2460" s="5146"/>
      <c r="BV2460" s="5146"/>
      <c r="BW2460" s="5146"/>
      <c r="BX2460" s="5146"/>
      <c r="BY2460" s="5146"/>
      <c r="BZ2460" s="5146"/>
      <c r="CA2460" s="5146"/>
      <c r="CB2460" s="5146"/>
      <c r="CC2460" s="3812"/>
      <c r="CD2460" s="3812"/>
      <c r="CE2460" s="5169"/>
      <c r="CF2460" s="5169"/>
      <c r="CG2460" s="5154"/>
      <c r="CH2460" s="5154"/>
    </row>
    <row r="2461" s="4980" customFormat="1" ht="20" customHeight="1" spans="1:86">
      <c r="A2461" s="3812"/>
      <c r="B2461" s="3408"/>
      <c r="C2461" s="3408"/>
      <c r="D2461" s="5205"/>
      <c r="E2461" s="3669"/>
      <c r="F2461" s="5205"/>
      <c r="G2461" s="5074"/>
      <c r="H2461" s="5074"/>
      <c r="I2461" s="5074"/>
      <c r="J2461" s="5205"/>
      <c r="K2461" s="5205"/>
      <c r="L2461" s="5205"/>
      <c r="M2461" s="4841"/>
      <c r="N2461" s="4026"/>
      <c r="O2461" s="4026"/>
      <c r="P2461" s="4026"/>
      <c r="Q2461" s="4026"/>
      <c r="R2461" s="4026"/>
      <c r="S2461" s="4026"/>
      <c r="T2461" s="4026"/>
      <c r="U2461" s="4026"/>
      <c r="V2461" s="4026"/>
      <c r="W2461" s="4026"/>
      <c r="X2461" s="4026"/>
      <c r="Y2461" s="4026"/>
      <c r="Z2461" s="4026"/>
      <c r="AA2461" s="4026"/>
      <c r="AB2461" s="5821"/>
      <c r="AC2461" s="3408"/>
      <c r="AD2461" s="1032" t="s">
        <v>4191</v>
      </c>
      <c r="AE2461" s="5878" t="s">
        <v>4186</v>
      </c>
      <c r="AF2461" s="857"/>
      <c r="AG2461" s="4813">
        <f t="shared" si="525"/>
        <v>10000</v>
      </c>
      <c r="AH2461" s="1032" t="s">
        <v>122</v>
      </c>
      <c r="AI2461" s="3812">
        <v>45615</v>
      </c>
      <c r="AJ2461" s="3812">
        <v>10000</v>
      </c>
      <c r="AK2461" s="4813">
        <v>45615</v>
      </c>
      <c r="AL2461" s="3812">
        <v>10000</v>
      </c>
      <c r="AM2461" s="3812">
        <v>45615</v>
      </c>
      <c r="AN2461" s="3812">
        <f t="shared" si="524"/>
        <v>10000</v>
      </c>
      <c r="AO2461" s="857">
        <v>45635</v>
      </c>
      <c r="AP2461" s="3812"/>
      <c r="AQ2461" s="5146"/>
      <c r="AR2461" s="3812"/>
      <c r="AS2461" s="5833"/>
      <c r="AT2461" s="5146"/>
      <c r="AU2461" s="3524"/>
      <c r="AV2461" s="3524"/>
      <c r="AW2461" s="3524"/>
      <c r="AX2461" s="3524"/>
      <c r="AY2461" s="3524"/>
      <c r="AZ2461" s="3524"/>
      <c r="BA2461" s="5146"/>
      <c r="BB2461" s="5146"/>
      <c r="BC2461" s="3812">
        <v>10000</v>
      </c>
      <c r="BD2461" s="3812"/>
      <c r="BE2461" s="5146"/>
      <c r="BF2461" s="5146"/>
      <c r="BG2461" s="5146"/>
      <c r="BH2461" s="5146"/>
      <c r="BI2461" s="5146"/>
      <c r="BJ2461" s="5146"/>
      <c r="BK2461" s="5146"/>
      <c r="BL2461" s="5146"/>
      <c r="BM2461" s="5146"/>
      <c r="BN2461" s="5146"/>
      <c r="BO2461" s="5146"/>
      <c r="BP2461" s="5146"/>
      <c r="BQ2461" s="5123">
        <v>10000</v>
      </c>
      <c r="BR2461" s="5123"/>
      <c r="BS2461" s="5146"/>
      <c r="BT2461" s="5146"/>
      <c r="BU2461" s="5146"/>
      <c r="BV2461" s="5146"/>
      <c r="BW2461" s="5146"/>
      <c r="BX2461" s="5146"/>
      <c r="BY2461" s="5146"/>
      <c r="BZ2461" s="5146"/>
      <c r="CA2461" s="5146"/>
      <c r="CB2461" s="5146"/>
      <c r="CC2461" s="3812"/>
      <c r="CD2461" s="3812"/>
      <c r="CE2461" s="5169"/>
      <c r="CF2461" s="5169"/>
      <c r="CG2461" s="5154"/>
      <c r="CH2461" s="5154"/>
    </row>
    <row r="2462" s="4980" customFormat="1" ht="25.5" customHeight="1" spans="1:86">
      <c r="A2462" s="3812"/>
      <c r="B2462" s="3408"/>
      <c r="C2462" s="3408"/>
      <c r="D2462" s="5205"/>
      <c r="E2462" s="3669"/>
      <c r="F2462" s="5205"/>
      <c r="G2462" s="5074"/>
      <c r="H2462" s="5074"/>
      <c r="I2462" s="5074"/>
      <c r="J2462" s="5205"/>
      <c r="K2462" s="5205"/>
      <c r="L2462" s="5205"/>
      <c r="M2462" s="4841"/>
      <c r="N2462" s="4026"/>
      <c r="O2462" s="4026"/>
      <c r="P2462" s="4026"/>
      <c r="Q2462" s="4026"/>
      <c r="R2462" s="4026"/>
      <c r="S2462" s="4026"/>
      <c r="T2462" s="4026"/>
      <c r="U2462" s="4026"/>
      <c r="V2462" s="4026"/>
      <c r="W2462" s="4026"/>
      <c r="X2462" s="4026"/>
      <c r="Y2462" s="4026"/>
      <c r="Z2462" s="4026"/>
      <c r="AA2462" s="4026"/>
      <c r="AB2462" s="5821"/>
      <c r="AC2462" s="3408"/>
      <c r="AD2462" s="1032" t="s">
        <v>4192</v>
      </c>
      <c r="AE2462" s="5878" t="s">
        <v>4186</v>
      </c>
      <c r="AF2462" s="857"/>
      <c r="AG2462" s="4813">
        <f t="shared" si="525"/>
        <v>200000</v>
      </c>
      <c r="AH2462" s="1032" t="s">
        <v>122</v>
      </c>
      <c r="AI2462" s="3812">
        <v>45615</v>
      </c>
      <c r="AJ2462" s="3812">
        <v>200000</v>
      </c>
      <c r="AK2462" s="4813">
        <v>45615</v>
      </c>
      <c r="AL2462" s="3812">
        <v>200000</v>
      </c>
      <c r="AM2462" s="3812">
        <v>45615</v>
      </c>
      <c r="AN2462" s="3812">
        <f t="shared" si="524"/>
        <v>200000</v>
      </c>
      <c r="AO2462" s="857">
        <v>45635</v>
      </c>
      <c r="AP2462" s="3812"/>
      <c r="AQ2462" s="5146"/>
      <c r="AR2462" s="3812"/>
      <c r="AS2462" s="5833"/>
      <c r="AT2462" s="5146"/>
      <c r="AU2462" s="3524"/>
      <c r="AV2462" s="3524"/>
      <c r="AW2462" s="3524"/>
      <c r="AX2462" s="3524"/>
      <c r="AY2462" s="3524"/>
      <c r="AZ2462" s="3524"/>
      <c r="BA2462" s="5146"/>
      <c r="BB2462" s="5146"/>
      <c r="BC2462" s="3812">
        <f>50000+150000</f>
        <v>200000</v>
      </c>
      <c r="BD2462" s="3812"/>
      <c r="BE2462" s="5146"/>
      <c r="BF2462" s="5146"/>
      <c r="BG2462" s="5146"/>
      <c r="BH2462" s="5146"/>
      <c r="BI2462" s="5146"/>
      <c r="BJ2462" s="5146"/>
      <c r="BK2462" s="5146"/>
      <c r="BL2462" s="5146"/>
      <c r="BM2462" s="5146"/>
      <c r="BN2462" s="5146"/>
      <c r="BO2462" s="5146"/>
      <c r="BP2462" s="5146"/>
      <c r="BQ2462" s="5123">
        <f>50000+150000</f>
        <v>200000</v>
      </c>
      <c r="BR2462" s="5123"/>
      <c r="BS2462" s="5146"/>
      <c r="BT2462" s="5146"/>
      <c r="BU2462" s="5146"/>
      <c r="BV2462" s="5146"/>
      <c r="BW2462" s="5146"/>
      <c r="BX2462" s="5146"/>
      <c r="BY2462" s="5146"/>
      <c r="BZ2462" s="5146"/>
      <c r="CA2462" s="5146"/>
      <c r="CB2462" s="5146"/>
      <c r="CC2462" s="3812"/>
      <c r="CD2462" s="3812"/>
      <c r="CE2462" s="5169"/>
      <c r="CF2462" s="5169"/>
      <c r="CG2462" s="5154"/>
      <c r="CH2462" s="5154"/>
    </row>
    <row r="2463" s="4980" customFormat="1" ht="20" customHeight="1" spans="1:86">
      <c r="A2463" s="3812"/>
      <c r="B2463" s="3408"/>
      <c r="C2463" s="3408"/>
      <c r="D2463" s="5205"/>
      <c r="E2463" s="3669"/>
      <c r="F2463" s="5205"/>
      <c r="G2463" s="5074"/>
      <c r="H2463" s="5074"/>
      <c r="I2463" s="5074"/>
      <c r="J2463" s="5205"/>
      <c r="K2463" s="5205"/>
      <c r="L2463" s="5205"/>
      <c r="M2463" s="4841"/>
      <c r="N2463" s="4026"/>
      <c r="O2463" s="4026"/>
      <c r="P2463" s="4026"/>
      <c r="Q2463" s="4026"/>
      <c r="R2463" s="4026"/>
      <c r="S2463" s="4026"/>
      <c r="T2463" s="4026"/>
      <c r="U2463" s="4026"/>
      <c r="V2463" s="4026"/>
      <c r="W2463" s="4026"/>
      <c r="X2463" s="4026"/>
      <c r="Y2463" s="4026"/>
      <c r="Z2463" s="4026"/>
      <c r="AA2463" s="4026"/>
      <c r="AB2463" s="5821"/>
      <c r="AC2463" s="3409"/>
      <c r="AD2463" s="7143" t="s">
        <v>4193</v>
      </c>
      <c r="AE2463" s="5878" t="s">
        <v>4194</v>
      </c>
      <c r="AF2463" s="857"/>
      <c r="AG2463" s="4813">
        <f t="shared" si="525"/>
        <v>770000</v>
      </c>
      <c r="AH2463" s="1032" t="s">
        <v>122</v>
      </c>
      <c r="AI2463" s="3812">
        <v>45615</v>
      </c>
      <c r="AJ2463" s="3812">
        <v>770000</v>
      </c>
      <c r="AK2463" s="4813">
        <v>45615</v>
      </c>
      <c r="AL2463" s="3812">
        <v>770000</v>
      </c>
      <c r="AM2463" s="3812">
        <v>45615</v>
      </c>
      <c r="AN2463" s="3812">
        <f t="shared" si="524"/>
        <v>770000</v>
      </c>
      <c r="AO2463" s="857">
        <v>45635</v>
      </c>
      <c r="AP2463" s="3812"/>
      <c r="AQ2463" s="5146"/>
      <c r="AR2463" s="3812"/>
      <c r="AS2463" s="5833"/>
      <c r="AT2463" s="5146"/>
      <c r="AU2463" s="3524"/>
      <c r="AV2463" s="3524"/>
      <c r="AW2463" s="3524"/>
      <c r="AX2463" s="3524"/>
      <c r="AY2463" s="3524"/>
      <c r="AZ2463" s="3524"/>
      <c r="BA2463" s="5146"/>
      <c r="BB2463" s="5146"/>
      <c r="BC2463" s="3812"/>
      <c r="BD2463" s="3812">
        <v>770000</v>
      </c>
      <c r="BE2463" s="5146"/>
      <c r="BF2463" s="5146"/>
      <c r="BG2463" s="5146"/>
      <c r="BH2463" s="5146"/>
      <c r="BI2463" s="5146"/>
      <c r="BJ2463" s="5146"/>
      <c r="BK2463" s="5146"/>
      <c r="BL2463" s="5146"/>
      <c r="BM2463" s="5146"/>
      <c r="BN2463" s="5146"/>
      <c r="BO2463" s="5146"/>
      <c r="BP2463" s="5146"/>
      <c r="BQ2463" s="5123"/>
      <c r="BR2463" s="5123">
        <v>770000</v>
      </c>
      <c r="BS2463" s="5146"/>
      <c r="BT2463" s="5146"/>
      <c r="BU2463" s="5146"/>
      <c r="BV2463" s="5146"/>
      <c r="BW2463" s="5146"/>
      <c r="BX2463" s="5146"/>
      <c r="BY2463" s="5146"/>
      <c r="BZ2463" s="5146"/>
      <c r="CA2463" s="5146"/>
      <c r="CB2463" s="5146"/>
      <c r="CC2463" s="3812"/>
      <c r="CD2463" s="3812"/>
      <c r="CE2463" s="5169"/>
      <c r="CF2463" s="5169"/>
      <c r="CG2463" s="5154"/>
      <c r="CH2463" s="5154"/>
    </row>
    <row r="2464" s="4980" customFormat="1" ht="20" customHeight="1" spans="1:86">
      <c r="A2464" s="3812"/>
      <c r="B2464" s="3408"/>
      <c r="C2464" s="3408"/>
      <c r="D2464" s="5205"/>
      <c r="E2464" s="3669"/>
      <c r="F2464" s="5205"/>
      <c r="G2464" s="5074"/>
      <c r="H2464" s="5074"/>
      <c r="I2464" s="5074"/>
      <c r="J2464" s="5205"/>
      <c r="K2464" s="5205"/>
      <c r="L2464" s="5205"/>
      <c r="M2464" s="4841"/>
      <c r="N2464" s="4026"/>
      <c r="O2464" s="4026"/>
      <c r="P2464" s="4026"/>
      <c r="Q2464" s="4026"/>
      <c r="R2464" s="4026"/>
      <c r="S2464" s="4026"/>
      <c r="T2464" s="4026"/>
      <c r="U2464" s="4026"/>
      <c r="V2464" s="4026"/>
      <c r="W2464" s="4026"/>
      <c r="X2464" s="4026"/>
      <c r="Y2464" s="4026"/>
      <c r="Z2464" s="4026"/>
      <c r="AA2464" s="4026"/>
      <c r="AB2464" s="5821"/>
      <c r="AC2464" s="4840">
        <v>2</v>
      </c>
      <c r="AD2464" s="1032" t="s">
        <v>4195</v>
      </c>
      <c r="AE2464" s="5878" t="s">
        <v>4186</v>
      </c>
      <c r="AF2464" s="857"/>
      <c r="AG2464" s="4813">
        <f t="shared" si="525"/>
        <v>60000</v>
      </c>
      <c r="AH2464" s="1032" t="s">
        <v>122</v>
      </c>
      <c r="AI2464" s="3812">
        <v>45678</v>
      </c>
      <c r="AJ2464" s="4813">
        <v>60000</v>
      </c>
      <c r="AK2464" s="3812">
        <v>45678</v>
      </c>
      <c r="AL2464" s="3812">
        <v>60000</v>
      </c>
      <c r="AM2464" s="3812">
        <v>45678</v>
      </c>
      <c r="AN2464" s="6845">
        <v>60000</v>
      </c>
      <c r="AO2464" s="857">
        <v>45708</v>
      </c>
      <c r="AP2464" s="3812"/>
      <c r="AQ2464" s="5146"/>
      <c r="AR2464" s="3812"/>
      <c r="AS2464" s="5833"/>
      <c r="AT2464" s="5146"/>
      <c r="AU2464" s="3524"/>
      <c r="AV2464" s="3524"/>
      <c r="AW2464" s="3524"/>
      <c r="AX2464" s="3524"/>
      <c r="AY2464" s="3524"/>
      <c r="AZ2464" s="3524"/>
      <c r="BA2464" s="5146"/>
      <c r="BB2464" s="5146"/>
      <c r="BC2464" s="3812">
        <v>60000</v>
      </c>
      <c r="BD2464" s="3812"/>
      <c r="BE2464" s="5146"/>
      <c r="BF2464" s="5146"/>
      <c r="BG2464" s="5146"/>
      <c r="BH2464" s="5146"/>
      <c r="BI2464" s="5146"/>
      <c r="BJ2464" s="5146"/>
      <c r="BK2464" s="5146"/>
      <c r="BL2464" s="5146"/>
      <c r="BM2464" s="5146"/>
      <c r="BN2464" s="5146"/>
      <c r="BO2464" s="5146"/>
      <c r="BP2464" s="5146"/>
      <c r="BQ2464" s="3812">
        <v>60000</v>
      </c>
      <c r="BR2464" s="3812">
        <v>60000</v>
      </c>
      <c r="BS2464" s="5146"/>
      <c r="BT2464" s="5146"/>
      <c r="BU2464" s="5146"/>
      <c r="BV2464" s="5146"/>
      <c r="BW2464" s="5146"/>
      <c r="BX2464" s="5146"/>
      <c r="BY2464" s="5146"/>
      <c r="BZ2464" s="5146"/>
      <c r="CA2464" s="5146"/>
      <c r="CB2464" s="5146"/>
      <c r="CC2464" s="3812"/>
      <c r="CD2464" s="3812"/>
      <c r="CE2464" s="5169"/>
      <c r="CF2464" s="5169"/>
      <c r="CG2464" s="5154"/>
      <c r="CH2464" s="5154"/>
    </row>
    <row r="2465" s="4980" customFormat="1" ht="20" customHeight="1" spans="1:86">
      <c r="A2465" s="3812"/>
      <c r="B2465" s="3408"/>
      <c r="C2465" s="3408"/>
      <c r="D2465" s="5205"/>
      <c r="E2465" s="3669"/>
      <c r="F2465" s="5205"/>
      <c r="G2465" s="5074"/>
      <c r="H2465" s="5074"/>
      <c r="I2465" s="5074"/>
      <c r="J2465" s="5205"/>
      <c r="K2465" s="5205"/>
      <c r="L2465" s="5205"/>
      <c r="M2465" s="4841"/>
      <c r="N2465" s="4026"/>
      <c r="O2465" s="4026"/>
      <c r="P2465" s="4026"/>
      <c r="Q2465" s="4026"/>
      <c r="R2465" s="4026"/>
      <c r="S2465" s="4026"/>
      <c r="T2465" s="4026"/>
      <c r="U2465" s="4026"/>
      <c r="V2465" s="4026"/>
      <c r="W2465" s="4026"/>
      <c r="X2465" s="4026"/>
      <c r="Y2465" s="4026"/>
      <c r="Z2465" s="4026"/>
      <c r="AA2465" s="4026"/>
      <c r="AB2465" s="5821"/>
      <c r="AC2465" s="4842"/>
      <c r="AD2465" s="1032" t="s">
        <v>4196</v>
      </c>
      <c r="AE2465" s="5878" t="s">
        <v>4194</v>
      </c>
      <c r="AF2465" s="857"/>
      <c r="AG2465" s="4813">
        <f t="shared" si="525"/>
        <v>60000</v>
      </c>
      <c r="AH2465" s="1032" t="s">
        <v>122</v>
      </c>
      <c r="AI2465" s="3812">
        <v>45678</v>
      </c>
      <c r="AJ2465" s="4813">
        <v>60000</v>
      </c>
      <c r="AK2465" s="3812">
        <v>45678</v>
      </c>
      <c r="AL2465" s="4813">
        <v>60000</v>
      </c>
      <c r="AM2465" s="3812">
        <v>45678</v>
      </c>
      <c r="AN2465" s="6845">
        <v>60000</v>
      </c>
      <c r="AO2465" s="857">
        <v>45708</v>
      </c>
      <c r="AP2465" s="3812"/>
      <c r="AQ2465" s="5146"/>
      <c r="AR2465" s="3812"/>
      <c r="AS2465" s="5833"/>
      <c r="AT2465" s="5146"/>
      <c r="AU2465" s="3524"/>
      <c r="AV2465" s="3524"/>
      <c r="AW2465" s="3524"/>
      <c r="AX2465" s="3524"/>
      <c r="AY2465" s="3524"/>
      <c r="AZ2465" s="3524"/>
      <c r="BA2465" s="5146"/>
      <c r="BB2465" s="5146"/>
      <c r="BC2465" s="3812"/>
      <c r="BD2465" s="3812">
        <v>60000</v>
      </c>
      <c r="BE2465" s="5146"/>
      <c r="BF2465" s="5146"/>
      <c r="BG2465" s="5146"/>
      <c r="BH2465" s="5146"/>
      <c r="BI2465" s="5146"/>
      <c r="BJ2465" s="5146"/>
      <c r="BK2465" s="5146"/>
      <c r="BL2465" s="5146"/>
      <c r="BM2465" s="5146"/>
      <c r="BN2465" s="5146"/>
      <c r="BO2465" s="5146"/>
      <c r="BP2465" s="5146"/>
      <c r="BQ2465" s="3812"/>
      <c r="BR2465" s="3812"/>
      <c r="BS2465" s="5146"/>
      <c r="BT2465" s="5146"/>
      <c r="BU2465" s="5146"/>
      <c r="BV2465" s="5146"/>
      <c r="BW2465" s="5146"/>
      <c r="BX2465" s="5146"/>
      <c r="BY2465" s="5146"/>
      <c r="BZ2465" s="5146"/>
      <c r="CA2465" s="5146"/>
      <c r="CB2465" s="5146"/>
      <c r="CC2465" s="3812"/>
      <c r="CD2465" s="3812"/>
      <c r="CE2465" s="5169"/>
      <c r="CF2465" s="5169"/>
      <c r="CG2465" s="5154"/>
      <c r="CH2465" s="5154"/>
    </row>
    <row r="2466" s="4980" customFormat="1" ht="20" customHeight="1" spans="1:86">
      <c r="A2466" s="3812"/>
      <c r="B2466" s="3408"/>
      <c r="C2466" s="3408"/>
      <c r="D2466" s="5205"/>
      <c r="E2466" s="3669"/>
      <c r="F2466" s="5205"/>
      <c r="G2466" s="5074"/>
      <c r="H2466" s="5074"/>
      <c r="I2466" s="5074"/>
      <c r="J2466" s="5205"/>
      <c r="K2466" s="5205"/>
      <c r="L2466" s="5205"/>
      <c r="M2466" s="4841"/>
      <c r="N2466" s="4026"/>
      <c r="O2466" s="4026"/>
      <c r="P2466" s="4026"/>
      <c r="Q2466" s="4026"/>
      <c r="R2466" s="4026"/>
      <c r="S2466" s="4026"/>
      <c r="T2466" s="4026"/>
      <c r="U2466" s="4026"/>
      <c r="V2466" s="4026"/>
      <c r="W2466" s="4026"/>
      <c r="X2466" s="4026"/>
      <c r="Y2466" s="4026"/>
      <c r="Z2466" s="4026"/>
      <c r="AA2466" s="4026"/>
      <c r="AB2466" s="5821"/>
      <c r="AC2466" s="3812"/>
      <c r="AD2466" s="1032"/>
      <c r="AE2466" s="5878"/>
      <c r="AF2466" s="857"/>
      <c r="AG2466" s="5123">
        <f t="shared" si="525"/>
        <v>0</v>
      </c>
      <c r="AH2466" s="1032"/>
      <c r="AI2466" s="3812"/>
      <c r="AJ2466" s="3812"/>
      <c r="AK2466" s="3812"/>
      <c r="AL2466" s="4813"/>
      <c r="AM2466" s="3812"/>
      <c r="AN2466" s="5123"/>
      <c r="AO2466" s="857"/>
      <c r="AP2466" s="3812"/>
      <c r="AQ2466" s="5146"/>
      <c r="AR2466" s="3812"/>
      <c r="AS2466" s="5833"/>
      <c r="AT2466" s="5146"/>
      <c r="AU2466" s="3524"/>
      <c r="AV2466" s="3524"/>
      <c r="AW2466" s="3524"/>
      <c r="AX2466" s="3524"/>
      <c r="AY2466" s="3524"/>
      <c r="AZ2466" s="3524"/>
      <c r="BA2466" s="5146"/>
      <c r="BB2466" s="5146"/>
      <c r="BC2466" s="3812"/>
      <c r="BD2466" s="3812"/>
      <c r="BE2466" s="5146"/>
      <c r="BF2466" s="5146"/>
      <c r="BG2466" s="5146"/>
      <c r="BH2466" s="5146"/>
      <c r="BI2466" s="5146"/>
      <c r="BJ2466" s="5146"/>
      <c r="BK2466" s="5146"/>
      <c r="BL2466" s="5146"/>
      <c r="BM2466" s="5146"/>
      <c r="BN2466" s="5146"/>
      <c r="BO2466" s="5146"/>
      <c r="BP2466" s="5146"/>
      <c r="BQ2466" s="3812"/>
      <c r="BR2466" s="3812"/>
      <c r="BS2466" s="5146"/>
      <c r="BT2466" s="5146"/>
      <c r="BU2466" s="5146"/>
      <c r="BV2466" s="5146"/>
      <c r="BW2466" s="5146"/>
      <c r="BX2466" s="5146"/>
      <c r="BY2466" s="5146"/>
      <c r="BZ2466" s="5146"/>
      <c r="CA2466" s="5146"/>
      <c r="CB2466" s="5146"/>
      <c r="CC2466" s="3812"/>
      <c r="CD2466" s="3812"/>
      <c r="CE2466" s="5169"/>
      <c r="CF2466" s="5169"/>
      <c r="CG2466" s="5154"/>
      <c r="CH2466" s="5154"/>
    </row>
    <row r="2467" s="4980" customFormat="1" ht="20" customHeight="1" spans="1:86">
      <c r="A2467" s="3812"/>
      <c r="B2467" s="3408"/>
      <c r="C2467" s="3408"/>
      <c r="D2467" s="5205"/>
      <c r="E2467" s="3669"/>
      <c r="F2467" s="5205"/>
      <c r="G2467" s="5074"/>
      <c r="H2467" s="5074"/>
      <c r="I2467" s="5074"/>
      <c r="J2467" s="5205"/>
      <c r="K2467" s="5205"/>
      <c r="L2467" s="5205"/>
      <c r="M2467" s="4841"/>
      <c r="N2467" s="4026"/>
      <c r="O2467" s="4026"/>
      <c r="P2467" s="4026"/>
      <c r="Q2467" s="4026"/>
      <c r="R2467" s="4026"/>
      <c r="S2467" s="4026"/>
      <c r="T2467" s="4026"/>
      <c r="U2467" s="4026"/>
      <c r="V2467" s="4026"/>
      <c r="W2467" s="4026"/>
      <c r="X2467" s="4026"/>
      <c r="Y2467" s="4026"/>
      <c r="Z2467" s="4026"/>
      <c r="AA2467" s="4026"/>
      <c r="AB2467" s="5821"/>
      <c r="AC2467" s="3812"/>
      <c r="AD2467" s="1032"/>
      <c r="AE2467" s="5878"/>
      <c r="AF2467" s="857"/>
      <c r="AG2467" s="5123">
        <f t="shared" si="525"/>
        <v>0</v>
      </c>
      <c r="AH2467" s="1032"/>
      <c r="AI2467" s="3812"/>
      <c r="AJ2467" s="3812"/>
      <c r="AK2467" s="3812"/>
      <c r="AL2467" s="4813"/>
      <c r="AM2467" s="3812"/>
      <c r="AN2467" s="5123"/>
      <c r="AO2467" s="857"/>
      <c r="AP2467" s="3812"/>
      <c r="AQ2467" s="5146"/>
      <c r="AR2467" s="3812"/>
      <c r="AS2467" s="5833"/>
      <c r="AT2467" s="5146"/>
      <c r="AU2467" s="3524"/>
      <c r="AV2467" s="3524"/>
      <c r="AW2467" s="3524"/>
      <c r="AX2467" s="3524"/>
      <c r="AY2467" s="3524"/>
      <c r="AZ2467" s="3524"/>
      <c r="BA2467" s="5146"/>
      <c r="BB2467" s="5146"/>
      <c r="BC2467" s="3812"/>
      <c r="BD2467" s="3812"/>
      <c r="BE2467" s="5146"/>
      <c r="BF2467" s="5146"/>
      <c r="BG2467" s="5146"/>
      <c r="BH2467" s="5146"/>
      <c r="BI2467" s="5146"/>
      <c r="BJ2467" s="5146"/>
      <c r="BK2467" s="5146"/>
      <c r="BL2467" s="5146"/>
      <c r="BM2467" s="5146"/>
      <c r="BN2467" s="5146"/>
      <c r="BO2467" s="5146"/>
      <c r="BP2467" s="5146"/>
      <c r="BQ2467" s="3812"/>
      <c r="BR2467" s="3812"/>
      <c r="BS2467" s="5146"/>
      <c r="BT2467" s="5146"/>
      <c r="BU2467" s="5146"/>
      <c r="BV2467" s="5146"/>
      <c r="BW2467" s="5146"/>
      <c r="BX2467" s="5146"/>
      <c r="BY2467" s="5146"/>
      <c r="BZ2467" s="5146"/>
      <c r="CA2467" s="5146"/>
      <c r="CB2467" s="5146"/>
      <c r="CC2467" s="3812"/>
      <c r="CD2467" s="3812"/>
      <c r="CE2467" s="5169"/>
      <c r="CF2467" s="5169"/>
      <c r="CG2467" s="5154"/>
      <c r="CH2467" s="5154"/>
    </row>
    <row r="2468" s="4980" customFormat="1" ht="20" customHeight="1" spans="1:86">
      <c r="A2468" s="3812"/>
      <c r="B2468" s="3408"/>
      <c r="C2468" s="3408"/>
      <c r="D2468" s="5205"/>
      <c r="E2468" s="3669"/>
      <c r="F2468" s="5205"/>
      <c r="G2468" s="5074"/>
      <c r="H2468" s="5074"/>
      <c r="I2468" s="5074"/>
      <c r="J2468" s="5205"/>
      <c r="K2468" s="5205"/>
      <c r="L2468" s="5205"/>
      <c r="M2468" s="4841"/>
      <c r="N2468" s="4026"/>
      <c r="O2468" s="4026"/>
      <c r="P2468" s="4026"/>
      <c r="Q2468" s="4026"/>
      <c r="R2468" s="4026"/>
      <c r="S2468" s="4026"/>
      <c r="T2468" s="4026"/>
      <c r="U2468" s="4026"/>
      <c r="V2468" s="4026"/>
      <c r="W2468" s="4026"/>
      <c r="X2468" s="4026"/>
      <c r="Y2468" s="4026"/>
      <c r="Z2468" s="4026"/>
      <c r="AA2468" s="4026"/>
      <c r="AB2468" s="5821"/>
      <c r="AC2468" s="3812"/>
      <c r="AD2468" s="1032"/>
      <c r="AE2468" s="5878"/>
      <c r="AF2468" s="857"/>
      <c r="AG2468" s="5123">
        <f t="shared" si="525"/>
        <v>0</v>
      </c>
      <c r="AH2468" s="1032"/>
      <c r="AI2468" s="3812"/>
      <c r="AJ2468" s="3812"/>
      <c r="AK2468" s="3812"/>
      <c r="AL2468" s="4813"/>
      <c r="AM2468" s="3812"/>
      <c r="AN2468" s="5123"/>
      <c r="AO2468" s="857"/>
      <c r="AP2468" s="3812"/>
      <c r="AQ2468" s="5146"/>
      <c r="AR2468" s="3812"/>
      <c r="AS2468" s="5833"/>
      <c r="AT2468" s="5146"/>
      <c r="AU2468" s="3524"/>
      <c r="AV2468" s="3524"/>
      <c r="AW2468" s="3524"/>
      <c r="AX2468" s="3524"/>
      <c r="AY2468" s="3524"/>
      <c r="AZ2468" s="3524"/>
      <c r="BA2468" s="5146"/>
      <c r="BB2468" s="5146"/>
      <c r="BC2468" s="3812"/>
      <c r="BD2468" s="3812"/>
      <c r="BE2468" s="5146"/>
      <c r="BF2468" s="5146"/>
      <c r="BG2468" s="5146"/>
      <c r="BH2468" s="5146"/>
      <c r="BI2468" s="5146"/>
      <c r="BJ2468" s="5146"/>
      <c r="BK2468" s="5146"/>
      <c r="BL2468" s="5146"/>
      <c r="BM2468" s="5146"/>
      <c r="BN2468" s="5146"/>
      <c r="BO2468" s="5146"/>
      <c r="BP2468" s="5146"/>
      <c r="BQ2468" s="3812"/>
      <c r="BR2468" s="3812"/>
      <c r="BS2468" s="5146"/>
      <c r="BT2468" s="5146"/>
      <c r="BU2468" s="5146"/>
      <c r="BV2468" s="5146"/>
      <c r="BW2468" s="5146"/>
      <c r="BX2468" s="5146"/>
      <c r="BY2468" s="5146"/>
      <c r="BZ2468" s="5146"/>
      <c r="CA2468" s="5146"/>
      <c r="CB2468" s="5146"/>
      <c r="CC2468" s="3812"/>
      <c r="CD2468" s="3812"/>
      <c r="CE2468" s="5169"/>
      <c r="CF2468" s="5169"/>
      <c r="CG2468" s="5154"/>
      <c r="CH2468" s="5154"/>
    </row>
    <row r="2469" s="4980" customFormat="1" ht="20" customHeight="1" spans="1:86">
      <c r="A2469" s="3812"/>
      <c r="B2469" s="3409"/>
      <c r="C2469" s="3408"/>
      <c r="D2469" s="5206"/>
      <c r="E2469" s="3669"/>
      <c r="F2469" s="5206"/>
      <c r="G2469" s="5074"/>
      <c r="H2469" s="5074"/>
      <c r="I2469" s="5074"/>
      <c r="J2469" s="5205"/>
      <c r="K2469" s="5206"/>
      <c r="L2469" s="5206"/>
      <c r="M2469" s="4842"/>
      <c r="N2469" s="4026"/>
      <c r="O2469" s="4026"/>
      <c r="P2469" s="4026"/>
      <c r="Q2469" s="4026"/>
      <c r="R2469" s="4026"/>
      <c r="S2469" s="4026"/>
      <c r="T2469" s="4026"/>
      <c r="U2469" s="4026"/>
      <c r="V2469" s="4026"/>
      <c r="W2469" s="4026"/>
      <c r="X2469" s="4026"/>
      <c r="Y2469" s="4026"/>
      <c r="Z2469" s="4026"/>
      <c r="AA2469" s="4026"/>
      <c r="AB2469" s="5821"/>
      <c r="AC2469" s="3812"/>
      <c r="AD2469" s="1032"/>
      <c r="AE2469" s="5878"/>
      <c r="AF2469" s="857"/>
      <c r="AG2469" s="5123">
        <f t="shared" si="525"/>
        <v>0</v>
      </c>
      <c r="AH2469" s="1032"/>
      <c r="AI2469" s="3812"/>
      <c r="AJ2469" s="3812"/>
      <c r="AK2469" s="3812"/>
      <c r="AL2469" s="4813"/>
      <c r="AM2469" s="3812"/>
      <c r="AN2469" s="5123">
        <f>SUM(BO2469:CB2469)</f>
        <v>0</v>
      </c>
      <c r="AO2469" s="857"/>
      <c r="AP2469" s="3812"/>
      <c r="AQ2469" s="5146"/>
      <c r="AR2469" s="3812"/>
      <c r="AS2469" s="5833"/>
      <c r="AT2469" s="5146"/>
      <c r="AU2469" s="3524"/>
      <c r="AV2469" s="3524"/>
      <c r="AW2469" s="3524"/>
      <c r="AX2469" s="3524"/>
      <c r="AY2469" s="3524"/>
      <c r="AZ2469" s="3524"/>
      <c r="BA2469" s="5146"/>
      <c r="BB2469" s="5146"/>
      <c r="BC2469" s="3812"/>
      <c r="BD2469" s="3812"/>
      <c r="BE2469" s="5146"/>
      <c r="BF2469" s="5146"/>
      <c r="BG2469" s="5146"/>
      <c r="BH2469" s="5146"/>
      <c r="BI2469" s="5146"/>
      <c r="BJ2469" s="5146"/>
      <c r="BK2469" s="5146"/>
      <c r="BL2469" s="5146"/>
      <c r="BM2469" s="5146"/>
      <c r="BN2469" s="5146"/>
      <c r="BO2469" s="5146"/>
      <c r="BP2469" s="5146"/>
      <c r="BQ2469" s="3812"/>
      <c r="BR2469" s="3812"/>
      <c r="BS2469" s="5146"/>
      <c r="BT2469" s="5146"/>
      <c r="BU2469" s="5146"/>
      <c r="BV2469" s="5146"/>
      <c r="BW2469" s="5146"/>
      <c r="BX2469" s="5146"/>
      <c r="BY2469" s="5146"/>
      <c r="BZ2469" s="5146"/>
      <c r="CA2469" s="5146"/>
      <c r="CB2469" s="5146"/>
      <c r="CC2469" s="3812"/>
      <c r="CD2469" s="3812"/>
      <c r="CE2469" s="5169"/>
      <c r="CF2469" s="5169"/>
      <c r="CG2469" s="5154"/>
      <c r="CH2469" s="5154"/>
    </row>
    <row r="2470" s="4980" customFormat="1" ht="137" spans="1:86">
      <c r="A2470" s="3524"/>
      <c r="B2470" s="857" t="s">
        <v>2570</v>
      </c>
      <c r="C2470" s="857">
        <v>44867</v>
      </c>
      <c r="D2470" s="1032" t="s">
        <v>4197</v>
      </c>
      <c r="E2470" s="5059"/>
      <c r="F2470" s="1032" t="s">
        <v>4148</v>
      </c>
      <c r="G2470" s="1032" t="s">
        <v>4198</v>
      </c>
      <c r="H2470" s="857" t="s">
        <v>286</v>
      </c>
      <c r="I2470" s="857"/>
      <c r="J2470" s="1032" t="s">
        <v>4199</v>
      </c>
      <c r="K2470" s="1032" t="s">
        <v>171</v>
      </c>
      <c r="L2470" s="1032" t="s">
        <v>4151</v>
      </c>
      <c r="M2470" s="3812">
        <f>SUM(N2470:AA2474)</f>
        <v>1500000</v>
      </c>
      <c r="N2470" s="2680"/>
      <c r="O2470" s="2680"/>
      <c r="P2470" s="2680">
        <v>750000</v>
      </c>
      <c r="Q2470" s="2680">
        <v>750000</v>
      </c>
      <c r="R2470" s="2680"/>
      <c r="S2470" s="2680"/>
      <c r="T2470" s="2680"/>
      <c r="U2470" s="2680"/>
      <c r="V2470" s="2680"/>
      <c r="W2470" s="2680"/>
      <c r="X2470" s="2680"/>
      <c r="Y2470" s="2680"/>
      <c r="Z2470" s="2680"/>
      <c r="AA2470" s="2680"/>
      <c r="AB2470" s="1035" t="s">
        <v>4152</v>
      </c>
      <c r="AC2470" s="3812">
        <v>1</v>
      </c>
      <c r="AD2470" s="1032" t="s">
        <v>4200</v>
      </c>
      <c r="AE2470" s="5878"/>
      <c r="AF2470" s="857"/>
      <c r="AG2470" s="3812">
        <f t="shared" si="525"/>
        <v>260000</v>
      </c>
      <c r="AH2470" s="1032" t="s">
        <v>122</v>
      </c>
      <c r="AI2470" s="1032">
        <v>44915</v>
      </c>
      <c r="AJ2470" s="3812">
        <v>260000</v>
      </c>
      <c r="AK2470" s="1032">
        <v>44915</v>
      </c>
      <c r="AL2470" s="3812">
        <v>260000</v>
      </c>
      <c r="AM2470" s="1032">
        <v>44992</v>
      </c>
      <c r="AN2470" s="5059">
        <f>SUM(BO2470:CB2470)</f>
        <v>260000</v>
      </c>
      <c r="AO2470" s="3812">
        <v>45075</v>
      </c>
      <c r="AP2470" s="3812"/>
      <c r="AQ2470" s="7146" t="s">
        <v>4201</v>
      </c>
      <c r="AR2470" s="3812"/>
      <c r="AS2470" s="5833"/>
      <c r="AT2470" s="5146"/>
      <c r="AU2470" s="3524"/>
      <c r="AV2470" s="3524"/>
      <c r="AW2470" s="3524"/>
      <c r="AX2470" s="3524"/>
      <c r="AY2470" s="3524"/>
      <c r="AZ2470" s="3524"/>
      <c r="BA2470" s="5146"/>
      <c r="BB2470" s="5146"/>
      <c r="BC2470" s="3812">
        <v>170000</v>
      </c>
      <c r="BD2470" s="3812">
        <v>90000</v>
      </c>
      <c r="BE2470" s="5146"/>
      <c r="BF2470" s="5146"/>
      <c r="BG2470" s="5146"/>
      <c r="BH2470" s="5146"/>
      <c r="BI2470" s="5146"/>
      <c r="BJ2470" s="5146"/>
      <c r="BK2470" s="5146"/>
      <c r="BL2470" s="5146"/>
      <c r="BM2470" s="5146"/>
      <c r="BN2470" s="5146"/>
      <c r="BO2470" s="5146"/>
      <c r="BP2470" s="5146"/>
      <c r="BQ2470" s="3812">
        <v>170000</v>
      </c>
      <c r="BR2470" s="3812">
        <v>90000</v>
      </c>
      <c r="BS2470" s="5146"/>
      <c r="BT2470" s="5146"/>
      <c r="BU2470" s="5146"/>
      <c r="BV2470" s="5146"/>
      <c r="BW2470" s="5146"/>
      <c r="BX2470" s="5146"/>
      <c r="BY2470" s="5146"/>
      <c r="BZ2470" s="5146"/>
      <c r="CA2470" s="5146"/>
      <c r="CB2470" s="5146"/>
      <c r="CC2470" s="3812"/>
      <c r="CD2470" s="3812"/>
      <c r="CE2470" s="5154"/>
      <c r="CF2470" s="5154"/>
      <c r="CG2470" s="5154"/>
      <c r="CH2470" s="5154"/>
    </row>
    <row r="2471" s="4980" customFormat="1" ht="144" customHeight="1" spans="1:86">
      <c r="A2471" s="3524"/>
      <c r="B2471" s="857"/>
      <c r="C2471" s="857"/>
      <c r="D2471" s="1032"/>
      <c r="E2471" s="5059"/>
      <c r="F2471" s="1032"/>
      <c r="G2471" s="1032"/>
      <c r="H2471" s="857"/>
      <c r="I2471" s="857"/>
      <c r="J2471" s="1032"/>
      <c r="K2471" s="1032"/>
      <c r="L2471" s="1032"/>
      <c r="M2471" s="3812"/>
      <c r="N2471" s="2680"/>
      <c r="O2471" s="2680"/>
      <c r="P2471" s="2680"/>
      <c r="Q2471" s="2680"/>
      <c r="R2471" s="2680"/>
      <c r="S2471" s="2680"/>
      <c r="T2471" s="2680"/>
      <c r="U2471" s="2680"/>
      <c r="V2471" s="2680"/>
      <c r="W2471" s="2680"/>
      <c r="X2471" s="2680"/>
      <c r="Y2471" s="2680"/>
      <c r="Z2471" s="2680"/>
      <c r="AA2471" s="2680"/>
      <c r="AB2471" s="5079"/>
      <c r="AC2471" s="3812"/>
      <c r="AD2471" s="1032" t="s">
        <v>4156</v>
      </c>
      <c r="AE2471" s="5878"/>
      <c r="AF2471" s="857"/>
      <c r="AG2471" s="3812">
        <f t="shared" si="525"/>
        <v>350000</v>
      </c>
      <c r="AH2471" s="1032" t="s">
        <v>122</v>
      </c>
      <c r="AI2471" s="1032">
        <v>44992</v>
      </c>
      <c r="AJ2471" s="3812">
        <f>SUM(BD2471:BQ2471)</f>
        <v>350000</v>
      </c>
      <c r="AK2471" s="1032">
        <v>44992</v>
      </c>
      <c r="AL2471" s="3812">
        <f>SUM(BF2471:BS2471)</f>
        <v>350000</v>
      </c>
      <c r="AM2471" s="1032">
        <v>44992</v>
      </c>
      <c r="AN2471" s="5059">
        <f>SUM(BO2471:CB2471)</f>
        <v>350000</v>
      </c>
      <c r="AO2471" s="3812">
        <v>45075</v>
      </c>
      <c r="AP2471" s="3812"/>
      <c r="AQ2471" s="7146" t="s">
        <v>4202</v>
      </c>
      <c r="AR2471" s="3812"/>
      <c r="AS2471" s="5833"/>
      <c r="AT2471" s="5146"/>
      <c r="AU2471" s="3524"/>
      <c r="AV2471" s="3524"/>
      <c r="AW2471" s="3524"/>
      <c r="AX2471" s="3524"/>
      <c r="AY2471" s="3524"/>
      <c r="AZ2471" s="3524"/>
      <c r="BA2471" s="5146"/>
      <c r="BB2471" s="5146"/>
      <c r="BC2471" s="3812">
        <v>100000</v>
      </c>
      <c r="BD2471" s="3812">
        <v>250000</v>
      </c>
      <c r="BE2471" s="5146"/>
      <c r="BF2471" s="5146"/>
      <c r="BG2471" s="5146"/>
      <c r="BH2471" s="5146"/>
      <c r="BI2471" s="5146"/>
      <c r="BJ2471" s="5146"/>
      <c r="BK2471" s="5146"/>
      <c r="BL2471" s="5146"/>
      <c r="BM2471" s="5146"/>
      <c r="BN2471" s="5146"/>
      <c r="BO2471" s="5146"/>
      <c r="BP2471" s="5146"/>
      <c r="BQ2471" s="3812">
        <v>100000</v>
      </c>
      <c r="BR2471" s="3812">
        <v>250000</v>
      </c>
      <c r="BS2471" s="5146"/>
      <c r="BT2471" s="5146"/>
      <c r="BU2471" s="5146"/>
      <c r="BV2471" s="5146"/>
      <c r="BW2471" s="5146"/>
      <c r="BX2471" s="5146"/>
      <c r="BY2471" s="5146"/>
      <c r="BZ2471" s="5146"/>
      <c r="CA2471" s="5146"/>
      <c r="CB2471" s="5146"/>
      <c r="CC2471" s="3812"/>
      <c r="CD2471" s="3812"/>
      <c r="CE2471" s="5154"/>
      <c r="CF2471" s="5154"/>
      <c r="CG2471" s="5154"/>
      <c r="CH2471" s="5154"/>
    </row>
    <row r="2472" s="4965" customFormat="1" ht="40.5" customHeight="1" spans="1:86">
      <c r="A2472" s="3524"/>
      <c r="B2472" s="857"/>
      <c r="C2472" s="857"/>
      <c r="D2472" s="1032"/>
      <c r="E2472" s="3742"/>
      <c r="F2472" s="1032"/>
      <c r="G2472" s="1032"/>
      <c r="H2472" s="857"/>
      <c r="I2472" s="857"/>
      <c r="J2472" s="1032"/>
      <c r="K2472" s="1032"/>
      <c r="L2472" s="1032"/>
      <c r="M2472" s="3524"/>
      <c r="N2472" s="2680"/>
      <c r="O2472" s="2680"/>
      <c r="P2472" s="2680"/>
      <c r="Q2472" s="2680"/>
      <c r="R2472" s="2680"/>
      <c r="S2472" s="2680"/>
      <c r="T2472" s="2680"/>
      <c r="U2472" s="2680"/>
      <c r="V2472" s="2680"/>
      <c r="W2472" s="2680"/>
      <c r="X2472" s="2680"/>
      <c r="Y2472" s="2680"/>
      <c r="Z2472" s="2680"/>
      <c r="AA2472" s="2680"/>
      <c r="AB2472" s="5079"/>
      <c r="AC2472" s="3812"/>
      <c r="AD2472" s="1032" t="s">
        <v>4203</v>
      </c>
      <c r="AE2472" s="5870"/>
      <c r="AF2472" s="857"/>
      <c r="AG2472" s="3812">
        <f t="shared" si="525"/>
        <v>100000</v>
      </c>
      <c r="AH2472" s="1032" t="s">
        <v>122</v>
      </c>
      <c r="AI2472" s="3812">
        <v>45275</v>
      </c>
      <c r="AJ2472" s="3812">
        <v>100000</v>
      </c>
      <c r="AK2472" s="3812">
        <v>45275</v>
      </c>
      <c r="AL2472" s="3812">
        <v>100000</v>
      </c>
      <c r="AM2472" s="1032">
        <v>45303</v>
      </c>
      <c r="AN2472" s="5059">
        <f>SUM(BO2472:CB2472)</f>
        <v>100000</v>
      </c>
      <c r="AO2472" s="1032">
        <v>45317</v>
      </c>
      <c r="AP2472" s="3812"/>
      <c r="AQ2472" s="7146" t="s">
        <v>4204</v>
      </c>
      <c r="AR2472" s="3524"/>
      <c r="AS2472" s="5129"/>
      <c r="AT2472" s="5122"/>
      <c r="AU2472" s="3524"/>
      <c r="AV2472" s="3524"/>
      <c r="AW2472" s="3524"/>
      <c r="AX2472" s="3524"/>
      <c r="AY2472" s="3524"/>
      <c r="AZ2472" s="3524"/>
      <c r="BA2472" s="5122"/>
      <c r="BB2472" s="5122"/>
      <c r="BC2472" s="3812">
        <v>100000</v>
      </c>
      <c r="BD2472" s="5122"/>
      <c r="BE2472" s="5122"/>
      <c r="BF2472" s="5122"/>
      <c r="BG2472" s="5122"/>
      <c r="BH2472" s="7138"/>
      <c r="BI2472" s="5122"/>
      <c r="BJ2472" s="5122"/>
      <c r="BK2472" s="5122"/>
      <c r="BL2472" s="5122"/>
      <c r="BM2472" s="5122"/>
      <c r="BN2472" s="5122"/>
      <c r="BO2472" s="5122"/>
      <c r="BP2472" s="5122"/>
      <c r="BQ2472" s="3812">
        <v>100000</v>
      </c>
      <c r="BR2472" s="5146"/>
      <c r="BS2472" s="5122"/>
      <c r="BT2472" s="7138"/>
      <c r="BU2472" s="7138"/>
      <c r="BV2472" s="5122"/>
      <c r="BW2472" s="5122"/>
      <c r="BX2472" s="5122"/>
      <c r="BY2472" s="5122"/>
      <c r="BZ2472" s="5122"/>
      <c r="CA2472" s="5122"/>
      <c r="CB2472" s="5122"/>
      <c r="CC2472" s="3524"/>
      <c r="CD2472" s="3524"/>
      <c r="CE2472" s="5169"/>
      <c r="CF2472" s="5169"/>
      <c r="CG2472" s="5169"/>
      <c r="CH2472" s="5169"/>
    </row>
    <row r="2473" s="4965" customFormat="1" ht="105" customHeight="1" spans="1:86">
      <c r="A2473" s="3524"/>
      <c r="B2473" s="857"/>
      <c r="C2473" s="857"/>
      <c r="D2473" s="1032"/>
      <c r="E2473" s="3742"/>
      <c r="F2473" s="1032"/>
      <c r="G2473" s="1032"/>
      <c r="H2473" s="857"/>
      <c r="I2473" s="857"/>
      <c r="J2473" s="1032"/>
      <c r="K2473" s="1032"/>
      <c r="L2473" s="1032"/>
      <c r="M2473" s="3524"/>
      <c r="N2473" s="2680"/>
      <c r="O2473" s="2680"/>
      <c r="P2473" s="2680"/>
      <c r="Q2473" s="2680"/>
      <c r="R2473" s="2680"/>
      <c r="S2473" s="2680"/>
      <c r="T2473" s="2680"/>
      <c r="U2473" s="2680"/>
      <c r="V2473" s="2680"/>
      <c r="W2473" s="2680"/>
      <c r="X2473" s="2680"/>
      <c r="Y2473" s="2680"/>
      <c r="Z2473" s="2680"/>
      <c r="AA2473" s="2680"/>
      <c r="AB2473" s="5079"/>
      <c r="AC2473" s="3812"/>
      <c r="AD2473" s="1032" t="s">
        <v>4156</v>
      </c>
      <c r="AE2473" s="5870"/>
      <c r="AF2473" s="857"/>
      <c r="AG2473" s="3812">
        <f t="shared" si="525"/>
        <v>250000</v>
      </c>
      <c r="AH2473" s="1032" t="s">
        <v>122</v>
      </c>
      <c r="AI2473" s="3812">
        <v>45275</v>
      </c>
      <c r="AJ2473" s="3812">
        <v>250000</v>
      </c>
      <c r="AK2473" s="3812">
        <v>45275</v>
      </c>
      <c r="AL2473" s="3812">
        <v>250000</v>
      </c>
      <c r="AM2473" s="1032">
        <v>45303</v>
      </c>
      <c r="AN2473" s="5059">
        <f>SUM(BO2473:CB2473)</f>
        <v>250000</v>
      </c>
      <c r="AO2473" s="1032">
        <v>45317</v>
      </c>
      <c r="AP2473" s="3812"/>
      <c r="AQ2473" s="7146" t="s">
        <v>4205</v>
      </c>
      <c r="AR2473" s="3524"/>
      <c r="AS2473" s="5129"/>
      <c r="AT2473" s="5122"/>
      <c r="AU2473" s="3524"/>
      <c r="AV2473" s="3524"/>
      <c r="AW2473" s="3524"/>
      <c r="AX2473" s="3524"/>
      <c r="AY2473" s="3524"/>
      <c r="AZ2473" s="3524"/>
      <c r="BA2473" s="5122"/>
      <c r="BB2473" s="5122"/>
      <c r="BC2473" s="3812">
        <v>150000</v>
      </c>
      <c r="BD2473" s="3812">
        <v>100000</v>
      </c>
      <c r="BE2473" s="5122"/>
      <c r="BF2473" s="5122"/>
      <c r="BG2473" s="5122"/>
      <c r="BH2473" s="7138"/>
      <c r="BI2473" s="5122"/>
      <c r="BJ2473" s="5122"/>
      <c r="BK2473" s="5122"/>
      <c r="BL2473" s="5122"/>
      <c r="BM2473" s="5122"/>
      <c r="BN2473" s="5122"/>
      <c r="BO2473" s="5122"/>
      <c r="BP2473" s="5122"/>
      <c r="BQ2473" s="3812">
        <v>150000</v>
      </c>
      <c r="BR2473" s="3812">
        <v>100000</v>
      </c>
      <c r="BS2473" s="5122"/>
      <c r="BT2473" s="7138"/>
      <c r="BU2473" s="7138"/>
      <c r="BV2473" s="5122"/>
      <c r="BW2473" s="5122"/>
      <c r="BX2473" s="5122"/>
      <c r="BY2473" s="5122"/>
      <c r="BZ2473" s="5122"/>
      <c r="CA2473" s="5122"/>
      <c r="CB2473" s="5122"/>
      <c r="CC2473" s="3524"/>
      <c r="CD2473" s="3524"/>
      <c r="CE2473" s="5169"/>
      <c r="CF2473" s="5169"/>
      <c r="CG2473" s="5169"/>
      <c r="CH2473" s="5169"/>
    </row>
    <row r="2474" s="4965" customFormat="1" ht="27.75" customHeight="1" spans="1:86">
      <c r="A2474" s="3524"/>
      <c r="B2474" s="857"/>
      <c r="C2474" s="857"/>
      <c r="D2474" s="1032"/>
      <c r="E2474" s="3742"/>
      <c r="F2474" s="1032"/>
      <c r="G2474" s="1032"/>
      <c r="H2474" s="857"/>
      <c r="I2474" s="857"/>
      <c r="J2474" s="1032"/>
      <c r="K2474" s="1032"/>
      <c r="L2474" s="1032"/>
      <c r="M2474" s="3524"/>
      <c r="N2474" s="2680"/>
      <c r="O2474" s="2680"/>
      <c r="P2474" s="2680"/>
      <c r="Q2474" s="2680"/>
      <c r="R2474" s="2680"/>
      <c r="S2474" s="2680"/>
      <c r="T2474" s="2680"/>
      <c r="U2474" s="2680"/>
      <c r="V2474" s="2680"/>
      <c r="W2474" s="2680"/>
      <c r="X2474" s="2680"/>
      <c r="Y2474" s="2680"/>
      <c r="Z2474" s="2680"/>
      <c r="AA2474" s="2680"/>
      <c r="AB2474" s="5079"/>
      <c r="AC2474" s="3812"/>
      <c r="AD2474" s="1032"/>
      <c r="AE2474" s="5870"/>
      <c r="AF2474" s="857"/>
      <c r="AG2474" s="3812"/>
      <c r="AH2474" s="5346"/>
      <c r="AI2474" s="5123"/>
      <c r="AJ2474" s="5123"/>
      <c r="AK2474" s="5123"/>
      <c r="AL2474" s="5123"/>
      <c r="AM2474" s="5123"/>
      <c r="AN2474" s="3812"/>
      <c r="AO2474" s="5123"/>
      <c r="AP2474" s="3812"/>
      <c r="AQ2474" s="5122"/>
      <c r="AR2474" s="3524"/>
      <c r="AS2474" s="5129"/>
      <c r="AT2474" s="5122"/>
      <c r="AU2474" s="3524"/>
      <c r="AV2474" s="3524"/>
      <c r="AW2474" s="3524"/>
      <c r="AX2474" s="3524"/>
      <c r="AY2474" s="3524"/>
      <c r="AZ2474" s="3524"/>
      <c r="BA2474" s="5122"/>
      <c r="BB2474" s="5122"/>
      <c r="BC2474" s="3524"/>
      <c r="BD2474" s="5122"/>
      <c r="BE2474" s="5122"/>
      <c r="BF2474" s="5122"/>
      <c r="BG2474" s="5122"/>
      <c r="BH2474" s="7138"/>
      <c r="BI2474" s="5122"/>
      <c r="BJ2474" s="5122"/>
      <c r="BK2474" s="5122"/>
      <c r="BL2474" s="5122"/>
      <c r="BM2474" s="5122"/>
      <c r="BN2474" s="5122"/>
      <c r="BO2474" s="5122"/>
      <c r="BP2474" s="5122"/>
      <c r="BQ2474" s="5122"/>
      <c r="BR2474" s="5122"/>
      <c r="BS2474" s="5122"/>
      <c r="BT2474" s="7138"/>
      <c r="BU2474" s="7138"/>
      <c r="BV2474" s="5122"/>
      <c r="BW2474" s="5122"/>
      <c r="BX2474" s="5122"/>
      <c r="BY2474" s="5122"/>
      <c r="BZ2474" s="5122"/>
      <c r="CA2474" s="5122"/>
      <c r="CB2474" s="5122"/>
      <c r="CC2474" s="3524"/>
      <c r="CD2474" s="3524"/>
      <c r="CE2474" s="5169"/>
      <c r="CF2474" s="5169"/>
      <c r="CG2474" s="5169"/>
      <c r="CH2474" s="5169"/>
    </row>
    <row r="2475" s="4965" customFormat="1" ht="122" spans="1:86">
      <c r="A2475" s="3524"/>
      <c r="B2475" s="3366" t="s">
        <v>888</v>
      </c>
      <c r="C2475" s="3366">
        <v>45985</v>
      </c>
      <c r="D2475" s="5073" t="s">
        <v>4206</v>
      </c>
      <c r="E2475" s="3742"/>
      <c r="F2475" s="5073" t="s">
        <v>4207</v>
      </c>
      <c r="G2475" s="5073" t="s">
        <v>4208</v>
      </c>
      <c r="H2475" s="3366" t="s">
        <v>286</v>
      </c>
      <c r="I2475" s="5073" t="s">
        <v>4209</v>
      </c>
      <c r="J2475" s="5073" t="s">
        <v>893</v>
      </c>
      <c r="K2475" s="5073"/>
      <c r="L2475" s="5073" t="s">
        <v>4210</v>
      </c>
      <c r="M2475" s="4087">
        <f>SUM(N2475:AA2475)</f>
        <v>1500000</v>
      </c>
      <c r="N2475" s="2680"/>
      <c r="O2475" s="2680"/>
      <c r="P2475" s="2680"/>
      <c r="Q2475" s="2680"/>
      <c r="R2475" s="2680"/>
      <c r="S2475" s="2680"/>
      <c r="T2475" s="2680"/>
      <c r="U2475" s="2680"/>
      <c r="V2475" s="2680"/>
      <c r="W2475" s="2680"/>
      <c r="X2475" s="2680"/>
      <c r="Y2475" s="2680"/>
      <c r="Z2475" s="2680">
        <v>1500000</v>
      </c>
      <c r="AA2475" s="2680"/>
      <c r="AB2475" s="5079"/>
      <c r="AC2475" s="3812">
        <v>1</v>
      </c>
      <c r="AD2475" s="1032" t="s">
        <v>4211</v>
      </c>
      <c r="AE2475" s="5870"/>
      <c r="AF2475" s="857">
        <v>1200000</v>
      </c>
      <c r="AG2475" s="3406">
        <f>SUM(BA2475:BN2475)</f>
        <v>400000</v>
      </c>
      <c r="AH2475" s="1131" t="s">
        <v>349</v>
      </c>
      <c r="AI2475" s="5123">
        <v>46052</v>
      </c>
      <c r="AJ2475" s="5123"/>
      <c r="AK2475" s="5123"/>
      <c r="AL2475" s="5123"/>
      <c r="AM2475" s="5123"/>
      <c r="AN2475" s="3406">
        <f>SUM(BO2475:CB2475)</f>
        <v>400000</v>
      </c>
      <c r="AO2475" s="5123">
        <v>46078</v>
      </c>
      <c r="AP2475" s="3812"/>
      <c r="AQ2475" s="5122"/>
      <c r="AR2475" s="3524"/>
      <c r="AS2475" s="5129"/>
      <c r="AT2475" s="5122"/>
      <c r="AU2475" s="3524"/>
      <c r="AV2475" s="3524"/>
      <c r="AW2475" s="3524"/>
      <c r="AX2475" s="3524"/>
      <c r="AY2475" s="3524"/>
      <c r="AZ2475" s="3524"/>
      <c r="BA2475" s="5122"/>
      <c r="BB2475" s="5122"/>
      <c r="BC2475" s="3524"/>
      <c r="BD2475" s="5122"/>
      <c r="BE2475" s="5122"/>
      <c r="BF2475" s="5122"/>
      <c r="BG2475" s="5122"/>
      <c r="BH2475" s="7138"/>
      <c r="BI2475" s="5122"/>
      <c r="BJ2475" s="5122"/>
      <c r="BK2475" s="5122"/>
      <c r="BL2475" s="5122"/>
      <c r="BM2475" s="3524">
        <v>400000</v>
      </c>
      <c r="BN2475" s="3524"/>
      <c r="BO2475" s="5122"/>
      <c r="BP2475" s="5122"/>
      <c r="BQ2475" s="5122"/>
      <c r="BR2475" s="5122"/>
      <c r="BS2475" s="5122"/>
      <c r="BT2475" s="7138"/>
      <c r="BU2475" s="7138"/>
      <c r="BV2475" s="5122"/>
      <c r="BW2475" s="5122"/>
      <c r="BX2475" s="5122"/>
      <c r="BY2475" s="5122"/>
      <c r="BZ2475" s="5122"/>
      <c r="CA2475" s="3524">
        <v>400000</v>
      </c>
      <c r="CB2475" s="5122"/>
      <c r="CC2475" s="3524"/>
      <c r="CD2475" s="3524"/>
      <c r="CE2475" s="5169"/>
      <c r="CF2475" s="5169"/>
      <c r="CG2475" s="5169"/>
      <c r="CH2475" s="5169"/>
    </row>
    <row r="2476" s="4965" customFormat="1" ht="93" customHeight="1" spans="1:86">
      <c r="A2476" s="3524"/>
      <c r="B2476" s="3409"/>
      <c r="C2476" s="3409"/>
      <c r="D2476" s="5206"/>
      <c r="E2476" s="1032"/>
      <c r="F2476" s="5206"/>
      <c r="G2476" s="5206"/>
      <c r="H2476" s="3409"/>
      <c r="I2476" s="5206"/>
      <c r="J2476" s="5206"/>
      <c r="K2476" s="5206"/>
      <c r="L2476" s="5206"/>
      <c r="M2476" s="4903"/>
      <c r="N2476" s="2680"/>
      <c r="O2476" s="2680"/>
      <c r="P2476" s="2680"/>
      <c r="Q2476" s="2680"/>
      <c r="R2476" s="2680"/>
      <c r="S2476" s="2680"/>
      <c r="T2476" s="2680"/>
      <c r="U2476" s="2680"/>
      <c r="V2476" s="2680"/>
      <c r="W2476" s="2680"/>
      <c r="X2476" s="2680"/>
      <c r="Y2476" s="2680"/>
      <c r="Z2476" s="2680"/>
      <c r="AA2476" s="2680"/>
      <c r="AB2476" s="2680"/>
      <c r="AC2476" s="3524"/>
      <c r="AD2476" s="5241"/>
      <c r="AE2476" s="5870"/>
      <c r="AF2476" s="857"/>
      <c r="AG2476" s="3812"/>
      <c r="AH2476" s="5346"/>
      <c r="AI2476" s="5123"/>
      <c r="AJ2476" s="5123"/>
      <c r="AK2476" s="5123"/>
      <c r="AL2476" s="5123"/>
      <c r="AM2476" s="5123"/>
      <c r="AN2476" s="857">
        <f>SUM(BO2476:CB2476)</f>
        <v>0</v>
      </c>
      <c r="AO2476" s="5123"/>
      <c r="AP2476" s="3812"/>
      <c r="AQ2476" s="5122"/>
      <c r="AR2476" s="3524"/>
      <c r="AS2476" s="5129"/>
      <c r="AT2476" s="5122"/>
      <c r="AU2476" s="3524"/>
      <c r="AV2476" s="3524"/>
      <c r="AW2476" s="3524"/>
      <c r="AX2476" s="3524"/>
      <c r="AY2476" s="3524"/>
      <c r="AZ2476" s="3524"/>
      <c r="BA2476" s="5122"/>
      <c r="BB2476" s="5122"/>
      <c r="BC2476" s="3524"/>
      <c r="BD2476" s="5122"/>
      <c r="BE2476" s="5122"/>
      <c r="BF2476" s="5122"/>
      <c r="BG2476" s="5122"/>
      <c r="BH2476" s="7138"/>
      <c r="BI2476" s="5122"/>
      <c r="BJ2476" s="5122"/>
      <c r="BK2476" s="5122"/>
      <c r="BL2476" s="5122"/>
      <c r="BM2476" s="5122"/>
      <c r="BN2476" s="5122"/>
      <c r="BO2476" s="5122"/>
      <c r="BP2476" s="5122"/>
      <c r="BQ2476" s="5122"/>
      <c r="BR2476" s="5122"/>
      <c r="BS2476" s="5122"/>
      <c r="BT2476" s="7138"/>
      <c r="BU2476" s="7138"/>
      <c r="BV2476" s="5122"/>
      <c r="BW2476" s="5122"/>
      <c r="BX2476" s="5122"/>
      <c r="BY2476" s="5122"/>
      <c r="BZ2476" s="5122"/>
      <c r="CA2476" s="5122"/>
      <c r="CB2476" s="5122"/>
      <c r="CC2476" s="3524"/>
      <c r="CD2476" s="3524"/>
      <c r="CE2476" s="5169"/>
      <c r="CF2476" s="5169"/>
      <c r="CG2476" s="5169"/>
      <c r="CH2476" s="5169"/>
    </row>
    <row r="2477" s="4965" customFormat="1" ht="93" customHeight="1" spans="1:86">
      <c r="A2477" s="3524"/>
      <c r="B2477" s="857" t="s">
        <v>888</v>
      </c>
      <c r="C2477" s="857">
        <v>44762</v>
      </c>
      <c r="D2477" s="1032" t="s">
        <v>4212</v>
      </c>
      <c r="E2477" s="1032" t="s">
        <v>113</v>
      </c>
      <c r="F2477" s="1032" t="s">
        <v>4213</v>
      </c>
      <c r="G2477" s="5818" t="s">
        <v>4214</v>
      </c>
      <c r="H2477" s="857" t="s">
        <v>240</v>
      </c>
      <c r="I2477" s="857"/>
      <c r="J2477" s="1035" t="s">
        <v>1044</v>
      </c>
      <c r="K2477" s="1032" t="s">
        <v>171</v>
      </c>
      <c r="L2477" s="3742"/>
      <c r="M2477" s="3524"/>
      <c r="N2477" s="2680"/>
      <c r="O2477" s="2680"/>
      <c r="P2477" s="2680"/>
      <c r="Q2477" s="2680"/>
      <c r="R2477" s="2680"/>
      <c r="S2477" s="2680"/>
      <c r="T2477" s="2680"/>
      <c r="U2477" s="2680"/>
      <c r="V2477" s="2680"/>
      <c r="W2477" s="2680"/>
      <c r="X2477" s="2680"/>
      <c r="Y2477" s="2680"/>
      <c r="Z2477" s="2680"/>
      <c r="AA2477" s="2680"/>
      <c r="AB2477" s="2680"/>
      <c r="AC2477" s="3524"/>
      <c r="AD2477" s="5241"/>
      <c r="AE2477" s="5870"/>
      <c r="AF2477" s="857"/>
      <c r="AG2477" s="3812">
        <f t="shared" ref="AG2477:AG2482" si="526">SUM(BA2477:BN2477)</f>
        <v>0</v>
      </c>
      <c r="AH2477" s="5346"/>
      <c r="AI2477" s="5123"/>
      <c r="AJ2477" s="5123"/>
      <c r="AK2477" s="5123"/>
      <c r="AL2477" s="5123"/>
      <c r="AM2477" s="5123"/>
      <c r="AN2477" s="3812">
        <f t="shared" ref="AN2477:AN2482" si="527">SUM(BO2477:CB2477)</f>
        <v>0</v>
      </c>
      <c r="AO2477" s="5123"/>
      <c r="AP2477" s="3812"/>
      <c r="AQ2477" s="5122"/>
      <c r="AR2477" s="3524"/>
      <c r="AS2477" s="5129"/>
      <c r="AT2477" s="5122"/>
      <c r="AU2477" s="3524"/>
      <c r="AV2477" s="3524"/>
      <c r="AW2477" s="3524"/>
      <c r="AX2477" s="3524"/>
      <c r="AY2477" s="3524"/>
      <c r="AZ2477" s="3524"/>
      <c r="BA2477" s="5122"/>
      <c r="BB2477" s="5122"/>
      <c r="BC2477" s="3524"/>
      <c r="BD2477" s="5122"/>
      <c r="BE2477" s="5122"/>
      <c r="BF2477" s="5122"/>
      <c r="BG2477" s="5122"/>
      <c r="BH2477" s="7138"/>
      <c r="BI2477" s="5122"/>
      <c r="BJ2477" s="5122"/>
      <c r="BK2477" s="5122"/>
      <c r="BL2477" s="5122"/>
      <c r="BM2477" s="5122"/>
      <c r="BN2477" s="5122"/>
      <c r="BO2477" s="5122"/>
      <c r="BP2477" s="5122"/>
      <c r="BQ2477" s="5122"/>
      <c r="BR2477" s="5122"/>
      <c r="BS2477" s="5122"/>
      <c r="BT2477" s="7138"/>
      <c r="BU2477" s="7138"/>
      <c r="BV2477" s="5122"/>
      <c r="BW2477" s="5122"/>
      <c r="BX2477" s="5122"/>
      <c r="BY2477" s="5122"/>
      <c r="BZ2477" s="5122"/>
      <c r="CA2477" s="5122"/>
      <c r="CB2477" s="5122"/>
      <c r="CC2477" s="3524"/>
      <c r="CD2477" s="3524"/>
      <c r="CE2477" s="5169"/>
      <c r="CF2477" s="5169"/>
      <c r="CG2477" s="5169"/>
      <c r="CH2477" s="5169"/>
    </row>
    <row r="2478" s="4992" customFormat="1" ht="42.5" customHeight="1" spans="1:86">
      <c r="A2478" s="3662"/>
      <c r="B2478" s="3815" t="s">
        <v>2570</v>
      </c>
      <c r="C2478" s="3662">
        <v>44519</v>
      </c>
      <c r="D2478" s="3909" t="s">
        <v>4215</v>
      </c>
      <c r="E2478" s="3909" t="s">
        <v>4216</v>
      </c>
      <c r="F2478" s="3909" t="s">
        <v>4217</v>
      </c>
      <c r="G2478" s="3909" t="s">
        <v>4218</v>
      </c>
      <c r="H2478" s="3814" t="s">
        <v>240</v>
      </c>
      <c r="I2478" s="3814"/>
      <c r="J2478" s="5055" t="s">
        <v>4219</v>
      </c>
      <c r="K2478" s="3662">
        <v>457311.5</v>
      </c>
      <c r="L2478" s="5055" t="s">
        <v>4220</v>
      </c>
      <c r="M2478" s="3662">
        <f>SUM(N2478:AA2482)</f>
        <v>12484603.94</v>
      </c>
      <c r="N2478" s="3662"/>
      <c r="O2478" s="3662"/>
      <c r="P2478" s="3662"/>
      <c r="Q2478" s="3662"/>
      <c r="R2478" s="3662"/>
      <c r="S2478" s="3662"/>
      <c r="T2478" s="3662"/>
      <c r="U2478" s="3662"/>
      <c r="V2478" s="3662"/>
      <c r="W2478" s="3662"/>
      <c r="X2478" s="3662"/>
      <c r="Y2478" s="3662"/>
      <c r="Z2478" s="3662"/>
      <c r="AA2478" s="3662">
        <f>915547.94+11569056</f>
        <v>12484603.94</v>
      </c>
      <c r="AB2478" s="3814" t="s">
        <v>126</v>
      </c>
      <c r="AC2478" s="7144">
        <v>1</v>
      </c>
      <c r="AD2478" s="7145" t="s">
        <v>4221</v>
      </c>
      <c r="AE2478" s="425">
        <v>0.2</v>
      </c>
      <c r="AF2478" s="425">
        <f>12484603.95*AE2478</f>
        <v>2496920.79</v>
      </c>
      <c r="AG2478" s="3684">
        <f t="shared" si="526"/>
        <v>2496920.79</v>
      </c>
      <c r="AH2478" s="3814" t="s">
        <v>122</v>
      </c>
      <c r="AI2478" s="3684">
        <v>44636</v>
      </c>
      <c r="AJ2478" s="3662">
        <f>AG2478</f>
        <v>2496920.79</v>
      </c>
      <c r="AK2478" s="3662">
        <f>AI2478</f>
        <v>44636</v>
      </c>
      <c r="AL2478" s="3684">
        <v>2496920.79</v>
      </c>
      <c r="AM2478" s="3684">
        <v>44636</v>
      </c>
      <c r="AN2478" s="3684">
        <f t="shared" si="527"/>
        <v>2496920.79</v>
      </c>
      <c r="AO2478" s="3684">
        <v>44662</v>
      </c>
      <c r="AP2478" s="3662"/>
      <c r="AQ2478" s="5127"/>
      <c r="AR2478" s="3662"/>
      <c r="AS2478" s="5053"/>
      <c r="AT2478" s="3662"/>
      <c r="AU2478" s="5127"/>
      <c r="AV2478" s="5127"/>
      <c r="AW2478" s="5127"/>
      <c r="AX2478" s="5127"/>
      <c r="AY2478" s="5127"/>
      <c r="AZ2478" s="5127"/>
      <c r="BA2478" s="3684"/>
      <c r="BB2478" s="3684"/>
      <c r="BC2478" s="5162"/>
      <c r="BD2478" s="3684"/>
      <c r="BE2478" s="3684"/>
      <c r="BF2478" s="3684"/>
      <c r="BG2478" s="3684"/>
      <c r="BH2478" s="3684"/>
      <c r="BI2478" s="5162"/>
      <c r="BJ2478" s="3684"/>
      <c r="BK2478" s="3684"/>
      <c r="BL2478" s="3684"/>
      <c r="BM2478" s="3684"/>
      <c r="BN2478" s="3684">
        <v>2496920.79</v>
      </c>
      <c r="BO2478" s="5162"/>
      <c r="BP2478" s="5162"/>
      <c r="BQ2478" s="5162"/>
      <c r="BR2478" s="5162"/>
      <c r="BS2478" s="5162"/>
      <c r="BT2478" s="5162"/>
      <c r="BU2478" s="5162"/>
      <c r="BV2478" s="5162"/>
      <c r="BW2478" s="5162"/>
      <c r="BX2478" s="5162"/>
      <c r="BY2478" s="5162"/>
      <c r="BZ2478" s="5162"/>
      <c r="CA2478" s="5162"/>
      <c r="CB2478" s="3684">
        <v>2496920.79</v>
      </c>
      <c r="CC2478" s="3662"/>
      <c r="CD2478" s="3662"/>
      <c r="CE2478" s="6802"/>
      <c r="CF2478" s="6802"/>
      <c r="CG2478" s="6802"/>
      <c r="CH2478" s="6802"/>
    </row>
    <row r="2479" s="4992" customFormat="1" ht="46" spans="1:86">
      <c r="A2479" s="3662"/>
      <c r="B2479" s="1837"/>
      <c r="C2479" s="3662"/>
      <c r="D2479" s="3910"/>
      <c r="E2479" s="3910"/>
      <c r="F2479" s="3910"/>
      <c r="G2479" s="3910"/>
      <c r="H2479" s="3662"/>
      <c r="I2479" s="3662"/>
      <c r="J2479" s="5055"/>
      <c r="K2479" s="3662"/>
      <c r="L2479" s="5053"/>
      <c r="M2479" s="3662"/>
      <c r="N2479" s="3662"/>
      <c r="O2479" s="3662"/>
      <c r="P2479" s="3662"/>
      <c r="Q2479" s="3662"/>
      <c r="R2479" s="3662"/>
      <c r="S2479" s="3662"/>
      <c r="T2479" s="3662"/>
      <c r="U2479" s="3662"/>
      <c r="V2479" s="3662"/>
      <c r="W2479" s="3662"/>
      <c r="X2479" s="3662"/>
      <c r="Y2479" s="3662"/>
      <c r="Z2479" s="3662"/>
      <c r="AA2479" s="3662"/>
      <c r="AB2479" s="3814"/>
      <c r="AC2479" s="7144">
        <v>2</v>
      </c>
      <c r="AD2479" s="7145" t="s">
        <v>4222</v>
      </c>
      <c r="AE2479" s="425">
        <v>0.2</v>
      </c>
      <c r="AF2479" s="425">
        <f>12484603.95*AE2479</f>
        <v>2496920.79</v>
      </c>
      <c r="AG2479" s="3684">
        <f t="shared" si="526"/>
        <v>2496920.79</v>
      </c>
      <c r="AH2479" s="3814" t="s">
        <v>122</v>
      </c>
      <c r="AI2479" s="3684">
        <v>44636</v>
      </c>
      <c r="AJ2479" s="3662">
        <f>AG2479</f>
        <v>2496920.79</v>
      </c>
      <c r="AK2479" s="3662">
        <f>AI2479</f>
        <v>44636</v>
      </c>
      <c r="AL2479" s="3684">
        <v>2496920.79</v>
      </c>
      <c r="AM2479" s="3684">
        <v>44636</v>
      </c>
      <c r="AN2479" s="3684">
        <f t="shared" si="527"/>
        <v>2496920.79</v>
      </c>
      <c r="AO2479" s="3684">
        <v>44662</v>
      </c>
      <c r="AP2479" s="3662"/>
      <c r="AQ2479" s="5127"/>
      <c r="AR2479" s="3662"/>
      <c r="AS2479" s="5053"/>
      <c r="AT2479" s="3662"/>
      <c r="AU2479" s="5127"/>
      <c r="AV2479" s="5127"/>
      <c r="AW2479" s="5127"/>
      <c r="AX2479" s="5127"/>
      <c r="AY2479" s="5127"/>
      <c r="AZ2479" s="5127"/>
      <c r="BA2479" s="3684"/>
      <c r="BB2479" s="3684"/>
      <c r="BC2479" s="5162"/>
      <c r="BD2479" s="3684"/>
      <c r="BE2479" s="3684"/>
      <c r="BF2479" s="3684"/>
      <c r="BG2479" s="3684"/>
      <c r="BH2479" s="3684"/>
      <c r="BI2479" s="5162"/>
      <c r="BJ2479" s="3684"/>
      <c r="BK2479" s="3684"/>
      <c r="BL2479" s="3684"/>
      <c r="BM2479" s="3684"/>
      <c r="BN2479" s="3684">
        <v>2496920.79</v>
      </c>
      <c r="BO2479" s="5162"/>
      <c r="BP2479" s="5162"/>
      <c r="BQ2479" s="5162"/>
      <c r="BR2479" s="5162"/>
      <c r="BS2479" s="5162"/>
      <c r="BT2479" s="5162"/>
      <c r="BU2479" s="5162"/>
      <c r="BV2479" s="5162"/>
      <c r="BW2479" s="5162"/>
      <c r="BX2479" s="5162"/>
      <c r="BY2479" s="5162"/>
      <c r="BZ2479" s="5162"/>
      <c r="CA2479" s="5162"/>
      <c r="CB2479" s="3684">
        <v>2496920.79</v>
      </c>
      <c r="CC2479" s="3662"/>
      <c r="CD2479" s="3662"/>
      <c r="CE2479" s="6802"/>
      <c r="CF2479" s="6802"/>
      <c r="CG2479" s="6802"/>
      <c r="CH2479" s="6802"/>
    </row>
    <row r="2480" s="4992" customFormat="1" ht="61" spans="1:86">
      <c r="A2480" s="3662"/>
      <c r="B2480" s="1837"/>
      <c r="C2480" s="3662"/>
      <c r="D2480" s="3910"/>
      <c r="E2480" s="3910"/>
      <c r="F2480" s="3910"/>
      <c r="G2480" s="3910"/>
      <c r="H2480" s="3662"/>
      <c r="I2480" s="3662"/>
      <c r="J2480" s="5055"/>
      <c r="K2480" s="3662"/>
      <c r="L2480" s="5053"/>
      <c r="M2480" s="3662"/>
      <c r="N2480" s="3662"/>
      <c r="O2480" s="3662"/>
      <c r="P2480" s="3662"/>
      <c r="Q2480" s="3662"/>
      <c r="R2480" s="3662"/>
      <c r="S2480" s="3662"/>
      <c r="T2480" s="3662"/>
      <c r="U2480" s="3662"/>
      <c r="V2480" s="3662"/>
      <c r="W2480" s="3662"/>
      <c r="X2480" s="3662"/>
      <c r="Y2480" s="3662"/>
      <c r="Z2480" s="3662"/>
      <c r="AA2480" s="3662"/>
      <c r="AB2480" s="3814"/>
      <c r="AC2480" s="7144">
        <v>3</v>
      </c>
      <c r="AD2480" s="7145" t="s">
        <v>4223</v>
      </c>
      <c r="AE2480" s="425">
        <v>0.3</v>
      </c>
      <c r="AF2480" s="425">
        <f>12484603.95*AE2480</f>
        <v>3745381.185</v>
      </c>
      <c r="AG2480" s="3684">
        <f t="shared" si="526"/>
        <v>3745381.19</v>
      </c>
      <c r="AH2480" s="3814" t="s">
        <v>122</v>
      </c>
      <c r="AI2480" s="3684">
        <v>44636</v>
      </c>
      <c r="AJ2480" s="3662">
        <f>AG2480</f>
        <v>3745381.19</v>
      </c>
      <c r="AK2480" s="3662">
        <f>AI2480</f>
        <v>44636</v>
      </c>
      <c r="AL2480" s="3684">
        <v>3745381.19</v>
      </c>
      <c r="AM2480" s="3684">
        <v>44636</v>
      </c>
      <c r="AN2480" s="3684">
        <f t="shared" si="527"/>
        <v>3745381.19</v>
      </c>
      <c r="AO2480" s="3684">
        <v>44662</v>
      </c>
      <c r="AP2480" s="3662"/>
      <c r="AQ2480" s="5127"/>
      <c r="AR2480" s="3662"/>
      <c r="AS2480" s="5053"/>
      <c r="AT2480" s="3662"/>
      <c r="AU2480" s="5127"/>
      <c r="AV2480" s="5127"/>
      <c r="AW2480" s="5127"/>
      <c r="AX2480" s="5127"/>
      <c r="AY2480" s="5127"/>
      <c r="AZ2480" s="5127"/>
      <c r="BA2480" s="3684"/>
      <c r="BB2480" s="3684"/>
      <c r="BC2480" s="5162"/>
      <c r="BD2480" s="3684"/>
      <c r="BE2480" s="3684"/>
      <c r="BF2480" s="3684"/>
      <c r="BG2480" s="3684"/>
      <c r="BH2480" s="3684"/>
      <c r="BI2480" s="5162"/>
      <c r="BJ2480" s="3684"/>
      <c r="BK2480" s="3684"/>
      <c r="BL2480" s="3684"/>
      <c r="BM2480" s="3684"/>
      <c r="BN2480" s="3684">
        <v>3745381.19</v>
      </c>
      <c r="BO2480" s="5162"/>
      <c r="BP2480" s="5162"/>
      <c r="BQ2480" s="5162"/>
      <c r="BR2480" s="5162"/>
      <c r="BS2480" s="5162"/>
      <c r="BT2480" s="5162"/>
      <c r="BU2480" s="5162"/>
      <c r="BV2480" s="5162"/>
      <c r="BW2480" s="5162"/>
      <c r="BX2480" s="5162"/>
      <c r="BY2480" s="5162"/>
      <c r="BZ2480" s="5162"/>
      <c r="CA2480" s="5162"/>
      <c r="CB2480" s="3684">
        <v>3745381.19</v>
      </c>
      <c r="CC2480" s="3662"/>
      <c r="CD2480" s="3662"/>
      <c r="CE2480" s="6802"/>
      <c r="CF2480" s="6802"/>
      <c r="CG2480" s="6802"/>
      <c r="CH2480" s="6802"/>
    </row>
    <row r="2481" s="4992" customFormat="1" ht="46" spans="1:86">
      <c r="A2481" s="3662"/>
      <c r="B2481" s="1837"/>
      <c r="C2481" s="3662"/>
      <c r="D2481" s="3910"/>
      <c r="E2481" s="3910"/>
      <c r="F2481" s="3910"/>
      <c r="G2481" s="3910"/>
      <c r="H2481" s="3662"/>
      <c r="I2481" s="3662"/>
      <c r="J2481" s="5055"/>
      <c r="K2481" s="3662"/>
      <c r="L2481" s="5053"/>
      <c r="M2481" s="3662"/>
      <c r="N2481" s="3662"/>
      <c r="O2481" s="3662"/>
      <c r="P2481" s="3662"/>
      <c r="Q2481" s="3662"/>
      <c r="R2481" s="3662"/>
      <c r="S2481" s="3662"/>
      <c r="T2481" s="3662"/>
      <c r="U2481" s="3662"/>
      <c r="V2481" s="3662"/>
      <c r="W2481" s="3662"/>
      <c r="X2481" s="3662"/>
      <c r="Y2481" s="3662"/>
      <c r="Z2481" s="3662"/>
      <c r="AA2481" s="3662"/>
      <c r="AB2481" s="3814"/>
      <c r="AC2481" s="7144">
        <v>4</v>
      </c>
      <c r="AD2481" s="7145" t="s">
        <v>4224</v>
      </c>
      <c r="AE2481" s="425">
        <v>0.25</v>
      </c>
      <c r="AF2481" s="425">
        <f>12484603.95*AE2481</f>
        <v>3121150.9875</v>
      </c>
      <c r="AG2481" s="3684">
        <f t="shared" si="526"/>
        <v>3121150.99</v>
      </c>
      <c r="AH2481" s="3814" t="s">
        <v>122</v>
      </c>
      <c r="AI2481" s="3684">
        <v>44665</v>
      </c>
      <c r="AJ2481" s="3684">
        <v>3121150.99</v>
      </c>
      <c r="AK2481" s="3684">
        <v>44665</v>
      </c>
      <c r="AL2481" s="3684">
        <v>3121150.99</v>
      </c>
      <c r="AM2481" s="3662">
        <v>44666</v>
      </c>
      <c r="AN2481" s="3684">
        <f t="shared" si="527"/>
        <v>3121150.99</v>
      </c>
      <c r="AO2481" s="3684">
        <v>44676</v>
      </c>
      <c r="AP2481" s="3662"/>
      <c r="AQ2481" s="5127"/>
      <c r="AR2481" s="3662"/>
      <c r="AS2481" s="5053"/>
      <c r="AT2481" s="3662"/>
      <c r="AU2481" s="5127"/>
      <c r="AV2481" s="5127"/>
      <c r="AW2481" s="5127"/>
      <c r="AX2481" s="5127"/>
      <c r="AY2481" s="5127"/>
      <c r="AZ2481" s="5127"/>
      <c r="BA2481" s="5148"/>
      <c r="BB2481" s="5148"/>
      <c r="BC2481" s="5162"/>
      <c r="BD2481" s="5148"/>
      <c r="BE2481" s="5148"/>
      <c r="BF2481" s="5148"/>
      <c r="BG2481" s="5148"/>
      <c r="BH2481" s="3684"/>
      <c r="BI2481" s="5517"/>
      <c r="BJ2481" s="5148"/>
      <c r="BK2481" s="5148"/>
      <c r="BL2481" s="5148"/>
      <c r="BM2481" s="5148"/>
      <c r="BN2481" s="5148">
        <v>3121150.99</v>
      </c>
      <c r="BO2481" s="5517"/>
      <c r="BP2481" s="5517"/>
      <c r="BQ2481" s="5517"/>
      <c r="BR2481" s="5517"/>
      <c r="BS2481" s="5517"/>
      <c r="BT2481" s="5517"/>
      <c r="BU2481" s="5517"/>
      <c r="BV2481" s="5517"/>
      <c r="BW2481" s="5517"/>
      <c r="BX2481" s="5517"/>
      <c r="BY2481" s="5517"/>
      <c r="BZ2481" s="5517"/>
      <c r="CA2481" s="5517"/>
      <c r="CB2481" s="5148">
        <v>3121150.99</v>
      </c>
      <c r="CC2481" s="3662"/>
      <c r="CD2481" s="3662"/>
      <c r="CE2481" s="6802"/>
      <c r="CF2481" s="6802"/>
      <c r="CG2481" s="6802"/>
      <c r="CH2481" s="6802"/>
    </row>
    <row r="2482" s="4992" customFormat="1" ht="92" spans="1:86">
      <c r="A2482" s="3662"/>
      <c r="B2482" s="1837"/>
      <c r="C2482" s="3662"/>
      <c r="D2482" s="3910"/>
      <c r="E2482" s="3910"/>
      <c r="F2482" s="3910"/>
      <c r="G2482" s="3910"/>
      <c r="H2482" s="3662"/>
      <c r="I2482" s="3662"/>
      <c r="J2482" s="5055"/>
      <c r="K2482" s="3662"/>
      <c r="L2482" s="5053"/>
      <c r="M2482" s="3662"/>
      <c r="N2482" s="3662"/>
      <c r="O2482" s="3662"/>
      <c r="P2482" s="3662"/>
      <c r="Q2482" s="3662"/>
      <c r="R2482" s="3662"/>
      <c r="S2482" s="3662"/>
      <c r="T2482" s="3662"/>
      <c r="U2482" s="3662"/>
      <c r="V2482" s="3662"/>
      <c r="W2482" s="3662"/>
      <c r="X2482" s="3662"/>
      <c r="Y2482" s="3662"/>
      <c r="Z2482" s="3662"/>
      <c r="AA2482" s="3662"/>
      <c r="AB2482" s="3814"/>
      <c r="AC2482" s="7144">
        <v>5</v>
      </c>
      <c r="AD2482" s="7145" t="s">
        <v>4225</v>
      </c>
      <c r="AE2482" s="425">
        <v>0.05</v>
      </c>
      <c r="AF2482" s="3823">
        <f>12484603.95*AE2482</f>
        <v>624230.1975</v>
      </c>
      <c r="AG2482" s="3708">
        <f t="shared" si="526"/>
        <v>624230</v>
      </c>
      <c r="AH2482" s="3823" t="s">
        <v>349</v>
      </c>
      <c r="AI2482" s="3662"/>
      <c r="AJ2482" s="3662"/>
      <c r="AK2482" s="3662"/>
      <c r="AL2482" s="3662"/>
      <c r="AM2482" s="3662"/>
      <c r="AN2482" s="3684">
        <f t="shared" si="527"/>
        <v>0</v>
      </c>
      <c r="AO2482" s="3662"/>
      <c r="AP2482" s="3662"/>
      <c r="AQ2482" s="5127"/>
      <c r="AR2482" s="3662"/>
      <c r="AS2482" s="5053"/>
      <c r="AT2482" s="3662"/>
      <c r="AU2482" s="5127"/>
      <c r="AV2482" s="5127"/>
      <c r="AW2482" s="5127"/>
      <c r="AX2482" s="5127"/>
      <c r="AY2482" s="5127"/>
      <c r="AZ2482" s="5127"/>
      <c r="BA2482" s="5127"/>
      <c r="BB2482" s="5127"/>
      <c r="BC2482" s="3662"/>
      <c r="BD2482" s="5127"/>
      <c r="BE2482" s="5127"/>
      <c r="BF2482" s="5127"/>
      <c r="BG2482" s="5127"/>
      <c r="BH2482" s="3662"/>
      <c r="BI2482" s="5127"/>
      <c r="BJ2482" s="5127"/>
      <c r="BK2482" s="5127"/>
      <c r="BL2482" s="5127"/>
      <c r="BM2482" s="5127"/>
      <c r="BN2482" s="5164">
        <v>624230</v>
      </c>
      <c r="BO2482" s="5127"/>
      <c r="BP2482" s="5127"/>
      <c r="BQ2482" s="5127"/>
      <c r="BR2482" s="5127"/>
      <c r="BS2482" s="5127"/>
      <c r="BT2482" s="5127"/>
      <c r="BU2482" s="5127"/>
      <c r="BV2482" s="5127"/>
      <c r="BW2482" s="5127"/>
      <c r="BX2482" s="5127"/>
      <c r="BY2482" s="5127"/>
      <c r="BZ2482" s="5127"/>
      <c r="CA2482" s="5127"/>
      <c r="CB2482" s="5127"/>
      <c r="CC2482" s="3662"/>
      <c r="CD2482" s="3662"/>
      <c r="CE2482" s="6802"/>
      <c r="CF2482" s="6802"/>
      <c r="CG2482" s="6802"/>
      <c r="CH2482" s="6802"/>
    </row>
    <row r="2483" s="4992" customFormat="1" ht="31" spans="1:86">
      <c r="A2483" s="3662"/>
      <c r="B2483" s="1837"/>
      <c r="C2483" s="3662">
        <v>44519</v>
      </c>
      <c r="D2483" s="3910"/>
      <c r="E2483" s="3910"/>
      <c r="F2483" s="3910"/>
      <c r="G2483" s="3910"/>
      <c r="H2483" s="3814" t="s">
        <v>4226</v>
      </c>
      <c r="I2483" s="3815"/>
      <c r="J2483" s="5069" t="s">
        <v>4219</v>
      </c>
      <c r="K2483" s="3662">
        <f>K2478</f>
        <v>457311.5</v>
      </c>
      <c r="L2483" s="5055" t="s">
        <v>4227</v>
      </c>
      <c r="M2483" s="3662">
        <f>SUM(N2483:AA2489)</f>
        <v>14016754.22</v>
      </c>
      <c r="N2483" s="3662"/>
      <c r="O2483" s="3662"/>
      <c r="P2483" s="3662"/>
      <c r="Q2483" s="3662"/>
      <c r="R2483" s="3662"/>
      <c r="S2483" s="3662"/>
      <c r="T2483" s="3662"/>
      <c r="U2483" s="3662"/>
      <c r="V2483" s="3662"/>
      <c r="W2483" s="3662"/>
      <c r="X2483" s="3662"/>
      <c r="Y2483" s="3662"/>
      <c r="Z2483" s="3662"/>
      <c r="AA2483" s="3662">
        <v>14016754.22</v>
      </c>
      <c r="AB2483" s="3814" t="s">
        <v>126</v>
      </c>
      <c r="AC2483" s="7144">
        <v>1</v>
      </c>
      <c r="AD2483" s="7145" t="s">
        <v>4228</v>
      </c>
      <c r="AE2483" s="3662">
        <v>0.2</v>
      </c>
      <c r="AF2483" s="3662">
        <f>14016754.22*AE2483</f>
        <v>2803350.844</v>
      </c>
      <c r="AG2483" s="3684">
        <f t="shared" ref="AG2483:AG2506" si="528">SUM(BA2483:BN2483)</f>
        <v>2803350.84</v>
      </c>
      <c r="AH2483" s="3814" t="s">
        <v>122</v>
      </c>
      <c r="AI2483" s="3684">
        <v>44636</v>
      </c>
      <c r="AJ2483" s="3662">
        <f>AG2483</f>
        <v>2803350.84</v>
      </c>
      <c r="AK2483" s="3662">
        <f>AI2483</f>
        <v>44636</v>
      </c>
      <c r="AL2483" s="3684">
        <v>2803350.84</v>
      </c>
      <c r="AM2483" s="3684">
        <v>44636</v>
      </c>
      <c r="AN2483" s="3684">
        <f t="shared" ref="AN2483:AN2506" si="529">SUM(BO2483:CB2483)</f>
        <v>2803350.84</v>
      </c>
      <c r="AO2483" s="3684">
        <v>44662</v>
      </c>
      <c r="AP2483" s="3662"/>
      <c r="AQ2483" s="5127"/>
      <c r="AR2483" s="3662"/>
      <c r="AS2483" s="5053"/>
      <c r="AT2483" s="3662"/>
      <c r="AU2483" s="5127"/>
      <c r="AV2483" s="5127"/>
      <c r="AW2483" s="5127"/>
      <c r="AX2483" s="5127"/>
      <c r="AY2483" s="5127"/>
      <c r="AZ2483" s="5127"/>
      <c r="BA2483" s="3684"/>
      <c r="BB2483" s="3684"/>
      <c r="BC2483" s="5162"/>
      <c r="BD2483" s="3684"/>
      <c r="BE2483" s="3684"/>
      <c r="BF2483" s="3684"/>
      <c r="BG2483" s="3684"/>
      <c r="BH2483" s="3684"/>
      <c r="BI2483" s="5162"/>
      <c r="BJ2483" s="3684"/>
      <c r="BK2483" s="3684"/>
      <c r="BL2483" s="3684"/>
      <c r="BM2483" s="3684"/>
      <c r="BN2483" s="3684">
        <v>2803350.84</v>
      </c>
      <c r="BO2483" s="5162"/>
      <c r="BP2483" s="5162"/>
      <c r="BQ2483" s="5162"/>
      <c r="BR2483" s="5162"/>
      <c r="BS2483" s="5162"/>
      <c r="BT2483" s="5162"/>
      <c r="BU2483" s="5162"/>
      <c r="BV2483" s="5162"/>
      <c r="BW2483" s="5162"/>
      <c r="BX2483" s="5162"/>
      <c r="BY2483" s="5162"/>
      <c r="BZ2483" s="5162"/>
      <c r="CA2483" s="5162"/>
      <c r="CB2483" s="3684">
        <v>2803350.84</v>
      </c>
      <c r="CC2483" s="3662"/>
      <c r="CD2483" s="3662"/>
      <c r="CE2483" s="6802"/>
      <c r="CF2483" s="6802"/>
      <c r="CG2483" s="6802"/>
      <c r="CH2483" s="6802"/>
    </row>
    <row r="2484" s="4992" customFormat="1" ht="46" spans="1:86">
      <c r="A2484" s="3662"/>
      <c r="B2484" s="1837"/>
      <c r="C2484" s="3662"/>
      <c r="D2484" s="3910"/>
      <c r="E2484" s="3910"/>
      <c r="F2484" s="3910"/>
      <c r="G2484" s="3910"/>
      <c r="H2484" s="3662"/>
      <c r="I2484" s="3666"/>
      <c r="J2484" s="5065"/>
      <c r="K2484" s="3662"/>
      <c r="L2484" s="3662"/>
      <c r="M2484" s="3662"/>
      <c r="N2484" s="3662"/>
      <c r="O2484" s="3662"/>
      <c r="P2484" s="3662"/>
      <c r="Q2484" s="3662"/>
      <c r="R2484" s="3662"/>
      <c r="S2484" s="3662"/>
      <c r="T2484" s="3662"/>
      <c r="U2484" s="3662"/>
      <c r="V2484" s="3662"/>
      <c r="W2484" s="3662"/>
      <c r="X2484" s="3662"/>
      <c r="Y2484" s="3662"/>
      <c r="Z2484" s="3662"/>
      <c r="AA2484" s="3662"/>
      <c r="AB2484" s="3662"/>
      <c r="AC2484" s="7144">
        <v>2</v>
      </c>
      <c r="AD2484" s="7145" t="s">
        <v>4229</v>
      </c>
      <c r="AE2484" s="3662">
        <v>0.2</v>
      </c>
      <c r="AF2484" s="3662">
        <f t="shared" ref="AF2484:AF2489" si="530">14016754.22*AE2484</f>
        <v>2803350.844</v>
      </c>
      <c r="AG2484" s="3684">
        <f t="shared" si="528"/>
        <v>2803350.84</v>
      </c>
      <c r="AH2484" s="3814" t="s">
        <v>122</v>
      </c>
      <c r="AI2484" s="3684">
        <v>44636</v>
      </c>
      <c r="AJ2484" s="3662">
        <f>AG2484</f>
        <v>2803350.84</v>
      </c>
      <c r="AK2484" s="3662">
        <f>AI2484</f>
        <v>44636</v>
      </c>
      <c r="AL2484" s="3684">
        <v>2803350.84</v>
      </c>
      <c r="AM2484" s="3684">
        <v>44636</v>
      </c>
      <c r="AN2484" s="3684">
        <f t="shared" si="529"/>
        <v>2803350.84</v>
      </c>
      <c r="AO2484" s="3684">
        <v>44662</v>
      </c>
      <c r="AP2484" s="3662"/>
      <c r="AQ2484" s="5127"/>
      <c r="AR2484" s="3662"/>
      <c r="AS2484" s="5053"/>
      <c r="AT2484" s="3662"/>
      <c r="AU2484" s="5127"/>
      <c r="AV2484" s="5127"/>
      <c r="AW2484" s="5127"/>
      <c r="AX2484" s="5127"/>
      <c r="AY2484" s="5127"/>
      <c r="AZ2484" s="5127"/>
      <c r="BA2484" s="3684"/>
      <c r="BB2484" s="3684"/>
      <c r="BC2484" s="5162"/>
      <c r="BD2484" s="3684"/>
      <c r="BE2484" s="3684"/>
      <c r="BF2484" s="3684"/>
      <c r="BG2484" s="3684"/>
      <c r="BH2484" s="3684"/>
      <c r="BI2484" s="5162"/>
      <c r="BJ2484" s="3684"/>
      <c r="BK2484" s="3684"/>
      <c r="BL2484" s="3684"/>
      <c r="BM2484" s="3684"/>
      <c r="BN2484" s="3684">
        <v>2803350.84</v>
      </c>
      <c r="BO2484" s="5162"/>
      <c r="BP2484" s="5162"/>
      <c r="BQ2484" s="5162"/>
      <c r="BR2484" s="5162"/>
      <c r="BS2484" s="5162"/>
      <c r="BT2484" s="5162"/>
      <c r="BU2484" s="5162"/>
      <c r="BV2484" s="5162"/>
      <c r="BW2484" s="5162"/>
      <c r="BX2484" s="5162"/>
      <c r="BY2484" s="5162"/>
      <c r="BZ2484" s="5162"/>
      <c r="CA2484" s="5162"/>
      <c r="CB2484" s="3684">
        <v>2803350.84</v>
      </c>
      <c r="CC2484" s="3662"/>
      <c r="CD2484" s="3662"/>
      <c r="CE2484" s="6802"/>
      <c r="CF2484" s="6802"/>
      <c r="CG2484" s="6802"/>
      <c r="CH2484" s="6802"/>
    </row>
    <row r="2485" s="4992" customFormat="1" ht="76" spans="1:86">
      <c r="A2485" s="3662"/>
      <c r="B2485" s="1837"/>
      <c r="C2485" s="3662"/>
      <c r="D2485" s="3910"/>
      <c r="E2485" s="3910"/>
      <c r="F2485" s="3910"/>
      <c r="G2485" s="3910"/>
      <c r="H2485" s="3662"/>
      <c r="I2485" s="3666"/>
      <c r="J2485" s="5065"/>
      <c r="K2485" s="3662"/>
      <c r="L2485" s="3662"/>
      <c r="M2485" s="3662"/>
      <c r="N2485" s="3662"/>
      <c r="O2485" s="3662"/>
      <c r="P2485" s="3662"/>
      <c r="Q2485" s="3662"/>
      <c r="R2485" s="3662"/>
      <c r="S2485" s="3662"/>
      <c r="T2485" s="3662"/>
      <c r="U2485" s="3662"/>
      <c r="V2485" s="3662"/>
      <c r="W2485" s="3662"/>
      <c r="X2485" s="3662"/>
      <c r="Y2485" s="3662"/>
      <c r="Z2485" s="3662"/>
      <c r="AA2485" s="3662"/>
      <c r="AB2485" s="3662"/>
      <c r="AC2485" s="7144">
        <v>3</v>
      </c>
      <c r="AD2485" s="7145" t="s">
        <v>4230</v>
      </c>
      <c r="AE2485" s="3662">
        <v>0.1</v>
      </c>
      <c r="AF2485" s="3662">
        <f t="shared" si="530"/>
        <v>1401675.422</v>
      </c>
      <c r="AG2485" s="3684">
        <f t="shared" si="528"/>
        <v>1401675.43</v>
      </c>
      <c r="AH2485" s="3814" t="s">
        <v>122</v>
      </c>
      <c r="AI2485" s="3684">
        <v>44636</v>
      </c>
      <c r="AJ2485" s="3662">
        <f>AG2485</f>
        <v>1401675.43</v>
      </c>
      <c r="AK2485" s="3662">
        <f>AI2485</f>
        <v>44636</v>
      </c>
      <c r="AL2485" s="3684">
        <v>1401675.43</v>
      </c>
      <c r="AM2485" s="3684">
        <v>44636</v>
      </c>
      <c r="AN2485" s="3684">
        <f t="shared" si="529"/>
        <v>1401675.43</v>
      </c>
      <c r="AO2485" s="3684">
        <v>44662</v>
      </c>
      <c r="AP2485" s="3662"/>
      <c r="AQ2485" s="5127"/>
      <c r="AR2485" s="3662"/>
      <c r="AS2485" s="5053"/>
      <c r="AT2485" s="3662"/>
      <c r="AU2485" s="5127"/>
      <c r="AV2485" s="5127"/>
      <c r="AW2485" s="5127"/>
      <c r="AX2485" s="5127"/>
      <c r="AY2485" s="5127"/>
      <c r="AZ2485" s="5127"/>
      <c r="BA2485" s="3684"/>
      <c r="BB2485" s="3684"/>
      <c r="BC2485" s="5162"/>
      <c r="BD2485" s="3684"/>
      <c r="BE2485" s="3684"/>
      <c r="BF2485" s="3684"/>
      <c r="BG2485" s="3684"/>
      <c r="BH2485" s="3684"/>
      <c r="BI2485" s="5162"/>
      <c r="BJ2485" s="3684"/>
      <c r="BK2485" s="3684"/>
      <c r="BL2485" s="3684"/>
      <c r="BM2485" s="3684"/>
      <c r="BN2485" s="3684">
        <v>1401675.43</v>
      </c>
      <c r="BO2485" s="5162"/>
      <c r="BP2485" s="5162"/>
      <c r="BQ2485" s="5162"/>
      <c r="BR2485" s="5162"/>
      <c r="BS2485" s="5162"/>
      <c r="BT2485" s="5162"/>
      <c r="BU2485" s="5162"/>
      <c r="BV2485" s="5162"/>
      <c r="BW2485" s="5162"/>
      <c r="BX2485" s="5162"/>
      <c r="BY2485" s="5162"/>
      <c r="BZ2485" s="5162"/>
      <c r="CA2485" s="5162"/>
      <c r="CB2485" s="3684">
        <v>1401675.43</v>
      </c>
      <c r="CC2485" s="3662"/>
      <c r="CD2485" s="3662"/>
      <c r="CE2485" s="6802"/>
      <c r="CF2485" s="6802"/>
      <c r="CG2485" s="6802"/>
      <c r="CH2485" s="6802"/>
    </row>
    <row r="2486" s="4992" customFormat="1" ht="61" spans="1:86">
      <c r="A2486" s="3662"/>
      <c r="B2486" s="1837"/>
      <c r="C2486" s="3662"/>
      <c r="D2486" s="3910"/>
      <c r="E2486" s="3910"/>
      <c r="F2486" s="3910"/>
      <c r="G2486" s="3910"/>
      <c r="H2486" s="3662"/>
      <c r="I2486" s="3666"/>
      <c r="J2486" s="5065"/>
      <c r="K2486" s="3662"/>
      <c r="L2486" s="3662"/>
      <c r="M2486" s="3662"/>
      <c r="N2486" s="3662"/>
      <c r="O2486" s="3662"/>
      <c r="P2486" s="3662"/>
      <c r="Q2486" s="3662"/>
      <c r="R2486" s="3662"/>
      <c r="S2486" s="3662"/>
      <c r="T2486" s="3662"/>
      <c r="U2486" s="3662"/>
      <c r="V2486" s="3662"/>
      <c r="W2486" s="3662"/>
      <c r="X2486" s="3662"/>
      <c r="Y2486" s="3662"/>
      <c r="Z2486" s="3662"/>
      <c r="AA2486" s="3662"/>
      <c r="AB2486" s="3662"/>
      <c r="AC2486" s="7144">
        <v>4</v>
      </c>
      <c r="AD2486" s="7145" t="s">
        <v>4231</v>
      </c>
      <c r="AE2486" s="3662">
        <v>0.2</v>
      </c>
      <c r="AF2486" s="3662">
        <f t="shared" si="530"/>
        <v>2803350.844</v>
      </c>
      <c r="AG2486" s="3684">
        <f t="shared" si="528"/>
        <v>2803350.84</v>
      </c>
      <c r="AH2486" s="3814" t="s">
        <v>122</v>
      </c>
      <c r="AI2486" s="3684">
        <v>44665</v>
      </c>
      <c r="AJ2486" s="3684">
        <v>2803350.84</v>
      </c>
      <c r="AK2486" s="3684">
        <v>44665</v>
      </c>
      <c r="AL2486" s="3684">
        <v>2803350.84</v>
      </c>
      <c r="AM2486" s="3662">
        <v>44666</v>
      </c>
      <c r="AN2486" s="3684">
        <f t="shared" si="529"/>
        <v>2803350.84</v>
      </c>
      <c r="AO2486" s="3684">
        <v>44676</v>
      </c>
      <c r="AP2486" s="3662"/>
      <c r="AQ2486" s="5127"/>
      <c r="AR2486" s="3662"/>
      <c r="AS2486" s="5053"/>
      <c r="AT2486" s="3662"/>
      <c r="AU2486" s="5127"/>
      <c r="AV2486" s="5127"/>
      <c r="AW2486" s="5127"/>
      <c r="AX2486" s="5127"/>
      <c r="AY2486" s="5127"/>
      <c r="AZ2486" s="5127"/>
      <c r="BA2486" s="5148"/>
      <c r="BB2486" s="5148"/>
      <c r="BC2486" s="5162"/>
      <c r="BD2486" s="5148"/>
      <c r="BE2486" s="5148"/>
      <c r="BF2486" s="5148"/>
      <c r="BG2486" s="5148"/>
      <c r="BH2486" s="3684"/>
      <c r="BI2486" s="5517"/>
      <c r="BJ2486" s="5148"/>
      <c r="BK2486" s="5148"/>
      <c r="BL2486" s="5148"/>
      <c r="BM2486" s="5148"/>
      <c r="BN2486" s="5148">
        <v>2803350.84</v>
      </c>
      <c r="BO2486" s="5517"/>
      <c r="BP2486" s="5517"/>
      <c r="BQ2486" s="5517"/>
      <c r="BR2486" s="5517"/>
      <c r="BS2486" s="5517"/>
      <c r="BT2486" s="5517"/>
      <c r="BU2486" s="5517"/>
      <c r="BV2486" s="5517"/>
      <c r="BW2486" s="5517"/>
      <c r="BX2486" s="5517"/>
      <c r="BY2486" s="5517"/>
      <c r="BZ2486" s="5517"/>
      <c r="CA2486" s="5517"/>
      <c r="CB2486" s="5148">
        <v>2803350.84</v>
      </c>
      <c r="CC2486" s="3662"/>
      <c r="CD2486" s="3662"/>
      <c r="CE2486" s="6802"/>
      <c r="CF2486" s="6802"/>
      <c r="CG2486" s="6802"/>
      <c r="CH2486" s="6802"/>
    </row>
    <row r="2487" s="4992" customFormat="1" ht="31" spans="1:86">
      <c r="A2487" s="3662"/>
      <c r="B2487" s="1837"/>
      <c r="C2487" s="3662"/>
      <c r="D2487" s="3910"/>
      <c r="E2487" s="3910"/>
      <c r="F2487" s="3910"/>
      <c r="G2487" s="3910"/>
      <c r="H2487" s="3662"/>
      <c r="I2487" s="3666"/>
      <c r="J2487" s="5065"/>
      <c r="K2487" s="3662"/>
      <c r="L2487" s="3662"/>
      <c r="M2487" s="3662"/>
      <c r="N2487" s="3662"/>
      <c r="O2487" s="3662"/>
      <c r="P2487" s="3662"/>
      <c r="Q2487" s="3662"/>
      <c r="R2487" s="3662"/>
      <c r="S2487" s="3662"/>
      <c r="T2487" s="3662"/>
      <c r="U2487" s="3662"/>
      <c r="V2487" s="3662"/>
      <c r="W2487" s="3662"/>
      <c r="X2487" s="3662"/>
      <c r="Y2487" s="3662"/>
      <c r="Z2487" s="3662"/>
      <c r="AA2487" s="3662"/>
      <c r="AB2487" s="3662"/>
      <c r="AC2487" s="7144">
        <v>5</v>
      </c>
      <c r="AD2487" s="7145" t="s">
        <v>4232</v>
      </c>
      <c r="AE2487" s="3662">
        <v>0.15</v>
      </c>
      <c r="AF2487" s="3662">
        <f t="shared" si="530"/>
        <v>2102513.133</v>
      </c>
      <c r="AG2487" s="5162">
        <f t="shared" si="528"/>
        <v>2102513.133</v>
      </c>
      <c r="AH2487" s="3814" t="s">
        <v>122</v>
      </c>
      <c r="AI2487" s="3684">
        <v>45597</v>
      </c>
      <c r="AJ2487" s="3684">
        <v>2102513.133</v>
      </c>
      <c r="AK2487" s="3684">
        <v>45597</v>
      </c>
      <c r="AL2487" s="5162">
        <v>2102513.133</v>
      </c>
      <c r="AM2487" s="3684">
        <v>45603</v>
      </c>
      <c r="AN2487" s="3684">
        <f t="shared" si="529"/>
        <v>2102513.133</v>
      </c>
      <c r="AO2487" s="3684">
        <v>45650</v>
      </c>
      <c r="AP2487" s="3662"/>
      <c r="AQ2487" s="5127"/>
      <c r="AR2487" s="3662"/>
      <c r="AS2487" s="5053"/>
      <c r="AT2487" s="3662"/>
      <c r="AU2487" s="5127"/>
      <c r="AV2487" s="5127"/>
      <c r="AW2487" s="5127"/>
      <c r="AX2487" s="5127"/>
      <c r="AY2487" s="5127"/>
      <c r="AZ2487" s="5127"/>
      <c r="BA2487" s="5127"/>
      <c r="BB2487" s="5127"/>
      <c r="BC2487" s="3662"/>
      <c r="BD2487" s="5127"/>
      <c r="BE2487" s="5127"/>
      <c r="BF2487" s="5127"/>
      <c r="BG2487" s="5127"/>
      <c r="BH2487" s="3662"/>
      <c r="BI2487" s="5127"/>
      <c r="BJ2487" s="5127"/>
      <c r="BK2487" s="5127"/>
      <c r="BL2487" s="5127"/>
      <c r="BM2487" s="5127"/>
      <c r="BN2487" s="3684">
        <v>2102513.133</v>
      </c>
      <c r="BO2487" s="5127"/>
      <c r="BP2487" s="5127"/>
      <c r="BQ2487" s="5127"/>
      <c r="BR2487" s="5127"/>
      <c r="BS2487" s="5127"/>
      <c r="BT2487" s="5127"/>
      <c r="BU2487" s="5127"/>
      <c r="BV2487" s="5127"/>
      <c r="BW2487" s="5127"/>
      <c r="BX2487" s="5127"/>
      <c r="BY2487" s="5127"/>
      <c r="BZ2487" s="5127"/>
      <c r="CA2487" s="5127"/>
      <c r="CB2487" s="5162">
        <v>2102513.133</v>
      </c>
      <c r="CC2487" s="3662"/>
      <c r="CD2487" s="3662"/>
      <c r="CE2487" s="6802"/>
      <c r="CF2487" s="6802"/>
      <c r="CG2487" s="6802"/>
      <c r="CH2487" s="6802"/>
    </row>
    <row r="2488" s="4992" customFormat="1" ht="46" spans="1:86">
      <c r="A2488" s="3662"/>
      <c r="B2488" s="1837"/>
      <c r="C2488" s="3662"/>
      <c r="D2488" s="3910"/>
      <c r="E2488" s="3910"/>
      <c r="F2488" s="3910"/>
      <c r="G2488" s="3910"/>
      <c r="H2488" s="3662"/>
      <c r="I2488" s="3666"/>
      <c r="J2488" s="5065"/>
      <c r="K2488" s="3662"/>
      <c r="L2488" s="3662"/>
      <c r="M2488" s="3662"/>
      <c r="N2488" s="3662"/>
      <c r="O2488" s="3662"/>
      <c r="P2488" s="3662"/>
      <c r="Q2488" s="3662"/>
      <c r="R2488" s="3662"/>
      <c r="S2488" s="3662"/>
      <c r="T2488" s="3662"/>
      <c r="U2488" s="3662"/>
      <c r="V2488" s="3662"/>
      <c r="W2488" s="3662"/>
      <c r="X2488" s="3662"/>
      <c r="Y2488" s="3662"/>
      <c r="Z2488" s="3662"/>
      <c r="AA2488" s="3662"/>
      <c r="AB2488" s="3662"/>
      <c r="AC2488" s="7144">
        <v>6</v>
      </c>
      <c r="AD2488" s="7145" t="s">
        <v>4233</v>
      </c>
      <c r="AE2488" s="3662">
        <v>0.05</v>
      </c>
      <c r="AF2488" s="3662">
        <f t="shared" si="530"/>
        <v>700837.711</v>
      </c>
      <c r="AG2488" s="5162">
        <f t="shared" si="528"/>
        <v>700837.711</v>
      </c>
      <c r="AH2488" s="6027" t="s">
        <v>122</v>
      </c>
      <c r="AI2488" s="5162">
        <v>45649</v>
      </c>
      <c r="AJ2488" s="3662"/>
      <c r="AK2488" s="3662"/>
      <c r="AL2488" s="3662"/>
      <c r="AM2488" s="3662"/>
      <c r="AN2488" s="3684"/>
      <c r="AO2488" s="3708"/>
      <c r="AP2488" s="3662"/>
      <c r="AQ2488" s="5127"/>
      <c r="AR2488" s="3662"/>
      <c r="AS2488" s="5053"/>
      <c r="AT2488" s="3662"/>
      <c r="AU2488" s="5127"/>
      <c r="AV2488" s="5127"/>
      <c r="AW2488" s="5127"/>
      <c r="AX2488" s="5127"/>
      <c r="AY2488" s="5127"/>
      <c r="AZ2488" s="5127"/>
      <c r="BA2488" s="5127"/>
      <c r="BB2488" s="5127"/>
      <c r="BC2488" s="3662"/>
      <c r="BD2488" s="5127"/>
      <c r="BE2488" s="5127"/>
      <c r="BF2488" s="5127"/>
      <c r="BG2488" s="5127"/>
      <c r="BH2488" s="3662"/>
      <c r="BI2488" s="5127"/>
      <c r="BJ2488" s="5127"/>
      <c r="BK2488" s="5127"/>
      <c r="BL2488" s="5127"/>
      <c r="BM2488" s="5127"/>
      <c r="BN2488" s="3684">
        <v>700837.711</v>
      </c>
      <c r="BO2488" s="5127"/>
      <c r="BP2488" s="5127"/>
      <c r="BQ2488" s="5127"/>
      <c r="BR2488" s="5127"/>
      <c r="BS2488" s="5127"/>
      <c r="BT2488" s="5127"/>
      <c r="BU2488" s="5127"/>
      <c r="BV2488" s="5127"/>
      <c r="BW2488" s="5127"/>
      <c r="BX2488" s="5127"/>
      <c r="BY2488" s="5127"/>
      <c r="BZ2488" s="5127"/>
      <c r="CA2488" s="5127"/>
      <c r="CB2488" s="3708">
        <v>700837.711</v>
      </c>
      <c r="CC2488" s="3662"/>
      <c r="CD2488" s="3662"/>
      <c r="CE2488" s="6802"/>
      <c r="CF2488" s="6802"/>
      <c r="CG2488" s="6802"/>
      <c r="CH2488" s="6802"/>
    </row>
    <row r="2489" s="4992" customFormat="1" ht="31" spans="1:86">
      <c r="A2489" s="3662"/>
      <c r="B2489" s="1837"/>
      <c r="C2489" s="3662"/>
      <c r="D2489" s="3910"/>
      <c r="E2489" s="3910"/>
      <c r="F2489" s="3910"/>
      <c r="G2489" s="3910"/>
      <c r="H2489" s="3662"/>
      <c r="I2489" s="3666"/>
      <c r="J2489" s="5065"/>
      <c r="K2489" s="3662"/>
      <c r="L2489" s="3662"/>
      <c r="M2489" s="3662"/>
      <c r="N2489" s="3662"/>
      <c r="O2489" s="3662"/>
      <c r="P2489" s="3662"/>
      <c r="Q2489" s="3662"/>
      <c r="R2489" s="3662"/>
      <c r="S2489" s="3662"/>
      <c r="T2489" s="3662"/>
      <c r="U2489" s="3662"/>
      <c r="V2489" s="3662"/>
      <c r="W2489" s="3662"/>
      <c r="X2489" s="3662"/>
      <c r="Y2489" s="3662"/>
      <c r="Z2489" s="3662"/>
      <c r="AA2489" s="3662"/>
      <c r="AB2489" s="3662"/>
      <c r="AC2489" s="7144">
        <v>7</v>
      </c>
      <c r="AD2489" s="7145" t="s">
        <v>4234</v>
      </c>
      <c r="AE2489" s="3662">
        <v>0.1</v>
      </c>
      <c r="AF2489" s="3708">
        <f t="shared" si="530"/>
        <v>1401675.422</v>
      </c>
      <c r="AG2489" s="3708">
        <f t="shared" si="528"/>
        <v>700837.5</v>
      </c>
      <c r="AH2489" s="3823" t="s">
        <v>349</v>
      </c>
      <c r="AI2489" s="3708"/>
      <c r="AJ2489" s="3662"/>
      <c r="AK2489" s="3662"/>
      <c r="AL2489" s="3662"/>
      <c r="AM2489" s="3662"/>
      <c r="AN2489" s="3684">
        <f t="shared" si="529"/>
        <v>0</v>
      </c>
      <c r="AO2489" s="3662"/>
      <c r="AP2489" s="3662"/>
      <c r="AQ2489" s="5127"/>
      <c r="AR2489" s="3662"/>
      <c r="AS2489" s="5053"/>
      <c r="AT2489" s="3662"/>
      <c r="AU2489" s="5127"/>
      <c r="AV2489" s="5127"/>
      <c r="AW2489" s="5127"/>
      <c r="AX2489" s="5127"/>
      <c r="AY2489" s="5127"/>
      <c r="AZ2489" s="5127"/>
      <c r="BA2489" s="5127"/>
      <c r="BB2489" s="5127"/>
      <c r="BC2489" s="3662"/>
      <c r="BD2489" s="5127"/>
      <c r="BE2489" s="5127"/>
      <c r="BF2489" s="5127"/>
      <c r="BG2489" s="5127"/>
      <c r="BH2489" s="3662"/>
      <c r="BI2489" s="5127"/>
      <c r="BJ2489" s="5127"/>
      <c r="BK2489" s="5127"/>
      <c r="BL2489" s="5127"/>
      <c r="BM2489" s="5127"/>
      <c r="BN2489" s="3708">
        <f>1401675/2</f>
        <v>700837.5</v>
      </c>
      <c r="BO2489" s="5127"/>
      <c r="BP2489" s="5127"/>
      <c r="BQ2489" s="5127"/>
      <c r="BR2489" s="5127"/>
      <c r="BS2489" s="5127"/>
      <c r="BT2489" s="5127"/>
      <c r="BU2489" s="5127"/>
      <c r="BV2489" s="5127"/>
      <c r="BW2489" s="5127"/>
      <c r="BX2489" s="5127"/>
      <c r="BY2489" s="5127"/>
      <c r="BZ2489" s="5127"/>
      <c r="CA2489" s="5127"/>
      <c r="CB2489" s="5127"/>
      <c r="CC2489" s="3662"/>
      <c r="CD2489" s="3662"/>
      <c r="CE2489" s="6802"/>
      <c r="CF2489" s="6802"/>
      <c r="CG2489" s="6802"/>
      <c r="CH2489" s="6802"/>
    </row>
    <row r="2490" s="4992" customFormat="1" ht="46" spans="1:86">
      <c r="A2490" s="3662"/>
      <c r="B2490" s="1837"/>
      <c r="C2490" s="3662">
        <v>44484</v>
      </c>
      <c r="D2490" s="3910"/>
      <c r="E2490" s="3910"/>
      <c r="F2490" s="3910"/>
      <c r="G2490" s="3910"/>
      <c r="H2490" s="3814" t="s">
        <v>3327</v>
      </c>
      <c r="I2490" s="1837"/>
      <c r="J2490" s="5065"/>
      <c r="K2490" s="3662"/>
      <c r="L2490" s="5055" t="s">
        <v>4235</v>
      </c>
      <c r="M2490" s="3662">
        <f>SUM(N2490:AA2494)</f>
        <v>148500</v>
      </c>
      <c r="N2490" s="3662"/>
      <c r="O2490" s="3662"/>
      <c r="P2490" s="3662"/>
      <c r="Q2490" s="3662"/>
      <c r="R2490" s="3662"/>
      <c r="S2490" s="3662"/>
      <c r="T2490" s="3662"/>
      <c r="U2490" s="3662"/>
      <c r="V2490" s="3662"/>
      <c r="W2490" s="3662"/>
      <c r="X2490" s="3662"/>
      <c r="Y2490" s="3662"/>
      <c r="Z2490" s="3662"/>
      <c r="AA2490" s="3662">
        <v>148500</v>
      </c>
      <c r="AB2490" s="3814" t="s">
        <v>126</v>
      </c>
      <c r="AC2490" s="3814" t="s">
        <v>4236</v>
      </c>
      <c r="AD2490" s="5203" t="s">
        <v>4237</v>
      </c>
      <c r="AE2490" s="2139">
        <v>0.2</v>
      </c>
      <c r="AF2490" s="3662">
        <f>148500*AE2490</f>
        <v>29700</v>
      </c>
      <c r="AG2490" s="3684">
        <f t="shared" si="528"/>
        <v>29700</v>
      </c>
      <c r="AH2490" s="3814" t="s">
        <v>122</v>
      </c>
      <c r="AI2490" s="3684">
        <v>44636</v>
      </c>
      <c r="AJ2490" s="3662">
        <f>AG2490</f>
        <v>29700</v>
      </c>
      <c r="AK2490" s="3662">
        <f>AI2490</f>
        <v>44636</v>
      </c>
      <c r="AL2490" s="3684">
        <v>29700</v>
      </c>
      <c r="AM2490" s="3684">
        <v>44636</v>
      </c>
      <c r="AN2490" s="3684">
        <f t="shared" si="529"/>
        <v>29700</v>
      </c>
      <c r="AO2490" s="3684">
        <v>44662</v>
      </c>
      <c r="AP2490" s="3662"/>
      <c r="AQ2490" s="5127"/>
      <c r="AR2490" s="3662"/>
      <c r="AS2490" s="5053"/>
      <c r="AT2490" s="3662"/>
      <c r="AU2490" s="5127"/>
      <c r="AV2490" s="5127"/>
      <c r="AW2490" s="5127"/>
      <c r="AX2490" s="5127"/>
      <c r="AY2490" s="5127"/>
      <c r="AZ2490" s="5127"/>
      <c r="BA2490" s="3684"/>
      <c r="BB2490" s="3684"/>
      <c r="BC2490" s="5162"/>
      <c r="BD2490" s="3684"/>
      <c r="BE2490" s="3684"/>
      <c r="BF2490" s="3684"/>
      <c r="BG2490" s="3684"/>
      <c r="BH2490" s="3684"/>
      <c r="BI2490" s="5162"/>
      <c r="BJ2490" s="3684"/>
      <c r="BK2490" s="3684"/>
      <c r="BL2490" s="3684"/>
      <c r="BM2490" s="3684"/>
      <c r="BN2490" s="3684">
        <v>29700</v>
      </c>
      <c r="BO2490" s="5162"/>
      <c r="BP2490" s="5162"/>
      <c r="BQ2490" s="5162"/>
      <c r="BR2490" s="5162"/>
      <c r="BS2490" s="5162"/>
      <c r="BT2490" s="5162"/>
      <c r="BU2490" s="5162"/>
      <c r="BV2490" s="5162"/>
      <c r="BW2490" s="5162"/>
      <c r="BX2490" s="5162"/>
      <c r="BY2490" s="5162"/>
      <c r="BZ2490" s="5162"/>
      <c r="CA2490" s="5162"/>
      <c r="CB2490" s="3684">
        <v>29700</v>
      </c>
      <c r="CC2490" s="3662"/>
      <c r="CD2490" s="3662"/>
      <c r="CE2490" s="6802"/>
      <c r="CF2490" s="6802"/>
      <c r="CG2490" s="6802"/>
      <c r="CH2490" s="6802"/>
    </row>
    <row r="2491" s="4992" customFormat="1" ht="46" spans="1:86">
      <c r="A2491" s="3662"/>
      <c r="B2491" s="1837"/>
      <c r="C2491" s="3662"/>
      <c r="D2491" s="3910"/>
      <c r="E2491" s="3910"/>
      <c r="F2491" s="3910"/>
      <c r="G2491" s="3910"/>
      <c r="H2491" s="3662"/>
      <c r="I2491" s="3666"/>
      <c r="J2491" s="5065"/>
      <c r="K2491" s="3662"/>
      <c r="L2491" s="5053"/>
      <c r="M2491" s="3662"/>
      <c r="N2491" s="3662"/>
      <c r="O2491" s="3662"/>
      <c r="P2491" s="3662"/>
      <c r="Q2491" s="3662"/>
      <c r="R2491" s="3662"/>
      <c r="S2491" s="3662"/>
      <c r="T2491" s="3662"/>
      <c r="U2491" s="3662"/>
      <c r="V2491" s="3662"/>
      <c r="W2491" s="3662"/>
      <c r="X2491" s="3662"/>
      <c r="Y2491" s="3662"/>
      <c r="Z2491" s="3662"/>
      <c r="AA2491" s="3662"/>
      <c r="AB2491" s="3662"/>
      <c r="AC2491" s="3814" t="s">
        <v>4238</v>
      </c>
      <c r="AD2491" s="5203" t="s">
        <v>4239</v>
      </c>
      <c r="AE2491" s="2139">
        <v>0.3</v>
      </c>
      <c r="AF2491" s="3662">
        <f>148500*AE2491</f>
        <v>44550</v>
      </c>
      <c r="AG2491" s="3684">
        <f t="shared" si="528"/>
        <v>44550</v>
      </c>
      <c r="AH2491" s="3814" t="s">
        <v>122</v>
      </c>
      <c r="AI2491" s="3684">
        <v>44636</v>
      </c>
      <c r="AJ2491" s="3662">
        <f>AG2491</f>
        <v>44550</v>
      </c>
      <c r="AK2491" s="3662">
        <f>AI2491</f>
        <v>44636</v>
      </c>
      <c r="AL2491" s="3684">
        <v>44550</v>
      </c>
      <c r="AM2491" s="3684">
        <v>44636</v>
      </c>
      <c r="AN2491" s="3684">
        <f t="shared" si="529"/>
        <v>44550</v>
      </c>
      <c r="AO2491" s="3684">
        <v>44662</v>
      </c>
      <c r="AP2491" s="3662"/>
      <c r="AQ2491" s="5127"/>
      <c r="AR2491" s="3662"/>
      <c r="AS2491" s="5053"/>
      <c r="AT2491" s="3662"/>
      <c r="AU2491" s="5127"/>
      <c r="AV2491" s="5127"/>
      <c r="AW2491" s="5127"/>
      <c r="AX2491" s="5127"/>
      <c r="AY2491" s="5127"/>
      <c r="AZ2491" s="5127"/>
      <c r="BA2491" s="3684"/>
      <c r="BB2491" s="3684"/>
      <c r="BC2491" s="5162"/>
      <c r="BD2491" s="3684"/>
      <c r="BE2491" s="3684"/>
      <c r="BF2491" s="3684"/>
      <c r="BG2491" s="3684"/>
      <c r="BH2491" s="3684"/>
      <c r="BI2491" s="5162"/>
      <c r="BJ2491" s="3684"/>
      <c r="BK2491" s="3684"/>
      <c r="BL2491" s="3684"/>
      <c r="BM2491" s="3684"/>
      <c r="BN2491" s="3684">
        <v>44550</v>
      </c>
      <c r="BO2491" s="5162"/>
      <c r="BP2491" s="5162"/>
      <c r="BQ2491" s="5162"/>
      <c r="BR2491" s="5162"/>
      <c r="BS2491" s="5162"/>
      <c r="BT2491" s="5162"/>
      <c r="BU2491" s="5162"/>
      <c r="BV2491" s="5162"/>
      <c r="BW2491" s="5162"/>
      <c r="BX2491" s="5162"/>
      <c r="BY2491" s="5162"/>
      <c r="BZ2491" s="5162"/>
      <c r="CA2491" s="5162"/>
      <c r="CB2491" s="3684">
        <v>44550</v>
      </c>
      <c r="CC2491" s="3662"/>
      <c r="CD2491" s="3662"/>
      <c r="CE2491" s="6802"/>
      <c r="CF2491" s="6802"/>
      <c r="CG2491" s="6802"/>
      <c r="CH2491" s="6802"/>
    </row>
    <row r="2492" s="4992" customFormat="1" ht="46" spans="1:86">
      <c r="A2492" s="3662"/>
      <c r="B2492" s="1837"/>
      <c r="C2492" s="3662"/>
      <c r="D2492" s="3910"/>
      <c r="E2492" s="3910"/>
      <c r="F2492" s="3910"/>
      <c r="G2492" s="3910"/>
      <c r="H2492" s="3662"/>
      <c r="I2492" s="3666"/>
      <c r="J2492" s="5065"/>
      <c r="K2492" s="3662"/>
      <c r="L2492" s="5053"/>
      <c r="M2492" s="3662"/>
      <c r="N2492" s="3662"/>
      <c r="O2492" s="3662"/>
      <c r="P2492" s="3662"/>
      <c r="Q2492" s="3662"/>
      <c r="R2492" s="3662"/>
      <c r="S2492" s="3662"/>
      <c r="T2492" s="3662"/>
      <c r="U2492" s="3662"/>
      <c r="V2492" s="3662"/>
      <c r="W2492" s="3662"/>
      <c r="X2492" s="3662"/>
      <c r="Y2492" s="3662"/>
      <c r="Z2492" s="3662"/>
      <c r="AA2492" s="3662"/>
      <c r="AB2492" s="3662"/>
      <c r="AC2492" s="3814" t="s">
        <v>4240</v>
      </c>
      <c r="AD2492" s="5203" t="s">
        <v>4241</v>
      </c>
      <c r="AE2492" s="2139">
        <v>0.2</v>
      </c>
      <c r="AF2492" s="3662">
        <f>148500*AE2492</f>
        <v>29700</v>
      </c>
      <c r="AG2492" s="3684">
        <f t="shared" si="528"/>
        <v>29700</v>
      </c>
      <c r="AH2492" s="3814" t="s">
        <v>122</v>
      </c>
      <c r="AI2492" s="3684">
        <v>44636</v>
      </c>
      <c r="AJ2492" s="3662">
        <f>AG2492</f>
        <v>29700</v>
      </c>
      <c r="AK2492" s="3662">
        <f>AI2492</f>
        <v>44636</v>
      </c>
      <c r="AL2492" s="3684">
        <v>29700</v>
      </c>
      <c r="AM2492" s="3684">
        <v>44636</v>
      </c>
      <c r="AN2492" s="3684">
        <f t="shared" si="529"/>
        <v>29700</v>
      </c>
      <c r="AO2492" s="3684">
        <v>44662</v>
      </c>
      <c r="AP2492" s="3662"/>
      <c r="AQ2492" s="5127"/>
      <c r="AR2492" s="3662"/>
      <c r="AS2492" s="5053"/>
      <c r="AT2492" s="3662"/>
      <c r="AU2492" s="5127"/>
      <c r="AV2492" s="5127"/>
      <c r="AW2492" s="5127"/>
      <c r="AX2492" s="5127"/>
      <c r="AY2492" s="5127"/>
      <c r="AZ2492" s="5127"/>
      <c r="BA2492" s="3684"/>
      <c r="BB2492" s="3684"/>
      <c r="BC2492" s="5162"/>
      <c r="BD2492" s="3684"/>
      <c r="BE2492" s="3684"/>
      <c r="BF2492" s="3684"/>
      <c r="BG2492" s="3684"/>
      <c r="BH2492" s="3684"/>
      <c r="BI2492" s="5162"/>
      <c r="BJ2492" s="3684"/>
      <c r="BK2492" s="3684"/>
      <c r="BL2492" s="3684"/>
      <c r="BM2492" s="3684"/>
      <c r="BN2492" s="3684">
        <v>29700</v>
      </c>
      <c r="BO2492" s="5162"/>
      <c r="BP2492" s="5162"/>
      <c r="BQ2492" s="5162"/>
      <c r="BR2492" s="5162"/>
      <c r="BS2492" s="5162"/>
      <c r="BT2492" s="5162"/>
      <c r="BU2492" s="5162"/>
      <c r="BV2492" s="5162"/>
      <c r="BW2492" s="5162"/>
      <c r="BX2492" s="5162"/>
      <c r="BY2492" s="5162"/>
      <c r="BZ2492" s="5162"/>
      <c r="CA2492" s="5162"/>
      <c r="CB2492" s="3684">
        <v>29700</v>
      </c>
      <c r="CC2492" s="3662"/>
      <c r="CD2492" s="3662"/>
      <c r="CE2492" s="6802"/>
      <c r="CF2492" s="6802"/>
      <c r="CG2492" s="6802"/>
      <c r="CH2492" s="6802"/>
    </row>
    <row r="2493" s="4992" customFormat="1" ht="46" spans="1:86">
      <c r="A2493" s="3662"/>
      <c r="B2493" s="1837"/>
      <c r="C2493" s="3662"/>
      <c r="D2493" s="3910"/>
      <c r="E2493" s="3910"/>
      <c r="F2493" s="3910"/>
      <c r="G2493" s="3910"/>
      <c r="H2493" s="3662"/>
      <c r="I2493" s="3666"/>
      <c r="J2493" s="5065"/>
      <c r="K2493" s="3662"/>
      <c r="L2493" s="5053"/>
      <c r="M2493" s="3662"/>
      <c r="N2493" s="3662"/>
      <c r="O2493" s="3662"/>
      <c r="P2493" s="3662"/>
      <c r="Q2493" s="3662"/>
      <c r="R2493" s="3662"/>
      <c r="S2493" s="3662"/>
      <c r="T2493" s="3662"/>
      <c r="U2493" s="3662"/>
      <c r="V2493" s="3662"/>
      <c r="W2493" s="3662"/>
      <c r="X2493" s="3662"/>
      <c r="Y2493" s="3662"/>
      <c r="Z2493" s="3662"/>
      <c r="AA2493" s="3662"/>
      <c r="AB2493" s="3662"/>
      <c r="AC2493" s="3814" t="s">
        <v>4242</v>
      </c>
      <c r="AD2493" s="5203" t="s">
        <v>4243</v>
      </c>
      <c r="AE2493" s="2139">
        <v>0.25</v>
      </c>
      <c r="AF2493" s="3662">
        <f>148500*AE2493</f>
        <v>37125</v>
      </c>
      <c r="AG2493" s="3684">
        <f t="shared" si="528"/>
        <v>37125</v>
      </c>
      <c r="AH2493" s="3814" t="s">
        <v>122</v>
      </c>
      <c r="AI2493" s="3684">
        <v>44665</v>
      </c>
      <c r="AJ2493" s="3684">
        <v>37125</v>
      </c>
      <c r="AK2493" s="3684">
        <v>44665</v>
      </c>
      <c r="AL2493" s="3684">
        <v>37125</v>
      </c>
      <c r="AM2493" s="3662">
        <v>44666</v>
      </c>
      <c r="AN2493" s="3684">
        <f t="shared" si="529"/>
        <v>37125</v>
      </c>
      <c r="AO2493" s="3684">
        <v>44676</v>
      </c>
      <c r="AP2493" s="3662"/>
      <c r="AQ2493" s="5127"/>
      <c r="AR2493" s="3662"/>
      <c r="AS2493" s="5053"/>
      <c r="AT2493" s="3662"/>
      <c r="AU2493" s="5127"/>
      <c r="AV2493" s="5127"/>
      <c r="AW2493" s="5127"/>
      <c r="AX2493" s="5127"/>
      <c r="AY2493" s="5127"/>
      <c r="AZ2493" s="5127"/>
      <c r="BA2493" s="5148"/>
      <c r="BB2493" s="5148"/>
      <c r="BC2493" s="5162"/>
      <c r="BD2493" s="5148"/>
      <c r="BE2493" s="5148"/>
      <c r="BF2493" s="5148"/>
      <c r="BG2493" s="5148"/>
      <c r="BH2493" s="3684"/>
      <c r="BI2493" s="5517"/>
      <c r="BJ2493" s="5148"/>
      <c r="BK2493" s="5148"/>
      <c r="BL2493" s="5148"/>
      <c r="BM2493" s="5148"/>
      <c r="BN2493" s="5148">
        <v>37125</v>
      </c>
      <c r="BO2493" s="5517"/>
      <c r="BP2493" s="5517"/>
      <c r="BQ2493" s="5517"/>
      <c r="BR2493" s="5517"/>
      <c r="BS2493" s="5517"/>
      <c r="BT2493" s="5517"/>
      <c r="BU2493" s="5517"/>
      <c r="BV2493" s="5517"/>
      <c r="BW2493" s="5517"/>
      <c r="BX2493" s="5517"/>
      <c r="BY2493" s="5517"/>
      <c r="BZ2493" s="5517"/>
      <c r="CA2493" s="5517"/>
      <c r="CB2493" s="5148">
        <v>37125</v>
      </c>
      <c r="CC2493" s="3662"/>
      <c r="CD2493" s="3662"/>
      <c r="CE2493" s="6802"/>
      <c r="CF2493" s="6802"/>
      <c r="CG2493" s="6802"/>
      <c r="CH2493" s="6802"/>
    </row>
    <row r="2494" s="4992" customFormat="1" ht="61" spans="1:86">
      <c r="A2494" s="3662"/>
      <c r="B2494" s="1837"/>
      <c r="C2494" s="3662"/>
      <c r="D2494" s="3910"/>
      <c r="E2494" s="3910"/>
      <c r="F2494" s="3910"/>
      <c r="G2494" s="3910"/>
      <c r="H2494" s="3662"/>
      <c r="I2494" s="3666"/>
      <c r="J2494" s="5065"/>
      <c r="K2494" s="3662"/>
      <c r="L2494" s="5053"/>
      <c r="M2494" s="3662"/>
      <c r="N2494" s="3662"/>
      <c r="O2494" s="3662"/>
      <c r="P2494" s="3662"/>
      <c r="Q2494" s="3662"/>
      <c r="R2494" s="3662"/>
      <c r="S2494" s="3662"/>
      <c r="T2494" s="3662"/>
      <c r="U2494" s="3662"/>
      <c r="V2494" s="3662"/>
      <c r="W2494" s="3662"/>
      <c r="X2494" s="3662"/>
      <c r="Y2494" s="3662"/>
      <c r="Z2494" s="3662"/>
      <c r="AA2494" s="3662"/>
      <c r="AB2494" s="3662"/>
      <c r="AC2494" s="3814" t="s">
        <v>4244</v>
      </c>
      <c r="AD2494" s="5203" t="s">
        <v>4245</v>
      </c>
      <c r="AE2494" s="2139">
        <v>0.05</v>
      </c>
      <c r="AF2494" s="3708">
        <f>148500*AE2494</f>
        <v>7425</v>
      </c>
      <c r="AG2494" s="3708">
        <f>SUBTOTAL(9,BA2494:BN2494)</f>
        <v>7425</v>
      </c>
      <c r="AH2494" s="3823" t="s">
        <v>349</v>
      </c>
      <c r="AI2494" s="3708"/>
      <c r="AJ2494" s="3662"/>
      <c r="AK2494" s="3662"/>
      <c r="AL2494" s="3662"/>
      <c r="AM2494" s="3662"/>
      <c r="AN2494" s="3684">
        <f t="shared" si="529"/>
        <v>0</v>
      </c>
      <c r="AO2494" s="3662"/>
      <c r="AP2494" s="3662"/>
      <c r="AQ2494" s="5127"/>
      <c r="AR2494" s="3662"/>
      <c r="AS2494" s="5053"/>
      <c r="AT2494" s="3662"/>
      <c r="AU2494" s="5127"/>
      <c r="AV2494" s="5127"/>
      <c r="AW2494" s="5127"/>
      <c r="AX2494" s="5127"/>
      <c r="AY2494" s="5127"/>
      <c r="AZ2494" s="5127"/>
      <c r="BA2494" s="5127"/>
      <c r="BB2494" s="5127"/>
      <c r="BC2494" s="3662"/>
      <c r="BD2494" s="5127"/>
      <c r="BE2494" s="5127"/>
      <c r="BF2494" s="5127"/>
      <c r="BG2494" s="5127"/>
      <c r="BH2494" s="3662"/>
      <c r="BI2494" s="5127"/>
      <c r="BJ2494" s="5127"/>
      <c r="BK2494" s="5127"/>
      <c r="BL2494" s="5127"/>
      <c r="BM2494" s="5127"/>
      <c r="BN2494" s="3708">
        <v>7425</v>
      </c>
      <c r="BO2494" s="5127"/>
      <c r="BP2494" s="5127"/>
      <c r="BQ2494" s="5127"/>
      <c r="BR2494" s="5127"/>
      <c r="BS2494" s="5127"/>
      <c r="BT2494" s="5127"/>
      <c r="BU2494" s="5127"/>
      <c r="BV2494" s="5127"/>
      <c r="BW2494" s="5127"/>
      <c r="BX2494" s="5127"/>
      <c r="BY2494" s="5127"/>
      <c r="BZ2494" s="5127"/>
      <c r="CA2494" s="5127"/>
      <c r="CB2494" s="5127"/>
      <c r="CC2494" s="3662"/>
      <c r="CD2494" s="3662"/>
      <c r="CE2494" s="6802"/>
      <c r="CF2494" s="6802"/>
      <c r="CG2494" s="6802"/>
      <c r="CH2494" s="6802"/>
    </row>
    <row r="2495" s="4992" customFormat="1" ht="46" spans="1:86">
      <c r="A2495" s="3662"/>
      <c r="B2495" s="1837"/>
      <c r="C2495" s="3662">
        <v>44519</v>
      </c>
      <c r="D2495" s="3910"/>
      <c r="E2495" s="3910"/>
      <c r="F2495" s="3910"/>
      <c r="G2495" s="3910"/>
      <c r="H2495" s="3662"/>
      <c r="I2495" s="3666"/>
      <c r="J2495" s="5065"/>
      <c r="K2495" s="3662"/>
      <c r="L2495" s="5055" t="s">
        <v>4246</v>
      </c>
      <c r="M2495" s="3662">
        <f>SUM(N2495:AA2499)</f>
        <v>2901500</v>
      </c>
      <c r="N2495" s="3662"/>
      <c r="O2495" s="3662"/>
      <c r="P2495" s="3662"/>
      <c r="Q2495" s="3662"/>
      <c r="R2495" s="3662"/>
      <c r="S2495" s="3662"/>
      <c r="T2495" s="3662"/>
      <c r="U2495" s="3662"/>
      <c r="V2495" s="3662"/>
      <c r="W2495" s="3662"/>
      <c r="X2495" s="3662"/>
      <c r="Y2495" s="3662"/>
      <c r="Z2495" s="3662"/>
      <c r="AA2495" s="3662">
        <v>2901500</v>
      </c>
      <c r="AB2495" s="3814" t="s">
        <v>126</v>
      </c>
      <c r="AC2495" s="3814" t="s">
        <v>4247</v>
      </c>
      <c r="AD2495" s="5134" t="s">
        <v>4248</v>
      </c>
      <c r="AE2495" s="2139">
        <v>0.2</v>
      </c>
      <c r="AF2495" s="3662">
        <f>2901500*AE2495</f>
        <v>580300</v>
      </c>
      <c r="AG2495" s="3684">
        <f t="shared" si="528"/>
        <v>580300</v>
      </c>
      <c r="AH2495" s="3814" t="s">
        <v>122</v>
      </c>
      <c r="AI2495" s="3684">
        <v>44636</v>
      </c>
      <c r="AJ2495" s="3684">
        <f>AG2495</f>
        <v>580300</v>
      </c>
      <c r="AK2495" s="3684">
        <f>AI2495</f>
        <v>44636</v>
      </c>
      <c r="AL2495" s="3684">
        <v>580300</v>
      </c>
      <c r="AM2495" s="3684">
        <v>44636</v>
      </c>
      <c r="AN2495" s="3684">
        <f t="shared" si="529"/>
        <v>580300</v>
      </c>
      <c r="AO2495" s="3684">
        <v>44662</v>
      </c>
      <c r="AP2495" s="3662"/>
      <c r="AQ2495" s="5319" t="s">
        <v>4249</v>
      </c>
      <c r="AR2495" s="3662"/>
      <c r="AS2495" s="5053"/>
      <c r="AT2495" s="3662"/>
      <c r="AU2495" s="5127"/>
      <c r="AV2495" s="5127"/>
      <c r="AW2495" s="5127"/>
      <c r="AX2495" s="5127"/>
      <c r="AY2495" s="5127"/>
      <c r="AZ2495" s="5127"/>
      <c r="BA2495" s="3684"/>
      <c r="BB2495" s="3684"/>
      <c r="BC2495" s="5162"/>
      <c r="BD2495" s="3684"/>
      <c r="BE2495" s="3684"/>
      <c r="BF2495" s="3684"/>
      <c r="BG2495" s="3684"/>
      <c r="BH2495" s="3684"/>
      <c r="BI2495" s="5162"/>
      <c r="BJ2495" s="3684"/>
      <c r="BK2495" s="3684"/>
      <c r="BL2495" s="3684"/>
      <c r="BM2495" s="3684"/>
      <c r="BN2495" s="3684">
        <v>580300</v>
      </c>
      <c r="BO2495" s="5162"/>
      <c r="BP2495" s="5162"/>
      <c r="BQ2495" s="5162"/>
      <c r="BR2495" s="5162"/>
      <c r="BS2495" s="5162"/>
      <c r="BT2495" s="5162"/>
      <c r="BU2495" s="5162"/>
      <c r="BV2495" s="5162"/>
      <c r="BW2495" s="5162"/>
      <c r="BX2495" s="5162"/>
      <c r="BY2495" s="5162"/>
      <c r="BZ2495" s="5162"/>
      <c r="CA2495" s="5162"/>
      <c r="CB2495" s="3684">
        <v>580300</v>
      </c>
      <c r="CC2495" s="3662"/>
      <c r="CD2495" s="3662"/>
      <c r="CE2495" s="6802"/>
      <c r="CF2495" s="6802"/>
      <c r="CG2495" s="6802"/>
      <c r="CH2495" s="6802"/>
    </row>
    <row r="2496" s="4992" customFormat="1" ht="46" spans="1:86">
      <c r="A2496" s="3662"/>
      <c r="B2496" s="1837"/>
      <c r="C2496" s="3662"/>
      <c r="D2496" s="3910"/>
      <c r="E2496" s="3910"/>
      <c r="F2496" s="3910"/>
      <c r="G2496" s="3910"/>
      <c r="H2496" s="3662"/>
      <c r="I2496" s="3666"/>
      <c r="J2496" s="5065"/>
      <c r="K2496" s="3662"/>
      <c r="L2496" s="5053"/>
      <c r="M2496" s="3662"/>
      <c r="N2496" s="3662"/>
      <c r="O2496" s="3662"/>
      <c r="P2496" s="3662"/>
      <c r="Q2496" s="3662"/>
      <c r="R2496" s="3662"/>
      <c r="S2496" s="3662"/>
      <c r="T2496" s="3662"/>
      <c r="U2496" s="3662"/>
      <c r="V2496" s="3662"/>
      <c r="W2496" s="3662"/>
      <c r="X2496" s="3662"/>
      <c r="Y2496" s="3662"/>
      <c r="Z2496" s="3662"/>
      <c r="AA2496" s="3662"/>
      <c r="AB2496" s="3662"/>
      <c r="AC2496" s="3814" t="s">
        <v>2094</v>
      </c>
      <c r="AD2496" s="5134" t="s">
        <v>4250</v>
      </c>
      <c r="AE2496" s="2139">
        <v>0.3</v>
      </c>
      <c r="AF2496" s="3662">
        <f>2901500*AE2496</f>
        <v>870450</v>
      </c>
      <c r="AG2496" s="3684">
        <f t="shared" si="528"/>
        <v>870450</v>
      </c>
      <c r="AH2496" s="3814" t="s">
        <v>122</v>
      </c>
      <c r="AI2496" s="3684">
        <v>44665</v>
      </c>
      <c r="AJ2496" s="3684">
        <v>870450</v>
      </c>
      <c r="AK2496" s="3684">
        <v>44665</v>
      </c>
      <c r="AL2496" s="3684">
        <v>870450</v>
      </c>
      <c r="AM2496" s="3662">
        <v>44666</v>
      </c>
      <c r="AN2496" s="3684">
        <f t="shared" si="529"/>
        <v>870450</v>
      </c>
      <c r="AO2496" s="3684">
        <v>44676</v>
      </c>
      <c r="AP2496" s="3662"/>
      <c r="AQ2496" s="5127"/>
      <c r="AR2496" s="3662"/>
      <c r="AS2496" s="5053"/>
      <c r="AT2496" s="3662"/>
      <c r="AU2496" s="5127"/>
      <c r="AV2496" s="5127"/>
      <c r="AW2496" s="5127"/>
      <c r="AX2496" s="5127"/>
      <c r="AY2496" s="5127"/>
      <c r="AZ2496" s="5127"/>
      <c r="BA2496" s="5148"/>
      <c r="BB2496" s="5148"/>
      <c r="BC2496" s="5162"/>
      <c r="BD2496" s="5148"/>
      <c r="BE2496" s="5148"/>
      <c r="BF2496" s="5148"/>
      <c r="BG2496" s="5148"/>
      <c r="BH2496" s="3684"/>
      <c r="BI2496" s="5517"/>
      <c r="BJ2496" s="5148"/>
      <c r="BK2496" s="5148"/>
      <c r="BL2496" s="5148"/>
      <c r="BM2496" s="5148"/>
      <c r="BN2496" s="5148">
        <v>870450</v>
      </c>
      <c r="BO2496" s="5517"/>
      <c r="BP2496" s="5517"/>
      <c r="BQ2496" s="5517"/>
      <c r="BR2496" s="5517"/>
      <c r="BS2496" s="5517"/>
      <c r="BT2496" s="5517"/>
      <c r="BU2496" s="5517"/>
      <c r="BV2496" s="5517"/>
      <c r="BW2496" s="5517"/>
      <c r="BX2496" s="5517"/>
      <c r="BY2496" s="5517"/>
      <c r="BZ2496" s="5517"/>
      <c r="CA2496" s="5517"/>
      <c r="CB2496" s="5148">
        <v>870450</v>
      </c>
      <c r="CC2496" s="3662"/>
      <c r="CD2496" s="3662"/>
      <c r="CE2496" s="6802"/>
      <c r="CF2496" s="6802"/>
      <c r="CG2496" s="6802"/>
      <c r="CH2496" s="6802"/>
    </row>
    <row r="2497" s="4992" customFormat="1" ht="46" spans="1:86">
      <c r="A2497" s="3662"/>
      <c r="B2497" s="1837"/>
      <c r="C2497" s="3662"/>
      <c r="D2497" s="3910"/>
      <c r="E2497" s="3910"/>
      <c r="F2497" s="3910"/>
      <c r="G2497" s="3910"/>
      <c r="H2497" s="3662"/>
      <c r="I2497" s="3666"/>
      <c r="J2497" s="5065"/>
      <c r="K2497" s="3662"/>
      <c r="L2497" s="5053"/>
      <c r="M2497" s="3662"/>
      <c r="N2497" s="3662"/>
      <c r="O2497" s="3662"/>
      <c r="P2497" s="3662"/>
      <c r="Q2497" s="3662"/>
      <c r="R2497" s="3662"/>
      <c r="S2497" s="3662"/>
      <c r="T2497" s="3662"/>
      <c r="U2497" s="3662"/>
      <c r="V2497" s="3662"/>
      <c r="W2497" s="3662"/>
      <c r="X2497" s="3662"/>
      <c r="Y2497" s="3662"/>
      <c r="Z2497" s="3662"/>
      <c r="AA2497" s="3662"/>
      <c r="AB2497" s="3662"/>
      <c r="AC2497" s="3814" t="s">
        <v>2095</v>
      </c>
      <c r="AD2497" s="5134" t="s">
        <v>4251</v>
      </c>
      <c r="AE2497" s="2139">
        <v>0.2</v>
      </c>
      <c r="AF2497" s="3662">
        <f>2901500*AE2497</f>
        <v>580300</v>
      </c>
      <c r="AG2497" s="3684">
        <f t="shared" si="528"/>
        <v>580300</v>
      </c>
      <c r="AH2497" s="3814" t="s">
        <v>122</v>
      </c>
      <c r="AI2497" s="3684">
        <v>44915</v>
      </c>
      <c r="AJ2497" s="3662">
        <v>580300</v>
      </c>
      <c r="AK2497" s="3684">
        <v>44915</v>
      </c>
      <c r="AL2497" s="3684">
        <f>SUM(BF2497:BS2497)</f>
        <v>580300</v>
      </c>
      <c r="AM2497" s="3684">
        <v>44964</v>
      </c>
      <c r="AN2497" s="3684">
        <f t="shared" si="529"/>
        <v>580300</v>
      </c>
      <c r="AO2497" s="3814">
        <v>45068</v>
      </c>
      <c r="AP2497" s="3662"/>
      <c r="AQ2497" s="5127"/>
      <c r="AR2497" s="3662"/>
      <c r="AS2497" s="5053"/>
      <c r="AT2497" s="3662"/>
      <c r="AU2497" s="5127"/>
      <c r="AV2497" s="5127"/>
      <c r="AW2497" s="5127"/>
      <c r="AX2497" s="5127"/>
      <c r="AY2497" s="5127"/>
      <c r="AZ2497" s="5127"/>
      <c r="BA2497" s="5148"/>
      <c r="BB2497" s="5148"/>
      <c r="BC2497" s="3684"/>
      <c r="BD2497" s="5148"/>
      <c r="BE2497" s="5148"/>
      <c r="BF2497" s="5148"/>
      <c r="BG2497" s="5148"/>
      <c r="BH2497" s="3684"/>
      <c r="BI2497" s="5148"/>
      <c r="BJ2497" s="5148"/>
      <c r="BK2497" s="5148"/>
      <c r="BL2497" s="5148"/>
      <c r="BM2497" s="5148"/>
      <c r="BN2497" s="5148">
        <v>580300</v>
      </c>
      <c r="BO2497" s="5127"/>
      <c r="BP2497" s="5127"/>
      <c r="BQ2497" s="5127"/>
      <c r="BR2497" s="5127"/>
      <c r="BS2497" s="5127"/>
      <c r="BT2497" s="5127"/>
      <c r="BU2497" s="5127"/>
      <c r="BV2497" s="5127"/>
      <c r="BW2497" s="5127"/>
      <c r="BX2497" s="5127"/>
      <c r="BY2497" s="5127"/>
      <c r="BZ2497" s="5127"/>
      <c r="CA2497" s="5127"/>
      <c r="CB2497" s="5148">
        <v>580300</v>
      </c>
      <c r="CC2497" s="3662"/>
      <c r="CD2497" s="3662"/>
      <c r="CE2497" s="6802"/>
      <c r="CF2497" s="6802"/>
      <c r="CG2497" s="6802"/>
      <c r="CH2497" s="6802"/>
    </row>
    <row r="2498" s="4992" customFormat="1" ht="46" spans="1:86">
      <c r="A2498" s="3662"/>
      <c r="B2498" s="1837"/>
      <c r="C2498" s="3662"/>
      <c r="D2498" s="3910"/>
      <c r="E2498" s="3910"/>
      <c r="F2498" s="3910"/>
      <c r="G2498" s="3910"/>
      <c r="H2498" s="3662"/>
      <c r="I2498" s="3666"/>
      <c r="J2498" s="5065"/>
      <c r="K2498" s="3662"/>
      <c r="L2498" s="5053"/>
      <c r="M2498" s="3662"/>
      <c r="N2498" s="3662"/>
      <c r="O2498" s="3662"/>
      <c r="P2498" s="3662"/>
      <c r="Q2498" s="3662"/>
      <c r="R2498" s="3662"/>
      <c r="S2498" s="3662"/>
      <c r="T2498" s="3662"/>
      <c r="U2498" s="3662"/>
      <c r="V2498" s="3662"/>
      <c r="W2498" s="3662"/>
      <c r="X2498" s="3662"/>
      <c r="Y2498" s="3662"/>
      <c r="Z2498" s="3662"/>
      <c r="AA2498" s="3662"/>
      <c r="AB2498" s="3662"/>
      <c r="AC2498" s="3814" t="s">
        <v>2096</v>
      </c>
      <c r="AD2498" s="5134" t="s">
        <v>4252</v>
      </c>
      <c r="AE2498" s="2139">
        <v>0.25</v>
      </c>
      <c r="AF2498" s="3662">
        <f>2901500*AE2498</f>
        <v>725375</v>
      </c>
      <c r="AG2498" s="3684">
        <f t="shared" si="528"/>
        <v>337499.999305532</v>
      </c>
      <c r="AH2498" s="3814" t="s">
        <v>122</v>
      </c>
      <c r="AI2498" s="3684">
        <v>45597</v>
      </c>
      <c r="AJ2498" s="3684">
        <v>337499.999305532</v>
      </c>
      <c r="AK2498" s="3684">
        <v>45597</v>
      </c>
      <c r="AL2498" s="5162">
        <v>337499.999305532</v>
      </c>
      <c r="AM2498" s="3684">
        <v>45603</v>
      </c>
      <c r="AN2498" s="3684">
        <f t="shared" si="529"/>
        <v>337499.999305532</v>
      </c>
      <c r="AO2498" s="3684">
        <v>45650</v>
      </c>
      <c r="AP2498" s="3662"/>
      <c r="AQ2498" s="5133" t="s">
        <v>4253</v>
      </c>
      <c r="AR2498" s="3662"/>
      <c r="AS2498" s="5053"/>
      <c r="AT2498" s="3662"/>
      <c r="AU2498" s="5127"/>
      <c r="AV2498" s="5127"/>
      <c r="AW2498" s="5127"/>
      <c r="AX2498" s="5127"/>
      <c r="AY2498" s="5127"/>
      <c r="AZ2498" s="5127"/>
      <c r="BA2498" s="5127"/>
      <c r="BB2498" s="5127"/>
      <c r="BC2498" s="3662"/>
      <c r="BD2498" s="5127"/>
      <c r="BE2498" s="5127"/>
      <c r="BF2498" s="5127"/>
      <c r="BG2498" s="5127"/>
      <c r="BH2498" s="3662"/>
      <c r="BI2498" s="5127"/>
      <c r="BJ2498" s="5127"/>
      <c r="BK2498" s="5127"/>
      <c r="BL2498" s="5127"/>
      <c r="BM2498" s="5127"/>
      <c r="BN2498" s="5148">
        <f>50000/107462.96*AF2498-0.01</f>
        <v>337499.999305532</v>
      </c>
      <c r="BO2498" s="5127"/>
      <c r="BP2498" s="5127"/>
      <c r="BQ2498" s="5127"/>
      <c r="BR2498" s="5127"/>
      <c r="BS2498" s="5127"/>
      <c r="BT2498" s="5127"/>
      <c r="BU2498" s="5127"/>
      <c r="BV2498" s="5127"/>
      <c r="BW2498" s="5127"/>
      <c r="BX2498" s="5127"/>
      <c r="BY2498" s="5127"/>
      <c r="BZ2498" s="5127"/>
      <c r="CA2498" s="5127"/>
      <c r="CB2498" s="5517">
        <v>337499.999305532</v>
      </c>
      <c r="CC2498" s="3662"/>
      <c r="CD2498" s="3662"/>
      <c r="CE2498" s="5169">
        <f>SUBTOTAL(9,BO2498:CB2498)</f>
        <v>337499.999305532</v>
      </c>
      <c r="CF2498" s="5169">
        <f>AN2498-CE2498</f>
        <v>0</v>
      </c>
      <c r="CG2498" s="6802"/>
      <c r="CH2498" s="6802"/>
    </row>
    <row r="2499" s="4992" customFormat="1" ht="61" spans="1:86">
      <c r="A2499" s="3662"/>
      <c r="B2499" s="1837"/>
      <c r="C2499" s="3662"/>
      <c r="D2499" s="3910"/>
      <c r="E2499" s="3910"/>
      <c r="F2499" s="3910"/>
      <c r="G2499" s="3910"/>
      <c r="H2499" s="3662"/>
      <c r="I2499" s="3666"/>
      <c r="J2499" s="5065"/>
      <c r="K2499" s="3662"/>
      <c r="L2499" s="5053"/>
      <c r="M2499" s="3662"/>
      <c r="N2499" s="3662"/>
      <c r="O2499" s="3662"/>
      <c r="P2499" s="3662"/>
      <c r="Q2499" s="3662"/>
      <c r="R2499" s="3662"/>
      <c r="S2499" s="3662"/>
      <c r="T2499" s="3662"/>
      <c r="U2499" s="3662"/>
      <c r="V2499" s="3662"/>
      <c r="W2499" s="3662"/>
      <c r="X2499" s="3662"/>
      <c r="Y2499" s="3662"/>
      <c r="Z2499" s="3662"/>
      <c r="AA2499" s="3662"/>
      <c r="AB2499" s="3662"/>
      <c r="AC2499" s="3814" t="s">
        <v>2042</v>
      </c>
      <c r="AD2499" s="5134" t="s">
        <v>4245</v>
      </c>
      <c r="AE2499" s="2139">
        <v>0.05</v>
      </c>
      <c r="AF2499" s="3708">
        <f>2901500*AE2499</f>
        <v>145075</v>
      </c>
      <c r="AG2499" s="3708">
        <f t="shared" si="528"/>
        <v>72537.5</v>
      </c>
      <c r="AH2499" s="3823" t="s">
        <v>349</v>
      </c>
      <c r="AI2499" s="3708"/>
      <c r="AJ2499" s="3662"/>
      <c r="AK2499" s="3662"/>
      <c r="AL2499" s="3662"/>
      <c r="AM2499" s="3662"/>
      <c r="AN2499" s="3684">
        <f t="shared" si="529"/>
        <v>0</v>
      </c>
      <c r="AO2499" s="3662"/>
      <c r="AP2499" s="3662"/>
      <c r="AQ2499" s="5127"/>
      <c r="AR2499" s="3662"/>
      <c r="AS2499" s="5053"/>
      <c r="AT2499" s="3662"/>
      <c r="AU2499" s="5127"/>
      <c r="AV2499" s="5127"/>
      <c r="AW2499" s="5127"/>
      <c r="AX2499" s="5127"/>
      <c r="AY2499" s="5127"/>
      <c r="AZ2499" s="5127"/>
      <c r="BA2499" s="5127"/>
      <c r="BB2499" s="5127"/>
      <c r="BC2499" s="3662"/>
      <c r="BD2499" s="5127"/>
      <c r="BE2499" s="5127"/>
      <c r="BF2499" s="5127"/>
      <c r="BG2499" s="5127"/>
      <c r="BH2499" s="3662"/>
      <c r="BI2499" s="5127"/>
      <c r="BJ2499" s="5127"/>
      <c r="BK2499" s="5127"/>
      <c r="BL2499" s="5127"/>
      <c r="BM2499" s="5127"/>
      <c r="BN2499" s="3708">
        <f>145075/2</f>
        <v>72537.5</v>
      </c>
      <c r="BO2499" s="5127"/>
      <c r="BP2499" s="5127"/>
      <c r="BQ2499" s="5127"/>
      <c r="BR2499" s="5127"/>
      <c r="BS2499" s="5127"/>
      <c r="BT2499" s="5127"/>
      <c r="BU2499" s="5127"/>
      <c r="BV2499" s="5127"/>
      <c r="BW2499" s="5127"/>
      <c r="BX2499" s="5127"/>
      <c r="BY2499" s="5127"/>
      <c r="BZ2499" s="5127"/>
      <c r="CA2499" s="5127"/>
      <c r="CB2499" s="5127"/>
      <c r="CC2499" s="3662"/>
      <c r="CD2499" s="3662"/>
      <c r="CE2499" s="6802"/>
      <c r="CF2499" s="6802"/>
      <c r="CG2499" s="6802"/>
      <c r="CH2499" s="6802"/>
    </row>
    <row r="2500" s="4992" customFormat="1" ht="92" spans="1:86">
      <c r="A2500" s="3662"/>
      <c r="B2500" s="1837"/>
      <c r="C2500" s="3744">
        <v>44519</v>
      </c>
      <c r="D2500" s="3910"/>
      <c r="E2500" s="3910"/>
      <c r="F2500" s="3910"/>
      <c r="G2500" s="3910"/>
      <c r="H2500" s="3909" t="s">
        <v>4254</v>
      </c>
      <c r="I2500" s="3666"/>
      <c r="J2500" s="5065"/>
      <c r="K2500" s="3744"/>
      <c r="L2500" s="5069"/>
      <c r="M2500" s="3744">
        <f>SUBTOTAL(9,N2500:AA2504)</f>
        <v>135460</v>
      </c>
      <c r="N2500" s="3744"/>
      <c r="O2500" s="3744"/>
      <c r="P2500" s="3744"/>
      <c r="Q2500" s="3744"/>
      <c r="R2500" s="3744"/>
      <c r="S2500" s="3744"/>
      <c r="T2500" s="3744"/>
      <c r="U2500" s="3744"/>
      <c r="V2500" s="3744"/>
      <c r="W2500" s="3744"/>
      <c r="X2500" s="3744"/>
      <c r="Y2500" s="3744"/>
      <c r="Z2500" s="3744"/>
      <c r="AA2500" s="3744">
        <v>135460</v>
      </c>
      <c r="AB2500" s="3814" t="s">
        <v>126</v>
      </c>
      <c r="AC2500" s="3814">
        <v>1</v>
      </c>
      <c r="AD2500" s="5134" t="s">
        <v>4255</v>
      </c>
      <c r="AE2500" s="2139">
        <v>0.2</v>
      </c>
      <c r="AF2500" s="3662">
        <f>M2500*AE2500</f>
        <v>27092</v>
      </c>
      <c r="AG2500" s="5162">
        <f t="shared" si="528"/>
        <v>27092</v>
      </c>
      <c r="AH2500" s="3814" t="s">
        <v>122</v>
      </c>
      <c r="AI2500" s="3684">
        <v>45649</v>
      </c>
      <c r="AJ2500" s="3662">
        <f>AG2500</f>
        <v>27092</v>
      </c>
      <c r="AK2500" s="3662">
        <f>AI2500</f>
        <v>45649</v>
      </c>
      <c r="AL2500" s="3684">
        <v>27092</v>
      </c>
      <c r="AM2500" s="3684">
        <v>45805</v>
      </c>
      <c r="AN2500" s="3684">
        <f>AJ2500</f>
        <v>27092</v>
      </c>
      <c r="AO2500" s="3662">
        <v>45910</v>
      </c>
      <c r="AP2500" s="3662"/>
      <c r="AQ2500" s="5127"/>
      <c r="AR2500" s="3662"/>
      <c r="AS2500" s="5053"/>
      <c r="AT2500" s="3662"/>
      <c r="AU2500" s="5127"/>
      <c r="AV2500" s="5127"/>
      <c r="AW2500" s="5127"/>
      <c r="AX2500" s="5127"/>
      <c r="AY2500" s="5127"/>
      <c r="AZ2500" s="5127"/>
      <c r="BA2500" s="5127"/>
      <c r="BB2500" s="5127"/>
      <c r="BC2500" s="3662"/>
      <c r="BD2500" s="5127"/>
      <c r="BE2500" s="5127"/>
      <c r="BF2500" s="5127"/>
      <c r="BG2500" s="5127"/>
      <c r="BH2500" s="3662"/>
      <c r="BI2500" s="5127"/>
      <c r="BJ2500" s="5127"/>
      <c r="BK2500" s="5127"/>
      <c r="BL2500" s="5127"/>
      <c r="BM2500" s="5127"/>
      <c r="BN2500" s="5127">
        <v>27092</v>
      </c>
      <c r="BO2500" s="5127"/>
      <c r="BP2500" s="5127"/>
      <c r="BQ2500" s="5127"/>
      <c r="BR2500" s="5127"/>
      <c r="BS2500" s="5127"/>
      <c r="BT2500" s="5127"/>
      <c r="BU2500" s="5127"/>
      <c r="BV2500" s="5127"/>
      <c r="BW2500" s="5127"/>
      <c r="BX2500" s="5127"/>
      <c r="BY2500" s="5127"/>
      <c r="BZ2500" s="5127"/>
      <c r="CA2500" s="5127"/>
      <c r="CB2500" s="5127"/>
      <c r="CC2500" s="3662"/>
      <c r="CD2500" s="3662"/>
      <c r="CE2500" s="6802"/>
      <c r="CF2500" s="6802"/>
      <c r="CG2500" s="6802"/>
      <c r="CH2500" s="6802"/>
    </row>
    <row r="2501" s="4992" customFormat="1" ht="76" spans="1:86">
      <c r="A2501" s="3662"/>
      <c r="B2501" s="1837"/>
      <c r="C2501" s="3666"/>
      <c r="D2501" s="3910"/>
      <c r="E2501" s="3910"/>
      <c r="F2501" s="3910"/>
      <c r="G2501" s="3910"/>
      <c r="H2501" s="5065"/>
      <c r="I2501" s="3666"/>
      <c r="J2501" s="5065"/>
      <c r="K2501" s="3666"/>
      <c r="L2501" s="5065"/>
      <c r="M2501" s="3666"/>
      <c r="N2501" s="3666"/>
      <c r="O2501" s="3666"/>
      <c r="P2501" s="3666"/>
      <c r="Q2501" s="3666"/>
      <c r="R2501" s="3666"/>
      <c r="S2501" s="3666"/>
      <c r="T2501" s="3666"/>
      <c r="U2501" s="3666"/>
      <c r="V2501" s="3666"/>
      <c r="W2501" s="3666"/>
      <c r="X2501" s="3666"/>
      <c r="Y2501" s="3666"/>
      <c r="Z2501" s="3666"/>
      <c r="AA2501" s="3666"/>
      <c r="AB2501" s="3662"/>
      <c r="AC2501" s="3814">
        <v>2</v>
      </c>
      <c r="AD2501" s="5134" t="s">
        <v>4256</v>
      </c>
      <c r="AE2501" s="2139">
        <v>0.3</v>
      </c>
      <c r="AF2501" s="3662">
        <f>M2500*AE2501</f>
        <v>40638</v>
      </c>
      <c r="AG2501" s="5162">
        <f t="shared" si="528"/>
        <v>40638</v>
      </c>
      <c r="AH2501" s="3814" t="s">
        <v>122</v>
      </c>
      <c r="AI2501" s="3684">
        <v>45649</v>
      </c>
      <c r="AJ2501" s="3662">
        <f>AG2501</f>
        <v>40638</v>
      </c>
      <c r="AK2501" s="3662">
        <f>AI2501</f>
        <v>45649</v>
      </c>
      <c r="AL2501" s="3684">
        <v>40638</v>
      </c>
      <c r="AM2501" s="3684">
        <v>45805</v>
      </c>
      <c r="AN2501" s="3684">
        <f>AJ2501</f>
        <v>40638</v>
      </c>
      <c r="AO2501" s="3662">
        <v>45910</v>
      </c>
      <c r="AP2501" s="3662"/>
      <c r="AQ2501" s="5127"/>
      <c r="AR2501" s="3662"/>
      <c r="AS2501" s="5053"/>
      <c r="AT2501" s="3662"/>
      <c r="AU2501" s="5127"/>
      <c r="AV2501" s="5127"/>
      <c r="AW2501" s="5127"/>
      <c r="AX2501" s="5127"/>
      <c r="AY2501" s="5127"/>
      <c r="AZ2501" s="5127"/>
      <c r="BA2501" s="5127"/>
      <c r="BB2501" s="5127"/>
      <c r="BC2501" s="3662"/>
      <c r="BD2501" s="5127"/>
      <c r="BE2501" s="5127"/>
      <c r="BF2501" s="5127"/>
      <c r="BG2501" s="5127"/>
      <c r="BH2501" s="3662"/>
      <c r="BI2501" s="5127"/>
      <c r="BJ2501" s="5127"/>
      <c r="BK2501" s="5127"/>
      <c r="BL2501" s="5127"/>
      <c r="BM2501" s="5127"/>
      <c r="BN2501" s="5127">
        <v>40638</v>
      </c>
      <c r="BO2501" s="5127"/>
      <c r="BP2501" s="5127"/>
      <c r="BQ2501" s="5127"/>
      <c r="BR2501" s="5127"/>
      <c r="BS2501" s="5127"/>
      <c r="BT2501" s="5127"/>
      <c r="BU2501" s="5127"/>
      <c r="BV2501" s="5127"/>
      <c r="BW2501" s="5127"/>
      <c r="BX2501" s="5127"/>
      <c r="BY2501" s="5127"/>
      <c r="BZ2501" s="5127"/>
      <c r="CA2501" s="5127"/>
      <c r="CB2501" s="5127"/>
      <c r="CC2501" s="3662"/>
      <c r="CD2501" s="3662"/>
      <c r="CE2501" s="6802"/>
      <c r="CF2501" s="6802"/>
      <c r="CG2501" s="6802"/>
      <c r="CH2501" s="6802"/>
    </row>
    <row r="2502" s="4992" customFormat="1" ht="76" spans="1:86">
      <c r="A2502" s="3662"/>
      <c r="B2502" s="1837"/>
      <c r="C2502" s="3666"/>
      <c r="D2502" s="3910"/>
      <c r="E2502" s="3910"/>
      <c r="F2502" s="3910"/>
      <c r="G2502" s="3910"/>
      <c r="H2502" s="5065"/>
      <c r="I2502" s="3666"/>
      <c r="J2502" s="5065"/>
      <c r="K2502" s="3666"/>
      <c r="L2502" s="5065"/>
      <c r="M2502" s="3666"/>
      <c r="N2502" s="3666"/>
      <c r="O2502" s="3666"/>
      <c r="P2502" s="3666"/>
      <c r="Q2502" s="3666"/>
      <c r="R2502" s="3666"/>
      <c r="S2502" s="3666"/>
      <c r="T2502" s="3666"/>
      <c r="U2502" s="3666"/>
      <c r="V2502" s="3666"/>
      <c r="W2502" s="3666"/>
      <c r="X2502" s="3666"/>
      <c r="Y2502" s="3666"/>
      <c r="Z2502" s="3666"/>
      <c r="AA2502" s="3666"/>
      <c r="AB2502" s="3662"/>
      <c r="AC2502" s="3814">
        <v>3</v>
      </c>
      <c r="AD2502" s="5134" t="s">
        <v>4257</v>
      </c>
      <c r="AE2502" s="2139">
        <v>0.2</v>
      </c>
      <c r="AF2502" s="3662">
        <f>M2500*AE2502</f>
        <v>27092</v>
      </c>
      <c r="AG2502" s="5162">
        <f t="shared" si="528"/>
        <v>27092</v>
      </c>
      <c r="AH2502" s="3814" t="s">
        <v>122</v>
      </c>
      <c r="AI2502" s="3684">
        <v>45649</v>
      </c>
      <c r="AJ2502" s="3662">
        <f>AG2502</f>
        <v>27092</v>
      </c>
      <c r="AK2502" s="3662">
        <f>AI2502</f>
        <v>45649</v>
      </c>
      <c r="AL2502" s="3684">
        <v>27092</v>
      </c>
      <c r="AM2502" s="3684">
        <v>45805</v>
      </c>
      <c r="AN2502" s="3684">
        <f>AJ2502</f>
        <v>27092</v>
      </c>
      <c r="AO2502" s="3662">
        <v>45910</v>
      </c>
      <c r="AP2502" s="3662"/>
      <c r="AQ2502" s="5127"/>
      <c r="AR2502" s="3662"/>
      <c r="AS2502" s="5053"/>
      <c r="AT2502" s="3662"/>
      <c r="AU2502" s="5127"/>
      <c r="AV2502" s="5127"/>
      <c r="AW2502" s="5127"/>
      <c r="AX2502" s="5127"/>
      <c r="AY2502" s="5127"/>
      <c r="AZ2502" s="5127"/>
      <c r="BA2502" s="5127"/>
      <c r="BB2502" s="5127"/>
      <c r="BC2502" s="3662"/>
      <c r="BD2502" s="5127"/>
      <c r="BE2502" s="5127"/>
      <c r="BF2502" s="5127"/>
      <c r="BG2502" s="5127"/>
      <c r="BH2502" s="3662"/>
      <c r="BI2502" s="5127"/>
      <c r="BJ2502" s="5127"/>
      <c r="BK2502" s="5127"/>
      <c r="BL2502" s="5127"/>
      <c r="BM2502" s="5127"/>
      <c r="BN2502" s="5127">
        <v>27092</v>
      </c>
      <c r="BO2502" s="5127"/>
      <c r="BP2502" s="5127"/>
      <c r="BQ2502" s="5127"/>
      <c r="BR2502" s="5127"/>
      <c r="BS2502" s="5127"/>
      <c r="BT2502" s="5127"/>
      <c r="BU2502" s="5127"/>
      <c r="BV2502" s="5127"/>
      <c r="BW2502" s="5127"/>
      <c r="BX2502" s="5127"/>
      <c r="BY2502" s="5127"/>
      <c r="BZ2502" s="5127"/>
      <c r="CA2502" s="5127"/>
      <c r="CB2502" s="5127"/>
      <c r="CC2502" s="3662"/>
      <c r="CD2502" s="3662"/>
      <c r="CE2502" s="6802"/>
      <c r="CF2502" s="6802"/>
      <c r="CG2502" s="6802"/>
      <c r="CH2502" s="6802"/>
    </row>
    <row r="2503" s="4992" customFormat="1" ht="76" spans="1:86">
      <c r="A2503" s="3662"/>
      <c r="B2503" s="1837"/>
      <c r="C2503" s="3666"/>
      <c r="D2503" s="3910"/>
      <c r="E2503" s="3910"/>
      <c r="F2503" s="3910"/>
      <c r="G2503" s="3910"/>
      <c r="H2503" s="5065"/>
      <c r="I2503" s="3666"/>
      <c r="J2503" s="5065"/>
      <c r="K2503" s="3666"/>
      <c r="L2503" s="5065"/>
      <c r="M2503" s="3666"/>
      <c r="N2503" s="3666"/>
      <c r="O2503" s="3666"/>
      <c r="P2503" s="3666"/>
      <c r="Q2503" s="3666"/>
      <c r="R2503" s="3666"/>
      <c r="S2503" s="3666"/>
      <c r="T2503" s="3666"/>
      <c r="U2503" s="3666"/>
      <c r="V2503" s="3666"/>
      <c r="W2503" s="3666"/>
      <c r="X2503" s="3666"/>
      <c r="Y2503" s="3666"/>
      <c r="Z2503" s="3666"/>
      <c r="AA2503" s="3666"/>
      <c r="AB2503" s="3662"/>
      <c r="AC2503" s="3814">
        <v>4</v>
      </c>
      <c r="AD2503" s="5134" t="s">
        <v>4258</v>
      </c>
      <c r="AE2503" s="2139">
        <v>0.25</v>
      </c>
      <c r="AF2503" s="3662">
        <f>M2500*AE2503</f>
        <v>33865</v>
      </c>
      <c r="AG2503" s="5162">
        <f t="shared" si="528"/>
        <v>33865</v>
      </c>
      <c r="AH2503" s="3814" t="s">
        <v>122</v>
      </c>
      <c r="AI2503" s="3684">
        <v>45649</v>
      </c>
      <c r="AJ2503" s="3662">
        <f>AG2503</f>
        <v>33865</v>
      </c>
      <c r="AK2503" s="3662">
        <f>AI2503</f>
        <v>45649</v>
      </c>
      <c r="AL2503" s="3684">
        <v>33865</v>
      </c>
      <c r="AM2503" s="3684">
        <v>45805</v>
      </c>
      <c r="AN2503" s="3684">
        <f>AJ2503</f>
        <v>33865</v>
      </c>
      <c r="AO2503" s="3662">
        <v>45910</v>
      </c>
      <c r="AP2503" s="3662"/>
      <c r="AQ2503" s="5127"/>
      <c r="AR2503" s="3662"/>
      <c r="AS2503" s="5053"/>
      <c r="AT2503" s="3662"/>
      <c r="AU2503" s="5127"/>
      <c r="AV2503" s="5127"/>
      <c r="AW2503" s="5127"/>
      <c r="AX2503" s="5127"/>
      <c r="AY2503" s="5127"/>
      <c r="AZ2503" s="5127"/>
      <c r="BA2503" s="5127"/>
      <c r="BB2503" s="5127"/>
      <c r="BC2503" s="3662"/>
      <c r="BD2503" s="5127"/>
      <c r="BE2503" s="5127"/>
      <c r="BF2503" s="5127"/>
      <c r="BG2503" s="5127"/>
      <c r="BH2503" s="3662"/>
      <c r="BI2503" s="5127"/>
      <c r="BJ2503" s="5127"/>
      <c r="BK2503" s="5127"/>
      <c r="BL2503" s="5127"/>
      <c r="BM2503" s="5127"/>
      <c r="BN2503" s="5127">
        <v>33865</v>
      </c>
      <c r="BO2503" s="5127"/>
      <c r="BP2503" s="5127"/>
      <c r="BQ2503" s="5127"/>
      <c r="BR2503" s="5127"/>
      <c r="BS2503" s="5127"/>
      <c r="BT2503" s="5127"/>
      <c r="BU2503" s="5127"/>
      <c r="BV2503" s="5127"/>
      <c r="BW2503" s="5127"/>
      <c r="BX2503" s="5127"/>
      <c r="BY2503" s="5127"/>
      <c r="BZ2503" s="5127"/>
      <c r="CA2503" s="5127"/>
      <c r="CB2503" s="5127"/>
      <c r="CC2503" s="3662"/>
      <c r="CD2503" s="3662"/>
      <c r="CE2503" s="6802"/>
      <c r="CF2503" s="6802"/>
      <c r="CG2503" s="6802"/>
      <c r="CH2503" s="6802"/>
    </row>
    <row r="2504" s="4992" customFormat="1" ht="76" spans="1:86">
      <c r="A2504" s="3662"/>
      <c r="B2504" s="1837"/>
      <c r="C2504" s="3667"/>
      <c r="D2504" s="3910"/>
      <c r="E2504" s="3910"/>
      <c r="F2504" s="3910"/>
      <c r="G2504" s="3910"/>
      <c r="H2504" s="5062"/>
      <c r="I2504" s="3666"/>
      <c r="J2504" s="5065"/>
      <c r="K2504" s="3667"/>
      <c r="L2504" s="5062"/>
      <c r="M2504" s="3667"/>
      <c r="N2504" s="3667"/>
      <c r="O2504" s="3667"/>
      <c r="P2504" s="3667"/>
      <c r="Q2504" s="3667"/>
      <c r="R2504" s="3667"/>
      <c r="S2504" s="3667"/>
      <c r="T2504" s="3667"/>
      <c r="U2504" s="3667"/>
      <c r="V2504" s="3667"/>
      <c r="W2504" s="3667"/>
      <c r="X2504" s="3667"/>
      <c r="Y2504" s="3667"/>
      <c r="Z2504" s="3667"/>
      <c r="AA2504" s="3667"/>
      <c r="AB2504" s="3662"/>
      <c r="AC2504" s="3814">
        <v>5</v>
      </c>
      <c r="AD2504" s="5134" t="s">
        <v>4259</v>
      </c>
      <c r="AE2504" s="2139">
        <v>0.05</v>
      </c>
      <c r="AF2504" s="3662">
        <f>M2500*AE2504</f>
        <v>6773</v>
      </c>
      <c r="AG2504" s="3684"/>
      <c r="AH2504" s="3662"/>
      <c r="AI2504" s="3662"/>
      <c r="AJ2504" s="3662"/>
      <c r="AK2504" s="3662"/>
      <c r="AL2504" s="3662"/>
      <c r="AM2504" s="3662"/>
      <c r="AN2504" s="3684"/>
      <c r="AO2504" s="3662"/>
      <c r="AP2504" s="3662"/>
      <c r="AQ2504" s="5127"/>
      <c r="AR2504" s="3662"/>
      <c r="AS2504" s="5053"/>
      <c r="AT2504" s="3662"/>
      <c r="AU2504" s="5127"/>
      <c r="AV2504" s="5127"/>
      <c r="AW2504" s="5127"/>
      <c r="AX2504" s="5127"/>
      <c r="AY2504" s="5127"/>
      <c r="AZ2504" s="5127"/>
      <c r="BA2504" s="5127"/>
      <c r="BB2504" s="5127"/>
      <c r="BC2504" s="3662"/>
      <c r="BD2504" s="5127"/>
      <c r="BE2504" s="5127"/>
      <c r="BF2504" s="5127"/>
      <c r="BG2504" s="5127"/>
      <c r="BH2504" s="3662"/>
      <c r="BI2504" s="5127"/>
      <c r="BJ2504" s="5127"/>
      <c r="BK2504" s="5127"/>
      <c r="BL2504" s="5127"/>
      <c r="BM2504" s="5127"/>
      <c r="BN2504" s="5127"/>
      <c r="BO2504" s="5127"/>
      <c r="BP2504" s="5127"/>
      <c r="BQ2504" s="5127"/>
      <c r="BR2504" s="5127"/>
      <c r="BS2504" s="5127"/>
      <c r="BT2504" s="5127"/>
      <c r="BU2504" s="5127"/>
      <c r="BV2504" s="5127"/>
      <c r="BW2504" s="5127"/>
      <c r="BX2504" s="5127"/>
      <c r="BY2504" s="5127"/>
      <c r="BZ2504" s="5127"/>
      <c r="CA2504" s="5127"/>
      <c r="CB2504" s="5127"/>
      <c r="CC2504" s="3662"/>
      <c r="CD2504" s="3662"/>
      <c r="CE2504" s="6802"/>
      <c r="CF2504" s="6802"/>
      <c r="CG2504" s="6802"/>
      <c r="CH2504" s="6802"/>
    </row>
    <row r="2505" s="4992" customFormat="1" ht="46" spans="1:86">
      <c r="A2505" s="3662"/>
      <c r="B2505" s="1837"/>
      <c r="C2505" s="3662">
        <v>44519</v>
      </c>
      <c r="D2505" s="3910"/>
      <c r="E2505" s="3910"/>
      <c r="F2505" s="3910"/>
      <c r="G2505" s="3910"/>
      <c r="H2505" s="5055" t="s">
        <v>4260</v>
      </c>
      <c r="I2505" s="3910"/>
      <c r="J2505" s="5065"/>
      <c r="K2505" s="3662"/>
      <c r="L2505" s="5055" t="s">
        <v>4261</v>
      </c>
      <c r="M2505" s="3662">
        <f>SUM(N2505:AA2508)</f>
        <v>1639387.52</v>
      </c>
      <c r="N2505" s="3662"/>
      <c r="O2505" s="3662"/>
      <c r="P2505" s="3662"/>
      <c r="Q2505" s="3662"/>
      <c r="R2505" s="3662"/>
      <c r="S2505" s="3662"/>
      <c r="T2505" s="3662"/>
      <c r="U2505" s="3662"/>
      <c r="V2505" s="3662"/>
      <c r="W2505" s="3662"/>
      <c r="X2505" s="3662"/>
      <c r="Y2505" s="3662"/>
      <c r="Z2505" s="3662"/>
      <c r="AA2505" s="3662">
        <v>1639387.52</v>
      </c>
      <c r="AB2505" s="3814" t="s">
        <v>126</v>
      </c>
      <c r="AC2505" s="3662">
        <v>1</v>
      </c>
      <c r="AD2505" s="5134" t="s">
        <v>4262</v>
      </c>
      <c r="AE2505" s="2139">
        <v>0.3</v>
      </c>
      <c r="AF2505" s="3662">
        <f>1639387.52*AE2505</f>
        <v>491816.256</v>
      </c>
      <c r="AG2505" s="3684">
        <f>SUM(BA2505:BN2505)</f>
        <v>491816.25</v>
      </c>
      <c r="AH2505" s="3814" t="s">
        <v>122</v>
      </c>
      <c r="AI2505" s="3684">
        <v>44636</v>
      </c>
      <c r="AJ2505" s="3684">
        <f>AG2505</f>
        <v>491816.25</v>
      </c>
      <c r="AK2505" s="3684">
        <f>AI2505</f>
        <v>44636</v>
      </c>
      <c r="AL2505" s="3684">
        <v>491816.25</v>
      </c>
      <c r="AM2505" s="3684">
        <v>44636</v>
      </c>
      <c r="AN2505" s="3684">
        <f t="shared" ref="AN2505:AN2511" si="531">SUM(BO2505:CB2505)</f>
        <v>491816.25</v>
      </c>
      <c r="AO2505" s="3684">
        <v>44662</v>
      </c>
      <c r="AP2505" s="3662"/>
      <c r="AQ2505" s="5127"/>
      <c r="AR2505" s="3662"/>
      <c r="AS2505" s="5053"/>
      <c r="AT2505" s="3662"/>
      <c r="AU2505" s="5127"/>
      <c r="AV2505" s="5127"/>
      <c r="AW2505" s="5127"/>
      <c r="AX2505" s="5127"/>
      <c r="AY2505" s="5127"/>
      <c r="AZ2505" s="5127"/>
      <c r="BA2505" s="3684"/>
      <c r="BB2505" s="3684"/>
      <c r="BC2505" s="5162"/>
      <c r="BD2505" s="3684"/>
      <c r="BE2505" s="3684"/>
      <c r="BF2505" s="3684"/>
      <c r="BG2505" s="3684"/>
      <c r="BH2505" s="3684"/>
      <c r="BI2505" s="5162"/>
      <c r="BJ2505" s="3684"/>
      <c r="BK2505" s="3684"/>
      <c r="BL2505" s="3684"/>
      <c r="BM2505" s="3684"/>
      <c r="BN2505" s="3684">
        <v>491816.25</v>
      </c>
      <c r="BO2505" s="5162"/>
      <c r="BP2505" s="5162"/>
      <c r="BQ2505" s="5162"/>
      <c r="BR2505" s="5162"/>
      <c r="BS2505" s="5162"/>
      <c r="BT2505" s="5162"/>
      <c r="BU2505" s="5162"/>
      <c r="BV2505" s="5162"/>
      <c r="BW2505" s="5162"/>
      <c r="BX2505" s="5162"/>
      <c r="BY2505" s="5162"/>
      <c r="BZ2505" s="5162"/>
      <c r="CA2505" s="5162"/>
      <c r="CB2505" s="3684">
        <v>491816.25</v>
      </c>
      <c r="CC2505" s="3662"/>
      <c r="CD2505" s="3662"/>
      <c r="CE2505" s="6802"/>
      <c r="CF2505" s="6802"/>
      <c r="CG2505" s="6802"/>
      <c r="CH2505" s="6802"/>
    </row>
    <row r="2506" s="4992" customFormat="1" ht="46" spans="1:86">
      <c r="A2506" s="3662"/>
      <c r="B2506" s="1837"/>
      <c r="C2506" s="3662"/>
      <c r="D2506" s="3910"/>
      <c r="E2506" s="3910"/>
      <c r="F2506" s="3910"/>
      <c r="G2506" s="3910"/>
      <c r="H2506" s="5053"/>
      <c r="I2506" s="3910"/>
      <c r="J2506" s="5065"/>
      <c r="K2506" s="3662"/>
      <c r="L2506" s="5053"/>
      <c r="M2506" s="3662"/>
      <c r="N2506" s="3662"/>
      <c r="O2506" s="3662"/>
      <c r="P2506" s="3662"/>
      <c r="Q2506" s="3662"/>
      <c r="R2506" s="3662"/>
      <c r="S2506" s="3662"/>
      <c r="T2506" s="3662"/>
      <c r="U2506" s="3662"/>
      <c r="V2506" s="3662"/>
      <c r="W2506" s="3662"/>
      <c r="X2506" s="3662"/>
      <c r="Y2506" s="3662"/>
      <c r="Z2506" s="3662"/>
      <c r="AA2506" s="3662"/>
      <c r="AB2506" s="3662"/>
      <c r="AC2506" s="3662">
        <v>2</v>
      </c>
      <c r="AD2506" s="5134" t="s">
        <v>4263</v>
      </c>
      <c r="AE2506" s="2139">
        <v>0.3</v>
      </c>
      <c r="AF2506" s="3662">
        <f>1639387.52*AE2506</f>
        <v>491816.256</v>
      </c>
      <c r="AG2506" s="3684">
        <f>SUM(BA2506:BN2506)</f>
        <v>491816.26</v>
      </c>
      <c r="AH2506" s="3814" t="s">
        <v>122</v>
      </c>
      <c r="AI2506" s="3684">
        <v>44636</v>
      </c>
      <c r="AJ2506" s="3684">
        <f>AG2506</f>
        <v>491816.26</v>
      </c>
      <c r="AK2506" s="3684">
        <f>AI2506</f>
        <v>44636</v>
      </c>
      <c r="AL2506" s="3684">
        <v>491816.26</v>
      </c>
      <c r="AM2506" s="3684">
        <v>44636</v>
      </c>
      <c r="AN2506" s="3684">
        <f t="shared" si="531"/>
        <v>491816.26</v>
      </c>
      <c r="AO2506" s="3684">
        <v>44662</v>
      </c>
      <c r="AP2506" s="3662"/>
      <c r="AQ2506" s="5127"/>
      <c r="AR2506" s="3662"/>
      <c r="AS2506" s="5053"/>
      <c r="AT2506" s="3662"/>
      <c r="AU2506" s="5127"/>
      <c r="AV2506" s="5127"/>
      <c r="AW2506" s="5127"/>
      <c r="AX2506" s="5127"/>
      <c r="AY2506" s="5127"/>
      <c r="AZ2506" s="5127"/>
      <c r="BA2506" s="3684"/>
      <c r="BB2506" s="3684"/>
      <c r="BC2506" s="5162"/>
      <c r="BD2506" s="3684"/>
      <c r="BE2506" s="3684"/>
      <c r="BF2506" s="3684"/>
      <c r="BG2506" s="3684"/>
      <c r="BH2506" s="3684"/>
      <c r="BI2506" s="5162"/>
      <c r="BJ2506" s="3684"/>
      <c r="BK2506" s="3684"/>
      <c r="BL2506" s="3684"/>
      <c r="BM2506" s="3684"/>
      <c r="BN2506" s="3684">
        <v>491816.26</v>
      </c>
      <c r="BO2506" s="5162"/>
      <c r="BP2506" s="5162"/>
      <c r="BQ2506" s="5162"/>
      <c r="BR2506" s="5162"/>
      <c r="BS2506" s="5162"/>
      <c r="BT2506" s="5162"/>
      <c r="BU2506" s="5162"/>
      <c r="BV2506" s="5162"/>
      <c r="BW2506" s="5162"/>
      <c r="BX2506" s="5162"/>
      <c r="BY2506" s="5162"/>
      <c r="BZ2506" s="5162"/>
      <c r="CA2506" s="5162"/>
      <c r="CB2506" s="3684">
        <v>491816.26</v>
      </c>
      <c r="CC2506" s="3662"/>
      <c r="CD2506" s="3662"/>
      <c r="CE2506" s="6802"/>
      <c r="CF2506" s="6802"/>
      <c r="CG2506" s="6802"/>
      <c r="CH2506" s="6802"/>
    </row>
    <row r="2507" s="4993" customFormat="1" ht="61" spans="1:86">
      <c r="A2507" s="3684"/>
      <c r="B2507" s="1837"/>
      <c r="C2507" s="3684"/>
      <c r="D2507" s="3910"/>
      <c r="E2507" s="3910"/>
      <c r="F2507" s="3910"/>
      <c r="G2507" s="3910"/>
      <c r="H2507" s="5060"/>
      <c r="I2507" s="3910"/>
      <c r="J2507" s="5065"/>
      <c r="K2507" s="3684"/>
      <c r="L2507" s="5060"/>
      <c r="M2507" s="3684"/>
      <c r="N2507" s="3662"/>
      <c r="O2507" s="3662"/>
      <c r="P2507" s="3662"/>
      <c r="Q2507" s="3662"/>
      <c r="R2507" s="3662"/>
      <c r="S2507" s="3662"/>
      <c r="T2507" s="3662"/>
      <c r="U2507" s="3662"/>
      <c r="V2507" s="3662"/>
      <c r="W2507" s="3662"/>
      <c r="X2507" s="3662"/>
      <c r="Y2507" s="3662"/>
      <c r="Z2507" s="3662"/>
      <c r="AA2507" s="3662"/>
      <c r="AB2507" s="3662"/>
      <c r="AC2507" s="3684">
        <v>3</v>
      </c>
      <c r="AD2507" s="5408" t="s">
        <v>4264</v>
      </c>
      <c r="AE2507" s="5055">
        <v>0.3</v>
      </c>
      <c r="AF2507" s="3684">
        <f>1639387.52*AE2507</f>
        <v>491816.256</v>
      </c>
      <c r="AG2507" s="3684">
        <f>SUM(BA2507:BN2507)</f>
        <v>491816.26</v>
      </c>
      <c r="AH2507" s="3814" t="s">
        <v>122</v>
      </c>
      <c r="AI2507" s="3684">
        <v>44788</v>
      </c>
      <c r="AJ2507" s="3684">
        <v>491816.26</v>
      </c>
      <c r="AK2507" s="3684">
        <v>44788</v>
      </c>
      <c r="AL2507" s="3684">
        <v>491816.26</v>
      </c>
      <c r="AM2507" s="3684">
        <v>44788</v>
      </c>
      <c r="AN2507" s="3684">
        <f t="shared" si="531"/>
        <v>491816.26</v>
      </c>
      <c r="AO2507" s="3684">
        <v>44802</v>
      </c>
      <c r="AP2507" s="3684"/>
      <c r="AQ2507" s="5148"/>
      <c r="AR2507" s="3684"/>
      <c r="AS2507" s="5060"/>
      <c r="AT2507" s="3684"/>
      <c r="AU2507" s="5148"/>
      <c r="AV2507" s="5148"/>
      <c r="AW2507" s="5148"/>
      <c r="AX2507" s="5148"/>
      <c r="AY2507" s="5148"/>
      <c r="AZ2507" s="5148"/>
      <c r="BA2507" s="5148"/>
      <c r="BB2507" s="5148"/>
      <c r="BC2507" s="3684"/>
      <c r="BD2507" s="5148"/>
      <c r="BE2507" s="5148"/>
      <c r="BF2507" s="5148"/>
      <c r="BG2507" s="5148"/>
      <c r="BH2507" s="3684"/>
      <c r="BI2507" s="3684"/>
      <c r="BJ2507" s="3684"/>
      <c r="BK2507" s="3684"/>
      <c r="BL2507" s="3684"/>
      <c r="BM2507" s="3684"/>
      <c r="BN2507" s="3684">
        <v>491816.26</v>
      </c>
      <c r="BO2507" s="5148"/>
      <c r="BP2507" s="5148"/>
      <c r="BQ2507" s="5148"/>
      <c r="BR2507" s="5148"/>
      <c r="BS2507" s="5148"/>
      <c r="BT2507" s="5148"/>
      <c r="BU2507" s="5148"/>
      <c r="BV2507" s="5148"/>
      <c r="BW2507" s="5148"/>
      <c r="BX2507" s="5148"/>
      <c r="BY2507" s="5148"/>
      <c r="BZ2507" s="5148"/>
      <c r="CA2507" s="5148"/>
      <c r="CB2507" s="5148">
        <v>491816.26</v>
      </c>
      <c r="CC2507" s="3684"/>
      <c r="CD2507" s="3684"/>
      <c r="CE2507" s="6810"/>
      <c r="CF2507" s="6810"/>
      <c r="CG2507" s="6810"/>
      <c r="CH2507" s="6810"/>
    </row>
    <row r="2508" s="4992" customFormat="1" ht="76" spans="1:86">
      <c r="A2508" s="3662"/>
      <c r="B2508" s="1837"/>
      <c r="C2508" s="3662"/>
      <c r="D2508" s="3910"/>
      <c r="E2508" s="3910"/>
      <c r="F2508" s="3910"/>
      <c r="G2508" s="3910"/>
      <c r="H2508" s="5053"/>
      <c r="I2508" s="3910"/>
      <c r="J2508" s="5065"/>
      <c r="K2508" s="3662"/>
      <c r="L2508" s="5053"/>
      <c r="M2508" s="3662"/>
      <c r="N2508" s="3662"/>
      <c r="O2508" s="3662"/>
      <c r="P2508" s="3662"/>
      <c r="Q2508" s="3662"/>
      <c r="R2508" s="3662"/>
      <c r="S2508" s="3662"/>
      <c r="T2508" s="3662"/>
      <c r="U2508" s="3662"/>
      <c r="V2508" s="3662"/>
      <c r="W2508" s="3662"/>
      <c r="X2508" s="3662"/>
      <c r="Y2508" s="3662"/>
      <c r="Z2508" s="3662"/>
      <c r="AA2508" s="3662"/>
      <c r="AB2508" s="3662"/>
      <c r="AC2508" s="3662">
        <v>4</v>
      </c>
      <c r="AD2508" s="5134" t="s">
        <v>4265</v>
      </c>
      <c r="AE2508" s="2139">
        <v>0.1</v>
      </c>
      <c r="AF2508" s="3662">
        <f>1639387.52*AE2508</f>
        <v>163938.752</v>
      </c>
      <c r="AG2508" s="3708"/>
      <c r="AH2508" s="3823"/>
      <c r="AI2508" s="3708"/>
      <c r="AJ2508" s="3662"/>
      <c r="AK2508" s="3662"/>
      <c r="AL2508" s="3662"/>
      <c r="AM2508" s="3662"/>
      <c r="AN2508" s="3684"/>
      <c r="AO2508" s="3708"/>
      <c r="AP2508" s="3662"/>
      <c r="AQ2508" s="5127"/>
      <c r="AR2508" s="3662"/>
      <c r="AS2508" s="5053"/>
      <c r="AT2508" s="3662"/>
      <c r="AU2508" s="5127"/>
      <c r="AV2508" s="5127"/>
      <c r="AW2508" s="5127"/>
      <c r="AX2508" s="5127"/>
      <c r="AY2508" s="5127"/>
      <c r="AZ2508" s="5127"/>
      <c r="BA2508" s="5127"/>
      <c r="BB2508" s="5127"/>
      <c r="BC2508" s="3662"/>
      <c r="BD2508" s="5127"/>
      <c r="BE2508" s="5127"/>
      <c r="BF2508" s="5127"/>
      <c r="BG2508" s="5127"/>
      <c r="BH2508" s="3662"/>
      <c r="BI2508" s="5127"/>
      <c r="BJ2508" s="5127"/>
      <c r="BK2508" s="5127"/>
      <c r="BL2508" s="5127"/>
      <c r="BM2508" s="5127"/>
      <c r="BN2508" s="5164"/>
      <c r="BO2508" s="5127"/>
      <c r="BP2508" s="5127"/>
      <c r="BQ2508" s="5127"/>
      <c r="BR2508" s="5127"/>
      <c r="BS2508" s="5127"/>
      <c r="BT2508" s="5127"/>
      <c r="BU2508" s="5127"/>
      <c r="BV2508" s="5127"/>
      <c r="BW2508" s="5127"/>
      <c r="BX2508" s="5127"/>
      <c r="BY2508" s="5127"/>
      <c r="BZ2508" s="5127"/>
      <c r="CA2508" s="5127"/>
      <c r="CB2508" s="5164">
        <v>163938.752</v>
      </c>
      <c r="CC2508" s="3662"/>
      <c r="CD2508" s="3662"/>
      <c r="CE2508" s="5169">
        <f>SUBTOTAL(9,BO2508:CB2508)</f>
        <v>163938.752</v>
      </c>
      <c r="CF2508" s="5169">
        <f>AN2508-CE2508</f>
        <v>-163938.752</v>
      </c>
      <c r="CG2508" s="6802"/>
      <c r="CH2508" s="6802"/>
    </row>
    <row r="2509" s="4992" customFormat="1" ht="46" spans="1:86">
      <c r="A2509" s="3662"/>
      <c r="B2509" s="1837"/>
      <c r="C2509" s="3815" t="s">
        <v>171</v>
      </c>
      <c r="D2509" s="3910"/>
      <c r="E2509" s="3910"/>
      <c r="F2509" s="3910"/>
      <c r="G2509" s="3910"/>
      <c r="H2509" s="3909" t="s">
        <v>4266</v>
      </c>
      <c r="I2509" s="3910"/>
      <c r="J2509" s="5065"/>
      <c r="K2509" s="3744"/>
      <c r="L2509" s="5069"/>
      <c r="M2509" s="3662">
        <f>SUM(N2509:AA2512)</f>
        <v>120000</v>
      </c>
      <c r="N2509" s="3662"/>
      <c r="O2509" s="3662"/>
      <c r="P2509" s="3662"/>
      <c r="Q2509" s="3662"/>
      <c r="R2509" s="3662"/>
      <c r="S2509" s="3662"/>
      <c r="T2509" s="3662"/>
      <c r="U2509" s="3662"/>
      <c r="V2509" s="3662"/>
      <c r="W2509" s="3662"/>
      <c r="X2509" s="3662"/>
      <c r="Y2509" s="3662"/>
      <c r="Z2509" s="3744"/>
      <c r="AA2509" s="3744">
        <v>120000</v>
      </c>
      <c r="AB2509" s="3662"/>
      <c r="AC2509" s="3662">
        <v>1</v>
      </c>
      <c r="AD2509" s="5134" t="s">
        <v>4262</v>
      </c>
      <c r="AE2509" s="2139">
        <v>0.3</v>
      </c>
      <c r="AF2509" s="3662">
        <f>$M$2509*AE2509</f>
        <v>36000</v>
      </c>
      <c r="AG2509" s="3684">
        <f t="shared" ref="AG2509:AG2514" si="532">SUM(BA2509:BN2509)</f>
        <v>36000</v>
      </c>
      <c r="AH2509" s="3814" t="s">
        <v>122</v>
      </c>
      <c r="AI2509" s="3684">
        <v>45275</v>
      </c>
      <c r="AJ2509" s="3744">
        <v>72000</v>
      </c>
      <c r="AK2509" s="3744">
        <v>45275</v>
      </c>
      <c r="AL2509" s="3744">
        <v>72000</v>
      </c>
      <c r="AM2509" s="3744">
        <v>45805</v>
      </c>
      <c r="AN2509" s="3684">
        <f t="shared" si="531"/>
        <v>36000</v>
      </c>
      <c r="AO2509" s="3684">
        <v>45910</v>
      </c>
      <c r="AP2509" s="3662"/>
      <c r="AQ2509" s="5127"/>
      <c r="AR2509" s="3662"/>
      <c r="AS2509" s="5053"/>
      <c r="AT2509" s="3662"/>
      <c r="AU2509" s="5127"/>
      <c r="AV2509" s="5127"/>
      <c r="AW2509" s="5127"/>
      <c r="AX2509" s="5127"/>
      <c r="AY2509" s="5127"/>
      <c r="AZ2509" s="5127"/>
      <c r="BA2509" s="5127"/>
      <c r="BB2509" s="5127"/>
      <c r="BC2509" s="3662"/>
      <c r="BD2509" s="5127"/>
      <c r="BE2509" s="5127"/>
      <c r="BF2509" s="5127"/>
      <c r="BG2509" s="5127"/>
      <c r="BH2509" s="3662"/>
      <c r="BI2509" s="5127"/>
      <c r="BJ2509" s="5127"/>
      <c r="BK2509" s="5127"/>
      <c r="BL2509" s="5127"/>
      <c r="BM2509" s="5127"/>
      <c r="BN2509" s="5148">
        <v>36000</v>
      </c>
      <c r="BO2509" s="5127"/>
      <c r="BP2509" s="5127"/>
      <c r="BQ2509" s="5127"/>
      <c r="BR2509" s="5127"/>
      <c r="BS2509" s="5127"/>
      <c r="BT2509" s="5127"/>
      <c r="BU2509" s="5127"/>
      <c r="BV2509" s="5127"/>
      <c r="BW2509" s="5127"/>
      <c r="BX2509" s="5127"/>
      <c r="BY2509" s="5127"/>
      <c r="BZ2509" s="5127"/>
      <c r="CA2509" s="5127"/>
      <c r="CB2509" s="5164">
        <v>36000</v>
      </c>
      <c r="CC2509" s="3662"/>
      <c r="CD2509" s="3662"/>
      <c r="CE2509" s="5169">
        <f>SUBTOTAL(9,BO2509:CB2509)</f>
        <v>36000</v>
      </c>
      <c r="CF2509" s="5169">
        <f>AN2509-CE2509</f>
        <v>0</v>
      </c>
      <c r="CG2509" s="6802"/>
      <c r="CH2509" s="6802"/>
    </row>
    <row r="2510" s="4992" customFormat="1" ht="46" spans="1:86">
      <c r="A2510" s="3662"/>
      <c r="B2510" s="1837"/>
      <c r="C2510" s="1837"/>
      <c r="D2510" s="3910"/>
      <c r="E2510" s="3910"/>
      <c r="F2510" s="3910"/>
      <c r="G2510" s="3910"/>
      <c r="H2510" s="5065"/>
      <c r="I2510" s="3910"/>
      <c r="J2510" s="5065"/>
      <c r="K2510" s="3666"/>
      <c r="L2510" s="5065"/>
      <c r="M2510" s="3662"/>
      <c r="N2510" s="3662"/>
      <c r="O2510" s="3662"/>
      <c r="P2510" s="3662"/>
      <c r="Q2510" s="3662"/>
      <c r="R2510" s="3662"/>
      <c r="S2510" s="3662"/>
      <c r="T2510" s="3662"/>
      <c r="U2510" s="3662"/>
      <c r="V2510" s="3662"/>
      <c r="W2510" s="3662"/>
      <c r="X2510" s="3662"/>
      <c r="Y2510" s="3662"/>
      <c r="Z2510" s="3666"/>
      <c r="AA2510" s="3666"/>
      <c r="AB2510" s="3662"/>
      <c r="AC2510" s="3662">
        <v>2</v>
      </c>
      <c r="AD2510" s="5134" t="s">
        <v>4263</v>
      </c>
      <c r="AE2510" s="2139">
        <v>0.3</v>
      </c>
      <c r="AF2510" s="3662">
        <f>$M$2509*AE2510</f>
        <v>36000</v>
      </c>
      <c r="AG2510" s="3684">
        <f t="shared" si="532"/>
        <v>36000</v>
      </c>
      <c r="AH2510" s="3814" t="s">
        <v>122</v>
      </c>
      <c r="AI2510" s="3684">
        <v>45275</v>
      </c>
      <c r="AJ2510" s="3667"/>
      <c r="AK2510" s="3667"/>
      <c r="AL2510" s="3667"/>
      <c r="AM2510" s="3667"/>
      <c r="AN2510" s="3684">
        <f t="shared" si="531"/>
        <v>36000</v>
      </c>
      <c r="AO2510" s="3684">
        <v>45910</v>
      </c>
      <c r="AP2510" s="3662"/>
      <c r="AQ2510" s="5127"/>
      <c r="AR2510" s="3662"/>
      <c r="AS2510" s="5053"/>
      <c r="AT2510" s="3662"/>
      <c r="AU2510" s="5127"/>
      <c r="AV2510" s="5127"/>
      <c r="AW2510" s="5127"/>
      <c r="AX2510" s="5127"/>
      <c r="AY2510" s="5127"/>
      <c r="AZ2510" s="5127"/>
      <c r="BA2510" s="5127"/>
      <c r="BB2510" s="5127"/>
      <c r="BC2510" s="3662"/>
      <c r="BD2510" s="5127"/>
      <c r="BE2510" s="5127"/>
      <c r="BF2510" s="5127"/>
      <c r="BG2510" s="5127"/>
      <c r="BH2510" s="3662"/>
      <c r="BI2510" s="5127"/>
      <c r="BJ2510" s="5127"/>
      <c r="BK2510" s="5127"/>
      <c r="BL2510" s="5127"/>
      <c r="BM2510" s="5127"/>
      <c r="BN2510" s="5148">
        <v>36000</v>
      </c>
      <c r="BO2510" s="5127"/>
      <c r="BP2510" s="5127"/>
      <c r="BQ2510" s="5127"/>
      <c r="BR2510" s="5127"/>
      <c r="BS2510" s="5127"/>
      <c r="BT2510" s="5127"/>
      <c r="BU2510" s="5127"/>
      <c r="BV2510" s="5127"/>
      <c r="BW2510" s="5127"/>
      <c r="BX2510" s="5127"/>
      <c r="BY2510" s="5127"/>
      <c r="BZ2510" s="5127"/>
      <c r="CA2510" s="5127"/>
      <c r="CB2510" s="5164">
        <v>36000</v>
      </c>
      <c r="CC2510" s="3662"/>
      <c r="CD2510" s="3662"/>
      <c r="CE2510" s="5169">
        <f>SUBTOTAL(9,BO2510:CB2510)</f>
        <v>36000</v>
      </c>
      <c r="CF2510" s="5169">
        <f>AN2510-CE2510</f>
        <v>0</v>
      </c>
      <c r="CG2510" s="6802"/>
      <c r="CH2510" s="6802"/>
    </row>
    <row r="2511" s="4992" customFormat="1" ht="61" spans="1:86">
      <c r="A2511" s="3662"/>
      <c r="B2511" s="1837"/>
      <c r="C2511" s="1837"/>
      <c r="D2511" s="3910"/>
      <c r="E2511" s="3910"/>
      <c r="F2511" s="3910"/>
      <c r="G2511" s="3910"/>
      <c r="H2511" s="5065"/>
      <c r="I2511" s="3910"/>
      <c r="J2511" s="5065"/>
      <c r="K2511" s="3666"/>
      <c r="L2511" s="5065"/>
      <c r="M2511" s="3684"/>
      <c r="N2511" s="3662"/>
      <c r="O2511" s="3662"/>
      <c r="P2511" s="3662"/>
      <c r="Q2511" s="3662"/>
      <c r="R2511" s="3662"/>
      <c r="S2511" s="3662"/>
      <c r="T2511" s="3662"/>
      <c r="U2511" s="3662"/>
      <c r="V2511" s="3662"/>
      <c r="W2511" s="3662"/>
      <c r="X2511" s="3662"/>
      <c r="Y2511" s="3662"/>
      <c r="Z2511" s="3666"/>
      <c r="AA2511" s="3666"/>
      <c r="AB2511" s="3662"/>
      <c r="AC2511" s="3684">
        <v>3</v>
      </c>
      <c r="AD2511" s="5408" t="s">
        <v>4264</v>
      </c>
      <c r="AE2511" s="5055">
        <v>0.3</v>
      </c>
      <c r="AF2511" s="3662">
        <f>$M$2509*AE2511</f>
        <v>36000</v>
      </c>
      <c r="AG2511" s="3708"/>
      <c r="AH2511" s="3823"/>
      <c r="AI2511" s="3708"/>
      <c r="AJ2511" s="3662"/>
      <c r="AK2511" s="3662"/>
      <c r="AL2511" s="3662"/>
      <c r="AM2511" s="3662"/>
      <c r="AN2511" s="3708"/>
      <c r="AO2511" s="3708"/>
      <c r="AP2511" s="3662"/>
      <c r="AQ2511" s="5127"/>
      <c r="AR2511" s="3662"/>
      <c r="AS2511" s="5053"/>
      <c r="AT2511" s="3662"/>
      <c r="AU2511" s="5127"/>
      <c r="AV2511" s="5127"/>
      <c r="AW2511" s="5127"/>
      <c r="AX2511" s="5127"/>
      <c r="AY2511" s="5127"/>
      <c r="AZ2511" s="5127"/>
      <c r="BA2511" s="5127"/>
      <c r="BB2511" s="5127"/>
      <c r="BC2511" s="3662"/>
      <c r="BD2511" s="5127"/>
      <c r="BE2511" s="5127"/>
      <c r="BF2511" s="5127"/>
      <c r="BG2511" s="5127"/>
      <c r="BH2511" s="3662"/>
      <c r="BI2511" s="5127"/>
      <c r="BJ2511" s="5127"/>
      <c r="BK2511" s="5127"/>
      <c r="BL2511" s="5127"/>
      <c r="BM2511" s="5127"/>
      <c r="BN2511" s="3708"/>
      <c r="BO2511" s="5127"/>
      <c r="BP2511" s="5127"/>
      <c r="BQ2511" s="5127"/>
      <c r="BR2511" s="5127"/>
      <c r="BS2511" s="5127"/>
      <c r="BT2511" s="5127"/>
      <c r="BU2511" s="5127"/>
      <c r="BV2511" s="5127"/>
      <c r="BW2511" s="5127"/>
      <c r="BX2511" s="5127"/>
      <c r="BY2511" s="5127"/>
      <c r="BZ2511" s="5127"/>
      <c r="CA2511" s="5127"/>
      <c r="CB2511" s="3708">
        <v>36000</v>
      </c>
      <c r="CC2511" s="3662"/>
      <c r="CD2511" s="3662"/>
      <c r="CE2511" s="5169">
        <f>SUBTOTAL(9,BO2511:CB2511)</f>
        <v>36000</v>
      </c>
      <c r="CF2511" s="5169">
        <f>AN2511-CE2511</f>
        <v>-36000</v>
      </c>
      <c r="CG2511" s="6802"/>
      <c r="CH2511" s="6802"/>
    </row>
    <row r="2512" s="4992" customFormat="1" ht="76" spans="1:86">
      <c r="A2512" s="3662"/>
      <c r="B2512" s="1837"/>
      <c r="C2512" s="4830"/>
      <c r="D2512" s="3910"/>
      <c r="E2512" s="3910"/>
      <c r="F2512" s="3910"/>
      <c r="G2512" s="3910"/>
      <c r="H2512" s="5062"/>
      <c r="I2512" s="3910"/>
      <c r="J2512" s="5065"/>
      <c r="K2512" s="3667"/>
      <c r="L2512" s="5062"/>
      <c r="M2512" s="3662"/>
      <c r="N2512" s="3662"/>
      <c r="O2512" s="3662"/>
      <c r="P2512" s="3662"/>
      <c r="Q2512" s="3662"/>
      <c r="R2512" s="3662"/>
      <c r="S2512" s="3662"/>
      <c r="T2512" s="3662"/>
      <c r="U2512" s="3662"/>
      <c r="V2512" s="3662"/>
      <c r="W2512" s="3662"/>
      <c r="X2512" s="3662"/>
      <c r="Y2512" s="3662"/>
      <c r="Z2512" s="3667"/>
      <c r="AA2512" s="3667"/>
      <c r="AB2512" s="3662"/>
      <c r="AC2512" s="3662">
        <v>4</v>
      </c>
      <c r="AD2512" s="5134" t="s">
        <v>4265</v>
      </c>
      <c r="AE2512" s="2139">
        <v>0.1</v>
      </c>
      <c r="AF2512" s="3662">
        <f>$M$2509*AE2512</f>
        <v>12000</v>
      </c>
      <c r="AG2512" s="3708"/>
      <c r="AH2512" s="3823"/>
      <c r="AI2512" s="3708"/>
      <c r="AJ2512" s="3662"/>
      <c r="AK2512" s="3662"/>
      <c r="AL2512" s="3662"/>
      <c r="AM2512" s="3662"/>
      <c r="AN2512" s="3684"/>
      <c r="AO2512" s="3662"/>
      <c r="AP2512" s="3662"/>
      <c r="AQ2512" s="5127"/>
      <c r="AR2512" s="3662"/>
      <c r="AS2512" s="5053"/>
      <c r="AT2512" s="3662"/>
      <c r="AU2512" s="5127"/>
      <c r="AV2512" s="5127"/>
      <c r="AW2512" s="5127"/>
      <c r="AX2512" s="5127"/>
      <c r="AY2512" s="5127"/>
      <c r="AZ2512" s="5127"/>
      <c r="BA2512" s="5127"/>
      <c r="BB2512" s="5127"/>
      <c r="BC2512" s="3662"/>
      <c r="BD2512" s="5127"/>
      <c r="BE2512" s="5127"/>
      <c r="BF2512" s="5127"/>
      <c r="BG2512" s="5127"/>
      <c r="BH2512" s="3662"/>
      <c r="BI2512" s="5127"/>
      <c r="BJ2512" s="5127"/>
      <c r="BK2512" s="5127"/>
      <c r="BL2512" s="5127"/>
      <c r="BM2512" s="5127"/>
      <c r="BN2512" s="5164"/>
      <c r="BO2512" s="5127"/>
      <c r="BP2512" s="5127"/>
      <c r="BQ2512" s="5127"/>
      <c r="BR2512" s="5127"/>
      <c r="BS2512" s="5127"/>
      <c r="BT2512" s="5127"/>
      <c r="BU2512" s="5127"/>
      <c r="BV2512" s="5127"/>
      <c r="BW2512" s="5127"/>
      <c r="BX2512" s="5127"/>
      <c r="BY2512" s="5127"/>
      <c r="BZ2512" s="5127"/>
      <c r="CA2512" s="5127"/>
      <c r="CB2512" s="5164"/>
      <c r="CC2512" s="3662"/>
      <c r="CD2512" s="3662"/>
      <c r="CE2512" s="6802"/>
      <c r="CF2512" s="6802"/>
      <c r="CG2512" s="6802"/>
      <c r="CH2512" s="6802"/>
    </row>
    <row r="2513" s="4992" customFormat="1" ht="107" spans="1:86">
      <c r="A2513" s="3662"/>
      <c r="B2513" s="1837"/>
      <c r="C2513" s="1837"/>
      <c r="D2513" s="3910"/>
      <c r="E2513" s="3910"/>
      <c r="F2513" s="3910"/>
      <c r="G2513" s="3910"/>
      <c r="H2513" s="3910" t="s">
        <v>4267</v>
      </c>
      <c r="I2513" s="5065"/>
      <c r="J2513" s="5065"/>
      <c r="K2513" s="3666"/>
      <c r="L2513" s="3910"/>
      <c r="M2513" s="3744">
        <v>261708.8</v>
      </c>
      <c r="N2513" s="3662"/>
      <c r="O2513" s="3662"/>
      <c r="P2513" s="3662"/>
      <c r="Q2513" s="3662"/>
      <c r="R2513" s="3662"/>
      <c r="S2513" s="3662"/>
      <c r="T2513" s="3662"/>
      <c r="U2513" s="3662"/>
      <c r="V2513" s="3662"/>
      <c r="W2513" s="3662"/>
      <c r="X2513" s="3662"/>
      <c r="Y2513" s="3662"/>
      <c r="Z2513" s="3667"/>
      <c r="AA2513" s="3667"/>
      <c r="AB2513" s="3662"/>
      <c r="AC2513" s="3662">
        <v>1</v>
      </c>
      <c r="AD2513" s="5319" t="s">
        <v>4268</v>
      </c>
      <c r="AE2513" s="2139">
        <v>0.15</v>
      </c>
      <c r="AF2513" s="3662">
        <f>M2513*AE2513</f>
        <v>39256.32</v>
      </c>
      <c r="AG2513" s="6027"/>
      <c r="AH2513" s="3815" t="s">
        <v>122</v>
      </c>
      <c r="AI2513" s="4200">
        <v>45793</v>
      </c>
      <c r="AJ2513" s="3744">
        <v>58854.15</v>
      </c>
      <c r="AK2513" s="3744">
        <v>45804</v>
      </c>
      <c r="AL2513" s="3744">
        <v>58854.14</v>
      </c>
      <c r="AM2513" s="3744">
        <v>45805</v>
      </c>
      <c r="AN2513" s="4200">
        <f>AJ2513</f>
        <v>58854.15</v>
      </c>
      <c r="AO2513" s="3744">
        <v>45910</v>
      </c>
      <c r="AP2513" s="3662"/>
      <c r="AQ2513" s="5127"/>
      <c r="AR2513" s="3662"/>
      <c r="AS2513" s="5053"/>
      <c r="AT2513" s="3662"/>
      <c r="AU2513" s="5127"/>
      <c r="AV2513" s="5127"/>
      <c r="AW2513" s="5127"/>
      <c r="AX2513" s="5127"/>
      <c r="AY2513" s="5127"/>
      <c r="AZ2513" s="5127"/>
      <c r="BA2513" s="5127"/>
      <c r="BB2513" s="5127"/>
      <c r="BC2513" s="3662"/>
      <c r="BD2513" s="5127"/>
      <c r="BE2513" s="5127"/>
      <c r="BF2513" s="5127"/>
      <c r="BG2513" s="5127"/>
      <c r="BH2513" s="3662"/>
      <c r="BI2513" s="5127"/>
      <c r="BJ2513" s="5127"/>
      <c r="BK2513" s="5127"/>
      <c r="BL2513" s="5127"/>
      <c r="BM2513" s="5127"/>
      <c r="BN2513" s="3684"/>
      <c r="BO2513" s="5127"/>
      <c r="BP2513" s="5127"/>
      <c r="BQ2513" s="5127"/>
      <c r="BR2513" s="5127"/>
      <c r="BS2513" s="5127"/>
      <c r="BT2513" s="5127"/>
      <c r="BU2513" s="5127"/>
      <c r="BV2513" s="5127"/>
      <c r="BW2513" s="5127"/>
      <c r="BX2513" s="5127"/>
      <c r="BY2513" s="5127"/>
      <c r="BZ2513" s="5127"/>
      <c r="CA2513" s="5127"/>
      <c r="CB2513" s="5164"/>
      <c r="CC2513" s="3662"/>
      <c r="CD2513" s="3662"/>
      <c r="CE2513" s="6802"/>
      <c r="CF2513" s="6802"/>
      <c r="CG2513" s="6802"/>
      <c r="CH2513" s="6802"/>
    </row>
    <row r="2514" s="4992" customFormat="1" ht="107" spans="1:86">
      <c r="A2514" s="3662"/>
      <c r="B2514" s="1837"/>
      <c r="C2514" s="1837"/>
      <c r="D2514" s="3910"/>
      <c r="E2514" s="3910"/>
      <c r="F2514" s="3910"/>
      <c r="G2514" s="3910"/>
      <c r="H2514" s="3910"/>
      <c r="I2514" s="5065"/>
      <c r="J2514" s="5065"/>
      <c r="K2514" s="3666"/>
      <c r="L2514" s="5065"/>
      <c r="M2514" s="3666"/>
      <c r="N2514" s="3662"/>
      <c r="O2514" s="3662"/>
      <c r="P2514" s="3662"/>
      <c r="Q2514" s="3662"/>
      <c r="R2514" s="3662"/>
      <c r="S2514" s="3662"/>
      <c r="T2514" s="3662"/>
      <c r="U2514" s="3662"/>
      <c r="V2514" s="3662"/>
      <c r="W2514" s="3662"/>
      <c r="X2514" s="3662"/>
      <c r="Y2514" s="3662"/>
      <c r="Z2514" s="3667"/>
      <c r="AA2514" s="3667"/>
      <c r="AB2514" s="3662"/>
      <c r="AC2514" s="3662">
        <v>2</v>
      </c>
      <c r="AD2514" s="5319" t="s">
        <v>4269</v>
      </c>
      <c r="AE2514" s="2139">
        <v>0.2</v>
      </c>
      <c r="AF2514" s="3662">
        <f>M2513*AE2514</f>
        <v>52341.76</v>
      </c>
      <c r="AG2514" s="3684">
        <f t="shared" si="532"/>
        <v>58854.4</v>
      </c>
      <c r="AH2514" s="1837"/>
      <c r="AI2514" s="4201"/>
      <c r="AJ2514" s="3666"/>
      <c r="AK2514" s="3666"/>
      <c r="AL2514" s="3666"/>
      <c r="AM2514" s="3666"/>
      <c r="AN2514" s="4201"/>
      <c r="AO2514" s="3666"/>
      <c r="AP2514" s="3662"/>
      <c r="AQ2514" s="5127"/>
      <c r="AR2514" s="3662"/>
      <c r="AS2514" s="5053"/>
      <c r="AT2514" s="3662"/>
      <c r="AU2514" s="5127"/>
      <c r="AV2514" s="5127"/>
      <c r="AW2514" s="5127"/>
      <c r="AX2514" s="5127"/>
      <c r="AY2514" s="5127"/>
      <c r="AZ2514" s="5127"/>
      <c r="BA2514" s="5127"/>
      <c r="BB2514" s="5127"/>
      <c r="BC2514" s="3662"/>
      <c r="BD2514" s="5127"/>
      <c r="BE2514" s="5127"/>
      <c r="BF2514" s="5127"/>
      <c r="BG2514" s="5127"/>
      <c r="BH2514" s="3662"/>
      <c r="BI2514" s="5127"/>
      <c r="BJ2514" s="5127"/>
      <c r="BK2514" s="5127"/>
      <c r="BL2514" s="5127"/>
      <c r="BM2514" s="5127"/>
      <c r="BN2514" s="3684">
        <v>58854.4</v>
      </c>
      <c r="BO2514" s="5127"/>
      <c r="BP2514" s="5127"/>
      <c r="BQ2514" s="5127"/>
      <c r="BR2514" s="5127"/>
      <c r="BS2514" s="5127"/>
      <c r="BT2514" s="5127"/>
      <c r="BU2514" s="5127"/>
      <c r="BV2514" s="5127"/>
      <c r="BW2514" s="5127"/>
      <c r="BX2514" s="5127"/>
      <c r="BY2514" s="5127"/>
      <c r="BZ2514" s="5127"/>
      <c r="CA2514" s="5127"/>
      <c r="CB2514" s="5164"/>
      <c r="CC2514" s="3662"/>
      <c r="CD2514" s="3662"/>
      <c r="CE2514" s="6802"/>
      <c r="CF2514" s="6802"/>
      <c r="CG2514" s="6802"/>
      <c r="CH2514" s="6802"/>
    </row>
    <row r="2515" s="4992" customFormat="1" ht="107" spans="1:86">
      <c r="A2515" s="3662"/>
      <c r="B2515" s="1837"/>
      <c r="C2515" s="1837"/>
      <c r="D2515" s="3910"/>
      <c r="E2515" s="3910"/>
      <c r="F2515" s="3910"/>
      <c r="G2515" s="3910"/>
      <c r="H2515" s="3910"/>
      <c r="I2515" s="5065"/>
      <c r="J2515" s="5065"/>
      <c r="K2515" s="3666"/>
      <c r="L2515" s="5065"/>
      <c r="M2515" s="3666"/>
      <c r="N2515" s="3662"/>
      <c r="O2515" s="3662"/>
      <c r="P2515" s="3662"/>
      <c r="Q2515" s="3662"/>
      <c r="R2515" s="3662"/>
      <c r="S2515" s="3662"/>
      <c r="T2515" s="3662"/>
      <c r="U2515" s="3662"/>
      <c r="V2515" s="3662"/>
      <c r="W2515" s="3662"/>
      <c r="X2515" s="3662"/>
      <c r="Y2515" s="3662"/>
      <c r="Z2515" s="3667"/>
      <c r="AA2515" s="3667"/>
      <c r="AB2515" s="3662"/>
      <c r="AC2515" s="3662">
        <v>3</v>
      </c>
      <c r="AD2515" s="5319" t="s">
        <v>4270</v>
      </c>
      <c r="AE2515" s="2139">
        <v>0.15</v>
      </c>
      <c r="AF2515" s="3662">
        <f>M2513*AE2515</f>
        <v>39256.32</v>
      </c>
      <c r="AG2515" s="6027"/>
      <c r="AH2515" s="4830"/>
      <c r="AI2515" s="4202"/>
      <c r="AJ2515" s="3667"/>
      <c r="AK2515" s="3667"/>
      <c r="AL2515" s="3667"/>
      <c r="AM2515" s="3667"/>
      <c r="AN2515" s="4202"/>
      <c r="AO2515" s="3667"/>
      <c r="AP2515" s="3662"/>
      <c r="AQ2515" s="5127"/>
      <c r="AR2515" s="3662"/>
      <c r="AS2515" s="5053"/>
      <c r="AT2515" s="3662"/>
      <c r="AU2515" s="5127"/>
      <c r="AV2515" s="5127"/>
      <c r="AW2515" s="5127"/>
      <c r="AX2515" s="5127"/>
      <c r="AY2515" s="5127"/>
      <c r="AZ2515" s="5127"/>
      <c r="BA2515" s="5127"/>
      <c r="BB2515" s="5127"/>
      <c r="BC2515" s="3662"/>
      <c r="BD2515" s="5127"/>
      <c r="BE2515" s="5127"/>
      <c r="BF2515" s="5127"/>
      <c r="BG2515" s="5127"/>
      <c r="BH2515" s="3662"/>
      <c r="BI2515" s="5127"/>
      <c r="BJ2515" s="5127"/>
      <c r="BK2515" s="5127"/>
      <c r="BL2515" s="5127"/>
      <c r="BM2515" s="5127"/>
      <c r="BN2515" s="3684"/>
      <c r="BO2515" s="5127"/>
      <c r="BP2515" s="5127"/>
      <c r="BQ2515" s="5127"/>
      <c r="BR2515" s="5127"/>
      <c r="BS2515" s="5127"/>
      <c r="BT2515" s="5127"/>
      <c r="BU2515" s="5127"/>
      <c r="BV2515" s="5127"/>
      <c r="BW2515" s="5127"/>
      <c r="BX2515" s="5127"/>
      <c r="BY2515" s="5127"/>
      <c r="BZ2515" s="5127"/>
      <c r="CA2515" s="5127"/>
      <c r="CB2515" s="5164"/>
      <c r="CC2515" s="3662"/>
      <c r="CD2515" s="3662"/>
      <c r="CE2515" s="6802"/>
      <c r="CF2515" s="6802"/>
      <c r="CG2515" s="6802"/>
      <c r="CH2515" s="6802"/>
    </row>
    <row r="2516" s="4992" customFormat="1" ht="122" spans="1:86">
      <c r="A2516" s="3662"/>
      <c r="B2516" s="1837"/>
      <c r="C2516" s="4830"/>
      <c r="D2516" s="3910"/>
      <c r="E2516" s="3910"/>
      <c r="F2516" s="3910"/>
      <c r="G2516" s="3910"/>
      <c r="H2516" s="3910"/>
      <c r="I2516" s="5065"/>
      <c r="J2516" s="5065"/>
      <c r="K2516" s="3666"/>
      <c r="L2516" s="5065"/>
      <c r="M2516" s="3666"/>
      <c r="N2516" s="3662"/>
      <c r="O2516" s="3662"/>
      <c r="P2516" s="3662"/>
      <c r="Q2516" s="3662"/>
      <c r="R2516" s="3662"/>
      <c r="S2516" s="3662"/>
      <c r="T2516" s="3662"/>
      <c r="U2516" s="3662"/>
      <c r="V2516" s="3662"/>
      <c r="W2516" s="3662"/>
      <c r="X2516" s="3662"/>
      <c r="Y2516" s="3662"/>
      <c r="Z2516" s="3667"/>
      <c r="AA2516" s="3667"/>
      <c r="AB2516" s="3662"/>
      <c r="AC2516" s="3662">
        <v>4</v>
      </c>
      <c r="AD2516" s="5319" t="s">
        <v>4271</v>
      </c>
      <c r="AE2516" s="2139">
        <v>0.3</v>
      </c>
      <c r="AF2516" s="3662">
        <f>M2513*AE2516</f>
        <v>78512.64</v>
      </c>
      <c r="AG2516" s="3708">
        <v>36000</v>
      </c>
      <c r="AH2516" s="3823" t="s">
        <v>349</v>
      </c>
      <c r="AI2516" s="3708">
        <v>46203</v>
      </c>
      <c r="AJ2516" s="3662"/>
      <c r="AK2516" s="3662"/>
      <c r="AL2516" s="3662"/>
      <c r="AM2516" s="3662"/>
      <c r="AN2516" s="3684"/>
      <c r="AO2516" s="3662"/>
      <c r="AP2516" s="3662"/>
      <c r="AQ2516" s="5127"/>
      <c r="AR2516" s="3662"/>
      <c r="AS2516" s="5053"/>
      <c r="AT2516" s="3662"/>
      <c r="AU2516" s="5127"/>
      <c r="AV2516" s="5127"/>
      <c r="AW2516" s="5127"/>
      <c r="AX2516" s="5127"/>
      <c r="AY2516" s="5127"/>
      <c r="AZ2516" s="5127"/>
      <c r="BA2516" s="5127"/>
      <c r="BB2516" s="5127"/>
      <c r="BC2516" s="3662"/>
      <c r="BD2516" s="5127"/>
      <c r="BE2516" s="5127"/>
      <c r="BF2516" s="5127"/>
      <c r="BG2516" s="5127"/>
      <c r="BH2516" s="3662"/>
      <c r="BI2516" s="5127"/>
      <c r="BJ2516" s="5127"/>
      <c r="BK2516" s="5127"/>
      <c r="BL2516" s="5127"/>
      <c r="BM2516" s="5127"/>
      <c r="BN2516" s="5164">
        <v>78512.64</v>
      </c>
      <c r="BO2516" s="5127"/>
      <c r="BP2516" s="5127"/>
      <c r="BQ2516" s="5127"/>
      <c r="BR2516" s="5127"/>
      <c r="BS2516" s="5127"/>
      <c r="BT2516" s="5127"/>
      <c r="BU2516" s="5127"/>
      <c r="BV2516" s="5127"/>
      <c r="BW2516" s="5127"/>
      <c r="BX2516" s="5127"/>
      <c r="BY2516" s="5127"/>
      <c r="BZ2516" s="5127"/>
      <c r="CA2516" s="5127"/>
      <c r="CB2516" s="5164"/>
      <c r="CC2516" s="3662"/>
      <c r="CD2516" s="3662"/>
      <c r="CE2516" s="6802"/>
      <c r="CF2516" s="6802"/>
      <c r="CG2516" s="6802"/>
      <c r="CH2516" s="6802"/>
    </row>
    <row r="2517" s="4992" customFormat="1" ht="92" spans="1:86">
      <c r="A2517" s="3662"/>
      <c r="B2517" s="1837"/>
      <c r="C2517" s="4830"/>
      <c r="D2517" s="3910"/>
      <c r="E2517" s="3910"/>
      <c r="F2517" s="3910"/>
      <c r="G2517" s="3910"/>
      <c r="H2517" s="3910"/>
      <c r="I2517" s="5065"/>
      <c r="J2517" s="5065"/>
      <c r="K2517" s="3666"/>
      <c r="L2517" s="5065"/>
      <c r="M2517" s="3666"/>
      <c r="N2517" s="3662"/>
      <c r="O2517" s="3662"/>
      <c r="P2517" s="3662"/>
      <c r="Q2517" s="3662"/>
      <c r="R2517" s="3662"/>
      <c r="S2517" s="3662"/>
      <c r="T2517" s="3662"/>
      <c r="U2517" s="3662"/>
      <c r="V2517" s="3662"/>
      <c r="W2517" s="3662"/>
      <c r="X2517" s="3662"/>
      <c r="Y2517" s="3662"/>
      <c r="Z2517" s="3667"/>
      <c r="AA2517" s="3667"/>
      <c r="AB2517" s="3662"/>
      <c r="AC2517" s="3662">
        <v>5</v>
      </c>
      <c r="AD2517" s="5319" t="s">
        <v>4272</v>
      </c>
      <c r="AE2517" s="2139">
        <v>0.05</v>
      </c>
      <c r="AF2517" s="3662">
        <f>M2513*AE2517</f>
        <v>13085.44</v>
      </c>
      <c r="AG2517" s="3708"/>
      <c r="AH2517" s="3823"/>
      <c r="AI2517" s="3708"/>
      <c r="AJ2517" s="3662"/>
      <c r="AK2517" s="3662"/>
      <c r="AL2517" s="3662"/>
      <c r="AM2517" s="3662"/>
      <c r="AN2517" s="3684"/>
      <c r="AO2517" s="3662"/>
      <c r="AP2517" s="3662"/>
      <c r="AQ2517" s="5127"/>
      <c r="AR2517" s="3662"/>
      <c r="AS2517" s="5053"/>
      <c r="AT2517" s="3662"/>
      <c r="AU2517" s="5127"/>
      <c r="AV2517" s="5127"/>
      <c r="AW2517" s="5127"/>
      <c r="AX2517" s="5127"/>
      <c r="AY2517" s="5127"/>
      <c r="AZ2517" s="5127"/>
      <c r="BA2517" s="5127"/>
      <c r="BB2517" s="5127"/>
      <c r="BC2517" s="3662"/>
      <c r="BD2517" s="5127"/>
      <c r="BE2517" s="5127"/>
      <c r="BF2517" s="5127"/>
      <c r="BG2517" s="5127"/>
      <c r="BH2517" s="3662"/>
      <c r="BI2517" s="5127"/>
      <c r="BJ2517" s="5127"/>
      <c r="BK2517" s="5127"/>
      <c r="BL2517" s="5127"/>
      <c r="BM2517" s="5127"/>
      <c r="BN2517" s="5164"/>
      <c r="BO2517" s="5127"/>
      <c r="BP2517" s="5127"/>
      <c r="BQ2517" s="5127"/>
      <c r="BR2517" s="5127"/>
      <c r="BS2517" s="5127"/>
      <c r="BT2517" s="5127"/>
      <c r="BU2517" s="5127"/>
      <c r="BV2517" s="5127"/>
      <c r="BW2517" s="5127"/>
      <c r="BX2517" s="5127"/>
      <c r="BY2517" s="5127"/>
      <c r="BZ2517" s="5127"/>
      <c r="CA2517" s="5127"/>
      <c r="CB2517" s="5164"/>
      <c r="CC2517" s="3662"/>
      <c r="CD2517" s="3662"/>
      <c r="CE2517" s="6802"/>
      <c r="CF2517" s="6802"/>
      <c r="CG2517" s="6802"/>
      <c r="CH2517" s="6802"/>
    </row>
    <row r="2518" s="4992" customFormat="1" ht="76" spans="1:86">
      <c r="A2518" s="3662"/>
      <c r="B2518" s="1837"/>
      <c r="C2518" s="4830"/>
      <c r="D2518" s="3910"/>
      <c r="E2518" s="3910"/>
      <c r="F2518" s="3910"/>
      <c r="G2518" s="3910"/>
      <c r="H2518" s="3910"/>
      <c r="I2518" s="5065"/>
      <c r="J2518" s="5065"/>
      <c r="K2518" s="3666"/>
      <c r="L2518" s="5065"/>
      <c r="M2518" s="3666"/>
      <c r="N2518" s="3662"/>
      <c r="O2518" s="3662"/>
      <c r="P2518" s="3662"/>
      <c r="Q2518" s="3662"/>
      <c r="R2518" s="3662"/>
      <c r="S2518" s="3662"/>
      <c r="T2518" s="3662"/>
      <c r="U2518" s="3662"/>
      <c r="V2518" s="3662"/>
      <c r="W2518" s="3662"/>
      <c r="X2518" s="3662"/>
      <c r="Y2518" s="3662"/>
      <c r="Z2518" s="3667"/>
      <c r="AA2518" s="3667"/>
      <c r="AB2518" s="3662"/>
      <c r="AC2518" s="3662">
        <v>6</v>
      </c>
      <c r="AD2518" s="5319" t="s">
        <v>4273</v>
      </c>
      <c r="AE2518" s="2139">
        <v>0.05</v>
      </c>
      <c r="AF2518" s="3662">
        <f>M2513*AE2518</f>
        <v>13085.44</v>
      </c>
      <c r="AG2518" s="3708"/>
      <c r="AH2518" s="3823"/>
      <c r="AI2518" s="3708"/>
      <c r="AJ2518" s="3662"/>
      <c r="AK2518" s="3662"/>
      <c r="AL2518" s="3662"/>
      <c r="AM2518" s="3662"/>
      <c r="AN2518" s="3684"/>
      <c r="AO2518" s="3662"/>
      <c r="AP2518" s="3662"/>
      <c r="AQ2518" s="5127"/>
      <c r="AR2518" s="3662"/>
      <c r="AS2518" s="5053"/>
      <c r="AT2518" s="3662"/>
      <c r="AU2518" s="5127"/>
      <c r="AV2518" s="5127"/>
      <c r="AW2518" s="5127"/>
      <c r="AX2518" s="5127"/>
      <c r="AY2518" s="5127"/>
      <c r="AZ2518" s="5127"/>
      <c r="BA2518" s="5127"/>
      <c r="BB2518" s="5127"/>
      <c r="BC2518" s="3662"/>
      <c r="BD2518" s="5127"/>
      <c r="BE2518" s="5127"/>
      <c r="BF2518" s="5127"/>
      <c r="BG2518" s="5127"/>
      <c r="BH2518" s="3662"/>
      <c r="BI2518" s="5127"/>
      <c r="BJ2518" s="5127"/>
      <c r="BK2518" s="5127"/>
      <c r="BL2518" s="5127"/>
      <c r="BM2518" s="5127"/>
      <c r="BN2518" s="5164"/>
      <c r="BO2518" s="5127"/>
      <c r="BP2518" s="5127"/>
      <c r="BQ2518" s="5127"/>
      <c r="BR2518" s="5127"/>
      <c r="BS2518" s="5127"/>
      <c r="BT2518" s="5127"/>
      <c r="BU2518" s="5127"/>
      <c r="BV2518" s="5127"/>
      <c r="BW2518" s="5127"/>
      <c r="BX2518" s="5127"/>
      <c r="BY2518" s="5127"/>
      <c r="BZ2518" s="5127"/>
      <c r="CA2518" s="5127"/>
      <c r="CB2518" s="5164"/>
      <c r="CC2518" s="3662"/>
      <c r="CD2518" s="3662"/>
      <c r="CE2518" s="6802"/>
      <c r="CF2518" s="6802"/>
      <c r="CG2518" s="6802"/>
      <c r="CH2518" s="6802"/>
    </row>
    <row r="2519" s="4992" customFormat="1" ht="92" spans="1:86">
      <c r="A2519" s="3662"/>
      <c r="B2519" s="1837"/>
      <c r="C2519" s="4830"/>
      <c r="D2519" s="3910"/>
      <c r="E2519" s="3910"/>
      <c r="F2519" s="3910"/>
      <c r="G2519" s="3910"/>
      <c r="H2519" s="3911"/>
      <c r="I2519" s="5065"/>
      <c r="J2519" s="5065"/>
      <c r="K2519" s="3667"/>
      <c r="L2519" s="5062"/>
      <c r="M2519" s="3667"/>
      <c r="N2519" s="3662"/>
      <c r="O2519" s="3662"/>
      <c r="P2519" s="3662"/>
      <c r="Q2519" s="3662"/>
      <c r="R2519" s="3662"/>
      <c r="S2519" s="3662"/>
      <c r="T2519" s="3662"/>
      <c r="U2519" s="3662"/>
      <c r="V2519" s="3662"/>
      <c r="W2519" s="3662"/>
      <c r="X2519" s="3662"/>
      <c r="Y2519" s="3662"/>
      <c r="Z2519" s="3667"/>
      <c r="AA2519" s="3667"/>
      <c r="AB2519" s="3662"/>
      <c r="AC2519" s="3662">
        <v>7</v>
      </c>
      <c r="AD2519" s="5319" t="s">
        <v>4274</v>
      </c>
      <c r="AE2519" s="2139">
        <v>0.1</v>
      </c>
      <c r="AF2519" s="3662">
        <f>M2513*AE2519</f>
        <v>26170.88</v>
      </c>
      <c r="AG2519" s="3708"/>
      <c r="AH2519" s="3823"/>
      <c r="AI2519" s="3708"/>
      <c r="AJ2519" s="3662"/>
      <c r="AK2519" s="3662"/>
      <c r="AL2519" s="3662"/>
      <c r="AM2519" s="3662"/>
      <c r="AN2519" s="3684"/>
      <c r="AO2519" s="3662"/>
      <c r="AP2519" s="3662"/>
      <c r="AQ2519" s="5127"/>
      <c r="AR2519" s="3662"/>
      <c r="AS2519" s="5053"/>
      <c r="AT2519" s="3662"/>
      <c r="AU2519" s="5127"/>
      <c r="AV2519" s="5127"/>
      <c r="AW2519" s="5127"/>
      <c r="AX2519" s="5127"/>
      <c r="AY2519" s="5127"/>
      <c r="AZ2519" s="5127"/>
      <c r="BA2519" s="5127"/>
      <c r="BB2519" s="5127"/>
      <c r="BC2519" s="3662"/>
      <c r="BD2519" s="5127"/>
      <c r="BE2519" s="5127"/>
      <c r="BF2519" s="5127"/>
      <c r="BG2519" s="5127"/>
      <c r="BH2519" s="3662"/>
      <c r="BI2519" s="5127"/>
      <c r="BJ2519" s="5127"/>
      <c r="BK2519" s="5127"/>
      <c r="BL2519" s="5127"/>
      <c r="BM2519" s="5127"/>
      <c r="BN2519" s="5164"/>
      <c r="BO2519" s="5127"/>
      <c r="BP2519" s="5127"/>
      <c r="BQ2519" s="5127"/>
      <c r="BR2519" s="5127"/>
      <c r="BS2519" s="5127"/>
      <c r="BT2519" s="5127"/>
      <c r="BU2519" s="5127"/>
      <c r="BV2519" s="5127"/>
      <c r="BW2519" s="5127"/>
      <c r="BX2519" s="5127"/>
      <c r="BY2519" s="5127"/>
      <c r="BZ2519" s="5127"/>
      <c r="CA2519" s="5127"/>
      <c r="CB2519" s="5164"/>
      <c r="CC2519" s="3662"/>
      <c r="CD2519" s="3662"/>
      <c r="CE2519" s="6802"/>
      <c r="CF2519" s="6802"/>
      <c r="CG2519" s="6802"/>
      <c r="CH2519" s="6802"/>
    </row>
    <row r="2520" s="4992" customFormat="1" ht="46" spans="1:86">
      <c r="A2520" s="3662"/>
      <c r="B2520" s="1837"/>
      <c r="C2520" s="3662">
        <v>44519</v>
      </c>
      <c r="D2520" s="3910"/>
      <c r="E2520" s="3910"/>
      <c r="F2520" s="3910"/>
      <c r="G2520" s="3910"/>
      <c r="H2520" s="5055" t="s">
        <v>4275</v>
      </c>
      <c r="I2520" s="3910"/>
      <c r="J2520" s="5065"/>
      <c r="K2520" s="5053"/>
      <c r="L2520" s="5055" t="s">
        <v>4276</v>
      </c>
      <c r="M2520" s="3662">
        <f>SUM(N2520:AA2523)</f>
        <v>1752500</v>
      </c>
      <c r="N2520" s="3662"/>
      <c r="O2520" s="3662"/>
      <c r="P2520" s="3662"/>
      <c r="Q2520" s="3662"/>
      <c r="R2520" s="3662"/>
      <c r="S2520" s="3662"/>
      <c r="T2520" s="3662"/>
      <c r="U2520" s="3662"/>
      <c r="V2520" s="3662"/>
      <c r="W2520" s="3662"/>
      <c r="X2520" s="3662"/>
      <c r="Y2520" s="3662"/>
      <c r="Z2520" s="3662"/>
      <c r="AA2520" s="3662">
        <v>1752500</v>
      </c>
      <c r="AB2520" s="3814" t="s">
        <v>126</v>
      </c>
      <c r="AC2520" s="3662">
        <v>1</v>
      </c>
      <c r="AD2520" s="5134" t="s">
        <v>4277</v>
      </c>
      <c r="AE2520" s="2139">
        <v>0.3</v>
      </c>
      <c r="AF2520" s="3662">
        <f>1752500*AE2520</f>
        <v>525750</v>
      </c>
      <c r="AG2520" s="3684">
        <f>SUM(BA2520:BN2520)</f>
        <v>525750</v>
      </c>
      <c r="AH2520" s="3814" t="s">
        <v>122</v>
      </c>
      <c r="AI2520" s="3684">
        <v>44636</v>
      </c>
      <c r="AJ2520" s="3684">
        <f>AG2520</f>
        <v>525750</v>
      </c>
      <c r="AK2520" s="3684">
        <f>AI2520</f>
        <v>44636</v>
      </c>
      <c r="AL2520" s="3684">
        <v>525750</v>
      </c>
      <c r="AM2520" s="3684">
        <v>44636</v>
      </c>
      <c r="AN2520" s="3684">
        <f>SUM(BO2520:CB2520)</f>
        <v>525750</v>
      </c>
      <c r="AO2520" s="3684">
        <v>44662</v>
      </c>
      <c r="AP2520" s="3662"/>
      <c r="AQ2520" s="5127"/>
      <c r="AR2520" s="3662"/>
      <c r="AS2520" s="5053"/>
      <c r="AT2520" s="3662"/>
      <c r="AU2520" s="5127"/>
      <c r="AV2520" s="5127"/>
      <c r="AW2520" s="5127"/>
      <c r="AX2520" s="5127"/>
      <c r="AY2520" s="5127"/>
      <c r="AZ2520" s="5127"/>
      <c r="BA2520" s="3684"/>
      <c r="BB2520" s="3684"/>
      <c r="BC2520" s="5162"/>
      <c r="BD2520" s="3684"/>
      <c r="BE2520" s="3684"/>
      <c r="BF2520" s="3684"/>
      <c r="BG2520" s="3684"/>
      <c r="BH2520" s="3684"/>
      <c r="BI2520" s="5162"/>
      <c r="BJ2520" s="3684"/>
      <c r="BK2520" s="3684"/>
      <c r="BL2520" s="3684"/>
      <c r="BM2520" s="3684"/>
      <c r="BN2520" s="3684">
        <v>525750</v>
      </c>
      <c r="BO2520" s="5162"/>
      <c r="BP2520" s="5162"/>
      <c r="BQ2520" s="5162"/>
      <c r="BR2520" s="5162"/>
      <c r="BS2520" s="5162"/>
      <c r="BT2520" s="5162"/>
      <c r="BU2520" s="5162"/>
      <c r="BV2520" s="5162"/>
      <c r="BW2520" s="5162"/>
      <c r="BX2520" s="5162"/>
      <c r="BY2520" s="5162"/>
      <c r="BZ2520" s="5162"/>
      <c r="CA2520" s="5162"/>
      <c r="CB2520" s="3684">
        <v>525750</v>
      </c>
      <c r="CC2520" s="3662"/>
      <c r="CD2520" s="3662"/>
      <c r="CE2520" s="6802"/>
      <c r="CF2520" s="6802"/>
      <c r="CG2520" s="6802"/>
      <c r="CH2520" s="6802"/>
    </row>
    <row r="2521" s="4992" customFormat="1" ht="46" spans="1:86">
      <c r="A2521" s="3662"/>
      <c r="B2521" s="1837"/>
      <c r="C2521" s="3662"/>
      <c r="D2521" s="3910"/>
      <c r="E2521" s="3910"/>
      <c r="F2521" s="3910"/>
      <c r="G2521" s="3910"/>
      <c r="H2521" s="5053"/>
      <c r="I2521" s="5065"/>
      <c r="J2521" s="5065"/>
      <c r="K2521" s="5053"/>
      <c r="L2521" s="5053"/>
      <c r="M2521" s="3662"/>
      <c r="N2521" s="3662"/>
      <c r="O2521" s="3662"/>
      <c r="P2521" s="3662"/>
      <c r="Q2521" s="3662"/>
      <c r="R2521" s="3662"/>
      <c r="S2521" s="3662"/>
      <c r="T2521" s="3662"/>
      <c r="U2521" s="3662"/>
      <c r="V2521" s="3662"/>
      <c r="W2521" s="3662"/>
      <c r="X2521" s="3662"/>
      <c r="Y2521" s="3662"/>
      <c r="Z2521" s="3662"/>
      <c r="AA2521" s="3662"/>
      <c r="AB2521" s="3662"/>
      <c r="AC2521" s="3662">
        <v>2</v>
      </c>
      <c r="AD2521" s="5134" t="s">
        <v>4278</v>
      </c>
      <c r="AE2521" s="2139">
        <v>0.3</v>
      </c>
      <c r="AF2521" s="3662">
        <f>1752500*AE2521</f>
        <v>525750</v>
      </c>
      <c r="AG2521" s="3684">
        <f>SUM(BA2521:BN2521)</f>
        <v>525750</v>
      </c>
      <c r="AH2521" s="3814" t="s">
        <v>122</v>
      </c>
      <c r="AI2521" s="3684">
        <v>44636</v>
      </c>
      <c r="AJ2521" s="3684">
        <f>AG2521</f>
        <v>525750</v>
      </c>
      <c r="AK2521" s="3684">
        <f>AI2521</f>
        <v>44636</v>
      </c>
      <c r="AL2521" s="3684">
        <v>525750</v>
      </c>
      <c r="AM2521" s="3684">
        <v>44636</v>
      </c>
      <c r="AN2521" s="3684">
        <f>SUM(BO2521:CB2521)</f>
        <v>525750</v>
      </c>
      <c r="AO2521" s="3684">
        <v>44662</v>
      </c>
      <c r="AP2521" s="3662"/>
      <c r="AQ2521" s="5127"/>
      <c r="AR2521" s="3662"/>
      <c r="AS2521" s="5053"/>
      <c r="AT2521" s="3662"/>
      <c r="AU2521" s="5127"/>
      <c r="AV2521" s="5127"/>
      <c r="AW2521" s="5127"/>
      <c r="AX2521" s="5127"/>
      <c r="AY2521" s="5127"/>
      <c r="AZ2521" s="5127"/>
      <c r="BA2521" s="3684"/>
      <c r="BB2521" s="3684"/>
      <c r="BC2521" s="5162"/>
      <c r="BD2521" s="3684"/>
      <c r="BE2521" s="3684"/>
      <c r="BF2521" s="3684"/>
      <c r="BG2521" s="3684"/>
      <c r="BH2521" s="3684"/>
      <c r="BI2521" s="5162"/>
      <c r="BJ2521" s="3684"/>
      <c r="BK2521" s="3684"/>
      <c r="BL2521" s="3684"/>
      <c r="BM2521" s="3684"/>
      <c r="BN2521" s="3684">
        <v>525750</v>
      </c>
      <c r="BO2521" s="5162"/>
      <c r="BP2521" s="5162"/>
      <c r="BQ2521" s="5162"/>
      <c r="BR2521" s="5162"/>
      <c r="BS2521" s="5162"/>
      <c r="BT2521" s="5162"/>
      <c r="BU2521" s="5162"/>
      <c r="BV2521" s="5162"/>
      <c r="BW2521" s="5162"/>
      <c r="BX2521" s="5162"/>
      <c r="BY2521" s="5162"/>
      <c r="BZ2521" s="5162"/>
      <c r="CA2521" s="5162"/>
      <c r="CB2521" s="3684">
        <v>525750</v>
      </c>
      <c r="CC2521" s="3662"/>
      <c r="CD2521" s="3662"/>
      <c r="CE2521" s="6802"/>
      <c r="CF2521" s="6802"/>
      <c r="CG2521" s="6802"/>
      <c r="CH2521" s="6802"/>
    </row>
    <row r="2522" s="4992" customFormat="1" ht="46" spans="1:86">
      <c r="A2522" s="3662"/>
      <c r="B2522" s="1837"/>
      <c r="C2522" s="3662"/>
      <c r="D2522" s="3910"/>
      <c r="E2522" s="3910"/>
      <c r="F2522" s="3910"/>
      <c r="G2522" s="3910"/>
      <c r="H2522" s="5053"/>
      <c r="I2522" s="5065"/>
      <c r="J2522" s="5065"/>
      <c r="K2522" s="5053"/>
      <c r="L2522" s="5053"/>
      <c r="M2522" s="3662"/>
      <c r="N2522" s="3662"/>
      <c r="O2522" s="3662"/>
      <c r="P2522" s="3662"/>
      <c r="Q2522" s="3662"/>
      <c r="R2522" s="3662"/>
      <c r="S2522" s="3662"/>
      <c r="T2522" s="3662"/>
      <c r="U2522" s="3662"/>
      <c r="V2522" s="3662"/>
      <c r="W2522" s="3662"/>
      <c r="X2522" s="3662"/>
      <c r="Y2522" s="3662"/>
      <c r="Z2522" s="3662"/>
      <c r="AA2522" s="3662"/>
      <c r="AB2522" s="3662"/>
      <c r="AC2522" s="3662">
        <v>3</v>
      </c>
      <c r="AD2522" s="5134" t="s">
        <v>4279</v>
      </c>
      <c r="AE2522" s="2139">
        <v>0.3</v>
      </c>
      <c r="AF2522" s="3662">
        <f>1752500*AE2522</f>
        <v>525750</v>
      </c>
      <c r="AG2522" s="3684">
        <f>SUM(BA2522:BN2522)</f>
        <v>525750</v>
      </c>
      <c r="AH2522" s="3814" t="s">
        <v>122</v>
      </c>
      <c r="AI2522" s="3684">
        <v>44636</v>
      </c>
      <c r="AJ2522" s="3684">
        <f>AG2522</f>
        <v>525750</v>
      </c>
      <c r="AK2522" s="3684">
        <f>AI2522</f>
        <v>44636</v>
      </c>
      <c r="AL2522" s="3684">
        <v>525750</v>
      </c>
      <c r="AM2522" s="3684">
        <v>44636</v>
      </c>
      <c r="AN2522" s="3684">
        <f>SUM(BO2522:CB2522)</f>
        <v>525750</v>
      </c>
      <c r="AO2522" s="3684">
        <v>44662</v>
      </c>
      <c r="AP2522" s="3662"/>
      <c r="AQ2522" s="5127"/>
      <c r="AR2522" s="3662"/>
      <c r="AS2522" s="5053"/>
      <c r="AT2522" s="3662"/>
      <c r="AU2522" s="5127"/>
      <c r="AV2522" s="5127"/>
      <c r="AW2522" s="5127"/>
      <c r="AX2522" s="5127"/>
      <c r="AY2522" s="5127"/>
      <c r="AZ2522" s="5127"/>
      <c r="BA2522" s="3684"/>
      <c r="BB2522" s="3684"/>
      <c r="BC2522" s="5162"/>
      <c r="BD2522" s="3684"/>
      <c r="BE2522" s="3684"/>
      <c r="BF2522" s="3684"/>
      <c r="BG2522" s="3684"/>
      <c r="BH2522" s="3684"/>
      <c r="BI2522" s="5162"/>
      <c r="BJ2522" s="3684"/>
      <c r="BK2522" s="3684"/>
      <c r="BL2522" s="3684"/>
      <c r="BM2522" s="3684"/>
      <c r="BN2522" s="3684">
        <v>525750</v>
      </c>
      <c r="BO2522" s="5162"/>
      <c r="BP2522" s="5162"/>
      <c r="BQ2522" s="5162"/>
      <c r="BR2522" s="5162"/>
      <c r="BS2522" s="5162"/>
      <c r="BT2522" s="5162"/>
      <c r="BU2522" s="5162"/>
      <c r="BV2522" s="5162"/>
      <c r="BW2522" s="5162"/>
      <c r="BX2522" s="5162"/>
      <c r="BY2522" s="5162"/>
      <c r="BZ2522" s="5162"/>
      <c r="CA2522" s="5162"/>
      <c r="CB2522" s="3684">
        <v>525750</v>
      </c>
      <c r="CC2522" s="3662"/>
      <c r="CD2522" s="3662"/>
      <c r="CE2522" s="6802"/>
      <c r="CF2522" s="6802"/>
      <c r="CG2522" s="6802"/>
      <c r="CH2522" s="6802"/>
    </row>
    <row r="2523" s="4992" customFormat="1" ht="76" spans="1:86">
      <c r="A2523" s="3662"/>
      <c r="B2523" s="1837"/>
      <c r="C2523" s="3662"/>
      <c r="D2523" s="3910"/>
      <c r="E2523" s="3910"/>
      <c r="F2523" s="3910"/>
      <c r="G2523" s="3910"/>
      <c r="H2523" s="5053"/>
      <c r="I2523" s="5065"/>
      <c r="J2523" s="5065"/>
      <c r="K2523" s="5053"/>
      <c r="L2523" s="5053"/>
      <c r="M2523" s="3662"/>
      <c r="N2523" s="3662"/>
      <c r="O2523" s="3662"/>
      <c r="P2523" s="3662"/>
      <c r="Q2523" s="3662"/>
      <c r="R2523" s="3662"/>
      <c r="S2523" s="3662"/>
      <c r="T2523" s="3662"/>
      <c r="U2523" s="3662"/>
      <c r="V2523" s="3662"/>
      <c r="W2523" s="3662"/>
      <c r="X2523" s="3662"/>
      <c r="Y2523" s="3662"/>
      <c r="Z2523" s="3662"/>
      <c r="AA2523" s="3662"/>
      <c r="AB2523" s="3662"/>
      <c r="AC2523" s="3662">
        <v>4</v>
      </c>
      <c r="AD2523" s="5134" t="s">
        <v>4265</v>
      </c>
      <c r="AE2523" s="2139">
        <v>0.1</v>
      </c>
      <c r="AF2523" s="3662">
        <f>1752500*AE2523</f>
        <v>175250</v>
      </c>
      <c r="AG2523" s="5162">
        <f t="shared" ref="AG2523:AG2537" si="533">SUM(BA2523:BN2523)</f>
        <v>103250</v>
      </c>
      <c r="AH2523" s="3814" t="s">
        <v>122</v>
      </c>
      <c r="AI2523" s="3684">
        <v>45597</v>
      </c>
      <c r="AJ2523" s="3684">
        <v>103250</v>
      </c>
      <c r="AK2523" s="3684">
        <v>45597</v>
      </c>
      <c r="AL2523" s="5162">
        <v>103250</v>
      </c>
      <c r="AM2523" s="3684">
        <v>45603</v>
      </c>
      <c r="AN2523" s="3684">
        <f t="shared" ref="AN2523:AN2537" si="534">SUM(BO2523:CB2523)</f>
        <v>103250</v>
      </c>
      <c r="AO2523" s="3684">
        <v>45650</v>
      </c>
      <c r="AP2523" s="3662"/>
      <c r="AQ2523" s="7155" t="s">
        <v>4280</v>
      </c>
      <c r="AR2523" s="3662"/>
      <c r="AS2523" s="5053"/>
      <c r="AT2523" s="3662"/>
      <c r="AU2523" s="5127"/>
      <c r="AV2523" s="5127"/>
      <c r="AW2523" s="5127"/>
      <c r="AX2523" s="5127"/>
      <c r="AY2523" s="5127"/>
      <c r="AZ2523" s="5127"/>
      <c r="BA2523" s="5127"/>
      <c r="BB2523" s="5127"/>
      <c r="BC2523" s="3662"/>
      <c r="BD2523" s="5127"/>
      <c r="BE2523" s="5127"/>
      <c r="BF2523" s="5127"/>
      <c r="BG2523" s="5127"/>
      <c r="BH2523" s="3662"/>
      <c r="BI2523" s="5127"/>
      <c r="BJ2523" s="5127"/>
      <c r="BK2523" s="5127"/>
      <c r="BL2523" s="5127"/>
      <c r="BM2523" s="5127"/>
      <c r="BN2523" s="5133">
        <f>175250-72000</f>
        <v>103250</v>
      </c>
      <c r="BO2523" s="5127"/>
      <c r="BP2523" s="5127"/>
      <c r="BQ2523" s="5127"/>
      <c r="BR2523" s="5127"/>
      <c r="BS2523" s="5127"/>
      <c r="BT2523" s="5127"/>
      <c r="BU2523" s="5127"/>
      <c r="BV2523" s="5127"/>
      <c r="BW2523" s="5127"/>
      <c r="BX2523" s="5127"/>
      <c r="BY2523" s="5127"/>
      <c r="BZ2523" s="5127"/>
      <c r="CA2523" s="5127"/>
      <c r="CB2523" s="5517">
        <v>103250</v>
      </c>
      <c r="CC2523" s="3662"/>
      <c r="CD2523" s="3662"/>
      <c r="CE2523" s="6802"/>
      <c r="CF2523" s="6802"/>
      <c r="CG2523" s="6802"/>
      <c r="CH2523" s="6802"/>
    </row>
    <row r="2524" s="4992" customFormat="1" ht="31" spans="1:86">
      <c r="A2524" s="3662"/>
      <c r="B2524" s="1837"/>
      <c r="C2524" s="3662">
        <v>44519</v>
      </c>
      <c r="D2524" s="3910"/>
      <c r="E2524" s="3910"/>
      <c r="F2524" s="3910"/>
      <c r="G2524" s="3910"/>
      <c r="H2524" s="3814" t="s">
        <v>193</v>
      </c>
      <c r="I2524" s="1837"/>
      <c r="J2524" s="5065"/>
      <c r="K2524" s="3662"/>
      <c r="L2524" s="5055" t="s">
        <v>4281</v>
      </c>
      <c r="M2524" s="3662">
        <f>SUM(N2524:AA2527)</f>
        <v>1211875.48</v>
      </c>
      <c r="N2524" s="3662"/>
      <c r="O2524" s="3662"/>
      <c r="P2524" s="3662"/>
      <c r="Q2524" s="3662"/>
      <c r="R2524" s="3662"/>
      <c r="S2524" s="3662"/>
      <c r="T2524" s="3662"/>
      <c r="U2524" s="3662"/>
      <c r="V2524" s="3662">
        <v>1211875.48</v>
      </c>
      <c r="W2524" s="3662"/>
      <c r="X2524" s="3662"/>
      <c r="Y2524" s="3662"/>
      <c r="Z2524" s="3662"/>
      <c r="AA2524" s="3662"/>
      <c r="AB2524" s="3814" t="s">
        <v>171</v>
      </c>
      <c r="AC2524" s="3662">
        <v>1</v>
      </c>
      <c r="AD2524" s="5134" t="s">
        <v>4221</v>
      </c>
      <c r="AE2524" s="2139">
        <v>0.2</v>
      </c>
      <c r="AF2524" s="3662">
        <f>1211875.48*AE2524</f>
        <v>242375.096</v>
      </c>
      <c r="AG2524" s="3684">
        <f t="shared" si="533"/>
        <v>242375.1</v>
      </c>
      <c r="AH2524" s="3814" t="s">
        <v>122</v>
      </c>
      <c r="AI2524" s="3684">
        <v>44636</v>
      </c>
      <c r="AJ2524" s="3684">
        <f>AG2524</f>
        <v>242375.1</v>
      </c>
      <c r="AK2524" s="3684">
        <f>AI2524</f>
        <v>44636</v>
      </c>
      <c r="AL2524" s="3684">
        <v>242375.1</v>
      </c>
      <c r="AM2524" s="3684">
        <v>44636</v>
      </c>
      <c r="AN2524" s="3684">
        <f t="shared" si="534"/>
        <v>242375.1</v>
      </c>
      <c r="AO2524" s="3684">
        <v>44662</v>
      </c>
      <c r="AP2524" s="3662"/>
      <c r="AQ2524" s="5127"/>
      <c r="AR2524" s="3662"/>
      <c r="AS2524" s="5053"/>
      <c r="AT2524" s="3662"/>
      <c r="AU2524" s="5127"/>
      <c r="AV2524" s="5127"/>
      <c r="AW2524" s="5127"/>
      <c r="AX2524" s="5127"/>
      <c r="AY2524" s="5127"/>
      <c r="AZ2524" s="5127"/>
      <c r="BA2524" s="3684"/>
      <c r="BB2524" s="3684"/>
      <c r="BC2524" s="5162"/>
      <c r="BD2524" s="3684"/>
      <c r="BE2524" s="3684"/>
      <c r="BF2524" s="3684"/>
      <c r="BG2524" s="3684"/>
      <c r="BH2524" s="3684"/>
      <c r="BI2524" s="3684">
        <v>242375.1</v>
      </c>
      <c r="BJ2524" s="3684"/>
      <c r="BK2524" s="3684"/>
      <c r="BL2524" s="3684"/>
      <c r="BM2524" s="3684"/>
      <c r="BN2524" s="5162"/>
      <c r="BO2524" s="5162"/>
      <c r="BP2524" s="5162"/>
      <c r="BQ2524" s="5162"/>
      <c r="BR2524" s="5162"/>
      <c r="BS2524" s="5162"/>
      <c r="BT2524" s="5162"/>
      <c r="BU2524" s="5162"/>
      <c r="BV2524" s="3684"/>
      <c r="BW2524" s="3684">
        <v>242375.1</v>
      </c>
      <c r="BX2524" s="5162"/>
      <c r="BY2524" s="5162"/>
      <c r="BZ2524" s="5162"/>
      <c r="CA2524" s="5162"/>
      <c r="CB2524" s="5162"/>
      <c r="CC2524" s="3662"/>
      <c r="CD2524" s="3662"/>
      <c r="CE2524" s="6802"/>
      <c r="CF2524" s="6802"/>
      <c r="CG2524" s="6802"/>
      <c r="CH2524" s="6802"/>
    </row>
    <row r="2525" s="4992" customFormat="1" ht="46" spans="1:86">
      <c r="A2525" s="3662"/>
      <c r="B2525" s="1837"/>
      <c r="C2525" s="3662"/>
      <c r="D2525" s="3910"/>
      <c r="E2525" s="3910"/>
      <c r="F2525" s="3910"/>
      <c r="G2525" s="3910"/>
      <c r="H2525" s="3662"/>
      <c r="I2525" s="3666"/>
      <c r="J2525" s="5065"/>
      <c r="K2525" s="3662"/>
      <c r="L2525" s="5053"/>
      <c r="M2525" s="3662"/>
      <c r="N2525" s="3662"/>
      <c r="O2525" s="3662"/>
      <c r="P2525" s="3662"/>
      <c r="Q2525" s="3662"/>
      <c r="R2525" s="3662"/>
      <c r="S2525" s="3662"/>
      <c r="T2525" s="3662"/>
      <c r="U2525" s="3662"/>
      <c r="V2525" s="3662"/>
      <c r="W2525" s="3662"/>
      <c r="X2525" s="3662"/>
      <c r="Y2525" s="3662"/>
      <c r="Z2525" s="3662"/>
      <c r="AA2525" s="3662"/>
      <c r="AB2525" s="3662"/>
      <c r="AC2525" s="3662">
        <v>2</v>
      </c>
      <c r="AD2525" s="5134" t="s">
        <v>4282</v>
      </c>
      <c r="AE2525" s="2139">
        <v>0.3</v>
      </c>
      <c r="AF2525" s="3662">
        <f>1211875.48*AE2525</f>
        <v>363562.644</v>
      </c>
      <c r="AG2525" s="3684">
        <f t="shared" si="533"/>
        <v>363562.64</v>
      </c>
      <c r="AH2525" s="3814" t="s">
        <v>122</v>
      </c>
      <c r="AI2525" s="3684">
        <v>44665</v>
      </c>
      <c r="AJ2525" s="3684">
        <v>363562.64</v>
      </c>
      <c r="AK2525" s="3684">
        <v>44665</v>
      </c>
      <c r="AL2525" s="3684">
        <v>363562.64</v>
      </c>
      <c r="AM2525" s="3662">
        <v>44666</v>
      </c>
      <c r="AN2525" s="3684">
        <f t="shared" si="534"/>
        <v>363562.64</v>
      </c>
      <c r="AO2525" s="3684">
        <v>44676</v>
      </c>
      <c r="AP2525" s="3662"/>
      <c r="AQ2525" s="5127"/>
      <c r="AR2525" s="3662"/>
      <c r="AS2525" s="5053"/>
      <c r="AT2525" s="3662"/>
      <c r="AU2525" s="5127"/>
      <c r="AV2525" s="5127"/>
      <c r="AW2525" s="5127"/>
      <c r="AX2525" s="5127"/>
      <c r="AY2525" s="5127"/>
      <c r="AZ2525" s="5127"/>
      <c r="BA2525" s="5148"/>
      <c r="BB2525" s="5148"/>
      <c r="BC2525" s="5162"/>
      <c r="BD2525" s="5148"/>
      <c r="BE2525" s="5148"/>
      <c r="BF2525" s="5148"/>
      <c r="BG2525" s="5148"/>
      <c r="BH2525" s="3684"/>
      <c r="BI2525" s="5148">
        <v>363562.64</v>
      </c>
      <c r="BJ2525" s="5148"/>
      <c r="BK2525" s="5148"/>
      <c r="BL2525" s="5148"/>
      <c r="BM2525" s="5148"/>
      <c r="BN2525" s="5517"/>
      <c r="BO2525" s="5517"/>
      <c r="BP2525" s="5517"/>
      <c r="BQ2525" s="5517"/>
      <c r="BR2525" s="5517"/>
      <c r="BS2525" s="5517"/>
      <c r="BT2525" s="5517"/>
      <c r="BU2525" s="5517"/>
      <c r="BV2525" s="5148"/>
      <c r="BW2525" s="5148">
        <v>363562.64</v>
      </c>
      <c r="BX2525" s="5517"/>
      <c r="BY2525" s="5517"/>
      <c r="BZ2525" s="5517"/>
      <c r="CA2525" s="5517"/>
      <c r="CB2525" s="5517"/>
      <c r="CC2525" s="3662"/>
      <c r="CD2525" s="3662"/>
      <c r="CE2525" s="6802"/>
      <c r="CF2525" s="6802"/>
      <c r="CG2525" s="6802"/>
      <c r="CH2525" s="6802"/>
    </row>
    <row r="2526" s="4992" customFormat="1" ht="46" spans="1:86">
      <c r="A2526" s="3662"/>
      <c r="B2526" s="1837"/>
      <c r="C2526" s="3662"/>
      <c r="D2526" s="3910"/>
      <c r="E2526" s="3910"/>
      <c r="F2526" s="3910"/>
      <c r="G2526" s="3910"/>
      <c r="H2526" s="3662"/>
      <c r="I2526" s="3666"/>
      <c r="J2526" s="5065"/>
      <c r="K2526" s="3662"/>
      <c r="L2526" s="5053"/>
      <c r="M2526" s="3662"/>
      <c r="N2526" s="3662"/>
      <c r="O2526" s="3662"/>
      <c r="P2526" s="3662"/>
      <c r="Q2526" s="3662"/>
      <c r="R2526" s="3662"/>
      <c r="S2526" s="3662"/>
      <c r="T2526" s="3662"/>
      <c r="U2526" s="3662"/>
      <c r="V2526" s="3662"/>
      <c r="W2526" s="3662"/>
      <c r="X2526" s="3662"/>
      <c r="Y2526" s="3662"/>
      <c r="Z2526" s="3662"/>
      <c r="AA2526" s="3662"/>
      <c r="AB2526" s="3662"/>
      <c r="AC2526" s="3662">
        <v>3</v>
      </c>
      <c r="AD2526" s="5134" t="s">
        <v>4283</v>
      </c>
      <c r="AE2526" s="2139">
        <v>0.4</v>
      </c>
      <c r="AF2526" s="5522">
        <f>1211875.48*AE2526</f>
        <v>484750.192</v>
      </c>
      <c r="AG2526" s="3684">
        <f t="shared" si="533"/>
        <v>484750.19</v>
      </c>
      <c r="AH2526" s="3814" t="s">
        <v>122</v>
      </c>
      <c r="AI2526" s="3684">
        <v>44915</v>
      </c>
      <c r="AJ2526" s="3662">
        <v>484750.19</v>
      </c>
      <c r="AK2526" s="3684">
        <v>44915</v>
      </c>
      <c r="AL2526" s="5522">
        <v>484750.19</v>
      </c>
      <c r="AM2526" s="3684">
        <v>45603</v>
      </c>
      <c r="AN2526" s="3684">
        <f t="shared" si="534"/>
        <v>484750.19</v>
      </c>
      <c r="AO2526" s="3684">
        <v>45650</v>
      </c>
      <c r="AP2526" s="3662"/>
      <c r="AQ2526" s="5127"/>
      <c r="AR2526" s="3662"/>
      <c r="AS2526" s="5053"/>
      <c r="AT2526" s="3662"/>
      <c r="AU2526" s="5127"/>
      <c r="AV2526" s="5127"/>
      <c r="AW2526" s="5127"/>
      <c r="AX2526" s="5127"/>
      <c r="AY2526" s="5127"/>
      <c r="AZ2526" s="5127"/>
      <c r="BA2526" s="5148"/>
      <c r="BB2526" s="5148"/>
      <c r="BC2526" s="3684"/>
      <c r="BD2526" s="5148"/>
      <c r="BE2526" s="5148"/>
      <c r="BF2526" s="5148"/>
      <c r="BG2526" s="5148"/>
      <c r="BH2526" s="3684"/>
      <c r="BI2526" s="3684">
        <v>484750.19</v>
      </c>
      <c r="BJ2526" s="3684"/>
      <c r="BK2526" s="3684"/>
      <c r="BL2526" s="3684"/>
      <c r="BM2526" s="3684"/>
      <c r="BN2526" s="3684"/>
      <c r="BO2526" s="5127"/>
      <c r="BP2526" s="5127"/>
      <c r="BQ2526" s="5127"/>
      <c r="BR2526" s="5127"/>
      <c r="BS2526" s="5127"/>
      <c r="BT2526" s="5127"/>
      <c r="BU2526" s="5127"/>
      <c r="BV2526" s="5127"/>
      <c r="BW2526" s="5148">
        <v>484750.19</v>
      </c>
      <c r="BX2526" s="5127"/>
      <c r="BY2526" s="5127"/>
      <c r="BZ2526" s="5127"/>
      <c r="CA2526" s="5127"/>
      <c r="CB2526" s="5517"/>
      <c r="CC2526" s="3662"/>
      <c r="CD2526" s="3662"/>
      <c r="CE2526" s="6802"/>
      <c r="CF2526" s="6802"/>
      <c r="CG2526" s="6802"/>
      <c r="CH2526" s="6802"/>
    </row>
    <row r="2527" s="4992" customFormat="1" ht="76" spans="1:86">
      <c r="A2527" s="3662"/>
      <c r="B2527" s="1837"/>
      <c r="C2527" s="3662"/>
      <c r="D2527" s="3910"/>
      <c r="E2527" s="3910"/>
      <c r="F2527" s="3910"/>
      <c r="G2527" s="3910"/>
      <c r="H2527" s="3662"/>
      <c r="I2527" s="3666"/>
      <c r="J2527" s="5065"/>
      <c r="K2527" s="3662"/>
      <c r="L2527" s="5053"/>
      <c r="M2527" s="3662"/>
      <c r="N2527" s="3662"/>
      <c r="O2527" s="3662"/>
      <c r="P2527" s="3662"/>
      <c r="Q2527" s="3662"/>
      <c r="R2527" s="3662"/>
      <c r="S2527" s="3662"/>
      <c r="T2527" s="3662"/>
      <c r="U2527" s="3662"/>
      <c r="V2527" s="3662"/>
      <c r="W2527" s="3662"/>
      <c r="X2527" s="3662"/>
      <c r="Y2527" s="3662"/>
      <c r="Z2527" s="3662"/>
      <c r="AA2527" s="3662"/>
      <c r="AB2527" s="3662"/>
      <c r="AC2527" s="3662">
        <v>4</v>
      </c>
      <c r="AD2527" s="5134" t="s">
        <v>4284</v>
      </c>
      <c r="AE2527" s="2139">
        <v>0.1</v>
      </c>
      <c r="AF2527" s="3662">
        <f>1211875.48*AE2527</f>
        <v>121187.548</v>
      </c>
      <c r="AG2527" s="3684">
        <f t="shared" si="533"/>
        <v>121187.55</v>
      </c>
      <c r="AH2527" s="3814" t="s">
        <v>122</v>
      </c>
      <c r="AI2527" s="3684">
        <v>45275</v>
      </c>
      <c r="AJ2527" s="3662"/>
      <c r="AK2527" s="3663"/>
      <c r="AL2527" s="3662"/>
      <c r="AM2527" s="3662"/>
      <c r="AN2527" s="3708"/>
      <c r="AO2527" s="3708"/>
      <c r="AP2527" s="3662"/>
      <c r="AQ2527" s="5127"/>
      <c r="AR2527" s="3662"/>
      <c r="AS2527" s="5053"/>
      <c r="AT2527" s="3662"/>
      <c r="AU2527" s="5127"/>
      <c r="AV2527" s="5127"/>
      <c r="AW2527" s="5127"/>
      <c r="AX2527" s="5127"/>
      <c r="AY2527" s="5127"/>
      <c r="AZ2527" s="5127"/>
      <c r="BA2527" s="5127"/>
      <c r="BB2527" s="5127"/>
      <c r="BC2527" s="3662"/>
      <c r="BD2527" s="5127"/>
      <c r="BE2527" s="5127"/>
      <c r="BF2527" s="5127"/>
      <c r="BG2527" s="5127"/>
      <c r="BH2527" s="3662"/>
      <c r="BI2527" s="5148">
        <v>121187.55</v>
      </c>
      <c r="BJ2527" s="5127"/>
      <c r="BK2527" s="5127"/>
      <c r="BL2527" s="5127"/>
      <c r="BM2527" s="5127"/>
      <c r="BN2527" s="5127"/>
      <c r="BO2527" s="5127"/>
      <c r="BP2527" s="5127"/>
      <c r="BQ2527" s="5127"/>
      <c r="BR2527" s="5127"/>
      <c r="BS2527" s="5127"/>
      <c r="BT2527" s="5127"/>
      <c r="BU2527" s="5127"/>
      <c r="BV2527" s="5127"/>
      <c r="BW2527" s="5127"/>
      <c r="BX2527" s="5127"/>
      <c r="BY2527" s="5127"/>
      <c r="BZ2527" s="5127"/>
      <c r="CA2527" s="5127"/>
      <c r="CB2527" s="5164">
        <v>121187.55</v>
      </c>
      <c r="CC2527" s="3662"/>
      <c r="CD2527" s="3662"/>
      <c r="CE2527" s="6802"/>
      <c r="CF2527" s="6802"/>
      <c r="CG2527" s="6802"/>
      <c r="CH2527" s="6802"/>
    </row>
    <row r="2528" s="4992" customFormat="1" ht="32.25" customHeight="1" spans="1:86">
      <c r="A2528" s="3662"/>
      <c r="B2528" s="1837"/>
      <c r="C2528" s="3662">
        <v>44519</v>
      </c>
      <c r="D2528" s="3910"/>
      <c r="E2528" s="3910"/>
      <c r="F2528" s="3910"/>
      <c r="G2528" s="3910"/>
      <c r="H2528" s="3814" t="s">
        <v>31</v>
      </c>
      <c r="I2528" s="1837"/>
      <c r="J2528" s="5065"/>
      <c r="K2528" s="3662"/>
      <c r="L2528" s="5055" t="s">
        <v>4285</v>
      </c>
      <c r="M2528" s="3662">
        <f>SUM(N2528:AA2530)</f>
        <v>3201180.5</v>
      </c>
      <c r="N2528" s="3662"/>
      <c r="O2528" s="3662"/>
      <c r="P2528" s="3662">
        <f>212102.31-2121.02-9968.81</f>
        <v>200012.48</v>
      </c>
      <c r="Q2528" s="3662"/>
      <c r="R2528" s="3662"/>
      <c r="S2528" s="3662"/>
      <c r="T2528" s="3662"/>
      <c r="U2528" s="3662">
        <f>2121135.72+9968.81</f>
        <v>2131104.53</v>
      </c>
      <c r="V2528" s="3662">
        <v>66258.29</v>
      </c>
      <c r="W2528" s="3662"/>
      <c r="X2528" s="3662"/>
      <c r="Y2528" s="3662"/>
      <c r="Z2528" s="3662"/>
      <c r="AA2528" s="3662">
        <f>801684.18+2121.02</f>
        <v>803805.2</v>
      </c>
      <c r="AB2528" s="3814" t="s">
        <v>171</v>
      </c>
      <c r="AC2528" s="3662">
        <v>1</v>
      </c>
      <c r="AD2528" s="5134" t="s">
        <v>2784</v>
      </c>
      <c r="AE2528" s="2139">
        <v>0.2</v>
      </c>
      <c r="AF2528" s="3662">
        <f>3201180.5*AE2528</f>
        <v>640236.1</v>
      </c>
      <c r="AG2528" s="3684">
        <f>SUM(BA2528:BN2529)</f>
        <v>1920708.3</v>
      </c>
      <c r="AH2528" s="5055" t="s">
        <v>122</v>
      </c>
      <c r="AI2528" s="3814">
        <v>44636</v>
      </c>
      <c r="AJ2528" s="4200">
        <f>AG2528</f>
        <v>1920708.3</v>
      </c>
      <c r="AK2528" s="4200">
        <f>AI2528</f>
        <v>44636</v>
      </c>
      <c r="AL2528" s="4200">
        <v>1920708.3</v>
      </c>
      <c r="AM2528" s="3815">
        <v>44636</v>
      </c>
      <c r="AN2528" s="3684">
        <f t="shared" si="534"/>
        <v>1920708.3</v>
      </c>
      <c r="AO2528" s="3684">
        <v>44662</v>
      </c>
      <c r="AP2528" s="3662"/>
      <c r="AQ2528" s="3662"/>
      <c r="AR2528" s="3662"/>
      <c r="AS2528" s="3662"/>
      <c r="AT2528" s="3662"/>
      <c r="AU2528" s="5127"/>
      <c r="AV2528" s="5127"/>
      <c r="AW2528" s="5127"/>
      <c r="AX2528" s="5127"/>
      <c r="AY2528" s="5127"/>
      <c r="AZ2528" s="5127"/>
      <c r="BA2528" s="3684"/>
      <c r="BB2528" s="3684"/>
      <c r="BC2528" s="3684">
        <v>127261.38</v>
      </c>
      <c r="BD2528" s="3684"/>
      <c r="BE2528" s="3684"/>
      <c r="BF2528" s="3684"/>
      <c r="BG2528" s="3684"/>
      <c r="BH2528" s="3684">
        <v>1272681.43</v>
      </c>
      <c r="BI2528" s="3684">
        <v>39754.98</v>
      </c>
      <c r="BJ2528" s="3684"/>
      <c r="BK2528" s="3684"/>
      <c r="BL2528" s="3684"/>
      <c r="BM2528" s="3684"/>
      <c r="BN2528" s="3684">
        <v>481010.51</v>
      </c>
      <c r="BO2528" s="3684"/>
      <c r="BP2528" s="3684"/>
      <c r="BQ2528" s="3684">
        <v>127261.38</v>
      </c>
      <c r="BR2528" s="5162"/>
      <c r="BS2528" s="5162"/>
      <c r="BT2528" s="5162"/>
      <c r="BU2528" s="5162"/>
      <c r="BV2528" s="3684">
        <v>1272681.43</v>
      </c>
      <c r="BW2528" s="3684">
        <v>39754.98</v>
      </c>
      <c r="BX2528" s="5162"/>
      <c r="BY2528" s="5162"/>
      <c r="BZ2528" s="5162"/>
      <c r="CA2528" s="5162"/>
      <c r="CB2528" s="3684">
        <v>481010.51</v>
      </c>
      <c r="CC2528" s="3708"/>
      <c r="CD2528" s="3708"/>
      <c r="CE2528" s="6802"/>
      <c r="CF2528" s="6802"/>
      <c r="CG2528" s="6802"/>
      <c r="CH2528" s="6802"/>
    </row>
    <row r="2529" s="4992" customFormat="1" ht="76" spans="1:86">
      <c r="A2529" s="3662"/>
      <c r="B2529" s="1837"/>
      <c r="C2529" s="3662"/>
      <c r="D2529" s="3910"/>
      <c r="E2529" s="3910"/>
      <c r="F2529" s="3910"/>
      <c r="G2529" s="3910"/>
      <c r="H2529" s="3662"/>
      <c r="I2529" s="3666"/>
      <c r="J2529" s="5065"/>
      <c r="K2529" s="3662"/>
      <c r="L2529" s="5053"/>
      <c r="M2529" s="3662"/>
      <c r="N2529" s="3662"/>
      <c r="O2529" s="3662"/>
      <c r="P2529" s="3662"/>
      <c r="Q2529" s="3662"/>
      <c r="R2529" s="3662"/>
      <c r="S2529" s="3662"/>
      <c r="T2529" s="3662"/>
      <c r="U2529" s="3662"/>
      <c r="V2529" s="3662"/>
      <c r="W2529" s="3662"/>
      <c r="X2529" s="3662"/>
      <c r="Y2529" s="3662"/>
      <c r="Z2529" s="3662"/>
      <c r="AA2529" s="3662"/>
      <c r="AB2529" s="3662"/>
      <c r="AC2529" s="3662">
        <v>2</v>
      </c>
      <c r="AD2529" s="5134" t="s">
        <v>4286</v>
      </c>
      <c r="AE2529" s="2139">
        <v>0.4</v>
      </c>
      <c r="AF2529" s="3662">
        <f>3201180.5*AE2529</f>
        <v>1280472.2</v>
      </c>
      <c r="AG2529" s="3684"/>
      <c r="AH2529" s="3684"/>
      <c r="AI2529" s="3814"/>
      <c r="AJ2529" s="4202"/>
      <c r="AK2529" s="4202"/>
      <c r="AL2529" s="4202"/>
      <c r="AM2529" s="4830"/>
      <c r="AN2529" s="3684"/>
      <c r="AO2529" s="3684"/>
      <c r="AP2529" s="3662"/>
      <c r="AQ2529" s="3662"/>
      <c r="AR2529" s="3662"/>
      <c r="AS2529" s="3662"/>
      <c r="AT2529" s="3662"/>
      <c r="AU2529" s="5127"/>
      <c r="AV2529" s="5127"/>
      <c r="AW2529" s="5127"/>
      <c r="AX2529" s="5127"/>
      <c r="AY2529" s="5127"/>
      <c r="AZ2529" s="5127"/>
      <c r="BA2529" s="3684"/>
      <c r="BB2529" s="3684"/>
      <c r="BC2529" s="3684"/>
      <c r="BD2529" s="3684"/>
      <c r="BE2529" s="3684"/>
      <c r="BF2529" s="3684"/>
      <c r="BG2529" s="3684"/>
      <c r="BH2529" s="3684"/>
      <c r="BI2529" s="3684"/>
      <c r="BJ2529" s="3684"/>
      <c r="BK2529" s="3684"/>
      <c r="BL2529" s="3684"/>
      <c r="BM2529" s="3684"/>
      <c r="BN2529" s="3684"/>
      <c r="BO2529" s="3684"/>
      <c r="BP2529" s="3684"/>
      <c r="BQ2529" s="3684"/>
      <c r="BR2529" s="3684"/>
      <c r="BS2529" s="3684"/>
      <c r="BT2529" s="3684"/>
      <c r="BU2529" s="3684"/>
      <c r="BV2529" s="3684"/>
      <c r="BW2529" s="3684"/>
      <c r="BX2529" s="3684"/>
      <c r="BY2529" s="3684"/>
      <c r="BZ2529" s="3684"/>
      <c r="CA2529" s="3684"/>
      <c r="CB2529" s="3684"/>
      <c r="CC2529" s="3708"/>
      <c r="CD2529" s="3708"/>
      <c r="CE2529" s="6802"/>
      <c r="CF2529" s="6802"/>
      <c r="CG2529" s="6802"/>
      <c r="CH2529" s="6802"/>
    </row>
    <row r="2530" s="4992" customFormat="1" ht="46" spans="1:86">
      <c r="A2530" s="3662"/>
      <c r="B2530" s="1837"/>
      <c r="C2530" s="3662"/>
      <c r="D2530" s="3910"/>
      <c r="E2530" s="3910"/>
      <c r="F2530" s="3910"/>
      <c r="G2530" s="3910"/>
      <c r="H2530" s="3662"/>
      <c r="I2530" s="3666"/>
      <c r="J2530" s="5065"/>
      <c r="K2530" s="3662"/>
      <c r="L2530" s="5053"/>
      <c r="M2530" s="3662"/>
      <c r="N2530" s="3662"/>
      <c r="O2530" s="3662"/>
      <c r="P2530" s="3662"/>
      <c r="Q2530" s="3662"/>
      <c r="R2530" s="3662"/>
      <c r="S2530" s="3662"/>
      <c r="T2530" s="3662"/>
      <c r="U2530" s="3662"/>
      <c r="V2530" s="3662"/>
      <c r="W2530" s="3662"/>
      <c r="X2530" s="3662"/>
      <c r="Y2530" s="3662"/>
      <c r="Z2530" s="3662"/>
      <c r="AA2530" s="3662"/>
      <c r="AB2530" s="3662"/>
      <c r="AC2530" s="3662">
        <v>3</v>
      </c>
      <c r="AD2530" s="5319" t="s">
        <v>4287</v>
      </c>
      <c r="AE2530" s="2139">
        <v>0.4</v>
      </c>
      <c r="AF2530" s="3662">
        <f>3201180.5*AE2530</f>
        <v>1280472.2</v>
      </c>
      <c r="AG2530" s="3684">
        <f t="shared" si="533"/>
        <v>1274336</v>
      </c>
      <c r="AH2530" s="3814" t="s">
        <v>122</v>
      </c>
      <c r="AI2530" s="3684">
        <v>44665</v>
      </c>
      <c r="AJ2530" s="3684">
        <v>1274336</v>
      </c>
      <c r="AK2530" s="3684">
        <v>44665</v>
      </c>
      <c r="AL2530" s="3684">
        <v>1274336</v>
      </c>
      <c r="AM2530" s="3662">
        <v>44666</v>
      </c>
      <c r="AN2530" s="3684">
        <f t="shared" si="534"/>
        <v>1274336</v>
      </c>
      <c r="AO2530" s="3684">
        <v>44676</v>
      </c>
      <c r="AP2530" s="3662"/>
      <c r="AQ2530" s="5127"/>
      <c r="AR2530" s="3662"/>
      <c r="AS2530" s="5053"/>
      <c r="AT2530" s="3662"/>
      <c r="AU2530" s="5127"/>
      <c r="AV2530" s="5127"/>
      <c r="AW2530" s="5127"/>
      <c r="AX2530" s="5127"/>
      <c r="AY2530" s="5127"/>
      <c r="AZ2530" s="5127"/>
      <c r="BA2530" s="5148"/>
      <c r="BB2530" s="5148"/>
      <c r="BC2530" s="3684">
        <v>84434.35</v>
      </c>
      <c r="BD2530" s="5148"/>
      <c r="BE2530" s="5148"/>
      <c r="BF2530" s="5148"/>
      <c r="BG2530" s="5148"/>
      <c r="BH2530" s="3684">
        <v>844388.38</v>
      </c>
      <c r="BI2530" s="5148">
        <v>26376.31</v>
      </c>
      <c r="BJ2530" s="5148"/>
      <c r="BK2530" s="5148"/>
      <c r="BL2530" s="5148"/>
      <c r="BM2530" s="5148"/>
      <c r="BN2530" s="5148">
        <v>319136.96</v>
      </c>
      <c r="BO2530" s="5148"/>
      <c r="BP2530" s="5148"/>
      <c r="BQ2530" s="3684">
        <v>84434.35</v>
      </c>
      <c r="BR2530" s="5517"/>
      <c r="BS2530" s="5517"/>
      <c r="BT2530" s="5517"/>
      <c r="BU2530" s="5517"/>
      <c r="BV2530" s="3684">
        <v>844388.38</v>
      </c>
      <c r="BW2530" s="5148">
        <v>26376.31</v>
      </c>
      <c r="BX2530" s="5517"/>
      <c r="BY2530" s="5517"/>
      <c r="BZ2530" s="5517"/>
      <c r="CA2530" s="5517"/>
      <c r="CB2530" s="5148">
        <v>319136.96</v>
      </c>
      <c r="CC2530" s="3662"/>
      <c r="CD2530" s="3662"/>
      <c r="CE2530" s="6802"/>
      <c r="CF2530" s="6802"/>
      <c r="CG2530" s="6802"/>
      <c r="CH2530" s="6802"/>
    </row>
    <row r="2531" s="4992" customFormat="1" ht="61" spans="1:86">
      <c r="A2531" s="3662"/>
      <c r="B2531" s="1837"/>
      <c r="C2531" s="3662">
        <v>44519</v>
      </c>
      <c r="D2531" s="3910"/>
      <c r="E2531" s="3910"/>
      <c r="F2531" s="3910"/>
      <c r="G2531" s="3910"/>
      <c r="H2531" s="5055" t="s">
        <v>4288</v>
      </c>
      <c r="I2531" s="3910"/>
      <c r="J2531" s="5065"/>
      <c r="K2531" s="3662"/>
      <c r="L2531" s="3662"/>
      <c r="M2531" s="3662">
        <f>SUBTOTAL(9,N2531:AA2533)</f>
        <v>320000</v>
      </c>
      <c r="N2531" s="3662"/>
      <c r="O2531" s="3662"/>
      <c r="P2531" s="3662"/>
      <c r="Q2531" s="3662"/>
      <c r="R2531" s="3662"/>
      <c r="S2531" s="3662"/>
      <c r="T2531" s="3662"/>
      <c r="U2531" s="3662"/>
      <c r="V2531" s="3662"/>
      <c r="W2531" s="3662"/>
      <c r="X2531" s="3662"/>
      <c r="Y2531" s="3662"/>
      <c r="Z2531" s="3662"/>
      <c r="AA2531" s="3662">
        <v>320000</v>
      </c>
      <c r="AB2531" s="3814" t="s">
        <v>126</v>
      </c>
      <c r="AC2531" s="3662">
        <v>1</v>
      </c>
      <c r="AD2531" s="5134" t="s">
        <v>4289</v>
      </c>
      <c r="AE2531" s="2139">
        <v>0.2</v>
      </c>
      <c r="AF2531" s="3662">
        <f t="shared" ref="AF2531:AF2533" si="535">320000*AE2531</f>
        <v>64000</v>
      </c>
      <c r="AG2531" s="3684">
        <f t="shared" si="533"/>
        <v>64000</v>
      </c>
      <c r="AH2531" s="3814" t="s">
        <v>122</v>
      </c>
      <c r="AI2531" s="3684">
        <v>44636</v>
      </c>
      <c r="AJ2531" s="3684">
        <f>AG2531</f>
        <v>64000</v>
      </c>
      <c r="AK2531" s="3684">
        <f>AI2531</f>
        <v>44636</v>
      </c>
      <c r="AL2531" s="3684">
        <v>64000</v>
      </c>
      <c r="AM2531" s="3684">
        <v>44636</v>
      </c>
      <c r="AN2531" s="3684">
        <f t="shared" si="534"/>
        <v>64000</v>
      </c>
      <c r="AO2531" s="3684">
        <v>44662</v>
      </c>
      <c r="AP2531" s="3662"/>
      <c r="AQ2531" s="5127"/>
      <c r="AR2531" s="3662"/>
      <c r="AS2531" s="5053"/>
      <c r="AT2531" s="3662"/>
      <c r="AU2531" s="5127"/>
      <c r="AV2531" s="5127"/>
      <c r="AW2531" s="5127"/>
      <c r="AX2531" s="5127"/>
      <c r="AY2531" s="5127"/>
      <c r="AZ2531" s="5127"/>
      <c r="BA2531" s="3684"/>
      <c r="BB2531" s="3684"/>
      <c r="BC2531" s="5162"/>
      <c r="BD2531" s="3684"/>
      <c r="BE2531" s="3684"/>
      <c r="BF2531" s="3684"/>
      <c r="BG2531" s="3684"/>
      <c r="BH2531" s="3684"/>
      <c r="BI2531" s="5162"/>
      <c r="BJ2531" s="3684"/>
      <c r="BK2531" s="3684"/>
      <c r="BL2531" s="3684"/>
      <c r="BM2531" s="3684"/>
      <c r="BN2531" s="3684">
        <v>64000</v>
      </c>
      <c r="BO2531" s="3684"/>
      <c r="BP2531" s="3684"/>
      <c r="BQ2531" s="3684"/>
      <c r="BR2531" s="5162"/>
      <c r="BS2531" s="5162"/>
      <c r="BT2531" s="5162"/>
      <c r="BU2531" s="5162"/>
      <c r="BV2531" s="5162"/>
      <c r="BW2531" s="5162"/>
      <c r="BX2531" s="5162"/>
      <c r="BY2531" s="5162"/>
      <c r="BZ2531" s="5162"/>
      <c r="CA2531" s="5162"/>
      <c r="CB2531" s="3684">
        <v>64000</v>
      </c>
      <c r="CC2531" s="3662"/>
      <c r="CD2531" s="3662"/>
      <c r="CE2531" s="6802"/>
      <c r="CF2531" s="6802"/>
      <c r="CG2531" s="6802"/>
      <c r="CH2531" s="6802"/>
    </row>
    <row r="2532" s="4992" customFormat="1" ht="46" spans="1:86">
      <c r="A2532" s="3662"/>
      <c r="B2532" s="1837"/>
      <c r="C2532" s="3662"/>
      <c r="D2532" s="3910"/>
      <c r="E2532" s="3910"/>
      <c r="F2532" s="3910"/>
      <c r="G2532" s="3910"/>
      <c r="H2532" s="5053"/>
      <c r="I2532" s="5065"/>
      <c r="J2532" s="5065"/>
      <c r="K2532" s="3662"/>
      <c r="L2532" s="3662"/>
      <c r="M2532" s="3662"/>
      <c r="N2532" s="3662"/>
      <c r="O2532" s="3662"/>
      <c r="P2532" s="3662"/>
      <c r="Q2532" s="3662"/>
      <c r="R2532" s="3662"/>
      <c r="S2532" s="3662"/>
      <c r="T2532" s="3662"/>
      <c r="U2532" s="3662"/>
      <c r="V2532" s="3662"/>
      <c r="W2532" s="3662"/>
      <c r="X2532" s="3662"/>
      <c r="Y2532" s="3662"/>
      <c r="Z2532" s="3662"/>
      <c r="AA2532" s="3662"/>
      <c r="AB2532" s="3662"/>
      <c r="AC2532" s="3662">
        <v>2</v>
      </c>
      <c r="AD2532" s="5134" t="s">
        <v>3480</v>
      </c>
      <c r="AE2532" s="2139">
        <v>0.6</v>
      </c>
      <c r="AF2532" s="3662">
        <f t="shared" si="535"/>
        <v>192000</v>
      </c>
      <c r="AG2532" s="3684">
        <f t="shared" si="533"/>
        <v>192000</v>
      </c>
      <c r="AH2532" s="3814" t="s">
        <v>122</v>
      </c>
      <c r="AI2532" s="3684">
        <v>44636</v>
      </c>
      <c r="AJ2532" s="3684">
        <f>AG2532</f>
        <v>192000</v>
      </c>
      <c r="AK2532" s="3684">
        <f>AI2532</f>
        <v>44636</v>
      </c>
      <c r="AL2532" s="3684">
        <v>192000</v>
      </c>
      <c r="AM2532" s="3684">
        <v>44636</v>
      </c>
      <c r="AN2532" s="3684">
        <f t="shared" si="534"/>
        <v>192000</v>
      </c>
      <c r="AO2532" s="3684">
        <v>44662</v>
      </c>
      <c r="AP2532" s="3662"/>
      <c r="AQ2532" s="5127"/>
      <c r="AR2532" s="3662"/>
      <c r="AS2532" s="5053"/>
      <c r="AT2532" s="3662"/>
      <c r="AU2532" s="5127"/>
      <c r="AV2532" s="5127"/>
      <c r="AW2532" s="5127"/>
      <c r="AX2532" s="5127"/>
      <c r="AY2532" s="5127"/>
      <c r="AZ2532" s="5127"/>
      <c r="BA2532" s="3684"/>
      <c r="BB2532" s="3684"/>
      <c r="BC2532" s="5162"/>
      <c r="BD2532" s="3684"/>
      <c r="BE2532" s="3684"/>
      <c r="BF2532" s="3684"/>
      <c r="BG2532" s="3684"/>
      <c r="BH2532" s="3684"/>
      <c r="BI2532" s="5162"/>
      <c r="BJ2532" s="3684"/>
      <c r="BK2532" s="3684"/>
      <c r="BL2532" s="3684"/>
      <c r="BM2532" s="3684"/>
      <c r="BN2532" s="3684">
        <v>192000</v>
      </c>
      <c r="BO2532" s="3684"/>
      <c r="BP2532" s="3684"/>
      <c r="BQ2532" s="3684"/>
      <c r="BR2532" s="5162"/>
      <c r="BS2532" s="5162"/>
      <c r="BT2532" s="5162"/>
      <c r="BU2532" s="5162"/>
      <c r="BV2532" s="5162"/>
      <c r="BW2532" s="5162"/>
      <c r="BX2532" s="5162"/>
      <c r="BY2532" s="5162"/>
      <c r="BZ2532" s="5162"/>
      <c r="CA2532" s="5162"/>
      <c r="CB2532" s="3684">
        <v>192000</v>
      </c>
      <c r="CC2532" s="3662"/>
      <c r="CD2532" s="3662"/>
      <c r="CE2532" s="6802"/>
      <c r="CF2532" s="6802"/>
      <c r="CG2532" s="6802"/>
      <c r="CH2532" s="6802"/>
    </row>
    <row r="2533" s="4992" customFormat="1" ht="31" spans="1:86">
      <c r="A2533" s="3662"/>
      <c r="B2533" s="1837"/>
      <c r="C2533" s="3662"/>
      <c r="D2533" s="3910"/>
      <c r="E2533" s="3910"/>
      <c r="F2533" s="3910"/>
      <c r="G2533" s="3910"/>
      <c r="H2533" s="5053"/>
      <c r="I2533" s="5065"/>
      <c r="J2533" s="5065"/>
      <c r="K2533" s="3662"/>
      <c r="L2533" s="3662"/>
      <c r="M2533" s="3662"/>
      <c r="N2533" s="3662"/>
      <c r="O2533" s="3662"/>
      <c r="P2533" s="3662"/>
      <c r="Q2533" s="3662"/>
      <c r="R2533" s="3662"/>
      <c r="S2533" s="3662"/>
      <c r="T2533" s="3662"/>
      <c r="U2533" s="3662"/>
      <c r="V2533" s="3662"/>
      <c r="W2533" s="3662"/>
      <c r="X2533" s="3662"/>
      <c r="Y2533" s="3662"/>
      <c r="Z2533" s="3662"/>
      <c r="AA2533" s="3662"/>
      <c r="AB2533" s="3662"/>
      <c r="AC2533" s="3662">
        <v>3</v>
      </c>
      <c r="AD2533" s="5134" t="s">
        <v>3490</v>
      </c>
      <c r="AE2533" s="2139">
        <v>0.2</v>
      </c>
      <c r="AF2533" s="3662">
        <f t="shared" si="535"/>
        <v>64000</v>
      </c>
      <c r="AG2533" s="3684">
        <f t="shared" si="533"/>
        <v>32000</v>
      </c>
      <c r="AH2533" s="3662"/>
      <c r="AI2533" s="3662"/>
      <c r="AJ2533" s="3662"/>
      <c r="AK2533" s="3662"/>
      <c r="AL2533" s="3662"/>
      <c r="AM2533" s="3662"/>
      <c r="AN2533" s="3684">
        <f t="shared" si="534"/>
        <v>0</v>
      </c>
      <c r="AO2533" s="3662"/>
      <c r="AP2533" s="3662"/>
      <c r="AQ2533" s="5127"/>
      <c r="AR2533" s="3662"/>
      <c r="AS2533" s="5053"/>
      <c r="AT2533" s="3662"/>
      <c r="AU2533" s="5127"/>
      <c r="AV2533" s="5127"/>
      <c r="AW2533" s="5127"/>
      <c r="AX2533" s="5127"/>
      <c r="AY2533" s="5127"/>
      <c r="AZ2533" s="5127"/>
      <c r="BA2533" s="5127"/>
      <c r="BB2533" s="5127"/>
      <c r="BC2533" s="3662"/>
      <c r="BD2533" s="5127"/>
      <c r="BE2533" s="5127"/>
      <c r="BF2533" s="5127"/>
      <c r="BG2533" s="5127"/>
      <c r="BH2533" s="3662"/>
      <c r="BI2533" s="5127"/>
      <c r="BJ2533" s="5127"/>
      <c r="BK2533" s="5127"/>
      <c r="BL2533" s="5127"/>
      <c r="BM2533" s="5127"/>
      <c r="BN2533" s="5164">
        <f>AF2533/2</f>
        <v>32000</v>
      </c>
      <c r="BO2533" s="5127"/>
      <c r="BP2533" s="5127"/>
      <c r="BQ2533" s="5127"/>
      <c r="BR2533" s="5127"/>
      <c r="BS2533" s="5127"/>
      <c r="BT2533" s="5127"/>
      <c r="BU2533" s="5127"/>
      <c r="BV2533" s="5127"/>
      <c r="BW2533" s="5127"/>
      <c r="BX2533" s="5127"/>
      <c r="BY2533" s="5127"/>
      <c r="BZ2533" s="5127"/>
      <c r="CA2533" s="5127"/>
      <c r="CB2533" s="5127"/>
      <c r="CC2533" s="3662"/>
      <c r="CD2533" s="3662"/>
      <c r="CE2533" s="6802"/>
      <c r="CF2533" s="6802"/>
      <c r="CG2533" s="6802"/>
      <c r="CH2533" s="6802"/>
    </row>
    <row r="2534" s="4992" customFormat="1" ht="61" spans="1:86">
      <c r="A2534" s="3662"/>
      <c r="B2534" s="1837"/>
      <c r="C2534" s="3662">
        <v>44519</v>
      </c>
      <c r="D2534" s="3910"/>
      <c r="E2534" s="3910"/>
      <c r="F2534" s="3910"/>
      <c r="G2534" s="3910"/>
      <c r="H2534" s="5714" t="s">
        <v>4290</v>
      </c>
      <c r="I2534" s="6029"/>
      <c r="J2534" s="5065"/>
      <c r="K2534" s="3662"/>
      <c r="L2534" s="3662"/>
      <c r="M2534" s="3684">
        <v>854000</v>
      </c>
      <c r="N2534" s="3662"/>
      <c r="O2534" s="3662"/>
      <c r="P2534" s="3662"/>
      <c r="Q2534" s="3662"/>
      <c r="R2534" s="3662"/>
      <c r="S2534" s="3662"/>
      <c r="T2534" s="3662"/>
      <c r="U2534" s="3662"/>
      <c r="V2534" s="3662"/>
      <c r="W2534" s="3662"/>
      <c r="X2534" s="3662"/>
      <c r="Y2534" s="3662"/>
      <c r="Z2534" s="3662"/>
      <c r="AA2534" s="3662">
        <v>854000</v>
      </c>
      <c r="AB2534" s="3814" t="s">
        <v>126</v>
      </c>
      <c r="AC2534" s="3662">
        <v>1</v>
      </c>
      <c r="AD2534" s="5134" t="s">
        <v>4289</v>
      </c>
      <c r="AE2534" s="2139">
        <v>0.2</v>
      </c>
      <c r="AF2534" s="3662">
        <f>AA2534*AE2534</f>
        <v>170800</v>
      </c>
      <c r="AG2534" s="3684">
        <f t="shared" si="533"/>
        <v>170800</v>
      </c>
      <c r="AH2534" s="3814" t="s">
        <v>122</v>
      </c>
      <c r="AI2534" s="3684">
        <v>44747</v>
      </c>
      <c r="AJ2534" s="3662">
        <v>170800</v>
      </c>
      <c r="AK2534" s="3684">
        <v>44747</v>
      </c>
      <c r="AL2534" s="3662">
        <v>170800</v>
      </c>
      <c r="AM2534" s="3684">
        <v>44747</v>
      </c>
      <c r="AN2534" s="3684">
        <f t="shared" si="534"/>
        <v>170800</v>
      </c>
      <c r="AO2534" s="3684">
        <v>44802</v>
      </c>
      <c r="AP2534" s="3662"/>
      <c r="AQ2534" s="5127"/>
      <c r="AR2534" s="3662"/>
      <c r="AS2534" s="5053"/>
      <c r="AT2534" s="3662"/>
      <c r="AU2534" s="5127"/>
      <c r="AV2534" s="5127"/>
      <c r="AW2534" s="5127"/>
      <c r="AX2534" s="5127"/>
      <c r="AY2534" s="5127"/>
      <c r="AZ2534" s="5127"/>
      <c r="BA2534" s="5148"/>
      <c r="BB2534" s="5148"/>
      <c r="BC2534" s="3684"/>
      <c r="BD2534" s="5148"/>
      <c r="BE2534" s="5148"/>
      <c r="BF2534" s="5148"/>
      <c r="BG2534" s="5148"/>
      <c r="BH2534" s="3684"/>
      <c r="BI2534" s="5148"/>
      <c r="BJ2534" s="5148"/>
      <c r="BK2534" s="5148"/>
      <c r="BL2534" s="5148"/>
      <c r="BM2534" s="5148"/>
      <c r="BN2534" s="3684">
        <v>170800</v>
      </c>
      <c r="BO2534" s="5127"/>
      <c r="BP2534" s="5127"/>
      <c r="BQ2534" s="5127"/>
      <c r="BR2534" s="5127"/>
      <c r="BS2534" s="5127"/>
      <c r="BT2534" s="5127"/>
      <c r="BU2534" s="5127"/>
      <c r="BV2534" s="5127"/>
      <c r="BW2534" s="5127"/>
      <c r="BX2534" s="5127"/>
      <c r="BY2534" s="5127"/>
      <c r="BZ2534" s="5127"/>
      <c r="CA2534" s="5127"/>
      <c r="CB2534" s="3684">
        <v>170800</v>
      </c>
      <c r="CC2534" s="3662"/>
      <c r="CD2534" s="3662"/>
      <c r="CE2534" s="6802"/>
      <c r="CF2534" s="6802"/>
      <c r="CG2534" s="6802"/>
      <c r="CH2534" s="6802"/>
    </row>
    <row r="2535" s="4992" customFormat="1" ht="46" spans="1:86">
      <c r="A2535" s="3662"/>
      <c r="B2535" s="1837"/>
      <c r="C2535" s="3662"/>
      <c r="D2535" s="3910"/>
      <c r="E2535" s="3910"/>
      <c r="F2535" s="3910"/>
      <c r="G2535" s="3910"/>
      <c r="H2535" s="6737"/>
      <c r="I2535" s="7150"/>
      <c r="J2535" s="5065"/>
      <c r="K2535" s="3662"/>
      <c r="L2535" s="3662"/>
      <c r="M2535" s="3684"/>
      <c r="N2535" s="3662"/>
      <c r="O2535" s="3662"/>
      <c r="P2535" s="3662"/>
      <c r="Q2535" s="3662"/>
      <c r="R2535" s="3662"/>
      <c r="S2535" s="3662"/>
      <c r="T2535" s="3662"/>
      <c r="U2535" s="3662"/>
      <c r="V2535" s="3662"/>
      <c r="W2535" s="3662"/>
      <c r="X2535" s="3662"/>
      <c r="Y2535" s="3662"/>
      <c r="Z2535" s="3662"/>
      <c r="AA2535" s="3662"/>
      <c r="AB2535" s="3662"/>
      <c r="AC2535" s="3662">
        <v>2</v>
      </c>
      <c r="AD2535" s="5134" t="s">
        <v>3480</v>
      </c>
      <c r="AE2535" s="2139">
        <v>0.6</v>
      </c>
      <c r="AF2535" s="3662">
        <f>AA2534*AE2535</f>
        <v>512400</v>
      </c>
      <c r="AG2535" s="3684">
        <f t="shared" si="533"/>
        <v>512400</v>
      </c>
      <c r="AH2535" s="3814" t="s">
        <v>122</v>
      </c>
      <c r="AI2535" s="3684">
        <v>44747</v>
      </c>
      <c r="AJ2535" s="3662">
        <v>512400</v>
      </c>
      <c r="AK2535" s="3684">
        <v>44747</v>
      </c>
      <c r="AL2535" s="3662">
        <v>512400</v>
      </c>
      <c r="AM2535" s="3684">
        <v>44747</v>
      </c>
      <c r="AN2535" s="3684">
        <f t="shared" si="534"/>
        <v>512400</v>
      </c>
      <c r="AO2535" s="3684">
        <v>44802</v>
      </c>
      <c r="AP2535" s="3662"/>
      <c r="AQ2535" s="5127"/>
      <c r="AR2535" s="3662"/>
      <c r="AS2535" s="5053"/>
      <c r="AT2535" s="3662"/>
      <c r="AU2535" s="5127"/>
      <c r="AV2535" s="5127"/>
      <c r="AW2535" s="5127"/>
      <c r="AX2535" s="5127"/>
      <c r="AY2535" s="5127"/>
      <c r="AZ2535" s="5127"/>
      <c r="BA2535" s="5148"/>
      <c r="BB2535" s="5148"/>
      <c r="BC2535" s="3684"/>
      <c r="BD2535" s="5148"/>
      <c r="BE2535" s="5148"/>
      <c r="BF2535" s="5148"/>
      <c r="BG2535" s="5148"/>
      <c r="BH2535" s="3684"/>
      <c r="BI2535" s="5148"/>
      <c r="BJ2535" s="5148"/>
      <c r="BK2535" s="5148"/>
      <c r="BL2535" s="5148"/>
      <c r="BM2535" s="5148"/>
      <c r="BN2535" s="3684">
        <v>512400</v>
      </c>
      <c r="BO2535" s="5127"/>
      <c r="BP2535" s="5127"/>
      <c r="BQ2535" s="5127"/>
      <c r="BR2535" s="5127"/>
      <c r="BS2535" s="5127"/>
      <c r="BT2535" s="5127"/>
      <c r="BU2535" s="5127"/>
      <c r="BV2535" s="5127"/>
      <c r="BW2535" s="5127"/>
      <c r="BX2535" s="5127"/>
      <c r="BY2535" s="5127"/>
      <c r="BZ2535" s="5127"/>
      <c r="CA2535" s="5127"/>
      <c r="CB2535" s="3684">
        <v>512400</v>
      </c>
      <c r="CC2535" s="3662"/>
      <c r="CD2535" s="3662"/>
      <c r="CE2535" s="6802"/>
      <c r="CF2535" s="6802"/>
      <c r="CG2535" s="6802"/>
      <c r="CH2535" s="6802"/>
    </row>
    <row r="2536" s="4992" customFormat="1" ht="31" spans="1:86">
      <c r="A2536" s="3662"/>
      <c r="B2536" s="1837"/>
      <c r="C2536" s="3662"/>
      <c r="D2536" s="3910"/>
      <c r="E2536" s="3910"/>
      <c r="F2536" s="3910"/>
      <c r="G2536" s="3910"/>
      <c r="H2536" s="6737"/>
      <c r="I2536" s="7150"/>
      <c r="J2536" s="5065"/>
      <c r="K2536" s="3662"/>
      <c r="L2536" s="3662"/>
      <c r="M2536" s="3684"/>
      <c r="N2536" s="3662"/>
      <c r="O2536" s="3662"/>
      <c r="P2536" s="3662"/>
      <c r="Q2536" s="3662"/>
      <c r="R2536" s="3662"/>
      <c r="S2536" s="3662"/>
      <c r="T2536" s="3662"/>
      <c r="U2536" s="3662"/>
      <c r="V2536" s="3662"/>
      <c r="W2536" s="3662"/>
      <c r="X2536" s="3662"/>
      <c r="Y2536" s="3662"/>
      <c r="Z2536" s="3662"/>
      <c r="AA2536" s="3662"/>
      <c r="AB2536" s="3662"/>
      <c r="AC2536" s="3662">
        <v>3</v>
      </c>
      <c r="AD2536" s="5134" t="s">
        <v>3490</v>
      </c>
      <c r="AE2536" s="2139">
        <v>0.2</v>
      </c>
      <c r="AF2536" s="3708">
        <f>AA2534*AE2536</f>
        <v>170800</v>
      </c>
      <c r="AG2536" s="3708">
        <f t="shared" si="533"/>
        <v>85400</v>
      </c>
      <c r="AH2536" s="3823" t="s">
        <v>349</v>
      </c>
      <c r="AI2536" s="3708"/>
      <c r="AJ2536" s="3662"/>
      <c r="AK2536" s="3662"/>
      <c r="AL2536" s="3662"/>
      <c r="AM2536" s="3662"/>
      <c r="AN2536" s="3684">
        <f t="shared" si="534"/>
        <v>0</v>
      </c>
      <c r="AO2536" s="3662"/>
      <c r="AP2536" s="3662"/>
      <c r="AQ2536" s="5127"/>
      <c r="AR2536" s="3708">
        <v>46021</v>
      </c>
      <c r="AS2536" s="5053"/>
      <c r="AT2536" s="3662"/>
      <c r="AU2536" s="5127"/>
      <c r="AV2536" s="5127"/>
      <c r="AW2536" s="5127"/>
      <c r="AX2536" s="5127"/>
      <c r="AY2536" s="5127"/>
      <c r="AZ2536" s="5127"/>
      <c r="BA2536" s="5127"/>
      <c r="BB2536" s="5127"/>
      <c r="BC2536" s="3662"/>
      <c r="BD2536" s="5127"/>
      <c r="BE2536" s="5127"/>
      <c r="BF2536" s="5127"/>
      <c r="BG2536" s="5127"/>
      <c r="BH2536" s="3662"/>
      <c r="BI2536" s="5127"/>
      <c r="BJ2536" s="5127"/>
      <c r="BK2536" s="5127"/>
      <c r="BL2536" s="5127"/>
      <c r="BM2536" s="5127"/>
      <c r="BN2536" s="3708">
        <f>AF2536/2</f>
        <v>85400</v>
      </c>
      <c r="BO2536" s="5127"/>
      <c r="BP2536" s="5127"/>
      <c r="BQ2536" s="5127"/>
      <c r="BR2536" s="5127"/>
      <c r="BS2536" s="5127"/>
      <c r="BT2536" s="5127"/>
      <c r="BU2536" s="5127"/>
      <c r="BV2536" s="5127"/>
      <c r="BW2536" s="5127"/>
      <c r="BX2536" s="5127"/>
      <c r="BY2536" s="5127"/>
      <c r="BZ2536" s="5127"/>
      <c r="CA2536" s="5127"/>
      <c r="CB2536" s="3708"/>
      <c r="CC2536" s="3662"/>
      <c r="CD2536" s="3662"/>
      <c r="CE2536" s="6802"/>
      <c r="CF2536" s="6802"/>
      <c r="CG2536" s="6802"/>
      <c r="CH2536" s="6802"/>
    </row>
    <row r="2537" s="4992" customFormat="1" ht="61" spans="1:86">
      <c r="A2537" s="3662"/>
      <c r="B2537" s="1837"/>
      <c r="C2537" s="3662">
        <v>44519</v>
      </c>
      <c r="D2537" s="3910"/>
      <c r="E2537" s="3910"/>
      <c r="F2537" s="3910"/>
      <c r="G2537" s="3910"/>
      <c r="H2537" s="5055" t="s">
        <v>4291</v>
      </c>
      <c r="I2537" s="3910"/>
      <c r="J2537" s="5065"/>
      <c r="K2537" s="3662"/>
      <c r="L2537" s="3662"/>
      <c r="M2537" s="3684">
        <v>200000</v>
      </c>
      <c r="N2537" s="3662"/>
      <c r="O2537" s="3662"/>
      <c r="P2537" s="3662"/>
      <c r="Q2537" s="3662"/>
      <c r="R2537" s="3662"/>
      <c r="S2537" s="3662"/>
      <c r="T2537" s="3662"/>
      <c r="U2537" s="3662"/>
      <c r="V2537" s="3662"/>
      <c r="W2537" s="3662"/>
      <c r="X2537" s="3662"/>
      <c r="Y2537" s="3662"/>
      <c r="Z2537" s="3662"/>
      <c r="AA2537" s="3662">
        <v>200000</v>
      </c>
      <c r="AB2537" s="3814" t="s">
        <v>126</v>
      </c>
      <c r="AC2537" s="3662">
        <v>1</v>
      </c>
      <c r="AD2537" s="5134" t="s">
        <v>4289</v>
      </c>
      <c r="AE2537" s="2139">
        <v>0.2</v>
      </c>
      <c r="AF2537" s="3684">
        <f>AA2537*AE2537</f>
        <v>40000</v>
      </c>
      <c r="AG2537" s="3684">
        <f t="shared" si="533"/>
        <v>40000</v>
      </c>
      <c r="AH2537" s="3814" t="s">
        <v>122</v>
      </c>
      <c r="AI2537" s="3684">
        <v>45275</v>
      </c>
      <c r="AJ2537" s="3684">
        <v>40000</v>
      </c>
      <c r="AK2537" s="3684">
        <v>45275</v>
      </c>
      <c r="AL2537" s="5162">
        <v>40000</v>
      </c>
      <c r="AM2537" s="3684">
        <v>45603</v>
      </c>
      <c r="AN2537" s="3684">
        <f t="shared" si="534"/>
        <v>40000</v>
      </c>
      <c r="AO2537" s="3684">
        <v>45650</v>
      </c>
      <c r="AP2537" s="3662"/>
      <c r="AQ2537" s="5127"/>
      <c r="AR2537" s="3662"/>
      <c r="AS2537" s="5053"/>
      <c r="AT2537" s="3662"/>
      <c r="AU2537" s="5127"/>
      <c r="AV2537" s="5127"/>
      <c r="AW2537" s="5127"/>
      <c r="AX2537" s="5127"/>
      <c r="AY2537" s="5127"/>
      <c r="AZ2537" s="5127"/>
      <c r="BA2537" s="5127"/>
      <c r="BB2537" s="5127"/>
      <c r="BC2537" s="3662"/>
      <c r="BD2537" s="5127"/>
      <c r="BE2537" s="5127"/>
      <c r="BF2537" s="5127"/>
      <c r="BG2537" s="5127"/>
      <c r="BH2537" s="3662"/>
      <c r="BI2537" s="5127"/>
      <c r="BJ2537" s="5127"/>
      <c r="BK2537" s="5127"/>
      <c r="BL2537" s="5127"/>
      <c r="BM2537" s="5127"/>
      <c r="BN2537" s="5148">
        <v>40000</v>
      </c>
      <c r="BO2537" s="5127"/>
      <c r="BP2537" s="5127"/>
      <c r="BQ2537" s="5127"/>
      <c r="BR2537" s="5127"/>
      <c r="BS2537" s="5127"/>
      <c r="BT2537" s="5127"/>
      <c r="BU2537" s="5127"/>
      <c r="BV2537" s="5127"/>
      <c r="BW2537" s="5127"/>
      <c r="BX2537" s="5127"/>
      <c r="BY2537" s="5127"/>
      <c r="BZ2537" s="5127"/>
      <c r="CA2537" s="5127"/>
      <c r="CB2537" s="5517">
        <v>40000</v>
      </c>
      <c r="CC2537" s="3662"/>
      <c r="CD2537" s="3662"/>
      <c r="CE2537" s="6802"/>
      <c r="CF2537" s="6802"/>
      <c r="CG2537" s="6802"/>
      <c r="CH2537" s="6802"/>
    </row>
    <row r="2538" s="4992" customFormat="1" ht="46" spans="1:86">
      <c r="A2538" s="3662"/>
      <c r="B2538" s="1837"/>
      <c r="C2538" s="3662"/>
      <c r="D2538" s="3910"/>
      <c r="E2538" s="3910"/>
      <c r="F2538" s="3910"/>
      <c r="G2538" s="3910"/>
      <c r="H2538" s="5053"/>
      <c r="I2538" s="5065"/>
      <c r="J2538" s="5065"/>
      <c r="K2538" s="3662"/>
      <c r="L2538" s="3662"/>
      <c r="M2538" s="3684"/>
      <c r="N2538" s="3662"/>
      <c r="O2538" s="3662"/>
      <c r="P2538" s="3662"/>
      <c r="Q2538" s="3662"/>
      <c r="R2538" s="3662"/>
      <c r="S2538" s="3662"/>
      <c r="T2538" s="3662"/>
      <c r="U2538" s="3662"/>
      <c r="V2538" s="3662"/>
      <c r="W2538" s="3662"/>
      <c r="X2538" s="3662"/>
      <c r="Y2538" s="3662"/>
      <c r="Z2538" s="3662"/>
      <c r="AA2538" s="3662"/>
      <c r="AB2538" s="3662"/>
      <c r="AC2538" s="3662">
        <v>2</v>
      </c>
      <c r="AD2538" s="5134" t="s">
        <v>3480</v>
      </c>
      <c r="AE2538" s="2139">
        <v>0.6</v>
      </c>
      <c r="AF2538" s="3662">
        <f>M2537*AE2538</f>
        <v>120000</v>
      </c>
      <c r="AG2538" s="3684">
        <f t="shared" ref="AG2538:AG2544" si="536">SUM(BA2538:BN2538)</f>
        <v>120000</v>
      </c>
      <c r="AH2538" s="3814" t="s">
        <v>122</v>
      </c>
      <c r="AI2538" s="3684">
        <v>45275</v>
      </c>
      <c r="AJ2538" s="3684">
        <v>120000</v>
      </c>
      <c r="AK2538" s="3684">
        <v>45275</v>
      </c>
      <c r="AL2538" s="5162">
        <v>120000</v>
      </c>
      <c r="AM2538" s="3684">
        <v>45603</v>
      </c>
      <c r="AN2538" s="3684">
        <f t="shared" ref="AN2538:AN2554" si="537">SUM(BO2538:CB2538)</f>
        <v>170000</v>
      </c>
      <c r="AO2538" s="3684">
        <v>45650</v>
      </c>
      <c r="AP2538" s="3662"/>
      <c r="AQ2538" s="5127"/>
      <c r="AR2538" s="3662"/>
      <c r="AS2538" s="5053"/>
      <c r="AT2538" s="3662"/>
      <c r="AU2538" s="5127"/>
      <c r="AV2538" s="5127"/>
      <c r="AW2538" s="5127"/>
      <c r="AX2538" s="5127"/>
      <c r="AY2538" s="5127"/>
      <c r="AZ2538" s="5127"/>
      <c r="BA2538" s="5127"/>
      <c r="BB2538" s="5127"/>
      <c r="BC2538" s="3662"/>
      <c r="BD2538" s="5127"/>
      <c r="BE2538" s="5127"/>
      <c r="BF2538" s="5127"/>
      <c r="BG2538" s="5127"/>
      <c r="BH2538" s="3662"/>
      <c r="BI2538" s="5127"/>
      <c r="BJ2538" s="5127"/>
      <c r="BK2538" s="5127"/>
      <c r="BL2538" s="5127"/>
      <c r="BM2538" s="5127"/>
      <c r="BN2538" s="5148">
        <v>120000</v>
      </c>
      <c r="BO2538" s="5127"/>
      <c r="BP2538" s="5127"/>
      <c r="BQ2538" s="5127"/>
      <c r="BR2538" s="5127"/>
      <c r="BS2538" s="5127"/>
      <c r="BT2538" s="5127"/>
      <c r="BU2538" s="5127"/>
      <c r="BV2538" s="5127"/>
      <c r="BW2538" s="5127"/>
      <c r="BX2538" s="5127"/>
      <c r="BY2538" s="5127"/>
      <c r="BZ2538" s="5127"/>
      <c r="CA2538" s="5127"/>
      <c r="CB2538" s="5517">
        <v>170000</v>
      </c>
      <c r="CC2538" s="3662"/>
      <c r="CD2538" s="3662"/>
      <c r="CE2538" s="6802"/>
      <c r="CF2538" s="6802"/>
      <c r="CG2538" s="6802"/>
      <c r="CH2538" s="6802"/>
    </row>
    <row r="2539" s="4992" customFormat="1" ht="31" spans="1:86">
      <c r="A2539" s="3662"/>
      <c r="B2539" s="1837"/>
      <c r="C2539" s="3662"/>
      <c r="D2539" s="3910"/>
      <c r="E2539" s="3910"/>
      <c r="F2539" s="3910"/>
      <c r="G2539" s="3910"/>
      <c r="H2539" s="5053"/>
      <c r="I2539" s="5065"/>
      <c r="J2539" s="5065"/>
      <c r="K2539" s="3662"/>
      <c r="L2539" s="3662"/>
      <c r="M2539" s="3684"/>
      <c r="N2539" s="3662"/>
      <c r="O2539" s="3662"/>
      <c r="P2539" s="3662"/>
      <c r="Q2539" s="3662"/>
      <c r="R2539" s="3662"/>
      <c r="S2539" s="3662"/>
      <c r="T2539" s="3662"/>
      <c r="U2539" s="3662"/>
      <c r="V2539" s="3662"/>
      <c r="W2539" s="3662"/>
      <c r="X2539" s="3662"/>
      <c r="Y2539" s="3662"/>
      <c r="Z2539" s="3662"/>
      <c r="AA2539" s="3662"/>
      <c r="AB2539" s="3662"/>
      <c r="AC2539" s="3662">
        <v>3</v>
      </c>
      <c r="AD2539" s="5134" t="s">
        <v>3490</v>
      </c>
      <c r="AE2539" s="2139">
        <v>0.2</v>
      </c>
      <c r="AF2539" s="3662">
        <f>M2537*AE2539</f>
        <v>40000</v>
      </c>
      <c r="AG2539" s="3684">
        <f t="shared" si="536"/>
        <v>20000</v>
      </c>
      <c r="AH2539" s="3662"/>
      <c r="AI2539" s="3662"/>
      <c r="AJ2539" s="3662">
        <v>40000</v>
      </c>
      <c r="AK2539" s="3662"/>
      <c r="AL2539" s="3662"/>
      <c r="AM2539" s="3662"/>
      <c r="AN2539" s="3684">
        <f t="shared" si="537"/>
        <v>0</v>
      </c>
      <c r="AO2539" s="3662"/>
      <c r="AP2539" s="3662"/>
      <c r="AQ2539" s="5127"/>
      <c r="AR2539" s="3662"/>
      <c r="AS2539" s="5053"/>
      <c r="AT2539" s="3662"/>
      <c r="AU2539" s="5127"/>
      <c r="AV2539" s="5127"/>
      <c r="AW2539" s="5127"/>
      <c r="AX2539" s="5127"/>
      <c r="AY2539" s="5127"/>
      <c r="AZ2539" s="5127"/>
      <c r="BA2539" s="5127"/>
      <c r="BB2539" s="5127"/>
      <c r="BC2539" s="3662"/>
      <c r="BD2539" s="5127"/>
      <c r="BE2539" s="5127"/>
      <c r="BF2539" s="5127"/>
      <c r="BG2539" s="5127"/>
      <c r="BH2539" s="3662"/>
      <c r="BI2539" s="5127"/>
      <c r="BJ2539" s="5127"/>
      <c r="BK2539" s="5127"/>
      <c r="BL2539" s="5127"/>
      <c r="BM2539" s="5127"/>
      <c r="BN2539" s="5164">
        <f>AF2539/2</f>
        <v>20000</v>
      </c>
      <c r="BO2539" s="5127"/>
      <c r="BP2539" s="5127"/>
      <c r="BQ2539" s="5127"/>
      <c r="BR2539" s="5127"/>
      <c r="BS2539" s="5127"/>
      <c r="BT2539" s="5127"/>
      <c r="BU2539" s="5127"/>
      <c r="BV2539" s="5127"/>
      <c r="BW2539" s="5127"/>
      <c r="BX2539" s="5127"/>
      <c r="BY2539" s="5127"/>
      <c r="BZ2539" s="5127"/>
      <c r="CA2539" s="5127"/>
      <c r="CB2539" s="5127"/>
      <c r="CC2539" s="3662"/>
      <c r="CD2539" s="3662"/>
      <c r="CE2539" s="6802"/>
      <c r="CF2539" s="6802"/>
      <c r="CG2539" s="6802"/>
      <c r="CH2539" s="6802"/>
    </row>
    <row r="2540" s="4992" customFormat="1" ht="61" spans="1:86">
      <c r="A2540" s="3662"/>
      <c r="B2540" s="1837"/>
      <c r="C2540" s="3662">
        <v>44519</v>
      </c>
      <c r="D2540" s="3910"/>
      <c r="E2540" s="3910"/>
      <c r="F2540" s="3910"/>
      <c r="G2540" s="3910"/>
      <c r="H2540" s="5714" t="s">
        <v>4292</v>
      </c>
      <c r="I2540" s="6029"/>
      <c r="J2540" s="5065"/>
      <c r="K2540" s="3662"/>
      <c r="L2540" s="3662"/>
      <c r="M2540" s="3684">
        <v>205000</v>
      </c>
      <c r="N2540" s="3662"/>
      <c r="O2540" s="3662"/>
      <c r="P2540" s="3662"/>
      <c r="Q2540" s="3662"/>
      <c r="R2540" s="3662"/>
      <c r="S2540" s="3662"/>
      <c r="T2540" s="3662"/>
      <c r="U2540" s="3662"/>
      <c r="V2540" s="3662"/>
      <c r="W2540" s="3662"/>
      <c r="X2540" s="3662"/>
      <c r="Y2540" s="3662"/>
      <c r="Z2540" s="3662"/>
      <c r="AA2540" s="3662">
        <v>205000</v>
      </c>
      <c r="AB2540" s="3814" t="s">
        <v>126</v>
      </c>
      <c r="AC2540" s="3662">
        <v>1</v>
      </c>
      <c r="AD2540" s="5319" t="s">
        <v>4289</v>
      </c>
      <c r="AE2540" s="2139">
        <v>0.2</v>
      </c>
      <c r="AF2540" s="3662">
        <f>AA2540*AE2540</f>
        <v>41000</v>
      </c>
      <c r="AG2540" s="3684">
        <f t="shared" si="536"/>
        <v>41000</v>
      </c>
      <c r="AH2540" s="3814" t="s">
        <v>122</v>
      </c>
      <c r="AI2540" s="3684">
        <v>44788</v>
      </c>
      <c r="AJ2540" s="3684">
        <v>120000</v>
      </c>
      <c r="AK2540" s="3684">
        <v>44788</v>
      </c>
      <c r="AL2540" s="3684">
        <f>SUM(BF2540:BS2540)</f>
        <v>41000</v>
      </c>
      <c r="AM2540" s="3684">
        <v>44788</v>
      </c>
      <c r="AN2540" s="3684">
        <f t="shared" si="537"/>
        <v>41000</v>
      </c>
      <c r="AO2540" s="3684">
        <v>44802</v>
      </c>
      <c r="AP2540" s="3662"/>
      <c r="AQ2540" s="5127"/>
      <c r="AR2540" s="3662"/>
      <c r="AS2540" s="5053"/>
      <c r="AT2540" s="3662"/>
      <c r="AU2540" s="5127"/>
      <c r="AV2540" s="5127"/>
      <c r="AW2540" s="5127"/>
      <c r="AX2540" s="5127"/>
      <c r="AY2540" s="5127"/>
      <c r="AZ2540" s="5127"/>
      <c r="BA2540" s="5148"/>
      <c r="BB2540" s="5148"/>
      <c r="BC2540" s="3684"/>
      <c r="BD2540" s="5148"/>
      <c r="BE2540" s="5148"/>
      <c r="BF2540" s="5148"/>
      <c r="BG2540" s="5148"/>
      <c r="BH2540" s="3684"/>
      <c r="BI2540" s="5148"/>
      <c r="BJ2540" s="5148"/>
      <c r="BK2540" s="5148"/>
      <c r="BL2540" s="5148"/>
      <c r="BM2540" s="5148"/>
      <c r="BN2540" s="5148">
        <v>41000</v>
      </c>
      <c r="BO2540" s="5127"/>
      <c r="BP2540" s="5127"/>
      <c r="BQ2540" s="5127"/>
      <c r="BR2540" s="5127"/>
      <c r="BS2540" s="5127"/>
      <c r="BT2540" s="5127"/>
      <c r="BU2540" s="5127"/>
      <c r="BV2540" s="5127"/>
      <c r="BW2540" s="5127"/>
      <c r="BX2540" s="5127"/>
      <c r="BY2540" s="5127"/>
      <c r="BZ2540" s="5127"/>
      <c r="CA2540" s="5127"/>
      <c r="CB2540" s="5148">
        <v>41000</v>
      </c>
      <c r="CC2540" s="3662"/>
      <c r="CD2540" s="3662"/>
      <c r="CE2540" s="6802"/>
      <c r="CF2540" s="6802"/>
      <c r="CG2540" s="6802"/>
      <c r="CH2540" s="6802"/>
    </row>
    <row r="2541" s="4992" customFormat="1" ht="46" spans="1:86">
      <c r="A2541" s="3662"/>
      <c r="B2541" s="1837"/>
      <c r="C2541" s="3662"/>
      <c r="D2541" s="3910"/>
      <c r="E2541" s="3910"/>
      <c r="F2541" s="3910"/>
      <c r="G2541" s="3910"/>
      <c r="H2541" s="6737"/>
      <c r="I2541" s="7150"/>
      <c r="J2541" s="5065"/>
      <c r="K2541" s="3662"/>
      <c r="L2541" s="3662"/>
      <c r="M2541" s="3684"/>
      <c r="N2541" s="3662"/>
      <c r="O2541" s="3662"/>
      <c r="P2541" s="3662"/>
      <c r="Q2541" s="3662"/>
      <c r="R2541" s="3662"/>
      <c r="S2541" s="3662"/>
      <c r="T2541" s="3662"/>
      <c r="U2541" s="3662"/>
      <c r="V2541" s="3662"/>
      <c r="W2541" s="3662"/>
      <c r="X2541" s="3662"/>
      <c r="Y2541" s="3662"/>
      <c r="Z2541" s="3662"/>
      <c r="AA2541" s="3662"/>
      <c r="AB2541" s="3662"/>
      <c r="AC2541" s="3662">
        <v>2</v>
      </c>
      <c r="AD2541" s="5319" t="s">
        <v>3480</v>
      </c>
      <c r="AE2541" s="2139">
        <v>0.6</v>
      </c>
      <c r="AF2541" s="3662">
        <f>AA2540*AE2541</f>
        <v>123000</v>
      </c>
      <c r="AG2541" s="3684">
        <f t="shared" si="536"/>
        <v>123000</v>
      </c>
      <c r="AH2541" s="3814" t="s">
        <v>122</v>
      </c>
      <c r="AI2541" s="3684">
        <v>44788</v>
      </c>
      <c r="AJ2541" s="3684">
        <f>SUM(BD2541:BQ2541)</f>
        <v>123000</v>
      </c>
      <c r="AK2541" s="3684">
        <v>44788</v>
      </c>
      <c r="AL2541" s="3684">
        <f>SUM(BF2541:BS2541)</f>
        <v>123000</v>
      </c>
      <c r="AM2541" s="3684">
        <v>44788</v>
      </c>
      <c r="AN2541" s="3684">
        <f t="shared" si="537"/>
        <v>123000</v>
      </c>
      <c r="AO2541" s="3684">
        <v>44802</v>
      </c>
      <c r="AP2541" s="3662"/>
      <c r="AQ2541" s="5127"/>
      <c r="AR2541" s="3662"/>
      <c r="AS2541" s="5053"/>
      <c r="AT2541" s="3662"/>
      <c r="AU2541" s="5127"/>
      <c r="AV2541" s="5127"/>
      <c r="AW2541" s="5127"/>
      <c r="AX2541" s="5127"/>
      <c r="AY2541" s="5127"/>
      <c r="AZ2541" s="5127"/>
      <c r="BA2541" s="5148"/>
      <c r="BB2541" s="5148"/>
      <c r="BC2541" s="3684"/>
      <c r="BD2541" s="5148"/>
      <c r="BE2541" s="5148"/>
      <c r="BF2541" s="5148"/>
      <c r="BG2541" s="5148"/>
      <c r="BH2541" s="3684"/>
      <c r="BI2541" s="5148"/>
      <c r="BJ2541" s="5148"/>
      <c r="BK2541" s="5148"/>
      <c r="BL2541" s="5148"/>
      <c r="BM2541" s="5148"/>
      <c r="BN2541" s="5148">
        <v>123000</v>
      </c>
      <c r="BO2541" s="5127"/>
      <c r="BP2541" s="5127"/>
      <c r="BQ2541" s="5127"/>
      <c r="BR2541" s="5127"/>
      <c r="BS2541" s="5127"/>
      <c r="BT2541" s="5127"/>
      <c r="BU2541" s="5127"/>
      <c r="BV2541" s="5127"/>
      <c r="BW2541" s="5127"/>
      <c r="BX2541" s="5127"/>
      <c r="BY2541" s="5127"/>
      <c r="BZ2541" s="5127"/>
      <c r="CA2541" s="5127"/>
      <c r="CB2541" s="5148">
        <v>123000</v>
      </c>
      <c r="CC2541" s="3662"/>
      <c r="CD2541" s="3662"/>
      <c r="CE2541" s="6802"/>
      <c r="CF2541" s="6802"/>
      <c r="CG2541" s="6802"/>
      <c r="CH2541" s="6802"/>
    </row>
    <row r="2542" s="4992" customFormat="1" ht="31" spans="1:86">
      <c r="A2542" s="3662"/>
      <c r="B2542" s="1837"/>
      <c r="C2542" s="3662"/>
      <c r="D2542" s="3910"/>
      <c r="E2542" s="3910"/>
      <c r="F2542" s="3910"/>
      <c r="G2542" s="3910"/>
      <c r="H2542" s="6737"/>
      <c r="I2542" s="7150"/>
      <c r="J2542" s="5065"/>
      <c r="K2542" s="3662"/>
      <c r="L2542" s="3662"/>
      <c r="M2542" s="3684"/>
      <c r="N2542" s="3662"/>
      <c r="O2542" s="3662"/>
      <c r="P2542" s="3662"/>
      <c r="Q2542" s="3662"/>
      <c r="R2542" s="3662"/>
      <c r="S2542" s="3662"/>
      <c r="T2542" s="3662"/>
      <c r="U2542" s="3662"/>
      <c r="V2542" s="3662"/>
      <c r="W2542" s="3662"/>
      <c r="X2542" s="3662"/>
      <c r="Y2542" s="3662"/>
      <c r="Z2542" s="3662"/>
      <c r="AA2542" s="3662"/>
      <c r="AB2542" s="3662"/>
      <c r="AC2542" s="3662">
        <v>3</v>
      </c>
      <c r="AD2542" s="5134" t="s">
        <v>3490</v>
      </c>
      <c r="AE2542" s="2139">
        <v>0.2</v>
      </c>
      <c r="AF2542" s="3662">
        <f>AA2540*AE2542</f>
        <v>41000</v>
      </c>
      <c r="AG2542" s="3708">
        <v>41000</v>
      </c>
      <c r="AH2542" s="3662"/>
      <c r="AI2542" s="3662"/>
      <c r="AJ2542" s="3662"/>
      <c r="AK2542" s="3662"/>
      <c r="AL2542" s="3662"/>
      <c r="AM2542" s="3662"/>
      <c r="AN2542" s="3684">
        <f t="shared" si="537"/>
        <v>0</v>
      </c>
      <c r="AO2542" s="3662"/>
      <c r="AP2542" s="3662"/>
      <c r="AQ2542" s="5127"/>
      <c r="AR2542" s="3662"/>
      <c r="AS2542" s="5053"/>
      <c r="AT2542" s="3662"/>
      <c r="AU2542" s="5127"/>
      <c r="AV2542" s="5127"/>
      <c r="AW2542" s="5127"/>
      <c r="AX2542" s="5127"/>
      <c r="AY2542" s="5127"/>
      <c r="AZ2542" s="5127"/>
      <c r="BA2542" s="5127"/>
      <c r="BB2542" s="5127"/>
      <c r="BC2542" s="3662"/>
      <c r="BD2542" s="5127"/>
      <c r="BE2542" s="5127"/>
      <c r="BF2542" s="5127"/>
      <c r="BG2542" s="5127"/>
      <c r="BH2542" s="3662"/>
      <c r="BI2542" s="5127"/>
      <c r="BJ2542" s="5127"/>
      <c r="BK2542" s="5127"/>
      <c r="BL2542" s="5127"/>
      <c r="BM2542" s="5127"/>
      <c r="BN2542" s="5164">
        <f>AF2542/2</f>
        <v>20500</v>
      </c>
      <c r="BO2542" s="5127"/>
      <c r="BP2542" s="5127"/>
      <c r="BQ2542" s="5127"/>
      <c r="BR2542" s="5127"/>
      <c r="BS2542" s="5127"/>
      <c r="BT2542" s="5127"/>
      <c r="BU2542" s="5127"/>
      <c r="BV2542" s="5127"/>
      <c r="BW2542" s="5127"/>
      <c r="BX2542" s="5127"/>
      <c r="BY2542" s="5127"/>
      <c r="BZ2542" s="5127"/>
      <c r="CA2542" s="5127"/>
      <c r="CB2542" s="5127"/>
      <c r="CC2542" s="3662"/>
      <c r="CD2542" s="3662"/>
      <c r="CE2542" s="6802"/>
      <c r="CF2542" s="6802"/>
      <c r="CG2542" s="6802"/>
      <c r="CH2542" s="6802"/>
    </row>
    <row r="2543" s="4992" customFormat="1" ht="61" spans="1:86">
      <c r="A2543" s="3662"/>
      <c r="B2543" s="1837"/>
      <c r="C2543" s="3662">
        <v>44519</v>
      </c>
      <c r="D2543" s="3910"/>
      <c r="E2543" s="3910"/>
      <c r="F2543" s="3910"/>
      <c r="G2543" s="3910"/>
      <c r="H2543" s="3909" t="s">
        <v>4293</v>
      </c>
      <c r="I2543" s="3910"/>
      <c r="J2543" s="5065"/>
      <c r="K2543" s="3662"/>
      <c r="L2543" s="3662"/>
      <c r="M2543" s="3684">
        <v>200000</v>
      </c>
      <c r="N2543" s="3662"/>
      <c r="O2543" s="3662"/>
      <c r="P2543" s="3662"/>
      <c r="Q2543" s="3662"/>
      <c r="R2543" s="3662"/>
      <c r="S2543" s="3662"/>
      <c r="T2543" s="3662"/>
      <c r="U2543" s="3662"/>
      <c r="V2543" s="3662"/>
      <c r="W2543" s="3662"/>
      <c r="X2543" s="3662"/>
      <c r="Y2543" s="3662"/>
      <c r="Z2543" s="3662"/>
      <c r="AA2543" s="3684">
        <v>200000</v>
      </c>
      <c r="AB2543" s="3814" t="s">
        <v>126</v>
      </c>
      <c r="AC2543" s="3662">
        <v>1</v>
      </c>
      <c r="AD2543" s="5134" t="s">
        <v>4289</v>
      </c>
      <c r="AE2543" s="2139">
        <v>0.2</v>
      </c>
      <c r="AF2543" s="3814">
        <f>200000*AE2543</f>
        <v>40000</v>
      </c>
      <c r="AG2543" s="3684">
        <f t="shared" si="536"/>
        <v>40000</v>
      </c>
      <c r="AH2543" s="3814" t="s">
        <v>122</v>
      </c>
      <c r="AI2543" s="3684">
        <v>45275</v>
      </c>
      <c r="AJ2543" s="3684">
        <v>40000</v>
      </c>
      <c r="AK2543" s="3684">
        <v>45275</v>
      </c>
      <c r="AL2543" s="5162">
        <v>40000</v>
      </c>
      <c r="AM2543" s="3684">
        <v>45603</v>
      </c>
      <c r="AN2543" s="3684">
        <f t="shared" si="537"/>
        <v>40000</v>
      </c>
      <c r="AO2543" s="3684">
        <v>45650</v>
      </c>
      <c r="AP2543" s="3662"/>
      <c r="AQ2543" s="5127"/>
      <c r="AR2543" s="3662"/>
      <c r="AS2543" s="5053"/>
      <c r="AT2543" s="3662"/>
      <c r="AU2543" s="5127"/>
      <c r="AV2543" s="5127"/>
      <c r="AW2543" s="5127"/>
      <c r="AX2543" s="5127"/>
      <c r="AY2543" s="5127"/>
      <c r="AZ2543" s="5127"/>
      <c r="BA2543" s="5127"/>
      <c r="BB2543" s="5127"/>
      <c r="BC2543" s="3662"/>
      <c r="BD2543" s="5127"/>
      <c r="BE2543" s="5127"/>
      <c r="BF2543" s="5127"/>
      <c r="BG2543" s="5127"/>
      <c r="BH2543" s="3662"/>
      <c r="BI2543" s="5127"/>
      <c r="BJ2543" s="5127"/>
      <c r="BK2543" s="5127"/>
      <c r="BL2543" s="5127"/>
      <c r="BM2543" s="5127"/>
      <c r="BN2543" s="5148">
        <v>40000</v>
      </c>
      <c r="BO2543" s="5127"/>
      <c r="BP2543" s="5127"/>
      <c r="BQ2543" s="5127"/>
      <c r="BR2543" s="5127"/>
      <c r="BS2543" s="5127"/>
      <c r="BT2543" s="5127"/>
      <c r="BU2543" s="5127"/>
      <c r="BV2543" s="5127"/>
      <c r="BW2543" s="5127"/>
      <c r="BX2543" s="5127"/>
      <c r="BY2543" s="5127"/>
      <c r="BZ2543" s="5127"/>
      <c r="CA2543" s="5127"/>
      <c r="CB2543" s="5517">
        <v>40000</v>
      </c>
      <c r="CC2543" s="3662"/>
      <c r="CD2543" s="3662"/>
      <c r="CE2543" s="6802"/>
      <c r="CF2543" s="6802"/>
      <c r="CG2543" s="6802"/>
      <c r="CH2543" s="6802"/>
    </row>
    <row r="2544" s="4992" customFormat="1" ht="46" spans="1:86">
      <c r="A2544" s="3662"/>
      <c r="B2544" s="1837"/>
      <c r="C2544" s="3662"/>
      <c r="D2544" s="3910"/>
      <c r="E2544" s="3910"/>
      <c r="F2544" s="3910"/>
      <c r="G2544" s="3910"/>
      <c r="H2544" s="3910"/>
      <c r="I2544" s="3910"/>
      <c r="J2544" s="5065"/>
      <c r="K2544" s="3662"/>
      <c r="L2544" s="3662"/>
      <c r="M2544" s="3684"/>
      <c r="N2544" s="3662"/>
      <c r="O2544" s="3662"/>
      <c r="P2544" s="3662"/>
      <c r="Q2544" s="3662"/>
      <c r="R2544" s="3662"/>
      <c r="S2544" s="3662"/>
      <c r="T2544" s="3662"/>
      <c r="U2544" s="3662"/>
      <c r="V2544" s="3662"/>
      <c r="W2544" s="3662"/>
      <c r="X2544" s="3662"/>
      <c r="Y2544" s="3662"/>
      <c r="Z2544" s="3662"/>
      <c r="AA2544" s="3684"/>
      <c r="AB2544" s="3662"/>
      <c r="AC2544" s="3814">
        <v>2</v>
      </c>
      <c r="AD2544" s="5134" t="s">
        <v>3480</v>
      </c>
      <c r="AE2544" s="2139">
        <v>0.6</v>
      </c>
      <c r="AF2544" s="3814">
        <f>200000*AE2544</f>
        <v>120000</v>
      </c>
      <c r="AG2544" s="3684">
        <f t="shared" si="536"/>
        <v>120000</v>
      </c>
      <c r="AH2544" s="3814" t="s">
        <v>122</v>
      </c>
      <c r="AI2544" s="3684">
        <v>45275</v>
      </c>
      <c r="AJ2544" s="3684">
        <v>120000</v>
      </c>
      <c r="AK2544" s="3684">
        <v>45275</v>
      </c>
      <c r="AL2544" s="5162">
        <v>120000</v>
      </c>
      <c r="AM2544" s="3684">
        <v>45603</v>
      </c>
      <c r="AN2544" s="3684">
        <f t="shared" si="537"/>
        <v>70000</v>
      </c>
      <c r="AO2544" s="3684">
        <v>45650</v>
      </c>
      <c r="AP2544" s="3662"/>
      <c r="AQ2544" s="5127"/>
      <c r="AR2544" s="3662"/>
      <c r="AS2544" s="5053"/>
      <c r="AT2544" s="3662"/>
      <c r="AU2544" s="5127"/>
      <c r="AV2544" s="5127"/>
      <c r="AW2544" s="5127"/>
      <c r="AX2544" s="5127"/>
      <c r="AY2544" s="5127"/>
      <c r="AZ2544" s="5127"/>
      <c r="BA2544" s="5127"/>
      <c r="BB2544" s="5127"/>
      <c r="BC2544" s="3662"/>
      <c r="BD2544" s="5127"/>
      <c r="BE2544" s="5127"/>
      <c r="BF2544" s="5127"/>
      <c r="BG2544" s="5127"/>
      <c r="BH2544" s="3662"/>
      <c r="BI2544" s="5127"/>
      <c r="BJ2544" s="5127"/>
      <c r="BK2544" s="5127"/>
      <c r="BL2544" s="5127"/>
      <c r="BM2544" s="5127"/>
      <c r="BN2544" s="5148">
        <v>120000</v>
      </c>
      <c r="BO2544" s="5127"/>
      <c r="BP2544" s="5127"/>
      <c r="BQ2544" s="5127"/>
      <c r="BR2544" s="5127"/>
      <c r="BS2544" s="5127"/>
      <c r="BT2544" s="5127"/>
      <c r="BU2544" s="5127"/>
      <c r="BV2544" s="5127"/>
      <c r="BW2544" s="5127"/>
      <c r="BX2544" s="5127"/>
      <c r="BY2544" s="5127"/>
      <c r="BZ2544" s="5127"/>
      <c r="CA2544" s="5127"/>
      <c r="CB2544" s="5517">
        <v>70000</v>
      </c>
      <c r="CC2544" s="3662"/>
      <c r="CD2544" s="3662"/>
      <c r="CE2544" s="6802"/>
      <c r="CF2544" s="6802"/>
      <c r="CG2544" s="6802"/>
      <c r="CH2544" s="6802"/>
    </row>
    <row r="2545" s="4992" customFormat="1" ht="31" spans="1:86">
      <c r="A2545" s="3662"/>
      <c r="B2545" s="1837"/>
      <c r="C2545" s="3662"/>
      <c r="D2545" s="3910"/>
      <c r="E2545" s="3910"/>
      <c r="F2545" s="3910"/>
      <c r="G2545" s="3910"/>
      <c r="H2545" s="3911"/>
      <c r="I2545" s="3910"/>
      <c r="J2545" s="5065"/>
      <c r="K2545" s="3662"/>
      <c r="L2545" s="3662"/>
      <c r="M2545" s="3684"/>
      <c r="N2545" s="3662"/>
      <c r="O2545" s="3662"/>
      <c r="P2545" s="3662"/>
      <c r="Q2545" s="3662"/>
      <c r="R2545" s="3662"/>
      <c r="S2545" s="3662"/>
      <c r="T2545" s="3662"/>
      <c r="U2545" s="3662"/>
      <c r="V2545" s="3662"/>
      <c r="W2545" s="3662"/>
      <c r="X2545" s="3662"/>
      <c r="Y2545" s="3662"/>
      <c r="Z2545" s="3662"/>
      <c r="AA2545" s="3684"/>
      <c r="AB2545" s="3662"/>
      <c r="AC2545" s="3662">
        <v>3</v>
      </c>
      <c r="AD2545" s="5134" t="s">
        <v>3490</v>
      </c>
      <c r="AE2545" s="2139">
        <v>0.2</v>
      </c>
      <c r="AF2545" s="3814">
        <v>40000</v>
      </c>
      <c r="AG2545" s="3708"/>
      <c r="AH2545" s="3662"/>
      <c r="AI2545" s="3662"/>
      <c r="AJ2545" s="3662"/>
      <c r="AK2545" s="3662"/>
      <c r="AL2545" s="3662"/>
      <c r="AM2545" s="3662"/>
      <c r="AN2545" s="3684">
        <f t="shared" si="537"/>
        <v>0</v>
      </c>
      <c r="AO2545" s="3662"/>
      <c r="AP2545" s="3662"/>
      <c r="AQ2545" s="5127"/>
      <c r="AR2545" s="3662"/>
      <c r="AS2545" s="5053"/>
      <c r="AT2545" s="3662"/>
      <c r="AU2545" s="5127"/>
      <c r="AV2545" s="5127"/>
      <c r="AW2545" s="5127"/>
      <c r="AX2545" s="5127"/>
      <c r="AY2545" s="5127"/>
      <c r="AZ2545" s="5127"/>
      <c r="BA2545" s="5127"/>
      <c r="BB2545" s="5127"/>
      <c r="BC2545" s="3662"/>
      <c r="BD2545" s="5127"/>
      <c r="BE2545" s="5127"/>
      <c r="BF2545" s="5127"/>
      <c r="BG2545" s="5127"/>
      <c r="BH2545" s="3662"/>
      <c r="BI2545" s="5127"/>
      <c r="BJ2545" s="5127"/>
      <c r="BK2545" s="5127"/>
      <c r="BL2545" s="5127"/>
      <c r="BM2545" s="5127"/>
      <c r="BN2545" s="5164">
        <f>AF2545/2</f>
        <v>20000</v>
      </c>
      <c r="BO2545" s="5127"/>
      <c r="BP2545" s="5127"/>
      <c r="BQ2545" s="5127"/>
      <c r="BR2545" s="5127"/>
      <c r="BS2545" s="5127"/>
      <c r="BT2545" s="5127"/>
      <c r="BU2545" s="5127"/>
      <c r="BV2545" s="5127"/>
      <c r="BW2545" s="5127"/>
      <c r="BX2545" s="5127"/>
      <c r="BY2545" s="5127"/>
      <c r="BZ2545" s="5127"/>
      <c r="CA2545" s="5127"/>
      <c r="CB2545" s="5127"/>
      <c r="CC2545" s="3662"/>
      <c r="CD2545" s="3662"/>
      <c r="CE2545" s="6802"/>
      <c r="CF2545" s="6802"/>
      <c r="CG2545" s="6802"/>
      <c r="CH2545" s="6802"/>
    </row>
    <row r="2546" s="4992" customFormat="1" ht="61" spans="1:86">
      <c r="A2546" s="3662"/>
      <c r="B2546" s="1837"/>
      <c r="C2546" s="3662">
        <v>44519</v>
      </c>
      <c r="D2546" s="3910"/>
      <c r="E2546" s="3910"/>
      <c r="F2546" s="3910"/>
      <c r="G2546" s="3910"/>
      <c r="H2546" s="5714" t="s">
        <v>4294</v>
      </c>
      <c r="I2546" s="6029"/>
      <c r="J2546" s="5065"/>
      <c r="K2546" s="3662"/>
      <c r="L2546" s="3662"/>
      <c r="M2546" s="3684">
        <v>365849.2</v>
      </c>
      <c r="N2546" s="3662"/>
      <c r="O2546" s="3662"/>
      <c r="P2546" s="3662"/>
      <c r="Q2546" s="3662"/>
      <c r="R2546" s="3662"/>
      <c r="S2546" s="3662"/>
      <c r="T2546" s="3662"/>
      <c r="U2546" s="3662"/>
      <c r="V2546" s="3662"/>
      <c r="W2546" s="3662"/>
      <c r="X2546" s="3662"/>
      <c r="Y2546" s="3662"/>
      <c r="Z2546" s="3662"/>
      <c r="AA2546" s="3662">
        <v>365849.2</v>
      </c>
      <c r="AB2546" s="3814" t="s">
        <v>126</v>
      </c>
      <c r="AC2546" s="3662">
        <v>1</v>
      </c>
      <c r="AD2546" s="5134" t="s">
        <v>4289</v>
      </c>
      <c r="AE2546" s="2139">
        <v>0.2</v>
      </c>
      <c r="AF2546" s="3662">
        <f>AA2546*AE2546</f>
        <v>73169.84</v>
      </c>
      <c r="AG2546" s="3684">
        <f t="shared" ref="AG2546:AG2557" si="538">SUM(BA2546:BN2546)</f>
        <v>73169.84</v>
      </c>
      <c r="AH2546" s="3814" t="s">
        <v>122</v>
      </c>
      <c r="AI2546" s="3684">
        <v>44665</v>
      </c>
      <c r="AJ2546" s="3684">
        <v>73169.84</v>
      </c>
      <c r="AK2546" s="3684">
        <v>44665</v>
      </c>
      <c r="AL2546" s="3684">
        <v>73169.84</v>
      </c>
      <c r="AM2546" s="3662">
        <v>44666</v>
      </c>
      <c r="AN2546" s="3684">
        <f t="shared" si="537"/>
        <v>73169.84</v>
      </c>
      <c r="AO2546" s="3684">
        <v>44676</v>
      </c>
      <c r="AP2546" s="3662"/>
      <c r="AQ2546" s="5127"/>
      <c r="AR2546" s="3662"/>
      <c r="AS2546" s="5053"/>
      <c r="AT2546" s="3662"/>
      <c r="AU2546" s="5127"/>
      <c r="AV2546" s="5127"/>
      <c r="AW2546" s="5127"/>
      <c r="AX2546" s="5127"/>
      <c r="AY2546" s="5127"/>
      <c r="AZ2546" s="5127"/>
      <c r="BA2546" s="5148"/>
      <c r="BB2546" s="5148"/>
      <c r="BC2546" s="5162"/>
      <c r="BD2546" s="5148"/>
      <c r="BE2546" s="5148"/>
      <c r="BF2546" s="5148"/>
      <c r="BG2546" s="5148"/>
      <c r="BH2546" s="3684"/>
      <c r="BI2546" s="5517"/>
      <c r="BJ2546" s="5148"/>
      <c r="BK2546" s="5148"/>
      <c r="BL2546" s="5148"/>
      <c r="BM2546" s="5148"/>
      <c r="BN2546" s="5517">
        <v>73169.84</v>
      </c>
      <c r="BO2546" s="5517"/>
      <c r="BP2546" s="5517"/>
      <c r="BQ2546" s="5517"/>
      <c r="BR2546" s="5517"/>
      <c r="BS2546" s="5517"/>
      <c r="BT2546" s="5517"/>
      <c r="BU2546" s="5517"/>
      <c r="BV2546" s="5517"/>
      <c r="BW2546" s="5517"/>
      <c r="BX2546" s="5517"/>
      <c r="BY2546" s="5517"/>
      <c r="BZ2546" s="5517"/>
      <c r="CA2546" s="5517"/>
      <c r="CB2546" s="5148">
        <v>73169.84</v>
      </c>
      <c r="CC2546" s="3662"/>
      <c r="CD2546" s="3662"/>
      <c r="CE2546" s="6802"/>
      <c r="CF2546" s="6802"/>
      <c r="CG2546" s="6802"/>
      <c r="CH2546" s="6802"/>
    </row>
    <row r="2547" s="4992" customFormat="1" ht="46" spans="1:86">
      <c r="A2547" s="3662"/>
      <c r="B2547" s="1837"/>
      <c r="C2547" s="3662"/>
      <c r="D2547" s="3910"/>
      <c r="E2547" s="3910"/>
      <c r="F2547" s="3910"/>
      <c r="G2547" s="3910"/>
      <c r="H2547" s="3742"/>
      <c r="I2547" s="3669"/>
      <c r="J2547" s="5065"/>
      <c r="K2547" s="3662"/>
      <c r="L2547" s="3662"/>
      <c r="M2547" s="3684"/>
      <c r="N2547" s="3662"/>
      <c r="O2547" s="3662"/>
      <c r="P2547" s="3662"/>
      <c r="Q2547" s="3662"/>
      <c r="R2547" s="3662"/>
      <c r="S2547" s="3662"/>
      <c r="T2547" s="3662"/>
      <c r="U2547" s="3662"/>
      <c r="V2547" s="3662"/>
      <c r="W2547" s="3662"/>
      <c r="X2547" s="3662"/>
      <c r="Y2547" s="3662"/>
      <c r="Z2547" s="3662"/>
      <c r="AA2547" s="3662"/>
      <c r="AB2547" s="3662"/>
      <c r="AC2547" s="3662">
        <v>2</v>
      </c>
      <c r="AD2547" s="5134" t="s">
        <v>3480</v>
      </c>
      <c r="AE2547" s="2139">
        <v>0.6</v>
      </c>
      <c r="AF2547" s="3662">
        <f>AA2546*AE2547</f>
        <v>219509.52</v>
      </c>
      <c r="AG2547" s="3684">
        <f t="shared" si="538"/>
        <v>219509.52</v>
      </c>
      <c r="AH2547" s="3814" t="s">
        <v>122</v>
      </c>
      <c r="AI2547" s="3684">
        <v>44915</v>
      </c>
      <c r="AJ2547" s="3662">
        <v>219509.52</v>
      </c>
      <c r="AK2547" s="3684">
        <v>44915</v>
      </c>
      <c r="AL2547" s="3684">
        <v>219509.52</v>
      </c>
      <c r="AM2547" s="3684">
        <v>44964</v>
      </c>
      <c r="AN2547" s="3684">
        <f t="shared" si="537"/>
        <v>219509.52</v>
      </c>
      <c r="AO2547" s="3814">
        <v>45068</v>
      </c>
      <c r="AP2547" s="3662"/>
      <c r="AQ2547" s="5127"/>
      <c r="AR2547" s="3662"/>
      <c r="AS2547" s="5053"/>
      <c r="AT2547" s="3662"/>
      <c r="AU2547" s="5127"/>
      <c r="AV2547" s="5127"/>
      <c r="AW2547" s="5127"/>
      <c r="AX2547" s="5127"/>
      <c r="AY2547" s="5127"/>
      <c r="AZ2547" s="5127"/>
      <c r="BA2547" s="5148"/>
      <c r="BB2547" s="5148"/>
      <c r="BC2547" s="3684"/>
      <c r="BD2547" s="5148"/>
      <c r="BE2547" s="5148"/>
      <c r="BF2547" s="5148"/>
      <c r="BG2547" s="5148"/>
      <c r="BH2547" s="3684"/>
      <c r="BI2547" s="5148"/>
      <c r="BJ2547" s="5148"/>
      <c r="BK2547" s="5148"/>
      <c r="BL2547" s="5148"/>
      <c r="BM2547" s="5148"/>
      <c r="BN2547" s="5148">
        <v>219509.52</v>
      </c>
      <c r="BO2547" s="5127"/>
      <c r="BP2547" s="5127"/>
      <c r="BQ2547" s="5127"/>
      <c r="BR2547" s="5127"/>
      <c r="BS2547" s="5127"/>
      <c r="BT2547" s="5127"/>
      <c r="BU2547" s="5127"/>
      <c r="BV2547" s="5127"/>
      <c r="BW2547" s="5127"/>
      <c r="BX2547" s="5127"/>
      <c r="BY2547" s="5127"/>
      <c r="BZ2547" s="5127"/>
      <c r="CA2547" s="5127"/>
      <c r="CB2547" s="5148">
        <v>219509.52</v>
      </c>
      <c r="CC2547" s="3662"/>
      <c r="CD2547" s="3662"/>
      <c r="CE2547" s="6802"/>
      <c r="CF2547" s="6802"/>
      <c r="CG2547" s="6802"/>
      <c r="CH2547" s="6802"/>
    </row>
    <row r="2548" s="4992" customFormat="1" ht="31" spans="1:86">
      <c r="A2548" s="3662"/>
      <c r="B2548" s="1837"/>
      <c r="C2548" s="3662"/>
      <c r="D2548" s="3910"/>
      <c r="E2548" s="3910"/>
      <c r="F2548" s="3910"/>
      <c r="G2548" s="3910"/>
      <c r="H2548" s="6737"/>
      <c r="I2548" s="7150"/>
      <c r="J2548" s="5065"/>
      <c r="K2548" s="3662"/>
      <c r="L2548" s="3662"/>
      <c r="M2548" s="3684"/>
      <c r="N2548" s="3662"/>
      <c r="O2548" s="3662"/>
      <c r="P2548" s="3662"/>
      <c r="Q2548" s="3662"/>
      <c r="R2548" s="3662"/>
      <c r="S2548" s="3662"/>
      <c r="T2548" s="3662"/>
      <c r="U2548" s="3662"/>
      <c r="V2548" s="3662"/>
      <c r="W2548" s="3662"/>
      <c r="X2548" s="3662"/>
      <c r="Y2548" s="3662"/>
      <c r="Z2548" s="3662"/>
      <c r="AA2548" s="3662"/>
      <c r="AB2548" s="3662"/>
      <c r="AC2548" s="3662">
        <v>3</v>
      </c>
      <c r="AD2548" s="5134" t="s">
        <v>3490</v>
      </c>
      <c r="AE2548" s="2139">
        <v>0.2</v>
      </c>
      <c r="AF2548" s="3662">
        <f>AA2546*AE2548</f>
        <v>73169.84</v>
      </c>
      <c r="AG2548" s="3684">
        <f t="shared" si="538"/>
        <v>36584.92</v>
      </c>
      <c r="AH2548" s="3662"/>
      <c r="AI2548" s="3662"/>
      <c r="AJ2548" s="3662"/>
      <c r="AK2548" s="3662"/>
      <c r="AL2548" s="3662"/>
      <c r="AM2548" s="3662"/>
      <c r="AN2548" s="3684">
        <f t="shared" si="537"/>
        <v>0</v>
      </c>
      <c r="AO2548" s="3662"/>
      <c r="AP2548" s="3662"/>
      <c r="AQ2548" s="5127"/>
      <c r="AR2548" s="3662"/>
      <c r="AS2548" s="5053"/>
      <c r="AT2548" s="3662"/>
      <c r="AU2548" s="5127"/>
      <c r="AV2548" s="5127"/>
      <c r="AW2548" s="5127"/>
      <c r="AX2548" s="5127"/>
      <c r="AY2548" s="5127"/>
      <c r="AZ2548" s="5127"/>
      <c r="BA2548" s="5127"/>
      <c r="BB2548" s="5127"/>
      <c r="BC2548" s="3662"/>
      <c r="BD2548" s="5127"/>
      <c r="BE2548" s="5127"/>
      <c r="BF2548" s="5127"/>
      <c r="BG2548" s="5127"/>
      <c r="BH2548" s="3662"/>
      <c r="BI2548" s="5127"/>
      <c r="BJ2548" s="5127"/>
      <c r="BK2548" s="5127"/>
      <c r="BL2548" s="5127"/>
      <c r="BM2548" s="5127"/>
      <c r="BN2548" s="5164">
        <f>AF2548/2</f>
        <v>36584.92</v>
      </c>
      <c r="BO2548" s="5127"/>
      <c r="BP2548" s="5127"/>
      <c r="BQ2548" s="5127"/>
      <c r="BR2548" s="5127"/>
      <c r="BS2548" s="5127"/>
      <c r="BT2548" s="5127"/>
      <c r="BU2548" s="5127"/>
      <c r="BV2548" s="5127"/>
      <c r="BW2548" s="5127"/>
      <c r="BX2548" s="5127"/>
      <c r="BY2548" s="5127"/>
      <c r="BZ2548" s="5127"/>
      <c r="CA2548" s="5127"/>
      <c r="CB2548" s="5127"/>
      <c r="CC2548" s="3662"/>
      <c r="CD2548" s="3662"/>
      <c r="CE2548" s="6802"/>
      <c r="CF2548" s="6802"/>
      <c r="CG2548" s="6802"/>
      <c r="CH2548" s="6802"/>
    </row>
    <row r="2549" s="4992" customFormat="1" ht="61" spans="1:86">
      <c r="A2549" s="3662"/>
      <c r="B2549" s="1837"/>
      <c r="C2549" s="3662">
        <v>44519</v>
      </c>
      <c r="D2549" s="3910"/>
      <c r="E2549" s="3910"/>
      <c r="F2549" s="3910"/>
      <c r="G2549" s="3910"/>
      <c r="H2549" s="5055" t="s">
        <v>4295</v>
      </c>
      <c r="I2549" s="3910"/>
      <c r="J2549" s="5065"/>
      <c r="K2549" s="3662"/>
      <c r="L2549" s="3662"/>
      <c r="M2549" s="3684">
        <v>600000</v>
      </c>
      <c r="N2549" s="3662"/>
      <c r="O2549" s="3662"/>
      <c r="P2549" s="3662"/>
      <c r="Q2549" s="3662"/>
      <c r="R2549" s="3662"/>
      <c r="S2549" s="3662"/>
      <c r="T2549" s="3662"/>
      <c r="U2549" s="3662"/>
      <c r="V2549" s="3662"/>
      <c r="W2549" s="3662"/>
      <c r="X2549" s="3662"/>
      <c r="Y2549" s="3662"/>
      <c r="Z2549" s="3662"/>
      <c r="AA2549" s="3662">
        <v>600000</v>
      </c>
      <c r="AB2549" s="3814" t="s">
        <v>126</v>
      </c>
      <c r="AC2549" s="3662">
        <v>1</v>
      </c>
      <c r="AD2549" s="5134" t="s">
        <v>4289</v>
      </c>
      <c r="AE2549" s="2139">
        <v>0.2</v>
      </c>
      <c r="AF2549" s="3662">
        <f>AA2549*AE2549</f>
        <v>120000</v>
      </c>
      <c r="AG2549" s="3684">
        <f t="shared" si="538"/>
        <v>120000</v>
      </c>
      <c r="AH2549" s="3814" t="s">
        <v>122</v>
      </c>
      <c r="AI2549" s="3684">
        <v>44665</v>
      </c>
      <c r="AJ2549" s="3684">
        <v>120000</v>
      </c>
      <c r="AK2549" s="3684">
        <v>44665</v>
      </c>
      <c r="AL2549" s="3684">
        <v>120000</v>
      </c>
      <c r="AM2549" s="3662">
        <v>44666</v>
      </c>
      <c r="AN2549" s="3684">
        <f t="shared" si="537"/>
        <v>120000</v>
      </c>
      <c r="AO2549" s="3684">
        <v>44676</v>
      </c>
      <c r="AP2549" s="3662"/>
      <c r="AQ2549" s="5127"/>
      <c r="AR2549" s="3662"/>
      <c r="AS2549" s="5053"/>
      <c r="AT2549" s="3662"/>
      <c r="AU2549" s="5127"/>
      <c r="AV2549" s="5127"/>
      <c r="AW2549" s="5127"/>
      <c r="AX2549" s="5127"/>
      <c r="AY2549" s="5127"/>
      <c r="AZ2549" s="5127"/>
      <c r="BA2549" s="5148"/>
      <c r="BB2549" s="5148"/>
      <c r="BC2549" s="5162"/>
      <c r="BD2549" s="5148"/>
      <c r="BE2549" s="5148"/>
      <c r="BF2549" s="5148"/>
      <c r="BG2549" s="5148"/>
      <c r="BH2549" s="3684"/>
      <c r="BI2549" s="5517"/>
      <c r="BJ2549" s="5148"/>
      <c r="BK2549" s="5148"/>
      <c r="BL2549" s="5148"/>
      <c r="BM2549" s="5148"/>
      <c r="BN2549" s="5517">
        <v>120000</v>
      </c>
      <c r="BO2549" s="5517"/>
      <c r="BP2549" s="5517"/>
      <c r="BQ2549" s="5517"/>
      <c r="BR2549" s="5517"/>
      <c r="BS2549" s="5517"/>
      <c r="BT2549" s="5517"/>
      <c r="BU2549" s="5517"/>
      <c r="BV2549" s="5517"/>
      <c r="BW2549" s="5517"/>
      <c r="BX2549" s="5517"/>
      <c r="BY2549" s="5517"/>
      <c r="BZ2549" s="5517"/>
      <c r="CA2549" s="5517"/>
      <c r="CB2549" s="5148">
        <v>120000</v>
      </c>
      <c r="CC2549" s="3662"/>
      <c r="CD2549" s="3662"/>
      <c r="CE2549" s="6802"/>
      <c r="CF2549" s="6802"/>
      <c r="CG2549" s="6802"/>
      <c r="CH2549" s="6802"/>
    </row>
    <row r="2550" s="4992" customFormat="1" ht="46" spans="1:86">
      <c r="A2550" s="3662"/>
      <c r="B2550" s="1837"/>
      <c r="C2550" s="3662"/>
      <c r="D2550" s="3910"/>
      <c r="E2550" s="3910"/>
      <c r="F2550" s="3910"/>
      <c r="G2550" s="3910"/>
      <c r="H2550" s="5053"/>
      <c r="I2550" s="5065"/>
      <c r="J2550" s="5065"/>
      <c r="K2550" s="3662"/>
      <c r="L2550" s="3662"/>
      <c r="M2550" s="3684"/>
      <c r="N2550" s="3662"/>
      <c r="O2550" s="3662"/>
      <c r="P2550" s="3662"/>
      <c r="Q2550" s="3662"/>
      <c r="R2550" s="3662"/>
      <c r="S2550" s="3662"/>
      <c r="T2550" s="3662"/>
      <c r="U2550" s="3662"/>
      <c r="V2550" s="3662"/>
      <c r="W2550" s="3662"/>
      <c r="X2550" s="3662"/>
      <c r="Y2550" s="3662"/>
      <c r="Z2550" s="3662"/>
      <c r="AA2550" s="3662"/>
      <c r="AB2550" s="3662"/>
      <c r="AC2550" s="3662">
        <v>2</v>
      </c>
      <c r="AD2550" s="5134" t="s">
        <v>3480</v>
      </c>
      <c r="AE2550" s="2139">
        <v>0.6</v>
      </c>
      <c r="AF2550" s="3662">
        <f>AA2549*AE2550</f>
        <v>360000</v>
      </c>
      <c r="AG2550" s="3684">
        <f t="shared" si="538"/>
        <v>360000</v>
      </c>
      <c r="AH2550" s="3814" t="s">
        <v>122</v>
      </c>
      <c r="AI2550" s="3684">
        <v>44665</v>
      </c>
      <c r="AJ2550" s="3684">
        <v>360000</v>
      </c>
      <c r="AK2550" s="3684">
        <v>44665</v>
      </c>
      <c r="AL2550" s="3684">
        <v>360000</v>
      </c>
      <c r="AM2550" s="3662">
        <v>44666</v>
      </c>
      <c r="AN2550" s="3684">
        <f t="shared" si="537"/>
        <v>360000</v>
      </c>
      <c r="AO2550" s="3684">
        <v>44676</v>
      </c>
      <c r="AP2550" s="3662"/>
      <c r="AQ2550" s="5127"/>
      <c r="AR2550" s="3662"/>
      <c r="AS2550" s="5053"/>
      <c r="AT2550" s="3662"/>
      <c r="AU2550" s="5127"/>
      <c r="AV2550" s="5127"/>
      <c r="AW2550" s="5127"/>
      <c r="AX2550" s="5127"/>
      <c r="AY2550" s="5127"/>
      <c r="AZ2550" s="5127"/>
      <c r="BA2550" s="5148"/>
      <c r="BB2550" s="5148"/>
      <c r="BC2550" s="5162"/>
      <c r="BD2550" s="5148"/>
      <c r="BE2550" s="5148"/>
      <c r="BF2550" s="5148"/>
      <c r="BG2550" s="5148"/>
      <c r="BH2550" s="3684"/>
      <c r="BI2550" s="5517"/>
      <c r="BJ2550" s="5148"/>
      <c r="BK2550" s="5148"/>
      <c r="BL2550" s="5148"/>
      <c r="BM2550" s="5148"/>
      <c r="BN2550" s="5517">
        <v>360000</v>
      </c>
      <c r="BO2550" s="5517"/>
      <c r="BP2550" s="5517"/>
      <c r="BQ2550" s="5517"/>
      <c r="BR2550" s="5517"/>
      <c r="BS2550" s="5517"/>
      <c r="BT2550" s="5517"/>
      <c r="BU2550" s="5517"/>
      <c r="BV2550" s="5517"/>
      <c r="BW2550" s="5517"/>
      <c r="BX2550" s="5517"/>
      <c r="BY2550" s="5517"/>
      <c r="BZ2550" s="5517"/>
      <c r="CA2550" s="5517"/>
      <c r="CB2550" s="5148">
        <v>360000</v>
      </c>
      <c r="CC2550" s="3662"/>
      <c r="CD2550" s="3662"/>
      <c r="CE2550" s="6802"/>
      <c r="CF2550" s="6802"/>
      <c r="CG2550" s="6802"/>
      <c r="CH2550" s="6802"/>
    </row>
    <row r="2551" s="4992" customFormat="1" ht="31" spans="1:86">
      <c r="A2551" s="3662"/>
      <c r="B2551" s="1837"/>
      <c r="C2551" s="3662"/>
      <c r="D2551" s="3910"/>
      <c r="E2551" s="3910"/>
      <c r="F2551" s="3910"/>
      <c r="G2551" s="3910"/>
      <c r="H2551" s="5053"/>
      <c r="I2551" s="5065"/>
      <c r="J2551" s="5065"/>
      <c r="K2551" s="3662"/>
      <c r="L2551" s="3662"/>
      <c r="M2551" s="3684"/>
      <c r="N2551" s="3662"/>
      <c r="O2551" s="3662"/>
      <c r="P2551" s="3662"/>
      <c r="Q2551" s="3662"/>
      <c r="R2551" s="3662"/>
      <c r="S2551" s="3662"/>
      <c r="T2551" s="3662"/>
      <c r="U2551" s="3662"/>
      <c r="V2551" s="3662"/>
      <c r="W2551" s="3662"/>
      <c r="X2551" s="3662"/>
      <c r="Y2551" s="3662"/>
      <c r="Z2551" s="3662"/>
      <c r="AA2551" s="3662"/>
      <c r="AB2551" s="3662"/>
      <c r="AC2551" s="3662">
        <v>3</v>
      </c>
      <c r="AD2551" s="5134" t="s">
        <v>3490</v>
      </c>
      <c r="AE2551" s="2139">
        <v>0.2</v>
      </c>
      <c r="AF2551" s="3662">
        <f>AA2549*AE2551</f>
        <v>120000</v>
      </c>
      <c r="AG2551" s="3684">
        <f t="shared" si="538"/>
        <v>60000</v>
      </c>
      <c r="AH2551" s="3662"/>
      <c r="AI2551" s="3662"/>
      <c r="AJ2551" s="3662"/>
      <c r="AK2551" s="3662"/>
      <c r="AL2551" s="3662"/>
      <c r="AM2551" s="3662"/>
      <c r="AN2551" s="3684">
        <f t="shared" si="537"/>
        <v>0</v>
      </c>
      <c r="AO2551" s="3662"/>
      <c r="AP2551" s="3662"/>
      <c r="AQ2551" s="5127"/>
      <c r="AR2551" s="3662"/>
      <c r="AS2551" s="5053"/>
      <c r="AT2551" s="3662"/>
      <c r="AU2551" s="5127"/>
      <c r="AV2551" s="5127"/>
      <c r="AW2551" s="5127"/>
      <c r="AX2551" s="5127"/>
      <c r="AY2551" s="5127"/>
      <c r="AZ2551" s="5127"/>
      <c r="BA2551" s="5127"/>
      <c r="BB2551" s="5127"/>
      <c r="BC2551" s="3662"/>
      <c r="BD2551" s="5127"/>
      <c r="BE2551" s="5127"/>
      <c r="BF2551" s="5127"/>
      <c r="BG2551" s="5127"/>
      <c r="BH2551" s="3662"/>
      <c r="BI2551" s="5127"/>
      <c r="BJ2551" s="5127"/>
      <c r="BK2551" s="5127"/>
      <c r="BL2551" s="5127"/>
      <c r="BM2551" s="5127"/>
      <c r="BN2551" s="5164">
        <f>AF2551/2</f>
        <v>60000</v>
      </c>
      <c r="BO2551" s="5127"/>
      <c r="BP2551" s="5127"/>
      <c r="BQ2551" s="5127"/>
      <c r="BR2551" s="5127"/>
      <c r="BS2551" s="5127"/>
      <c r="BT2551" s="5127"/>
      <c r="BU2551" s="5127"/>
      <c r="BV2551" s="5127"/>
      <c r="BW2551" s="5127"/>
      <c r="BX2551" s="5127"/>
      <c r="BY2551" s="5127"/>
      <c r="BZ2551" s="5127"/>
      <c r="CA2551" s="5127"/>
      <c r="CB2551" s="5127"/>
      <c r="CC2551" s="3662"/>
      <c r="CD2551" s="3662"/>
      <c r="CE2551" s="6802"/>
      <c r="CF2551" s="6802"/>
      <c r="CG2551" s="6802"/>
      <c r="CH2551" s="6802"/>
    </row>
    <row r="2552" s="4992" customFormat="1" ht="61" spans="1:86">
      <c r="A2552" s="3662"/>
      <c r="B2552" s="1837"/>
      <c r="C2552" s="3662">
        <v>44519</v>
      </c>
      <c r="D2552" s="3910"/>
      <c r="E2552" s="3910"/>
      <c r="F2552" s="3910"/>
      <c r="G2552" s="3910"/>
      <c r="H2552" s="5055" t="s">
        <v>4296</v>
      </c>
      <c r="I2552" s="3910"/>
      <c r="J2552" s="5065"/>
      <c r="K2552" s="3662"/>
      <c r="L2552" s="3662"/>
      <c r="M2552" s="5163"/>
      <c r="N2552" s="3662"/>
      <c r="O2552" s="3662"/>
      <c r="P2552" s="3662"/>
      <c r="Q2552" s="3662"/>
      <c r="R2552" s="3662"/>
      <c r="S2552" s="3662"/>
      <c r="T2552" s="3662"/>
      <c r="U2552" s="3662"/>
      <c r="V2552" s="3662"/>
      <c r="W2552" s="3662"/>
      <c r="X2552" s="3662"/>
      <c r="Y2552" s="3662"/>
      <c r="Z2552" s="3662"/>
      <c r="AA2552" s="3662"/>
      <c r="AB2552" s="3814" t="s">
        <v>126</v>
      </c>
      <c r="AC2552" s="3662">
        <v>1</v>
      </c>
      <c r="AD2552" s="5134" t="s">
        <v>4289</v>
      </c>
      <c r="AE2552" s="2139">
        <v>0.2</v>
      </c>
      <c r="AF2552" s="3662"/>
      <c r="AG2552" s="3684">
        <f t="shared" si="538"/>
        <v>0</v>
      </c>
      <c r="AH2552" s="3708"/>
      <c r="AI2552" s="3708"/>
      <c r="AJ2552" s="3662"/>
      <c r="AK2552" s="3662"/>
      <c r="AL2552" s="3662"/>
      <c r="AM2552" s="3662"/>
      <c r="AN2552" s="3684">
        <f t="shared" si="537"/>
        <v>0</v>
      </c>
      <c r="AO2552" s="3708"/>
      <c r="AP2552" s="3662"/>
      <c r="AQ2552" s="5127"/>
      <c r="AR2552" s="3662"/>
      <c r="AS2552" s="5053"/>
      <c r="AT2552" s="3662"/>
      <c r="AU2552" s="5127"/>
      <c r="AV2552" s="5127"/>
      <c r="AW2552" s="5127"/>
      <c r="AX2552" s="5127"/>
      <c r="AY2552" s="5127"/>
      <c r="AZ2552" s="5127"/>
      <c r="BA2552" s="5127"/>
      <c r="BB2552" s="5127"/>
      <c r="BC2552" s="3662"/>
      <c r="BD2552" s="5127"/>
      <c r="BE2552" s="5127"/>
      <c r="BF2552" s="5127"/>
      <c r="BG2552" s="5127"/>
      <c r="BH2552" s="3662"/>
      <c r="BI2552" s="5127"/>
      <c r="BJ2552" s="5127"/>
      <c r="BK2552" s="5127"/>
      <c r="BL2552" s="5127"/>
      <c r="BM2552" s="5127"/>
      <c r="BN2552" s="5127"/>
      <c r="BO2552" s="5127"/>
      <c r="BP2552" s="5127"/>
      <c r="BQ2552" s="5127"/>
      <c r="BR2552" s="5127"/>
      <c r="BS2552" s="5127"/>
      <c r="BT2552" s="5127"/>
      <c r="BU2552" s="5127"/>
      <c r="BV2552" s="5127"/>
      <c r="BW2552" s="5127"/>
      <c r="BX2552" s="5127"/>
      <c r="BY2552" s="5127"/>
      <c r="BZ2552" s="5127"/>
      <c r="CA2552" s="5127"/>
      <c r="CB2552" s="5127"/>
      <c r="CC2552" s="3662"/>
      <c r="CD2552" s="3662"/>
      <c r="CE2552" s="6802"/>
      <c r="CF2552" s="6802"/>
      <c r="CG2552" s="6802"/>
      <c r="CH2552" s="6802"/>
    </row>
    <row r="2553" s="4992" customFormat="1" ht="46" spans="1:86">
      <c r="A2553" s="3662"/>
      <c r="B2553" s="1837"/>
      <c r="C2553" s="3662"/>
      <c r="D2553" s="3910"/>
      <c r="E2553" s="3910"/>
      <c r="F2553" s="3910"/>
      <c r="G2553" s="3910"/>
      <c r="H2553" s="5053"/>
      <c r="I2553" s="5065"/>
      <c r="J2553" s="5065"/>
      <c r="K2553" s="3662"/>
      <c r="L2553" s="3662"/>
      <c r="M2553" s="5163"/>
      <c r="N2553" s="3662"/>
      <c r="O2553" s="3662"/>
      <c r="P2553" s="3662"/>
      <c r="Q2553" s="3662"/>
      <c r="R2553" s="3662"/>
      <c r="S2553" s="3662"/>
      <c r="T2553" s="3662"/>
      <c r="U2553" s="3662"/>
      <c r="V2553" s="3662"/>
      <c r="W2553" s="3662"/>
      <c r="X2553" s="3662"/>
      <c r="Y2553" s="3662"/>
      <c r="Z2553" s="3662"/>
      <c r="AA2553" s="3662"/>
      <c r="AB2553" s="3662"/>
      <c r="AC2553" s="3662">
        <v>2</v>
      </c>
      <c r="AD2553" s="5134" t="s">
        <v>3480</v>
      </c>
      <c r="AE2553" s="2139">
        <v>0.6</v>
      </c>
      <c r="AF2553" s="3662"/>
      <c r="AG2553" s="3684">
        <f t="shared" si="538"/>
        <v>0</v>
      </c>
      <c r="AH2553" s="3708"/>
      <c r="AI2553" s="3708"/>
      <c r="AJ2553" s="3662"/>
      <c r="AK2553" s="3662"/>
      <c r="AL2553" s="3662"/>
      <c r="AM2553" s="3662"/>
      <c r="AN2553" s="3684">
        <f t="shared" si="537"/>
        <v>0</v>
      </c>
      <c r="AO2553" s="3708"/>
      <c r="AP2553" s="3662"/>
      <c r="AQ2553" s="5127"/>
      <c r="AR2553" s="3662"/>
      <c r="AS2553" s="5053"/>
      <c r="AT2553" s="3662"/>
      <c r="AU2553" s="5127"/>
      <c r="AV2553" s="5127"/>
      <c r="AW2553" s="5127"/>
      <c r="AX2553" s="5127"/>
      <c r="AY2553" s="5127"/>
      <c r="AZ2553" s="5127"/>
      <c r="BA2553" s="5127"/>
      <c r="BB2553" s="5127"/>
      <c r="BC2553" s="3662"/>
      <c r="BD2553" s="5127"/>
      <c r="BE2553" s="5127"/>
      <c r="BF2553" s="5127"/>
      <c r="BG2553" s="5127"/>
      <c r="BH2553" s="3662"/>
      <c r="BI2553" s="5127"/>
      <c r="BJ2553" s="5127"/>
      <c r="BK2553" s="5127"/>
      <c r="BL2553" s="5127"/>
      <c r="BM2553" s="5127"/>
      <c r="BN2553" s="5127"/>
      <c r="BO2553" s="5127"/>
      <c r="BP2553" s="5127"/>
      <c r="BQ2553" s="5127"/>
      <c r="BR2553" s="5127"/>
      <c r="BS2553" s="5127"/>
      <c r="BT2553" s="5127"/>
      <c r="BU2553" s="5127"/>
      <c r="BV2553" s="5127"/>
      <c r="BW2553" s="5127"/>
      <c r="BX2553" s="5127"/>
      <c r="BY2553" s="5127"/>
      <c r="BZ2553" s="5127"/>
      <c r="CA2553" s="5127"/>
      <c r="CB2553" s="5127"/>
      <c r="CC2553" s="3662"/>
      <c r="CD2553" s="3662"/>
      <c r="CE2553" s="6802"/>
      <c r="CF2553" s="6802"/>
      <c r="CG2553" s="6802"/>
      <c r="CH2553" s="6802"/>
    </row>
    <row r="2554" s="4992" customFormat="1" ht="31" spans="1:86">
      <c r="A2554" s="3662"/>
      <c r="B2554" s="1837"/>
      <c r="C2554" s="3662"/>
      <c r="D2554" s="3910"/>
      <c r="E2554" s="3910"/>
      <c r="F2554" s="3910"/>
      <c r="G2554" s="3910"/>
      <c r="H2554" s="5053"/>
      <c r="I2554" s="5065"/>
      <c r="J2554" s="5065"/>
      <c r="K2554" s="3662"/>
      <c r="L2554" s="3662"/>
      <c r="M2554" s="5163"/>
      <c r="N2554" s="3662"/>
      <c r="O2554" s="3662"/>
      <c r="P2554" s="3662"/>
      <c r="Q2554" s="3662"/>
      <c r="R2554" s="3662"/>
      <c r="S2554" s="3662"/>
      <c r="T2554" s="3662"/>
      <c r="U2554" s="3662"/>
      <c r="V2554" s="3662"/>
      <c r="W2554" s="3662"/>
      <c r="X2554" s="3662"/>
      <c r="Y2554" s="3662"/>
      <c r="Z2554" s="3662"/>
      <c r="AA2554" s="3662"/>
      <c r="AB2554" s="3662"/>
      <c r="AC2554" s="3662">
        <v>3</v>
      </c>
      <c r="AD2554" s="5134" t="s">
        <v>3490</v>
      </c>
      <c r="AE2554" s="2139">
        <v>0.2</v>
      </c>
      <c r="AF2554" s="3662"/>
      <c r="AG2554" s="3684">
        <f t="shared" si="538"/>
        <v>0</v>
      </c>
      <c r="AH2554" s="3662"/>
      <c r="AI2554" s="3662"/>
      <c r="AJ2554" s="3662"/>
      <c r="AK2554" s="3662"/>
      <c r="AL2554" s="3662"/>
      <c r="AM2554" s="3662"/>
      <c r="AN2554" s="3684">
        <f t="shared" si="537"/>
        <v>0</v>
      </c>
      <c r="AO2554" s="3662"/>
      <c r="AP2554" s="3662"/>
      <c r="AQ2554" s="5127"/>
      <c r="AR2554" s="3662"/>
      <c r="AS2554" s="5053"/>
      <c r="AT2554" s="3662"/>
      <c r="AU2554" s="5127"/>
      <c r="AV2554" s="5127"/>
      <c r="AW2554" s="5127"/>
      <c r="AX2554" s="5127"/>
      <c r="AY2554" s="5127"/>
      <c r="AZ2554" s="5127"/>
      <c r="BA2554" s="5127"/>
      <c r="BB2554" s="5127"/>
      <c r="BC2554" s="3662"/>
      <c r="BD2554" s="5127"/>
      <c r="BE2554" s="5127"/>
      <c r="BF2554" s="5127"/>
      <c r="BG2554" s="5127"/>
      <c r="BH2554" s="3662"/>
      <c r="BI2554" s="5127"/>
      <c r="BJ2554" s="5127"/>
      <c r="BK2554" s="5127"/>
      <c r="BL2554" s="5127"/>
      <c r="BM2554" s="5127"/>
      <c r="BN2554" s="5127"/>
      <c r="BO2554" s="5127"/>
      <c r="BP2554" s="5127"/>
      <c r="BQ2554" s="5127"/>
      <c r="BR2554" s="5127"/>
      <c r="BS2554" s="5127"/>
      <c r="BT2554" s="5127"/>
      <c r="BU2554" s="5127"/>
      <c r="BV2554" s="5127"/>
      <c r="BW2554" s="5127"/>
      <c r="BX2554" s="5127"/>
      <c r="BY2554" s="5127"/>
      <c r="BZ2554" s="5127"/>
      <c r="CA2554" s="5127"/>
      <c r="CB2554" s="5127"/>
      <c r="CC2554" s="3662"/>
      <c r="CD2554" s="3662"/>
      <c r="CE2554" s="6802"/>
      <c r="CF2554" s="6802"/>
      <c r="CG2554" s="6802"/>
      <c r="CH2554" s="6802"/>
    </row>
    <row r="2555" s="4992" customFormat="1" ht="61" spans="1:86">
      <c r="A2555" s="3662"/>
      <c r="B2555" s="1837"/>
      <c r="C2555" s="3744">
        <v>44519</v>
      </c>
      <c r="D2555" s="3910"/>
      <c r="E2555" s="3910"/>
      <c r="F2555" s="3910"/>
      <c r="G2555" s="3910"/>
      <c r="H2555" s="3909" t="s">
        <v>4297</v>
      </c>
      <c r="I2555" s="3910"/>
      <c r="J2555" s="5065"/>
      <c r="K2555" s="3744"/>
      <c r="L2555" s="3744"/>
      <c r="M2555" s="7151">
        <f>3935000-(M2531+M2534+M2537+M2540+M2543+M2546+M2549+M2552+M2509+M2500)</f>
        <v>934690.8</v>
      </c>
      <c r="N2555" s="3662"/>
      <c r="O2555" s="3662"/>
      <c r="P2555" s="3662"/>
      <c r="Q2555" s="3662"/>
      <c r="R2555" s="3662"/>
      <c r="S2555" s="3662"/>
      <c r="T2555" s="3662"/>
      <c r="U2555" s="3662"/>
      <c r="V2555" s="3662"/>
      <c r="W2555" s="3662"/>
      <c r="X2555" s="3662"/>
      <c r="Y2555" s="3662"/>
      <c r="Z2555" s="3744"/>
      <c r="AA2555" s="3744">
        <f>M2555</f>
        <v>934690.8</v>
      </c>
      <c r="AB2555" s="3662"/>
      <c r="AC2555" s="3662">
        <v>1</v>
      </c>
      <c r="AD2555" s="5134" t="s">
        <v>4289</v>
      </c>
      <c r="AE2555" s="2139">
        <v>0.2</v>
      </c>
      <c r="AF2555" s="3662"/>
      <c r="AG2555" s="3684">
        <f t="shared" si="538"/>
        <v>0</v>
      </c>
      <c r="AH2555" s="3662"/>
      <c r="AI2555" s="3662"/>
      <c r="AJ2555" s="3662"/>
      <c r="AK2555" s="3662"/>
      <c r="AL2555" s="3662"/>
      <c r="AM2555" s="3662"/>
      <c r="AN2555" s="3684"/>
      <c r="AO2555" s="3662"/>
      <c r="AP2555" s="3662"/>
      <c r="AQ2555" s="5127"/>
      <c r="AR2555" s="3662"/>
      <c r="AS2555" s="5053"/>
      <c r="AT2555" s="3662"/>
      <c r="AU2555" s="5127"/>
      <c r="AV2555" s="5127"/>
      <c r="AW2555" s="5127"/>
      <c r="AX2555" s="5127"/>
      <c r="AY2555" s="5127"/>
      <c r="AZ2555" s="5127"/>
      <c r="BA2555" s="5127"/>
      <c r="BB2555" s="5127"/>
      <c r="BC2555" s="3662"/>
      <c r="BD2555" s="5127"/>
      <c r="BE2555" s="5127"/>
      <c r="BF2555" s="5127"/>
      <c r="BG2555" s="5127"/>
      <c r="BH2555" s="3662"/>
      <c r="BI2555" s="5127"/>
      <c r="BJ2555" s="5127"/>
      <c r="BK2555" s="5127"/>
      <c r="BL2555" s="5127"/>
      <c r="BM2555" s="5127"/>
      <c r="BN2555" s="5127"/>
      <c r="BO2555" s="5127"/>
      <c r="BP2555" s="5127"/>
      <c r="BQ2555" s="5127"/>
      <c r="BR2555" s="5127"/>
      <c r="BS2555" s="5127"/>
      <c r="BT2555" s="5127"/>
      <c r="BU2555" s="5127"/>
      <c r="BV2555" s="5127"/>
      <c r="BW2555" s="5127"/>
      <c r="BX2555" s="5127"/>
      <c r="BY2555" s="5127"/>
      <c r="BZ2555" s="5127"/>
      <c r="CA2555" s="5268"/>
      <c r="CB2555" s="5268"/>
      <c r="CC2555" s="3662"/>
      <c r="CD2555" s="3662"/>
      <c r="CE2555" s="6802"/>
      <c r="CF2555" s="6802"/>
      <c r="CG2555" s="6802"/>
      <c r="CH2555" s="6802"/>
    </row>
    <row r="2556" s="4992" customFormat="1" ht="46" spans="1:86">
      <c r="A2556" s="3662"/>
      <c r="B2556" s="1837"/>
      <c r="C2556" s="3666"/>
      <c r="D2556" s="3910"/>
      <c r="E2556" s="3910"/>
      <c r="F2556" s="3910"/>
      <c r="G2556" s="3910"/>
      <c r="H2556" s="5065"/>
      <c r="I2556" s="5065"/>
      <c r="J2556" s="5065"/>
      <c r="K2556" s="3666"/>
      <c r="L2556" s="3666"/>
      <c r="M2556" s="7152"/>
      <c r="N2556" s="3662"/>
      <c r="O2556" s="3662"/>
      <c r="P2556" s="3662"/>
      <c r="Q2556" s="3662"/>
      <c r="R2556" s="3662"/>
      <c r="S2556" s="3662"/>
      <c r="T2556" s="3662"/>
      <c r="U2556" s="3662"/>
      <c r="V2556" s="3662"/>
      <c r="W2556" s="3662"/>
      <c r="X2556" s="3662"/>
      <c r="Y2556" s="3662"/>
      <c r="Z2556" s="3666"/>
      <c r="AA2556" s="3666"/>
      <c r="AB2556" s="3662"/>
      <c r="AC2556" s="3662">
        <v>2</v>
      </c>
      <c r="AD2556" s="5134" t="s">
        <v>3480</v>
      </c>
      <c r="AE2556" s="2139">
        <v>0.6</v>
      </c>
      <c r="AF2556" s="3662"/>
      <c r="AG2556" s="3684">
        <f t="shared" si="538"/>
        <v>0</v>
      </c>
      <c r="AH2556" s="3662"/>
      <c r="AI2556" s="3662"/>
      <c r="AJ2556" s="3662"/>
      <c r="AK2556" s="3662"/>
      <c r="AL2556" s="3662"/>
      <c r="AM2556" s="3662"/>
      <c r="AN2556" s="3684"/>
      <c r="AO2556" s="3662"/>
      <c r="AP2556" s="3662"/>
      <c r="AQ2556" s="5127"/>
      <c r="AR2556" s="3662"/>
      <c r="AS2556" s="5053"/>
      <c r="AT2556" s="3662"/>
      <c r="AU2556" s="5127"/>
      <c r="AV2556" s="5127"/>
      <c r="AW2556" s="5127"/>
      <c r="AX2556" s="5127"/>
      <c r="AY2556" s="5127"/>
      <c r="AZ2556" s="5127"/>
      <c r="BA2556" s="5127"/>
      <c r="BB2556" s="5127"/>
      <c r="BC2556" s="3662"/>
      <c r="BD2556" s="5127"/>
      <c r="BE2556" s="5127"/>
      <c r="BF2556" s="5127"/>
      <c r="BG2556" s="5127"/>
      <c r="BH2556" s="3662"/>
      <c r="BI2556" s="5127"/>
      <c r="BJ2556" s="5127"/>
      <c r="BK2556" s="5127"/>
      <c r="BL2556" s="5127"/>
      <c r="BM2556" s="5127"/>
      <c r="BN2556" s="5127"/>
      <c r="BO2556" s="5127"/>
      <c r="BP2556" s="5127"/>
      <c r="BQ2556" s="5127"/>
      <c r="BR2556" s="5127"/>
      <c r="BS2556" s="5127"/>
      <c r="BT2556" s="5127"/>
      <c r="BU2556" s="5127"/>
      <c r="BV2556" s="5127"/>
      <c r="BW2556" s="5127"/>
      <c r="BX2556" s="5127"/>
      <c r="BY2556" s="5127"/>
      <c r="BZ2556" s="5127"/>
      <c r="CA2556" s="5268"/>
      <c r="CB2556" s="5268"/>
      <c r="CC2556" s="3662"/>
      <c r="CD2556" s="3662"/>
      <c r="CE2556" s="6802"/>
      <c r="CF2556" s="6802"/>
      <c r="CG2556" s="6802"/>
      <c r="CH2556" s="6802"/>
    </row>
    <row r="2557" s="4992" customFormat="1" ht="31" spans="1:86">
      <c r="A2557" s="3662"/>
      <c r="B2557" s="4830"/>
      <c r="C2557" s="3667"/>
      <c r="D2557" s="3911"/>
      <c r="E2557" s="3911"/>
      <c r="F2557" s="3911"/>
      <c r="G2557" s="3911"/>
      <c r="H2557" s="5062"/>
      <c r="I2557" s="5062"/>
      <c r="J2557" s="5062"/>
      <c r="K2557" s="3667"/>
      <c r="L2557" s="3667"/>
      <c r="M2557" s="7153"/>
      <c r="N2557" s="3662"/>
      <c r="O2557" s="3662"/>
      <c r="P2557" s="3662"/>
      <c r="Q2557" s="3662"/>
      <c r="R2557" s="3662"/>
      <c r="S2557" s="3662"/>
      <c r="T2557" s="3662"/>
      <c r="U2557" s="3662"/>
      <c r="V2557" s="3662"/>
      <c r="W2557" s="3662"/>
      <c r="X2557" s="3662"/>
      <c r="Y2557" s="3662"/>
      <c r="Z2557" s="3667"/>
      <c r="AA2557" s="3667"/>
      <c r="AB2557" s="3662"/>
      <c r="AC2557" s="3662">
        <v>3</v>
      </c>
      <c r="AD2557" s="5134" t="s">
        <v>3490</v>
      </c>
      <c r="AE2557" s="2139">
        <v>0.2</v>
      </c>
      <c r="AF2557" s="3662"/>
      <c r="AG2557" s="3684">
        <f t="shared" si="538"/>
        <v>0</v>
      </c>
      <c r="AH2557" s="3662"/>
      <c r="AI2557" s="3662"/>
      <c r="AJ2557" s="3662"/>
      <c r="AK2557" s="3662"/>
      <c r="AL2557" s="3662"/>
      <c r="AM2557" s="3662"/>
      <c r="AN2557" s="3684"/>
      <c r="AO2557" s="3662"/>
      <c r="AP2557" s="3662"/>
      <c r="AQ2557" s="5127"/>
      <c r="AR2557" s="3662"/>
      <c r="AS2557" s="5053"/>
      <c r="AT2557" s="3662"/>
      <c r="AU2557" s="5127"/>
      <c r="AV2557" s="5127"/>
      <c r="AW2557" s="5127"/>
      <c r="AX2557" s="5127"/>
      <c r="AY2557" s="5127"/>
      <c r="AZ2557" s="5127"/>
      <c r="BA2557" s="5127"/>
      <c r="BB2557" s="5127"/>
      <c r="BC2557" s="3662"/>
      <c r="BD2557" s="5127"/>
      <c r="BE2557" s="5127"/>
      <c r="BF2557" s="5127"/>
      <c r="BG2557" s="5127"/>
      <c r="BH2557" s="3662"/>
      <c r="BI2557" s="5127"/>
      <c r="BJ2557" s="5127"/>
      <c r="BK2557" s="5127"/>
      <c r="BL2557" s="5127"/>
      <c r="BM2557" s="5127"/>
      <c r="BN2557" s="5127"/>
      <c r="BO2557" s="5127"/>
      <c r="BP2557" s="5127"/>
      <c r="BQ2557" s="5127"/>
      <c r="BR2557" s="5127"/>
      <c r="BS2557" s="5127"/>
      <c r="BT2557" s="5127"/>
      <c r="BU2557" s="5127"/>
      <c r="BV2557" s="5127"/>
      <c r="BW2557" s="5127"/>
      <c r="BX2557" s="5127"/>
      <c r="BY2557" s="5127"/>
      <c r="BZ2557" s="5127"/>
      <c r="CA2557" s="5268"/>
      <c r="CB2557" s="5268"/>
      <c r="CC2557" s="3662"/>
      <c r="CD2557" s="3662"/>
      <c r="CE2557" s="6802"/>
      <c r="CF2557" s="6802"/>
      <c r="CG2557" s="6802"/>
      <c r="CH2557" s="6802"/>
    </row>
    <row r="2558" s="4999" customFormat="1" ht="31" spans="1:86">
      <c r="A2558" s="2963"/>
      <c r="B2558" s="918" t="s">
        <v>2570</v>
      </c>
      <c r="C2558" s="2963">
        <v>44757</v>
      </c>
      <c r="D2558" s="5608" t="s">
        <v>4298</v>
      </c>
      <c r="E2558" s="5608" t="s">
        <v>4299</v>
      </c>
      <c r="F2558" s="5608" t="s">
        <v>4300</v>
      </c>
      <c r="G2558" s="5608" t="s">
        <v>4301</v>
      </c>
      <c r="H2558" s="6733" t="s">
        <v>240</v>
      </c>
      <c r="I2558" s="6733"/>
      <c r="J2558" s="5608" t="s">
        <v>4302</v>
      </c>
      <c r="K2558" s="6733" t="s">
        <v>4303</v>
      </c>
      <c r="L2558" s="6733" t="s">
        <v>4304</v>
      </c>
      <c r="M2558" s="6744">
        <v>2606928.46</v>
      </c>
      <c r="N2558" s="2963"/>
      <c r="O2558" s="2963"/>
      <c r="P2558" s="2963">
        <v>2004309.17</v>
      </c>
      <c r="Q2558" s="2963"/>
      <c r="R2558" s="2963"/>
      <c r="S2558" s="2963"/>
      <c r="T2558" s="2963"/>
      <c r="U2558" s="2963">
        <v>84615.91</v>
      </c>
      <c r="V2558" s="2963"/>
      <c r="W2558" s="2963"/>
      <c r="X2558" s="2963"/>
      <c r="Y2558" s="2963"/>
      <c r="Z2558" s="2963"/>
      <c r="AA2558" s="2963">
        <v>518003.38</v>
      </c>
      <c r="AB2558" s="5608" t="s">
        <v>4305</v>
      </c>
      <c r="AC2558" s="2697">
        <v>1</v>
      </c>
      <c r="AD2558" s="7154" t="s">
        <v>4221</v>
      </c>
      <c r="AE2558" s="6827">
        <v>0.2</v>
      </c>
      <c r="AF2558" s="2697">
        <f>2606928.46*AE2558</f>
        <v>521385.692</v>
      </c>
      <c r="AG2558" s="6748">
        <f t="shared" ref="AG2558:AG2575" si="539">SUM(BA2558:BN2558)</f>
        <v>1824849.92</v>
      </c>
      <c r="AH2558" s="1089" t="s">
        <v>4306</v>
      </c>
      <c r="AI2558" s="2697">
        <v>44810</v>
      </c>
      <c r="AJ2558" s="2697">
        <v>1824849.92</v>
      </c>
      <c r="AK2558" s="2697">
        <v>44810</v>
      </c>
      <c r="AL2558" s="2697">
        <v>1824849.92</v>
      </c>
      <c r="AM2558" s="2697">
        <v>44811</v>
      </c>
      <c r="AN2558" s="6744">
        <f t="shared" ref="AN2558:AN2575" si="540">SUM(BO2558:CB2558)</f>
        <v>1824849.92</v>
      </c>
      <c r="AO2558" s="6744">
        <v>44833</v>
      </c>
      <c r="AP2558" s="6744">
        <f>AG2558-AN2558</f>
        <v>0</v>
      </c>
      <c r="AQ2558" s="6751"/>
      <c r="AR2558" s="2697"/>
      <c r="AS2558" s="6734"/>
      <c r="AT2558" s="2697"/>
      <c r="AU2558" s="6751"/>
      <c r="AV2558" s="6751"/>
      <c r="AW2558" s="6751"/>
      <c r="AX2558" s="6751"/>
      <c r="AY2558" s="6751"/>
      <c r="AZ2558" s="6751"/>
      <c r="BA2558" s="6744"/>
      <c r="BB2558" s="6744"/>
      <c r="BC2558" s="6744">
        <f>1188403.42+214613</f>
        <v>1403016.42</v>
      </c>
      <c r="BD2558" s="6744"/>
      <c r="BE2558" s="6744"/>
      <c r="BF2558" s="6744"/>
      <c r="BG2558" s="6744"/>
      <c r="BH2558" s="6744">
        <v>59231.14</v>
      </c>
      <c r="BI2558" s="6744"/>
      <c r="BJ2558" s="6744"/>
      <c r="BK2558" s="6744"/>
      <c r="BL2558" s="6744"/>
      <c r="BM2558" s="6744"/>
      <c r="BN2558" s="6744">
        <v>362602.36</v>
      </c>
      <c r="BO2558" s="6809"/>
      <c r="BP2558" s="6744"/>
      <c r="BQ2558" s="6744">
        <f>1188403.42+214613</f>
        <v>1403016.42</v>
      </c>
      <c r="BR2558" s="6744"/>
      <c r="BS2558" s="6744"/>
      <c r="BT2558" s="6744"/>
      <c r="BU2558" s="6744"/>
      <c r="BV2558" s="6744">
        <v>59231.14</v>
      </c>
      <c r="BW2558" s="6744"/>
      <c r="BX2558" s="6744"/>
      <c r="BY2558" s="6744"/>
      <c r="BZ2558" s="6744"/>
      <c r="CA2558" s="7156"/>
      <c r="CB2558" s="7156">
        <v>362602.36</v>
      </c>
      <c r="CC2558" s="2697"/>
      <c r="CD2558" s="2697"/>
      <c r="CE2558" s="6876"/>
      <c r="CF2558" s="6876"/>
      <c r="CG2558" s="6876"/>
      <c r="CH2558" s="6876"/>
    </row>
    <row r="2559" s="4999" customFormat="1" ht="46" spans="1:86">
      <c r="A2559" s="2963"/>
      <c r="B2559" s="918"/>
      <c r="C2559" s="2963"/>
      <c r="D2559" s="5608"/>
      <c r="E2559" s="5608"/>
      <c r="F2559" s="5608"/>
      <c r="G2559" s="5608"/>
      <c r="H2559" s="6734"/>
      <c r="I2559" s="6734"/>
      <c r="J2559" s="5666"/>
      <c r="K2559" s="6733"/>
      <c r="L2559" s="6734"/>
      <c r="M2559" s="6744"/>
      <c r="N2559" s="2963"/>
      <c r="O2559" s="2963"/>
      <c r="P2559" s="2963"/>
      <c r="Q2559" s="2963"/>
      <c r="R2559" s="2963"/>
      <c r="S2559" s="2963"/>
      <c r="T2559" s="2963"/>
      <c r="U2559" s="2963"/>
      <c r="V2559" s="2963"/>
      <c r="W2559" s="2963"/>
      <c r="X2559" s="2963"/>
      <c r="Y2559" s="2963"/>
      <c r="Z2559" s="2963"/>
      <c r="AA2559" s="2963"/>
      <c r="AB2559" s="5608"/>
      <c r="AC2559" s="2697">
        <v>2</v>
      </c>
      <c r="AD2559" s="7154" t="s">
        <v>4222</v>
      </c>
      <c r="AE2559" s="6827">
        <v>0.2</v>
      </c>
      <c r="AF2559" s="2697">
        <f>2606928.46*AE2559</f>
        <v>521385.692</v>
      </c>
      <c r="AG2559" s="6748"/>
      <c r="AH2559" s="2697"/>
      <c r="AI2559" s="2697"/>
      <c r="AJ2559" s="2697"/>
      <c r="AK2559" s="2697"/>
      <c r="AL2559" s="2697"/>
      <c r="AM2559" s="2697"/>
      <c r="AN2559" s="6744"/>
      <c r="AO2559" s="6744"/>
      <c r="AP2559" s="6744"/>
      <c r="AQ2559" s="6751"/>
      <c r="AR2559" s="2697"/>
      <c r="AS2559" s="6734"/>
      <c r="AT2559" s="2697"/>
      <c r="AU2559" s="6751"/>
      <c r="AV2559" s="6751"/>
      <c r="AW2559" s="6751"/>
      <c r="AX2559" s="6751"/>
      <c r="AY2559" s="6751"/>
      <c r="AZ2559" s="6751"/>
      <c r="BA2559" s="6744"/>
      <c r="BB2559" s="6744"/>
      <c r="BC2559" s="6744"/>
      <c r="BD2559" s="6744"/>
      <c r="BE2559" s="6744"/>
      <c r="BF2559" s="6744"/>
      <c r="BG2559" s="6744"/>
      <c r="BH2559" s="6744"/>
      <c r="BI2559" s="6744"/>
      <c r="BJ2559" s="6744"/>
      <c r="BK2559" s="6744"/>
      <c r="BL2559" s="6744"/>
      <c r="BM2559" s="6744"/>
      <c r="BN2559" s="6744"/>
      <c r="BO2559" s="6809"/>
      <c r="BP2559" s="6744"/>
      <c r="BQ2559" s="6744"/>
      <c r="BR2559" s="6744"/>
      <c r="BS2559" s="6744"/>
      <c r="BT2559" s="6744"/>
      <c r="BU2559" s="6744"/>
      <c r="BV2559" s="6744"/>
      <c r="BW2559" s="6744"/>
      <c r="BX2559" s="6744"/>
      <c r="BY2559" s="6744"/>
      <c r="BZ2559" s="6744"/>
      <c r="CA2559" s="7040"/>
      <c r="CB2559" s="7040"/>
      <c r="CC2559" s="2697"/>
      <c r="CD2559" s="2697"/>
      <c r="CE2559" s="6876"/>
      <c r="CF2559" s="6876"/>
      <c r="CG2559" s="6876"/>
      <c r="CH2559" s="6876"/>
    </row>
    <row r="2560" s="4999" customFormat="1" ht="61" spans="1:86">
      <c r="A2560" s="2963"/>
      <c r="B2560" s="918"/>
      <c r="C2560" s="2963"/>
      <c r="D2560" s="5608"/>
      <c r="E2560" s="5608"/>
      <c r="F2560" s="5608"/>
      <c r="G2560" s="5608"/>
      <c r="H2560" s="6734"/>
      <c r="I2560" s="6734"/>
      <c r="J2560" s="5666"/>
      <c r="K2560" s="6733"/>
      <c r="L2560" s="6734"/>
      <c r="M2560" s="6744"/>
      <c r="N2560" s="2963"/>
      <c r="O2560" s="2963"/>
      <c r="P2560" s="2963"/>
      <c r="Q2560" s="2963"/>
      <c r="R2560" s="2963"/>
      <c r="S2560" s="2963"/>
      <c r="T2560" s="2963"/>
      <c r="U2560" s="2963"/>
      <c r="V2560" s="2963"/>
      <c r="W2560" s="2963"/>
      <c r="X2560" s="2963"/>
      <c r="Y2560" s="2963"/>
      <c r="Z2560" s="2963"/>
      <c r="AA2560" s="2963"/>
      <c r="AB2560" s="5608"/>
      <c r="AC2560" s="2697">
        <v>3</v>
      </c>
      <c r="AD2560" s="7154" t="s">
        <v>4223</v>
      </c>
      <c r="AE2560" s="6827">
        <v>0.3</v>
      </c>
      <c r="AF2560" s="2697">
        <f>2606928.46*AE2560</f>
        <v>782078.538</v>
      </c>
      <c r="AG2560" s="6748"/>
      <c r="AH2560" s="2697"/>
      <c r="AI2560" s="2697"/>
      <c r="AJ2560" s="2697"/>
      <c r="AK2560" s="2697"/>
      <c r="AL2560" s="2697"/>
      <c r="AM2560" s="2697"/>
      <c r="AN2560" s="6744"/>
      <c r="AO2560" s="6744"/>
      <c r="AP2560" s="6744"/>
      <c r="AQ2560" s="6751"/>
      <c r="AR2560" s="2697"/>
      <c r="AS2560" s="6734"/>
      <c r="AT2560" s="2697"/>
      <c r="AU2560" s="6751"/>
      <c r="AV2560" s="6751"/>
      <c r="AW2560" s="6751"/>
      <c r="AX2560" s="6751"/>
      <c r="AY2560" s="6751"/>
      <c r="AZ2560" s="6751"/>
      <c r="BA2560" s="6744"/>
      <c r="BB2560" s="6744"/>
      <c r="BC2560" s="6744"/>
      <c r="BD2560" s="6744"/>
      <c r="BE2560" s="6744"/>
      <c r="BF2560" s="6744"/>
      <c r="BG2560" s="6744"/>
      <c r="BH2560" s="6744"/>
      <c r="BI2560" s="6744"/>
      <c r="BJ2560" s="6744"/>
      <c r="BK2560" s="6744"/>
      <c r="BL2560" s="6744"/>
      <c r="BM2560" s="6744"/>
      <c r="BN2560" s="6744"/>
      <c r="BO2560" s="6809"/>
      <c r="BP2560" s="6744"/>
      <c r="BQ2560" s="6744"/>
      <c r="BR2560" s="6744"/>
      <c r="BS2560" s="6744"/>
      <c r="BT2560" s="6744"/>
      <c r="BU2560" s="6744"/>
      <c r="BV2560" s="6744"/>
      <c r="BW2560" s="6744"/>
      <c r="BX2560" s="6744"/>
      <c r="BY2560" s="6744"/>
      <c r="BZ2560" s="6744"/>
      <c r="CA2560" s="7041"/>
      <c r="CB2560" s="7041"/>
      <c r="CC2560" s="2697"/>
      <c r="CD2560" s="2697"/>
      <c r="CE2560" s="6876"/>
      <c r="CF2560" s="6876"/>
      <c r="CG2560" s="6876"/>
      <c r="CH2560" s="6876"/>
    </row>
    <row r="2561" s="4999" customFormat="1" ht="46" spans="1:86">
      <c r="A2561" s="2963"/>
      <c r="B2561" s="918"/>
      <c r="C2561" s="2963"/>
      <c r="D2561" s="5608"/>
      <c r="E2561" s="5608"/>
      <c r="F2561" s="5608"/>
      <c r="G2561" s="5608"/>
      <c r="H2561" s="6734"/>
      <c r="I2561" s="6734"/>
      <c r="J2561" s="5666"/>
      <c r="K2561" s="6733"/>
      <c r="L2561" s="6734"/>
      <c r="M2561" s="6744"/>
      <c r="N2561" s="2963"/>
      <c r="O2561" s="2963"/>
      <c r="P2561" s="2963"/>
      <c r="Q2561" s="2963"/>
      <c r="R2561" s="2963"/>
      <c r="S2561" s="2963"/>
      <c r="T2561" s="2963"/>
      <c r="U2561" s="2963"/>
      <c r="V2561" s="2963"/>
      <c r="W2561" s="2963"/>
      <c r="X2561" s="2963"/>
      <c r="Y2561" s="2963"/>
      <c r="Z2561" s="2963"/>
      <c r="AA2561" s="2963"/>
      <c r="AB2561" s="5608"/>
      <c r="AC2561" s="2697">
        <v>4</v>
      </c>
      <c r="AD2561" s="7154" t="s">
        <v>4224</v>
      </c>
      <c r="AE2561" s="6827">
        <v>0.25</v>
      </c>
      <c r="AF2561" s="2697">
        <f>2606928.46*AE2561</f>
        <v>651732.115</v>
      </c>
      <c r="AG2561" s="6744">
        <f t="shared" si="539"/>
        <v>651732.115</v>
      </c>
      <c r="AH2561" s="1089" t="s">
        <v>122</v>
      </c>
      <c r="AI2561" s="6744">
        <v>44876</v>
      </c>
      <c r="AJ2561" s="6744">
        <v>651732.115</v>
      </c>
      <c r="AK2561" s="6744">
        <v>44876</v>
      </c>
      <c r="AL2561" s="6744">
        <v>651732.115</v>
      </c>
      <c r="AM2561" s="6744">
        <v>44876</v>
      </c>
      <c r="AN2561" s="6744">
        <f t="shared" si="540"/>
        <v>651732.115</v>
      </c>
      <c r="AO2561" s="6744">
        <v>44907</v>
      </c>
      <c r="AP2561" s="2697"/>
      <c r="AQ2561" s="6751"/>
      <c r="AR2561" s="2697"/>
      <c r="AS2561" s="6734"/>
      <c r="AT2561" s="2697"/>
      <c r="AU2561" s="6751"/>
      <c r="AV2561" s="6751"/>
      <c r="AW2561" s="6751"/>
      <c r="AX2561" s="6751"/>
      <c r="AY2561" s="6751"/>
      <c r="AZ2561" s="6751"/>
      <c r="BA2561" s="6749"/>
      <c r="BB2561" s="6749"/>
      <c r="BC2561" s="6744">
        <f>P2558*AE2561</f>
        <v>501077.2925</v>
      </c>
      <c r="BD2561" s="6749"/>
      <c r="BE2561" s="6749"/>
      <c r="BF2561" s="6749"/>
      <c r="BG2561" s="6749"/>
      <c r="BH2561" s="6744">
        <f>U2558*AE2561</f>
        <v>21153.9775</v>
      </c>
      <c r="BI2561" s="6749"/>
      <c r="BJ2561" s="6749"/>
      <c r="BK2561" s="6749"/>
      <c r="BL2561" s="6749"/>
      <c r="BM2561" s="6749"/>
      <c r="BN2561" s="6744">
        <f>AA2558*AE2561</f>
        <v>129500.845</v>
      </c>
      <c r="BO2561" s="7197"/>
      <c r="BP2561" s="6749"/>
      <c r="BQ2561" s="6749">
        <v>501077.2925</v>
      </c>
      <c r="BR2561" s="6749"/>
      <c r="BS2561" s="6749"/>
      <c r="BT2561" s="6749"/>
      <c r="BU2561" s="6749"/>
      <c r="BV2561" s="6749">
        <v>21153.9775</v>
      </c>
      <c r="BW2561" s="6749"/>
      <c r="BX2561" s="6749"/>
      <c r="BY2561" s="6749"/>
      <c r="BZ2561" s="6749"/>
      <c r="CA2561" s="6749"/>
      <c r="CB2561" s="6749">
        <v>129500.845</v>
      </c>
      <c r="CC2561" s="2697"/>
      <c r="CD2561" s="2697"/>
      <c r="CE2561" s="6876"/>
      <c r="CF2561" s="6876"/>
      <c r="CG2561" s="6876"/>
      <c r="CH2561" s="6876"/>
    </row>
    <row r="2562" s="4999" customFormat="1" ht="92" spans="1:86">
      <c r="A2562" s="2963"/>
      <c r="B2562" s="918"/>
      <c r="C2562" s="2963"/>
      <c r="D2562" s="5608"/>
      <c r="E2562" s="5608"/>
      <c r="F2562" s="5608"/>
      <c r="G2562" s="5608"/>
      <c r="H2562" s="6734"/>
      <c r="I2562" s="6734"/>
      <c r="J2562" s="5666"/>
      <c r="K2562" s="6733"/>
      <c r="L2562" s="6734"/>
      <c r="M2562" s="6744"/>
      <c r="N2562" s="2963"/>
      <c r="O2562" s="2963"/>
      <c r="P2562" s="2963"/>
      <c r="Q2562" s="2963"/>
      <c r="R2562" s="2963"/>
      <c r="S2562" s="2963"/>
      <c r="T2562" s="2963"/>
      <c r="U2562" s="2963"/>
      <c r="V2562" s="2963"/>
      <c r="W2562" s="2963"/>
      <c r="X2562" s="2963"/>
      <c r="Y2562" s="2963"/>
      <c r="Z2562" s="2963"/>
      <c r="AA2562" s="2963"/>
      <c r="AB2562" s="5608"/>
      <c r="AC2562" s="2697">
        <v>5</v>
      </c>
      <c r="AD2562" s="7154" t="s">
        <v>4225</v>
      </c>
      <c r="AE2562" s="6827">
        <v>0.05</v>
      </c>
      <c r="AF2562" s="2697">
        <f>2606928.46*AE2562</f>
        <v>130346.423</v>
      </c>
      <c r="AG2562" s="7188">
        <f t="shared" si="539"/>
        <v>0</v>
      </c>
      <c r="AH2562" s="2697"/>
      <c r="AI2562" s="2697"/>
      <c r="AJ2562" s="2697"/>
      <c r="AK2562" s="2697"/>
      <c r="AL2562" s="2697"/>
      <c r="AM2562" s="2697"/>
      <c r="AN2562" s="6744">
        <f t="shared" si="540"/>
        <v>0</v>
      </c>
      <c r="AO2562" s="2697"/>
      <c r="AP2562" s="2697"/>
      <c r="AQ2562" s="6751"/>
      <c r="AR2562" s="2697"/>
      <c r="AS2562" s="6734"/>
      <c r="AT2562" s="2697"/>
      <c r="AU2562" s="6751"/>
      <c r="AV2562" s="6751"/>
      <c r="AW2562" s="6751"/>
      <c r="AX2562" s="6751"/>
      <c r="AY2562" s="6751"/>
      <c r="AZ2562" s="6751"/>
      <c r="BA2562" s="6751"/>
      <c r="BB2562" s="6751"/>
      <c r="BC2562" s="2697"/>
      <c r="BD2562" s="6751"/>
      <c r="BE2562" s="6751"/>
      <c r="BF2562" s="6751"/>
      <c r="BG2562" s="6751"/>
      <c r="BH2562" s="2697"/>
      <c r="BI2562" s="6751"/>
      <c r="BJ2562" s="6751"/>
      <c r="BK2562" s="6751"/>
      <c r="BL2562" s="6751"/>
      <c r="BM2562" s="6751"/>
      <c r="BN2562" s="6751"/>
      <c r="BO2562" s="6751"/>
      <c r="BP2562" s="6749"/>
      <c r="BQ2562" s="6749"/>
      <c r="BR2562" s="6749"/>
      <c r="BS2562" s="6749"/>
      <c r="BT2562" s="6749"/>
      <c r="BU2562" s="6749"/>
      <c r="BV2562" s="6749"/>
      <c r="BW2562" s="6749"/>
      <c r="BX2562" s="6749"/>
      <c r="BY2562" s="6749"/>
      <c r="BZ2562" s="6749"/>
      <c r="CA2562" s="6749"/>
      <c r="CB2562" s="6749"/>
      <c r="CC2562" s="2697"/>
      <c r="CD2562" s="2697"/>
      <c r="CE2562" s="6876"/>
      <c r="CF2562" s="6876"/>
      <c r="CG2562" s="6876"/>
      <c r="CH2562" s="6876"/>
    </row>
    <row r="2563" s="4999" customFormat="1" ht="31" spans="1:86">
      <c r="A2563" s="2963"/>
      <c r="B2563" s="918"/>
      <c r="C2563" s="2963"/>
      <c r="D2563" s="5608"/>
      <c r="E2563" s="5608"/>
      <c r="F2563" s="5608"/>
      <c r="G2563" s="5608"/>
      <c r="H2563" s="6627" t="s">
        <v>4307</v>
      </c>
      <c r="I2563" s="6627"/>
      <c r="J2563" s="5666"/>
      <c r="K2563" s="6627" t="s">
        <v>4308</v>
      </c>
      <c r="L2563" s="6627" t="s">
        <v>4309</v>
      </c>
      <c r="M2563" s="5488">
        <v>416649.43</v>
      </c>
      <c r="N2563" s="2963"/>
      <c r="O2563" s="2963"/>
      <c r="P2563" s="2963"/>
      <c r="Q2563" s="2963"/>
      <c r="R2563" s="2963"/>
      <c r="S2563" s="2963"/>
      <c r="T2563" s="2963"/>
      <c r="U2563" s="2963"/>
      <c r="V2563" s="2963">
        <v>416649.43</v>
      </c>
      <c r="W2563" s="2963"/>
      <c r="X2563" s="2963"/>
      <c r="Y2563" s="2963"/>
      <c r="Z2563" s="2963"/>
      <c r="AA2563" s="2963"/>
      <c r="AB2563" s="2963"/>
      <c r="AC2563" s="7166">
        <v>1</v>
      </c>
      <c r="AD2563" s="7167" t="s">
        <v>4221</v>
      </c>
      <c r="AE2563" s="7166">
        <v>0.2</v>
      </c>
      <c r="AF2563" s="5488">
        <f>416649.43*AE2563</f>
        <v>83329.886</v>
      </c>
      <c r="AG2563" s="5488">
        <f t="shared" si="539"/>
        <v>83329.89</v>
      </c>
      <c r="AH2563" s="6567" t="s">
        <v>4306</v>
      </c>
      <c r="AI2563" s="5488">
        <v>44810</v>
      </c>
      <c r="AJ2563" s="5488">
        <v>83329.89</v>
      </c>
      <c r="AK2563" s="5488">
        <v>44810</v>
      </c>
      <c r="AL2563" s="5488">
        <f>SUM(BF2563:BS2563)</f>
        <v>83329.89</v>
      </c>
      <c r="AM2563" s="5488">
        <v>44811</v>
      </c>
      <c r="AN2563" s="5483">
        <f t="shared" si="540"/>
        <v>83329.89</v>
      </c>
      <c r="AO2563" s="6567">
        <v>44833</v>
      </c>
      <c r="AP2563" s="5483">
        <f>AG2563-AN2563</f>
        <v>0</v>
      </c>
      <c r="AQ2563" s="6557"/>
      <c r="AR2563" s="5488"/>
      <c r="AS2563" s="6524"/>
      <c r="AT2563" s="5488"/>
      <c r="AU2563" s="6557"/>
      <c r="AV2563" s="6557"/>
      <c r="AW2563" s="6557"/>
      <c r="AX2563" s="6557"/>
      <c r="AY2563" s="6557"/>
      <c r="AZ2563" s="6557"/>
      <c r="BA2563" s="7193"/>
      <c r="BB2563" s="7193"/>
      <c r="BC2563" s="5483"/>
      <c r="BD2563" s="7193"/>
      <c r="BE2563" s="7193"/>
      <c r="BF2563" s="7193"/>
      <c r="BG2563" s="7193"/>
      <c r="BH2563" s="5483"/>
      <c r="BI2563" s="7193">
        <v>83329.89</v>
      </c>
      <c r="BJ2563" s="7193"/>
      <c r="BK2563" s="7193"/>
      <c r="BL2563" s="7193"/>
      <c r="BM2563" s="7193"/>
      <c r="BN2563" s="7193"/>
      <c r="BO2563" s="6557"/>
      <c r="BP2563" s="6557"/>
      <c r="BQ2563" s="6557"/>
      <c r="BR2563" s="6557"/>
      <c r="BS2563" s="6557"/>
      <c r="BT2563" s="6557"/>
      <c r="BU2563" s="6557"/>
      <c r="BV2563" s="6557"/>
      <c r="BW2563" s="7198">
        <v>83329.89</v>
      </c>
      <c r="BX2563" s="6557"/>
      <c r="BY2563" s="6557"/>
      <c r="BZ2563" s="6557"/>
      <c r="CA2563" s="6557"/>
      <c r="CB2563" s="6557"/>
      <c r="CC2563" s="5488"/>
      <c r="CD2563" s="5488"/>
      <c r="CE2563" s="6876"/>
      <c r="CF2563" s="6876"/>
      <c r="CG2563" s="6876"/>
      <c r="CH2563" s="6876"/>
    </row>
    <row r="2564" s="4999" customFormat="1" ht="46" spans="1:86">
      <c r="A2564" s="2963"/>
      <c r="B2564" s="918"/>
      <c r="C2564" s="2963"/>
      <c r="D2564" s="5608"/>
      <c r="E2564" s="5608"/>
      <c r="F2564" s="5608"/>
      <c r="G2564" s="5608"/>
      <c r="H2564" s="6524"/>
      <c r="I2564" s="6524"/>
      <c r="J2564" s="5666"/>
      <c r="K2564" s="6524"/>
      <c r="L2564" s="6524"/>
      <c r="M2564" s="5488"/>
      <c r="N2564" s="2963"/>
      <c r="O2564" s="2963"/>
      <c r="P2564" s="2963"/>
      <c r="Q2564" s="2963"/>
      <c r="R2564" s="2963"/>
      <c r="S2564" s="2963"/>
      <c r="T2564" s="2963"/>
      <c r="U2564" s="2963"/>
      <c r="V2564" s="2963"/>
      <c r="W2564" s="2963"/>
      <c r="X2564" s="2963"/>
      <c r="Y2564" s="2963"/>
      <c r="Z2564" s="2963"/>
      <c r="AA2564" s="2963"/>
      <c r="AB2564" s="2963"/>
      <c r="AC2564" s="7166">
        <v>2</v>
      </c>
      <c r="AD2564" s="7168" t="s">
        <v>4282</v>
      </c>
      <c r="AE2564" s="7166">
        <v>0.3</v>
      </c>
      <c r="AF2564" s="5488">
        <f>416649.43*AE2564</f>
        <v>124994.829</v>
      </c>
      <c r="AG2564" s="5483">
        <f t="shared" si="539"/>
        <v>124994.829</v>
      </c>
      <c r="AH2564" s="6567" t="s">
        <v>122</v>
      </c>
      <c r="AI2564" s="5483">
        <v>44876</v>
      </c>
      <c r="AJ2564" s="5483">
        <v>124994.829</v>
      </c>
      <c r="AK2564" s="5483">
        <v>44876</v>
      </c>
      <c r="AL2564" s="5483">
        <v>124994.829</v>
      </c>
      <c r="AM2564" s="5483">
        <v>44876</v>
      </c>
      <c r="AN2564" s="5483">
        <f t="shared" si="540"/>
        <v>124994.829</v>
      </c>
      <c r="AO2564" s="5483">
        <v>44907</v>
      </c>
      <c r="AP2564" s="5488"/>
      <c r="AQ2564" s="6557"/>
      <c r="AR2564" s="5488"/>
      <c r="AS2564" s="6524"/>
      <c r="AT2564" s="5488"/>
      <c r="AU2564" s="6557"/>
      <c r="AV2564" s="6557"/>
      <c r="AW2564" s="6557"/>
      <c r="AX2564" s="6557"/>
      <c r="AY2564" s="6557"/>
      <c r="AZ2564" s="6557"/>
      <c r="BA2564" s="7193"/>
      <c r="BB2564" s="7193"/>
      <c r="BC2564" s="5483"/>
      <c r="BD2564" s="7193"/>
      <c r="BE2564" s="7193"/>
      <c r="BF2564" s="7193"/>
      <c r="BG2564" s="7193"/>
      <c r="BH2564" s="5483"/>
      <c r="BI2564" s="7193">
        <v>124994.829</v>
      </c>
      <c r="BJ2564" s="7193"/>
      <c r="BK2564" s="7193"/>
      <c r="BL2564" s="7193"/>
      <c r="BM2564" s="7193"/>
      <c r="BN2564" s="5483"/>
      <c r="BO2564" s="7198"/>
      <c r="BP2564" s="7198"/>
      <c r="BQ2564" s="7198"/>
      <c r="BR2564" s="7198"/>
      <c r="BS2564" s="7198"/>
      <c r="BT2564" s="7198"/>
      <c r="BU2564" s="7198"/>
      <c r="BV2564" s="7198"/>
      <c r="BW2564" s="7198">
        <v>124994.829</v>
      </c>
      <c r="BX2564" s="7198"/>
      <c r="BY2564" s="7198"/>
      <c r="BZ2564" s="7198"/>
      <c r="CA2564" s="7198"/>
      <c r="CB2564" s="7193"/>
      <c r="CC2564" s="5488"/>
      <c r="CD2564" s="5488"/>
      <c r="CE2564" s="6876"/>
      <c r="CF2564" s="6876"/>
      <c r="CG2564" s="6876"/>
      <c r="CH2564" s="6876"/>
    </row>
    <row r="2565" s="4999" customFormat="1" ht="46" spans="1:86">
      <c r="A2565" s="2963"/>
      <c r="B2565" s="918"/>
      <c r="C2565" s="2963"/>
      <c r="D2565" s="5608"/>
      <c r="E2565" s="5608"/>
      <c r="F2565" s="5608"/>
      <c r="G2565" s="5608"/>
      <c r="H2565" s="6524"/>
      <c r="I2565" s="6524"/>
      <c r="J2565" s="5666"/>
      <c r="K2565" s="6524"/>
      <c r="L2565" s="6524"/>
      <c r="M2565" s="5488"/>
      <c r="N2565" s="2963"/>
      <c r="O2565" s="2963"/>
      <c r="P2565" s="2963"/>
      <c r="Q2565" s="2963"/>
      <c r="R2565" s="2963"/>
      <c r="S2565" s="2963"/>
      <c r="T2565" s="2963"/>
      <c r="U2565" s="2963"/>
      <c r="V2565" s="2963"/>
      <c r="W2565" s="2963"/>
      <c r="X2565" s="2963"/>
      <c r="Y2565" s="2963"/>
      <c r="Z2565" s="2963"/>
      <c r="AA2565" s="2963"/>
      <c r="AB2565" s="2963"/>
      <c r="AC2565" s="7166">
        <v>3</v>
      </c>
      <c r="AD2565" s="7168" t="s">
        <v>4283</v>
      </c>
      <c r="AE2565" s="7166">
        <v>0.4</v>
      </c>
      <c r="AF2565" s="5488">
        <f>416649.43*AE2565</f>
        <v>166659.772</v>
      </c>
      <c r="AG2565" s="5483">
        <f t="shared" si="539"/>
        <v>166659.77</v>
      </c>
      <c r="AH2565" s="6567" t="s">
        <v>122</v>
      </c>
      <c r="AI2565" s="5483">
        <v>44909</v>
      </c>
      <c r="AJ2565" s="5483">
        <f>SUM(BD2565:BQ2565)</f>
        <v>166659.77</v>
      </c>
      <c r="AK2565" s="6567" t="s">
        <v>122</v>
      </c>
      <c r="AL2565" s="5483">
        <f>SUM(BF2565:BS2565)</f>
        <v>166659.77</v>
      </c>
      <c r="AM2565" s="5488">
        <v>45170</v>
      </c>
      <c r="AN2565" s="5483">
        <f t="shared" si="540"/>
        <v>166659.772</v>
      </c>
      <c r="AO2565" s="5483">
        <v>45194</v>
      </c>
      <c r="AP2565" s="5488"/>
      <c r="AQ2565" s="6557"/>
      <c r="AR2565" s="5488"/>
      <c r="AS2565" s="6524"/>
      <c r="AT2565" s="5488"/>
      <c r="AU2565" s="6557"/>
      <c r="AV2565" s="6557"/>
      <c r="AW2565" s="6557"/>
      <c r="AX2565" s="6557"/>
      <c r="AY2565" s="6557"/>
      <c r="AZ2565" s="6557"/>
      <c r="BA2565" s="7193"/>
      <c r="BB2565" s="7193"/>
      <c r="BC2565" s="5483"/>
      <c r="BD2565" s="7193"/>
      <c r="BE2565" s="7193"/>
      <c r="BF2565" s="7193"/>
      <c r="BG2565" s="7193"/>
      <c r="BH2565" s="5483"/>
      <c r="BI2565" s="7193">
        <v>166659.77</v>
      </c>
      <c r="BJ2565" s="7193"/>
      <c r="BK2565" s="7193"/>
      <c r="BL2565" s="7193"/>
      <c r="BM2565" s="7193"/>
      <c r="BN2565" s="7193"/>
      <c r="BO2565" s="6557"/>
      <c r="BP2565" s="6557"/>
      <c r="BQ2565" s="6557"/>
      <c r="BR2565" s="6557"/>
      <c r="BS2565" s="6557"/>
      <c r="BT2565" s="6557"/>
      <c r="BU2565" s="6557"/>
      <c r="BV2565" s="6557"/>
      <c r="BW2565" s="7193">
        <v>166659.772</v>
      </c>
      <c r="BX2565" s="6557"/>
      <c r="BY2565" s="6557"/>
      <c r="BZ2565" s="6557"/>
      <c r="CA2565" s="6557"/>
      <c r="CB2565" s="6557"/>
      <c r="CC2565" s="5488"/>
      <c r="CD2565" s="5488"/>
      <c r="CE2565" s="6876"/>
      <c r="CF2565" s="6876"/>
      <c r="CG2565" s="6876"/>
      <c r="CH2565" s="6876"/>
    </row>
    <row r="2566" s="4999" customFormat="1" ht="76" spans="1:86">
      <c r="A2566" s="2963"/>
      <c r="B2566" s="918"/>
      <c r="C2566" s="2963"/>
      <c r="D2566" s="5608"/>
      <c r="E2566" s="5608"/>
      <c r="F2566" s="5608"/>
      <c r="G2566" s="5608"/>
      <c r="H2566" s="6524"/>
      <c r="I2566" s="6524"/>
      <c r="J2566" s="5666"/>
      <c r="K2566" s="6524"/>
      <c r="L2566" s="6524"/>
      <c r="M2566" s="5488"/>
      <c r="N2566" s="2963"/>
      <c r="O2566" s="2963"/>
      <c r="P2566" s="2963"/>
      <c r="Q2566" s="2963"/>
      <c r="R2566" s="2963"/>
      <c r="S2566" s="2963"/>
      <c r="T2566" s="2963"/>
      <c r="U2566" s="2963"/>
      <c r="V2566" s="2963"/>
      <c r="W2566" s="2963"/>
      <c r="X2566" s="2963"/>
      <c r="Y2566" s="2963"/>
      <c r="Z2566" s="2963"/>
      <c r="AA2566" s="2963"/>
      <c r="AB2566" s="2963"/>
      <c r="AC2566" s="7166">
        <v>4</v>
      </c>
      <c r="AD2566" s="7168" t="s">
        <v>4284</v>
      </c>
      <c r="AE2566" s="7166">
        <v>0.1</v>
      </c>
      <c r="AF2566" s="5488">
        <f>416649.43*AE2566</f>
        <v>41664.943</v>
      </c>
      <c r="AG2566" s="5483">
        <f t="shared" si="539"/>
        <v>41664.943</v>
      </c>
      <c r="AH2566" s="6567" t="s">
        <v>122</v>
      </c>
      <c r="AI2566" s="5483">
        <v>45275</v>
      </c>
      <c r="AJ2566" s="5488"/>
      <c r="AK2566" s="5488"/>
      <c r="AL2566" s="5488">
        <v>41664.94</v>
      </c>
      <c r="AM2566" s="5483">
        <v>45543</v>
      </c>
      <c r="AN2566" s="5483">
        <f t="shared" si="540"/>
        <v>41664.943</v>
      </c>
      <c r="AO2566" s="5483">
        <v>45559</v>
      </c>
      <c r="AP2566" s="5488"/>
      <c r="AQ2566" s="6557"/>
      <c r="AR2566" s="5488"/>
      <c r="AS2566" s="6524"/>
      <c r="AT2566" s="5488"/>
      <c r="AU2566" s="6557"/>
      <c r="AV2566" s="6557"/>
      <c r="AW2566" s="6557"/>
      <c r="AX2566" s="6557"/>
      <c r="AY2566" s="6557"/>
      <c r="AZ2566" s="6557"/>
      <c r="BA2566" s="6557"/>
      <c r="BB2566" s="6557"/>
      <c r="BC2566" s="5488"/>
      <c r="BD2566" s="6557"/>
      <c r="BE2566" s="6557"/>
      <c r="BF2566" s="6557"/>
      <c r="BG2566" s="6557"/>
      <c r="BH2566" s="5488"/>
      <c r="BI2566" s="7193">
        <v>41664.943</v>
      </c>
      <c r="BJ2566" s="6557"/>
      <c r="BK2566" s="6557"/>
      <c r="BL2566" s="6557"/>
      <c r="BM2566" s="6557"/>
      <c r="BN2566" s="6557"/>
      <c r="BO2566" s="6557"/>
      <c r="BP2566" s="6557"/>
      <c r="BQ2566" s="6557"/>
      <c r="BR2566" s="6557"/>
      <c r="BS2566" s="6557"/>
      <c r="BT2566" s="6557"/>
      <c r="BU2566" s="6557"/>
      <c r="BV2566" s="6557"/>
      <c r="BW2566" s="7193">
        <v>41664.943</v>
      </c>
      <c r="BX2566" s="7193"/>
      <c r="BY2566" s="7193"/>
      <c r="BZ2566" s="7193"/>
      <c r="CA2566" s="7193"/>
      <c r="CB2566" s="7193"/>
      <c r="CC2566" s="5488"/>
      <c r="CD2566" s="5488"/>
      <c r="CE2566" s="5169">
        <f>SUBTOTAL(9,BO2566:CB2566)</f>
        <v>41664.943</v>
      </c>
      <c r="CF2566" s="5169">
        <f>AN2566-CE2566</f>
        <v>0</v>
      </c>
      <c r="CG2566" s="6876"/>
      <c r="CH2566" s="6876"/>
    </row>
    <row r="2567" s="4999" customFormat="1" spans="1:86">
      <c r="A2567" s="2963"/>
      <c r="B2567" s="918"/>
      <c r="C2567" s="2963"/>
      <c r="D2567" s="5608"/>
      <c r="E2567" s="5608"/>
      <c r="F2567" s="5608"/>
      <c r="G2567" s="5608"/>
      <c r="H2567" s="5440" t="s">
        <v>4310</v>
      </c>
      <c r="I2567" s="5440"/>
      <c r="J2567" s="5666"/>
      <c r="K2567" s="5440" t="s">
        <v>4311</v>
      </c>
      <c r="L2567" s="5440" t="s">
        <v>4312</v>
      </c>
      <c r="M2567" s="5661">
        <v>666723.05</v>
      </c>
      <c r="N2567" s="2963"/>
      <c r="O2567" s="2963"/>
      <c r="P2567" s="2963"/>
      <c r="Q2567" s="2963"/>
      <c r="R2567" s="2963"/>
      <c r="S2567" s="2963"/>
      <c r="T2567" s="2963"/>
      <c r="U2567" s="7163">
        <v>666723.05</v>
      </c>
      <c r="V2567" s="2963"/>
      <c r="W2567" s="2963"/>
      <c r="X2567" s="2963"/>
      <c r="Y2567" s="2963"/>
      <c r="Z2567" s="2963"/>
      <c r="AA2567" s="2963"/>
      <c r="AB2567" s="918"/>
      <c r="AC2567" s="7169">
        <v>1</v>
      </c>
      <c r="AD2567" s="7170" t="s">
        <v>2784</v>
      </c>
      <c r="AE2567" s="7169">
        <v>0.2</v>
      </c>
      <c r="AF2567" s="4048">
        <f>666723.05*AE2567</f>
        <v>133344.61</v>
      </c>
      <c r="AG2567" s="5200">
        <f t="shared" si="539"/>
        <v>133344.61</v>
      </c>
      <c r="AH2567" s="5482" t="s">
        <v>4306</v>
      </c>
      <c r="AI2567" s="4048">
        <v>44810</v>
      </c>
      <c r="AJ2567" s="4048">
        <v>133344.61</v>
      </c>
      <c r="AK2567" s="4048">
        <v>44810</v>
      </c>
      <c r="AL2567" s="4048">
        <v>133344.61</v>
      </c>
      <c r="AM2567" s="4048">
        <v>44811</v>
      </c>
      <c r="AN2567" s="5200">
        <f t="shared" si="540"/>
        <v>133344.61</v>
      </c>
      <c r="AO2567" s="5200">
        <v>44833</v>
      </c>
      <c r="AP2567" s="5483">
        <f>AG2567-AN2567</f>
        <v>0</v>
      </c>
      <c r="AQ2567" s="5487"/>
      <c r="AR2567" s="4048"/>
      <c r="AS2567" s="5661"/>
      <c r="AT2567" s="4048"/>
      <c r="AU2567" s="5487"/>
      <c r="AV2567" s="5487"/>
      <c r="AW2567" s="5487"/>
      <c r="AX2567" s="5487"/>
      <c r="AY2567" s="5487"/>
      <c r="AZ2567" s="5487"/>
      <c r="BA2567" s="5500"/>
      <c r="BB2567" s="5500"/>
      <c r="BC2567" s="5200"/>
      <c r="BD2567" s="5500"/>
      <c r="BE2567" s="5500"/>
      <c r="BF2567" s="5500"/>
      <c r="BG2567" s="5500"/>
      <c r="BH2567" s="5200">
        <v>133344.61</v>
      </c>
      <c r="BI2567" s="5500"/>
      <c r="BJ2567" s="5500"/>
      <c r="BK2567" s="5500"/>
      <c r="BL2567" s="5500"/>
      <c r="BM2567" s="5500"/>
      <c r="BN2567" s="5500"/>
      <c r="BO2567" s="5487"/>
      <c r="BP2567" s="5487"/>
      <c r="BQ2567" s="5487"/>
      <c r="BR2567" s="5487"/>
      <c r="BS2567" s="5487"/>
      <c r="BT2567" s="5487"/>
      <c r="BU2567" s="5487"/>
      <c r="BV2567" s="5523">
        <v>133344.61</v>
      </c>
      <c r="BW2567" s="5487"/>
      <c r="BX2567" s="5487"/>
      <c r="BY2567" s="5487"/>
      <c r="BZ2567" s="5487"/>
      <c r="CA2567" s="5487"/>
      <c r="CB2567" s="5487"/>
      <c r="CC2567" s="4048"/>
      <c r="CD2567" s="4048"/>
      <c r="CE2567" s="6876"/>
      <c r="CF2567" s="6876"/>
      <c r="CG2567" s="6876"/>
      <c r="CH2567" s="6876"/>
    </row>
    <row r="2568" s="4999" customFormat="1" ht="76" spans="1:86">
      <c r="A2568" s="2963"/>
      <c r="B2568" s="918"/>
      <c r="C2568" s="2963"/>
      <c r="D2568" s="5608"/>
      <c r="E2568" s="5608"/>
      <c r="F2568" s="5608"/>
      <c r="G2568" s="5608"/>
      <c r="H2568" s="5661"/>
      <c r="I2568" s="5661"/>
      <c r="J2568" s="5666"/>
      <c r="K2568" s="5661"/>
      <c r="L2568" s="5661"/>
      <c r="M2568" s="5661"/>
      <c r="N2568" s="2963"/>
      <c r="O2568" s="2963"/>
      <c r="P2568" s="2963"/>
      <c r="Q2568" s="2963"/>
      <c r="R2568" s="2963"/>
      <c r="S2568" s="2963"/>
      <c r="T2568" s="2963"/>
      <c r="U2568" s="7164"/>
      <c r="V2568" s="2963"/>
      <c r="W2568" s="2963"/>
      <c r="X2568" s="2963"/>
      <c r="Y2568" s="2963"/>
      <c r="Z2568" s="2963"/>
      <c r="AA2568" s="2963"/>
      <c r="AB2568" s="918"/>
      <c r="AC2568" s="7169">
        <v>2</v>
      </c>
      <c r="AD2568" s="7170" t="s">
        <v>4286</v>
      </c>
      <c r="AE2568" s="7169">
        <v>0.4</v>
      </c>
      <c r="AF2568" s="4048">
        <f>666723.05*AE2568</f>
        <v>266689.22</v>
      </c>
      <c r="AG2568" s="5200">
        <f t="shared" si="539"/>
        <v>266689.22</v>
      </c>
      <c r="AH2568" s="5482" t="s">
        <v>122</v>
      </c>
      <c r="AI2568" s="5200">
        <v>44876</v>
      </c>
      <c r="AJ2568" s="5200">
        <v>266689.22</v>
      </c>
      <c r="AK2568" s="5200">
        <v>44876</v>
      </c>
      <c r="AL2568" s="5200">
        <v>266689.22</v>
      </c>
      <c r="AM2568" s="5200">
        <v>44876</v>
      </c>
      <c r="AN2568" s="5200">
        <f t="shared" si="540"/>
        <v>266689.22</v>
      </c>
      <c r="AO2568" s="5200">
        <v>44907</v>
      </c>
      <c r="AP2568" s="4048"/>
      <c r="AQ2568" s="5487"/>
      <c r="AR2568" s="4048"/>
      <c r="AS2568" s="5661"/>
      <c r="AT2568" s="4048"/>
      <c r="AU2568" s="5487"/>
      <c r="AV2568" s="5487"/>
      <c r="AW2568" s="5487"/>
      <c r="AX2568" s="5487"/>
      <c r="AY2568" s="5487"/>
      <c r="AZ2568" s="5487"/>
      <c r="BA2568" s="5500"/>
      <c r="BB2568" s="5500"/>
      <c r="BC2568" s="5200"/>
      <c r="BD2568" s="5500"/>
      <c r="BE2568" s="5500"/>
      <c r="BF2568" s="5500"/>
      <c r="BG2568" s="5500"/>
      <c r="BH2568" s="5200">
        <v>266689.22</v>
      </c>
      <c r="BI2568" s="5500"/>
      <c r="BJ2568" s="5500"/>
      <c r="BK2568" s="5500"/>
      <c r="BL2568" s="5500"/>
      <c r="BM2568" s="5500"/>
      <c r="BN2568" s="5200"/>
      <c r="BO2568" s="5515"/>
      <c r="BP2568" s="5515"/>
      <c r="BQ2568" s="5515"/>
      <c r="BR2568" s="5515"/>
      <c r="BS2568" s="5515"/>
      <c r="BT2568" s="5515"/>
      <c r="BU2568" s="5515"/>
      <c r="BV2568" s="5523">
        <v>266689.22</v>
      </c>
      <c r="BW2568" s="5515"/>
      <c r="BX2568" s="5515"/>
      <c r="BY2568" s="5515"/>
      <c r="BZ2568" s="5515"/>
      <c r="CA2568" s="5515"/>
      <c r="CB2568" s="5500"/>
      <c r="CC2568" s="4048"/>
      <c r="CD2568" s="4048"/>
      <c r="CE2568" s="6876"/>
      <c r="CF2568" s="6876"/>
      <c r="CG2568" s="6876"/>
      <c r="CH2568" s="6876"/>
    </row>
    <row r="2569" s="4999" customFormat="1" ht="31" spans="1:86">
      <c r="A2569" s="2963"/>
      <c r="B2569" s="918"/>
      <c r="C2569" s="2963"/>
      <c r="D2569" s="5608"/>
      <c r="E2569" s="5608"/>
      <c r="F2569" s="5608"/>
      <c r="G2569" s="5608"/>
      <c r="H2569" s="5661"/>
      <c r="I2569" s="5661"/>
      <c r="J2569" s="5666"/>
      <c r="K2569" s="5661"/>
      <c r="L2569" s="5661"/>
      <c r="M2569" s="5661"/>
      <c r="N2569" s="2963"/>
      <c r="O2569" s="2963"/>
      <c r="P2569" s="2963"/>
      <c r="Q2569" s="2963"/>
      <c r="R2569" s="2963"/>
      <c r="S2569" s="2963"/>
      <c r="T2569" s="2963"/>
      <c r="U2569" s="7165"/>
      <c r="V2569" s="2963"/>
      <c r="W2569" s="2963"/>
      <c r="X2569" s="2963"/>
      <c r="Y2569" s="2963"/>
      <c r="Z2569" s="2963"/>
      <c r="AA2569" s="2963"/>
      <c r="AB2569" s="918"/>
      <c r="AC2569" s="7169">
        <v>3</v>
      </c>
      <c r="AD2569" s="7170" t="s">
        <v>2874</v>
      </c>
      <c r="AE2569" s="7169">
        <v>0.4</v>
      </c>
      <c r="AF2569" s="4048">
        <f>666723.05*AE2569</f>
        <v>266689.22</v>
      </c>
      <c r="AG2569" s="5200">
        <f t="shared" si="539"/>
        <v>266689.22</v>
      </c>
      <c r="AH2569" s="5482" t="s">
        <v>122</v>
      </c>
      <c r="AI2569" s="5200">
        <v>44909</v>
      </c>
      <c r="AJ2569" s="5200">
        <f>SUM(BD2569:BQ2569)</f>
        <v>266689.22</v>
      </c>
      <c r="AK2569" s="5200">
        <v>44909</v>
      </c>
      <c r="AL2569" s="5200">
        <f>SUM(BF2569:BS2569)</f>
        <v>266689.22</v>
      </c>
      <c r="AM2569" s="4048">
        <v>45170</v>
      </c>
      <c r="AN2569" s="5200">
        <f t="shared" si="540"/>
        <v>266689.22</v>
      </c>
      <c r="AO2569" s="5200">
        <v>45194</v>
      </c>
      <c r="AP2569" s="4048"/>
      <c r="AQ2569" s="5487"/>
      <c r="AR2569" s="4048"/>
      <c r="AS2569" s="5661"/>
      <c r="AT2569" s="4048"/>
      <c r="AU2569" s="5487"/>
      <c r="AV2569" s="5487"/>
      <c r="AW2569" s="5487"/>
      <c r="AX2569" s="5487"/>
      <c r="AY2569" s="5487"/>
      <c r="AZ2569" s="5487"/>
      <c r="BA2569" s="5500"/>
      <c r="BB2569" s="5500"/>
      <c r="BC2569" s="5200"/>
      <c r="BD2569" s="5500"/>
      <c r="BE2569" s="5500"/>
      <c r="BF2569" s="5500"/>
      <c r="BG2569" s="5500"/>
      <c r="BH2569" s="5200">
        <v>266689.22</v>
      </c>
      <c r="BI2569" s="5500"/>
      <c r="BJ2569" s="5500"/>
      <c r="BK2569" s="5500"/>
      <c r="BL2569" s="5500"/>
      <c r="BM2569" s="5500"/>
      <c r="BN2569" s="5500"/>
      <c r="BO2569" s="5487"/>
      <c r="BP2569" s="5487"/>
      <c r="BQ2569" s="5487"/>
      <c r="BR2569" s="5487"/>
      <c r="BS2569" s="5487"/>
      <c r="BT2569" s="5487"/>
      <c r="BU2569" s="5487"/>
      <c r="BV2569" s="5500">
        <v>266689.22</v>
      </c>
      <c r="BW2569" s="5487"/>
      <c r="BX2569" s="5487"/>
      <c r="BY2569" s="5487"/>
      <c r="BZ2569" s="5487"/>
      <c r="CA2569" s="5487"/>
      <c r="CB2569" s="5487"/>
      <c r="CC2569" s="4048"/>
      <c r="CD2569" s="4048"/>
      <c r="CE2569" s="6876"/>
      <c r="CF2569" s="6876"/>
      <c r="CG2569" s="6876"/>
      <c r="CH2569" s="6876"/>
    </row>
    <row r="2570" s="4999" customFormat="1" ht="31" spans="1:86">
      <c r="A2570" s="2963"/>
      <c r="B2570" s="918"/>
      <c r="C2570" s="2963"/>
      <c r="D2570" s="5608"/>
      <c r="E2570" s="5608"/>
      <c r="F2570" s="5608"/>
      <c r="G2570" s="5608"/>
      <c r="H2570" s="4127" t="s">
        <v>3364</v>
      </c>
      <c r="I2570" s="4127"/>
      <c r="J2570" s="5666"/>
      <c r="K2570" s="4127" t="s">
        <v>171</v>
      </c>
      <c r="L2570" s="4127" t="s">
        <v>4313</v>
      </c>
      <c r="M2570" s="4128">
        <v>342730.45</v>
      </c>
      <c r="N2570" s="2963"/>
      <c r="O2570" s="2963"/>
      <c r="P2570" s="2963"/>
      <c r="Q2570" s="2963"/>
      <c r="R2570" s="2963"/>
      <c r="S2570" s="2963"/>
      <c r="T2570" s="2963"/>
      <c r="U2570" s="2963"/>
      <c r="V2570" s="2963"/>
      <c r="W2570" s="2963"/>
      <c r="X2570" s="2963"/>
      <c r="Y2570" s="2963"/>
      <c r="Z2570" s="2963"/>
      <c r="AA2570" s="2963">
        <v>342730.45</v>
      </c>
      <c r="AB2570" s="2963">
        <v>0</v>
      </c>
      <c r="AC2570" s="4046">
        <v>1</v>
      </c>
      <c r="AD2570" s="7171" t="s">
        <v>4221</v>
      </c>
      <c r="AE2570" s="5726">
        <v>0.2</v>
      </c>
      <c r="AF2570" s="4046">
        <f t="shared" ref="AF2570:AF2574" si="541">342730.45*AE2570</f>
        <v>68546.09</v>
      </c>
      <c r="AG2570" s="4045">
        <f t="shared" si="539"/>
        <v>68546.09</v>
      </c>
      <c r="AH2570" s="4364" t="s">
        <v>122</v>
      </c>
      <c r="AI2570" s="4045">
        <v>44876</v>
      </c>
      <c r="AJ2570" s="4045">
        <v>68546.09</v>
      </c>
      <c r="AK2570" s="4045">
        <v>44876</v>
      </c>
      <c r="AL2570" s="4045">
        <v>68546.09</v>
      </c>
      <c r="AM2570" s="4045">
        <v>44876</v>
      </c>
      <c r="AN2570" s="4045">
        <f t="shared" si="540"/>
        <v>68546.09</v>
      </c>
      <c r="AO2570" s="4045">
        <v>44907</v>
      </c>
      <c r="AP2570" s="4046"/>
      <c r="AQ2570" s="5696"/>
      <c r="AR2570" s="4046"/>
      <c r="AS2570" s="4128"/>
      <c r="AT2570" s="4046"/>
      <c r="AU2570" s="5696"/>
      <c r="AV2570" s="5696"/>
      <c r="AW2570" s="5696"/>
      <c r="AX2570" s="5696"/>
      <c r="AY2570" s="5696"/>
      <c r="AZ2570" s="5696"/>
      <c r="BA2570" s="5704"/>
      <c r="BB2570" s="5704"/>
      <c r="BC2570" s="4045"/>
      <c r="BD2570" s="5704"/>
      <c r="BE2570" s="5704"/>
      <c r="BF2570" s="5704"/>
      <c r="BG2570" s="5704"/>
      <c r="BH2570" s="4045"/>
      <c r="BI2570" s="5704"/>
      <c r="BJ2570" s="5704"/>
      <c r="BK2570" s="5704"/>
      <c r="BL2570" s="5704"/>
      <c r="BM2570" s="5704"/>
      <c r="BN2570" s="4045">
        <v>68546.09</v>
      </c>
      <c r="BO2570" s="5706"/>
      <c r="BP2570" s="5706"/>
      <c r="BQ2570" s="5706"/>
      <c r="BR2570" s="5706"/>
      <c r="BS2570" s="5706"/>
      <c r="BT2570" s="5706"/>
      <c r="BU2570" s="5706"/>
      <c r="BV2570" s="5706"/>
      <c r="BW2570" s="5706"/>
      <c r="BX2570" s="5706"/>
      <c r="BY2570" s="5706"/>
      <c r="BZ2570" s="5706"/>
      <c r="CA2570" s="5706"/>
      <c r="CB2570" s="5704">
        <v>68546.09</v>
      </c>
      <c r="CC2570" s="4046"/>
      <c r="CD2570" s="4046"/>
      <c r="CE2570" s="6876"/>
      <c r="CF2570" s="6876"/>
      <c r="CG2570" s="6876"/>
      <c r="CH2570" s="6876"/>
    </row>
    <row r="2571" s="4999" customFormat="1" ht="46" spans="1:86">
      <c r="A2571" s="2963"/>
      <c r="B2571" s="918"/>
      <c r="C2571" s="2963"/>
      <c r="D2571" s="5608"/>
      <c r="E2571" s="5608"/>
      <c r="F2571" s="5608"/>
      <c r="G2571" s="5608"/>
      <c r="H2571" s="4128"/>
      <c r="I2571" s="4128"/>
      <c r="J2571" s="5666"/>
      <c r="K2571" s="4128"/>
      <c r="L2571" s="4128"/>
      <c r="M2571" s="4128"/>
      <c r="N2571" s="2963"/>
      <c r="O2571" s="2963"/>
      <c r="P2571" s="2963"/>
      <c r="Q2571" s="2963"/>
      <c r="R2571" s="2963"/>
      <c r="S2571" s="2963"/>
      <c r="T2571" s="2963"/>
      <c r="U2571" s="2963"/>
      <c r="V2571" s="2963"/>
      <c r="W2571" s="2963"/>
      <c r="X2571" s="2963"/>
      <c r="Y2571" s="2963"/>
      <c r="Z2571" s="2963"/>
      <c r="AA2571" s="2963"/>
      <c r="AB2571" s="2963"/>
      <c r="AC2571" s="4046">
        <v>2</v>
      </c>
      <c r="AD2571" s="7171" t="s">
        <v>4222</v>
      </c>
      <c r="AE2571" s="5726">
        <v>0.2</v>
      </c>
      <c r="AF2571" s="4046">
        <f t="shared" si="541"/>
        <v>68546.09</v>
      </c>
      <c r="AG2571" s="4045">
        <f t="shared" si="539"/>
        <v>68546.09</v>
      </c>
      <c r="AH2571" s="4364" t="s">
        <v>122</v>
      </c>
      <c r="AI2571" s="4045">
        <v>44876</v>
      </c>
      <c r="AJ2571" s="4045">
        <v>68546.09</v>
      </c>
      <c r="AK2571" s="4045">
        <v>44876</v>
      </c>
      <c r="AL2571" s="4045">
        <v>68546.09</v>
      </c>
      <c r="AM2571" s="4045">
        <v>44876</v>
      </c>
      <c r="AN2571" s="4045">
        <f t="shared" si="540"/>
        <v>68546.09</v>
      </c>
      <c r="AO2571" s="4045">
        <v>44907</v>
      </c>
      <c r="AP2571" s="4046"/>
      <c r="AQ2571" s="5696"/>
      <c r="AR2571" s="4046"/>
      <c r="AS2571" s="4128"/>
      <c r="AT2571" s="4046"/>
      <c r="AU2571" s="5696"/>
      <c r="AV2571" s="5696"/>
      <c r="AW2571" s="5696"/>
      <c r="AX2571" s="5696"/>
      <c r="AY2571" s="5696"/>
      <c r="AZ2571" s="5696"/>
      <c r="BA2571" s="5704"/>
      <c r="BB2571" s="5704"/>
      <c r="BC2571" s="4045"/>
      <c r="BD2571" s="5704"/>
      <c r="BE2571" s="5704"/>
      <c r="BF2571" s="5704"/>
      <c r="BG2571" s="5704"/>
      <c r="BH2571" s="4045"/>
      <c r="BI2571" s="5704"/>
      <c r="BJ2571" s="5704"/>
      <c r="BK2571" s="5704"/>
      <c r="BL2571" s="5704"/>
      <c r="BM2571" s="5704"/>
      <c r="BN2571" s="4045">
        <v>68546.09</v>
      </c>
      <c r="BO2571" s="5706"/>
      <c r="BP2571" s="5706"/>
      <c r="BQ2571" s="5706"/>
      <c r="BR2571" s="5706"/>
      <c r="BS2571" s="5706"/>
      <c r="BT2571" s="5706"/>
      <c r="BU2571" s="5706"/>
      <c r="BV2571" s="5706"/>
      <c r="BW2571" s="5706"/>
      <c r="BX2571" s="5706"/>
      <c r="BY2571" s="5706"/>
      <c r="BZ2571" s="5706"/>
      <c r="CA2571" s="5706"/>
      <c r="CB2571" s="5704">
        <v>68546.09</v>
      </c>
      <c r="CC2571" s="4046"/>
      <c r="CD2571" s="4046"/>
      <c r="CE2571" s="6876"/>
      <c r="CF2571" s="6876"/>
      <c r="CG2571" s="6876"/>
      <c r="CH2571" s="6876"/>
    </row>
    <row r="2572" s="4999" customFormat="1" ht="61" spans="1:86">
      <c r="A2572" s="2963"/>
      <c r="B2572" s="918"/>
      <c r="C2572" s="2963"/>
      <c r="D2572" s="5608"/>
      <c r="E2572" s="5608"/>
      <c r="F2572" s="5608"/>
      <c r="G2572" s="5608"/>
      <c r="H2572" s="4128"/>
      <c r="I2572" s="4128"/>
      <c r="J2572" s="5666"/>
      <c r="K2572" s="4128"/>
      <c r="L2572" s="4128"/>
      <c r="M2572" s="4128"/>
      <c r="N2572" s="2963"/>
      <c r="O2572" s="2963"/>
      <c r="P2572" s="2963"/>
      <c r="Q2572" s="2963"/>
      <c r="R2572" s="2963"/>
      <c r="S2572" s="2963"/>
      <c r="T2572" s="2963"/>
      <c r="U2572" s="2963"/>
      <c r="V2572" s="2963"/>
      <c r="W2572" s="2963"/>
      <c r="X2572" s="2963"/>
      <c r="Y2572" s="2963"/>
      <c r="Z2572" s="2963"/>
      <c r="AA2572" s="2963"/>
      <c r="AB2572" s="2963"/>
      <c r="AC2572" s="4046">
        <v>3</v>
      </c>
      <c r="AD2572" s="7171" t="s">
        <v>4223</v>
      </c>
      <c r="AE2572" s="5726">
        <v>0.3</v>
      </c>
      <c r="AF2572" s="4046">
        <f t="shared" si="541"/>
        <v>102819.135</v>
      </c>
      <c r="AG2572" s="4045">
        <f t="shared" si="539"/>
        <v>102819.135</v>
      </c>
      <c r="AH2572" s="4364" t="s">
        <v>122</v>
      </c>
      <c r="AI2572" s="4045">
        <v>44876</v>
      </c>
      <c r="AJ2572" s="4045">
        <v>102819.135</v>
      </c>
      <c r="AK2572" s="4045">
        <v>44876</v>
      </c>
      <c r="AL2572" s="4045">
        <v>102819.135</v>
      </c>
      <c r="AM2572" s="4045">
        <v>44876</v>
      </c>
      <c r="AN2572" s="4045">
        <f t="shared" si="540"/>
        <v>102819.135</v>
      </c>
      <c r="AO2572" s="4045">
        <v>44907</v>
      </c>
      <c r="AP2572" s="4046"/>
      <c r="AQ2572" s="5696"/>
      <c r="AR2572" s="4046"/>
      <c r="AS2572" s="4128"/>
      <c r="AT2572" s="4046"/>
      <c r="AU2572" s="5696"/>
      <c r="AV2572" s="5696"/>
      <c r="AW2572" s="5696"/>
      <c r="AX2572" s="5696"/>
      <c r="AY2572" s="5696"/>
      <c r="AZ2572" s="5696"/>
      <c r="BA2572" s="5704"/>
      <c r="BB2572" s="5704"/>
      <c r="BC2572" s="4045"/>
      <c r="BD2572" s="5704"/>
      <c r="BE2572" s="5704"/>
      <c r="BF2572" s="5704"/>
      <c r="BG2572" s="5704"/>
      <c r="BH2572" s="4045"/>
      <c r="BI2572" s="5704"/>
      <c r="BJ2572" s="5704"/>
      <c r="BK2572" s="5704"/>
      <c r="BL2572" s="5704"/>
      <c r="BM2572" s="5704"/>
      <c r="BN2572" s="4045">
        <v>102819.135</v>
      </c>
      <c r="BO2572" s="5706"/>
      <c r="BP2572" s="5706"/>
      <c r="BQ2572" s="5706"/>
      <c r="BR2572" s="5706"/>
      <c r="BS2572" s="5706"/>
      <c r="BT2572" s="5706"/>
      <c r="BU2572" s="5706"/>
      <c r="BV2572" s="5706"/>
      <c r="BW2572" s="5706"/>
      <c r="BX2572" s="5706"/>
      <c r="BY2572" s="5706"/>
      <c r="BZ2572" s="5706"/>
      <c r="CA2572" s="5706"/>
      <c r="CB2572" s="5704">
        <v>102819.135</v>
      </c>
      <c r="CC2572" s="4046"/>
      <c r="CD2572" s="4046"/>
      <c r="CE2572" s="6876"/>
      <c r="CF2572" s="6876"/>
      <c r="CG2572" s="6876"/>
      <c r="CH2572" s="6876"/>
    </row>
    <row r="2573" s="4999" customFormat="1" ht="46" spans="1:86">
      <c r="A2573" s="2963"/>
      <c r="B2573" s="918"/>
      <c r="C2573" s="2963"/>
      <c r="D2573" s="5608"/>
      <c r="E2573" s="5608"/>
      <c r="F2573" s="5608"/>
      <c r="G2573" s="5608"/>
      <c r="H2573" s="4128"/>
      <c r="I2573" s="4128"/>
      <c r="J2573" s="5666"/>
      <c r="K2573" s="4128"/>
      <c r="L2573" s="4128"/>
      <c r="M2573" s="4128"/>
      <c r="N2573" s="2963"/>
      <c r="O2573" s="2963"/>
      <c r="P2573" s="2963"/>
      <c r="Q2573" s="2963"/>
      <c r="R2573" s="2963"/>
      <c r="S2573" s="2963"/>
      <c r="T2573" s="2963"/>
      <c r="U2573" s="2963"/>
      <c r="V2573" s="2963"/>
      <c r="W2573" s="2963"/>
      <c r="X2573" s="2963"/>
      <c r="Y2573" s="2963"/>
      <c r="Z2573" s="2963"/>
      <c r="AA2573" s="2963"/>
      <c r="AB2573" s="2963"/>
      <c r="AC2573" s="4046">
        <v>4</v>
      </c>
      <c r="AD2573" s="7171" t="s">
        <v>4224</v>
      </c>
      <c r="AE2573" s="5726">
        <v>0.25</v>
      </c>
      <c r="AF2573" s="4046">
        <f t="shared" si="541"/>
        <v>85682.6125</v>
      </c>
      <c r="AG2573" s="4045">
        <f t="shared" si="539"/>
        <v>85682.6125</v>
      </c>
      <c r="AH2573" s="4364" t="s">
        <v>122</v>
      </c>
      <c r="AI2573" s="4045">
        <v>44876</v>
      </c>
      <c r="AJ2573" s="4045">
        <v>85682.6125</v>
      </c>
      <c r="AK2573" s="4045">
        <v>44876</v>
      </c>
      <c r="AL2573" s="4045">
        <v>85682.6125</v>
      </c>
      <c r="AM2573" s="4045">
        <v>44876</v>
      </c>
      <c r="AN2573" s="4045">
        <f t="shared" si="540"/>
        <v>85682.6125</v>
      </c>
      <c r="AO2573" s="4045">
        <v>44907</v>
      </c>
      <c r="AP2573" s="4046"/>
      <c r="AQ2573" s="5696"/>
      <c r="AR2573" s="4046"/>
      <c r="AS2573" s="4128"/>
      <c r="AT2573" s="4046"/>
      <c r="AU2573" s="5696"/>
      <c r="AV2573" s="5696"/>
      <c r="AW2573" s="5696"/>
      <c r="AX2573" s="5696"/>
      <c r="AY2573" s="5696"/>
      <c r="AZ2573" s="5696"/>
      <c r="BA2573" s="5704"/>
      <c r="BB2573" s="5704"/>
      <c r="BC2573" s="4045"/>
      <c r="BD2573" s="5704"/>
      <c r="BE2573" s="5704"/>
      <c r="BF2573" s="5704"/>
      <c r="BG2573" s="5704"/>
      <c r="BH2573" s="4045"/>
      <c r="BI2573" s="5704"/>
      <c r="BJ2573" s="5704"/>
      <c r="BK2573" s="5704"/>
      <c r="BL2573" s="5704"/>
      <c r="BM2573" s="5704"/>
      <c r="BN2573" s="4045">
        <v>85682.6125</v>
      </c>
      <c r="BO2573" s="5706"/>
      <c r="BP2573" s="5706"/>
      <c r="BQ2573" s="5706"/>
      <c r="BR2573" s="5706"/>
      <c r="BS2573" s="5706"/>
      <c r="BT2573" s="5706"/>
      <c r="BU2573" s="5706"/>
      <c r="BV2573" s="5706"/>
      <c r="BW2573" s="5706"/>
      <c r="BX2573" s="5706"/>
      <c r="BY2573" s="5706"/>
      <c r="BZ2573" s="5706"/>
      <c r="CA2573" s="5706"/>
      <c r="CB2573" s="5704">
        <v>85682.6125</v>
      </c>
      <c r="CC2573" s="4046"/>
      <c r="CD2573" s="4046"/>
      <c r="CE2573" s="6876"/>
      <c r="CF2573" s="6876"/>
      <c r="CG2573" s="6876"/>
      <c r="CH2573" s="6876"/>
    </row>
    <row r="2574" s="4999" customFormat="1" ht="92" spans="1:86">
      <c r="A2574" s="2963"/>
      <c r="B2574" s="918"/>
      <c r="C2574" s="2963"/>
      <c r="D2574" s="5608"/>
      <c r="E2574" s="5608"/>
      <c r="F2574" s="5608"/>
      <c r="G2574" s="5608"/>
      <c r="H2574" s="4128"/>
      <c r="I2574" s="4128"/>
      <c r="J2574" s="5666"/>
      <c r="K2574" s="4128"/>
      <c r="L2574" s="4128"/>
      <c r="M2574" s="4128"/>
      <c r="N2574" s="2963"/>
      <c r="O2574" s="2963"/>
      <c r="P2574" s="2963"/>
      <c r="Q2574" s="2963"/>
      <c r="R2574" s="2963"/>
      <c r="S2574" s="2963"/>
      <c r="T2574" s="2963"/>
      <c r="U2574" s="2963"/>
      <c r="V2574" s="2963"/>
      <c r="W2574" s="2963"/>
      <c r="X2574" s="2963"/>
      <c r="Y2574" s="2963"/>
      <c r="Z2574" s="2963"/>
      <c r="AA2574" s="2963"/>
      <c r="AB2574" s="2963"/>
      <c r="AC2574" s="4046">
        <v>5</v>
      </c>
      <c r="AD2574" s="7171" t="s">
        <v>4225</v>
      </c>
      <c r="AE2574" s="5726">
        <v>0.05</v>
      </c>
      <c r="AF2574" s="4046">
        <f t="shared" si="541"/>
        <v>17136.5225</v>
      </c>
      <c r="AG2574" s="4045">
        <f t="shared" si="539"/>
        <v>0</v>
      </c>
      <c r="AH2574" s="4046"/>
      <c r="AI2574" s="4046"/>
      <c r="AJ2574" s="4046"/>
      <c r="AK2574" s="4046"/>
      <c r="AL2574" s="4046"/>
      <c r="AM2574" s="4046"/>
      <c r="AN2574" s="4045">
        <f t="shared" si="540"/>
        <v>0</v>
      </c>
      <c r="AO2574" s="4046"/>
      <c r="AP2574" s="4046"/>
      <c r="AQ2574" s="5696"/>
      <c r="AR2574" s="4046"/>
      <c r="AS2574" s="4128"/>
      <c r="AT2574" s="4046"/>
      <c r="AU2574" s="5696"/>
      <c r="AV2574" s="5696"/>
      <c r="AW2574" s="5696"/>
      <c r="AX2574" s="5696"/>
      <c r="AY2574" s="5696"/>
      <c r="AZ2574" s="5696"/>
      <c r="BA2574" s="5696"/>
      <c r="BB2574" s="5696"/>
      <c r="BC2574" s="4046"/>
      <c r="BD2574" s="5696"/>
      <c r="BE2574" s="5696"/>
      <c r="BF2574" s="5696"/>
      <c r="BG2574" s="5696"/>
      <c r="BH2574" s="4046"/>
      <c r="BI2574" s="5696"/>
      <c r="BJ2574" s="5696"/>
      <c r="BK2574" s="5696"/>
      <c r="BL2574" s="5696"/>
      <c r="BM2574" s="5696"/>
      <c r="BN2574" s="5696"/>
      <c r="BO2574" s="5696"/>
      <c r="BP2574" s="5696"/>
      <c r="BQ2574" s="5696"/>
      <c r="BR2574" s="5696"/>
      <c r="BS2574" s="5696"/>
      <c r="BT2574" s="5696"/>
      <c r="BU2574" s="5696"/>
      <c r="BV2574" s="5696"/>
      <c r="BW2574" s="5696"/>
      <c r="BX2574" s="5696"/>
      <c r="BY2574" s="5696"/>
      <c r="BZ2574" s="5696"/>
      <c r="CA2574" s="5696"/>
      <c r="CB2574" s="5696"/>
      <c r="CC2574" s="4046"/>
      <c r="CD2574" s="4046"/>
      <c r="CE2574" s="6876"/>
      <c r="CF2574" s="6876"/>
      <c r="CG2574" s="6876"/>
      <c r="CH2574" s="6876"/>
    </row>
    <row r="2575" s="4999" customFormat="1" ht="45" customHeight="1" spans="1:86">
      <c r="A2575" s="2963"/>
      <c r="B2575" s="918"/>
      <c r="C2575" s="2963"/>
      <c r="D2575" s="5608"/>
      <c r="E2575" s="5608"/>
      <c r="F2575" s="5608"/>
      <c r="G2575" s="5608"/>
      <c r="H2575" s="6863" t="s">
        <v>4314</v>
      </c>
      <c r="I2575" s="6863"/>
      <c r="J2575" s="5666"/>
      <c r="K2575" s="6863" t="s">
        <v>4315</v>
      </c>
      <c r="L2575" s="6863" t="s">
        <v>4316</v>
      </c>
      <c r="M2575" s="4036">
        <v>3459767.12</v>
      </c>
      <c r="N2575" s="2963"/>
      <c r="O2575" s="2963"/>
      <c r="P2575" s="2963"/>
      <c r="Q2575" s="2963"/>
      <c r="R2575" s="2963"/>
      <c r="S2575" s="2963"/>
      <c r="T2575" s="2963"/>
      <c r="U2575" s="2963"/>
      <c r="V2575" s="2963"/>
      <c r="W2575" s="2963"/>
      <c r="X2575" s="2963"/>
      <c r="Y2575" s="2963"/>
      <c r="Z2575" s="2963"/>
      <c r="AA2575" s="2963"/>
      <c r="AB2575" s="918"/>
      <c r="AC2575" s="3399">
        <v>1</v>
      </c>
      <c r="AD2575" s="7172" t="s">
        <v>4228</v>
      </c>
      <c r="AE2575" s="6966">
        <v>0.2</v>
      </c>
      <c r="AF2575" s="3399">
        <f>3459767.12*AE2575</f>
        <v>691953.424</v>
      </c>
      <c r="AG2575" s="4036">
        <f t="shared" si="539"/>
        <v>1729883.56</v>
      </c>
      <c r="AH2575" s="6865" t="s">
        <v>4306</v>
      </c>
      <c r="AI2575" s="4036">
        <v>44810</v>
      </c>
      <c r="AJ2575" s="4036">
        <v>1729883.56</v>
      </c>
      <c r="AK2575" s="4036">
        <v>44810</v>
      </c>
      <c r="AL2575" s="4036">
        <v>1729883.56</v>
      </c>
      <c r="AM2575" s="6970">
        <v>44811</v>
      </c>
      <c r="AN2575" s="4036">
        <f t="shared" si="540"/>
        <v>1729883.56</v>
      </c>
      <c r="AO2575" s="4036">
        <v>44833</v>
      </c>
      <c r="AP2575" s="4036">
        <f>AG2575-AN2575</f>
        <v>0</v>
      </c>
      <c r="AQ2575" s="4036"/>
      <c r="AR2575" s="3399"/>
      <c r="AS2575" s="3190"/>
      <c r="AT2575" s="3399"/>
      <c r="AU2575" s="7190"/>
      <c r="AV2575" s="7190"/>
      <c r="AW2575" s="7190"/>
      <c r="AX2575" s="7190"/>
      <c r="AY2575" s="7190"/>
      <c r="AZ2575" s="7190"/>
      <c r="BA2575" s="4036"/>
      <c r="BB2575" s="4036"/>
      <c r="BC2575" s="4036"/>
      <c r="BD2575" s="4036"/>
      <c r="BE2575" s="4036"/>
      <c r="BF2575" s="4036"/>
      <c r="BG2575" s="4036"/>
      <c r="BH2575" s="4036"/>
      <c r="BI2575" s="4036"/>
      <c r="BJ2575" s="4036"/>
      <c r="BK2575" s="4036"/>
      <c r="BL2575" s="4036"/>
      <c r="BM2575" s="4036"/>
      <c r="BN2575" s="4036">
        <v>1729883.56</v>
      </c>
      <c r="BO2575" s="3399"/>
      <c r="BP2575" s="3399"/>
      <c r="BQ2575" s="3399"/>
      <c r="BR2575" s="3399"/>
      <c r="BS2575" s="3399"/>
      <c r="BT2575" s="3399"/>
      <c r="BU2575" s="3399"/>
      <c r="BV2575" s="3399"/>
      <c r="BW2575" s="3399"/>
      <c r="BX2575" s="3399"/>
      <c r="BY2575" s="3399"/>
      <c r="BZ2575" s="3399"/>
      <c r="CA2575" s="3399"/>
      <c r="CB2575" s="6866">
        <v>1729883.56</v>
      </c>
      <c r="CC2575" s="3399"/>
      <c r="CD2575" s="3399"/>
      <c r="CE2575" s="6876"/>
      <c r="CF2575" s="6876"/>
      <c r="CG2575" s="6876"/>
      <c r="CH2575" s="6876"/>
    </row>
    <row r="2576" s="4999" customFormat="1" ht="45" customHeight="1" spans="1:86">
      <c r="A2576" s="2963"/>
      <c r="B2576" s="918"/>
      <c r="C2576" s="2963"/>
      <c r="D2576" s="5608"/>
      <c r="E2576" s="5608"/>
      <c r="F2576" s="5608"/>
      <c r="G2576" s="5608"/>
      <c r="H2576" s="3190"/>
      <c r="I2576" s="3190"/>
      <c r="J2576" s="5666"/>
      <c r="K2576" s="6863"/>
      <c r="L2576" s="3190"/>
      <c r="M2576" s="4036"/>
      <c r="N2576" s="2963"/>
      <c r="O2576" s="2963"/>
      <c r="P2576" s="2963"/>
      <c r="Q2576" s="2963"/>
      <c r="R2576" s="2963"/>
      <c r="S2576" s="2963"/>
      <c r="T2576" s="2963"/>
      <c r="U2576" s="2963"/>
      <c r="V2576" s="2963"/>
      <c r="W2576" s="2963"/>
      <c r="X2576" s="2963"/>
      <c r="Y2576" s="2963"/>
      <c r="Z2576" s="2963"/>
      <c r="AA2576" s="2963"/>
      <c r="AB2576" s="918"/>
      <c r="AC2576" s="3399">
        <v>2</v>
      </c>
      <c r="AD2576" s="7172" t="s">
        <v>4229</v>
      </c>
      <c r="AE2576" s="6966">
        <v>0.2</v>
      </c>
      <c r="AF2576" s="3399">
        <f t="shared" ref="AF2576:AF2583" si="542">3459767.12*AE2576</f>
        <v>691953.424</v>
      </c>
      <c r="AG2576" s="4036"/>
      <c r="AH2576" s="4036"/>
      <c r="AI2576" s="4036"/>
      <c r="AJ2576" s="4036"/>
      <c r="AK2576" s="4036"/>
      <c r="AL2576" s="4036"/>
      <c r="AM2576" s="6907"/>
      <c r="AN2576" s="4036"/>
      <c r="AO2576" s="4036"/>
      <c r="AP2576" s="4036"/>
      <c r="AQ2576" s="4036"/>
      <c r="AR2576" s="3399"/>
      <c r="AS2576" s="3190"/>
      <c r="AT2576" s="3399"/>
      <c r="AU2576" s="7190"/>
      <c r="AV2576" s="7190"/>
      <c r="AW2576" s="7190"/>
      <c r="AX2576" s="7190"/>
      <c r="AY2576" s="7190"/>
      <c r="AZ2576" s="7190"/>
      <c r="BA2576" s="4036"/>
      <c r="BB2576" s="4036"/>
      <c r="BC2576" s="4036"/>
      <c r="BD2576" s="4036"/>
      <c r="BE2576" s="4036"/>
      <c r="BF2576" s="4036"/>
      <c r="BG2576" s="4036"/>
      <c r="BH2576" s="4036"/>
      <c r="BI2576" s="4036"/>
      <c r="BJ2576" s="4036"/>
      <c r="BK2576" s="4036"/>
      <c r="BL2576" s="4036"/>
      <c r="BM2576" s="4036"/>
      <c r="BN2576" s="4036"/>
      <c r="BO2576" s="3399"/>
      <c r="BP2576" s="3399"/>
      <c r="BQ2576" s="3399"/>
      <c r="BR2576" s="3399"/>
      <c r="BS2576" s="3399"/>
      <c r="BT2576" s="3399"/>
      <c r="BU2576" s="3399"/>
      <c r="BV2576" s="3399"/>
      <c r="BW2576" s="3399"/>
      <c r="BX2576" s="3399"/>
      <c r="BY2576" s="3399"/>
      <c r="BZ2576" s="3399"/>
      <c r="CA2576" s="3399"/>
      <c r="CB2576" s="6866"/>
      <c r="CC2576" s="3399"/>
      <c r="CD2576" s="3399"/>
      <c r="CE2576" s="6876"/>
      <c r="CF2576" s="6876"/>
      <c r="CG2576" s="6876"/>
      <c r="CH2576" s="6876"/>
    </row>
    <row r="2577" s="4999" customFormat="1" ht="45" customHeight="1" spans="1:86">
      <c r="A2577" s="2963"/>
      <c r="B2577" s="918"/>
      <c r="C2577" s="2963"/>
      <c r="D2577" s="5608"/>
      <c r="E2577" s="5608"/>
      <c r="F2577" s="5608"/>
      <c r="G2577" s="5608"/>
      <c r="H2577" s="3190"/>
      <c r="I2577" s="3190"/>
      <c r="J2577" s="5666"/>
      <c r="K2577" s="6863"/>
      <c r="L2577" s="3190"/>
      <c r="M2577" s="4036"/>
      <c r="N2577" s="2963"/>
      <c r="O2577" s="2963"/>
      <c r="P2577" s="2963"/>
      <c r="Q2577" s="2963"/>
      <c r="R2577" s="2963"/>
      <c r="S2577" s="2963"/>
      <c r="T2577" s="2963"/>
      <c r="U2577" s="2963"/>
      <c r="V2577" s="2963"/>
      <c r="W2577" s="2963"/>
      <c r="X2577" s="2963"/>
      <c r="Y2577" s="2963"/>
      <c r="Z2577" s="2963"/>
      <c r="AA2577" s="2963"/>
      <c r="AB2577" s="918"/>
      <c r="AC2577" s="3399">
        <v>3</v>
      </c>
      <c r="AD2577" s="7172" t="s">
        <v>4230</v>
      </c>
      <c r="AE2577" s="6966">
        <v>0.1</v>
      </c>
      <c r="AF2577" s="3399">
        <f t="shared" si="542"/>
        <v>345976.712</v>
      </c>
      <c r="AG2577" s="4036"/>
      <c r="AH2577" s="4036"/>
      <c r="AI2577" s="4036"/>
      <c r="AJ2577" s="4036"/>
      <c r="AK2577" s="4036"/>
      <c r="AL2577" s="4036"/>
      <c r="AM2577" s="6974"/>
      <c r="AN2577" s="4036"/>
      <c r="AO2577" s="4036"/>
      <c r="AP2577" s="4036"/>
      <c r="AQ2577" s="4036"/>
      <c r="AR2577" s="3399"/>
      <c r="AS2577" s="3190"/>
      <c r="AT2577" s="3399"/>
      <c r="AU2577" s="7190"/>
      <c r="AV2577" s="7190"/>
      <c r="AW2577" s="7190"/>
      <c r="AX2577" s="7190"/>
      <c r="AY2577" s="7190"/>
      <c r="AZ2577" s="7190"/>
      <c r="BA2577" s="4036"/>
      <c r="BB2577" s="4036"/>
      <c r="BC2577" s="4036"/>
      <c r="BD2577" s="4036"/>
      <c r="BE2577" s="4036"/>
      <c r="BF2577" s="4036"/>
      <c r="BG2577" s="4036"/>
      <c r="BH2577" s="4036"/>
      <c r="BI2577" s="4036"/>
      <c r="BJ2577" s="4036"/>
      <c r="BK2577" s="4036"/>
      <c r="BL2577" s="4036"/>
      <c r="BM2577" s="4036"/>
      <c r="BN2577" s="4036"/>
      <c r="BO2577" s="3399"/>
      <c r="BP2577" s="3399"/>
      <c r="BQ2577" s="3399"/>
      <c r="BR2577" s="3399"/>
      <c r="BS2577" s="3399"/>
      <c r="BT2577" s="3399"/>
      <c r="BU2577" s="3399"/>
      <c r="BV2577" s="3399"/>
      <c r="BW2577" s="3399"/>
      <c r="BX2577" s="3399"/>
      <c r="BY2577" s="3399"/>
      <c r="BZ2577" s="3399"/>
      <c r="CA2577" s="3399"/>
      <c r="CB2577" s="6866"/>
      <c r="CC2577" s="3399"/>
      <c r="CD2577" s="3399"/>
      <c r="CE2577" s="6876"/>
      <c r="CF2577" s="6876"/>
      <c r="CG2577" s="6876"/>
      <c r="CH2577" s="6876"/>
    </row>
    <row r="2578" s="4999" customFormat="1" ht="45" customHeight="1" spans="1:86">
      <c r="A2578" s="2963"/>
      <c r="B2578" s="918"/>
      <c r="C2578" s="2963"/>
      <c r="D2578" s="5608"/>
      <c r="E2578" s="5608"/>
      <c r="F2578" s="5608"/>
      <c r="G2578" s="5608"/>
      <c r="H2578" s="3190"/>
      <c r="I2578" s="3190"/>
      <c r="J2578" s="5666"/>
      <c r="K2578" s="6863"/>
      <c r="L2578" s="3190"/>
      <c r="M2578" s="4036"/>
      <c r="N2578" s="2963"/>
      <c r="O2578" s="2963"/>
      <c r="P2578" s="2963"/>
      <c r="Q2578" s="2963"/>
      <c r="R2578" s="2963"/>
      <c r="S2578" s="2963"/>
      <c r="T2578" s="2963"/>
      <c r="U2578" s="2963"/>
      <c r="V2578" s="2963"/>
      <c r="W2578" s="2963"/>
      <c r="X2578" s="2963"/>
      <c r="Y2578" s="2963"/>
      <c r="Z2578" s="2963"/>
      <c r="AA2578" s="2963">
        <f>M2575</f>
        <v>3459767.12</v>
      </c>
      <c r="AB2578" s="918" t="s">
        <v>126</v>
      </c>
      <c r="AC2578" s="3399">
        <v>4</v>
      </c>
      <c r="AD2578" s="7172" t="s">
        <v>4231</v>
      </c>
      <c r="AE2578" s="6966">
        <v>0.2</v>
      </c>
      <c r="AF2578" s="3399">
        <f t="shared" si="542"/>
        <v>691953.424</v>
      </c>
      <c r="AG2578" s="4036">
        <f>SUM(BA2578:BN2578)</f>
        <v>691953.424</v>
      </c>
      <c r="AH2578" s="6865" t="s">
        <v>122</v>
      </c>
      <c r="AI2578" s="4036">
        <v>44876</v>
      </c>
      <c r="AJ2578" s="4036">
        <v>691953.424</v>
      </c>
      <c r="AK2578" s="4036">
        <v>44876</v>
      </c>
      <c r="AL2578" s="4036">
        <v>691953.424</v>
      </c>
      <c r="AM2578" s="4036">
        <v>44876</v>
      </c>
      <c r="AN2578" s="4036">
        <f t="shared" ref="AN2578:AN2583" si="543">SUM(BO2578:CB2578)</f>
        <v>691953.424</v>
      </c>
      <c r="AO2578" s="4036">
        <v>44907</v>
      </c>
      <c r="AP2578" s="3399"/>
      <c r="AQ2578" s="7190"/>
      <c r="AR2578" s="3399"/>
      <c r="AS2578" s="3190"/>
      <c r="AT2578" s="3399"/>
      <c r="AU2578" s="7190"/>
      <c r="AV2578" s="7190"/>
      <c r="AW2578" s="7190"/>
      <c r="AX2578" s="7190"/>
      <c r="AY2578" s="7190"/>
      <c r="AZ2578" s="7190"/>
      <c r="BA2578" s="7194"/>
      <c r="BB2578" s="7194"/>
      <c r="BC2578" s="4036"/>
      <c r="BD2578" s="7194"/>
      <c r="BE2578" s="7194"/>
      <c r="BF2578" s="7194"/>
      <c r="BG2578" s="7194"/>
      <c r="BH2578" s="4036"/>
      <c r="BI2578" s="7194"/>
      <c r="BJ2578" s="7194"/>
      <c r="BK2578" s="7194"/>
      <c r="BL2578" s="7194"/>
      <c r="BM2578" s="7194"/>
      <c r="BN2578" s="4036">
        <v>691953.424</v>
      </c>
      <c r="BO2578" s="7199"/>
      <c r="BP2578" s="7199"/>
      <c r="BQ2578" s="7199"/>
      <c r="BR2578" s="7199"/>
      <c r="BS2578" s="7199"/>
      <c r="BT2578" s="7199"/>
      <c r="BU2578" s="7199"/>
      <c r="BV2578" s="7199"/>
      <c r="BW2578" s="7199"/>
      <c r="BX2578" s="7199"/>
      <c r="BY2578" s="7199"/>
      <c r="BZ2578" s="7199"/>
      <c r="CA2578" s="7199"/>
      <c r="CB2578" s="7194">
        <v>691953.424</v>
      </c>
      <c r="CC2578" s="3399"/>
      <c r="CD2578" s="3399"/>
      <c r="CE2578" s="6876"/>
      <c r="CF2578" s="6876"/>
      <c r="CG2578" s="6876"/>
      <c r="CH2578" s="6876"/>
    </row>
    <row r="2579" s="4999" customFormat="1" ht="45" customHeight="1" spans="1:86">
      <c r="A2579" s="2963"/>
      <c r="B2579" s="918"/>
      <c r="C2579" s="2963"/>
      <c r="D2579" s="5608"/>
      <c r="E2579" s="5608"/>
      <c r="F2579" s="5608"/>
      <c r="G2579" s="5608"/>
      <c r="H2579" s="3190"/>
      <c r="I2579" s="3190"/>
      <c r="J2579" s="5666"/>
      <c r="K2579" s="6863"/>
      <c r="L2579" s="3190"/>
      <c r="M2579" s="4036"/>
      <c r="N2579" s="2963"/>
      <c r="O2579" s="2963"/>
      <c r="P2579" s="2963"/>
      <c r="Q2579" s="2963"/>
      <c r="R2579" s="2963"/>
      <c r="S2579" s="2963"/>
      <c r="T2579" s="2963"/>
      <c r="U2579" s="2963"/>
      <c r="V2579" s="2963"/>
      <c r="W2579" s="2963"/>
      <c r="X2579" s="2963"/>
      <c r="Y2579" s="2963"/>
      <c r="Z2579" s="2963"/>
      <c r="AA2579" s="2963"/>
      <c r="AB2579" s="918"/>
      <c r="AC2579" s="3399">
        <v>5</v>
      </c>
      <c r="AD2579" s="7172" t="s">
        <v>4232</v>
      </c>
      <c r="AE2579" s="6966">
        <v>0.15</v>
      </c>
      <c r="AF2579" s="3399">
        <f t="shared" si="542"/>
        <v>518965.068</v>
      </c>
      <c r="AG2579" s="4036">
        <f>SUM(BA2579:BN2579)</f>
        <v>518965.068</v>
      </c>
      <c r="AH2579" s="6865" t="s">
        <v>122</v>
      </c>
      <c r="AI2579" s="4036">
        <v>45267</v>
      </c>
      <c r="AJ2579" s="4036">
        <v>518965.068</v>
      </c>
      <c r="AK2579" s="4036">
        <v>45267</v>
      </c>
      <c r="AL2579" s="4036">
        <v>518965.068</v>
      </c>
      <c r="AM2579" s="3399">
        <v>45293</v>
      </c>
      <c r="AN2579" s="4036">
        <f t="shared" si="543"/>
        <v>518965.068</v>
      </c>
      <c r="AO2579" s="4036">
        <v>45308</v>
      </c>
      <c r="AP2579" s="3399"/>
      <c r="AQ2579" s="7190"/>
      <c r="AR2579" s="3399"/>
      <c r="AS2579" s="3190"/>
      <c r="AT2579" s="3399"/>
      <c r="AU2579" s="7190"/>
      <c r="AV2579" s="7190"/>
      <c r="AW2579" s="7190"/>
      <c r="AX2579" s="7190"/>
      <c r="AY2579" s="7190"/>
      <c r="AZ2579" s="7190"/>
      <c r="BA2579" s="7190"/>
      <c r="BB2579" s="7190"/>
      <c r="BC2579" s="3399"/>
      <c r="BD2579" s="7190"/>
      <c r="BE2579" s="7190"/>
      <c r="BF2579" s="7190"/>
      <c r="BG2579" s="7190"/>
      <c r="BH2579" s="3399"/>
      <c r="BI2579" s="7190"/>
      <c r="BJ2579" s="7190"/>
      <c r="BK2579" s="7190"/>
      <c r="BL2579" s="7190"/>
      <c r="BM2579" s="7190"/>
      <c r="BN2579" s="4036">
        <v>518965.068</v>
      </c>
      <c r="BO2579" s="7190"/>
      <c r="BP2579" s="7190"/>
      <c r="BQ2579" s="7190"/>
      <c r="BR2579" s="7190"/>
      <c r="BS2579" s="7190"/>
      <c r="BT2579" s="7190"/>
      <c r="BU2579" s="7190"/>
      <c r="BV2579" s="7190"/>
      <c r="BW2579" s="7190"/>
      <c r="BX2579" s="7190"/>
      <c r="BY2579" s="7190"/>
      <c r="BZ2579" s="7190"/>
      <c r="CA2579" s="7190"/>
      <c r="CB2579" s="4036">
        <v>518965.068</v>
      </c>
      <c r="CC2579" s="3399"/>
      <c r="CD2579" s="3399"/>
      <c r="CE2579" s="6876"/>
      <c r="CF2579" s="6876"/>
      <c r="CG2579" s="6876"/>
      <c r="CH2579" s="6876"/>
    </row>
    <row r="2580" s="4999" customFormat="1" ht="45" customHeight="1" spans="1:86">
      <c r="A2580" s="2963"/>
      <c r="B2580" s="918"/>
      <c r="C2580" s="2963"/>
      <c r="D2580" s="5608"/>
      <c r="E2580" s="5608"/>
      <c r="F2580" s="5608"/>
      <c r="G2580" s="5608"/>
      <c r="H2580" s="3190"/>
      <c r="I2580" s="3190"/>
      <c r="J2580" s="5666"/>
      <c r="K2580" s="6863"/>
      <c r="L2580" s="3190"/>
      <c r="M2580" s="4036"/>
      <c r="N2580" s="2963"/>
      <c r="O2580" s="2963"/>
      <c r="P2580" s="2963"/>
      <c r="Q2580" s="2963"/>
      <c r="R2580" s="2963"/>
      <c r="S2580" s="2963"/>
      <c r="T2580" s="2963"/>
      <c r="U2580" s="2963"/>
      <c r="V2580" s="2963"/>
      <c r="W2580" s="2963"/>
      <c r="X2580" s="2963"/>
      <c r="Y2580" s="2963"/>
      <c r="Z2580" s="2963"/>
      <c r="AA2580" s="2963"/>
      <c r="AB2580" s="918"/>
      <c r="AC2580" s="3399">
        <v>6</v>
      </c>
      <c r="AD2580" s="7172" t="s">
        <v>4233</v>
      </c>
      <c r="AE2580" s="6966">
        <v>0.05</v>
      </c>
      <c r="AF2580" s="3399">
        <f t="shared" si="542"/>
        <v>172988.356</v>
      </c>
      <c r="AG2580" s="4036">
        <f>SUM(BA2580:BN2580)</f>
        <v>172988.356</v>
      </c>
      <c r="AH2580" s="6865" t="s">
        <v>122</v>
      </c>
      <c r="AI2580" s="4036">
        <v>45539</v>
      </c>
      <c r="AJ2580" s="3399"/>
      <c r="AK2580" s="3399"/>
      <c r="AL2580" s="3399">
        <v>172988.36</v>
      </c>
      <c r="AM2580" s="3399">
        <v>45541</v>
      </c>
      <c r="AN2580" s="4036">
        <f t="shared" si="543"/>
        <v>172988.356</v>
      </c>
      <c r="AO2580" s="4036">
        <v>45559</v>
      </c>
      <c r="AP2580" s="3399"/>
      <c r="AQ2580" s="7190"/>
      <c r="AR2580" s="3399"/>
      <c r="AS2580" s="3190"/>
      <c r="AT2580" s="3399"/>
      <c r="AU2580" s="7190"/>
      <c r="AV2580" s="7190"/>
      <c r="AW2580" s="7190"/>
      <c r="AX2580" s="7190"/>
      <c r="AY2580" s="7190"/>
      <c r="AZ2580" s="7190"/>
      <c r="BA2580" s="7190"/>
      <c r="BB2580" s="7190"/>
      <c r="BC2580" s="3399"/>
      <c r="BD2580" s="7190"/>
      <c r="BE2580" s="7190"/>
      <c r="BF2580" s="7190"/>
      <c r="BG2580" s="7190"/>
      <c r="BH2580" s="3399"/>
      <c r="BI2580" s="7190"/>
      <c r="BJ2580" s="7190"/>
      <c r="BK2580" s="7190"/>
      <c r="BL2580" s="7190"/>
      <c r="BM2580" s="7190"/>
      <c r="BN2580" s="4036">
        <v>172988.356</v>
      </c>
      <c r="BO2580" s="7190"/>
      <c r="BP2580" s="7190"/>
      <c r="BQ2580" s="7190"/>
      <c r="BR2580" s="7190"/>
      <c r="BS2580" s="7190"/>
      <c r="BT2580" s="7190"/>
      <c r="BU2580" s="7190"/>
      <c r="BV2580" s="7190"/>
      <c r="BW2580" s="7194"/>
      <c r="BX2580" s="7194"/>
      <c r="BY2580" s="7194"/>
      <c r="BZ2580" s="7194"/>
      <c r="CA2580" s="7194"/>
      <c r="CB2580" s="4036">
        <v>172988.356</v>
      </c>
      <c r="CC2580" s="3399"/>
      <c r="CD2580" s="3399"/>
      <c r="CE2580" s="6876"/>
      <c r="CF2580" s="6876"/>
      <c r="CG2580" s="6876"/>
      <c r="CH2580" s="6876"/>
    </row>
    <row r="2581" s="4999" customFormat="1" ht="45" customHeight="1" spans="1:86">
      <c r="A2581" s="2963"/>
      <c r="B2581" s="918"/>
      <c r="C2581" s="2963"/>
      <c r="D2581" s="5608"/>
      <c r="E2581" s="5608"/>
      <c r="F2581" s="5608"/>
      <c r="G2581" s="5608"/>
      <c r="H2581" s="3190"/>
      <c r="I2581" s="3190"/>
      <c r="J2581" s="5666"/>
      <c r="K2581" s="6863"/>
      <c r="L2581" s="3190"/>
      <c r="M2581" s="4036"/>
      <c r="N2581" s="2963"/>
      <c r="O2581" s="2963"/>
      <c r="P2581" s="2963"/>
      <c r="Q2581" s="2963"/>
      <c r="R2581" s="2963"/>
      <c r="S2581" s="2963"/>
      <c r="T2581" s="2963"/>
      <c r="U2581" s="2963"/>
      <c r="V2581" s="2963"/>
      <c r="W2581" s="2963"/>
      <c r="X2581" s="2963"/>
      <c r="Y2581" s="2963"/>
      <c r="Z2581" s="2963"/>
      <c r="AA2581" s="2963"/>
      <c r="AB2581" s="918"/>
      <c r="AC2581" s="3399">
        <v>7</v>
      </c>
      <c r="AD2581" s="7172" t="s">
        <v>4234</v>
      </c>
      <c r="AE2581" s="6966">
        <v>0.1</v>
      </c>
      <c r="AF2581" s="3399">
        <f t="shared" si="542"/>
        <v>345976.712</v>
      </c>
      <c r="AG2581" s="4036">
        <f>SUM(BA2581:BN2581)</f>
        <v>0</v>
      </c>
      <c r="AH2581" s="3399"/>
      <c r="AI2581" s="3399"/>
      <c r="AJ2581" s="3399"/>
      <c r="AK2581" s="3399"/>
      <c r="AL2581" s="3399"/>
      <c r="AM2581" s="3399"/>
      <c r="AN2581" s="4036">
        <f t="shared" si="543"/>
        <v>0</v>
      </c>
      <c r="AO2581" s="3399"/>
      <c r="AP2581" s="3399"/>
      <c r="AQ2581" s="7190"/>
      <c r="AR2581" s="3399"/>
      <c r="AS2581" s="3190"/>
      <c r="AT2581" s="3399"/>
      <c r="AU2581" s="7190"/>
      <c r="AV2581" s="7190"/>
      <c r="AW2581" s="7190"/>
      <c r="AX2581" s="7190"/>
      <c r="AY2581" s="7190"/>
      <c r="AZ2581" s="7190"/>
      <c r="BA2581" s="7190"/>
      <c r="BB2581" s="7190"/>
      <c r="BC2581" s="3399"/>
      <c r="BD2581" s="7190"/>
      <c r="BE2581" s="7190"/>
      <c r="BF2581" s="7190"/>
      <c r="BG2581" s="7190"/>
      <c r="BH2581" s="3399"/>
      <c r="BI2581" s="7190"/>
      <c r="BJ2581" s="7190"/>
      <c r="BK2581" s="7190"/>
      <c r="BL2581" s="7190"/>
      <c r="BM2581" s="7190"/>
      <c r="BN2581" s="7190"/>
      <c r="BO2581" s="7190"/>
      <c r="BP2581" s="7190"/>
      <c r="BQ2581" s="7190"/>
      <c r="BR2581" s="7190"/>
      <c r="BS2581" s="7190"/>
      <c r="BT2581" s="7190"/>
      <c r="BU2581" s="7190"/>
      <c r="BV2581" s="7190"/>
      <c r="BW2581" s="7190"/>
      <c r="BX2581" s="7190"/>
      <c r="BY2581" s="7190"/>
      <c r="BZ2581" s="7190"/>
      <c r="CA2581" s="7190"/>
      <c r="CB2581" s="7190"/>
      <c r="CC2581" s="3399"/>
      <c r="CD2581" s="3399"/>
      <c r="CE2581" s="6876"/>
      <c r="CF2581" s="6876"/>
      <c r="CG2581" s="6876"/>
      <c r="CH2581" s="6876"/>
    </row>
    <row r="2582" s="4999" customFormat="1" ht="45" customHeight="1" spans="1:86">
      <c r="A2582" s="2963"/>
      <c r="B2582" s="918"/>
      <c r="C2582" s="2963"/>
      <c r="D2582" s="5608"/>
      <c r="E2582" s="5608"/>
      <c r="F2582" s="5608"/>
      <c r="G2582" s="5608"/>
      <c r="H2582" s="6969" t="s">
        <v>4317</v>
      </c>
      <c r="I2582" s="3190"/>
      <c r="J2582" s="5666"/>
      <c r="K2582" s="6969" t="s">
        <v>171</v>
      </c>
      <c r="L2582" s="6969" t="s">
        <v>171</v>
      </c>
      <c r="M2582" s="6970">
        <f>SUBTOTAL(9,N2582:AA2583)</f>
        <v>98000</v>
      </c>
      <c r="N2582" s="2963"/>
      <c r="O2582" s="2963"/>
      <c r="P2582" s="2963"/>
      <c r="Q2582" s="2963"/>
      <c r="R2582" s="2963"/>
      <c r="S2582" s="2963"/>
      <c r="T2582" s="2963"/>
      <c r="U2582" s="2963"/>
      <c r="V2582" s="2963"/>
      <c r="W2582" s="2963"/>
      <c r="X2582" s="2963"/>
      <c r="Y2582" s="2963"/>
      <c r="Z2582" s="5571"/>
      <c r="AA2582" s="5571">
        <v>98000</v>
      </c>
      <c r="AB2582" s="918"/>
      <c r="AC2582" s="3399">
        <v>1</v>
      </c>
      <c r="AD2582" s="7173" t="s">
        <v>4318</v>
      </c>
      <c r="AE2582" s="6966">
        <v>0.9</v>
      </c>
      <c r="AF2582" s="3399">
        <f>98000*AE2582</f>
        <v>88200</v>
      </c>
      <c r="AG2582" s="4036">
        <f>SUM(BA2582:BN2582)</f>
        <v>88200</v>
      </c>
      <c r="AH2582" s="6865" t="s">
        <v>122</v>
      </c>
      <c r="AI2582" s="4036">
        <v>45539</v>
      </c>
      <c r="AJ2582" s="3399"/>
      <c r="AK2582" s="3399"/>
      <c r="AL2582" s="3399">
        <v>88200</v>
      </c>
      <c r="AM2582" s="3399">
        <v>45541</v>
      </c>
      <c r="AN2582" s="4036">
        <f t="shared" si="543"/>
        <v>88200</v>
      </c>
      <c r="AO2582" s="4036">
        <v>45559</v>
      </c>
      <c r="AP2582" s="3399"/>
      <c r="AQ2582" s="7190"/>
      <c r="AR2582" s="3399"/>
      <c r="AS2582" s="3190"/>
      <c r="AT2582" s="3399"/>
      <c r="AU2582" s="7190"/>
      <c r="AV2582" s="7190"/>
      <c r="AW2582" s="7190"/>
      <c r="AX2582" s="7190"/>
      <c r="AY2582" s="7190"/>
      <c r="AZ2582" s="7190"/>
      <c r="BA2582" s="7190"/>
      <c r="BB2582" s="7190"/>
      <c r="BC2582" s="3399"/>
      <c r="BD2582" s="7190"/>
      <c r="BE2582" s="7190"/>
      <c r="BF2582" s="7190"/>
      <c r="BG2582" s="7190"/>
      <c r="BH2582" s="3399"/>
      <c r="BI2582" s="7190"/>
      <c r="BJ2582" s="7190"/>
      <c r="BK2582" s="7190"/>
      <c r="BL2582" s="7190"/>
      <c r="BM2582" s="7190"/>
      <c r="BN2582" s="7194">
        <v>88200</v>
      </c>
      <c r="BO2582" s="7190"/>
      <c r="BP2582" s="7190"/>
      <c r="BQ2582" s="7190"/>
      <c r="BR2582" s="7190"/>
      <c r="BS2582" s="7190"/>
      <c r="BT2582" s="7190"/>
      <c r="BU2582" s="7190"/>
      <c r="BV2582" s="7190"/>
      <c r="BW2582" s="7194"/>
      <c r="BX2582" s="7194"/>
      <c r="BY2582" s="7194"/>
      <c r="BZ2582" s="7194"/>
      <c r="CA2582" s="7194"/>
      <c r="CB2582" s="7194">
        <v>88200</v>
      </c>
      <c r="CC2582" s="3399"/>
      <c r="CD2582" s="3399"/>
      <c r="CE2582" s="6876"/>
      <c r="CF2582" s="6876"/>
      <c r="CG2582" s="6876"/>
      <c r="CH2582" s="6876"/>
    </row>
    <row r="2583" s="4999" customFormat="1" ht="45" customHeight="1" spans="1:86">
      <c r="A2583" s="2963"/>
      <c r="B2583" s="918"/>
      <c r="C2583" s="2963"/>
      <c r="D2583" s="5608"/>
      <c r="E2583" s="5608"/>
      <c r="F2583" s="5608"/>
      <c r="G2583" s="5608"/>
      <c r="H2583" s="7157"/>
      <c r="I2583" s="3190"/>
      <c r="J2583" s="5666"/>
      <c r="K2583" s="6973"/>
      <c r="L2583" s="7157"/>
      <c r="M2583" s="6974"/>
      <c r="N2583" s="2963"/>
      <c r="O2583" s="2963"/>
      <c r="P2583" s="2963"/>
      <c r="Q2583" s="2963"/>
      <c r="R2583" s="2963"/>
      <c r="S2583" s="2963"/>
      <c r="T2583" s="2963"/>
      <c r="U2583" s="2963"/>
      <c r="V2583" s="2963"/>
      <c r="W2583" s="2963"/>
      <c r="X2583" s="2963"/>
      <c r="Y2583" s="2963"/>
      <c r="Z2583" s="3383"/>
      <c r="AA2583" s="3383"/>
      <c r="AB2583" s="918"/>
      <c r="AC2583" s="3399">
        <v>2</v>
      </c>
      <c r="AD2583" s="7173" t="s">
        <v>4319</v>
      </c>
      <c r="AE2583" s="6966">
        <v>0.1</v>
      </c>
      <c r="AF2583" s="3399">
        <f>98000*AE2583</f>
        <v>9800</v>
      </c>
      <c r="AG2583" s="4036"/>
      <c r="AH2583" s="3399"/>
      <c r="AI2583" s="3399"/>
      <c r="AJ2583" s="3399"/>
      <c r="AK2583" s="3399"/>
      <c r="AL2583" s="3399"/>
      <c r="AM2583" s="3399"/>
      <c r="AN2583" s="4036">
        <f t="shared" si="543"/>
        <v>0</v>
      </c>
      <c r="AO2583" s="3399"/>
      <c r="AP2583" s="3399"/>
      <c r="AQ2583" s="7190"/>
      <c r="AR2583" s="3399"/>
      <c r="AS2583" s="3190"/>
      <c r="AT2583" s="3399"/>
      <c r="AU2583" s="7190"/>
      <c r="AV2583" s="7190"/>
      <c r="AW2583" s="7190"/>
      <c r="AX2583" s="7190"/>
      <c r="AY2583" s="7190"/>
      <c r="AZ2583" s="7190"/>
      <c r="BA2583" s="7190"/>
      <c r="BB2583" s="7190"/>
      <c r="BC2583" s="3399"/>
      <c r="BD2583" s="7190"/>
      <c r="BE2583" s="7190"/>
      <c r="BF2583" s="7190"/>
      <c r="BG2583" s="7190"/>
      <c r="BH2583" s="3399"/>
      <c r="BI2583" s="7190"/>
      <c r="BJ2583" s="7190"/>
      <c r="BK2583" s="7190"/>
      <c r="BL2583" s="7190"/>
      <c r="BM2583" s="7190"/>
      <c r="BN2583" s="7190"/>
      <c r="BO2583" s="7190"/>
      <c r="BP2583" s="7190"/>
      <c r="BQ2583" s="7190"/>
      <c r="BR2583" s="7190"/>
      <c r="BS2583" s="7190"/>
      <c r="BT2583" s="7190"/>
      <c r="BU2583" s="7190"/>
      <c r="BV2583" s="7190"/>
      <c r="BW2583" s="7190"/>
      <c r="BX2583" s="7190"/>
      <c r="BY2583" s="7190"/>
      <c r="BZ2583" s="7190"/>
      <c r="CA2583" s="7190"/>
      <c r="CB2583" s="7190"/>
      <c r="CC2583" s="3399"/>
      <c r="CD2583" s="3399"/>
      <c r="CE2583" s="6876"/>
      <c r="CF2583" s="6876"/>
      <c r="CG2583" s="6876"/>
      <c r="CH2583" s="6876"/>
    </row>
    <row r="2584" s="4999" customFormat="1" ht="46" spans="1:86">
      <c r="A2584" s="2963"/>
      <c r="B2584" s="918"/>
      <c r="C2584" s="2963"/>
      <c r="D2584" s="5608"/>
      <c r="E2584" s="5608"/>
      <c r="F2584" s="5608"/>
      <c r="G2584" s="5608"/>
      <c r="H2584" s="7158" t="s">
        <v>4320</v>
      </c>
      <c r="I2584" s="7158"/>
      <c r="J2584" s="5666"/>
      <c r="K2584" s="7158" t="s">
        <v>4321</v>
      </c>
      <c r="L2584" s="7158" t="s">
        <v>4322</v>
      </c>
      <c r="M2584" s="4041">
        <v>1116800</v>
      </c>
      <c r="N2584" s="2963"/>
      <c r="O2584" s="2963"/>
      <c r="P2584" s="2963"/>
      <c r="Q2584" s="2963"/>
      <c r="R2584" s="2963"/>
      <c r="S2584" s="2963"/>
      <c r="T2584" s="2963"/>
      <c r="U2584" s="2963"/>
      <c r="V2584" s="2963"/>
      <c r="W2584" s="2963"/>
      <c r="X2584" s="2963"/>
      <c r="Y2584" s="2963"/>
      <c r="Z2584" s="2963"/>
      <c r="AA2584" s="2963">
        <f>M2584</f>
        <v>1116800</v>
      </c>
      <c r="AB2584" s="918"/>
      <c r="AC2584" s="7158" t="s">
        <v>4323</v>
      </c>
      <c r="AD2584" s="7174" t="s">
        <v>4324</v>
      </c>
      <c r="AE2584" s="7175">
        <v>0.2</v>
      </c>
      <c r="AF2584" s="4041">
        <f t="shared" ref="AF2584:AF2589" si="544">1116800*AE2584</f>
        <v>223360</v>
      </c>
      <c r="AG2584" s="4042">
        <f t="shared" ref="AG2584:AG2597" si="545">SUM(BA2584:BN2584)</f>
        <v>223360</v>
      </c>
      <c r="AH2584" s="7189" t="s">
        <v>4306</v>
      </c>
      <c r="AI2584" s="4041">
        <v>44810</v>
      </c>
      <c r="AJ2584" s="4041">
        <v>223360</v>
      </c>
      <c r="AK2584" s="4041">
        <v>44810</v>
      </c>
      <c r="AL2584" s="4041">
        <v>223360</v>
      </c>
      <c r="AM2584" s="4041">
        <v>44811</v>
      </c>
      <c r="AN2584" s="4042">
        <f t="shared" ref="AN2584:AN2597" si="546">SUM(BO2584:CB2584)</f>
        <v>223360</v>
      </c>
      <c r="AO2584" s="4042">
        <v>44833</v>
      </c>
      <c r="AP2584" s="4042"/>
      <c r="AQ2584" s="7191"/>
      <c r="AR2584" s="4041"/>
      <c r="AS2584" s="7159"/>
      <c r="AT2584" s="4041"/>
      <c r="AU2584" s="7191"/>
      <c r="AV2584" s="7191"/>
      <c r="AW2584" s="7191"/>
      <c r="AX2584" s="7191"/>
      <c r="AY2584" s="7191"/>
      <c r="AZ2584" s="7191"/>
      <c r="BA2584" s="7195"/>
      <c r="BB2584" s="7195"/>
      <c r="BC2584" s="4042"/>
      <c r="BD2584" s="7195"/>
      <c r="BE2584" s="7195"/>
      <c r="BF2584" s="7195"/>
      <c r="BG2584" s="7195"/>
      <c r="BH2584" s="4042"/>
      <c r="BI2584" s="7195"/>
      <c r="BJ2584" s="7195"/>
      <c r="BK2584" s="7195"/>
      <c r="BL2584" s="7195"/>
      <c r="BM2584" s="7195"/>
      <c r="BN2584" s="4042">
        <v>223360</v>
      </c>
      <c r="BO2584" s="7191"/>
      <c r="BP2584" s="7191"/>
      <c r="BQ2584" s="7191"/>
      <c r="BR2584" s="7191"/>
      <c r="BS2584" s="7191"/>
      <c r="BT2584" s="7191"/>
      <c r="BU2584" s="7191"/>
      <c r="BV2584" s="7191"/>
      <c r="BW2584" s="7191"/>
      <c r="BX2584" s="7191"/>
      <c r="BY2584" s="7191"/>
      <c r="BZ2584" s="7191"/>
      <c r="CA2584" s="7191"/>
      <c r="CB2584" s="7195">
        <v>223360</v>
      </c>
      <c r="CC2584" s="4041"/>
      <c r="CD2584" s="4041"/>
      <c r="CE2584" s="6876"/>
      <c r="CF2584" s="6876"/>
      <c r="CG2584" s="6876"/>
      <c r="CH2584" s="6876"/>
    </row>
    <row r="2585" s="4999" customFormat="1" ht="46" spans="1:86">
      <c r="A2585" s="2963"/>
      <c r="B2585" s="918"/>
      <c r="C2585" s="2963"/>
      <c r="D2585" s="5608"/>
      <c r="E2585" s="5608"/>
      <c r="F2585" s="5608"/>
      <c r="G2585" s="5608"/>
      <c r="H2585" s="7159"/>
      <c r="I2585" s="7159"/>
      <c r="J2585" s="5666"/>
      <c r="K2585" s="7158"/>
      <c r="L2585" s="7159"/>
      <c r="M2585" s="4041"/>
      <c r="N2585" s="2963"/>
      <c r="O2585" s="2963"/>
      <c r="P2585" s="2963"/>
      <c r="Q2585" s="2963"/>
      <c r="R2585" s="2963"/>
      <c r="S2585" s="2963"/>
      <c r="T2585" s="2963"/>
      <c r="U2585" s="2963"/>
      <c r="V2585" s="2963"/>
      <c r="W2585" s="2963"/>
      <c r="X2585" s="2963"/>
      <c r="Y2585" s="2963"/>
      <c r="Z2585" s="2963"/>
      <c r="AA2585" s="2963"/>
      <c r="AB2585" s="918"/>
      <c r="AC2585" s="7158" t="s">
        <v>4325</v>
      </c>
      <c r="AD2585" s="7176" t="s">
        <v>4326</v>
      </c>
      <c r="AE2585" s="7175">
        <v>0.1</v>
      </c>
      <c r="AF2585" s="4041">
        <f t="shared" si="544"/>
        <v>111680</v>
      </c>
      <c r="AG2585" s="4042">
        <f t="shared" si="545"/>
        <v>111680</v>
      </c>
      <c r="AH2585" s="7189" t="s">
        <v>122</v>
      </c>
      <c r="AI2585" s="4042">
        <v>44876</v>
      </c>
      <c r="AJ2585" s="4042">
        <v>111680</v>
      </c>
      <c r="AK2585" s="4042">
        <v>44876</v>
      </c>
      <c r="AL2585" s="4042">
        <v>111680</v>
      </c>
      <c r="AM2585" s="4042">
        <v>44876</v>
      </c>
      <c r="AN2585" s="4042">
        <f t="shared" si="546"/>
        <v>111680</v>
      </c>
      <c r="AO2585" s="4042">
        <v>44907</v>
      </c>
      <c r="AP2585" s="4041"/>
      <c r="AQ2585" s="7191"/>
      <c r="AR2585" s="4041"/>
      <c r="AS2585" s="7159"/>
      <c r="AT2585" s="4041"/>
      <c r="AU2585" s="7191"/>
      <c r="AV2585" s="7191"/>
      <c r="AW2585" s="7191"/>
      <c r="AX2585" s="7191"/>
      <c r="AY2585" s="7191"/>
      <c r="AZ2585" s="7191"/>
      <c r="BA2585" s="7195"/>
      <c r="BB2585" s="7195"/>
      <c r="BC2585" s="4042"/>
      <c r="BD2585" s="7195"/>
      <c r="BE2585" s="7195"/>
      <c r="BF2585" s="7195"/>
      <c r="BG2585" s="7195"/>
      <c r="BH2585" s="4042"/>
      <c r="BI2585" s="7195"/>
      <c r="BJ2585" s="7195"/>
      <c r="BK2585" s="7195"/>
      <c r="BL2585" s="7195"/>
      <c r="BM2585" s="7195"/>
      <c r="BN2585" s="4042">
        <v>111680</v>
      </c>
      <c r="BO2585" s="7200"/>
      <c r="BP2585" s="7200"/>
      <c r="BQ2585" s="7200"/>
      <c r="BR2585" s="7200"/>
      <c r="BS2585" s="7200"/>
      <c r="BT2585" s="7200"/>
      <c r="BU2585" s="7200"/>
      <c r="BV2585" s="7200"/>
      <c r="BW2585" s="7200"/>
      <c r="BX2585" s="7200"/>
      <c r="BY2585" s="7200"/>
      <c r="BZ2585" s="7200"/>
      <c r="CA2585" s="7200"/>
      <c r="CB2585" s="4042">
        <v>111680</v>
      </c>
      <c r="CC2585" s="4041"/>
      <c r="CD2585" s="4041"/>
      <c r="CE2585" s="6876"/>
      <c r="CF2585" s="6876"/>
      <c r="CG2585" s="6876"/>
      <c r="CH2585" s="6876"/>
    </row>
    <row r="2586" s="4999" customFormat="1" ht="31" spans="1:86">
      <c r="A2586" s="2963"/>
      <c r="B2586" s="918"/>
      <c r="C2586" s="2963"/>
      <c r="D2586" s="5608"/>
      <c r="E2586" s="5608"/>
      <c r="F2586" s="5608"/>
      <c r="G2586" s="5608"/>
      <c r="H2586" s="7159"/>
      <c r="I2586" s="7159"/>
      <c r="J2586" s="5666"/>
      <c r="K2586" s="7158"/>
      <c r="L2586" s="7159"/>
      <c r="M2586" s="4041"/>
      <c r="N2586" s="2963"/>
      <c r="O2586" s="2963"/>
      <c r="P2586" s="2963"/>
      <c r="Q2586" s="2963"/>
      <c r="R2586" s="2963"/>
      <c r="S2586" s="2963"/>
      <c r="T2586" s="2963"/>
      <c r="U2586" s="2963"/>
      <c r="V2586" s="2963"/>
      <c r="W2586" s="2963"/>
      <c r="X2586" s="2963"/>
      <c r="Y2586" s="2963"/>
      <c r="Z2586" s="2963"/>
      <c r="AA2586" s="2963"/>
      <c r="AB2586" s="918"/>
      <c r="AC2586" s="7158" t="s">
        <v>4327</v>
      </c>
      <c r="AD2586" s="7176" t="s">
        <v>4328</v>
      </c>
      <c r="AE2586" s="7175">
        <v>0.05</v>
      </c>
      <c r="AF2586" s="4041">
        <f t="shared" si="544"/>
        <v>55840</v>
      </c>
      <c r="AG2586" s="4042">
        <f t="shared" si="545"/>
        <v>55840</v>
      </c>
      <c r="AH2586" s="7189" t="s">
        <v>122</v>
      </c>
      <c r="AI2586" s="4042">
        <v>44876</v>
      </c>
      <c r="AJ2586" s="4042">
        <v>55840</v>
      </c>
      <c r="AK2586" s="4042">
        <v>44876</v>
      </c>
      <c r="AL2586" s="4042">
        <v>55840</v>
      </c>
      <c r="AM2586" s="4042">
        <v>44876</v>
      </c>
      <c r="AN2586" s="4042">
        <f t="shared" si="546"/>
        <v>55840</v>
      </c>
      <c r="AO2586" s="4042">
        <v>44907</v>
      </c>
      <c r="AP2586" s="4041"/>
      <c r="AQ2586" s="7191"/>
      <c r="AR2586" s="4041"/>
      <c r="AS2586" s="7159"/>
      <c r="AT2586" s="4041"/>
      <c r="AU2586" s="7191"/>
      <c r="AV2586" s="7191"/>
      <c r="AW2586" s="7191"/>
      <c r="AX2586" s="7191"/>
      <c r="AY2586" s="7191"/>
      <c r="AZ2586" s="7191"/>
      <c r="BA2586" s="7195"/>
      <c r="BB2586" s="7195"/>
      <c r="BC2586" s="4042"/>
      <c r="BD2586" s="7195"/>
      <c r="BE2586" s="7195"/>
      <c r="BF2586" s="7195"/>
      <c r="BG2586" s="7195"/>
      <c r="BH2586" s="4042"/>
      <c r="BI2586" s="7195"/>
      <c r="BJ2586" s="7195"/>
      <c r="BK2586" s="7195"/>
      <c r="BL2586" s="7195"/>
      <c r="BM2586" s="7195"/>
      <c r="BN2586" s="4042">
        <v>55840</v>
      </c>
      <c r="BO2586" s="7200"/>
      <c r="BP2586" s="7200"/>
      <c r="BQ2586" s="7200"/>
      <c r="BR2586" s="7200"/>
      <c r="BS2586" s="7200"/>
      <c r="BT2586" s="7200"/>
      <c r="BU2586" s="7200"/>
      <c r="BV2586" s="7200"/>
      <c r="BW2586" s="7200"/>
      <c r="BX2586" s="7200"/>
      <c r="BY2586" s="7200"/>
      <c r="BZ2586" s="7200"/>
      <c r="CA2586" s="7200"/>
      <c r="CB2586" s="4042">
        <v>55840</v>
      </c>
      <c r="CC2586" s="4041"/>
      <c r="CD2586" s="4041"/>
      <c r="CE2586" s="6876"/>
      <c r="CF2586" s="6876"/>
      <c r="CG2586" s="6876"/>
      <c r="CH2586" s="6876"/>
    </row>
    <row r="2587" s="4999" customFormat="1" ht="46" spans="1:86">
      <c r="A2587" s="2963"/>
      <c r="B2587" s="918"/>
      <c r="C2587" s="2963"/>
      <c r="D2587" s="5608"/>
      <c r="E2587" s="5608"/>
      <c r="F2587" s="5608"/>
      <c r="G2587" s="5608"/>
      <c r="H2587" s="7159"/>
      <c r="I2587" s="7159"/>
      <c r="J2587" s="5666"/>
      <c r="K2587" s="7158"/>
      <c r="L2587" s="7159"/>
      <c r="M2587" s="4041"/>
      <c r="N2587" s="2963"/>
      <c r="O2587" s="2963"/>
      <c r="P2587" s="2963"/>
      <c r="Q2587" s="2963"/>
      <c r="R2587" s="2963"/>
      <c r="S2587" s="2963"/>
      <c r="T2587" s="2963"/>
      <c r="U2587" s="2963"/>
      <c r="V2587" s="2963"/>
      <c r="W2587" s="2963"/>
      <c r="X2587" s="2963"/>
      <c r="Y2587" s="2963"/>
      <c r="Z2587" s="2963"/>
      <c r="AA2587" s="2963"/>
      <c r="AB2587" s="918" t="s">
        <v>126</v>
      </c>
      <c r="AC2587" s="7158" t="s">
        <v>4329</v>
      </c>
      <c r="AD2587" s="7177" t="s">
        <v>4330</v>
      </c>
      <c r="AE2587" s="7175">
        <v>0.25</v>
      </c>
      <c r="AF2587" s="4041">
        <f t="shared" si="544"/>
        <v>279200</v>
      </c>
      <c r="AG2587" s="4042">
        <f t="shared" si="545"/>
        <v>279200</v>
      </c>
      <c r="AH2587" s="7189" t="s">
        <v>122</v>
      </c>
      <c r="AI2587" s="4042">
        <v>44876</v>
      </c>
      <c r="AJ2587" s="4042">
        <v>279200</v>
      </c>
      <c r="AK2587" s="4042">
        <v>44876</v>
      </c>
      <c r="AL2587" s="4042">
        <v>279200</v>
      </c>
      <c r="AM2587" s="4042">
        <v>44876</v>
      </c>
      <c r="AN2587" s="4042">
        <f t="shared" si="546"/>
        <v>279200</v>
      </c>
      <c r="AO2587" s="4042">
        <v>44907</v>
      </c>
      <c r="AP2587" s="4041"/>
      <c r="AQ2587" s="7191"/>
      <c r="AR2587" s="4041"/>
      <c r="AS2587" s="7159"/>
      <c r="AT2587" s="4041"/>
      <c r="AU2587" s="7191"/>
      <c r="AV2587" s="7191"/>
      <c r="AW2587" s="7191"/>
      <c r="AX2587" s="7191"/>
      <c r="AY2587" s="7191"/>
      <c r="AZ2587" s="7191"/>
      <c r="BA2587" s="7195"/>
      <c r="BB2587" s="7195"/>
      <c r="BC2587" s="4042"/>
      <c r="BD2587" s="7195"/>
      <c r="BE2587" s="7195"/>
      <c r="BF2587" s="7195"/>
      <c r="BG2587" s="7195"/>
      <c r="BH2587" s="4042"/>
      <c r="BI2587" s="7195"/>
      <c r="BJ2587" s="7195"/>
      <c r="BK2587" s="7195"/>
      <c r="BL2587" s="7195"/>
      <c r="BM2587" s="7195"/>
      <c r="BN2587" s="4042">
        <v>279200</v>
      </c>
      <c r="BO2587" s="7200"/>
      <c r="BP2587" s="7200"/>
      <c r="BQ2587" s="7200"/>
      <c r="BR2587" s="7200"/>
      <c r="BS2587" s="7200"/>
      <c r="BT2587" s="7200"/>
      <c r="BU2587" s="7200"/>
      <c r="BV2587" s="7200"/>
      <c r="BW2587" s="7200"/>
      <c r="BX2587" s="7200"/>
      <c r="BY2587" s="7200"/>
      <c r="BZ2587" s="7200"/>
      <c r="CA2587" s="7200"/>
      <c r="CB2587" s="4042">
        <v>279200</v>
      </c>
      <c r="CC2587" s="4041"/>
      <c r="CD2587" s="4041"/>
      <c r="CE2587" s="6876"/>
      <c r="CF2587" s="6876"/>
      <c r="CG2587" s="6876"/>
      <c r="CH2587" s="6876"/>
    </row>
    <row r="2588" s="4999" customFormat="1" ht="46" spans="1:86">
      <c r="A2588" s="2963"/>
      <c r="B2588" s="918"/>
      <c r="C2588" s="2963"/>
      <c r="D2588" s="5608"/>
      <c r="E2588" s="5608"/>
      <c r="F2588" s="5608"/>
      <c r="G2588" s="5608"/>
      <c r="H2588" s="7159"/>
      <c r="I2588" s="7159"/>
      <c r="J2588" s="5666"/>
      <c r="K2588" s="7158"/>
      <c r="L2588" s="7159"/>
      <c r="M2588" s="4041"/>
      <c r="N2588" s="2963"/>
      <c r="O2588" s="2963"/>
      <c r="P2588" s="2963"/>
      <c r="Q2588" s="2963"/>
      <c r="R2588" s="2963"/>
      <c r="S2588" s="2963"/>
      <c r="T2588" s="2963"/>
      <c r="U2588" s="2963"/>
      <c r="V2588" s="2963"/>
      <c r="W2588" s="2963"/>
      <c r="X2588" s="2963"/>
      <c r="Y2588" s="2963"/>
      <c r="Z2588" s="2963"/>
      <c r="AA2588" s="2963"/>
      <c r="AB2588" s="918"/>
      <c r="AC2588" s="7158" t="s">
        <v>4331</v>
      </c>
      <c r="AD2588" s="7177" t="s">
        <v>4332</v>
      </c>
      <c r="AE2588" s="7175">
        <v>0.3</v>
      </c>
      <c r="AF2588" s="4041">
        <f t="shared" si="544"/>
        <v>335040</v>
      </c>
      <c r="AG2588" s="4042">
        <f t="shared" si="545"/>
        <v>335040</v>
      </c>
      <c r="AH2588" s="7189" t="s">
        <v>122</v>
      </c>
      <c r="AI2588" s="4042">
        <v>45267</v>
      </c>
      <c r="AJ2588" s="4042">
        <v>335040</v>
      </c>
      <c r="AK2588" s="4042">
        <v>45267</v>
      </c>
      <c r="AL2588" s="4042">
        <v>335040</v>
      </c>
      <c r="AM2588" s="4041">
        <v>45293</v>
      </c>
      <c r="AN2588" s="4042">
        <f t="shared" si="546"/>
        <v>335040</v>
      </c>
      <c r="AO2588" s="4042">
        <v>45308</v>
      </c>
      <c r="AP2588" s="4041"/>
      <c r="AQ2588" s="7191"/>
      <c r="AR2588" s="4041"/>
      <c r="AS2588" s="7159"/>
      <c r="AT2588" s="4041"/>
      <c r="AU2588" s="7191"/>
      <c r="AV2588" s="7191"/>
      <c r="AW2588" s="7191"/>
      <c r="AX2588" s="7191"/>
      <c r="AY2588" s="7191"/>
      <c r="AZ2588" s="7191"/>
      <c r="BA2588" s="7191"/>
      <c r="BB2588" s="7191"/>
      <c r="BC2588" s="4041"/>
      <c r="BD2588" s="7191"/>
      <c r="BE2588" s="7191"/>
      <c r="BF2588" s="7191"/>
      <c r="BG2588" s="7191"/>
      <c r="BH2588" s="4041"/>
      <c r="BI2588" s="7191"/>
      <c r="BJ2588" s="7191"/>
      <c r="BK2588" s="7191"/>
      <c r="BL2588" s="7191"/>
      <c r="BM2588" s="7191"/>
      <c r="BN2588" s="4042">
        <v>335040</v>
      </c>
      <c r="BO2588" s="7191"/>
      <c r="BP2588" s="7191"/>
      <c r="BQ2588" s="7191"/>
      <c r="BR2588" s="7191"/>
      <c r="BS2588" s="7191"/>
      <c r="BT2588" s="7191"/>
      <c r="BU2588" s="7191"/>
      <c r="BV2588" s="7191"/>
      <c r="BW2588" s="7191"/>
      <c r="BX2588" s="7191"/>
      <c r="BY2588" s="7191"/>
      <c r="BZ2588" s="7191"/>
      <c r="CA2588" s="7191"/>
      <c r="CB2588" s="4042">
        <v>335040</v>
      </c>
      <c r="CC2588" s="4041"/>
      <c r="CD2588" s="4041"/>
      <c r="CE2588" s="6876"/>
      <c r="CF2588" s="6876"/>
      <c r="CG2588" s="6876"/>
      <c r="CH2588" s="6876"/>
    </row>
    <row r="2589" s="4999" customFormat="1" ht="92" spans="1:86">
      <c r="A2589" s="2963"/>
      <c r="B2589" s="918"/>
      <c r="C2589" s="2963"/>
      <c r="D2589" s="5608"/>
      <c r="E2589" s="5608"/>
      <c r="F2589" s="5608"/>
      <c r="G2589" s="5608"/>
      <c r="H2589" s="7159"/>
      <c r="I2589" s="7159"/>
      <c r="J2589" s="5666"/>
      <c r="K2589" s="7158"/>
      <c r="L2589" s="7159"/>
      <c r="M2589" s="4041"/>
      <c r="N2589" s="2963"/>
      <c r="O2589" s="2963"/>
      <c r="P2589" s="2963"/>
      <c r="Q2589" s="2963"/>
      <c r="R2589" s="2963"/>
      <c r="S2589" s="2963"/>
      <c r="T2589" s="2963"/>
      <c r="U2589" s="2963"/>
      <c r="V2589" s="2963"/>
      <c r="W2589" s="2963"/>
      <c r="X2589" s="2963"/>
      <c r="Y2589" s="2963"/>
      <c r="Z2589" s="2963"/>
      <c r="AA2589" s="2963"/>
      <c r="AB2589" s="918"/>
      <c r="AC2589" s="7158" t="s">
        <v>4333</v>
      </c>
      <c r="AD2589" s="7176" t="s">
        <v>4334</v>
      </c>
      <c r="AE2589" s="7175">
        <v>0.1</v>
      </c>
      <c r="AF2589" s="4041">
        <f t="shared" si="544"/>
        <v>111680</v>
      </c>
      <c r="AG2589" s="4042">
        <f t="shared" si="545"/>
        <v>0</v>
      </c>
      <c r="AH2589" s="4041"/>
      <c r="AI2589" s="4041"/>
      <c r="AJ2589" s="4041"/>
      <c r="AK2589" s="4041"/>
      <c r="AL2589" s="4041"/>
      <c r="AM2589" s="4041"/>
      <c r="AN2589" s="4042">
        <f t="shared" si="546"/>
        <v>0</v>
      </c>
      <c r="AO2589" s="4041"/>
      <c r="AP2589" s="4041"/>
      <c r="AQ2589" s="7191"/>
      <c r="AR2589" s="4041"/>
      <c r="AS2589" s="7159"/>
      <c r="AT2589" s="4041"/>
      <c r="AU2589" s="7191"/>
      <c r="AV2589" s="7191"/>
      <c r="AW2589" s="7191"/>
      <c r="AX2589" s="7191"/>
      <c r="AY2589" s="7191"/>
      <c r="AZ2589" s="7191"/>
      <c r="BA2589" s="7191"/>
      <c r="BB2589" s="7191"/>
      <c r="BC2589" s="4041"/>
      <c r="BD2589" s="7191"/>
      <c r="BE2589" s="7191"/>
      <c r="BF2589" s="7191"/>
      <c r="BG2589" s="7191"/>
      <c r="BH2589" s="4041"/>
      <c r="BI2589" s="7191"/>
      <c r="BJ2589" s="7191"/>
      <c r="BK2589" s="7191"/>
      <c r="BL2589" s="7191"/>
      <c r="BM2589" s="7191"/>
      <c r="BN2589" s="7191"/>
      <c r="BO2589" s="7191"/>
      <c r="BP2589" s="7191"/>
      <c r="BQ2589" s="7191"/>
      <c r="BR2589" s="7191"/>
      <c r="BS2589" s="7191"/>
      <c r="BT2589" s="7191"/>
      <c r="BU2589" s="7191"/>
      <c r="BV2589" s="7191"/>
      <c r="BW2589" s="7191"/>
      <c r="BX2589" s="7191"/>
      <c r="BY2589" s="7191"/>
      <c r="BZ2589" s="7191"/>
      <c r="CA2589" s="7191"/>
      <c r="CB2589" s="7191"/>
      <c r="CC2589" s="4041"/>
      <c r="CD2589" s="4041"/>
      <c r="CE2589" s="6876"/>
      <c r="CF2589" s="6876"/>
      <c r="CG2589" s="6876"/>
      <c r="CH2589" s="6876"/>
    </row>
    <row r="2590" s="4999" customFormat="1" ht="46" spans="1:86">
      <c r="A2590" s="2963"/>
      <c r="B2590" s="918"/>
      <c r="C2590" s="2963"/>
      <c r="D2590" s="5608"/>
      <c r="E2590" s="5608"/>
      <c r="F2590" s="5608"/>
      <c r="G2590" s="5608"/>
      <c r="H2590" s="440" t="s">
        <v>4335</v>
      </c>
      <c r="I2590" s="440"/>
      <c r="J2590" s="5666"/>
      <c r="K2590" s="3181"/>
      <c r="L2590" s="3181"/>
      <c r="M2590" s="3181">
        <f>SUM(N2590:AA2593)</f>
        <v>1304150</v>
      </c>
      <c r="N2590" s="2963"/>
      <c r="O2590" s="2963"/>
      <c r="P2590" s="2963"/>
      <c r="Q2590" s="2963"/>
      <c r="R2590" s="2963"/>
      <c r="S2590" s="2963"/>
      <c r="T2590" s="2963"/>
      <c r="U2590" s="2963"/>
      <c r="V2590" s="2963"/>
      <c r="W2590" s="2963"/>
      <c r="X2590" s="2963"/>
      <c r="Y2590" s="2963"/>
      <c r="Z2590" s="2963"/>
      <c r="AA2590" s="2963">
        <v>1304150</v>
      </c>
      <c r="AB2590" s="918" t="s">
        <v>126</v>
      </c>
      <c r="AC2590" s="441">
        <v>1</v>
      </c>
      <c r="AD2590" s="6861" t="s">
        <v>4262</v>
      </c>
      <c r="AE2590" s="441">
        <v>0.3</v>
      </c>
      <c r="AF2590" s="2682">
        <f>1304150*AE2590</f>
        <v>391245</v>
      </c>
      <c r="AG2590" s="2957">
        <f t="shared" si="545"/>
        <v>391245</v>
      </c>
      <c r="AH2590" s="600" t="s">
        <v>122</v>
      </c>
      <c r="AI2590" s="2957">
        <v>44876</v>
      </c>
      <c r="AJ2590" s="2957">
        <v>391245</v>
      </c>
      <c r="AK2590" s="2957">
        <v>44876</v>
      </c>
      <c r="AL2590" s="2957">
        <v>391245</v>
      </c>
      <c r="AM2590" s="2957">
        <v>44876</v>
      </c>
      <c r="AN2590" s="2957">
        <f t="shared" si="546"/>
        <v>391245</v>
      </c>
      <c r="AO2590" s="2957">
        <v>44907</v>
      </c>
      <c r="AP2590" s="2682"/>
      <c r="AQ2590" s="5410"/>
      <c r="AR2590" s="2682"/>
      <c r="AS2590" s="3181"/>
      <c r="AT2590" s="2682"/>
      <c r="AU2590" s="5410"/>
      <c r="AV2590" s="5410"/>
      <c r="AW2590" s="5410"/>
      <c r="AX2590" s="5410"/>
      <c r="AY2590" s="5410"/>
      <c r="AZ2590" s="5410"/>
      <c r="BA2590" s="5401"/>
      <c r="BB2590" s="5401"/>
      <c r="BC2590" s="2957"/>
      <c r="BD2590" s="5401"/>
      <c r="BE2590" s="5401"/>
      <c r="BF2590" s="5401"/>
      <c r="BG2590" s="5401"/>
      <c r="BH2590" s="2957"/>
      <c r="BI2590" s="5401"/>
      <c r="BJ2590" s="5401"/>
      <c r="BK2590" s="5401"/>
      <c r="BL2590" s="5401"/>
      <c r="BM2590" s="5401"/>
      <c r="BN2590" s="2957">
        <v>391245</v>
      </c>
      <c r="BO2590" s="5412"/>
      <c r="BP2590" s="5412"/>
      <c r="BQ2590" s="5412"/>
      <c r="BR2590" s="5412"/>
      <c r="BS2590" s="5412"/>
      <c r="BT2590" s="5412"/>
      <c r="BU2590" s="5412"/>
      <c r="BV2590" s="5412"/>
      <c r="BW2590" s="5412"/>
      <c r="BX2590" s="5412"/>
      <c r="BY2590" s="5412"/>
      <c r="BZ2590" s="5412"/>
      <c r="CA2590" s="5412"/>
      <c r="CB2590" s="2957">
        <v>391245</v>
      </c>
      <c r="CC2590" s="2682"/>
      <c r="CD2590" s="2682"/>
      <c r="CE2590" s="6876"/>
      <c r="CF2590" s="6876"/>
      <c r="CG2590" s="6876"/>
      <c r="CH2590" s="6876"/>
    </row>
    <row r="2591" s="4999" customFormat="1" ht="46" spans="1:86">
      <c r="A2591" s="2963"/>
      <c r="B2591" s="918"/>
      <c r="C2591" s="2963"/>
      <c r="D2591" s="5608"/>
      <c r="E2591" s="5608"/>
      <c r="F2591" s="5608"/>
      <c r="G2591" s="5608"/>
      <c r="H2591" s="3181"/>
      <c r="I2591" s="3181"/>
      <c r="J2591" s="5666"/>
      <c r="K2591" s="3181"/>
      <c r="L2591" s="3181"/>
      <c r="M2591" s="3181"/>
      <c r="N2591" s="2963"/>
      <c r="O2591" s="2963"/>
      <c r="P2591" s="2963"/>
      <c r="Q2591" s="2963"/>
      <c r="R2591" s="2963"/>
      <c r="S2591" s="2963"/>
      <c r="T2591" s="2963"/>
      <c r="U2591" s="2963"/>
      <c r="V2591" s="2963"/>
      <c r="W2591" s="2963"/>
      <c r="X2591" s="2963"/>
      <c r="Y2591" s="2963"/>
      <c r="Z2591" s="2963"/>
      <c r="AA2591" s="2963"/>
      <c r="AB2591" s="2963"/>
      <c r="AC2591" s="441">
        <v>2</v>
      </c>
      <c r="AD2591" s="7178" t="s">
        <v>4263</v>
      </c>
      <c r="AE2591" s="441">
        <v>0.3</v>
      </c>
      <c r="AF2591" s="2682">
        <f>1304150*AE2591</f>
        <v>391245</v>
      </c>
      <c r="AG2591" s="2957">
        <f t="shared" si="545"/>
        <v>391245</v>
      </c>
      <c r="AH2591" s="600" t="s">
        <v>122</v>
      </c>
      <c r="AI2591" s="2957">
        <v>45170</v>
      </c>
      <c r="AJ2591" s="2682">
        <f>AG2591</f>
        <v>391245</v>
      </c>
      <c r="AK2591" s="2682">
        <v>45154</v>
      </c>
      <c r="AL2591" s="2682">
        <v>391245</v>
      </c>
      <c r="AM2591" s="2682">
        <v>45170</v>
      </c>
      <c r="AN2591" s="2957">
        <f t="shared" si="546"/>
        <v>391245</v>
      </c>
      <c r="AO2591" s="2957">
        <v>45194</v>
      </c>
      <c r="AP2591" s="2682"/>
      <c r="AQ2591" s="5410"/>
      <c r="AR2591" s="2682"/>
      <c r="AS2591" s="3181"/>
      <c r="AT2591" s="2682"/>
      <c r="AU2591" s="5410"/>
      <c r="AV2591" s="5410"/>
      <c r="AW2591" s="5410"/>
      <c r="AX2591" s="5410"/>
      <c r="AY2591" s="5410"/>
      <c r="AZ2591" s="5410"/>
      <c r="BA2591" s="5410"/>
      <c r="BB2591" s="5410"/>
      <c r="BC2591" s="2682"/>
      <c r="BD2591" s="5401"/>
      <c r="BE2591" s="5401"/>
      <c r="BF2591" s="5401"/>
      <c r="BG2591" s="5401"/>
      <c r="BH2591" s="2957"/>
      <c r="BI2591" s="5401"/>
      <c r="BJ2591" s="5401"/>
      <c r="BK2591" s="5401"/>
      <c r="BL2591" s="5401"/>
      <c r="BM2591" s="5401"/>
      <c r="BN2591" s="5401">
        <v>391245</v>
      </c>
      <c r="BO2591" s="5401"/>
      <c r="BP2591" s="5410"/>
      <c r="BQ2591" s="5410"/>
      <c r="BR2591" s="5410"/>
      <c r="BS2591" s="5410"/>
      <c r="BT2591" s="5410"/>
      <c r="BU2591" s="5410"/>
      <c r="BV2591" s="5410"/>
      <c r="BW2591" s="5410"/>
      <c r="BX2591" s="5410"/>
      <c r="BY2591" s="5410"/>
      <c r="BZ2591" s="5410"/>
      <c r="CA2591" s="5410"/>
      <c r="CB2591" s="2957">
        <v>391245</v>
      </c>
      <c r="CC2591" s="2682"/>
      <c r="CD2591" s="2682"/>
      <c r="CE2591" s="6876"/>
      <c r="CF2591" s="6876"/>
      <c r="CG2591" s="6876"/>
      <c r="CH2591" s="6876"/>
    </row>
    <row r="2592" s="4999" customFormat="1" ht="61" spans="1:86">
      <c r="A2592" s="2963"/>
      <c r="B2592" s="918"/>
      <c r="C2592" s="2963"/>
      <c r="D2592" s="5608"/>
      <c r="E2592" s="5608"/>
      <c r="F2592" s="5608"/>
      <c r="G2592" s="5608"/>
      <c r="H2592" s="3181"/>
      <c r="I2592" s="3181"/>
      <c r="J2592" s="5666"/>
      <c r="K2592" s="3181"/>
      <c r="L2592" s="3181"/>
      <c r="M2592" s="3181"/>
      <c r="N2592" s="2963"/>
      <c r="O2592" s="2963"/>
      <c r="P2592" s="2963"/>
      <c r="Q2592" s="2963"/>
      <c r="R2592" s="2963"/>
      <c r="S2592" s="2963"/>
      <c r="T2592" s="2963"/>
      <c r="U2592" s="2963"/>
      <c r="V2592" s="2963"/>
      <c r="W2592" s="2963"/>
      <c r="X2592" s="2963"/>
      <c r="Y2592" s="2963"/>
      <c r="Z2592" s="2963"/>
      <c r="AA2592" s="2963"/>
      <c r="AB2592" s="2963"/>
      <c r="AC2592" s="441">
        <v>3</v>
      </c>
      <c r="AD2592" s="7178" t="s">
        <v>4264</v>
      </c>
      <c r="AE2592" s="441">
        <v>0.3</v>
      </c>
      <c r="AF2592" s="2682">
        <f>1304150*AE2592</f>
        <v>391245</v>
      </c>
      <c r="AG2592" s="2957">
        <f t="shared" si="545"/>
        <v>391245</v>
      </c>
      <c r="AH2592" s="600" t="s">
        <v>122</v>
      </c>
      <c r="AI2592" s="2957">
        <v>45267</v>
      </c>
      <c r="AJ2592" s="2957">
        <v>391245</v>
      </c>
      <c r="AK2592" s="2957">
        <v>45267</v>
      </c>
      <c r="AL2592" s="2957">
        <v>391245</v>
      </c>
      <c r="AM2592" s="2682">
        <v>45293</v>
      </c>
      <c r="AN2592" s="2957">
        <f t="shared" si="546"/>
        <v>391245</v>
      </c>
      <c r="AO2592" s="2957">
        <v>45308</v>
      </c>
      <c r="AP2592" s="2682"/>
      <c r="AQ2592" s="5410"/>
      <c r="AR2592" s="2682"/>
      <c r="AS2592" s="3181"/>
      <c r="AT2592" s="2682"/>
      <c r="AU2592" s="5410"/>
      <c r="AV2592" s="5410"/>
      <c r="AW2592" s="5410"/>
      <c r="AX2592" s="5410"/>
      <c r="AY2592" s="5410"/>
      <c r="AZ2592" s="5410"/>
      <c r="BA2592" s="5410"/>
      <c r="BB2592" s="5410"/>
      <c r="BC2592" s="2682"/>
      <c r="BD2592" s="5410"/>
      <c r="BE2592" s="5410"/>
      <c r="BF2592" s="5410"/>
      <c r="BG2592" s="5410"/>
      <c r="BH2592" s="2682"/>
      <c r="BI2592" s="5410"/>
      <c r="BJ2592" s="5410"/>
      <c r="BK2592" s="5410"/>
      <c r="BL2592" s="5410"/>
      <c r="BM2592" s="5410"/>
      <c r="BN2592" s="5401">
        <v>391245</v>
      </c>
      <c r="BO2592" s="5410"/>
      <c r="BP2592" s="5410"/>
      <c r="BQ2592" s="5410"/>
      <c r="BR2592" s="5410"/>
      <c r="BS2592" s="5410"/>
      <c r="BT2592" s="5410"/>
      <c r="BU2592" s="5410"/>
      <c r="BV2592" s="5410"/>
      <c r="BW2592" s="5410"/>
      <c r="BX2592" s="5410"/>
      <c r="BY2592" s="5410"/>
      <c r="BZ2592" s="5410"/>
      <c r="CA2592" s="5410"/>
      <c r="CB2592" s="2957">
        <v>391245</v>
      </c>
      <c r="CC2592" s="2682"/>
      <c r="CD2592" s="2682"/>
      <c r="CE2592" s="6876"/>
      <c r="CF2592" s="6876"/>
      <c r="CG2592" s="6876"/>
      <c r="CH2592" s="6876"/>
    </row>
    <row r="2593" s="4999" customFormat="1" ht="76" spans="1:86">
      <c r="A2593" s="2963"/>
      <c r="B2593" s="918"/>
      <c r="C2593" s="2963"/>
      <c r="D2593" s="5608"/>
      <c r="E2593" s="5608"/>
      <c r="F2593" s="5608"/>
      <c r="G2593" s="5608"/>
      <c r="H2593" s="3181"/>
      <c r="I2593" s="3181"/>
      <c r="J2593" s="5666"/>
      <c r="K2593" s="3181"/>
      <c r="L2593" s="3181"/>
      <c r="M2593" s="3181"/>
      <c r="N2593" s="2963"/>
      <c r="O2593" s="2963"/>
      <c r="P2593" s="2963"/>
      <c r="Q2593" s="2963"/>
      <c r="R2593" s="2963"/>
      <c r="S2593" s="2963"/>
      <c r="T2593" s="2963"/>
      <c r="U2593" s="2963"/>
      <c r="V2593" s="2963"/>
      <c r="W2593" s="2963"/>
      <c r="X2593" s="2963"/>
      <c r="Y2593" s="2963"/>
      <c r="Z2593" s="2963"/>
      <c r="AA2593" s="2963"/>
      <c r="AB2593" s="2963"/>
      <c r="AC2593" s="441">
        <v>4</v>
      </c>
      <c r="AD2593" s="7178" t="s">
        <v>4265</v>
      </c>
      <c r="AE2593" s="441">
        <v>0.1</v>
      </c>
      <c r="AF2593" s="2957">
        <f>1304150*AE2593</f>
        <v>130415</v>
      </c>
      <c r="AG2593" s="2957">
        <f t="shared" si="545"/>
        <v>0</v>
      </c>
      <c r="AH2593" s="2682"/>
      <c r="AI2593" s="2682"/>
      <c r="AJ2593" s="2682"/>
      <c r="AK2593" s="2682"/>
      <c r="AL2593" s="2682"/>
      <c r="AM2593" s="2682"/>
      <c r="AN2593" s="2957">
        <f t="shared" si="546"/>
        <v>0</v>
      </c>
      <c r="AO2593" s="2682"/>
      <c r="AP2593" s="2682"/>
      <c r="AQ2593" s="5410"/>
      <c r="AR2593" s="2682"/>
      <c r="AS2593" s="3181"/>
      <c r="AT2593" s="2682"/>
      <c r="AU2593" s="5410"/>
      <c r="AV2593" s="5410"/>
      <c r="AW2593" s="5410"/>
      <c r="AX2593" s="5410"/>
      <c r="AY2593" s="5410"/>
      <c r="AZ2593" s="5410"/>
      <c r="BA2593" s="5410"/>
      <c r="BB2593" s="5410"/>
      <c r="BC2593" s="2682"/>
      <c r="BD2593" s="5410"/>
      <c r="BE2593" s="5410"/>
      <c r="BF2593" s="5410"/>
      <c r="BG2593" s="5410"/>
      <c r="BH2593" s="2682"/>
      <c r="BI2593" s="5410"/>
      <c r="BJ2593" s="5410"/>
      <c r="BK2593" s="5410"/>
      <c r="BL2593" s="5410"/>
      <c r="BM2593" s="5410"/>
      <c r="BN2593" s="5410"/>
      <c r="BO2593" s="5410"/>
      <c r="BP2593" s="5410"/>
      <c r="BQ2593" s="5410"/>
      <c r="BR2593" s="5410"/>
      <c r="BS2593" s="5410"/>
      <c r="BT2593" s="5410"/>
      <c r="BU2593" s="5410"/>
      <c r="BV2593" s="5410"/>
      <c r="BW2593" s="5410"/>
      <c r="BX2593" s="5410"/>
      <c r="BY2593" s="5410"/>
      <c r="BZ2593" s="5410"/>
      <c r="CA2593" s="5410"/>
      <c r="CB2593" s="5410"/>
      <c r="CC2593" s="2682"/>
      <c r="CD2593" s="2682"/>
      <c r="CE2593" s="6876"/>
      <c r="CF2593" s="6876"/>
      <c r="CG2593" s="6876"/>
      <c r="CH2593" s="6876"/>
    </row>
    <row r="2594" s="4999" customFormat="1" ht="46" spans="1:86">
      <c r="A2594" s="2963"/>
      <c r="B2594" s="918"/>
      <c r="C2594" s="2963"/>
      <c r="D2594" s="5608"/>
      <c r="E2594" s="5608"/>
      <c r="F2594" s="5608"/>
      <c r="G2594" s="5608"/>
      <c r="H2594" s="5440" t="s">
        <v>4336</v>
      </c>
      <c r="I2594" s="5440"/>
      <c r="J2594" s="5666"/>
      <c r="K2594" s="5440"/>
      <c r="L2594" s="5440"/>
      <c r="M2594" s="5440"/>
      <c r="N2594" s="2963"/>
      <c r="O2594" s="2963"/>
      <c r="P2594" s="2963"/>
      <c r="Q2594" s="2963"/>
      <c r="R2594" s="2963"/>
      <c r="S2594" s="2963"/>
      <c r="T2594" s="2963"/>
      <c r="U2594" s="2963"/>
      <c r="V2594" s="2963"/>
      <c r="W2594" s="2963"/>
      <c r="X2594" s="2963"/>
      <c r="Y2594" s="2963"/>
      <c r="Z2594" s="2963"/>
      <c r="AA2594" s="2963">
        <f>M2594</f>
        <v>0</v>
      </c>
      <c r="AB2594" s="918" t="s">
        <v>126</v>
      </c>
      <c r="AC2594" s="5440">
        <v>1</v>
      </c>
      <c r="AD2594" s="7179" t="s">
        <v>4277</v>
      </c>
      <c r="AE2594" s="7180">
        <v>0.3</v>
      </c>
      <c r="AF2594" s="4048"/>
      <c r="AG2594" s="5200">
        <f t="shared" si="545"/>
        <v>0</v>
      </c>
      <c r="AH2594" s="4048"/>
      <c r="AI2594" s="4048"/>
      <c r="AJ2594" s="4048"/>
      <c r="AK2594" s="4048"/>
      <c r="AL2594" s="4048"/>
      <c r="AM2594" s="4048"/>
      <c r="AN2594" s="5200">
        <f t="shared" si="546"/>
        <v>0</v>
      </c>
      <c r="AO2594" s="4048"/>
      <c r="AP2594" s="4048"/>
      <c r="AQ2594" s="5487"/>
      <c r="AR2594" s="4048"/>
      <c r="AS2594" s="5661"/>
      <c r="AT2594" s="4048"/>
      <c r="AU2594" s="5487"/>
      <c r="AV2594" s="5487"/>
      <c r="AW2594" s="5487"/>
      <c r="AX2594" s="5487"/>
      <c r="AY2594" s="5487"/>
      <c r="AZ2594" s="5487"/>
      <c r="BA2594" s="5487"/>
      <c r="BB2594" s="5487"/>
      <c r="BC2594" s="4048"/>
      <c r="BD2594" s="5487"/>
      <c r="BE2594" s="5487"/>
      <c r="BF2594" s="5487"/>
      <c r="BG2594" s="5487"/>
      <c r="BH2594" s="4048"/>
      <c r="BI2594" s="5487"/>
      <c r="BJ2594" s="5487"/>
      <c r="BK2594" s="5487"/>
      <c r="BL2594" s="5487"/>
      <c r="BM2594" s="5487"/>
      <c r="BN2594" s="5487"/>
      <c r="BO2594" s="5487"/>
      <c r="BP2594" s="5487"/>
      <c r="BQ2594" s="5487"/>
      <c r="BR2594" s="5487"/>
      <c r="BS2594" s="5487"/>
      <c r="BT2594" s="5487"/>
      <c r="BU2594" s="5487"/>
      <c r="BV2594" s="5487"/>
      <c r="BW2594" s="5487"/>
      <c r="BX2594" s="5487"/>
      <c r="BY2594" s="5487"/>
      <c r="BZ2594" s="5487"/>
      <c r="CA2594" s="5487"/>
      <c r="CB2594" s="5487"/>
      <c r="CC2594" s="4048"/>
      <c r="CD2594" s="4048"/>
      <c r="CE2594" s="6876"/>
      <c r="CF2594" s="6876"/>
      <c r="CG2594" s="6876"/>
      <c r="CH2594" s="6876"/>
    </row>
    <row r="2595" s="4999" customFormat="1" ht="46" spans="1:86">
      <c r="A2595" s="2963"/>
      <c r="B2595" s="918"/>
      <c r="C2595" s="2963"/>
      <c r="D2595" s="5608"/>
      <c r="E2595" s="5608"/>
      <c r="F2595" s="5608"/>
      <c r="G2595" s="5608"/>
      <c r="H2595" s="5661"/>
      <c r="I2595" s="5661"/>
      <c r="J2595" s="5666"/>
      <c r="K2595" s="5440"/>
      <c r="L2595" s="5440"/>
      <c r="M2595" s="5440"/>
      <c r="N2595" s="2963"/>
      <c r="O2595" s="2963"/>
      <c r="P2595" s="2963"/>
      <c r="Q2595" s="2963"/>
      <c r="R2595" s="2963"/>
      <c r="S2595" s="2963"/>
      <c r="T2595" s="2963"/>
      <c r="U2595" s="2963"/>
      <c r="V2595" s="2963"/>
      <c r="W2595" s="2963"/>
      <c r="X2595" s="2963"/>
      <c r="Y2595" s="2963"/>
      <c r="Z2595" s="2963"/>
      <c r="AA2595" s="2963"/>
      <c r="AB2595" s="918"/>
      <c r="AC2595" s="5440">
        <v>2</v>
      </c>
      <c r="AD2595" s="7179" t="s">
        <v>4278</v>
      </c>
      <c r="AE2595" s="7180">
        <v>0.3</v>
      </c>
      <c r="AF2595" s="4048"/>
      <c r="AG2595" s="5200">
        <f t="shared" si="545"/>
        <v>0</v>
      </c>
      <c r="AH2595" s="4048"/>
      <c r="AI2595" s="4048"/>
      <c r="AJ2595" s="4048"/>
      <c r="AK2595" s="4048"/>
      <c r="AL2595" s="4048"/>
      <c r="AM2595" s="4048"/>
      <c r="AN2595" s="5200">
        <f t="shared" si="546"/>
        <v>0</v>
      </c>
      <c r="AO2595" s="4048"/>
      <c r="AP2595" s="4048"/>
      <c r="AQ2595" s="5487"/>
      <c r="AR2595" s="4048"/>
      <c r="AS2595" s="5661"/>
      <c r="AT2595" s="4048"/>
      <c r="AU2595" s="5487"/>
      <c r="AV2595" s="5487"/>
      <c r="AW2595" s="5487"/>
      <c r="AX2595" s="5487"/>
      <c r="AY2595" s="5487"/>
      <c r="AZ2595" s="5487"/>
      <c r="BA2595" s="5487"/>
      <c r="BB2595" s="5487"/>
      <c r="BC2595" s="4048"/>
      <c r="BD2595" s="5487"/>
      <c r="BE2595" s="5487"/>
      <c r="BF2595" s="5487"/>
      <c r="BG2595" s="5487"/>
      <c r="BH2595" s="4048"/>
      <c r="BI2595" s="5487"/>
      <c r="BJ2595" s="5487"/>
      <c r="BK2595" s="5487"/>
      <c r="BL2595" s="5487"/>
      <c r="BM2595" s="5487"/>
      <c r="BN2595" s="5487"/>
      <c r="BO2595" s="5487"/>
      <c r="BP2595" s="5487"/>
      <c r="BQ2595" s="5487"/>
      <c r="BR2595" s="5487"/>
      <c r="BS2595" s="5487"/>
      <c r="BT2595" s="5487"/>
      <c r="BU2595" s="5487"/>
      <c r="BV2595" s="5487"/>
      <c r="BW2595" s="5487"/>
      <c r="BX2595" s="5487"/>
      <c r="BY2595" s="5487"/>
      <c r="BZ2595" s="5487"/>
      <c r="CA2595" s="5487"/>
      <c r="CB2595" s="5487"/>
      <c r="CC2595" s="4048"/>
      <c r="CD2595" s="4048"/>
      <c r="CE2595" s="6876"/>
      <c r="CF2595" s="6876"/>
      <c r="CG2595" s="6876"/>
      <c r="CH2595" s="6876"/>
    </row>
    <row r="2596" s="4999" customFormat="1" ht="46" spans="1:86">
      <c r="A2596" s="2963"/>
      <c r="B2596" s="918"/>
      <c r="C2596" s="2963"/>
      <c r="D2596" s="5608"/>
      <c r="E2596" s="5608"/>
      <c r="F2596" s="5608"/>
      <c r="G2596" s="5608"/>
      <c r="H2596" s="5661"/>
      <c r="I2596" s="5661"/>
      <c r="J2596" s="5666"/>
      <c r="K2596" s="5440"/>
      <c r="L2596" s="5440"/>
      <c r="M2596" s="5440"/>
      <c r="N2596" s="2963"/>
      <c r="O2596" s="2963"/>
      <c r="P2596" s="2963"/>
      <c r="Q2596" s="2963"/>
      <c r="R2596" s="2963"/>
      <c r="S2596" s="2963"/>
      <c r="T2596" s="2963"/>
      <c r="U2596" s="2963"/>
      <c r="V2596" s="2963"/>
      <c r="W2596" s="2963"/>
      <c r="X2596" s="2963"/>
      <c r="Y2596" s="2963"/>
      <c r="Z2596" s="2963"/>
      <c r="AA2596" s="2963"/>
      <c r="AB2596" s="918"/>
      <c r="AC2596" s="5440">
        <v>3</v>
      </c>
      <c r="AD2596" s="7179" t="s">
        <v>4279</v>
      </c>
      <c r="AE2596" s="7180">
        <v>0.3</v>
      </c>
      <c r="AF2596" s="4048"/>
      <c r="AG2596" s="5200">
        <f t="shared" si="545"/>
        <v>0</v>
      </c>
      <c r="AH2596" s="4048"/>
      <c r="AI2596" s="4048"/>
      <c r="AJ2596" s="4048"/>
      <c r="AK2596" s="4048"/>
      <c r="AL2596" s="4048"/>
      <c r="AM2596" s="4048"/>
      <c r="AN2596" s="5200">
        <f t="shared" si="546"/>
        <v>0</v>
      </c>
      <c r="AO2596" s="4048"/>
      <c r="AP2596" s="4048"/>
      <c r="AQ2596" s="5487"/>
      <c r="AR2596" s="4048"/>
      <c r="AS2596" s="5661"/>
      <c r="AT2596" s="4048"/>
      <c r="AU2596" s="5487"/>
      <c r="AV2596" s="5487"/>
      <c r="AW2596" s="5487"/>
      <c r="AX2596" s="5487"/>
      <c r="AY2596" s="5487"/>
      <c r="AZ2596" s="5487"/>
      <c r="BA2596" s="5487"/>
      <c r="BB2596" s="5487"/>
      <c r="BC2596" s="4048"/>
      <c r="BD2596" s="5487"/>
      <c r="BE2596" s="5487"/>
      <c r="BF2596" s="5487"/>
      <c r="BG2596" s="5487"/>
      <c r="BH2596" s="4048"/>
      <c r="BI2596" s="5487"/>
      <c r="BJ2596" s="5487"/>
      <c r="BK2596" s="5487"/>
      <c r="BL2596" s="5487"/>
      <c r="BM2596" s="5487"/>
      <c r="BN2596" s="5487"/>
      <c r="BO2596" s="5487"/>
      <c r="BP2596" s="5487"/>
      <c r="BQ2596" s="5487"/>
      <c r="BR2596" s="5487"/>
      <c r="BS2596" s="5487"/>
      <c r="BT2596" s="5487"/>
      <c r="BU2596" s="5487"/>
      <c r="BV2596" s="5487"/>
      <c r="BW2596" s="5487"/>
      <c r="BX2596" s="5487"/>
      <c r="BY2596" s="5487"/>
      <c r="BZ2596" s="5487"/>
      <c r="CA2596" s="5487"/>
      <c r="CB2596" s="5487"/>
      <c r="CC2596" s="4048"/>
      <c r="CD2596" s="4048"/>
      <c r="CE2596" s="6876"/>
      <c r="CF2596" s="6876"/>
      <c r="CG2596" s="6876"/>
      <c r="CH2596" s="6876"/>
    </row>
    <row r="2597" s="4999" customFormat="1" ht="76" spans="1:86">
      <c r="A2597" s="2963"/>
      <c r="B2597" s="918"/>
      <c r="C2597" s="2963"/>
      <c r="D2597" s="5608"/>
      <c r="E2597" s="5608"/>
      <c r="F2597" s="5608"/>
      <c r="G2597" s="5608"/>
      <c r="H2597" s="5661"/>
      <c r="I2597" s="5661"/>
      <c r="J2597" s="5666"/>
      <c r="K2597" s="5440"/>
      <c r="L2597" s="5440"/>
      <c r="M2597" s="5440"/>
      <c r="N2597" s="2963"/>
      <c r="O2597" s="2963"/>
      <c r="P2597" s="2963"/>
      <c r="Q2597" s="2963"/>
      <c r="R2597" s="2963"/>
      <c r="S2597" s="2963"/>
      <c r="T2597" s="2963"/>
      <c r="U2597" s="2963"/>
      <c r="V2597" s="2963"/>
      <c r="W2597" s="2963"/>
      <c r="X2597" s="2963"/>
      <c r="Y2597" s="2963"/>
      <c r="Z2597" s="2963"/>
      <c r="AA2597" s="2963"/>
      <c r="AB2597" s="918"/>
      <c r="AC2597" s="5440">
        <v>4</v>
      </c>
      <c r="AD2597" s="7179" t="s">
        <v>4265</v>
      </c>
      <c r="AE2597" s="7169">
        <v>0.1</v>
      </c>
      <c r="AF2597" s="4048"/>
      <c r="AG2597" s="5200">
        <f t="shared" si="545"/>
        <v>0</v>
      </c>
      <c r="AH2597" s="4048"/>
      <c r="AI2597" s="4048"/>
      <c r="AJ2597" s="4048"/>
      <c r="AK2597" s="4048"/>
      <c r="AL2597" s="4048"/>
      <c r="AM2597" s="4048"/>
      <c r="AN2597" s="5200">
        <f t="shared" si="546"/>
        <v>0</v>
      </c>
      <c r="AO2597" s="4048"/>
      <c r="AP2597" s="4048"/>
      <c r="AQ2597" s="5487"/>
      <c r="AR2597" s="4048"/>
      <c r="AS2597" s="5661"/>
      <c r="AT2597" s="4048"/>
      <c r="AU2597" s="5487"/>
      <c r="AV2597" s="5487"/>
      <c r="AW2597" s="5487"/>
      <c r="AX2597" s="5487"/>
      <c r="AY2597" s="5487"/>
      <c r="AZ2597" s="5487"/>
      <c r="BA2597" s="5487"/>
      <c r="BB2597" s="5487"/>
      <c r="BC2597" s="4048"/>
      <c r="BD2597" s="5487"/>
      <c r="BE2597" s="5487"/>
      <c r="BF2597" s="5487"/>
      <c r="BG2597" s="5487"/>
      <c r="BH2597" s="4048"/>
      <c r="BI2597" s="5487"/>
      <c r="BJ2597" s="5487"/>
      <c r="BK2597" s="5487"/>
      <c r="BL2597" s="5487"/>
      <c r="BM2597" s="5487"/>
      <c r="BN2597" s="5487"/>
      <c r="BO2597" s="5487"/>
      <c r="BP2597" s="5487"/>
      <c r="BQ2597" s="5487"/>
      <c r="BR2597" s="5487"/>
      <c r="BS2597" s="5487"/>
      <c r="BT2597" s="5487"/>
      <c r="BU2597" s="5487"/>
      <c r="BV2597" s="5487"/>
      <c r="BW2597" s="5487"/>
      <c r="BX2597" s="5487"/>
      <c r="BY2597" s="5487"/>
      <c r="BZ2597" s="5487"/>
      <c r="CA2597" s="5487"/>
      <c r="CB2597" s="5487"/>
      <c r="CC2597" s="4048"/>
      <c r="CD2597" s="4048"/>
      <c r="CE2597" s="6876"/>
      <c r="CF2597" s="6876"/>
      <c r="CG2597" s="6876"/>
      <c r="CH2597" s="6876"/>
    </row>
    <row r="2598" s="5016" customFormat="1" spans="1:86">
      <c r="A2598" s="5432"/>
      <c r="B2598" s="5493"/>
      <c r="C2598" s="5432"/>
      <c r="D2598" s="5433"/>
      <c r="E2598" s="5433"/>
      <c r="F2598" s="5433"/>
      <c r="G2598" s="5433"/>
      <c r="H2598" s="5433" t="s">
        <v>4337</v>
      </c>
      <c r="I2598" s="5433"/>
      <c r="J2598" s="5434"/>
      <c r="K2598" s="5433"/>
      <c r="L2598" s="5433"/>
      <c r="M2598" s="5433"/>
      <c r="N2598" s="2963"/>
      <c r="O2598" s="2963"/>
      <c r="P2598" s="2963"/>
      <c r="Q2598" s="2963"/>
      <c r="R2598" s="2963"/>
      <c r="S2598" s="2963"/>
      <c r="T2598" s="2963"/>
      <c r="U2598" s="2963"/>
      <c r="V2598" s="2963"/>
      <c r="W2598" s="2963"/>
      <c r="X2598" s="2963"/>
      <c r="Y2598" s="2963"/>
      <c r="Z2598" s="2963"/>
      <c r="AA2598" s="2963"/>
      <c r="AB2598" s="918"/>
      <c r="AC2598" s="5433"/>
      <c r="AD2598" s="7181"/>
      <c r="AE2598" s="7182"/>
      <c r="AF2598" s="5432"/>
      <c r="AG2598" s="5476"/>
      <c r="AH2598" s="5432"/>
      <c r="AI2598" s="5432"/>
      <c r="AJ2598" s="5432"/>
      <c r="AK2598" s="5432"/>
      <c r="AL2598" s="5432"/>
      <c r="AM2598" s="5432"/>
      <c r="AN2598" s="5476"/>
      <c r="AO2598" s="5432"/>
      <c r="AP2598" s="5432"/>
      <c r="AQ2598" s="5486"/>
      <c r="AR2598" s="4048"/>
      <c r="AS2598" s="5661"/>
      <c r="AT2598" s="4048"/>
      <c r="AU2598" s="5487"/>
      <c r="AV2598" s="5487"/>
      <c r="AW2598" s="5487"/>
      <c r="AX2598" s="5487"/>
      <c r="AY2598" s="5487"/>
      <c r="AZ2598" s="5487"/>
      <c r="BA2598" s="5486"/>
      <c r="BB2598" s="5486"/>
      <c r="BC2598" s="5432"/>
      <c r="BD2598" s="5486"/>
      <c r="BE2598" s="5486"/>
      <c r="BF2598" s="5486"/>
      <c r="BG2598" s="5486"/>
      <c r="BH2598" s="5432"/>
      <c r="BI2598" s="5486"/>
      <c r="BJ2598" s="5486"/>
      <c r="BK2598" s="5486"/>
      <c r="BL2598" s="5486"/>
      <c r="BM2598" s="5486"/>
      <c r="BN2598" s="5486"/>
      <c r="BO2598" s="5486"/>
      <c r="BP2598" s="5486"/>
      <c r="BQ2598" s="5486"/>
      <c r="BR2598" s="5486"/>
      <c r="BS2598" s="5486"/>
      <c r="BT2598" s="5486"/>
      <c r="BU2598" s="5486"/>
      <c r="BV2598" s="5486"/>
      <c r="BW2598" s="5486"/>
      <c r="BX2598" s="5486"/>
      <c r="BY2598" s="5486"/>
      <c r="BZ2598" s="5486"/>
      <c r="CA2598" s="5486"/>
      <c r="CB2598" s="5486"/>
      <c r="CC2598" s="5432"/>
      <c r="CD2598" s="5432"/>
      <c r="CE2598" s="7203"/>
      <c r="CF2598" s="7203"/>
      <c r="CG2598" s="7203"/>
      <c r="CH2598" s="7203"/>
    </row>
    <row r="2599" s="5016" customFormat="1" spans="1:86">
      <c r="A2599" s="5432"/>
      <c r="B2599" s="5493"/>
      <c r="C2599" s="5432"/>
      <c r="D2599" s="5433"/>
      <c r="E2599" s="5433"/>
      <c r="F2599" s="5433"/>
      <c r="G2599" s="5433"/>
      <c r="H2599" s="5434"/>
      <c r="I2599" s="5434"/>
      <c r="J2599" s="5434"/>
      <c r="K2599" s="5433"/>
      <c r="L2599" s="5433"/>
      <c r="M2599" s="5433"/>
      <c r="N2599" s="2963"/>
      <c r="O2599" s="2963"/>
      <c r="P2599" s="2963"/>
      <c r="Q2599" s="2963"/>
      <c r="R2599" s="2963"/>
      <c r="S2599" s="2963"/>
      <c r="T2599" s="2963"/>
      <c r="U2599" s="2963"/>
      <c r="V2599" s="2963"/>
      <c r="W2599" s="2963"/>
      <c r="X2599" s="2963"/>
      <c r="Y2599" s="2963"/>
      <c r="Z2599" s="2963"/>
      <c r="AA2599" s="2963"/>
      <c r="AB2599" s="918"/>
      <c r="AC2599" s="5433"/>
      <c r="AD2599" s="7181"/>
      <c r="AE2599" s="7182"/>
      <c r="AF2599" s="5432"/>
      <c r="AG2599" s="5476"/>
      <c r="AH2599" s="5432"/>
      <c r="AI2599" s="5432"/>
      <c r="AJ2599" s="5432"/>
      <c r="AK2599" s="5432"/>
      <c r="AL2599" s="5432"/>
      <c r="AM2599" s="5432"/>
      <c r="AN2599" s="5476"/>
      <c r="AO2599" s="5432"/>
      <c r="AP2599" s="5432"/>
      <c r="AQ2599" s="5486"/>
      <c r="AR2599" s="4048"/>
      <c r="AS2599" s="5661"/>
      <c r="AT2599" s="4048"/>
      <c r="AU2599" s="5487"/>
      <c r="AV2599" s="5487"/>
      <c r="AW2599" s="5487"/>
      <c r="AX2599" s="5487"/>
      <c r="AY2599" s="5487"/>
      <c r="AZ2599" s="5487"/>
      <c r="BA2599" s="5486"/>
      <c r="BB2599" s="5486"/>
      <c r="BC2599" s="5432"/>
      <c r="BD2599" s="5486"/>
      <c r="BE2599" s="5486"/>
      <c r="BF2599" s="5486"/>
      <c r="BG2599" s="5486"/>
      <c r="BH2599" s="5432"/>
      <c r="BI2599" s="5486"/>
      <c r="BJ2599" s="5486"/>
      <c r="BK2599" s="5486"/>
      <c r="BL2599" s="5486"/>
      <c r="BM2599" s="5486"/>
      <c r="BN2599" s="5486"/>
      <c r="BO2599" s="5486"/>
      <c r="BP2599" s="5486"/>
      <c r="BQ2599" s="5486"/>
      <c r="BR2599" s="5486"/>
      <c r="BS2599" s="5486"/>
      <c r="BT2599" s="5486"/>
      <c r="BU2599" s="5486"/>
      <c r="BV2599" s="5486"/>
      <c r="BW2599" s="5486"/>
      <c r="BX2599" s="5486"/>
      <c r="BY2599" s="5486"/>
      <c r="BZ2599" s="5486"/>
      <c r="CA2599" s="5486"/>
      <c r="CB2599" s="5486"/>
      <c r="CC2599" s="5432"/>
      <c r="CD2599" s="5432"/>
      <c r="CE2599" s="7203"/>
      <c r="CF2599" s="7203"/>
      <c r="CG2599" s="7203"/>
      <c r="CH2599" s="7203"/>
    </row>
    <row r="2600" s="5016" customFormat="1" spans="1:86">
      <c r="A2600" s="5432"/>
      <c r="B2600" s="5493"/>
      <c r="C2600" s="5432"/>
      <c r="D2600" s="5433"/>
      <c r="E2600" s="5433"/>
      <c r="F2600" s="5433"/>
      <c r="G2600" s="5433"/>
      <c r="H2600" s="5434"/>
      <c r="I2600" s="5434"/>
      <c r="J2600" s="5434"/>
      <c r="K2600" s="5433"/>
      <c r="L2600" s="5433"/>
      <c r="M2600" s="5433"/>
      <c r="N2600" s="2963"/>
      <c r="O2600" s="2963"/>
      <c r="P2600" s="2963"/>
      <c r="Q2600" s="2963"/>
      <c r="R2600" s="2963"/>
      <c r="S2600" s="2963"/>
      <c r="T2600" s="2963"/>
      <c r="U2600" s="2963"/>
      <c r="V2600" s="2963"/>
      <c r="W2600" s="2963"/>
      <c r="X2600" s="2963"/>
      <c r="Y2600" s="2963"/>
      <c r="Z2600" s="2963"/>
      <c r="AA2600" s="2963"/>
      <c r="AB2600" s="918"/>
      <c r="AC2600" s="5433"/>
      <c r="AD2600" s="7181"/>
      <c r="AE2600" s="7182"/>
      <c r="AF2600" s="5432"/>
      <c r="AG2600" s="5476"/>
      <c r="AH2600" s="5432"/>
      <c r="AI2600" s="5432"/>
      <c r="AJ2600" s="5432"/>
      <c r="AK2600" s="5432"/>
      <c r="AL2600" s="5432"/>
      <c r="AM2600" s="5432"/>
      <c r="AN2600" s="5476"/>
      <c r="AO2600" s="5432"/>
      <c r="AP2600" s="5432"/>
      <c r="AQ2600" s="5486"/>
      <c r="AR2600" s="4048"/>
      <c r="AS2600" s="5661"/>
      <c r="AT2600" s="4048"/>
      <c r="AU2600" s="5487"/>
      <c r="AV2600" s="5487"/>
      <c r="AW2600" s="5487"/>
      <c r="AX2600" s="5487"/>
      <c r="AY2600" s="5487"/>
      <c r="AZ2600" s="5487"/>
      <c r="BA2600" s="5486"/>
      <c r="BB2600" s="5486"/>
      <c r="BC2600" s="5432"/>
      <c r="BD2600" s="5486"/>
      <c r="BE2600" s="5486"/>
      <c r="BF2600" s="5486"/>
      <c r="BG2600" s="5486"/>
      <c r="BH2600" s="5432"/>
      <c r="BI2600" s="5486"/>
      <c r="BJ2600" s="5486"/>
      <c r="BK2600" s="5486"/>
      <c r="BL2600" s="5486"/>
      <c r="BM2600" s="5486"/>
      <c r="BN2600" s="5486"/>
      <c r="BO2600" s="5486"/>
      <c r="BP2600" s="5486"/>
      <c r="BQ2600" s="5486"/>
      <c r="BR2600" s="5486"/>
      <c r="BS2600" s="5486"/>
      <c r="BT2600" s="5486"/>
      <c r="BU2600" s="5486"/>
      <c r="BV2600" s="5486"/>
      <c r="BW2600" s="5486"/>
      <c r="BX2600" s="5486"/>
      <c r="BY2600" s="5486"/>
      <c r="BZ2600" s="5486"/>
      <c r="CA2600" s="5486"/>
      <c r="CB2600" s="5486"/>
      <c r="CC2600" s="5432"/>
      <c r="CD2600" s="5432"/>
      <c r="CE2600" s="7203"/>
      <c r="CF2600" s="7203"/>
      <c r="CG2600" s="7203"/>
      <c r="CH2600" s="7203"/>
    </row>
    <row r="2601" s="4999" customFormat="1" ht="76" spans="1:86">
      <c r="A2601" s="2963"/>
      <c r="B2601" s="918"/>
      <c r="C2601" s="2963"/>
      <c r="D2601" s="5608"/>
      <c r="E2601" s="5608"/>
      <c r="F2601" s="5608"/>
      <c r="G2601" s="5608"/>
      <c r="H2601" s="918" t="s">
        <v>4338</v>
      </c>
      <c r="I2601" s="918"/>
      <c r="J2601" s="5666"/>
      <c r="K2601" s="918" t="s">
        <v>4339</v>
      </c>
      <c r="L2601" s="2963"/>
      <c r="M2601" s="2963">
        <v>130000</v>
      </c>
      <c r="N2601" s="2963"/>
      <c r="O2601" s="2963"/>
      <c r="P2601" s="2963"/>
      <c r="Q2601" s="2963"/>
      <c r="R2601" s="2963"/>
      <c r="S2601" s="2963"/>
      <c r="T2601" s="2963"/>
      <c r="U2601" s="2963"/>
      <c r="V2601" s="2963"/>
      <c r="W2601" s="2963"/>
      <c r="X2601" s="2963"/>
      <c r="Y2601" s="2963"/>
      <c r="Z2601" s="2963"/>
      <c r="AA2601" s="2963"/>
      <c r="AB2601" s="918"/>
      <c r="AC2601" s="5608">
        <v>1</v>
      </c>
      <c r="AD2601" s="7183" t="s">
        <v>4340</v>
      </c>
      <c r="AE2601" s="7184">
        <v>0.2</v>
      </c>
      <c r="AF2601" s="2963">
        <v>26000</v>
      </c>
      <c r="AG2601" s="2960">
        <f>SUM(BA2601:BN2601)</f>
        <v>26000</v>
      </c>
      <c r="AH2601" s="918" t="s">
        <v>122</v>
      </c>
      <c r="AI2601" s="2960">
        <v>44876</v>
      </c>
      <c r="AJ2601" s="2960">
        <v>26000</v>
      </c>
      <c r="AK2601" s="2960">
        <v>44876</v>
      </c>
      <c r="AL2601" s="2960">
        <v>26000</v>
      </c>
      <c r="AM2601" s="2960">
        <v>44876</v>
      </c>
      <c r="AN2601" s="2960">
        <f>SUBTOTAL(9,BO2601:CB2601)</f>
        <v>26000</v>
      </c>
      <c r="AO2601" s="2960">
        <v>44907</v>
      </c>
      <c r="AP2601" s="2963"/>
      <c r="AQ2601" s="5634"/>
      <c r="AR2601" s="2963"/>
      <c r="AS2601" s="5666"/>
      <c r="AT2601" s="2963"/>
      <c r="AU2601" s="5634"/>
      <c r="AV2601" s="5634"/>
      <c r="AW2601" s="5634"/>
      <c r="AX2601" s="5634"/>
      <c r="AY2601" s="5634"/>
      <c r="AZ2601" s="5634"/>
      <c r="BA2601" s="5703"/>
      <c r="BB2601" s="5703"/>
      <c r="BC2601" s="2960"/>
      <c r="BD2601" s="5703"/>
      <c r="BE2601" s="5703"/>
      <c r="BF2601" s="5703"/>
      <c r="BG2601" s="5703"/>
      <c r="BH2601" s="2960"/>
      <c r="BI2601" s="5703"/>
      <c r="BJ2601" s="5703"/>
      <c r="BK2601" s="5703"/>
      <c r="BL2601" s="5703"/>
      <c r="BM2601" s="5703"/>
      <c r="BN2601" s="2960">
        <v>26000</v>
      </c>
      <c r="BO2601" s="7201"/>
      <c r="BP2601" s="7201"/>
      <c r="BQ2601" s="7201"/>
      <c r="BR2601" s="7201"/>
      <c r="BS2601" s="7201"/>
      <c r="BT2601" s="7201"/>
      <c r="BU2601" s="7201"/>
      <c r="BV2601" s="7201"/>
      <c r="BW2601" s="7201"/>
      <c r="BX2601" s="7201"/>
      <c r="BY2601" s="7201"/>
      <c r="BZ2601" s="7201"/>
      <c r="CA2601" s="7201"/>
      <c r="CB2601" s="2960">
        <v>26000</v>
      </c>
      <c r="CC2601" s="2963"/>
      <c r="CD2601" s="2963"/>
      <c r="CE2601" s="6876"/>
      <c r="CF2601" s="6876"/>
      <c r="CG2601" s="6876"/>
      <c r="CH2601" s="6876"/>
    </row>
    <row r="2602" s="4999" customFormat="1" ht="107" spans="1:86">
      <c r="A2602" s="2963"/>
      <c r="B2602" s="918"/>
      <c r="C2602" s="2963"/>
      <c r="D2602" s="5608"/>
      <c r="E2602" s="5608"/>
      <c r="F2602" s="5608"/>
      <c r="G2602" s="5608"/>
      <c r="H2602" s="2963"/>
      <c r="I2602" s="2963"/>
      <c r="J2602" s="5666"/>
      <c r="K2602" s="2963"/>
      <c r="L2602" s="2963"/>
      <c r="M2602" s="2963"/>
      <c r="N2602" s="2963"/>
      <c r="O2602" s="2963"/>
      <c r="P2602" s="2963"/>
      <c r="Q2602" s="2963"/>
      <c r="R2602" s="2963"/>
      <c r="S2602" s="2963"/>
      <c r="T2602" s="2963"/>
      <c r="U2602" s="2963"/>
      <c r="V2602" s="2963"/>
      <c r="W2602" s="2963"/>
      <c r="X2602" s="2963"/>
      <c r="Y2602" s="2963"/>
      <c r="Z2602" s="2963"/>
      <c r="AA2602" s="2963">
        <f>M2601</f>
        <v>130000</v>
      </c>
      <c r="AB2602" s="918" t="s">
        <v>126</v>
      </c>
      <c r="AC2602" s="2963">
        <v>2</v>
      </c>
      <c r="AD2602" s="7183" t="s">
        <v>4341</v>
      </c>
      <c r="AE2602" s="7184">
        <v>0.6</v>
      </c>
      <c r="AF2602" s="2963">
        <v>78000</v>
      </c>
      <c r="AG2602" s="2960">
        <f>SUM(BA2602:BN2602)</f>
        <v>78000</v>
      </c>
      <c r="AH2602" s="918" t="s">
        <v>122</v>
      </c>
      <c r="AI2602" s="2960">
        <v>44909</v>
      </c>
      <c r="AJ2602" s="2960">
        <f>SUM(BD2602:BQ2602)</f>
        <v>78000</v>
      </c>
      <c r="AK2602" s="2960">
        <v>44909</v>
      </c>
      <c r="AL2602" s="2960">
        <v>78000</v>
      </c>
      <c r="AM2602" s="2960">
        <v>45054</v>
      </c>
      <c r="AN2602" s="2960">
        <v>78000</v>
      </c>
      <c r="AO2602" s="2960">
        <v>45097</v>
      </c>
      <c r="AP2602" s="2963"/>
      <c r="AQ2602" s="5608" t="s">
        <v>4342</v>
      </c>
      <c r="AR2602" s="2963"/>
      <c r="AS2602" s="5666"/>
      <c r="AT2602" s="2963"/>
      <c r="AU2602" s="5634"/>
      <c r="AV2602" s="5634"/>
      <c r="AW2602" s="5634"/>
      <c r="AX2602" s="5634"/>
      <c r="AY2602" s="5634"/>
      <c r="AZ2602" s="5634"/>
      <c r="BA2602" s="5703"/>
      <c r="BB2602" s="5703"/>
      <c r="BC2602" s="2960"/>
      <c r="BD2602" s="2960">
        <v>78000</v>
      </c>
      <c r="BE2602" s="5703"/>
      <c r="BF2602" s="5703"/>
      <c r="BG2602" s="5703"/>
      <c r="BH2602" s="2960"/>
      <c r="BI2602" s="5703"/>
      <c r="BJ2602" s="5703"/>
      <c r="BK2602" s="5703"/>
      <c r="BL2602" s="5703"/>
      <c r="BM2602" s="5703"/>
      <c r="BN2602" s="2960"/>
      <c r="BO2602" s="5703"/>
      <c r="BP2602" s="5703"/>
      <c r="BQ2602" s="2960"/>
      <c r="BR2602" s="2960">
        <v>78000</v>
      </c>
      <c r="BS2602" s="5703"/>
      <c r="BT2602" s="5703"/>
      <c r="BU2602" s="5703"/>
      <c r="BV2602" s="2960"/>
      <c r="BW2602" s="5703"/>
      <c r="BX2602" s="5703"/>
      <c r="BY2602" s="5703"/>
      <c r="BZ2602" s="5703"/>
      <c r="CA2602" s="5703"/>
      <c r="CB2602" s="2960"/>
      <c r="CC2602" s="2963"/>
      <c r="CD2602" s="2963"/>
      <c r="CE2602" s="6876"/>
      <c r="CF2602" s="6876"/>
      <c r="CG2602" s="6876"/>
      <c r="CH2602" s="6876"/>
    </row>
    <row r="2603" s="4999" customFormat="1" ht="92" spans="1:86">
      <c r="A2603" s="2963"/>
      <c r="B2603" s="918"/>
      <c r="C2603" s="2963"/>
      <c r="D2603" s="5608"/>
      <c r="E2603" s="5608"/>
      <c r="F2603" s="5608"/>
      <c r="G2603" s="5608"/>
      <c r="H2603" s="2963"/>
      <c r="I2603" s="2963"/>
      <c r="J2603" s="5666"/>
      <c r="K2603" s="2963"/>
      <c r="L2603" s="2963"/>
      <c r="M2603" s="2963"/>
      <c r="N2603" s="2963"/>
      <c r="O2603" s="2963"/>
      <c r="P2603" s="2963"/>
      <c r="Q2603" s="2963"/>
      <c r="R2603" s="2963"/>
      <c r="S2603" s="2963"/>
      <c r="T2603" s="2963"/>
      <c r="U2603" s="2963"/>
      <c r="V2603" s="2963"/>
      <c r="W2603" s="2963"/>
      <c r="X2603" s="2963"/>
      <c r="Y2603" s="2963"/>
      <c r="Z2603" s="2963"/>
      <c r="AA2603" s="2963"/>
      <c r="AB2603" s="918"/>
      <c r="AC2603" s="2963">
        <v>3</v>
      </c>
      <c r="AD2603" s="7183" t="s">
        <v>4343</v>
      </c>
      <c r="AE2603" s="7184">
        <v>0.2</v>
      </c>
      <c r="AF2603" s="2963">
        <v>26000</v>
      </c>
      <c r="AG2603" s="2960"/>
      <c r="AH2603" s="2963"/>
      <c r="AI2603" s="2963"/>
      <c r="AJ2603" s="2963"/>
      <c r="AK2603" s="2963"/>
      <c r="AL2603" s="2963"/>
      <c r="AM2603" s="2963"/>
      <c r="AN2603" s="2960"/>
      <c r="AO2603" s="2963"/>
      <c r="AP2603" s="2963"/>
      <c r="AQ2603" s="5608"/>
      <c r="AR2603" s="2963"/>
      <c r="AS2603" s="5666"/>
      <c r="AT2603" s="2963"/>
      <c r="AU2603" s="5634"/>
      <c r="AV2603" s="5634"/>
      <c r="AW2603" s="5634"/>
      <c r="AX2603" s="5634"/>
      <c r="AY2603" s="5634"/>
      <c r="AZ2603" s="5634"/>
      <c r="BA2603" s="5634"/>
      <c r="BB2603" s="5634"/>
      <c r="BC2603" s="2963"/>
      <c r="BD2603" s="5634"/>
      <c r="BE2603" s="5634"/>
      <c r="BF2603" s="5634"/>
      <c r="BG2603" s="5634"/>
      <c r="BH2603" s="2963"/>
      <c r="BI2603" s="5634"/>
      <c r="BJ2603" s="5634"/>
      <c r="BK2603" s="5634"/>
      <c r="BL2603" s="5634"/>
      <c r="BM2603" s="5634"/>
      <c r="BN2603" s="5634"/>
      <c r="BO2603" s="5634"/>
      <c r="BP2603" s="5634"/>
      <c r="BQ2603" s="5634"/>
      <c r="BR2603" s="5634"/>
      <c r="BS2603" s="5634"/>
      <c r="BT2603" s="5634"/>
      <c r="BU2603" s="5634"/>
      <c r="BV2603" s="5634"/>
      <c r="BW2603" s="5634"/>
      <c r="BX2603" s="5634"/>
      <c r="BY2603" s="5634"/>
      <c r="BZ2603" s="5634"/>
      <c r="CA2603" s="5634"/>
      <c r="CB2603" s="5634">
        <v>135000</v>
      </c>
      <c r="CC2603" s="2963"/>
      <c r="CD2603" s="2963"/>
      <c r="CE2603" s="6876"/>
      <c r="CF2603" s="6876"/>
      <c r="CG2603" s="6876"/>
      <c r="CH2603" s="6876"/>
    </row>
    <row r="2604" s="4999" customFormat="1" ht="76" spans="1:86">
      <c r="A2604" s="2963"/>
      <c r="B2604" s="918"/>
      <c r="C2604" s="2963"/>
      <c r="D2604" s="5608"/>
      <c r="E2604" s="5608"/>
      <c r="F2604" s="5608"/>
      <c r="G2604" s="5608"/>
      <c r="H2604" s="918" t="s">
        <v>4344</v>
      </c>
      <c r="I2604" s="918"/>
      <c r="J2604" s="5666"/>
      <c r="K2604" s="918" t="s">
        <v>4345</v>
      </c>
      <c r="L2604" s="2963"/>
      <c r="M2604" s="2963">
        <f>210000+15000</f>
        <v>225000</v>
      </c>
      <c r="N2604" s="2963"/>
      <c r="O2604" s="2963"/>
      <c r="P2604" s="2963"/>
      <c r="Q2604" s="2963"/>
      <c r="R2604" s="2963"/>
      <c r="S2604" s="2963"/>
      <c r="T2604" s="2963"/>
      <c r="U2604" s="2963"/>
      <c r="V2604" s="2963"/>
      <c r="W2604" s="2963"/>
      <c r="X2604" s="2963"/>
      <c r="Y2604" s="2963"/>
      <c r="Z2604" s="2963"/>
      <c r="AA2604" s="2963"/>
      <c r="AB2604" s="918"/>
      <c r="AC2604" s="5608">
        <v>1</v>
      </c>
      <c r="AD2604" s="7183" t="s">
        <v>4346</v>
      </c>
      <c r="AE2604" s="7184">
        <v>0.2</v>
      </c>
      <c r="AF2604" s="2963">
        <f>225000*AE2604</f>
        <v>45000</v>
      </c>
      <c r="AG2604" s="2960">
        <f>SUM(BA2604:BN2604)</f>
        <v>45000</v>
      </c>
      <c r="AH2604" s="918" t="s">
        <v>122</v>
      </c>
      <c r="AI2604" s="2960">
        <v>44876</v>
      </c>
      <c r="AJ2604" s="2960">
        <v>45000</v>
      </c>
      <c r="AK2604" s="2960">
        <v>44876</v>
      </c>
      <c r="AL2604" s="2960">
        <v>45000</v>
      </c>
      <c r="AM2604" s="2960">
        <v>44876</v>
      </c>
      <c r="AN2604" s="2960">
        <f>SUBTOTAL(9,BO2604:CB2604)</f>
        <v>45000</v>
      </c>
      <c r="AO2604" s="2960">
        <v>44907</v>
      </c>
      <c r="AP2604" s="2963"/>
      <c r="AQ2604" s="5608"/>
      <c r="AR2604" s="2963"/>
      <c r="AS2604" s="5666"/>
      <c r="AT2604" s="2963"/>
      <c r="AU2604" s="5634"/>
      <c r="AV2604" s="5634"/>
      <c r="AW2604" s="5634"/>
      <c r="AX2604" s="5634"/>
      <c r="AY2604" s="5634"/>
      <c r="AZ2604" s="5634"/>
      <c r="BA2604" s="5703"/>
      <c r="BB2604" s="5703"/>
      <c r="BC2604" s="2960"/>
      <c r="BD2604" s="5703"/>
      <c r="BE2604" s="5703"/>
      <c r="BF2604" s="5703"/>
      <c r="BG2604" s="5703"/>
      <c r="BH2604" s="2960"/>
      <c r="BI2604" s="5703"/>
      <c r="BJ2604" s="5703"/>
      <c r="BK2604" s="5703"/>
      <c r="BL2604" s="5703"/>
      <c r="BM2604" s="5703"/>
      <c r="BN2604" s="2960">
        <v>45000</v>
      </c>
      <c r="BO2604" s="7201"/>
      <c r="BP2604" s="7201"/>
      <c r="BQ2604" s="7201"/>
      <c r="BR2604" s="7201"/>
      <c r="BS2604" s="7201"/>
      <c r="BT2604" s="7201"/>
      <c r="BU2604" s="7201"/>
      <c r="BV2604" s="7201"/>
      <c r="BW2604" s="7201"/>
      <c r="BX2604" s="7201"/>
      <c r="BY2604" s="7201"/>
      <c r="BZ2604" s="7201"/>
      <c r="CA2604" s="7201"/>
      <c r="CB2604" s="2960">
        <v>45000</v>
      </c>
      <c r="CC2604" s="2963"/>
      <c r="CD2604" s="2963"/>
      <c r="CE2604" s="6876"/>
      <c r="CF2604" s="6876"/>
      <c r="CG2604" s="6876"/>
      <c r="CH2604" s="6876"/>
    </row>
    <row r="2605" s="4999" customFormat="1" ht="107" spans="1:86">
      <c r="A2605" s="2963"/>
      <c r="B2605" s="918"/>
      <c r="C2605" s="2963"/>
      <c r="D2605" s="5608"/>
      <c r="E2605" s="5608"/>
      <c r="F2605" s="5608"/>
      <c r="G2605" s="5608"/>
      <c r="H2605" s="2963"/>
      <c r="I2605" s="2963"/>
      <c r="J2605" s="5666"/>
      <c r="K2605" s="2963"/>
      <c r="L2605" s="2963"/>
      <c r="M2605" s="2963"/>
      <c r="N2605" s="2963"/>
      <c r="O2605" s="2963"/>
      <c r="P2605" s="2963"/>
      <c r="Q2605" s="2963"/>
      <c r="R2605" s="2963"/>
      <c r="S2605" s="2963"/>
      <c r="T2605" s="2963"/>
      <c r="U2605" s="2963"/>
      <c r="V2605" s="2963"/>
      <c r="W2605" s="2963"/>
      <c r="X2605" s="2963"/>
      <c r="Y2605" s="2963"/>
      <c r="Z2605" s="2963"/>
      <c r="AA2605" s="2963">
        <f>M2604</f>
        <v>225000</v>
      </c>
      <c r="AB2605" s="918" t="s">
        <v>126</v>
      </c>
      <c r="AC2605" s="2963">
        <v>2</v>
      </c>
      <c r="AD2605" s="7183" t="s">
        <v>4347</v>
      </c>
      <c r="AE2605" s="7184">
        <v>0.6</v>
      </c>
      <c r="AF2605" s="2963">
        <f>225000*AE2605</f>
        <v>135000</v>
      </c>
      <c r="AG2605" s="2960">
        <f>SUM(BA2605:BN2605)</f>
        <v>135000</v>
      </c>
      <c r="AH2605" s="918" t="s">
        <v>122</v>
      </c>
      <c r="AI2605" s="2960">
        <v>44909</v>
      </c>
      <c r="AJ2605" s="2960">
        <f>SUM(BD2605:BQ2605)</f>
        <v>135000</v>
      </c>
      <c r="AK2605" s="2960">
        <v>44909</v>
      </c>
      <c r="AL2605" s="2960">
        <v>135000</v>
      </c>
      <c r="AM2605" s="2960">
        <v>45054</v>
      </c>
      <c r="AN2605" s="2960">
        <v>135000</v>
      </c>
      <c r="AO2605" s="2960">
        <v>45097</v>
      </c>
      <c r="AP2605" s="2963"/>
      <c r="AQ2605" s="5608"/>
      <c r="AR2605" s="2963"/>
      <c r="AS2605" s="5666"/>
      <c r="AT2605" s="2963"/>
      <c r="AU2605" s="5634"/>
      <c r="AV2605" s="5634"/>
      <c r="AW2605" s="5634"/>
      <c r="AX2605" s="5634"/>
      <c r="AY2605" s="5634"/>
      <c r="AZ2605" s="5634"/>
      <c r="BA2605" s="5703"/>
      <c r="BB2605" s="5703"/>
      <c r="BC2605" s="2960"/>
      <c r="BD2605" s="2960">
        <v>135000</v>
      </c>
      <c r="BE2605" s="5703"/>
      <c r="BF2605" s="5703"/>
      <c r="BG2605" s="5703"/>
      <c r="BH2605" s="2960"/>
      <c r="BI2605" s="5703"/>
      <c r="BJ2605" s="5703"/>
      <c r="BK2605" s="5703"/>
      <c r="BL2605" s="5703"/>
      <c r="BM2605" s="5703"/>
      <c r="BN2605" s="5703"/>
      <c r="BO2605" s="5703"/>
      <c r="BP2605" s="5703"/>
      <c r="BQ2605" s="2960"/>
      <c r="BR2605" s="2960">
        <v>135000</v>
      </c>
      <c r="BS2605" s="5703"/>
      <c r="BT2605" s="5703"/>
      <c r="BU2605" s="5703"/>
      <c r="BV2605" s="2960"/>
      <c r="BW2605" s="5703"/>
      <c r="BX2605" s="5703"/>
      <c r="BY2605" s="5703"/>
      <c r="BZ2605" s="5703"/>
      <c r="CA2605" s="5703"/>
      <c r="CB2605" s="5703"/>
      <c r="CC2605" s="2963"/>
      <c r="CD2605" s="2963"/>
      <c r="CE2605" s="6876"/>
      <c r="CF2605" s="6876"/>
      <c r="CG2605" s="6876"/>
      <c r="CH2605" s="6876"/>
    </row>
    <row r="2606" s="4999" customFormat="1" ht="92" spans="1:86">
      <c r="A2606" s="2963"/>
      <c r="B2606" s="918"/>
      <c r="C2606" s="2963"/>
      <c r="D2606" s="5608"/>
      <c r="E2606" s="5608"/>
      <c r="F2606" s="5608"/>
      <c r="G2606" s="5608"/>
      <c r="H2606" s="2963"/>
      <c r="I2606" s="2963"/>
      <c r="J2606" s="5666"/>
      <c r="K2606" s="2963"/>
      <c r="L2606" s="2963"/>
      <c r="M2606" s="2963"/>
      <c r="N2606" s="2963"/>
      <c r="O2606" s="2963"/>
      <c r="P2606" s="2963"/>
      <c r="Q2606" s="2963"/>
      <c r="R2606" s="2963"/>
      <c r="S2606" s="2963"/>
      <c r="T2606" s="2963"/>
      <c r="U2606" s="2963"/>
      <c r="V2606" s="2963"/>
      <c r="W2606" s="2963"/>
      <c r="X2606" s="2963"/>
      <c r="Y2606" s="2963"/>
      <c r="Z2606" s="2963"/>
      <c r="AA2606" s="2963"/>
      <c r="AB2606" s="918"/>
      <c r="AC2606" s="2963">
        <v>3</v>
      </c>
      <c r="AD2606" s="7183" t="s">
        <v>4348</v>
      </c>
      <c r="AE2606" s="7184">
        <v>0.2</v>
      </c>
      <c r="AF2606" s="2963">
        <f>225000*AE2606</f>
        <v>45000</v>
      </c>
      <c r="AG2606" s="2960"/>
      <c r="AH2606" s="2963"/>
      <c r="AI2606" s="2963"/>
      <c r="AJ2606" s="2963"/>
      <c r="AK2606" s="2963"/>
      <c r="AL2606" s="2963"/>
      <c r="AM2606" s="2963"/>
      <c r="AN2606" s="2960"/>
      <c r="AO2606" s="2963"/>
      <c r="AP2606" s="2963"/>
      <c r="AQ2606" s="5608"/>
      <c r="AR2606" s="2963"/>
      <c r="AS2606" s="5666"/>
      <c r="AT2606" s="2963"/>
      <c r="AU2606" s="5634"/>
      <c r="AV2606" s="5634"/>
      <c r="AW2606" s="5634"/>
      <c r="AX2606" s="5634"/>
      <c r="AY2606" s="5634"/>
      <c r="AZ2606" s="5634"/>
      <c r="BA2606" s="5634"/>
      <c r="BB2606" s="5634"/>
      <c r="BC2606" s="2963"/>
      <c r="BD2606" s="5634"/>
      <c r="BE2606" s="5634"/>
      <c r="BF2606" s="5634"/>
      <c r="BG2606" s="5634"/>
      <c r="BH2606" s="2963"/>
      <c r="BI2606" s="5634"/>
      <c r="BJ2606" s="5634"/>
      <c r="BK2606" s="5634"/>
      <c r="BL2606" s="5634"/>
      <c r="BM2606" s="5634"/>
      <c r="BN2606" s="5634"/>
      <c r="BO2606" s="5634"/>
      <c r="BP2606" s="5634"/>
      <c r="BQ2606" s="5634"/>
      <c r="BR2606" s="5634"/>
      <c r="BS2606" s="5634"/>
      <c r="BT2606" s="5634"/>
      <c r="BU2606" s="5634"/>
      <c r="BV2606" s="5634"/>
      <c r="BW2606" s="5634"/>
      <c r="BX2606" s="5634"/>
      <c r="BY2606" s="5634"/>
      <c r="BZ2606" s="5634"/>
      <c r="CA2606" s="5634"/>
      <c r="CB2606" s="5634"/>
      <c r="CC2606" s="2963"/>
      <c r="CD2606" s="2963"/>
      <c r="CE2606" s="6876"/>
      <c r="CF2606" s="6876"/>
      <c r="CG2606" s="6876"/>
      <c r="CH2606" s="6876"/>
    </row>
    <row r="2607" s="4999" customFormat="1" ht="76" spans="1:86">
      <c r="A2607" s="2963"/>
      <c r="B2607" s="918"/>
      <c r="C2607" s="2963"/>
      <c r="D2607" s="5608"/>
      <c r="E2607" s="5608"/>
      <c r="F2607" s="5608"/>
      <c r="G2607" s="5608"/>
      <c r="H2607" s="5608" t="s">
        <v>4349</v>
      </c>
      <c r="I2607" s="5608"/>
      <c r="J2607" s="5666"/>
      <c r="K2607" s="918" t="s">
        <v>4339</v>
      </c>
      <c r="L2607" s="2963"/>
      <c r="M2607" s="2963">
        <v>100000</v>
      </c>
      <c r="N2607" s="2963"/>
      <c r="O2607" s="2963"/>
      <c r="P2607" s="2963"/>
      <c r="Q2607" s="2963"/>
      <c r="R2607" s="2963"/>
      <c r="S2607" s="2963"/>
      <c r="T2607" s="2963"/>
      <c r="U2607" s="2963"/>
      <c r="V2607" s="2963"/>
      <c r="W2607" s="2963"/>
      <c r="X2607" s="2963"/>
      <c r="Y2607" s="2963"/>
      <c r="Z2607" s="2963"/>
      <c r="AA2607" s="2963"/>
      <c r="AB2607" s="918"/>
      <c r="AC2607" s="2963">
        <v>1</v>
      </c>
      <c r="AD2607" s="7183" t="s">
        <v>4350</v>
      </c>
      <c r="AE2607" s="7184">
        <v>0.2</v>
      </c>
      <c r="AF2607" s="2963">
        <f>100000*AE2607</f>
        <v>20000</v>
      </c>
      <c r="AG2607" s="2960">
        <f>SUM(BA2607:BN2607)</f>
        <v>20000</v>
      </c>
      <c r="AH2607" s="918" t="s">
        <v>122</v>
      </c>
      <c r="AI2607" s="2960">
        <v>44876</v>
      </c>
      <c r="AJ2607" s="2960">
        <v>20000</v>
      </c>
      <c r="AK2607" s="2960">
        <v>44876</v>
      </c>
      <c r="AL2607" s="2960">
        <v>20000</v>
      </c>
      <c r="AM2607" s="2960">
        <v>44876</v>
      </c>
      <c r="AN2607" s="2960">
        <f>SUBTOTAL(9,BO2607:CB2607)</f>
        <v>20000</v>
      </c>
      <c r="AO2607" s="2960">
        <v>44907</v>
      </c>
      <c r="AP2607" s="2963"/>
      <c r="AQ2607" s="5608"/>
      <c r="AR2607" s="2963"/>
      <c r="AS2607" s="5666"/>
      <c r="AT2607" s="2963"/>
      <c r="AU2607" s="5634"/>
      <c r="AV2607" s="5634"/>
      <c r="AW2607" s="5634"/>
      <c r="AX2607" s="5634"/>
      <c r="AY2607" s="5634"/>
      <c r="AZ2607" s="5634"/>
      <c r="BA2607" s="5703"/>
      <c r="BB2607" s="5703"/>
      <c r="BC2607" s="2960"/>
      <c r="BD2607" s="5703"/>
      <c r="BE2607" s="5703"/>
      <c r="BF2607" s="5703"/>
      <c r="BG2607" s="5703"/>
      <c r="BH2607" s="2960"/>
      <c r="BI2607" s="5703"/>
      <c r="BJ2607" s="5703"/>
      <c r="BK2607" s="5703"/>
      <c r="BL2607" s="5703"/>
      <c r="BM2607" s="5703"/>
      <c r="BN2607" s="2960">
        <v>20000</v>
      </c>
      <c r="BO2607" s="7201"/>
      <c r="BP2607" s="7201"/>
      <c r="BQ2607" s="7201"/>
      <c r="BR2607" s="7201"/>
      <c r="BS2607" s="7201"/>
      <c r="BT2607" s="7201"/>
      <c r="BU2607" s="7201"/>
      <c r="BV2607" s="7201"/>
      <c r="BW2607" s="7201"/>
      <c r="BX2607" s="7201"/>
      <c r="BY2607" s="7201"/>
      <c r="BZ2607" s="7201"/>
      <c r="CA2607" s="7201"/>
      <c r="CB2607" s="2960">
        <v>20000</v>
      </c>
      <c r="CC2607" s="2963"/>
      <c r="CD2607" s="2963"/>
      <c r="CE2607" s="6876"/>
      <c r="CF2607" s="6876"/>
      <c r="CG2607" s="6876"/>
      <c r="CH2607" s="6876"/>
    </row>
    <row r="2608" s="4999" customFormat="1" ht="122" spans="1:86">
      <c r="A2608" s="2963"/>
      <c r="B2608" s="918"/>
      <c r="C2608" s="2963"/>
      <c r="D2608" s="5608"/>
      <c r="E2608" s="5608"/>
      <c r="F2608" s="5608"/>
      <c r="G2608" s="5608"/>
      <c r="H2608" s="5666"/>
      <c r="I2608" s="5666"/>
      <c r="J2608" s="5666"/>
      <c r="K2608" s="2963"/>
      <c r="L2608" s="2963"/>
      <c r="M2608" s="2963"/>
      <c r="N2608" s="2963"/>
      <c r="O2608" s="2963"/>
      <c r="P2608" s="2963"/>
      <c r="Q2608" s="2963"/>
      <c r="R2608" s="2963"/>
      <c r="S2608" s="2963"/>
      <c r="T2608" s="2963"/>
      <c r="U2608" s="2963"/>
      <c r="V2608" s="2963"/>
      <c r="W2608" s="2963"/>
      <c r="X2608" s="2963"/>
      <c r="Y2608" s="2963"/>
      <c r="Z2608" s="2963"/>
      <c r="AA2608" s="2963">
        <f>M2607</f>
        <v>100000</v>
      </c>
      <c r="AB2608" s="918" t="s">
        <v>126</v>
      </c>
      <c r="AC2608" s="918">
        <v>2</v>
      </c>
      <c r="AD2608" s="7183" t="s">
        <v>4351</v>
      </c>
      <c r="AE2608" s="7184">
        <v>0.6</v>
      </c>
      <c r="AF2608" s="2963">
        <f>100000*AE2608</f>
        <v>60000</v>
      </c>
      <c r="AG2608" s="2960">
        <f>SUM(BA2608:BN2608)</f>
        <v>60000</v>
      </c>
      <c r="AH2608" s="918" t="s">
        <v>122</v>
      </c>
      <c r="AI2608" s="918">
        <v>44909</v>
      </c>
      <c r="AJ2608" s="2960">
        <f>SUM(BD2608:BQ2608)</f>
        <v>60000</v>
      </c>
      <c r="AK2608" s="918">
        <v>44909</v>
      </c>
      <c r="AL2608" s="2960">
        <v>60000</v>
      </c>
      <c r="AM2608" s="2960">
        <v>45054</v>
      </c>
      <c r="AN2608" s="2960">
        <v>60000</v>
      </c>
      <c r="AO2608" s="2960">
        <v>45097</v>
      </c>
      <c r="AP2608" s="2963"/>
      <c r="AQ2608" s="5608"/>
      <c r="AR2608" s="2963"/>
      <c r="AS2608" s="5666"/>
      <c r="AT2608" s="2963"/>
      <c r="AU2608" s="5634"/>
      <c r="AV2608" s="5634"/>
      <c r="AW2608" s="5634"/>
      <c r="AX2608" s="5634"/>
      <c r="AY2608" s="5634"/>
      <c r="AZ2608" s="5634"/>
      <c r="BA2608" s="5703"/>
      <c r="BB2608" s="5703"/>
      <c r="BC2608" s="2960"/>
      <c r="BD2608" s="2960">
        <v>60000</v>
      </c>
      <c r="BE2608" s="5703"/>
      <c r="BF2608" s="5703"/>
      <c r="BG2608" s="5703"/>
      <c r="BH2608" s="2960"/>
      <c r="BI2608" s="5703"/>
      <c r="BJ2608" s="5703"/>
      <c r="BK2608" s="5703"/>
      <c r="BL2608" s="5703"/>
      <c r="BM2608" s="5703"/>
      <c r="BN2608" s="5703"/>
      <c r="BO2608" s="5703"/>
      <c r="BP2608" s="5703"/>
      <c r="BQ2608" s="2960"/>
      <c r="BR2608" s="2960">
        <v>60000</v>
      </c>
      <c r="BS2608" s="5703"/>
      <c r="BT2608" s="5703"/>
      <c r="BU2608" s="5703"/>
      <c r="BV2608" s="2960"/>
      <c r="BW2608" s="5703"/>
      <c r="BX2608" s="5703"/>
      <c r="BY2608" s="5703"/>
      <c r="BZ2608" s="5703"/>
      <c r="CA2608" s="5703"/>
      <c r="CB2608" s="5703"/>
      <c r="CC2608" s="2963"/>
      <c r="CD2608" s="2963"/>
      <c r="CE2608" s="6876"/>
      <c r="CF2608" s="6876"/>
      <c r="CG2608" s="6876"/>
      <c r="CH2608" s="6876"/>
    </row>
    <row r="2609" s="4999" customFormat="1" ht="107" spans="1:86">
      <c r="A2609" s="2963"/>
      <c r="B2609" s="918"/>
      <c r="C2609" s="2963"/>
      <c r="D2609" s="5608"/>
      <c r="E2609" s="5608"/>
      <c r="F2609" s="5608"/>
      <c r="G2609" s="5608"/>
      <c r="H2609" s="5666"/>
      <c r="I2609" s="5666"/>
      <c r="J2609" s="5666"/>
      <c r="K2609" s="2963"/>
      <c r="L2609" s="2963"/>
      <c r="M2609" s="2963"/>
      <c r="N2609" s="2963"/>
      <c r="O2609" s="2963"/>
      <c r="P2609" s="2963"/>
      <c r="Q2609" s="2963"/>
      <c r="R2609" s="2963"/>
      <c r="S2609" s="2963"/>
      <c r="T2609" s="2963"/>
      <c r="U2609" s="2963"/>
      <c r="V2609" s="2963"/>
      <c r="W2609" s="2963"/>
      <c r="X2609" s="2963"/>
      <c r="Y2609" s="2963"/>
      <c r="Z2609" s="2963"/>
      <c r="AA2609" s="2963"/>
      <c r="AB2609" s="918"/>
      <c r="AC2609" s="2963">
        <v>3</v>
      </c>
      <c r="AD2609" s="7183" t="s">
        <v>4352</v>
      </c>
      <c r="AE2609" s="7184">
        <v>0.2</v>
      </c>
      <c r="AF2609" s="2963">
        <f>100000*AE2609</f>
        <v>20000</v>
      </c>
      <c r="AG2609" s="2960"/>
      <c r="AH2609" s="2963"/>
      <c r="AI2609" s="2963"/>
      <c r="AJ2609" s="2963"/>
      <c r="AK2609" s="2963"/>
      <c r="AL2609" s="2963"/>
      <c r="AM2609" s="2963"/>
      <c r="AN2609" s="2960"/>
      <c r="AO2609" s="2963"/>
      <c r="AP2609" s="2963"/>
      <c r="AQ2609" s="5608"/>
      <c r="AR2609" s="2963"/>
      <c r="AS2609" s="5666"/>
      <c r="AT2609" s="2963"/>
      <c r="AU2609" s="5634"/>
      <c r="AV2609" s="5634"/>
      <c r="AW2609" s="5634"/>
      <c r="AX2609" s="5634"/>
      <c r="AY2609" s="5634"/>
      <c r="AZ2609" s="5634"/>
      <c r="BA2609" s="5634"/>
      <c r="BB2609" s="5634"/>
      <c r="BC2609" s="2963"/>
      <c r="BD2609" s="5634"/>
      <c r="BE2609" s="5634"/>
      <c r="BF2609" s="5634"/>
      <c r="BG2609" s="5634"/>
      <c r="BH2609" s="2963"/>
      <c r="BI2609" s="5634"/>
      <c r="BJ2609" s="5634"/>
      <c r="BK2609" s="5634"/>
      <c r="BL2609" s="5634"/>
      <c r="BM2609" s="5634"/>
      <c r="BN2609" s="5634"/>
      <c r="BO2609" s="5634"/>
      <c r="BP2609" s="5634"/>
      <c r="BQ2609" s="5634"/>
      <c r="BR2609" s="5634"/>
      <c r="BS2609" s="5634"/>
      <c r="BT2609" s="5634"/>
      <c r="BU2609" s="5634"/>
      <c r="BV2609" s="5634"/>
      <c r="BW2609" s="5634"/>
      <c r="BX2609" s="5634"/>
      <c r="BY2609" s="5634"/>
      <c r="BZ2609" s="5634"/>
      <c r="CA2609" s="5634"/>
      <c r="CB2609" s="5634"/>
      <c r="CC2609" s="2963"/>
      <c r="CD2609" s="2963"/>
      <c r="CE2609" s="6876"/>
      <c r="CF2609" s="6876"/>
      <c r="CG2609" s="6876"/>
      <c r="CH2609" s="6876"/>
    </row>
    <row r="2610" s="4999" customFormat="1" ht="23.25" customHeight="1" spans="1:86">
      <c r="A2610" s="2963"/>
      <c r="B2610" s="918"/>
      <c r="C2610" s="2963"/>
      <c r="D2610" s="5608"/>
      <c r="E2610" s="5608"/>
      <c r="F2610" s="5608"/>
      <c r="G2610" s="5608"/>
      <c r="H2610" s="5608" t="s">
        <v>4353</v>
      </c>
      <c r="I2610" s="5608"/>
      <c r="J2610" s="5666"/>
      <c r="K2610" s="918" t="s">
        <v>4339</v>
      </c>
      <c r="L2610" s="2963"/>
      <c r="M2610" s="2963">
        <v>42800</v>
      </c>
      <c r="N2610" s="2963"/>
      <c r="O2610" s="2963"/>
      <c r="P2610" s="2963"/>
      <c r="Q2610" s="2963"/>
      <c r="R2610" s="2963"/>
      <c r="S2610" s="2963"/>
      <c r="T2610" s="2963"/>
      <c r="U2610" s="2963"/>
      <c r="V2610" s="2963"/>
      <c r="W2610" s="2963"/>
      <c r="X2610" s="2963"/>
      <c r="Y2610" s="2963"/>
      <c r="Z2610" s="2963"/>
      <c r="AA2610" s="2963"/>
      <c r="AB2610" s="918"/>
      <c r="AC2610" s="2963">
        <v>1</v>
      </c>
      <c r="AD2610" s="7185" t="s">
        <v>4354</v>
      </c>
      <c r="AE2610" s="7186">
        <v>0.8</v>
      </c>
      <c r="AF2610" s="2963">
        <f>M2610*AE2610</f>
        <v>34240</v>
      </c>
      <c r="AG2610" s="2960">
        <f>SUM(BA2610:BN2610)</f>
        <v>34240</v>
      </c>
      <c r="AH2610" s="918" t="s">
        <v>122</v>
      </c>
      <c r="AI2610" s="2960">
        <v>45052</v>
      </c>
      <c r="AJ2610" s="2960">
        <v>34240</v>
      </c>
      <c r="AK2610" s="2960">
        <v>45052</v>
      </c>
      <c r="AL2610" s="2960">
        <v>34240</v>
      </c>
      <c r="AM2610" s="2960">
        <v>45054</v>
      </c>
      <c r="AN2610" s="2960">
        <v>34240</v>
      </c>
      <c r="AO2610" s="2960">
        <v>45097</v>
      </c>
      <c r="AP2610" s="2963"/>
      <c r="AQ2610" s="5608"/>
      <c r="AR2610" s="2963"/>
      <c r="AS2610" s="5666"/>
      <c r="AT2610" s="2963"/>
      <c r="AU2610" s="5634"/>
      <c r="AV2610" s="5634"/>
      <c r="AW2610" s="5634"/>
      <c r="AX2610" s="5634"/>
      <c r="AY2610" s="5634"/>
      <c r="AZ2610" s="5634"/>
      <c r="BA2610" s="5634"/>
      <c r="BB2610" s="5634"/>
      <c r="BC2610" s="2963"/>
      <c r="BD2610" s="5634"/>
      <c r="BE2610" s="5634"/>
      <c r="BF2610" s="5634"/>
      <c r="BG2610" s="5634"/>
      <c r="BH2610" s="2963"/>
      <c r="BI2610" s="5634"/>
      <c r="BJ2610" s="5634"/>
      <c r="BK2610" s="5634"/>
      <c r="BL2610" s="5634"/>
      <c r="BM2610" s="5634"/>
      <c r="BN2610" s="5703">
        <v>34240</v>
      </c>
      <c r="BO2610" s="5634"/>
      <c r="BP2610" s="5634"/>
      <c r="BQ2610" s="2963"/>
      <c r="BR2610" s="5634"/>
      <c r="BS2610" s="5634"/>
      <c r="BT2610" s="5634"/>
      <c r="BU2610" s="5634"/>
      <c r="BV2610" s="2963"/>
      <c r="BW2610" s="5634"/>
      <c r="BX2610" s="5634"/>
      <c r="BY2610" s="5634"/>
      <c r="BZ2610" s="5634"/>
      <c r="CA2610" s="5634"/>
      <c r="CB2610" s="5703">
        <v>34240</v>
      </c>
      <c r="CC2610" s="2963"/>
      <c r="CD2610" s="2963"/>
      <c r="CE2610" s="6876"/>
      <c r="CF2610" s="6876"/>
      <c r="CG2610" s="6876"/>
      <c r="CH2610" s="6876"/>
    </row>
    <row r="2611" s="4999" customFormat="1" ht="23.25" customHeight="1" spans="1:86">
      <c r="A2611" s="2963"/>
      <c r="B2611" s="918"/>
      <c r="C2611" s="2963"/>
      <c r="D2611" s="5608"/>
      <c r="E2611" s="5608"/>
      <c r="F2611" s="5608"/>
      <c r="G2611" s="5608"/>
      <c r="H2611" s="5608"/>
      <c r="I2611" s="5608"/>
      <c r="J2611" s="5666"/>
      <c r="K2611" s="2963"/>
      <c r="L2611" s="2963"/>
      <c r="M2611" s="2963"/>
      <c r="N2611" s="2963"/>
      <c r="O2611" s="2963"/>
      <c r="P2611" s="2963"/>
      <c r="Q2611" s="2963"/>
      <c r="R2611" s="2963"/>
      <c r="S2611" s="2963"/>
      <c r="T2611" s="2963"/>
      <c r="U2611" s="2963"/>
      <c r="V2611" s="2963"/>
      <c r="W2611" s="2963"/>
      <c r="X2611" s="2963"/>
      <c r="Y2611" s="2963"/>
      <c r="Z2611" s="2963"/>
      <c r="AA2611" s="2963">
        <f>M2610</f>
        <v>42800</v>
      </c>
      <c r="AB2611" s="918" t="s">
        <v>126</v>
      </c>
      <c r="AC2611" s="2963">
        <v>2</v>
      </c>
      <c r="AD2611" s="7185" t="s">
        <v>4355</v>
      </c>
      <c r="AE2611" s="7186">
        <v>0.2</v>
      </c>
      <c r="AF2611" s="2963">
        <f>M2610*AE2611</f>
        <v>8560</v>
      </c>
      <c r="AG2611" s="5624"/>
      <c r="AH2611" s="5623"/>
      <c r="AI2611" s="5623"/>
      <c r="AJ2611" s="2963"/>
      <c r="AK2611" s="2963"/>
      <c r="AL2611" s="2963"/>
      <c r="AM2611" s="2963"/>
      <c r="AN2611" s="5624">
        <f>SUBTOTAL(9,BO2611:CB2611)</f>
        <v>8560</v>
      </c>
      <c r="AO2611" s="5623"/>
      <c r="AP2611" s="2963"/>
      <c r="AQ2611" s="5608"/>
      <c r="AR2611" s="2963"/>
      <c r="AS2611" s="5666"/>
      <c r="AT2611" s="2963"/>
      <c r="AU2611" s="5634"/>
      <c r="AV2611" s="5634"/>
      <c r="AW2611" s="5634"/>
      <c r="AX2611" s="5634"/>
      <c r="AY2611" s="5634"/>
      <c r="AZ2611" s="5634"/>
      <c r="BA2611" s="5634"/>
      <c r="BB2611" s="5634"/>
      <c r="BC2611" s="2963"/>
      <c r="BD2611" s="5634"/>
      <c r="BE2611" s="5634"/>
      <c r="BF2611" s="5634"/>
      <c r="BG2611" s="5634"/>
      <c r="BH2611" s="2963"/>
      <c r="BI2611" s="5634"/>
      <c r="BJ2611" s="5634"/>
      <c r="BK2611" s="5634"/>
      <c r="BL2611" s="5634"/>
      <c r="BM2611" s="5634"/>
      <c r="BN2611" s="7201">
        <v>8560</v>
      </c>
      <c r="BO2611" s="5634"/>
      <c r="BP2611" s="5634"/>
      <c r="BQ2611" s="5634"/>
      <c r="BR2611" s="5634"/>
      <c r="BS2611" s="5634"/>
      <c r="BT2611" s="5634"/>
      <c r="BU2611" s="5634"/>
      <c r="BV2611" s="5634"/>
      <c r="BW2611" s="5634"/>
      <c r="BX2611" s="5634"/>
      <c r="BY2611" s="5634"/>
      <c r="BZ2611" s="5634"/>
      <c r="CA2611" s="5634"/>
      <c r="CB2611" s="7201">
        <v>8560</v>
      </c>
      <c r="CC2611" s="2963"/>
      <c r="CD2611" s="2963"/>
      <c r="CE2611" s="5169">
        <f>SUBTOTAL(9,BO2611:CB2611)</f>
        <v>8560</v>
      </c>
      <c r="CF2611" s="5169">
        <f>AN2611-CE2611</f>
        <v>0</v>
      </c>
      <c r="CG2611" s="6876"/>
      <c r="CH2611" s="6876"/>
    </row>
    <row r="2612" s="4999" customFormat="1" ht="76" spans="1:86">
      <c r="A2612" s="2963"/>
      <c r="B2612" s="918"/>
      <c r="C2612" s="2963"/>
      <c r="D2612" s="5608"/>
      <c r="E2612" s="5608"/>
      <c r="F2612" s="5608"/>
      <c r="G2612" s="5608"/>
      <c r="H2612" s="5608" t="s">
        <v>4356</v>
      </c>
      <c r="I2612" s="5608"/>
      <c r="J2612" s="5666"/>
      <c r="K2612" s="918" t="s">
        <v>4339</v>
      </c>
      <c r="L2612" s="2963"/>
      <c r="M2612" s="2963">
        <v>130000</v>
      </c>
      <c r="N2612" s="2963"/>
      <c r="O2612" s="2963"/>
      <c r="P2612" s="2963"/>
      <c r="Q2612" s="2963"/>
      <c r="R2612" s="2963"/>
      <c r="S2612" s="2963"/>
      <c r="T2612" s="2963"/>
      <c r="U2612" s="2963"/>
      <c r="V2612" s="2963"/>
      <c r="W2612" s="2963"/>
      <c r="X2612" s="2963"/>
      <c r="Y2612" s="2963"/>
      <c r="Z2612" s="2963"/>
      <c r="AA2612" s="2963"/>
      <c r="AB2612" s="918"/>
      <c r="AC2612" s="2963">
        <v>1</v>
      </c>
      <c r="AD2612" s="7183" t="s">
        <v>4357</v>
      </c>
      <c r="AE2612" s="7186">
        <v>0.2</v>
      </c>
      <c r="AF2612" s="2963">
        <f t="shared" ref="AF2612:AF2614" si="547">130000*AE2612</f>
        <v>26000</v>
      </c>
      <c r="AG2612" s="2960">
        <f>SUM(BA2612:BN2612)</f>
        <v>26000</v>
      </c>
      <c r="AH2612" s="918" t="s">
        <v>122</v>
      </c>
      <c r="AI2612" s="2960">
        <v>44876</v>
      </c>
      <c r="AJ2612" s="2960">
        <v>26000</v>
      </c>
      <c r="AK2612" s="2960">
        <v>44876</v>
      </c>
      <c r="AL2612" s="2960">
        <v>26000</v>
      </c>
      <c r="AM2612" s="2960">
        <v>44876</v>
      </c>
      <c r="AN2612" s="2960">
        <f>SUBTOTAL(9,BO2612:CB2612)</f>
        <v>26000</v>
      </c>
      <c r="AO2612" s="2960">
        <v>44907</v>
      </c>
      <c r="AP2612" s="2963"/>
      <c r="AQ2612" s="5608"/>
      <c r="AR2612" s="2963"/>
      <c r="AS2612" s="5666"/>
      <c r="AT2612" s="2963"/>
      <c r="AU2612" s="5634"/>
      <c r="AV2612" s="5634"/>
      <c r="AW2612" s="5634"/>
      <c r="AX2612" s="5634"/>
      <c r="AY2612" s="5634"/>
      <c r="AZ2612" s="5634"/>
      <c r="BA2612" s="5703"/>
      <c r="BB2612" s="5703"/>
      <c r="BC2612" s="2960"/>
      <c r="BD2612" s="5703"/>
      <c r="BE2612" s="5703"/>
      <c r="BF2612" s="5703"/>
      <c r="BG2612" s="5703"/>
      <c r="BH2612" s="2960"/>
      <c r="BI2612" s="5703"/>
      <c r="BJ2612" s="5703"/>
      <c r="BK2612" s="5703"/>
      <c r="BL2612" s="5703"/>
      <c r="BM2612" s="5703"/>
      <c r="BN2612" s="2960">
        <v>26000</v>
      </c>
      <c r="BO2612" s="7201"/>
      <c r="BP2612" s="7201"/>
      <c r="BQ2612" s="7201"/>
      <c r="BR2612" s="7201"/>
      <c r="BS2612" s="7201"/>
      <c r="BT2612" s="7201"/>
      <c r="BU2612" s="7201"/>
      <c r="BV2612" s="7201"/>
      <c r="BW2612" s="7201"/>
      <c r="BX2612" s="7201"/>
      <c r="BY2612" s="7201"/>
      <c r="BZ2612" s="7201"/>
      <c r="CA2612" s="7201"/>
      <c r="CB2612" s="2960">
        <v>26000</v>
      </c>
      <c r="CC2612" s="2963"/>
      <c r="CD2612" s="2963"/>
      <c r="CE2612" s="6876"/>
      <c r="CF2612" s="6876"/>
      <c r="CG2612" s="6876"/>
      <c r="CH2612" s="6876"/>
    </row>
    <row r="2613" s="4999" customFormat="1" ht="107" spans="1:86">
      <c r="A2613" s="2963"/>
      <c r="B2613" s="918"/>
      <c r="C2613" s="2963"/>
      <c r="D2613" s="5608"/>
      <c r="E2613" s="5608"/>
      <c r="F2613" s="5608"/>
      <c r="G2613" s="5608"/>
      <c r="H2613" s="5666"/>
      <c r="I2613" s="5666"/>
      <c r="J2613" s="5666"/>
      <c r="K2613" s="2963"/>
      <c r="L2613" s="2963"/>
      <c r="M2613" s="2963"/>
      <c r="N2613" s="2963"/>
      <c r="O2613" s="2963"/>
      <c r="P2613" s="2963"/>
      <c r="Q2613" s="2963"/>
      <c r="R2613" s="2963"/>
      <c r="S2613" s="2963"/>
      <c r="T2613" s="2963"/>
      <c r="U2613" s="2963"/>
      <c r="V2613" s="2963"/>
      <c r="W2613" s="2963"/>
      <c r="X2613" s="2963"/>
      <c r="Y2613" s="2963"/>
      <c r="Z2613" s="2963"/>
      <c r="AA2613" s="2963">
        <f>M2612</f>
        <v>130000</v>
      </c>
      <c r="AB2613" s="918" t="s">
        <v>126</v>
      </c>
      <c r="AC2613" s="2963">
        <v>2</v>
      </c>
      <c r="AD2613" s="7183" t="s">
        <v>4358</v>
      </c>
      <c r="AE2613" s="7186">
        <v>0.6</v>
      </c>
      <c r="AF2613" s="2963">
        <f t="shared" si="547"/>
        <v>78000</v>
      </c>
      <c r="AG2613" s="2960">
        <f>SUM(BA2613:BN2613)</f>
        <v>78000</v>
      </c>
      <c r="AH2613" s="918" t="s">
        <v>122</v>
      </c>
      <c r="AI2613" s="918">
        <v>44909</v>
      </c>
      <c r="AJ2613" s="2960">
        <f>SUM(BD2613:BQ2613)</f>
        <v>78000</v>
      </c>
      <c r="AK2613" s="918">
        <v>44909</v>
      </c>
      <c r="AL2613" s="2960">
        <v>78000</v>
      </c>
      <c r="AM2613" s="2960">
        <v>45054</v>
      </c>
      <c r="AN2613" s="2960">
        <f>SUBTOTAL(9,BO2613:CB2613)</f>
        <v>78000</v>
      </c>
      <c r="AO2613" s="2960">
        <v>45097</v>
      </c>
      <c r="AP2613" s="2963"/>
      <c r="AQ2613" s="5608"/>
      <c r="AR2613" s="2963"/>
      <c r="AS2613" s="5666"/>
      <c r="AT2613" s="2963"/>
      <c r="AU2613" s="5634"/>
      <c r="AV2613" s="5634"/>
      <c r="AW2613" s="5634"/>
      <c r="AX2613" s="5634"/>
      <c r="AY2613" s="5634"/>
      <c r="AZ2613" s="5634"/>
      <c r="BA2613" s="5703"/>
      <c r="BB2613" s="5703"/>
      <c r="BC2613" s="2960"/>
      <c r="BD2613" s="2960">
        <v>27000</v>
      </c>
      <c r="BE2613" s="5703"/>
      <c r="BF2613" s="5703"/>
      <c r="BG2613" s="5703"/>
      <c r="BH2613" s="2960"/>
      <c r="BI2613" s="5703"/>
      <c r="BJ2613" s="5703"/>
      <c r="BK2613" s="5703"/>
      <c r="BL2613" s="5703"/>
      <c r="BM2613" s="5703"/>
      <c r="BN2613" s="7202">
        <f>78000-BD2613</f>
        <v>51000</v>
      </c>
      <c r="BO2613" s="5703"/>
      <c r="BP2613" s="5703"/>
      <c r="BQ2613" s="2960"/>
      <c r="BR2613" s="2960">
        <v>27000</v>
      </c>
      <c r="BS2613" s="5703"/>
      <c r="BT2613" s="5703"/>
      <c r="BU2613" s="5703"/>
      <c r="BV2613" s="2960"/>
      <c r="BW2613" s="5703"/>
      <c r="BX2613" s="5703"/>
      <c r="BY2613" s="5703"/>
      <c r="BZ2613" s="5703"/>
      <c r="CA2613" s="5703"/>
      <c r="CB2613" s="7202">
        <v>51000</v>
      </c>
      <c r="CC2613" s="2963"/>
      <c r="CD2613" s="2963"/>
      <c r="CE2613" s="6876"/>
      <c r="CF2613" s="6876"/>
      <c r="CG2613" s="6876"/>
      <c r="CH2613" s="6876"/>
    </row>
    <row r="2614" s="4999" customFormat="1" ht="92" spans="1:86">
      <c r="A2614" s="2963"/>
      <c r="B2614" s="918"/>
      <c r="C2614" s="2963"/>
      <c r="D2614" s="5608"/>
      <c r="E2614" s="5608"/>
      <c r="F2614" s="5608"/>
      <c r="G2614" s="5608"/>
      <c r="H2614" s="5666"/>
      <c r="I2614" s="5666"/>
      <c r="J2614" s="5666"/>
      <c r="K2614" s="2963"/>
      <c r="L2614" s="2963"/>
      <c r="M2614" s="2963"/>
      <c r="N2614" s="2963"/>
      <c r="O2614" s="2963"/>
      <c r="P2614" s="2963"/>
      <c r="Q2614" s="2963"/>
      <c r="R2614" s="2963"/>
      <c r="S2614" s="2963"/>
      <c r="T2614" s="2963"/>
      <c r="U2614" s="2963"/>
      <c r="V2614" s="2963"/>
      <c r="W2614" s="2963"/>
      <c r="X2614" s="2963"/>
      <c r="Y2614" s="2963"/>
      <c r="Z2614" s="2963"/>
      <c r="AA2614" s="2963"/>
      <c r="AB2614" s="918"/>
      <c r="AC2614" s="2963">
        <v>3</v>
      </c>
      <c r="AD2614" s="7183" t="s">
        <v>4359</v>
      </c>
      <c r="AE2614" s="7186">
        <v>0.2</v>
      </c>
      <c r="AF2614" s="2963">
        <f t="shared" si="547"/>
        <v>26000</v>
      </c>
      <c r="AG2614" s="2960"/>
      <c r="AH2614" s="2963"/>
      <c r="AI2614" s="2963"/>
      <c r="AJ2614" s="2963"/>
      <c r="AK2614" s="2963"/>
      <c r="AL2614" s="2963"/>
      <c r="AM2614" s="2963"/>
      <c r="AN2614" s="2960"/>
      <c r="AO2614" s="2963"/>
      <c r="AP2614" s="2963"/>
      <c r="AQ2614" s="5634"/>
      <c r="AR2614" s="2963"/>
      <c r="AS2614" s="5666"/>
      <c r="AT2614" s="2963"/>
      <c r="AU2614" s="5634"/>
      <c r="AV2614" s="5634"/>
      <c r="AW2614" s="5634"/>
      <c r="AX2614" s="5634"/>
      <c r="AY2614" s="5634"/>
      <c r="AZ2614" s="5634"/>
      <c r="BA2614" s="5634"/>
      <c r="BB2614" s="5634"/>
      <c r="BC2614" s="2963"/>
      <c r="BD2614" s="5634"/>
      <c r="BE2614" s="5634"/>
      <c r="BF2614" s="5634"/>
      <c r="BG2614" s="5634"/>
      <c r="BH2614" s="2963"/>
      <c r="BI2614" s="5634"/>
      <c r="BJ2614" s="5634"/>
      <c r="BK2614" s="5634"/>
      <c r="BL2614" s="5634"/>
      <c r="BM2614" s="5634"/>
      <c r="BN2614" s="5634"/>
      <c r="BO2614" s="5634"/>
      <c r="BP2614" s="5634"/>
      <c r="BQ2614" s="5634"/>
      <c r="BR2614" s="5634"/>
      <c r="BS2614" s="5634"/>
      <c r="BT2614" s="5634"/>
      <c r="BU2614" s="5634"/>
      <c r="BV2614" s="5634"/>
      <c r="BW2614" s="5634"/>
      <c r="BX2614" s="5634"/>
      <c r="BY2614" s="5634"/>
      <c r="BZ2614" s="5634"/>
      <c r="CA2614" s="5634"/>
      <c r="CB2614" s="5634"/>
      <c r="CC2614" s="2963"/>
      <c r="CD2614" s="2963"/>
      <c r="CE2614" s="6876"/>
      <c r="CF2614" s="6876"/>
      <c r="CG2614" s="6876"/>
      <c r="CH2614" s="6876"/>
    </row>
    <row r="2615" s="4999" customFormat="1" spans="1:86">
      <c r="A2615" s="2963"/>
      <c r="B2615" s="918"/>
      <c r="C2615" s="2963"/>
      <c r="D2615" s="5608"/>
      <c r="E2615" s="5608"/>
      <c r="F2615" s="5608"/>
      <c r="G2615" s="5608"/>
      <c r="H2615" s="5608" t="s">
        <v>4360</v>
      </c>
      <c r="I2615" s="5608"/>
      <c r="J2615" s="5666"/>
      <c r="K2615" s="2963"/>
      <c r="L2615" s="2963"/>
      <c r="M2615" s="2963">
        <f>SUBTOTAL(9,N2615:AA2615)</f>
        <v>346091.89</v>
      </c>
      <c r="N2615" s="2963"/>
      <c r="O2615" s="2963"/>
      <c r="P2615" s="2963"/>
      <c r="Q2615" s="2963"/>
      <c r="R2615" s="2963"/>
      <c r="S2615" s="2963"/>
      <c r="T2615" s="2963"/>
      <c r="U2615" s="2963"/>
      <c r="V2615" s="2963"/>
      <c r="W2615" s="2963"/>
      <c r="X2615" s="2963"/>
      <c r="Y2615" s="2963"/>
      <c r="Z2615" s="2963"/>
      <c r="AA2615" s="2963">
        <v>346091.89</v>
      </c>
      <c r="AB2615" s="918"/>
      <c r="AC2615" s="2963"/>
      <c r="AD2615" s="7187"/>
      <c r="AE2615" s="7186"/>
      <c r="AF2615" s="2963"/>
      <c r="AG2615" s="2960"/>
      <c r="AH2615" s="2963"/>
      <c r="AI2615" s="2963"/>
      <c r="AJ2615" s="2963"/>
      <c r="AK2615" s="2963"/>
      <c r="AL2615" s="2963"/>
      <c r="AM2615" s="2963"/>
      <c r="AN2615" s="2960"/>
      <c r="AO2615" s="2963"/>
      <c r="AP2615" s="2963"/>
      <c r="AQ2615" s="5634"/>
      <c r="AR2615" s="2963"/>
      <c r="AS2615" s="5666"/>
      <c r="AT2615" s="2963"/>
      <c r="AU2615" s="5634"/>
      <c r="AV2615" s="5634"/>
      <c r="AW2615" s="5634"/>
      <c r="AX2615" s="5634"/>
      <c r="AY2615" s="5634"/>
      <c r="AZ2615" s="5634"/>
      <c r="BA2615" s="5634"/>
      <c r="BB2615" s="5634"/>
      <c r="BC2615" s="2963"/>
      <c r="BD2615" s="5634"/>
      <c r="BE2615" s="5634"/>
      <c r="BF2615" s="5634"/>
      <c r="BG2615" s="5634"/>
      <c r="BH2615" s="2963"/>
      <c r="BI2615" s="5634"/>
      <c r="BJ2615" s="5634"/>
      <c r="BK2615" s="5634"/>
      <c r="BL2615" s="5634"/>
      <c r="BM2615" s="5634"/>
      <c r="BN2615" s="5634"/>
      <c r="BO2615" s="5634"/>
      <c r="BP2615" s="5634"/>
      <c r="BQ2615" s="5634"/>
      <c r="BR2615" s="5634"/>
      <c r="BS2615" s="5634"/>
      <c r="BT2615" s="5634"/>
      <c r="BU2615" s="5634"/>
      <c r="BV2615" s="5634"/>
      <c r="BW2615" s="5634"/>
      <c r="BX2615" s="5634"/>
      <c r="BY2615" s="5634"/>
      <c r="BZ2615" s="5634"/>
      <c r="CA2615" s="5634"/>
      <c r="CB2615" s="5634"/>
      <c r="CC2615" s="2963"/>
      <c r="CD2615" s="2963"/>
      <c r="CE2615" s="6876"/>
      <c r="CF2615" s="6876"/>
      <c r="CG2615" s="6876"/>
      <c r="CH2615" s="6876"/>
    </row>
    <row r="2616" s="4999" customFormat="1" spans="1:86">
      <c r="A2616" s="2963"/>
      <c r="B2616" s="918"/>
      <c r="C2616" s="2963"/>
      <c r="D2616" s="5608"/>
      <c r="E2616" s="5608"/>
      <c r="F2616" s="5608"/>
      <c r="G2616" s="5608"/>
      <c r="H2616" s="5608" t="s">
        <v>4361</v>
      </c>
      <c r="I2616" s="5608"/>
      <c r="J2616" s="5666"/>
      <c r="K2616" s="918" t="s">
        <v>4339</v>
      </c>
      <c r="L2616" s="2963"/>
      <c r="M2616" s="2963"/>
      <c r="N2616" s="2963"/>
      <c r="O2616" s="2963"/>
      <c r="P2616" s="2963"/>
      <c r="Q2616" s="2963"/>
      <c r="R2616" s="2963"/>
      <c r="S2616" s="2963"/>
      <c r="T2616" s="2963"/>
      <c r="U2616" s="2963"/>
      <c r="V2616" s="2963"/>
      <c r="W2616" s="2963"/>
      <c r="X2616" s="2963"/>
      <c r="Y2616" s="2963"/>
      <c r="Z2616" s="2963"/>
      <c r="AA2616" s="2963"/>
      <c r="AB2616" s="918"/>
      <c r="AC2616" s="2963"/>
      <c r="AD2616" s="5647"/>
      <c r="AE2616" s="7186"/>
      <c r="AF2616" s="2963"/>
      <c r="AG2616" s="2960"/>
      <c r="AH2616" s="2963"/>
      <c r="AI2616" s="2963"/>
      <c r="AJ2616" s="2963"/>
      <c r="AK2616" s="2963"/>
      <c r="AL2616" s="2963"/>
      <c r="AM2616" s="2963"/>
      <c r="AN2616" s="2960"/>
      <c r="AO2616" s="2963"/>
      <c r="AP2616" s="2963"/>
      <c r="AQ2616" s="5634"/>
      <c r="AR2616" s="2963"/>
      <c r="AS2616" s="5666"/>
      <c r="AT2616" s="2963"/>
      <c r="AU2616" s="5634"/>
      <c r="AV2616" s="5634"/>
      <c r="AW2616" s="5634"/>
      <c r="AX2616" s="5634"/>
      <c r="AY2616" s="5634"/>
      <c r="AZ2616" s="5634"/>
      <c r="BA2616" s="5634"/>
      <c r="BB2616" s="5634"/>
      <c r="BC2616" s="2963"/>
      <c r="BD2616" s="5634"/>
      <c r="BE2616" s="5634"/>
      <c r="BF2616" s="5634"/>
      <c r="BG2616" s="5634"/>
      <c r="BH2616" s="2963"/>
      <c r="BI2616" s="5634"/>
      <c r="BJ2616" s="5634"/>
      <c r="BK2616" s="5634"/>
      <c r="BL2616" s="5634"/>
      <c r="BM2616" s="5634"/>
      <c r="BN2616" s="5634"/>
      <c r="BO2616" s="5634"/>
      <c r="BP2616" s="5634"/>
      <c r="BQ2616" s="5634"/>
      <c r="BR2616" s="5634"/>
      <c r="BS2616" s="5634"/>
      <c r="BT2616" s="5634"/>
      <c r="BU2616" s="5634"/>
      <c r="BV2616" s="5634"/>
      <c r="BW2616" s="5634"/>
      <c r="BX2616" s="5634"/>
      <c r="BY2616" s="5634"/>
      <c r="BZ2616" s="5634"/>
      <c r="CA2616" s="5634"/>
      <c r="CB2616" s="5634"/>
      <c r="CC2616" s="2963"/>
      <c r="CD2616" s="2963"/>
      <c r="CE2616" s="6876"/>
      <c r="CF2616" s="6876"/>
      <c r="CG2616" s="6876"/>
      <c r="CH2616" s="6876"/>
    </row>
    <row r="2617" s="4999" customFormat="1" spans="1:86">
      <c r="A2617" s="2963"/>
      <c r="B2617" s="918"/>
      <c r="C2617" s="2963"/>
      <c r="D2617" s="5608"/>
      <c r="E2617" s="5608"/>
      <c r="F2617" s="5608"/>
      <c r="G2617" s="5608"/>
      <c r="H2617" s="5666"/>
      <c r="I2617" s="5666"/>
      <c r="J2617" s="5666"/>
      <c r="K2617" s="2963"/>
      <c r="L2617" s="2963"/>
      <c r="M2617" s="2963"/>
      <c r="N2617" s="2963"/>
      <c r="O2617" s="2963"/>
      <c r="P2617" s="2963"/>
      <c r="Q2617" s="2963"/>
      <c r="R2617" s="2963"/>
      <c r="S2617" s="2963"/>
      <c r="T2617" s="2963"/>
      <c r="U2617" s="2963"/>
      <c r="V2617" s="2963"/>
      <c r="W2617" s="2963"/>
      <c r="X2617" s="2963"/>
      <c r="Y2617" s="2963"/>
      <c r="Z2617" s="2963"/>
      <c r="AA2617" s="2963">
        <f>M2616</f>
        <v>0</v>
      </c>
      <c r="AB2617" s="918" t="s">
        <v>126</v>
      </c>
      <c r="AC2617" s="2963"/>
      <c r="AD2617" s="5647"/>
      <c r="AE2617" s="7186"/>
      <c r="AF2617" s="2963"/>
      <c r="AG2617" s="2960"/>
      <c r="AH2617" s="2963"/>
      <c r="AI2617" s="2963"/>
      <c r="AJ2617" s="2963"/>
      <c r="AK2617" s="2963"/>
      <c r="AL2617" s="2963"/>
      <c r="AM2617" s="2963"/>
      <c r="AN2617" s="2960"/>
      <c r="AO2617" s="2963"/>
      <c r="AP2617" s="2963"/>
      <c r="AQ2617" s="5634"/>
      <c r="AR2617" s="2963"/>
      <c r="AS2617" s="5666"/>
      <c r="AT2617" s="2963"/>
      <c r="AU2617" s="5634"/>
      <c r="AV2617" s="5634"/>
      <c r="AW2617" s="5634"/>
      <c r="AX2617" s="5634"/>
      <c r="AY2617" s="5634"/>
      <c r="AZ2617" s="5634"/>
      <c r="BA2617" s="5634"/>
      <c r="BB2617" s="5634"/>
      <c r="BC2617" s="2963"/>
      <c r="BD2617" s="5634"/>
      <c r="BE2617" s="5634"/>
      <c r="BF2617" s="5634"/>
      <c r="BG2617" s="5634"/>
      <c r="BH2617" s="2963"/>
      <c r="BI2617" s="5634"/>
      <c r="BJ2617" s="5634"/>
      <c r="BK2617" s="5634"/>
      <c r="BL2617" s="5634"/>
      <c r="BM2617" s="5634"/>
      <c r="BN2617" s="5634"/>
      <c r="BO2617" s="5634"/>
      <c r="BP2617" s="5634"/>
      <c r="BQ2617" s="5634"/>
      <c r="BR2617" s="5634"/>
      <c r="BS2617" s="5634"/>
      <c r="BT2617" s="5634"/>
      <c r="BU2617" s="5634"/>
      <c r="BV2617" s="5634"/>
      <c r="BW2617" s="5634"/>
      <c r="BX2617" s="5634"/>
      <c r="BY2617" s="5634"/>
      <c r="BZ2617" s="5634"/>
      <c r="CA2617" s="5634"/>
      <c r="CB2617" s="5634"/>
      <c r="CC2617" s="2963"/>
      <c r="CD2617" s="2963"/>
      <c r="CE2617" s="6876"/>
      <c r="CF2617" s="6876"/>
      <c r="CG2617" s="6876"/>
      <c r="CH2617" s="6876"/>
    </row>
    <row r="2618" s="4999" customFormat="1" spans="1:86">
      <c r="A2618" s="2963"/>
      <c r="B2618" s="918"/>
      <c r="C2618" s="2963"/>
      <c r="D2618" s="5608"/>
      <c r="E2618" s="5608"/>
      <c r="F2618" s="5608"/>
      <c r="G2618" s="5608"/>
      <c r="H2618" s="5666"/>
      <c r="I2618" s="5666"/>
      <c r="J2618" s="5666"/>
      <c r="K2618" s="2963"/>
      <c r="L2618" s="2963"/>
      <c r="M2618" s="2963"/>
      <c r="N2618" s="2963"/>
      <c r="O2618" s="2963"/>
      <c r="P2618" s="2963"/>
      <c r="Q2618" s="2963"/>
      <c r="R2618" s="2963"/>
      <c r="S2618" s="2963"/>
      <c r="T2618" s="2963"/>
      <c r="U2618" s="2963"/>
      <c r="V2618" s="2963"/>
      <c r="W2618" s="2963"/>
      <c r="X2618" s="2963"/>
      <c r="Y2618" s="2963"/>
      <c r="Z2618" s="2963"/>
      <c r="AA2618" s="2963"/>
      <c r="AB2618" s="918"/>
      <c r="AC2618" s="2963"/>
      <c r="AD2618" s="5647"/>
      <c r="AE2618" s="7186"/>
      <c r="AF2618" s="2963"/>
      <c r="AG2618" s="2960"/>
      <c r="AH2618" s="2963"/>
      <c r="AI2618" s="2963"/>
      <c r="AJ2618" s="2963"/>
      <c r="AK2618" s="2963"/>
      <c r="AL2618" s="2963"/>
      <c r="AM2618" s="2963"/>
      <c r="AN2618" s="2960"/>
      <c r="AO2618" s="2963"/>
      <c r="AP2618" s="2963"/>
      <c r="AQ2618" s="5634"/>
      <c r="AR2618" s="2963"/>
      <c r="AS2618" s="5666"/>
      <c r="AT2618" s="2963"/>
      <c r="AU2618" s="5634"/>
      <c r="AV2618" s="5634"/>
      <c r="AW2618" s="5634"/>
      <c r="AX2618" s="5634"/>
      <c r="AY2618" s="5634"/>
      <c r="AZ2618" s="5634"/>
      <c r="BA2618" s="5634"/>
      <c r="BB2618" s="5634"/>
      <c r="BC2618" s="2963"/>
      <c r="BD2618" s="5634"/>
      <c r="BE2618" s="5634"/>
      <c r="BF2618" s="5634"/>
      <c r="BG2618" s="5634"/>
      <c r="BH2618" s="2963"/>
      <c r="BI2618" s="5634"/>
      <c r="BJ2618" s="5634"/>
      <c r="BK2618" s="5634"/>
      <c r="BL2618" s="5634"/>
      <c r="BM2618" s="5634"/>
      <c r="BN2618" s="5634"/>
      <c r="BO2618" s="5634"/>
      <c r="BP2618" s="5634"/>
      <c r="BQ2618" s="5634"/>
      <c r="BR2618" s="5634"/>
      <c r="BS2618" s="5634"/>
      <c r="BT2618" s="5634"/>
      <c r="BU2618" s="5634"/>
      <c r="BV2618" s="5634"/>
      <c r="BW2618" s="5634"/>
      <c r="BX2618" s="5634"/>
      <c r="BY2618" s="5634"/>
      <c r="BZ2618" s="5634"/>
      <c r="CA2618" s="5634"/>
      <c r="CB2618" s="5634"/>
      <c r="CC2618" s="2963"/>
      <c r="CD2618" s="2963"/>
      <c r="CE2618" s="6876"/>
      <c r="CF2618" s="6876"/>
      <c r="CG2618" s="6876"/>
      <c r="CH2618" s="6876"/>
    </row>
    <row r="2619" s="4999" customFormat="1" ht="26" customHeight="1" spans="1:86">
      <c r="A2619" s="2963"/>
      <c r="B2619" s="5585" t="s">
        <v>2570</v>
      </c>
      <c r="C2619" s="5585">
        <v>45118</v>
      </c>
      <c r="D2619" s="5553" t="s">
        <v>4298</v>
      </c>
      <c r="E2619" s="5553"/>
      <c r="F2619" s="5553" t="s">
        <v>4362</v>
      </c>
      <c r="G2619" s="5553" t="s">
        <v>4363</v>
      </c>
      <c r="H2619" s="5553" t="s">
        <v>4364</v>
      </c>
      <c r="I2619" s="5553"/>
      <c r="J2619" s="5553" t="s">
        <v>4302</v>
      </c>
      <c r="K2619" s="5585" t="s">
        <v>171</v>
      </c>
      <c r="L2619" s="5585" t="s">
        <v>4365</v>
      </c>
      <c r="M2619" s="7160">
        <f>SUM(N2619:AA2621)</f>
        <v>200000</v>
      </c>
      <c r="N2619" s="5571"/>
      <c r="O2619" s="5571"/>
      <c r="P2619" s="5571"/>
      <c r="Q2619" s="5571"/>
      <c r="R2619" s="5571"/>
      <c r="S2619" s="5571"/>
      <c r="T2619" s="5571"/>
      <c r="U2619" s="5571"/>
      <c r="V2619" s="5571"/>
      <c r="W2619" s="5571"/>
      <c r="X2619" s="5571"/>
      <c r="Y2619" s="5571"/>
      <c r="Z2619" s="5571"/>
      <c r="AA2619" s="5571">
        <v>200000</v>
      </c>
      <c r="AB2619" s="5571"/>
      <c r="AC2619" s="2963">
        <v>1</v>
      </c>
      <c r="AD2619" s="7183" t="s">
        <v>4366</v>
      </c>
      <c r="AE2619" s="7186">
        <v>0.2</v>
      </c>
      <c r="AF2619" s="2963">
        <f>200000*AE2619</f>
        <v>40000</v>
      </c>
      <c r="AG2619" s="2960">
        <f>SUM(BA2619:BN2619)</f>
        <v>40000</v>
      </c>
      <c r="AH2619" s="918" t="s">
        <v>122</v>
      </c>
      <c r="AI2619" s="918">
        <v>45170</v>
      </c>
      <c r="AJ2619" s="2963">
        <f>AG2619</f>
        <v>40000</v>
      </c>
      <c r="AK2619" s="2963">
        <v>45168</v>
      </c>
      <c r="AL2619" s="2963">
        <v>40000</v>
      </c>
      <c r="AM2619" s="2963">
        <v>45170</v>
      </c>
      <c r="AN2619" s="2960">
        <f>SUBTOTAL(9,BO2619:CB2619)</f>
        <v>40000</v>
      </c>
      <c r="AO2619" s="2963">
        <v>45245</v>
      </c>
      <c r="AP2619" s="2963"/>
      <c r="AQ2619" s="5634"/>
      <c r="AR2619" s="2963"/>
      <c r="AS2619" s="5666"/>
      <c r="AT2619" s="2963"/>
      <c r="AU2619" s="5634"/>
      <c r="AV2619" s="5634"/>
      <c r="AW2619" s="5634"/>
      <c r="AX2619" s="5634"/>
      <c r="AY2619" s="5634"/>
      <c r="AZ2619" s="5634"/>
      <c r="BA2619" s="5634"/>
      <c r="BB2619" s="5634"/>
      <c r="BC2619" s="2963"/>
      <c r="BD2619" s="5703"/>
      <c r="BE2619" s="5703"/>
      <c r="BF2619" s="5703"/>
      <c r="BG2619" s="5703"/>
      <c r="BH2619" s="2960"/>
      <c r="BI2619" s="5703"/>
      <c r="BJ2619" s="5703"/>
      <c r="BK2619" s="5703"/>
      <c r="BL2619" s="5703"/>
      <c r="BM2619" s="5703"/>
      <c r="BN2619" s="5703">
        <v>40000</v>
      </c>
      <c r="BO2619" s="5634"/>
      <c r="BP2619" s="5634"/>
      <c r="BQ2619" s="5634"/>
      <c r="BR2619" s="5634"/>
      <c r="BS2619" s="5634"/>
      <c r="BT2619" s="5634"/>
      <c r="BU2619" s="5634"/>
      <c r="BV2619" s="5634"/>
      <c r="BW2619" s="5634"/>
      <c r="BX2619" s="5634"/>
      <c r="BY2619" s="5634"/>
      <c r="BZ2619" s="5634"/>
      <c r="CA2619" s="5634"/>
      <c r="CB2619" s="5703">
        <v>40000</v>
      </c>
      <c r="CC2619" s="2963"/>
      <c r="CD2619" s="2963"/>
      <c r="CE2619" s="6876"/>
      <c r="CF2619" s="6876"/>
      <c r="CG2619" s="6876"/>
      <c r="CH2619" s="6876"/>
    </row>
    <row r="2620" s="4999" customFormat="1" ht="46" spans="1:86">
      <c r="A2620" s="2963"/>
      <c r="B2620" s="6345"/>
      <c r="C2620" s="4198"/>
      <c r="D2620" s="5572"/>
      <c r="E2620" s="5572"/>
      <c r="F2620" s="5572"/>
      <c r="G2620" s="5572"/>
      <c r="H2620" s="5554"/>
      <c r="I2620" s="5554"/>
      <c r="J2620" s="5554"/>
      <c r="K2620" s="3324"/>
      <c r="L2620" s="3324"/>
      <c r="M2620" s="7161"/>
      <c r="N2620" s="3324"/>
      <c r="O2620" s="3324"/>
      <c r="P2620" s="3324"/>
      <c r="Q2620" s="3324"/>
      <c r="R2620" s="3324"/>
      <c r="S2620" s="3324"/>
      <c r="T2620" s="3324"/>
      <c r="U2620" s="3324"/>
      <c r="V2620" s="3324"/>
      <c r="W2620" s="3324"/>
      <c r="X2620" s="3324"/>
      <c r="Y2620" s="3324"/>
      <c r="Z2620" s="3324"/>
      <c r="AA2620" s="3324"/>
      <c r="AB2620" s="3324"/>
      <c r="AC2620" s="2963">
        <v>2</v>
      </c>
      <c r="AD2620" s="7183" t="s">
        <v>4367</v>
      </c>
      <c r="AE2620" s="7186">
        <v>0.3</v>
      </c>
      <c r="AF2620" s="2963">
        <f>200000*AE2620</f>
        <v>60000</v>
      </c>
      <c r="AG2620" s="2960">
        <f>SUM(BA2620:BN2620)</f>
        <v>60000</v>
      </c>
      <c r="AH2620" s="918" t="s">
        <v>122</v>
      </c>
      <c r="AI2620" s="918">
        <v>45170</v>
      </c>
      <c r="AJ2620" s="2963">
        <f>AG2620</f>
        <v>60000</v>
      </c>
      <c r="AK2620" s="2963">
        <v>45168</v>
      </c>
      <c r="AL2620" s="2963">
        <v>60000</v>
      </c>
      <c r="AM2620" s="2963">
        <v>45170</v>
      </c>
      <c r="AN2620" s="2960">
        <f>SUBTOTAL(9,BO2620:CB2620)</f>
        <v>60000</v>
      </c>
      <c r="AO2620" s="2963">
        <v>45245</v>
      </c>
      <c r="AP2620" s="2963"/>
      <c r="AQ2620" s="5634"/>
      <c r="AR2620" s="2963"/>
      <c r="AS2620" s="5666"/>
      <c r="AT2620" s="2963"/>
      <c r="AU2620" s="5634"/>
      <c r="AV2620" s="5634"/>
      <c r="AW2620" s="5634"/>
      <c r="AX2620" s="5634"/>
      <c r="AY2620" s="5634"/>
      <c r="AZ2620" s="5634"/>
      <c r="BA2620" s="5634"/>
      <c r="BB2620" s="5634"/>
      <c r="BC2620" s="2963"/>
      <c r="BD2620" s="5703"/>
      <c r="BE2620" s="5703"/>
      <c r="BF2620" s="5703"/>
      <c r="BG2620" s="5703"/>
      <c r="BH2620" s="2960"/>
      <c r="BI2620" s="5703"/>
      <c r="BJ2620" s="5703"/>
      <c r="BK2620" s="5703"/>
      <c r="BL2620" s="5703"/>
      <c r="BM2620" s="5703"/>
      <c r="BN2620" s="5703">
        <v>60000</v>
      </c>
      <c r="BO2620" s="5634"/>
      <c r="BP2620" s="5634"/>
      <c r="BQ2620" s="5634"/>
      <c r="BR2620" s="5634"/>
      <c r="BS2620" s="5634"/>
      <c r="BT2620" s="5634"/>
      <c r="BU2620" s="5634"/>
      <c r="BV2620" s="5634"/>
      <c r="BW2620" s="5634"/>
      <c r="BX2620" s="5634"/>
      <c r="BY2620" s="5634"/>
      <c r="BZ2620" s="5634"/>
      <c r="CA2620" s="5634"/>
      <c r="CB2620" s="5703">
        <v>60000</v>
      </c>
      <c r="CC2620" s="2963"/>
      <c r="CD2620" s="2963"/>
      <c r="CE2620" s="6876"/>
      <c r="CF2620" s="6876"/>
      <c r="CG2620" s="6876"/>
      <c r="CH2620" s="6876"/>
    </row>
    <row r="2621" s="4999" customFormat="1" ht="61" spans="1:86">
      <c r="A2621" s="2963"/>
      <c r="B2621" s="4439"/>
      <c r="C2621" s="3448"/>
      <c r="D2621" s="4671"/>
      <c r="E2621" s="4671"/>
      <c r="F2621" s="4671"/>
      <c r="G2621" s="4671"/>
      <c r="H2621" s="5555"/>
      <c r="I2621" s="5555"/>
      <c r="J2621" s="5555"/>
      <c r="K2621" s="3383"/>
      <c r="L2621" s="3383"/>
      <c r="M2621" s="7162"/>
      <c r="N2621" s="3383"/>
      <c r="O2621" s="3383"/>
      <c r="P2621" s="3383"/>
      <c r="Q2621" s="3383"/>
      <c r="R2621" s="3383"/>
      <c r="S2621" s="3383"/>
      <c r="T2621" s="3383"/>
      <c r="U2621" s="3383"/>
      <c r="V2621" s="3383"/>
      <c r="W2621" s="3383"/>
      <c r="X2621" s="3383"/>
      <c r="Y2621" s="3383"/>
      <c r="Z2621" s="3383"/>
      <c r="AA2621" s="3383"/>
      <c r="AB2621" s="3383"/>
      <c r="AC2621" s="2963">
        <v>3</v>
      </c>
      <c r="AD2621" s="7183" t="s">
        <v>4368</v>
      </c>
      <c r="AE2621" s="7186">
        <v>0.5</v>
      </c>
      <c r="AF2621" s="2963">
        <f>200000*AE2621</f>
        <v>100000</v>
      </c>
      <c r="AG2621" s="6991">
        <f>SUM(BA2621:BN2621)</f>
        <v>100000</v>
      </c>
      <c r="AH2621" s="5606" t="s">
        <v>122</v>
      </c>
      <c r="AI2621" s="6991">
        <v>45653</v>
      </c>
      <c r="AJ2621" s="2963"/>
      <c r="AK2621" s="2963"/>
      <c r="AL2621" s="2963"/>
      <c r="AM2621" s="2963"/>
      <c r="AN2621" s="5624">
        <f>SUBTOTAL(9,BO2621:CB2621)</f>
        <v>100000</v>
      </c>
      <c r="AO2621" s="5624"/>
      <c r="AP2621" s="2963"/>
      <c r="AQ2621" s="5634"/>
      <c r="AR2621" s="2963"/>
      <c r="AS2621" s="5666"/>
      <c r="AT2621" s="2963"/>
      <c r="AU2621" s="5634"/>
      <c r="AV2621" s="5634"/>
      <c r="AW2621" s="5634"/>
      <c r="AX2621" s="5634"/>
      <c r="AY2621" s="5634"/>
      <c r="AZ2621" s="5634"/>
      <c r="BA2621" s="5634"/>
      <c r="BB2621" s="5634"/>
      <c r="BC2621" s="2963"/>
      <c r="BD2621" s="5634"/>
      <c r="BE2621" s="5634"/>
      <c r="BF2621" s="5634"/>
      <c r="BG2621" s="5634"/>
      <c r="BH2621" s="2963"/>
      <c r="BI2621" s="5634"/>
      <c r="BJ2621" s="5634"/>
      <c r="BK2621" s="5634"/>
      <c r="BL2621" s="5634"/>
      <c r="BM2621" s="5634"/>
      <c r="BN2621" s="7201">
        <v>100000</v>
      </c>
      <c r="BO2621" s="5634"/>
      <c r="BP2621" s="5634"/>
      <c r="BQ2621" s="5634"/>
      <c r="BR2621" s="5634"/>
      <c r="BS2621" s="5634"/>
      <c r="BT2621" s="5634"/>
      <c r="BU2621" s="5634"/>
      <c r="BV2621" s="5634"/>
      <c r="BW2621" s="5634"/>
      <c r="BX2621" s="5634"/>
      <c r="BY2621" s="5634"/>
      <c r="BZ2621" s="5634"/>
      <c r="CA2621" s="5634"/>
      <c r="CB2621" s="7201">
        <v>100000</v>
      </c>
      <c r="CC2621" s="2963"/>
      <c r="CD2621" s="2963"/>
      <c r="CE2621" s="5169">
        <f>SUBTOTAL(9,BO2621:CB2621)</f>
        <v>100000</v>
      </c>
      <c r="CF2621" s="5169">
        <f>AN2621-CE2621</f>
        <v>0</v>
      </c>
      <c r="CG2621" s="6876"/>
      <c r="CH2621" s="6876"/>
    </row>
    <row r="2622" s="4994" customFormat="1" ht="31" spans="1:86">
      <c r="A2622" s="6803"/>
      <c r="B2622" s="4676" t="s">
        <v>2570</v>
      </c>
      <c r="C2622" s="5479">
        <v>44844</v>
      </c>
      <c r="D2622" s="5465" t="s">
        <v>4369</v>
      </c>
      <c r="E2622" s="5465" t="s">
        <v>4370</v>
      </c>
      <c r="F2622" s="5465" t="s">
        <v>4371</v>
      </c>
      <c r="G2622" s="5465" t="s">
        <v>4372</v>
      </c>
      <c r="H2622" s="5465" t="s">
        <v>4373</v>
      </c>
      <c r="I2622" s="5435"/>
      <c r="J2622" s="5465" t="s">
        <v>4169</v>
      </c>
      <c r="K2622" s="436">
        <v>121099</v>
      </c>
      <c r="L2622" s="436"/>
      <c r="M2622" s="4676">
        <v>16307902.4</v>
      </c>
      <c r="N2622" s="6803"/>
      <c r="O2622" s="6803"/>
      <c r="P2622" s="6803">
        <v>316819.85</v>
      </c>
      <c r="Q2622" s="6803">
        <v>1193402.43</v>
      </c>
      <c r="R2622" s="6803"/>
      <c r="S2622" s="6803"/>
      <c r="T2622" s="6803"/>
      <c r="U2622" s="6803">
        <v>668305.65</v>
      </c>
      <c r="V2622" s="6803">
        <v>1755935.5</v>
      </c>
      <c r="W2622" s="6803"/>
      <c r="X2622" s="6803"/>
      <c r="Y2622" s="6803"/>
      <c r="Z2622" s="6803"/>
      <c r="AA2622" s="6803">
        <v>12373438.97</v>
      </c>
      <c r="AB2622" s="6796" t="s">
        <v>126</v>
      </c>
      <c r="AC2622" s="2134">
        <v>1</v>
      </c>
      <c r="AD2622" s="5465" t="s">
        <v>2943</v>
      </c>
      <c r="AE2622" s="2134">
        <v>0.1</v>
      </c>
      <c r="AF2622" s="5177">
        <f>16307902.4*AE2622</f>
        <v>1630790.24</v>
      </c>
      <c r="AG2622" s="5479">
        <f>SUBTOTAL(9,BA2622:BN2625)</f>
        <v>13046321.92</v>
      </c>
      <c r="AH2622" s="4676" t="s">
        <v>122</v>
      </c>
      <c r="AI2622" s="5177">
        <v>44835</v>
      </c>
      <c r="AJ2622" s="5479">
        <v>13046321.92</v>
      </c>
      <c r="AK2622" s="5177">
        <v>44835</v>
      </c>
      <c r="AL2622" s="5177">
        <v>13046321.92</v>
      </c>
      <c r="AM2622" s="5177">
        <v>44860</v>
      </c>
      <c r="AN2622" s="5479">
        <f>SUM(BO2622:CB2625)</f>
        <v>11306000</v>
      </c>
      <c r="AO2622" s="5177">
        <v>44865</v>
      </c>
      <c r="AP2622" s="5177">
        <f>AG2622-AN2622-AN2626</f>
        <v>-1.86264514923096e-9</v>
      </c>
      <c r="AQ2622" s="5178"/>
      <c r="AR2622" s="5177"/>
      <c r="AS2622" s="5179"/>
      <c r="AT2622" s="5177"/>
      <c r="AU2622" s="7192"/>
      <c r="AV2622" s="7192"/>
      <c r="AW2622" s="7192"/>
      <c r="AX2622" s="7192"/>
      <c r="AY2622" s="7192"/>
      <c r="AZ2622" s="7192"/>
      <c r="BA2622" s="7196"/>
      <c r="BB2622" s="7196"/>
      <c r="BC2622" s="5479">
        <v>285137.86</v>
      </c>
      <c r="BD2622" s="5479">
        <v>1074062.19</v>
      </c>
      <c r="BE2622" s="5499"/>
      <c r="BF2622" s="5499"/>
      <c r="BG2622" s="5499"/>
      <c r="BH2622" s="5479">
        <v>631749.84</v>
      </c>
      <c r="BI2622" s="5479">
        <v>1229154.91</v>
      </c>
      <c r="BJ2622" s="5499"/>
      <c r="BK2622" s="5499"/>
      <c r="BL2622" s="5499"/>
      <c r="BM2622" s="5499"/>
      <c r="BN2622" s="5479">
        <v>9826217.12</v>
      </c>
      <c r="BO2622" s="5178"/>
      <c r="BP2622" s="5178"/>
      <c r="BQ2622" s="5177">
        <v>285137.86</v>
      </c>
      <c r="BR2622" s="5177">
        <v>1074062.19</v>
      </c>
      <c r="BS2622" s="5178"/>
      <c r="BT2622" s="5178"/>
      <c r="BU2622" s="5178"/>
      <c r="BV2622" s="5177">
        <v>631749.84</v>
      </c>
      <c r="BW2622" s="5177">
        <v>1229154.91</v>
      </c>
      <c r="BX2622" s="5178"/>
      <c r="BY2622" s="5178"/>
      <c r="BZ2622" s="5178"/>
      <c r="CA2622" s="5178"/>
      <c r="CB2622" s="5177">
        <v>8085895.2</v>
      </c>
      <c r="CC2622" s="5177"/>
      <c r="CD2622" s="5177"/>
      <c r="CE2622" s="6811"/>
      <c r="CF2622" s="6811"/>
      <c r="CG2622" s="6811"/>
      <c r="CH2622" s="6811"/>
    </row>
    <row r="2623" s="4994" customFormat="1" ht="31" spans="1:86">
      <c r="A2623" s="6803"/>
      <c r="B2623" s="4676"/>
      <c r="C2623" s="5479"/>
      <c r="D2623" s="5465"/>
      <c r="E2623" s="5465"/>
      <c r="F2623" s="5465"/>
      <c r="G2623" s="5465"/>
      <c r="H2623" s="5179"/>
      <c r="I2623" s="443"/>
      <c r="J2623" s="5179"/>
      <c r="K2623" s="436"/>
      <c r="L2623" s="436"/>
      <c r="M2623" s="4676"/>
      <c r="N2623" s="6803"/>
      <c r="O2623" s="6803"/>
      <c r="P2623" s="6803"/>
      <c r="Q2623" s="6803"/>
      <c r="R2623" s="6803"/>
      <c r="S2623" s="6803"/>
      <c r="T2623" s="6803"/>
      <c r="U2623" s="6803"/>
      <c r="V2623" s="6803"/>
      <c r="W2623" s="6803"/>
      <c r="X2623" s="6803"/>
      <c r="Y2623" s="6803"/>
      <c r="Z2623" s="6803"/>
      <c r="AA2623" s="6803"/>
      <c r="AB2623" s="6796"/>
      <c r="AC2623" s="5465">
        <v>2</v>
      </c>
      <c r="AD2623" s="5465" t="s">
        <v>2944</v>
      </c>
      <c r="AE2623" s="2134">
        <v>0.4</v>
      </c>
      <c r="AF2623" s="5177">
        <f>16307902.4*AE2623</f>
        <v>6523160.96</v>
      </c>
      <c r="AG2623" s="5479"/>
      <c r="AH2623" s="4676"/>
      <c r="AI2623" s="5177"/>
      <c r="AJ2623" s="5479"/>
      <c r="AK2623" s="5177"/>
      <c r="AL2623" s="5177"/>
      <c r="AM2623" s="5177"/>
      <c r="AN2623" s="5479"/>
      <c r="AO2623" s="5177"/>
      <c r="AP2623" s="5177"/>
      <c r="AQ2623" s="5178"/>
      <c r="AR2623" s="5177"/>
      <c r="AS2623" s="5179"/>
      <c r="AT2623" s="5177"/>
      <c r="AU2623" s="7192"/>
      <c r="AV2623" s="7192"/>
      <c r="AW2623" s="7192"/>
      <c r="AX2623" s="7192"/>
      <c r="AY2623" s="7192"/>
      <c r="AZ2623" s="7192"/>
      <c r="BA2623" s="7196"/>
      <c r="BB2623" s="7196"/>
      <c r="BC2623" s="5479"/>
      <c r="BD2623" s="5479"/>
      <c r="BE2623" s="5499"/>
      <c r="BF2623" s="5499"/>
      <c r="BG2623" s="5499"/>
      <c r="BH2623" s="5479"/>
      <c r="BI2623" s="5479"/>
      <c r="BJ2623" s="5499"/>
      <c r="BK2623" s="5499"/>
      <c r="BL2623" s="5499"/>
      <c r="BM2623" s="5499"/>
      <c r="BN2623" s="5479"/>
      <c r="BO2623" s="5178"/>
      <c r="BP2623" s="5178"/>
      <c r="BQ2623" s="5177"/>
      <c r="BR2623" s="5177"/>
      <c r="BS2623" s="5178"/>
      <c r="BT2623" s="5178"/>
      <c r="BU2623" s="5178"/>
      <c r="BV2623" s="5177"/>
      <c r="BW2623" s="5177"/>
      <c r="BX2623" s="5178"/>
      <c r="BY2623" s="5178"/>
      <c r="BZ2623" s="5178"/>
      <c r="CA2623" s="5178"/>
      <c r="CB2623" s="5177"/>
      <c r="CC2623" s="5177"/>
      <c r="CD2623" s="5177"/>
      <c r="CE2623" s="6811"/>
      <c r="CF2623" s="6811"/>
      <c r="CG2623" s="6811"/>
      <c r="CH2623" s="6811"/>
    </row>
    <row r="2624" s="4994" customFormat="1" ht="46" spans="1:86">
      <c r="A2624" s="6803"/>
      <c r="B2624" s="4676"/>
      <c r="C2624" s="5479"/>
      <c r="D2624" s="5465"/>
      <c r="E2624" s="5465"/>
      <c r="F2624" s="5465"/>
      <c r="G2624" s="5465"/>
      <c r="H2624" s="5179"/>
      <c r="I2624" s="443"/>
      <c r="J2624" s="5179"/>
      <c r="K2624" s="436"/>
      <c r="L2624" s="436"/>
      <c r="M2624" s="4676"/>
      <c r="N2624" s="6803"/>
      <c r="O2624" s="6803"/>
      <c r="P2624" s="6803"/>
      <c r="Q2624" s="6803"/>
      <c r="R2624" s="6803"/>
      <c r="S2624" s="6803"/>
      <c r="T2624" s="6803"/>
      <c r="U2624" s="6803"/>
      <c r="V2624" s="6803"/>
      <c r="W2624" s="6803"/>
      <c r="X2624" s="6803"/>
      <c r="Y2624" s="6803"/>
      <c r="Z2624" s="6803"/>
      <c r="AA2624" s="6803"/>
      <c r="AB2624" s="6796"/>
      <c r="AC2624" s="5465">
        <v>3</v>
      </c>
      <c r="AD2624" s="5465" t="s">
        <v>2945</v>
      </c>
      <c r="AE2624" s="2134">
        <v>0.15</v>
      </c>
      <c r="AF2624" s="5177">
        <f>16307902.4*AE2624</f>
        <v>2446185.36</v>
      </c>
      <c r="AG2624" s="5479"/>
      <c r="AH2624" s="4676"/>
      <c r="AI2624" s="5177"/>
      <c r="AJ2624" s="5479"/>
      <c r="AK2624" s="5177"/>
      <c r="AL2624" s="5177"/>
      <c r="AM2624" s="5177"/>
      <c r="AN2624" s="5479"/>
      <c r="AO2624" s="5177"/>
      <c r="AP2624" s="5177"/>
      <c r="AQ2624" s="5178"/>
      <c r="AR2624" s="5177"/>
      <c r="AS2624" s="5179"/>
      <c r="AT2624" s="5177"/>
      <c r="AU2624" s="7192"/>
      <c r="AV2624" s="7192"/>
      <c r="AW2624" s="7192"/>
      <c r="AX2624" s="7192"/>
      <c r="AY2624" s="7192"/>
      <c r="AZ2624" s="7192"/>
      <c r="BA2624" s="7196"/>
      <c r="BB2624" s="7196"/>
      <c r="BC2624" s="5479"/>
      <c r="BD2624" s="5479"/>
      <c r="BE2624" s="5499"/>
      <c r="BF2624" s="5499"/>
      <c r="BG2624" s="5499"/>
      <c r="BH2624" s="5479"/>
      <c r="BI2624" s="5479"/>
      <c r="BJ2624" s="5499"/>
      <c r="BK2624" s="5499"/>
      <c r="BL2624" s="5499"/>
      <c r="BM2624" s="5499"/>
      <c r="BN2624" s="5479"/>
      <c r="BO2624" s="5178"/>
      <c r="BP2624" s="5178"/>
      <c r="BQ2624" s="5177"/>
      <c r="BR2624" s="5177"/>
      <c r="BS2624" s="5178"/>
      <c r="BT2624" s="5178"/>
      <c r="BU2624" s="5178"/>
      <c r="BV2624" s="5177"/>
      <c r="BW2624" s="5177"/>
      <c r="BX2624" s="5178"/>
      <c r="BY2624" s="5178"/>
      <c r="BZ2624" s="5178"/>
      <c r="CA2624" s="5178"/>
      <c r="CB2624" s="5177"/>
      <c r="CC2624" s="5177"/>
      <c r="CD2624" s="5177"/>
      <c r="CE2624" s="6811"/>
      <c r="CF2624" s="6811"/>
      <c r="CG2624" s="6811"/>
      <c r="CH2624" s="6811"/>
    </row>
    <row r="2625" s="4994" customFormat="1" spans="1:86">
      <c r="A2625" s="6803"/>
      <c r="B2625" s="4676"/>
      <c r="C2625" s="5479"/>
      <c r="D2625" s="5465"/>
      <c r="E2625" s="5465"/>
      <c r="F2625" s="5465"/>
      <c r="G2625" s="5465"/>
      <c r="H2625" s="5179"/>
      <c r="I2625" s="443"/>
      <c r="J2625" s="5179"/>
      <c r="K2625" s="436"/>
      <c r="L2625" s="436"/>
      <c r="M2625" s="4676"/>
      <c r="N2625" s="6803"/>
      <c r="O2625" s="6803"/>
      <c r="P2625" s="6803"/>
      <c r="Q2625" s="6803"/>
      <c r="R2625" s="6803"/>
      <c r="S2625" s="6803"/>
      <c r="T2625" s="6803"/>
      <c r="U2625" s="6803"/>
      <c r="V2625" s="6803"/>
      <c r="W2625" s="6803"/>
      <c r="X2625" s="6803"/>
      <c r="Y2625" s="6803"/>
      <c r="Z2625" s="6803"/>
      <c r="AA2625" s="6803"/>
      <c r="AB2625" s="6796"/>
      <c r="AC2625" s="2134">
        <v>4</v>
      </c>
      <c r="AD2625" s="5465" t="s">
        <v>2947</v>
      </c>
      <c r="AE2625" s="2134">
        <v>0.15</v>
      </c>
      <c r="AF2625" s="5177">
        <f>16307902.4*AE2625</f>
        <v>2446185.36</v>
      </c>
      <c r="AG2625" s="5479"/>
      <c r="AH2625" s="4676"/>
      <c r="AI2625" s="5177"/>
      <c r="AJ2625" s="5479"/>
      <c r="AK2625" s="5177"/>
      <c r="AL2625" s="5177"/>
      <c r="AM2625" s="5177"/>
      <c r="AN2625" s="5479"/>
      <c r="AO2625" s="5177"/>
      <c r="AP2625" s="5177"/>
      <c r="AQ2625" s="5178"/>
      <c r="AR2625" s="5177"/>
      <c r="AS2625" s="5179"/>
      <c r="AT2625" s="5177"/>
      <c r="AU2625" s="7192"/>
      <c r="AV2625" s="7192"/>
      <c r="AW2625" s="7192"/>
      <c r="AX2625" s="7192"/>
      <c r="AY2625" s="7192"/>
      <c r="AZ2625" s="7192"/>
      <c r="BA2625" s="7196"/>
      <c r="BB2625" s="7196"/>
      <c r="BC2625" s="5479"/>
      <c r="BD2625" s="5479"/>
      <c r="BE2625" s="5499"/>
      <c r="BF2625" s="5499"/>
      <c r="BG2625" s="5499"/>
      <c r="BH2625" s="5479"/>
      <c r="BI2625" s="5479"/>
      <c r="BJ2625" s="5499"/>
      <c r="BK2625" s="5499"/>
      <c r="BL2625" s="5499"/>
      <c r="BM2625" s="5499"/>
      <c r="BN2625" s="5479"/>
      <c r="BO2625" s="5178"/>
      <c r="BP2625" s="5178"/>
      <c r="BQ2625" s="5177"/>
      <c r="BR2625" s="5177"/>
      <c r="BS2625" s="5178"/>
      <c r="BT2625" s="5178"/>
      <c r="BU2625" s="5178"/>
      <c r="BV2625" s="5177"/>
      <c r="BW2625" s="5177"/>
      <c r="BX2625" s="5178"/>
      <c r="BY2625" s="5178"/>
      <c r="BZ2625" s="5178"/>
      <c r="CA2625" s="5178"/>
      <c r="CB2625" s="5177"/>
      <c r="CC2625" s="5177"/>
      <c r="CD2625" s="5177"/>
      <c r="CE2625" s="6811"/>
      <c r="CF2625" s="6811"/>
      <c r="CG2625" s="6811"/>
      <c r="CH2625" s="6811"/>
    </row>
    <row r="2626" s="4994" customFormat="1" spans="1:86">
      <c r="A2626" s="6803"/>
      <c r="B2626" s="4676"/>
      <c r="C2626" s="5479"/>
      <c r="D2626" s="5465"/>
      <c r="E2626" s="5465"/>
      <c r="F2626" s="5465"/>
      <c r="G2626" s="5465"/>
      <c r="H2626" s="5179"/>
      <c r="I2626" s="443"/>
      <c r="J2626" s="5179"/>
      <c r="K2626" s="436"/>
      <c r="L2626" s="436"/>
      <c r="M2626" s="4676"/>
      <c r="N2626" s="6803"/>
      <c r="O2626" s="6803"/>
      <c r="P2626" s="6803"/>
      <c r="Q2626" s="6803"/>
      <c r="R2626" s="6803"/>
      <c r="S2626" s="6803"/>
      <c r="T2626" s="6803"/>
      <c r="U2626" s="6803"/>
      <c r="V2626" s="6803"/>
      <c r="W2626" s="6803"/>
      <c r="X2626" s="6803"/>
      <c r="Y2626" s="6803"/>
      <c r="Z2626" s="6803"/>
      <c r="AA2626" s="6803"/>
      <c r="AB2626" s="6796"/>
      <c r="AC2626" s="2134"/>
      <c r="AD2626" s="5465"/>
      <c r="AE2626" s="2134"/>
      <c r="AF2626" s="5177"/>
      <c r="AG2626" s="5479"/>
      <c r="AH2626" s="4676"/>
      <c r="AI2626" s="5177"/>
      <c r="AJ2626" s="5479"/>
      <c r="AK2626" s="5177"/>
      <c r="AL2626" s="5177"/>
      <c r="AM2626" s="5177"/>
      <c r="AN2626" s="5479">
        <f>SUBTOTAL(9,BO2626:CB2626)</f>
        <v>1740321.92</v>
      </c>
      <c r="AO2626" s="5479">
        <v>45279</v>
      </c>
      <c r="AP2626" s="5177"/>
      <c r="AQ2626" s="5178"/>
      <c r="AR2626" s="5177"/>
      <c r="AS2626" s="5179"/>
      <c r="AT2626" s="5177"/>
      <c r="AU2626" s="7192"/>
      <c r="AV2626" s="7192"/>
      <c r="AW2626" s="7192"/>
      <c r="AX2626" s="7192"/>
      <c r="AY2626" s="7192"/>
      <c r="AZ2626" s="7192"/>
      <c r="BA2626" s="7196"/>
      <c r="BB2626" s="7196"/>
      <c r="BC2626" s="5477"/>
      <c r="BD2626" s="5477"/>
      <c r="BE2626" s="7196"/>
      <c r="BF2626" s="7196"/>
      <c r="BG2626" s="7196"/>
      <c r="BH2626" s="5477"/>
      <c r="BI2626" s="5477"/>
      <c r="BJ2626" s="7196"/>
      <c r="BK2626" s="7196"/>
      <c r="BL2626" s="7196"/>
      <c r="BM2626" s="7196"/>
      <c r="BN2626" s="5477"/>
      <c r="BO2626" s="5178"/>
      <c r="BP2626" s="5178"/>
      <c r="BQ2626" s="5177"/>
      <c r="BR2626" s="5177"/>
      <c r="BS2626" s="5178"/>
      <c r="BT2626" s="5178"/>
      <c r="BU2626" s="5178"/>
      <c r="BV2626" s="5177"/>
      <c r="BW2626" s="5177"/>
      <c r="BX2626" s="5178"/>
      <c r="BY2626" s="5178"/>
      <c r="BZ2626" s="5178"/>
      <c r="CA2626" s="5178"/>
      <c r="CB2626" s="5479">
        <f>BN2622-CB2622</f>
        <v>1740321.92</v>
      </c>
      <c r="CC2626" s="5177"/>
      <c r="CD2626" s="5177"/>
      <c r="CE2626" s="6811"/>
      <c r="CF2626" s="6811"/>
      <c r="CG2626" s="6811"/>
      <c r="CH2626" s="6811"/>
    </row>
    <row r="2627" s="4994" customFormat="1" ht="31" spans="1:86">
      <c r="A2627" s="6803"/>
      <c r="B2627" s="4676"/>
      <c r="C2627" s="5479"/>
      <c r="D2627" s="5465"/>
      <c r="E2627" s="5465"/>
      <c r="F2627" s="5465"/>
      <c r="G2627" s="5465"/>
      <c r="H2627" s="5179"/>
      <c r="I2627" s="443"/>
      <c r="J2627" s="5179"/>
      <c r="K2627" s="436"/>
      <c r="L2627" s="436"/>
      <c r="M2627" s="4676"/>
      <c r="N2627" s="6803"/>
      <c r="O2627" s="6803"/>
      <c r="P2627" s="6803"/>
      <c r="Q2627" s="6803"/>
      <c r="R2627" s="6803"/>
      <c r="S2627" s="6803"/>
      <c r="T2627" s="6803"/>
      <c r="U2627" s="6803"/>
      <c r="V2627" s="6803"/>
      <c r="W2627" s="6803"/>
      <c r="X2627" s="6803"/>
      <c r="Y2627" s="6803"/>
      <c r="Z2627" s="6803"/>
      <c r="AA2627" s="6803"/>
      <c r="AB2627" s="6796"/>
      <c r="AC2627" s="2134">
        <v>5</v>
      </c>
      <c r="AD2627" s="5465" t="s">
        <v>2948</v>
      </c>
      <c r="AE2627" s="2134">
        <v>0.1</v>
      </c>
      <c r="AF2627" s="5177">
        <f>16307902.4*AE2627</f>
        <v>1630790.24</v>
      </c>
      <c r="AG2627" s="5479">
        <f>SUBTOTAL(9,BA2627:BN2627)</f>
        <v>1630790.24</v>
      </c>
      <c r="AH2627" s="4676" t="s">
        <v>122</v>
      </c>
      <c r="AI2627" s="5479">
        <v>45250</v>
      </c>
      <c r="AJ2627" s="5177">
        <v>1630790.24</v>
      </c>
      <c r="AK2627" s="5479">
        <v>45250</v>
      </c>
      <c r="AL2627" s="5177">
        <v>1630790.24</v>
      </c>
      <c r="AM2627" s="5479">
        <v>45250</v>
      </c>
      <c r="AN2627" s="5479">
        <f>SUBTOTAL(9,BO2627:CB2627)</f>
        <v>1630790.24</v>
      </c>
      <c r="AO2627" s="4676">
        <v>45457</v>
      </c>
      <c r="AP2627" s="5177"/>
      <c r="AQ2627" s="5178"/>
      <c r="AR2627" s="5177"/>
      <c r="AS2627" s="5179"/>
      <c r="AT2627" s="5177"/>
      <c r="AU2627" s="7192"/>
      <c r="AV2627" s="7192"/>
      <c r="AW2627" s="7192"/>
      <c r="AX2627" s="7192"/>
      <c r="AY2627" s="7192"/>
      <c r="AZ2627" s="7192"/>
      <c r="BA2627" s="5178"/>
      <c r="BB2627" s="5178"/>
      <c r="BC2627" s="5177"/>
      <c r="BD2627" s="5178"/>
      <c r="BE2627" s="5178"/>
      <c r="BF2627" s="5178"/>
      <c r="BG2627" s="5178"/>
      <c r="BH2627" s="5177"/>
      <c r="BI2627" s="5499">
        <f>34900</f>
        <v>34900</v>
      </c>
      <c r="BJ2627" s="5178"/>
      <c r="BK2627" s="5178"/>
      <c r="BL2627" s="5178"/>
      <c r="BM2627" s="5178"/>
      <c r="BN2627" s="5499">
        <f>1630790.24-BI2627</f>
        <v>1595890.24</v>
      </c>
      <c r="BO2627" s="5178"/>
      <c r="BP2627" s="5178"/>
      <c r="BQ2627" s="5178"/>
      <c r="BR2627" s="5178"/>
      <c r="BS2627" s="5178"/>
      <c r="BT2627" s="5178"/>
      <c r="BU2627" s="5178"/>
      <c r="BV2627" s="5178"/>
      <c r="BW2627" s="5499">
        <v>34900</v>
      </c>
      <c r="BX2627" s="5499"/>
      <c r="BY2627" s="5499"/>
      <c r="BZ2627" s="5499"/>
      <c r="CA2627" s="5499"/>
      <c r="CB2627" s="5499">
        <f>1630790.24-BW2627</f>
        <v>1595890.24</v>
      </c>
      <c r="CC2627" s="5177"/>
      <c r="CD2627" s="5177"/>
      <c r="CE2627" s="6811"/>
      <c r="CF2627" s="6811"/>
      <c r="CG2627" s="6811"/>
      <c r="CH2627" s="6811"/>
    </row>
    <row r="2628" s="4994" customFormat="1" ht="46" spans="1:86">
      <c r="A2628" s="6803"/>
      <c r="B2628" s="4676"/>
      <c r="C2628" s="5479"/>
      <c r="D2628" s="5465"/>
      <c r="E2628" s="5465"/>
      <c r="F2628" s="5465"/>
      <c r="G2628" s="5465"/>
      <c r="H2628" s="5179"/>
      <c r="I2628" s="443"/>
      <c r="J2628" s="5179"/>
      <c r="K2628" s="436"/>
      <c r="L2628" s="436"/>
      <c r="M2628" s="4676"/>
      <c r="N2628" s="6803"/>
      <c r="O2628" s="6803"/>
      <c r="P2628" s="6803"/>
      <c r="Q2628" s="6803"/>
      <c r="R2628" s="6803"/>
      <c r="S2628" s="6803"/>
      <c r="T2628" s="6803"/>
      <c r="U2628" s="6803"/>
      <c r="V2628" s="6803"/>
      <c r="W2628" s="6803"/>
      <c r="X2628" s="6803"/>
      <c r="Y2628" s="6803"/>
      <c r="Z2628" s="6803"/>
      <c r="AA2628" s="6803"/>
      <c r="AB2628" s="6796"/>
      <c r="AC2628" s="2092">
        <v>6</v>
      </c>
      <c r="AD2628" s="5435" t="s">
        <v>2949</v>
      </c>
      <c r="AE2628" s="2092">
        <v>0.1</v>
      </c>
      <c r="AF2628" s="3375">
        <f>16307902.4*AE2628</f>
        <v>1630790.24</v>
      </c>
      <c r="AG2628" s="5479">
        <f>SUM(BA2628:BN2628)</f>
        <v>1630790.242</v>
      </c>
      <c r="AH2628" s="4676" t="s">
        <v>122</v>
      </c>
      <c r="AI2628" s="5479">
        <v>45418</v>
      </c>
      <c r="AJ2628" s="5479">
        <f>SUM(BD2628:BQ2628)</f>
        <v>1630790.242</v>
      </c>
      <c r="AK2628" s="5479">
        <v>45418</v>
      </c>
      <c r="AL2628" s="5479">
        <f>SUM(BF2628:BS2628)</f>
        <v>1630790.242</v>
      </c>
      <c r="AM2628" s="5479">
        <v>45420</v>
      </c>
      <c r="AN2628" s="5964">
        <f>SUBTOTAL(9,BO2628:CB2628)</f>
        <v>1630790.242</v>
      </c>
      <c r="AO2628" s="5479">
        <v>45988</v>
      </c>
      <c r="AP2628" s="5177"/>
      <c r="AQ2628" s="5178"/>
      <c r="AR2628" s="7252" t="s">
        <v>4374</v>
      </c>
      <c r="AS2628" s="5179"/>
      <c r="AT2628" s="5177"/>
      <c r="AU2628" s="7192"/>
      <c r="AV2628" s="7192"/>
      <c r="AW2628" s="7192"/>
      <c r="AX2628" s="7192"/>
      <c r="AY2628" s="7192"/>
      <c r="AZ2628" s="7192"/>
      <c r="BA2628" s="5499"/>
      <c r="BB2628" s="5499"/>
      <c r="BC2628" s="4676">
        <v>1586.39</v>
      </c>
      <c r="BD2628" s="7262">
        <v>28333.05</v>
      </c>
      <c r="BE2628" s="5499"/>
      <c r="BF2628" s="5499"/>
      <c r="BG2628" s="5499"/>
      <c r="BH2628" s="5477">
        <f>12109.9+1491.21</f>
        <v>13601.11</v>
      </c>
      <c r="BI2628" s="5499">
        <v>175593.55</v>
      </c>
      <c r="BJ2628" s="5499"/>
      <c r="BK2628" s="5499"/>
      <c r="BL2628" s="5499"/>
      <c r="BM2628" s="5499"/>
      <c r="BN2628" s="5499">
        <f>15717760.12*0.1-BI2628-BH2628-BD2628-BC2628+59014.23</f>
        <v>1411676.142</v>
      </c>
      <c r="BO2628" s="5178"/>
      <c r="BP2628" s="5178"/>
      <c r="BQ2628" s="4676">
        <v>1586.39</v>
      </c>
      <c r="BR2628" s="7262">
        <v>28333.05</v>
      </c>
      <c r="BS2628" s="5499"/>
      <c r="BT2628" s="5499"/>
      <c r="BU2628" s="5499"/>
      <c r="BV2628" s="5479">
        <f>12109.9+1491.21</f>
        <v>13601.11</v>
      </c>
      <c r="BW2628" s="5499">
        <v>175593.55</v>
      </c>
      <c r="BX2628" s="5499"/>
      <c r="BY2628" s="5499"/>
      <c r="BZ2628" s="5499"/>
      <c r="CA2628" s="5499"/>
      <c r="CB2628" s="5499">
        <f>15717760.12*0.1-BW2628-BV2628-BR2628-BQ2628+59014.23</f>
        <v>1411676.142</v>
      </c>
      <c r="CC2628" s="5177"/>
      <c r="CD2628" s="5177"/>
      <c r="CE2628" s="5169">
        <f>SUBTOTAL(9,BO2628:CB2628)</f>
        <v>1630790.242</v>
      </c>
      <c r="CF2628" s="5169">
        <f>AN2628-CE2628</f>
        <v>0</v>
      </c>
      <c r="CG2628" s="6811"/>
      <c r="CH2628" s="6811"/>
    </row>
    <row r="2629" s="4994" customFormat="1" spans="1:86">
      <c r="A2629" s="6803"/>
      <c r="B2629" s="4676"/>
      <c r="C2629" s="5479"/>
      <c r="D2629" s="5465"/>
      <c r="E2629" s="5465"/>
      <c r="F2629" s="5465"/>
      <c r="G2629" s="5465"/>
      <c r="H2629" s="5179"/>
      <c r="I2629" s="7208"/>
      <c r="J2629" s="5179"/>
      <c r="K2629" s="436"/>
      <c r="L2629" s="436"/>
      <c r="M2629" s="4676"/>
      <c r="N2629" s="6803"/>
      <c r="O2629" s="6803"/>
      <c r="P2629" s="6803"/>
      <c r="Q2629" s="6803"/>
      <c r="R2629" s="6803"/>
      <c r="S2629" s="6803"/>
      <c r="T2629" s="6803"/>
      <c r="U2629" s="6803"/>
      <c r="V2629" s="6803"/>
      <c r="W2629" s="6803"/>
      <c r="X2629" s="6803"/>
      <c r="Y2629" s="6803"/>
      <c r="Z2629" s="6803"/>
      <c r="AA2629" s="6803"/>
      <c r="AB2629" s="6796"/>
      <c r="AC2629" s="2093"/>
      <c r="AD2629" s="7208"/>
      <c r="AE2629" s="2093"/>
      <c r="AF2629" s="7234"/>
      <c r="AG2629" s="5479">
        <f t="shared" ref="AG2629:AL2629" si="548">SUM(BA2629:BN2629)</f>
        <v>-869466.76</v>
      </c>
      <c r="AH2629" s="4676" t="s">
        <v>122</v>
      </c>
      <c r="AI2629" s="5177">
        <v>45945</v>
      </c>
      <c r="AJ2629" s="5479">
        <f t="shared" si="548"/>
        <v>-869466.76</v>
      </c>
      <c r="AK2629" s="5177">
        <v>45945</v>
      </c>
      <c r="AL2629" s="5479">
        <f t="shared" si="548"/>
        <v>-869466.76</v>
      </c>
      <c r="AM2629" s="5177">
        <v>45945</v>
      </c>
      <c r="AN2629" s="5964">
        <f>SUBTOTAL(9,BO2629:CB2629)</f>
        <v>-869466.76</v>
      </c>
      <c r="AO2629" s="5479">
        <v>45988</v>
      </c>
      <c r="AP2629" s="6811"/>
      <c r="AQ2629" s="6811"/>
      <c r="AR2629" s="6811"/>
      <c r="AS2629" s="6811"/>
      <c r="AT2629" s="6811"/>
      <c r="AU2629" s="6811"/>
      <c r="AV2629" s="6811"/>
      <c r="AW2629" s="6811"/>
      <c r="AX2629" s="6811"/>
      <c r="AY2629" s="6811"/>
      <c r="AZ2629" s="6811"/>
      <c r="BA2629" s="6811"/>
      <c r="BB2629" s="6811"/>
      <c r="BC2629" s="6811"/>
      <c r="BD2629" s="6811"/>
      <c r="BE2629" s="6811"/>
      <c r="BF2629" s="6811"/>
      <c r="BG2629" s="6811"/>
      <c r="BH2629" s="6811"/>
      <c r="BI2629" s="6811"/>
      <c r="BJ2629" s="6811"/>
      <c r="BK2629" s="6811"/>
      <c r="BL2629" s="6811"/>
      <c r="BM2629" s="6811"/>
      <c r="BN2629" s="6811">
        <v>-869466.76</v>
      </c>
      <c r="BO2629" s="6811"/>
      <c r="BP2629" s="6811"/>
      <c r="BQ2629" s="6811"/>
      <c r="BR2629" s="6811"/>
      <c r="BS2629" s="6811"/>
      <c r="BT2629" s="6811"/>
      <c r="BU2629" s="6811"/>
      <c r="BV2629" s="6811"/>
      <c r="BW2629" s="6811"/>
      <c r="BX2629" s="6811"/>
      <c r="BY2629" s="6811"/>
      <c r="BZ2629" s="6811"/>
      <c r="CA2629" s="6811"/>
      <c r="CB2629" s="6811">
        <v>-869466.76</v>
      </c>
      <c r="CC2629" s="6811"/>
      <c r="CD2629" s="6811"/>
      <c r="CE2629" s="6811"/>
      <c r="CF2629" s="6811"/>
      <c r="CG2629" s="6811"/>
      <c r="CH2629" s="6811"/>
    </row>
    <row r="2630" s="5017" customFormat="1" ht="31" spans="1:86">
      <c r="A2630" s="4048"/>
      <c r="B2630" s="5482" t="s">
        <v>2570</v>
      </c>
      <c r="C2630" s="5200">
        <v>44844</v>
      </c>
      <c r="D2630" s="5440" t="s">
        <v>4375</v>
      </c>
      <c r="E2630" s="5440" t="s">
        <v>4376</v>
      </c>
      <c r="F2630" s="5440" t="s">
        <v>4377</v>
      </c>
      <c r="G2630" s="5440" t="s">
        <v>4378</v>
      </c>
      <c r="H2630" s="5440" t="s">
        <v>4379</v>
      </c>
      <c r="I2630" s="7209"/>
      <c r="J2630" s="7210" t="s">
        <v>4164</v>
      </c>
      <c r="K2630" s="5482">
        <v>146010</v>
      </c>
      <c r="L2630" s="7180"/>
      <c r="M2630" s="5482">
        <v>18664509.1</v>
      </c>
      <c r="N2630" s="4048"/>
      <c r="O2630" s="4048"/>
      <c r="P2630" s="4048">
        <v>2753748.6</v>
      </c>
      <c r="Q2630" s="4048"/>
      <c r="R2630" s="4048"/>
      <c r="S2630" s="4048"/>
      <c r="T2630" s="4048"/>
      <c r="U2630" s="4048">
        <v>867299.4</v>
      </c>
      <c r="V2630" s="4048">
        <v>2117145</v>
      </c>
      <c r="W2630" s="4048"/>
      <c r="X2630" s="4048"/>
      <c r="Y2630" s="7226">
        <v>1410114.1</v>
      </c>
      <c r="Z2630" s="4048"/>
      <c r="AA2630" s="4048">
        <v>11516202</v>
      </c>
      <c r="AB2630" s="5482" t="s">
        <v>126</v>
      </c>
      <c r="AC2630" s="7169">
        <v>1</v>
      </c>
      <c r="AD2630" s="5440" t="s">
        <v>2943</v>
      </c>
      <c r="AE2630" s="7169">
        <v>0.1</v>
      </c>
      <c r="AF2630" s="5482">
        <f>18664509.1*AE2630</f>
        <v>1866450.91</v>
      </c>
      <c r="AG2630" s="5200">
        <f>SUM(BA2630:BN2633)</f>
        <v>14931607.28</v>
      </c>
      <c r="AH2630" s="5482" t="s">
        <v>122</v>
      </c>
      <c r="AI2630" s="4048">
        <v>44835</v>
      </c>
      <c r="AJ2630" s="4048">
        <v>14931607.28</v>
      </c>
      <c r="AK2630" s="4048">
        <v>44835</v>
      </c>
      <c r="AL2630" s="4048">
        <v>14931607.28</v>
      </c>
      <c r="AM2630" s="4048">
        <v>44860</v>
      </c>
      <c r="AN2630" s="5200">
        <f>SUM(BO2630:CB2633)</f>
        <v>13272000</v>
      </c>
      <c r="AO2630" s="4048">
        <v>44865</v>
      </c>
      <c r="AP2630" s="4048">
        <f>AG2630-AN2630</f>
        <v>1659607.28</v>
      </c>
      <c r="AQ2630" s="5487"/>
      <c r="AR2630" s="4048"/>
      <c r="AS2630" s="5661"/>
      <c r="AT2630" s="4048"/>
      <c r="AU2630" s="5487"/>
      <c r="AV2630" s="5487"/>
      <c r="AW2630" s="5487"/>
      <c r="AX2630" s="5487"/>
      <c r="AY2630" s="5487"/>
      <c r="AZ2630" s="5487"/>
      <c r="BA2630" s="5521"/>
      <c r="BB2630" s="5521"/>
      <c r="BC2630" s="5200">
        <v>2478373.74</v>
      </c>
      <c r="BD2630" s="5500"/>
      <c r="BE2630" s="5500"/>
      <c r="BF2630" s="5500"/>
      <c r="BG2630" s="5200"/>
      <c r="BH2630" s="5200">
        <v>817071.96</v>
      </c>
      <c r="BI2630" s="5200">
        <v>1482001.5</v>
      </c>
      <c r="BJ2630" s="5500"/>
      <c r="BK2630" s="5500"/>
      <c r="BL2630" s="5500"/>
      <c r="BM2630" s="5500"/>
      <c r="BN2630" s="5200">
        <v>9449103.03</v>
      </c>
      <c r="BO2630" s="5487"/>
      <c r="BP2630" s="5487"/>
      <c r="BQ2630" s="4048">
        <v>2478373.74</v>
      </c>
      <c r="BR2630" s="4048"/>
      <c r="BS2630" s="5487"/>
      <c r="BT2630" s="5487"/>
      <c r="BU2630" s="5487"/>
      <c r="BV2630" s="4048">
        <v>817071.96</v>
      </c>
      <c r="BW2630" s="4048">
        <v>1482001.5</v>
      </c>
      <c r="BX2630" s="5487"/>
      <c r="BY2630" s="5487"/>
      <c r="BZ2630" s="4048">
        <v>705057.05</v>
      </c>
      <c r="CA2630" s="4048"/>
      <c r="CB2630" s="4048">
        <v>7789495.75</v>
      </c>
      <c r="CC2630" s="4048"/>
      <c r="CD2630" s="4048"/>
      <c r="CE2630" s="7272"/>
      <c r="CF2630" s="7272"/>
      <c r="CG2630" s="7272"/>
      <c r="CH2630" s="7272"/>
    </row>
    <row r="2631" s="5017" customFormat="1" ht="31" spans="1:86">
      <c r="A2631" s="4048"/>
      <c r="B2631" s="5482"/>
      <c r="C2631" s="5200"/>
      <c r="D2631" s="5440"/>
      <c r="E2631" s="5440"/>
      <c r="F2631" s="5440"/>
      <c r="G2631" s="5440"/>
      <c r="H2631" s="5661"/>
      <c r="I2631" s="5674"/>
      <c r="J2631" s="7210"/>
      <c r="K2631" s="5482"/>
      <c r="L2631" s="7180"/>
      <c r="M2631" s="5482"/>
      <c r="N2631" s="4048"/>
      <c r="O2631" s="4048"/>
      <c r="P2631" s="4048"/>
      <c r="Q2631" s="4048"/>
      <c r="R2631" s="4048"/>
      <c r="S2631" s="4048"/>
      <c r="T2631" s="4048"/>
      <c r="U2631" s="4048"/>
      <c r="V2631" s="4048"/>
      <c r="W2631" s="4048"/>
      <c r="X2631" s="4048"/>
      <c r="Y2631" s="7227"/>
      <c r="Z2631" s="4048"/>
      <c r="AA2631" s="4048"/>
      <c r="AB2631" s="4048"/>
      <c r="AC2631" s="5440">
        <v>2</v>
      </c>
      <c r="AD2631" s="5440" t="s">
        <v>2944</v>
      </c>
      <c r="AE2631" s="7169">
        <v>0.4</v>
      </c>
      <c r="AF2631" s="5482">
        <f>18664509.1*AE2631</f>
        <v>7465803.64</v>
      </c>
      <c r="AG2631" s="5200"/>
      <c r="AH2631" s="5482"/>
      <c r="AI2631" s="4048"/>
      <c r="AJ2631" s="4048"/>
      <c r="AK2631" s="4048"/>
      <c r="AL2631" s="4048"/>
      <c r="AM2631" s="4048"/>
      <c r="AN2631" s="5200"/>
      <c r="AO2631" s="4048"/>
      <c r="AP2631" s="4048"/>
      <c r="AQ2631" s="5487"/>
      <c r="AR2631" s="4048"/>
      <c r="AS2631" s="5661"/>
      <c r="AT2631" s="4048"/>
      <c r="AU2631" s="5487"/>
      <c r="AV2631" s="5487"/>
      <c r="AW2631" s="5487"/>
      <c r="AX2631" s="5487"/>
      <c r="AY2631" s="5487"/>
      <c r="AZ2631" s="5487"/>
      <c r="BA2631" s="5521"/>
      <c r="BB2631" s="5521"/>
      <c r="BC2631" s="5200"/>
      <c r="BD2631" s="5500"/>
      <c r="BE2631" s="5500"/>
      <c r="BF2631" s="5500"/>
      <c r="BG2631" s="5200"/>
      <c r="BH2631" s="5200"/>
      <c r="BI2631" s="5200"/>
      <c r="BJ2631" s="5500"/>
      <c r="BK2631" s="5500"/>
      <c r="BL2631" s="5500"/>
      <c r="BM2631" s="5500"/>
      <c r="BN2631" s="5200"/>
      <c r="BO2631" s="5487"/>
      <c r="BP2631" s="5487"/>
      <c r="BQ2631" s="4048"/>
      <c r="BR2631" s="4048"/>
      <c r="BS2631" s="5487"/>
      <c r="BT2631" s="5487"/>
      <c r="BU2631" s="5487"/>
      <c r="BV2631" s="4048"/>
      <c r="BW2631" s="4048"/>
      <c r="BX2631" s="5487"/>
      <c r="BY2631" s="5487"/>
      <c r="BZ2631" s="4048"/>
      <c r="CA2631" s="4048"/>
      <c r="CB2631" s="4048"/>
      <c r="CC2631" s="4048"/>
      <c r="CD2631" s="4048"/>
      <c r="CE2631" s="7272"/>
      <c r="CF2631" s="7272"/>
      <c r="CG2631" s="7272"/>
      <c r="CH2631" s="7272"/>
    </row>
    <row r="2632" s="5017" customFormat="1" ht="46" spans="1:86">
      <c r="A2632" s="4048"/>
      <c r="B2632" s="5482"/>
      <c r="C2632" s="5200"/>
      <c r="D2632" s="5440"/>
      <c r="E2632" s="5440"/>
      <c r="F2632" s="5440"/>
      <c r="G2632" s="5440"/>
      <c r="H2632" s="5661"/>
      <c r="I2632" s="5674"/>
      <c r="J2632" s="7210"/>
      <c r="K2632" s="5482"/>
      <c r="L2632" s="7180"/>
      <c r="M2632" s="5482"/>
      <c r="N2632" s="4048"/>
      <c r="O2632" s="4048"/>
      <c r="P2632" s="4048"/>
      <c r="Q2632" s="4048"/>
      <c r="R2632" s="4048"/>
      <c r="S2632" s="4048"/>
      <c r="T2632" s="4048"/>
      <c r="U2632" s="4048"/>
      <c r="V2632" s="4048"/>
      <c r="W2632" s="4048"/>
      <c r="X2632" s="4048"/>
      <c r="Y2632" s="7227"/>
      <c r="Z2632" s="4048"/>
      <c r="AA2632" s="4048"/>
      <c r="AB2632" s="4048"/>
      <c r="AC2632" s="5440">
        <v>3</v>
      </c>
      <c r="AD2632" s="5440" t="s">
        <v>2945</v>
      </c>
      <c r="AE2632" s="7169">
        <v>0.15</v>
      </c>
      <c r="AF2632" s="5482">
        <f>18664509.1*AE2632</f>
        <v>2799676.365</v>
      </c>
      <c r="AG2632" s="5200"/>
      <c r="AH2632" s="5482"/>
      <c r="AI2632" s="4048"/>
      <c r="AJ2632" s="4048"/>
      <c r="AK2632" s="4048"/>
      <c r="AL2632" s="4048"/>
      <c r="AM2632" s="4048"/>
      <c r="AN2632" s="5200"/>
      <c r="AO2632" s="4048"/>
      <c r="AP2632" s="4048"/>
      <c r="AQ2632" s="5487"/>
      <c r="AR2632" s="4048"/>
      <c r="AS2632" s="5661"/>
      <c r="AT2632" s="4048"/>
      <c r="AU2632" s="5487"/>
      <c r="AV2632" s="5487"/>
      <c r="AW2632" s="5487"/>
      <c r="AX2632" s="5487"/>
      <c r="AY2632" s="5487"/>
      <c r="AZ2632" s="5487"/>
      <c r="BA2632" s="5521"/>
      <c r="BB2632" s="5521"/>
      <c r="BC2632" s="5200"/>
      <c r="BD2632" s="5500"/>
      <c r="BE2632" s="5500"/>
      <c r="BF2632" s="5500"/>
      <c r="BG2632" s="5200"/>
      <c r="BH2632" s="5200"/>
      <c r="BI2632" s="5200"/>
      <c r="BJ2632" s="5500"/>
      <c r="BK2632" s="5500"/>
      <c r="BL2632" s="5500">
        <v>705057.05</v>
      </c>
      <c r="BM2632" s="5500"/>
      <c r="BN2632" s="5200"/>
      <c r="BO2632" s="5487"/>
      <c r="BP2632" s="5487"/>
      <c r="BQ2632" s="4048"/>
      <c r="BR2632" s="4048"/>
      <c r="BS2632" s="5487"/>
      <c r="BT2632" s="5487"/>
      <c r="BU2632" s="5487"/>
      <c r="BV2632" s="4048"/>
      <c r="BW2632" s="4048"/>
      <c r="BX2632" s="5487"/>
      <c r="BY2632" s="5487"/>
      <c r="BZ2632" s="4048"/>
      <c r="CA2632" s="4048"/>
      <c r="CB2632" s="4048"/>
      <c r="CC2632" s="4048"/>
      <c r="CD2632" s="4048"/>
      <c r="CE2632" s="7272"/>
      <c r="CF2632" s="7272"/>
      <c r="CG2632" s="7272"/>
      <c r="CH2632" s="7272"/>
    </row>
    <row r="2633" s="5017" customFormat="1" ht="33" customHeight="1" spans="1:86">
      <c r="A2633" s="4048"/>
      <c r="B2633" s="5482"/>
      <c r="C2633" s="5200"/>
      <c r="D2633" s="5440"/>
      <c r="E2633" s="5440"/>
      <c r="F2633" s="5440"/>
      <c r="G2633" s="5440"/>
      <c r="H2633" s="5661"/>
      <c r="I2633" s="5674"/>
      <c r="J2633" s="7210"/>
      <c r="K2633" s="5482"/>
      <c r="L2633" s="7180"/>
      <c r="M2633" s="5482"/>
      <c r="N2633" s="4048"/>
      <c r="O2633" s="4048"/>
      <c r="P2633" s="4048"/>
      <c r="Q2633" s="4048"/>
      <c r="R2633" s="4048"/>
      <c r="S2633" s="4048"/>
      <c r="T2633" s="4048"/>
      <c r="U2633" s="4048"/>
      <c r="V2633" s="4048"/>
      <c r="W2633" s="4048"/>
      <c r="X2633" s="4048"/>
      <c r="Y2633" s="7227"/>
      <c r="Z2633" s="4048"/>
      <c r="AA2633" s="4048"/>
      <c r="AB2633" s="4048"/>
      <c r="AC2633" s="7169">
        <v>4</v>
      </c>
      <c r="AD2633" s="5440" t="s">
        <v>2947</v>
      </c>
      <c r="AE2633" s="7169">
        <v>0.15</v>
      </c>
      <c r="AF2633" s="5482">
        <f>18664509.1*AE2633</f>
        <v>2799676.365</v>
      </c>
      <c r="AG2633" s="5200"/>
      <c r="AH2633" s="5482"/>
      <c r="AI2633" s="4048"/>
      <c r="AJ2633" s="4048"/>
      <c r="AK2633" s="4048"/>
      <c r="AL2633" s="4048"/>
      <c r="AM2633" s="4048"/>
      <c r="AN2633" s="5200"/>
      <c r="AO2633" s="4048"/>
      <c r="AP2633" s="4048"/>
      <c r="AQ2633" s="5487"/>
      <c r="AR2633" s="4048"/>
      <c r="AS2633" s="5661"/>
      <c r="AT2633" s="4048"/>
      <c r="AU2633" s="5487"/>
      <c r="AV2633" s="5487"/>
      <c r="AW2633" s="5487"/>
      <c r="AX2633" s="5487"/>
      <c r="AY2633" s="5487"/>
      <c r="AZ2633" s="5487"/>
      <c r="BA2633" s="5521"/>
      <c r="BB2633" s="5521"/>
      <c r="BC2633" s="5200"/>
      <c r="BD2633" s="5500"/>
      <c r="BE2633" s="5500"/>
      <c r="BF2633" s="5500"/>
      <c r="BG2633" s="5200"/>
      <c r="BH2633" s="5200"/>
      <c r="BI2633" s="5200"/>
      <c r="BJ2633" s="5500"/>
      <c r="BK2633" s="5500"/>
      <c r="BL2633" s="5500"/>
      <c r="BM2633" s="5500"/>
      <c r="BN2633" s="5200"/>
      <c r="BO2633" s="5487"/>
      <c r="BP2633" s="5487"/>
      <c r="BQ2633" s="4048"/>
      <c r="BR2633" s="4048"/>
      <c r="BS2633" s="5487"/>
      <c r="BT2633" s="5487"/>
      <c r="BU2633" s="5487"/>
      <c r="BV2633" s="4048"/>
      <c r="BW2633" s="4048"/>
      <c r="BX2633" s="5487"/>
      <c r="BY2633" s="5487"/>
      <c r="BZ2633" s="4048"/>
      <c r="CA2633" s="4048"/>
      <c r="CB2633" s="4048"/>
      <c r="CC2633" s="4048"/>
      <c r="CD2633" s="4048"/>
      <c r="CE2633" s="7272"/>
      <c r="CF2633" s="7272"/>
      <c r="CG2633" s="7272"/>
      <c r="CH2633" s="7272"/>
    </row>
    <row r="2634" s="5017" customFormat="1" spans="1:86">
      <c r="A2634" s="4048"/>
      <c r="B2634" s="5482"/>
      <c r="C2634" s="5200"/>
      <c r="D2634" s="5440"/>
      <c r="E2634" s="5440"/>
      <c r="F2634" s="5440"/>
      <c r="G2634" s="5440"/>
      <c r="H2634" s="5661"/>
      <c r="I2634" s="5674"/>
      <c r="J2634" s="7210"/>
      <c r="K2634" s="5482"/>
      <c r="L2634" s="7180"/>
      <c r="M2634" s="5482"/>
      <c r="N2634" s="4048"/>
      <c r="O2634" s="4048"/>
      <c r="P2634" s="4048"/>
      <c r="Q2634" s="4048"/>
      <c r="R2634" s="4048"/>
      <c r="S2634" s="4048"/>
      <c r="T2634" s="4048"/>
      <c r="U2634" s="4048"/>
      <c r="V2634" s="4048"/>
      <c r="W2634" s="4048"/>
      <c r="X2634" s="4048"/>
      <c r="Y2634" s="7227"/>
      <c r="Z2634" s="4048"/>
      <c r="AA2634" s="4048"/>
      <c r="AB2634" s="4048"/>
      <c r="AC2634" s="7169"/>
      <c r="AD2634" s="5440"/>
      <c r="AE2634" s="7169"/>
      <c r="AF2634" s="5482"/>
      <c r="AG2634" s="5200"/>
      <c r="AH2634" s="5482"/>
      <c r="AI2634" s="4048"/>
      <c r="AJ2634" s="4048"/>
      <c r="AK2634" s="4048"/>
      <c r="AL2634" s="4048"/>
      <c r="AM2634" s="4048"/>
      <c r="AN2634" s="5200">
        <f>SUBTOTAL(9,BO2634:CB2634)</f>
        <v>1659607.28</v>
      </c>
      <c r="AO2634" s="5200">
        <v>45225</v>
      </c>
      <c r="AP2634" s="4048"/>
      <c r="AQ2634" s="5487"/>
      <c r="AR2634" s="4048"/>
      <c r="AS2634" s="5661"/>
      <c r="AT2634" s="4048"/>
      <c r="AU2634" s="5487"/>
      <c r="AV2634" s="5487"/>
      <c r="AW2634" s="5487"/>
      <c r="AX2634" s="5487"/>
      <c r="AY2634" s="5487"/>
      <c r="AZ2634" s="5487"/>
      <c r="BA2634" s="5521"/>
      <c r="BB2634" s="5521"/>
      <c r="BC2634" s="7263"/>
      <c r="BD2634" s="5521"/>
      <c r="BE2634" s="5521"/>
      <c r="BF2634" s="5521"/>
      <c r="BG2634" s="7263"/>
      <c r="BH2634" s="7263"/>
      <c r="BI2634" s="7263"/>
      <c r="BJ2634" s="5521"/>
      <c r="BK2634" s="5521"/>
      <c r="BL2634" s="5521"/>
      <c r="BM2634" s="5521"/>
      <c r="BN2634" s="7263"/>
      <c r="BO2634" s="5487"/>
      <c r="BP2634" s="5487"/>
      <c r="BQ2634" s="4048"/>
      <c r="BR2634" s="4048"/>
      <c r="BS2634" s="5487"/>
      <c r="BT2634" s="5487"/>
      <c r="BU2634" s="5487"/>
      <c r="BV2634" s="4048"/>
      <c r="BW2634" s="4048"/>
      <c r="BX2634" s="5487"/>
      <c r="BY2634" s="5487"/>
      <c r="BZ2634" s="4048"/>
      <c r="CA2634" s="4048"/>
      <c r="CB2634" s="5200">
        <f>BN2630-CB2630</f>
        <v>1659607.28</v>
      </c>
      <c r="CC2634" s="4048"/>
      <c r="CD2634" s="4048"/>
      <c r="CE2634" s="7272"/>
      <c r="CF2634" s="7272"/>
      <c r="CG2634" s="7272"/>
      <c r="CH2634" s="7272"/>
    </row>
    <row r="2635" s="5017" customFormat="1" ht="31" spans="1:86">
      <c r="A2635" s="4048"/>
      <c r="B2635" s="5482"/>
      <c r="C2635" s="5200"/>
      <c r="D2635" s="5440"/>
      <c r="E2635" s="5440"/>
      <c r="F2635" s="5440"/>
      <c r="G2635" s="5440"/>
      <c r="H2635" s="5661"/>
      <c r="I2635" s="5674"/>
      <c r="J2635" s="7210"/>
      <c r="K2635" s="5482"/>
      <c r="L2635" s="7180"/>
      <c r="M2635" s="5482"/>
      <c r="N2635" s="4048"/>
      <c r="O2635" s="4048"/>
      <c r="P2635" s="4048"/>
      <c r="Q2635" s="4048"/>
      <c r="R2635" s="4048"/>
      <c r="S2635" s="4048"/>
      <c r="T2635" s="4048"/>
      <c r="U2635" s="4048"/>
      <c r="V2635" s="4048"/>
      <c r="W2635" s="4048"/>
      <c r="X2635" s="4048"/>
      <c r="Y2635" s="7227"/>
      <c r="Z2635" s="4048"/>
      <c r="AA2635" s="4048"/>
      <c r="AB2635" s="4048"/>
      <c r="AC2635" s="7169">
        <v>5</v>
      </c>
      <c r="AD2635" s="5440" t="s">
        <v>2948</v>
      </c>
      <c r="AE2635" s="7169">
        <v>0.1</v>
      </c>
      <c r="AF2635" s="5482">
        <f>18664509.1*AE2635</f>
        <v>1866450.91</v>
      </c>
      <c r="AG2635" s="5999">
        <f>SUBTOTAL(9,BA2635:BN2635)</f>
        <v>1866450.91</v>
      </c>
      <c r="AH2635" s="5482" t="s">
        <v>122</v>
      </c>
      <c r="AI2635" s="5482">
        <v>45255</v>
      </c>
      <c r="AJ2635" s="4048">
        <v>1866450.91</v>
      </c>
      <c r="AK2635" s="5482">
        <v>45255</v>
      </c>
      <c r="AL2635" s="4048">
        <v>1866450.91</v>
      </c>
      <c r="AM2635" s="4048">
        <v>45257</v>
      </c>
      <c r="AN2635" s="5200">
        <f>SUBTOTAL(9,BO2635:CB2635)</f>
        <v>1866450.91</v>
      </c>
      <c r="AO2635" s="5200">
        <v>45317</v>
      </c>
      <c r="AP2635" s="4048"/>
      <c r="AQ2635" s="5487"/>
      <c r="AR2635" s="4048"/>
      <c r="AS2635" s="5661"/>
      <c r="AT2635" s="4048"/>
      <c r="AU2635" s="5487"/>
      <c r="AV2635" s="5487"/>
      <c r="AW2635" s="5487"/>
      <c r="AX2635" s="5487"/>
      <c r="AY2635" s="5487"/>
      <c r="AZ2635" s="5487"/>
      <c r="BA2635" s="5487"/>
      <c r="BB2635" s="5487"/>
      <c r="BC2635" s="4048"/>
      <c r="BD2635" s="5487"/>
      <c r="BE2635" s="5487"/>
      <c r="BF2635" s="5487"/>
      <c r="BG2635" s="5487"/>
      <c r="BH2635" s="4048"/>
      <c r="BI2635" s="5500">
        <v>211900</v>
      </c>
      <c r="BJ2635" s="5500"/>
      <c r="BK2635" s="5500"/>
      <c r="BL2635" s="5500"/>
      <c r="BM2635" s="5500"/>
      <c r="BN2635" s="5500">
        <f>AF2635-BI2635</f>
        <v>1654550.91</v>
      </c>
      <c r="BO2635" s="5487"/>
      <c r="BP2635" s="5487"/>
      <c r="BQ2635" s="5487"/>
      <c r="BR2635" s="5487"/>
      <c r="BS2635" s="5487"/>
      <c r="BT2635" s="5487"/>
      <c r="BU2635" s="5487"/>
      <c r="BV2635" s="5487"/>
      <c r="BW2635" s="5500">
        <v>211900</v>
      </c>
      <c r="BX2635" s="5500"/>
      <c r="BY2635" s="5500"/>
      <c r="BZ2635" s="5500"/>
      <c r="CA2635" s="5500"/>
      <c r="CB2635" s="5500">
        <f>1866450.91-BW2635</f>
        <v>1654550.91</v>
      </c>
      <c r="CC2635" s="4048"/>
      <c r="CD2635" s="4048"/>
      <c r="CE2635" s="7272"/>
      <c r="CF2635" s="7272"/>
      <c r="CG2635" s="7272"/>
      <c r="CH2635" s="7272"/>
    </row>
    <row r="2636" s="5017" customFormat="1" ht="46" spans="1:86">
      <c r="A2636" s="4048"/>
      <c r="B2636" s="5482"/>
      <c r="C2636" s="5200"/>
      <c r="D2636" s="5440"/>
      <c r="E2636" s="5440"/>
      <c r="F2636" s="5440"/>
      <c r="G2636" s="5440"/>
      <c r="H2636" s="5661"/>
      <c r="I2636" s="5503"/>
      <c r="J2636" s="7210"/>
      <c r="K2636" s="5482"/>
      <c r="L2636" s="7180"/>
      <c r="M2636" s="5482"/>
      <c r="N2636" s="4048"/>
      <c r="O2636" s="4048"/>
      <c r="P2636" s="4048"/>
      <c r="Q2636" s="4048"/>
      <c r="R2636" s="4048"/>
      <c r="S2636" s="4048"/>
      <c r="T2636" s="4048"/>
      <c r="U2636" s="4048"/>
      <c r="V2636" s="4048"/>
      <c r="W2636" s="4048"/>
      <c r="X2636" s="4048"/>
      <c r="Y2636" s="7228"/>
      <c r="Z2636" s="4048"/>
      <c r="AA2636" s="4048"/>
      <c r="AB2636" s="4048"/>
      <c r="AC2636" s="7169">
        <v>6</v>
      </c>
      <c r="AD2636" s="5440" t="s">
        <v>2949</v>
      </c>
      <c r="AE2636" s="7169">
        <v>0.1</v>
      </c>
      <c r="AF2636" s="5482">
        <f>18664509.1*AE2636</f>
        <v>1866450.91</v>
      </c>
      <c r="AG2636" s="5200">
        <f>SUM(BA2636:BN2636)</f>
        <v>1866450.913</v>
      </c>
      <c r="AH2636" s="5482" t="s">
        <v>122</v>
      </c>
      <c r="AI2636" s="5482">
        <v>45407</v>
      </c>
      <c r="AJ2636" s="5200">
        <f>SUM(BD2636:BQ2636)</f>
        <v>1728763.483</v>
      </c>
      <c r="AK2636" s="5482">
        <v>45407</v>
      </c>
      <c r="AL2636" s="5200">
        <f>SUM(BF2636:BS2636)</f>
        <v>1728763.483</v>
      </c>
      <c r="AM2636" s="5482">
        <v>45408</v>
      </c>
      <c r="AN2636" s="5200"/>
      <c r="AO2636" s="4048"/>
      <c r="AP2636" s="4048"/>
      <c r="AQ2636" s="5487"/>
      <c r="AR2636" s="7253" t="s">
        <v>4374</v>
      </c>
      <c r="AS2636" s="5661"/>
      <c r="AT2636" s="4048"/>
      <c r="AU2636" s="5487"/>
      <c r="AV2636" s="5487"/>
      <c r="AW2636" s="5487"/>
      <c r="AX2636" s="5487"/>
      <c r="AY2636" s="5487"/>
      <c r="AZ2636" s="5487"/>
      <c r="BA2636" s="5500"/>
      <c r="BB2636" s="5500"/>
      <c r="BC2636" s="5200">
        <v>137687.43</v>
      </c>
      <c r="BD2636" s="5500"/>
      <c r="BE2636" s="5500"/>
      <c r="BF2636" s="5500"/>
      <c r="BG2636" s="5500"/>
      <c r="BH2636" s="7263">
        <f>36502.5+6862.47</f>
        <v>43364.97</v>
      </c>
      <c r="BI2636" s="5500">
        <v>211900</v>
      </c>
      <c r="BJ2636" s="5500"/>
      <c r="BK2636" s="5500"/>
      <c r="BL2636" s="5500">
        <v>82045.73</v>
      </c>
      <c r="BM2636" s="5500"/>
      <c r="BN2636" s="5500">
        <f>18015779.33*0.1-BC2636-BH2636-BI2636-BL2636+64872.98</f>
        <v>1391452.783</v>
      </c>
      <c r="BO2636" s="5487"/>
      <c r="BP2636" s="5487"/>
      <c r="BQ2636" s="5487"/>
      <c r="BR2636" s="5487"/>
      <c r="BS2636" s="5487"/>
      <c r="BT2636" s="5487"/>
      <c r="BU2636" s="5487"/>
      <c r="BV2636" s="5487"/>
      <c r="BW2636" s="5487"/>
      <c r="BX2636" s="5487"/>
      <c r="BY2636" s="5487"/>
      <c r="BZ2636" s="5487"/>
      <c r="CA2636" s="5487"/>
      <c r="CB2636" s="5487"/>
      <c r="CC2636" s="4048"/>
      <c r="CD2636" s="4048"/>
      <c r="CE2636" s="7272"/>
      <c r="CF2636" s="7272"/>
      <c r="CG2636" s="7272"/>
      <c r="CH2636" s="7272"/>
    </row>
    <row r="2637" s="5000" customFormat="1" ht="46" spans="1:86">
      <c r="A2637" s="6444"/>
      <c r="B2637" s="6444" t="s">
        <v>2570</v>
      </c>
      <c r="C2637" s="3066">
        <v>44867</v>
      </c>
      <c r="D2637" s="6388" t="s">
        <v>4380</v>
      </c>
      <c r="E2637" s="6388" t="s">
        <v>4381</v>
      </c>
      <c r="F2637" s="6388" t="s">
        <v>4382</v>
      </c>
      <c r="G2637" s="6388" t="s">
        <v>4383</v>
      </c>
      <c r="H2637" s="6444" t="s">
        <v>4384</v>
      </c>
      <c r="I2637" s="6519"/>
      <c r="J2637" s="6388" t="s">
        <v>4177</v>
      </c>
      <c r="K2637" s="3066">
        <v>138403</v>
      </c>
      <c r="L2637" s="6388" t="s">
        <v>4385</v>
      </c>
      <c r="M2637" s="3066">
        <v>18550000</v>
      </c>
      <c r="N2637" s="3066"/>
      <c r="O2637" s="3066"/>
      <c r="P2637" s="3066">
        <v>300000</v>
      </c>
      <c r="Q2637" s="3066"/>
      <c r="R2637" s="3066"/>
      <c r="S2637" s="3066"/>
      <c r="T2637" s="3066"/>
      <c r="U2637" s="3066"/>
      <c r="V2637" s="3066"/>
      <c r="W2637" s="3066"/>
      <c r="X2637" s="3066"/>
      <c r="Y2637" s="3066"/>
      <c r="Z2637" s="3066"/>
      <c r="AA2637" s="3066">
        <v>18250000</v>
      </c>
      <c r="AB2637" s="6444" t="s">
        <v>126</v>
      </c>
      <c r="AC2637" s="2087">
        <v>1</v>
      </c>
      <c r="AD2637" s="6388" t="s">
        <v>4386</v>
      </c>
      <c r="AE2637" s="2087">
        <v>0.1</v>
      </c>
      <c r="AF2637" s="6444">
        <f t="shared" ref="AF2637:AF2642" si="549">18550000*AE2637</f>
        <v>1855000</v>
      </c>
      <c r="AG2637" s="3065">
        <f>SUM(BA2637:BN2637)</f>
        <v>14840000</v>
      </c>
      <c r="AH2637" s="6444" t="s">
        <v>122</v>
      </c>
      <c r="AI2637" s="3065">
        <v>44908</v>
      </c>
      <c r="AJ2637" s="3066">
        <v>14840000</v>
      </c>
      <c r="AK2637" s="3065">
        <v>44908</v>
      </c>
      <c r="AL2637" s="3065">
        <f>SUM(BF2637:BS2637)</f>
        <v>14840000</v>
      </c>
      <c r="AM2637" s="3065">
        <v>44909</v>
      </c>
      <c r="AN2637" s="3065">
        <f>SUM(BO2637:CB2637)</f>
        <v>14840000</v>
      </c>
      <c r="AO2637" s="3065">
        <v>44944</v>
      </c>
      <c r="AP2637" s="3066"/>
      <c r="AQ2637" s="6424"/>
      <c r="AR2637" s="3066"/>
      <c r="AS2637" s="6522"/>
      <c r="AT2637" s="3066"/>
      <c r="AU2637" s="6424"/>
      <c r="AV2637" s="6424"/>
      <c r="AW2637" s="6424"/>
      <c r="AX2637" s="6424"/>
      <c r="AY2637" s="6424"/>
      <c r="AZ2637" s="6424"/>
      <c r="BA2637" s="6556"/>
      <c r="BB2637" s="6556"/>
      <c r="BC2637" s="3065">
        <v>300000</v>
      </c>
      <c r="BD2637" s="6556"/>
      <c r="BE2637" s="6556"/>
      <c r="BF2637" s="6556"/>
      <c r="BG2637" s="6556"/>
      <c r="BH2637" s="3065"/>
      <c r="BI2637" s="6556"/>
      <c r="BJ2637" s="6556"/>
      <c r="BK2637" s="6556"/>
      <c r="BL2637" s="6556"/>
      <c r="BM2637" s="6556"/>
      <c r="BN2637" s="6444">
        <v>14540000</v>
      </c>
      <c r="BO2637" s="6424"/>
      <c r="BP2637" s="6424"/>
      <c r="BQ2637" s="3065">
        <v>300000</v>
      </c>
      <c r="BR2637" s="6424"/>
      <c r="BS2637" s="6424"/>
      <c r="BT2637" s="6424"/>
      <c r="BU2637" s="6424"/>
      <c r="BV2637" s="3066"/>
      <c r="BW2637" s="6424"/>
      <c r="BX2637" s="6424"/>
      <c r="BY2637" s="6424"/>
      <c r="BZ2637" s="6424"/>
      <c r="CA2637" s="6424"/>
      <c r="CB2637" s="6444">
        <v>14540000</v>
      </c>
      <c r="CC2637" s="3066"/>
      <c r="CD2637" s="3066"/>
      <c r="CE2637" s="7020"/>
      <c r="CF2637" s="7020"/>
      <c r="CG2637" s="7020"/>
      <c r="CH2637" s="7020"/>
    </row>
    <row r="2638" s="5000" customFormat="1" ht="46" spans="1:86">
      <c r="A2638" s="6444"/>
      <c r="B2638" s="6444"/>
      <c r="C2638" s="3066"/>
      <c r="D2638" s="6522"/>
      <c r="E2638" s="6522"/>
      <c r="F2638" s="6522"/>
      <c r="G2638" s="6522"/>
      <c r="H2638" s="3066"/>
      <c r="I2638" s="6500"/>
      <c r="J2638" s="6522"/>
      <c r="K2638" s="3066"/>
      <c r="L2638" s="6522"/>
      <c r="M2638" s="3066"/>
      <c r="N2638" s="3066"/>
      <c r="O2638" s="3066"/>
      <c r="P2638" s="3066"/>
      <c r="Q2638" s="3066"/>
      <c r="R2638" s="3066"/>
      <c r="S2638" s="3066"/>
      <c r="T2638" s="3066"/>
      <c r="U2638" s="3066"/>
      <c r="V2638" s="3066"/>
      <c r="W2638" s="3066"/>
      <c r="X2638" s="3066"/>
      <c r="Y2638" s="3066"/>
      <c r="Z2638" s="3066"/>
      <c r="AA2638" s="3066"/>
      <c r="AB2638" s="3066"/>
      <c r="AC2638" s="2087">
        <v>2</v>
      </c>
      <c r="AD2638" s="6388" t="s">
        <v>4387</v>
      </c>
      <c r="AE2638" s="2087">
        <v>0.4</v>
      </c>
      <c r="AF2638" s="6444">
        <f t="shared" si="549"/>
        <v>7420000</v>
      </c>
      <c r="AG2638" s="3065"/>
      <c r="AH2638" s="6444"/>
      <c r="AI2638" s="3065"/>
      <c r="AJ2638" s="3066"/>
      <c r="AK2638" s="3065"/>
      <c r="AL2638" s="3065"/>
      <c r="AM2638" s="3065"/>
      <c r="AN2638" s="3065"/>
      <c r="AO2638" s="3065"/>
      <c r="AP2638" s="3066"/>
      <c r="AQ2638" s="6424"/>
      <c r="AR2638" s="3066"/>
      <c r="AS2638" s="6522"/>
      <c r="AT2638" s="3066"/>
      <c r="AU2638" s="6424"/>
      <c r="AV2638" s="6424"/>
      <c r="AW2638" s="6424"/>
      <c r="AX2638" s="6424"/>
      <c r="AY2638" s="6424"/>
      <c r="AZ2638" s="6424"/>
      <c r="BA2638" s="6556"/>
      <c r="BB2638" s="6556"/>
      <c r="BC2638" s="3065"/>
      <c r="BD2638" s="6556"/>
      <c r="BE2638" s="6556"/>
      <c r="BF2638" s="6556"/>
      <c r="BG2638" s="6556"/>
      <c r="BH2638" s="3065"/>
      <c r="BI2638" s="6556"/>
      <c r="BJ2638" s="6556"/>
      <c r="BK2638" s="6556"/>
      <c r="BL2638" s="6556"/>
      <c r="BM2638" s="6556"/>
      <c r="BN2638" s="6444"/>
      <c r="BO2638" s="6424"/>
      <c r="BP2638" s="6424"/>
      <c r="BQ2638" s="3065"/>
      <c r="BR2638" s="6424"/>
      <c r="BS2638" s="6424"/>
      <c r="BT2638" s="6424"/>
      <c r="BU2638" s="6424"/>
      <c r="BV2638" s="3066"/>
      <c r="BW2638" s="6424"/>
      <c r="BX2638" s="6424"/>
      <c r="BY2638" s="6424"/>
      <c r="BZ2638" s="6424"/>
      <c r="CA2638" s="6424"/>
      <c r="CB2638" s="6444"/>
      <c r="CC2638" s="3066"/>
      <c r="CD2638" s="3066"/>
      <c r="CE2638" s="7020"/>
      <c r="CF2638" s="7020"/>
      <c r="CG2638" s="7020"/>
      <c r="CH2638" s="7020"/>
    </row>
    <row r="2639" s="5000" customFormat="1" ht="46" spans="1:86">
      <c r="A2639" s="6444"/>
      <c r="B2639" s="6444"/>
      <c r="C2639" s="3066"/>
      <c r="D2639" s="6522"/>
      <c r="E2639" s="6522"/>
      <c r="F2639" s="6522"/>
      <c r="G2639" s="6522"/>
      <c r="H2639" s="3066"/>
      <c r="I2639" s="6500"/>
      <c r="J2639" s="6522"/>
      <c r="K2639" s="3066"/>
      <c r="L2639" s="6522"/>
      <c r="M2639" s="3066"/>
      <c r="N2639" s="3066"/>
      <c r="O2639" s="3066"/>
      <c r="P2639" s="3066"/>
      <c r="Q2639" s="3066"/>
      <c r="R2639" s="3066"/>
      <c r="S2639" s="3066"/>
      <c r="T2639" s="3066"/>
      <c r="U2639" s="3066"/>
      <c r="V2639" s="3066"/>
      <c r="W2639" s="3066"/>
      <c r="X2639" s="3066"/>
      <c r="Y2639" s="3066"/>
      <c r="Z2639" s="3066"/>
      <c r="AA2639" s="3066"/>
      <c r="AB2639" s="3066"/>
      <c r="AC2639" s="2087">
        <v>3</v>
      </c>
      <c r="AD2639" s="6388" t="s">
        <v>4388</v>
      </c>
      <c r="AE2639" s="2087">
        <v>0.15</v>
      </c>
      <c r="AF2639" s="6444">
        <f t="shared" si="549"/>
        <v>2782500</v>
      </c>
      <c r="AG2639" s="3065"/>
      <c r="AH2639" s="6444"/>
      <c r="AI2639" s="3065"/>
      <c r="AJ2639" s="3066"/>
      <c r="AK2639" s="3065"/>
      <c r="AL2639" s="3065"/>
      <c r="AM2639" s="3065"/>
      <c r="AN2639" s="3065"/>
      <c r="AO2639" s="3065"/>
      <c r="AP2639" s="3066"/>
      <c r="AQ2639" s="6424"/>
      <c r="AR2639" s="3066"/>
      <c r="AS2639" s="6522"/>
      <c r="AT2639" s="3066"/>
      <c r="AU2639" s="6424"/>
      <c r="AV2639" s="6424"/>
      <c r="AW2639" s="6424"/>
      <c r="AX2639" s="6424"/>
      <c r="AY2639" s="6424"/>
      <c r="AZ2639" s="6424"/>
      <c r="BA2639" s="6556"/>
      <c r="BB2639" s="6556"/>
      <c r="BC2639" s="3065"/>
      <c r="BD2639" s="6556"/>
      <c r="BE2639" s="6556"/>
      <c r="BF2639" s="6556"/>
      <c r="BG2639" s="6556"/>
      <c r="BH2639" s="3065"/>
      <c r="BI2639" s="6556"/>
      <c r="BJ2639" s="6556"/>
      <c r="BK2639" s="6556"/>
      <c r="BL2639" s="6556"/>
      <c r="BM2639" s="6556"/>
      <c r="BN2639" s="6444"/>
      <c r="BO2639" s="6424"/>
      <c r="BP2639" s="6424"/>
      <c r="BQ2639" s="3065"/>
      <c r="BR2639" s="6424"/>
      <c r="BS2639" s="6424"/>
      <c r="BT2639" s="6424"/>
      <c r="BU2639" s="6424"/>
      <c r="BV2639" s="3066"/>
      <c r="BW2639" s="6424"/>
      <c r="BX2639" s="6424"/>
      <c r="BY2639" s="6424"/>
      <c r="BZ2639" s="6424"/>
      <c r="CA2639" s="6424"/>
      <c r="CB2639" s="6444"/>
      <c r="CC2639" s="3066"/>
      <c r="CD2639" s="3066"/>
      <c r="CE2639" s="7020"/>
      <c r="CF2639" s="7020"/>
      <c r="CG2639" s="7020"/>
      <c r="CH2639" s="7020"/>
    </row>
    <row r="2640" s="5000" customFormat="1" ht="61" spans="1:86">
      <c r="A2640" s="6444"/>
      <c r="B2640" s="6444"/>
      <c r="C2640" s="3066"/>
      <c r="D2640" s="6522"/>
      <c r="E2640" s="6522"/>
      <c r="F2640" s="6522"/>
      <c r="G2640" s="6522"/>
      <c r="H2640" s="3066"/>
      <c r="I2640" s="6500"/>
      <c r="J2640" s="6522"/>
      <c r="K2640" s="3066"/>
      <c r="L2640" s="6522"/>
      <c r="M2640" s="3066"/>
      <c r="N2640" s="3066"/>
      <c r="O2640" s="3066"/>
      <c r="P2640" s="3066"/>
      <c r="Q2640" s="3066"/>
      <c r="R2640" s="3066"/>
      <c r="S2640" s="3066"/>
      <c r="T2640" s="3066"/>
      <c r="U2640" s="3066"/>
      <c r="V2640" s="3066"/>
      <c r="W2640" s="3066"/>
      <c r="X2640" s="3066"/>
      <c r="Y2640" s="3066"/>
      <c r="Z2640" s="3066"/>
      <c r="AA2640" s="3066"/>
      <c r="AB2640" s="3066"/>
      <c r="AC2640" s="2087">
        <v>4</v>
      </c>
      <c r="AD2640" s="6388" t="s">
        <v>4389</v>
      </c>
      <c r="AE2640" s="2087">
        <v>0.15</v>
      </c>
      <c r="AF2640" s="6444">
        <f t="shared" si="549"/>
        <v>2782500</v>
      </c>
      <c r="AG2640" s="3065"/>
      <c r="AH2640" s="6444"/>
      <c r="AI2640" s="3065"/>
      <c r="AJ2640" s="3066"/>
      <c r="AK2640" s="3065"/>
      <c r="AL2640" s="3065"/>
      <c r="AM2640" s="3065"/>
      <c r="AN2640" s="3065"/>
      <c r="AO2640" s="3065"/>
      <c r="AP2640" s="3066"/>
      <c r="AQ2640" s="6424"/>
      <c r="AR2640" s="3066"/>
      <c r="AS2640" s="6522"/>
      <c r="AT2640" s="3066"/>
      <c r="AU2640" s="6424"/>
      <c r="AV2640" s="6424"/>
      <c r="AW2640" s="6424"/>
      <c r="AX2640" s="6424"/>
      <c r="AY2640" s="6424"/>
      <c r="AZ2640" s="6424"/>
      <c r="BA2640" s="6556"/>
      <c r="BB2640" s="6556"/>
      <c r="BC2640" s="3065"/>
      <c r="BD2640" s="6556"/>
      <c r="BE2640" s="6556"/>
      <c r="BF2640" s="6556"/>
      <c r="BG2640" s="6556"/>
      <c r="BH2640" s="3065"/>
      <c r="BI2640" s="6556"/>
      <c r="BJ2640" s="6556"/>
      <c r="BK2640" s="6556"/>
      <c r="BL2640" s="6556"/>
      <c r="BM2640" s="6556"/>
      <c r="BN2640" s="6444"/>
      <c r="BO2640" s="6424"/>
      <c r="BP2640" s="6424"/>
      <c r="BQ2640" s="3065"/>
      <c r="BR2640" s="6424"/>
      <c r="BS2640" s="6424"/>
      <c r="BT2640" s="6424"/>
      <c r="BU2640" s="6424"/>
      <c r="BV2640" s="3066"/>
      <c r="BW2640" s="6424"/>
      <c r="BX2640" s="6424"/>
      <c r="BY2640" s="6424"/>
      <c r="BZ2640" s="6424"/>
      <c r="CA2640" s="6424"/>
      <c r="CB2640" s="6444"/>
      <c r="CC2640" s="3066"/>
      <c r="CD2640" s="3066"/>
      <c r="CE2640" s="7020"/>
      <c r="CF2640" s="7020"/>
      <c r="CG2640" s="7020"/>
      <c r="CH2640" s="7020"/>
    </row>
    <row r="2641" s="5000" customFormat="1" ht="31" spans="1:86">
      <c r="A2641" s="6444"/>
      <c r="B2641" s="6444"/>
      <c r="C2641" s="3066"/>
      <c r="D2641" s="6522"/>
      <c r="E2641" s="6522"/>
      <c r="F2641" s="6522"/>
      <c r="G2641" s="6522"/>
      <c r="H2641" s="3066"/>
      <c r="I2641" s="6500"/>
      <c r="J2641" s="6522"/>
      <c r="K2641" s="3066"/>
      <c r="L2641" s="6522"/>
      <c r="M2641" s="3066"/>
      <c r="N2641" s="3066"/>
      <c r="O2641" s="3066"/>
      <c r="P2641" s="3066"/>
      <c r="Q2641" s="3066"/>
      <c r="R2641" s="3066"/>
      <c r="S2641" s="3066"/>
      <c r="T2641" s="3066"/>
      <c r="U2641" s="3066"/>
      <c r="V2641" s="3066"/>
      <c r="W2641" s="3066"/>
      <c r="X2641" s="3066"/>
      <c r="Y2641" s="3066"/>
      <c r="Z2641" s="3066"/>
      <c r="AA2641" s="3066"/>
      <c r="AB2641" s="3066"/>
      <c r="AC2641" s="2087">
        <v>5</v>
      </c>
      <c r="AD2641" s="6388" t="s">
        <v>4390</v>
      </c>
      <c r="AE2641" s="2087">
        <v>0.1</v>
      </c>
      <c r="AF2641" s="6444">
        <f t="shared" si="549"/>
        <v>1855000</v>
      </c>
      <c r="AG2641" s="3065">
        <f>SUBTOTAL(9,BA2641:BN2641)</f>
        <v>1855000</v>
      </c>
      <c r="AH2641" s="6444" t="s">
        <v>122</v>
      </c>
      <c r="AI2641" s="3065">
        <v>45275</v>
      </c>
      <c r="AJ2641" s="3066">
        <v>1855000</v>
      </c>
      <c r="AK2641" s="3065">
        <v>45275</v>
      </c>
      <c r="AL2641" s="4129">
        <v>1789625.8</v>
      </c>
      <c r="AM2641" s="4129">
        <v>45849</v>
      </c>
      <c r="AN2641" s="3065">
        <f>SUBTOTAL(9,BO2641:CD2641)</f>
        <v>1789625.8</v>
      </c>
      <c r="AO2641" s="6444">
        <v>45868</v>
      </c>
      <c r="AP2641" s="3066"/>
      <c r="AQ2641" s="6424"/>
      <c r="AR2641" s="3066"/>
      <c r="AS2641" s="6522"/>
      <c r="AT2641" s="3066"/>
      <c r="AU2641" s="6424"/>
      <c r="AV2641" s="6424"/>
      <c r="AW2641" s="6424"/>
      <c r="AX2641" s="6424"/>
      <c r="AY2641" s="6424"/>
      <c r="AZ2641" s="6424"/>
      <c r="BA2641" s="6424"/>
      <c r="BB2641" s="6424"/>
      <c r="BC2641" s="3066"/>
      <c r="BD2641" s="6424"/>
      <c r="BE2641" s="6424"/>
      <c r="BF2641" s="6424"/>
      <c r="BG2641" s="6424"/>
      <c r="BH2641" s="3066"/>
      <c r="BI2641" s="6424"/>
      <c r="BJ2641" s="6424"/>
      <c r="BK2641" s="6424"/>
      <c r="BL2641" s="6424"/>
      <c r="BM2641" s="6424"/>
      <c r="BN2641" s="3065">
        <v>1855000</v>
      </c>
      <c r="BO2641" s="6424"/>
      <c r="BP2641" s="6424"/>
      <c r="BQ2641" s="6424"/>
      <c r="BR2641" s="6424"/>
      <c r="BS2641" s="6424"/>
      <c r="BT2641" s="6424"/>
      <c r="BU2641" s="6424"/>
      <c r="BV2641" s="6424"/>
      <c r="BW2641" s="6424"/>
      <c r="BX2641" s="6424"/>
      <c r="BY2641" s="6424"/>
      <c r="BZ2641" s="6424"/>
      <c r="CA2641" s="6424"/>
      <c r="CB2641" s="7019">
        <v>1789625.8</v>
      </c>
      <c r="CC2641" s="3066"/>
      <c r="CD2641" s="3066"/>
      <c r="CE2641" s="5169"/>
      <c r="CF2641" s="5169">
        <f>AN2641-CE2641</f>
        <v>1789625.8</v>
      </c>
      <c r="CG2641" s="7020"/>
      <c r="CH2641" s="7020"/>
    </row>
    <row r="2642" s="5000" customFormat="1" ht="32.05" customHeight="1" spans="1:86">
      <c r="A2642" s="6444"/>
      <c r="B2642" s="6444"/>
      <c r="C2642" s="3066"/>
      <c r="D2642" s="6522"/>
      <c r="E2642" s="6522"/>
      <c r="F2642" s="6522"/>
      <c r="G2642" s="6522"/>
      <c r="H2642" s="3066"/>
      <c r="I2642" s="6500"/>
      <c r="J2642" s="6522"/>
      <c r="K2642" s="3066"/>
      <c r="L2642" s="6522"/>
      <c r="M2642" s="3066"/>
      <c r="N2642" s="3066"/>
      <c r="O2642" s="3066"/>
      <c r="P2642" s="3066"/>
      <c r="Q2642" s="3066"/>
      <c r="R2642" s="3066"/>
      <c r="S2642" s="3066"/>
      <c r="T2642" s="3066"/>
      <c r="U2642" s="3066"/>
      <c r="V2642" s="3066"/>
      <c r="W2642" s="3066"/>
      <c r="X2642" s="3066"/>
      <c r="Y2642" s="3066"/>
      <c r="Z2642" s="3066"/>
      <c r="AA2642" s="3066"/>
      <c r="AB2642" s="3066"/>
      <c r="AC2642" s="2088">
        <v>6</v>
      </c>
      <c r="AD2642" s="2326" t="s">
        <v>4391</v>
      </c>
      <c r="AE2642" s="2088">
        <v>0.1</v>
      </c>
      <c r="AF2642" s="6519">
        <f t="shared" si="549"/>
        <v>1855000</v>
      </c>
      <c r="AG2642" s="6442">
        <f>SUBTOTAL(9,BA2642:BN2642)</f>
        <v>656052.4</v>
      </c>
      <c r="AH2642" s="6538" t="s">
        <v>122</v>
      </c>
      <c r="AI2642" s="6442">
        <v>45650</v>
      </c>
      <c r="AJ2642" s="3065">
        <f>SUBTOTAL(9,BD2642:BQ2642)</f>
        <v>656052.4</v>
      </c>
      <c r="AK2642" s="3065">
        <v>45650</v>
      </c>
      <c r="AL2642" s="4131"/>
      <c r="AM2642" s="4131"/>
      <c r="AN2642" s="6527">
        <f>SUBTOTAL(9,BO2642:CD2642)</f>
        <v>0</v>
      </c>
      <c r="AO2642" s="6527"/>
      <c r="AP2642" s="3066"/>
      <c r="AQ2642" s="6424"/>
      <c r="AR2642" s="3066"/>
      <c r="AS2642" s="6522"/>
      <c r="AT2642" s="3066"/>
      <c r="AU2642" s="6424"/>
      <c r="AV2642" s="6424"/>
      <c r="AW2642" s="6424"/>
      <c r="AX2642" s="6424"/>
      <c r="AY2642" s="6424"/>
      <c r="AZ2642" s="6424"/>
      <c r="BA2642" s="6424"/>
      <c r="BB2642" s="6424"/>
      <c r="BC2642" s="3066"/>
      <c r="BD2642" s="6424"/>
      <c r="BE2642" s="6424"/>
      <c r="BF2642" s="6424"/>
      <c r="BG2642" s="6424"/>
      <c r="BH2642" s="3066"/>
      <c r="BI2642" s="6424"/>
      <c r="BJ2642" s="6424"/>
      <c r="BK2642" s="6424"/>
      <c r="BL2642" s="6424"/>
      <c r="BM2642" s="6424"/>
      <c r="BN2642" s="3065">
        <f>2511052.4-1855000</f>
        <v>656052.4</v>
      </c>
      <c r="BO2642" s="6424"/>
      <c r="BP2642" s="6424"/>
      <c r="BQ2642" s="6424"/>
      <c r="BR2642" s="6424"/>
      <c r="BS2642" s="6424"/>
      <c r="BT2642" s="6424"/>
      <c r="BU2642" s="6424"/>
      <c r="BV2642" s="6424"/>
      <c r="BW2642" s="6424"/>
      <c r="BX2642" s="6424"/>
      <c r="BY2642" s="6424"/>
      <c r="BZ2642" s="6424"/>
      <c r="CA2642" s="6424"/>
      <c r="CB2642" s="6527"/>
      <c r="CC2642" s="3066"/>
      <c r="CD2642" s="3066"/>
      <c r="CE2642" s="5169"/>
      <c r="CF2642" s="5169"/>
      <c r="CG2642" s="7020"/>
      <c r="CH2642" s="7020"/>
    </row>
    <row r="2643" s="5000" customFormat="1" ht="46" spans="1:86">
      <c r="A2643" s="6444"/>
      <c r="B2643" s="6444"/>
      <c r="C2643" s="3066"/>
      <c r="D2643" s="6522"/>
      <c r="E2643" s="6522"/>
      <c r="F2643" s="6522"/>
      <c r="G2643" s="6522"/>
      <c r="H2643" s="3066"/>
      <c r="I2643" s="6993"/>
      <c r="J2643" s="6522"/>
      <c r="K2643" s="3066"/>
      <c r="L2643" s="6522"/>
      <c r="M2643" s="3066"/>
      <c r="N2643" s="3066"/>
      <c r="O2643" s="3066"/>
      <c r="P2643" s="3066"/>
      <c r="Q2643" s="3066"/>
      <c r="R2643" s="3066"/>
      <c r="S2643" s="3066"/>
      <c r="T2643" s="3066"/>
      <c r="U2643" s="3066"/>
      <c r="V2643" s="3066"/>
      <c r="W2643" s="3066"/>
      <c r="X2643" s="3066"/>
      <c r="Y2643" s="3066"/>
      <c r="Z2643" s="3066"/>
      <c r="AA2643" s="3066"/>
      <c r="AB2643" s="3066"/>
      <c r="AC2643" s="2090"/>
      <c r="AD2643" s="2330"/>
      <c r="AE2643" s="2090"/>
      <c r="AF2643" s="6993"/>
      <c r="AG2643" s="3065">
        <f>SUM(BA2643:BN2643)</f>
        <v>-721426.6</v>
      </c>
      <c r="AH2643" s="6538" t="s">
        <v>122</v>
      </c>
      <c r="AI2643" s="3066">
        <v>45848</v>
      </c>
      <c r="AJ2643" s="3066">
        <v>-721426.6</v>
      </c>
      <c r="AK2643" s="3066">
        <v>45848</v>
      </c>
      <c r="AL2643" s="6602"/>
      <c r="AM2643" s="6602"/>
      <c r="AN2643" s="3065">
        <f>SUM(BO2643:CB2643)</f>
        <v>0</v>
      </c>
      <c r="AO2643" s="3066"/>
      <c r="AP2643" s="3066"/>
      <c r="AQ2643" s="6424"/>
      <c r="AR2643" s="7011" t="s">
        <v>4374</v>
      </c>
      <c r="AS2643" s="6522"/>
      <c r="AT2643" s="3066"/>
      <c r="AU2643" s="6424"/>
      <c r="AV2643" s="6424"/>
      <c r="AW2643" s="6424"/>
      <c r="AX2643" s="6424"/>
      <c r="AY2643" s="6424"/>
      <c r="AZ2643" s="6424"/>
      <c r="BA2643" s="6424"/>
      <c r="BB2643" s="6424"/>
      <c r="BC2643" s="3066"/>
      <c r="BD2643" s="6424"/>
      <c r="BE2643" s="6424"/>
      <c r="BF2643" s="6424"/>
      <c r="BG2643" s="6424"/>
      <c r="BH2643" s="3066"/>
      <c r="BI2643" s="6424"/>
      <c r="BJ2643" s="6424"/>
      <c r="BK2643" s="6424"/>
      <c r="BL2643" s="6424"/>
      <c r="BM2643" s="6424"/>
      <c r="BN2643" s="6776">
        <v>-721426.6</v>
      </c>
      <c r="BO2643" s="6424"/>
      <c r="BP2643" s="6424"/>
      <c r="BQ2643" s="6424"/>
      <c r="BR2643" s="6424"/>
      <c r="BS2643" s="6424"/>
      <c r="BT2643" s="6424"/>
      <c r="BU2643" s="6424"/>
      <c r="BV2643" s="6424"/>
      <c r="BW2643" s="6424"/>
      <c r="BX2643" s="6424"/>
      <c r="BY2643" s="6424"/>
      <c r="BZ2643" s="6424"/>
      <c r="CA2643" s="6424"/>
      <c r="CB2643" s="6424"/>
      <c r="CC2643" s="3066"/>
      <c r="CD2643" s="3066"/>
      <c r="CE2643" s="7020"/>
      <c r="CF2643" s="7020"/>
      <c r="CG2643" s="7020"/>
      <c r="CH2643" s="7020"/>
    </row>
    <row r="2644" s="5000" customFormat="1" ht="40" customHeight="1" spans="1:86">
      <c r="A2644" s="6444"/>
      <c r="B2644" s="6444" t="s">
        <v>2570</v>
      </c>
      <c r="C2644" s="3065">
        <v>45176</v>
      </c>
      <c r="D2644" s="2326" t="s">
        <v>4392</v>
      </c>
      <c r="E2644" s="2326" t="s">
        <v>4393</v>
      </c>
      <c r="F2644" s="2326" t="s">
        <v>4394</v>
      </c>
      <c r="G2644" s="6388" t="s">
        <v>4395</v>
      </c>
      <c r="H2644" s="2326" t="s">
        <v>4396</v>
      </c>
      <c r="I2644" s="2326"/>
      <c r="J2644" s="2326" t="s">
        <v>4183</v>
      </c>
      <c r="K2644" s="2326" t="s">
        <v>4397</v>
      </c>
      <c r="L2644" s="7211"/>
      <c r="M2644" s="6519">
        <f>SUBTOTAL(9,N2644:AA2650)</f>
        <v>22932039.97</v>
      </c>
      <c r="N2644" s="6340"/>
      <c r="O2644" s="6340"/>
      <c r="P2644" s="6519">
        <v>4468704.87</v>
      </c>
      <c r="Q2644" s="6340"/>
      <c r="R2644" s="6340"/>
      <c r="S2644" s="6340"/>
      <c r="T2644" s="6340"/>
      <c r="U2644" s="6340">
        <v>994257.35</v>
      </c>
      <c r="V2644" s="6340">
        <v>2897959.34</v>
      </c>
      <c r="W2644" s="6340"/>
      <c r="X2644" s="6340"/>
      <c r="Y2644" s="6340"/>
      <c r="Z2644" s="6340"/>
      <c r="AA2644" s="6340">
        <v>14571118.41</v>
      </c>
      <c r="AB2644" s="2326" t="s">
        <v>4398</v>
      </c>
      <c r="AC2644" s="2087">
        <v>1</v>
      </c>
      <c r="AD2644" s="6388" t="s">
        <v>2943</v>
      </c>
      <c r="AE2644" s="2087">
        <v>0.1</v>
      </c>
      <c r="AF2644" s="6444">
        <f>$M$2644*AE2644</f>
        <v>2293203.997</v>
      </c>
      <c r="AG2644" s="4129">
        <f>SUM(BA2644:BN2644)</f>
        <v>14905825.98</v>
      </c>
      <c r="AH2644" s="6519" t="s">
        <v>122</v>
      </c>
      <c r="AI2644" s="6340">
        <v>45187</v>
      </c>
      <c r="AJ2644" s="6340">
        <v>14905825.98</v>
      </c>
      <c r="AK2644" s="6340">
        <v>45187</v>
      </c>
      <c r="AL2644" s="6340">
        <v>14905825.98</v>
      </c>
      <c r="AM2644" s="6340">
        <v>45230</v>
      </c>
      <c r="AN2644" s="4129">
        <f>SUBTOTAL(9,BO2644:CB2646)</f>
        <v>14905825.98</v>
      </c>
      <c r="AO2644" s="4129">
        <v>45250</v>
      </c>
      <c r="AP2644" s="6340"/>
      <c r="AQ2644" s="6424"/>
      <c r="AR2644" s="7011"/>
      <c r="AS2644" s="6522"/>
      <c r="AT2644" s="3066"/>
      <c r="AU2644" s="6424"/>
      <c r="AV2644" s="6424"/>
      <c r="AW2644" s="6424"/>
      <c r="AX2644" s="6424"/>
      <c r="AY2644" s="6424"/>
      <c r="AZ2644" s="6424"/>
      <c r="BA2644" s="6340"/>
      <c r="BB2644" s="3066"/>
      <c r="BC2644" s="3065">
        <v>4021834.39</v>
      </c>
      <c r="BD2644" s="3066"/>
      <c r="BE2644" s="3066"/>
      <c r="BF2644" s="3066"/>
      <c r="BG2644" s="3066"/>
      <c r="BH2644" s="6340">
        <v>668988.46</v>
      </c>
      <c r="BI2644" s="6340">
        <v>1448979.67</v>
      </c>
      <c r="BJ2644" s="6340"/>
      <c r="BK2644" s="6340"/>
      <c r="BL2644" s="6340"/>
      <c r="BM2644" s="6340"/>
      <c r="BN2644" s="6340">
        <v>8766023.46</v>
      </c>
      <c r="BO2644" s="6340"/>
      <c r="BP2644" s="6340"/>
      <c r="BQ2644" s="3065">
        <v>4021834.39</v>
      </c>
      <c r="BR2644" s="3065"/>
      <c r="BS2644" s="3065"/>
      <c r="BT2644" s="3065"/>
      <c r="BU2644" s="3065"/>
      <c r="BV2644" s="4129">
        <v>668988.46</v>
      </c>
      <c r="BW2644" s="4129">
        <v>1448979.67</v>
      </c>
      <c r="BX2644" s="4129"/>
      <c r="BY2644" s="4129"/>
      <c r="BZ2644" s="4129"/>
      <c r="CA2644" s="4129"/>
      <c r="CB2644" s="4129">
        <v>8766023.46</v>
      </c>
      <c r="CC2644" s="6340"/>
      <c r="CD2644" s="6340"/>
      <c r="CE2644" s="7020"/>
      <c r="CF2644" s="7020"/>
      <c r="CG2644" s="7020"/>
      <c r="CH2644" s="7020"/>
    </row>
    <row r="2645" s="5000" customFormat="1" ht="40" customHeight="1" spans="1:86">
      <c r="A2645" s="6444"/>
      <c r="B2645" s="6444"/>
      <c r="C2645" s="3065"/>
      <c r="D2645" s="6307"/>
      <c r="E2645" s="6307"/>
      <c r="F2645" s="6307"/>
      <c r="G2645" s="6522"/>
      <c r="H2645" s="6307"/>
      <c r="I2645" s="2328"/>
      <c r="J2645" s="6307"/>
      <c r="K2645" s="6341"/>
      <c r="L2645" s="6307"/>
      <c r="M2645" s="6500"/>
      <c r="N2645" s="6341"/>
      <c r="O2645" s="6341"/>
      <c r="P2645" s="6341"/>
      <c r="Q2645" s="6341"/>
      <c r="R2645" s="6341"/>
      <c r="S2645" s="6341"/>
      <c r="T2645" s="6341"/>
      <c r="U2645" s="6341"/>
      <c r="V2645" s="6341"/>
      <c r="W2645" s="6341"/>
      <c r="X2645" s="6341"/>
      <c r="Y2645" s="6341"/>
      <c r="Z2645" s="6341"/>
      <c r="AA2645" s="6341"/>
      <c r="AB2645" s="6341"/>
      <c r="AC2645" s="2087">
        <v>2</v>
      </c>
      <c r="AD2645" s="6388" t="s">
        <v>2944</v>
      </c>
      <c r="AE2645" s="2087">
        <v>0.4</v>
      </c>
      <c r="AF2645" s="6444">
        <f>$M$2644*AE2645</f>
        <v>9172815.988</v>
      </c>
      <c r="AG2645" s="4131"/>
      <c r="AH2645" s="6500"/>
      <c r="AI2645" s="6341"/>
      <c r="AJ2645" s="6341"/>
      <c r="AK2645" s="6341"/>
      <c r="AL2645" s="6341"/>
      <c r="AM2645" s="6341"/>
      <c r="AN2645" s="4131"/>
      <c r="AO2645" s="4131"/>
      <c r="AP2645" s="6341"/>
      <c r="AQ2645" s="6424"/>
      <c r="AR2645" s="7011"/>
      <c r="AS2645" s="6522"/>
      <c r="AT2645" s="3066"/>
      <c r="AU2645" s="6424"/>
      <c r="AV2645" s="6424"/>
      <c r="AW2645" s="6424"/>
      <c r="AX2645" s="6424"/>
      <c r="AY2645" s="6424"/>
      <c r="AZ2645" s="6424"/>
      <c r="BA2645" s="6341"/>
      <c r="BB2645" s="3066"/>
      <c r="BC2645" s="3065"/>
      <c r="BD2645" s="3066"/>
      <c r="BE2645" s="3066"/>
      <c r="BF2645" s="3066"/>
      <c r="BG2645" s="3066"/>
      <c r="BH2645" s="6341"/>
      <c r="BI2645" s="6341"/>
      <c r="BJ2645" s="6341"/>
      <c r="BK2645" s="6341"/>
      <c r="BL2645" s="6341"/>
      <c r="BM2645" s="6341"/>
      <c r="BN2645" s="6341"/>
      <c r="BO2645" s="6341"/>
      <c r="BP2645" s="6341"/>
      <c r="BQ2645" s="3065"/>
      <c r="BR2645" s="3065"/>
      <c r="BS2645" s="3065"/>
      <c r="BT2645" s="3065"/>
      <c r="BU2645" s="3065"/>
      <c r="BV2645" s="4131"/>
      <c r="BW2645" s="4131"/>
      <c r="BX2645" s="4131"/>
      <c r="BY2645" s="4131"/>
      <c r="BZ2645" s="4131"/>
      <c r="CA2645" s="4131"/>
      <c r="CB2645" s="4131"/>
      <c r="CC2645" s="6341"/>
      <c r="CD2645" s="6341"/>
      <c r="CE2645" s="7020"/>
      <c r="CF2645" s="7020"/>
      <c r="CG2645" s="7020"/>
      <c r="CH2645" s="7020"/>
    </row>
    <row r="2646" s="5000" customFormat="1" ht="40" customHeight="1" spans="1:86">
      <c r="A2646" s="6444"/>
      <c r="B2646" s="6444"/>
      <c r="C2646" s="3065"/>
      <c r="D2646" s="6307"/>
      <c r="E2646" s="6307"/>
      <c r="F2646" s="6307"/>
      <c r="G2646" s="6522"/>
      <c r="H2646" s="6307"/>
      <c r="I2646" s="2328"/>
      <c r="J2646" s="6307"/>
      <c r="K2646" s="6341"/>
      <c r="L2646" s="6307"/>
      <c r="M2646" s="6500"/>
      <c r="N2646" s="6341"/>
      <c r="O2646" s="6341"/>
      <c r="P2646" s="6341"/>
      <c r="Q2646" s="6341"/>
      <c r="R2646" s="6341"/>
      <c r="S2646" s="6341"/>
      <c r="T2646" s="6341"/>
      <c r="U2646" s="6341"/>
      <c r="V2646" s="6341"/>
      <c r="W2646" s="6341"/>
      <c r="X2646" s="6341"/>
      <c r="Y2646" s="6341"/>
      <c r="Z2646" s="6341"/>
      <c r="AA2646" s="6341"/>
      <c r="AB2646" s="6341"/>
      <c r="AC2646" s="2087">
        <v>3</v>
      </c>
      <c r="AD2646" s="6388" t="s">
        <v>2945</v>
      </c>
      <c r="AE2646" s="2087">
        <v>0.15</v>
      </c>
      <c r="AF2646" s="6444">
        <f>$M$2644*AE2646</f>
        <v>3439805.9955</v>
      </c>
      <c r="AG2646" s="6602"/>
      <c r="AH2646" s="6993"/>
      <c r="AI2646" s="6485"/>
      <c r="AJ2646" s="6485"/>
      <c r="AK2646" s="6485"/>
      <c r="AL2646" s="6485"/>
      <c r="AM2646" s="6485"/>
      <c r="AN2646" s="6602"/>
      <c r="AO2646" s="6602"/>
      <c r="AP2646" s="6485"/>
      <c r="AQ2646" s="6424"/>
      <c r="AR2646" s="7011"/>
      <c r="AS2646" s="6522"/>
      <c r="AT2646" s="3066"/>
      <c r="AU2646" s="6424"/>
      <c r="AV2646" s="6424"/>
      <c r="AW2646" s="6424"/>
      <c r="AX2646" s="6424"/>
      <c r="AY2646" s="6424"/>
      <c r="AZ2646" s="6424"/>
      <c r="BA2646" s="6485"/>
      <c r="BB2646" s="3066"/>
      <c r="BC2646" s="3065"/>
      <c r="BD2646" s="3066"/>
      <c r="BE2646" s="3066"/>
      <c r="BF2646" s="3066"/>
      <c r="BG2646" s="3066"/>
      <c r="BH2646" s="6485"/>
      <c r="BI2646" s="6485"/>
      <c r="BJ2646" s="6485"/>
      <c r="BK2646" s="6485"/>
      <c r="BL2646" s="6485"/>
      <c r="BM2646" s="6485"/>
      <c r="BN2646" s="6485"/>
      <c r="BO2646" s="6485"/>
      <c r="BP2646" s="6485"/>
      <c r="BQ2646" s="3065"/>
      <c r="BR2646" s="3065"/>
      <c r="BS2646" s="3065"/>
      <c r="BT2646" s="3065"/>
      <c r="BU2646" s="3065"/>
      <c r="BV2646" s="6602"/>
      <c r="BW2646" s="6602"/>
      <c r="BX2646" s="6602"/>
      <c r="BY2646" s="6602"/>
      <c r="BZ2646" s="6602"/>
      <c r="CA2646" s="6602"/>
      <c r="CB2646" s="6602"/>
      <c r="CC2646" s="6341"/>
      <c r="CD2646" s="6341"/>
      <c r="CE2646" s="7020"/>
      <c r="CF2646" s="7020"/>
      <c r="CG2646" s="7020"/>
      <c r="CH2646" s="7020"/>
    </row>
    <row r="2647" s="5018" customFormat="1" ht="40" customHeight="1" spans="1:86">
      <c r="A2647" s="6444"/>
      <c r="B2647" s="6444"/>
      <c r="C2647" s="3065"/>
      <c r="D2647" s="5233"/>
      <c r="E2647" s="5233"/>
      <c r="F2647" s="5233"/>
      <c r="G2647" s="6518"/>
      <c r="H2647" s="5233"/>
      <c r="I2647" s="2328"/>
      <c r="J2647" s="5233"/>
      <c r="K2647" s="4131"/>
      <c r="L2647" s="5233"/>
      <c r="M2647" s="6500"/>
      <c r="N2647" s="6341"/>
      <c r="O2647" s="6341"/>
      <c r="P2647" s="6341"/>
      <c r="Q2647" s="6341"/>
      <c r="R2647" s="6341"/>
      <c r="S2647" s="6341"/>
      <c r="T2647" s="6341"/>
      <c r="U2647" s="6341"/>
      <c r="V2647" s="6341"/>
      <c r="W2647" s="6341"/>
      <c r="X2647" s="6341"/>
      <c r="Y2647" s="6341"/>
      <c r="Z2647" s="6341"/>
      <c r="AA2647" s="6341"/>
      <c r="AB2647" s="6341"/>
      <c r="AC2647" s="6388">
        <v>4</v>
      </c>
      <c r="AD2647" s="6388" t="s">
        <v>4389</v>
      </c>
      <c r="AE2647" s="6388">
        <v>0.15</v>
      </c>
      <c r="AF2647" s="6444">
        <f>$M$2644*AE2647</f>
        <v>3439805.9955</v>
      </c>
      <c r="AG2647" s="3065">
        <f>SUM(BA2647:BN2647)</f>
        <v>3439806.001</v>
      </c>
      <c r="AH2647" s="6444" t="s">
        <v>122</v>
      </c>
      <c r="AI2647" s="3065">
        <v>45239</v>
      </c>
      <c r="AJ2647" s="3065">
        <f>SUM(BD2647:BQ2647)</f>
        <v>3439806.001</v>
      </c>
      <c r="AK2647" s="3065">
        <v>45239</v>
      </c>
      <c r="AL2647" s="6442">
        <v>3439806.001</v>
      </c>
      <c r="AM2647" s="3065">
        <v>45441</v>
      </c>
      <c r="AN2647" s="3065">
        <f>SUM(BO2647:CB2647)</f>
        <v>3439806.001</v>
      </c>
      <c r="AO2647" s="3065">
        <v>45469</v>
      </c>
      <c r="AP2647" s="3065"/>
      <c r="AQ2647" s="6556"/>
      <c r="AR2647" s="6388"/>
      <c r="AS2647" s="6518"/>
      <c r="AT2647" s="3065"/>
      <c r="AU2647" s="6424"/>
      <c r="AV2647" s="6424"/>
      <c r="AW2647" s="6424"/>
      <c r="AX2647" s="6424"/>
      <c r="AY2647" s="6424"/>
      <c r="AZ2647" s="6424"/>
      <c r="BA2647" s="6556"/>
      <c r="BB2647" s="6556"/>
      <c r="BC2647" s="3065"/>
      <c r="BD2647" s="6556"/>
      <c r="BE2647" s="6556"/>
      <c r="BF2647" s="6556"/>
      <c r="BG2647" s="6556"/>
      <c r="BH2647" s="3065">
        <v>135505.89</v>
      </c>
      <c r="BI2647" s="6556">
        <v>434693.901</v>
      </c>
      <c r="BJ2647" s="6556"/>
      <c r="BK2647" s="6556"/>
      <c r="BL2647" s="6556"/>
      <c r="BM2647" s="6556"/>
      <c r="BN2647" s="6556">
        <v>2869606.21</v>
      </c>
      <c r="BO2647" s="6556"/>
      <c r="BP2647" s="6556"/>
      <c r="BQ2647" s="6556"/>
      <c r="BR2647" s="6556"/>
      <c r="BS2647" s="6776"/>
      <c r="BT2647" s="6776"/>
      <c r="BU2647" s="6776"/>
      <c r="BV2647" s="6527">
        <v>135505.89</v>
      </c>
      <c r="BW2647" s="6776">
        <v>434693.901</v>
      </c>
      <c r="BX2647" s="6776"/>
      <c r="BY2647" s="6776"/>
      <c r="BZ2647" s="6776"/>
      <c r="CA2647" s="6776"/>
      <c r="CB2647" s="6776">
        <v>2869606.21</v>
      </c>
      <c r="CC2647" s="4131"/>
      <c r="CD2647" s="4131"/>
      <c r="CE2647" s="7273"/>
      <c r="CF2647" s="7273"/>
      <c r="CG2647" s="7273"/>
      <c r="CH2647" s="7273"/>
    </row>
    <row r="2648" s="5000" customFormat="1" ht="40" customHeight="1" spans="1:86">
      <c r="A2648" s="6444"/>
      <c r="B2648" s="6444"/>
      <c r="C2648" s="3065"/>
      <c r="D2648" s="6307"/>
      <c r="E2648" s="6307"/>
      <c r="F2648" s="6307"/>
      <c r="G2648" s="6522"/>
      <c r="H2648" s="6307"/>
      <c r="I2648" s="2328"/>
      <c r="J2648" s="6307"/>
      <c r="K2648" s="6341"/>
      <c r="L2648" s="6307"/>
      <c r="M2648" s="6500"/>
      <c r="N2648" s="6341"/>
      <c r="O2648" s="6341"/>
      <c r="P2648" s="6341"/>
      <c r="Q2648" s="6341"/>
      <c r="R2648" s="6341"/>
      <c r="S2648" s="6341"/>
      <c r="T2648" s="6341"/>
      <c r="U2648" s="6341"/>
      <c r="V2648" s="6341"/>
      <c r="W2648" s="6341"/>
      <c r="X2648" s="6341"/>
      <c r="Y2648" s="6341"/>
      <c r="Z2648" s="6341"/>
      <c r="AA2648" s="6341"/>
      <c r="AB2648" s="6341"/>
      <c r="AC2648" s="2088">
        <v>5</v>
      </c>
      <c r="AD2648" s="2326" t="s">
        <v>2948</v>
      </c>
      <c r="AE2648" s="2088">
        <v>0.1</v>
      </c>
      <c r="AF2648" s="6519">
        <f>$M$2644*AE2648</f>
        <v>2293203.997</v>
      </c>
      <c r="AG2648" s="3065">
        <f>SUM(BA2648:BN2648)</f>
        <v>200000</v>
      </c>
      <c r="AH2648" s="6444" t="s">
        <v>122</v>
      </c>
      <c r="AI2648" s="3065">
        <v>45280</v>
      </c>
      <c r="AJ2648" s="3066">
        <v>200000</v>
      </c>
      <c r="AK2648" s="3066">
        <v>45280</v>
      </c>
      <c r="AL2648" s="3066">
        <v>200000</v>
      </c>
      <c r="AM2648" s="3066">
        <v>45845</v>
      </c>
      <c r="AN2648" s="3065">
        <f>SUM(BO2648:CB2648)</f>
        <v>200000</v>
      </c>
      <c r="AO2648" s="3065">
        <v>45868</v>
      </c>
      <c r="AP2648" s="3066"/>
      <c r="AQ2648" s="6424"/>
      <c r="AR2648" s="7011"/>
      <c r="AS2648" s="6522"/>
      <c r="AT2648" s="3066"/>
      <c r="AU2648" s="6424"/>
      <c r="AV2648" s="6424"/>
      <c r="AW2648" s="6424"/>
      <c r="AX2648" s="6424"/>
      <c r="AY2648" s="6424"/>
      <c r="AZ2648" s="6424"/>
      <c r="BA2648" s="6424"/>
      <c r="BB2648" s="6424"/>
      <c r="BC2648" s="3066"/>
      <c r="BD2648" s="6424"/>
      <c r="BE2648" s="6424"/>
      <c r="BF2648" s="6424"/>
      <c r="BG2648" s="6424"/>
      <c r="BH2648" s="3066"/>
      <c r="BI2648" s="6424"/>
      <c r="BJ2648" s="6424"/>
      <c r="BK2648" s="7268">
        <v>200000</v>
      </c>
      <c r="BL2648" s="6424"/>
      <c r="BM2648" s="6424"/>
      <c r="BN2648" s="6424"/>
      <c r="BO2648" s="6424"/>
      <c r="BP2648" s="6424"/>
      <c r="BQ2648" s="6424"/>
      <c r="BR2648" s="6424"/>
      <c r="BS2648" s="6424"/>
      <c r="BT2648" s="6424"/>
      <c r="BU2648" s="6424"/>
      <c r="BV2648" s="6424"/>
      <c r="BW2648" s="6424"/>
      <c r="BX2648" s="6424"/>
      <c r="BY2648" s="6527">
        <v>200000</v>
      </c>
      <c r="BZ2648" s="6424"/>
      <c r="CA2648" s="6424"/>
      <c r="CB2648" s="6424"/>
      <c r="CC2648" s="6341"/>
      <c r="CD2648" s="6341"/>
      <c r="CE2648" s="7020"/>
      <c r="CF2648" s="7020"/>
      <c r="CG2648" s="7020"/>
      <c r="CH2648" s="7020"/>
    </row>
    <row r="2649" s="5000" customFormat="1" ht="40" customHeight="1" spans="1:86">
      <c r="A2649" s="6444"/>
      <c r="B2649" s="6444"/>
      <c r="C2649" s="3065"/>
      <c r="D2649" s="6307"/>
      <c r="E2649" s="6307"/>
      <c r="F2649" s="6307"/>
      <c r="G2649" s="6522"/>
      <c r="H2649" s="6307"/>
      <c r="I2649" s="2328"/>
      <c r="J2649" s="6307"/>
      <c r="K2649" s="6341"/>
      <c r="L2649" s="6307"/>
      <c r="M2649" s="6500"/>
      <c r="N2649" s="6341"/>
      <c r="O2649" s="6341"/>
      <c r="P2649" s="6341"/>
      <c r="Q2649" s="6341"/>
      <c r="R2649" s="6341"/>
      <c r="S2649" s="6341"/>
      <c r="T2649" s="6341"/>
      <c r="U2649" s="6341"/>
      <c r="V2649" s="6341"/>
      <c r="W2649" s="6341"/>
      <c r="X2649" s="6341"/>
      <c r="Y2649" s="6341"/>
      <c r="Z2649" s="6341"/>
      <c r="AA2649" s="6341"/>
      <c r="AB2649" s="6341"/>
      <c r="AC2649" s="2090"/>
      <c r="AD2649" s="2330"/>
      <c r="AE2649" s="2090"/>
      <c r="AF2649" s="6993"/>
      <c r="AG2649" s="6442">
        <f>SUM(BA2649:BN2649)</f>
        <v>2093204</v>
      </c>
      <c r="AH2649" s="6538" t="s">
        <v>122</v>
      </c>
      <c r="AI2649" s="6442">
        <v>45646</v>
      </c>
      <c r="AJ2649" s="3066">
        <v>2093204</v>
      </c>
      <c r="AK2649" s="3066">
        <v>45646</v>
      </c>
      <c r="AL2649" s="3066">
        <v>2093204</v>
      </c>
      <c r="AM2649" s="3066">
        <v>45845</v>
      </c>
      <c r="AN2649" s="3065">
        <f>SUM(BO2649:CB2649)</f>
        <v>2093204</v>
      </c>
      <c r="AO2649" s="3065">
        <v>45868</v>
      </c>
      <c r="AP2649" s="3066"/>
      <c r="AQ2649" s="6424"/>
      <c r="AR2649" s="7011"/>
      <c r="AS2649" s="6522"/>
      <c r="AT2649" s="3066"/>
      <c r="AU2649" s="6424"/>
      <c r="AV2649" s="6424"/>
      <c r="AW2649" s="6424"/>
      <c r="AX2649" s="6424"/>
      <c r="AY2649" s="6424"/>
      <c r="AZ2649" s="6424"/>
      <c r="BA2649" s="6424"/>
      <c r="BB2649" s="6424"/>
      <c r="BC2649" s="3065">
        <v>182398.93</v>
      </c>
      <c r="BD2649" s="6556"/>
      <c r="BE2649" s="6556"/>
      <c r="BF2649" s="6556"/>
      <c r="BG2649" s="6556"/>
      <c r="BH2649" s="6442">
        <v>122393.32</v>
      </c>
      <c r="BI2649" s="6556">
        <v>139611.24</v>
      </c>
      <c r="BJ2649" s="6556"/>
      <c r="BK2649" s="6556"/>
      <c r="BL2649" s="6556"/>
      <c r="BM2649" s="6556"/>
      <c r="BN2649" s="6518">
        <v>1648800.51</v>
      </c>
      <c r="BO2649" s="6424"/>
      <c r="BP2649" s="6424"/>
      <c r="BQ2649" s="6527">
        <v>182398.93</v>
      </c>
      <c r="BR2649" s="6424"/>
      <c r="BS2649" s="6424"/>
      <c r="BT2649" s="6424"/>
      <c r="BU2649" s="6424"/>
      <c r="BV2649" s="6527">
        <v>122393.32</v>
      </c>
      <c r="BW2649" s="6776">
        <v>139611.24</v>
      </c>
      <c r="BX2649" s="6424"/>
      <c r="BY2649" s="6424"/>
      <c r="BZ2649" s="6424"/>
      <c r="CA2649" s="6424"/>
      <c r="CB2649" s="7010">
        <v>1648800.51</v>
      </c>
      <c r="CC2649" s="6341"/>
      <c r="CD2649" s="6341"/>
      <c r="CE2649" s="7020"/>
      <c r="CF2649" s="7020"/>
      <c r="CG2649" s="7020"/>
      <c r="CH2649" s="7020"/>
    </row>
    <row r="2650" s="5000" customFormat="1" ht="73.95" customHeight="1" spans="1:86">
      <c r="A2650" s="6444"/>
      <c r="B2650" s="6444"/>
      <c r="C2650" s="3065"/>
      <c r="D2650" s="6461"/>
      <c r="E2650" s="6461"/>
      <c r="F2650" s="6461"/>
      <c r="G2650" s="6522"/>
      <c r="H2650" s="6461"/>
      <c r="I2650" s="2330"/>
      <c r="J2650" s="6461"/>
      <c r="K2650" s="6485"/>
      <c r="L2650" s="6461"/>
      <c r="M2650" s="6993"/>
      <c r="N2650" s="6485"/>
      <c r="O2650" s="6485"/>
      <c r="P2650" s="6485"/>
      <c r="Q2650" s="6485"/>
      <c r="R2650" s="6485"/>
      <c r="S2650" s="6485"/>
      <c r="T2650" s="6485"/>
      <c r="U2650" s="6485"/>
      <c r="V2650" s="6485"/>
      <c r="W2650" s="6485"/>
      <c r="X2650" s="6485"/>
      <c r="Y2650" s="6485"/>
      <c r="Z2650" s="6485"/>
      <c r="AA2650" s="6485"/>
      <c r="AB2650" s="6485"/>
      <c r="AC2650" s="2087">
        <v>6</v>
      </c>
      <c r="AD2650" s="6388" t="s">
        <v>2949</v>
      </c>
      <c r="AE2650" s="2087">
        <v>0.1</v>
      </c>
      <c r="AF2650" s="6444">
        <f>$M$2644*AE2650</f>
        <v>2293203.997</v>
      </c>
      <c r="AG2650" s="7240">
        <f>SUM(BA2650:BN2650)</f>
        <v>2293204</v>
      </c>
      <c r="AH2650" s="6452" t="s">
        <v>349</v>
      </c>
      <c r="AI2650" s="6527">
        <v>46203</v>
      </c>
      <c r="AJ2650" s="3066"/>
      <c r="AK2650" s="3066"/>
      <c r="AL2650" s="3066"/>
      <c r="AM2650" s="3066"/>
      <c r="AN2650" s="3065">
        <f>SUM(BO2650:CB2650)</f>
        <v>0</v>
      </c>
      <c r="AO2650" s="3066"/>
      <c r="AP2650" s="3066"/>
      <c r="AQ2650" s="6424"/>
      <c r="AR2650" s="7011"/>
      <c r="AS2650" s="6522"/>
      <c r="AT2650" s="3066"/>
      <c r="AU2650" s="6424"/>
      <c r="AV2650" s="6424"/>
      <c r="AW2650" s="6424"/>
      <c r="AX2650" s="6424"/>
      <c r="AY2650" s="6424"/>
      <c r="AZ2650" s="6424"/>
      <c r="BA2650" s="6424"/>
      <c r="BB2650" s="6424"/>
      <c r="BC2650" s="6527">
        <f>4425508.76-BC2649-BC2644</f>
        <v>221275.44</v>
      </c>
      <c r="BD2650" s="6424"/>
      <c r="BE2650" s="6424"/>
      <c r="BF2650" s="6424"/>
      <c r="BG2650" s="6424"/>
      <c r="BH2650" s="6527">
        <f>1029875.19-BH2649-BH2647-BH2644</f>
        <v>102987.52</v>
      </c>
      <c r="BI2650" s="6776">
        <f>2248094.24-BI2644-BI2647-BI2649</f>
        <v>224809.429</v>
      </c>
      <c r="BJ2650" s="6424"/>
      <c r="BK2650" s="6424"/>
      <c r="BL2650" s="6424"/>
      <c r="BM2650" s="6424"/>
      <c r="BN2650" s="6527">
        <f>2293204-BI2650-BH2650-BC2650</f>
        <v>1744131.611</v>
      </c>
      <c r="BO2650" s="6424"/>
      <c r="BP2650" s="6424"/>
      <c r="BQ2650" s="6424"/>
      <c r="BR2650" s="6424"/>
      <c r="BS2650" s="6424"/>
      <c r="BT2650" s="6424"/>
      <c r="BU2650" s="6424"/>
      <c r="BV2650" s="6424"/>
      <c r="BW2650" s="6424"/>
      <c r="BX2650" s="6424"/>
      <c r="BY2650" s="6424"/>
      <c r="BZ2650" s="6424"/>
      <c r="CA2650" s="6424"/>
      <c r="CB2650" s="6424"/>
      <c r="CC2650" s="6485"/>
      <c r="CD2650" s="6485"/>
      <c r="CE2650" s="7020"/>
      <c r="CF2650" s="7020"/>
      <c r="CG2650" s="7020"/>
      <c r="CH2650" s="7020"/>
    </row>
    <row r="2651" s="5019" customFormat="1" ht="61" spans="1:86">
      <c r="A2651" s="4364"/>
      <c r="B2651" s="7204" t="s">
        <v>2570</v>
      </c>
      <c r="C2651" s="7205">
        <v>45251</v>
      </c>
      <c r="D2651" s="5221" t="s">
        <v>4399</v>
      </c>
      <c r="E2651" s="5221" t="s">
        <v>4400</v>
      </c>
      <c r="F2651" s="5221" t="s">
        <v>4401</v>
      </c>
      <c r="G2651" s="5221" t="s">
        <v>4402</v>
      </c>
      <c r="H2651" s="7204" t="s">
        <v>3551</v>
      </c>
      <c r="I2651" s="7204"/>
      <c r="J2651" s="5221" t="s">
        <v>4403</v>
      </c>
      <c r="K2651" s="5221" t="s">
        <v>4404</v>
      </c>
      <c r="L2651" s="5221" t="s">
        <v>4405</v>
      </c>
      <c r="M2651" s="7204">
        <v>28510000</v>
      </c>
      <c r="N2651" s="7215"/>
      <c r="O2651" s="7215"/>
      <c r="P2651" s="7205">
        <f>1817283.67+238713.74+2090000+200000+10447.8725</f>
        <v>4356445.2825</v>
      </c>
      <c r="Q2651" s="7215"/>
      <c r="R2651" s="7215"/>
      <c r="S2651" s="7215"/>
      <c r="T2651" s="7215"/>
      <c r="U2651" s="7215">
        <f>196420.003+90575.114+798883.9254</f>
        <v>1085879.0424</v>
      </c>
      <c r="V2651" s="7215">
        <v>2846697.56</v>
      </c>
      <c r="W2651" s="7215"/>
      <c r="X2651" s="7215"/>
      <c r="Y2651" s="7215"/>
      <c r="Z2651" s="7215"/>
      <c r="AA2651" s="7205">
        <f>28510000-V2651-U2651-P2651</f>
        <v>20220978.1151</v>
      </c>
      <c r="AB2651" s="5221" t="s">
        <v>4406</v>
      </c>
      <c r="AC2651" s="5726">
        <v>1</v>
      </c>
      <c r="AD2651" s="4127" t="s">
        <v>4407</v>
      </c>
      <c r="AE2651" s="4127" t="s">
        <v>4408</v>
      </c>
      <c r="AF2651" s="4364">
        <f>28510000*0.1</f>
        <v>2851000</v>
      </c>
      <c r="AG2651" s="4045">
        <f>SUM(BA2651:BN2654)</f>
        <v>21078522.8</v>
      </c>
      <c r="AH2651" s="4364" t="s">
        <v>122</v>
      </c>
      <c r="AI2651" s="4045">
        <v>45261</v>
      </c>
      <c r="AJ2651" s="5711">
        <v>21078522.8</v>
      </c>
      <c r="AK2651" s="4045">
        <v>45261</v>
      </c>
      <c r="AL2651" s="4199">
        <v>21078522.8</v>
      </c>
      <c r="AM2651" s="4199">
        <v>45252</v>
      </c>
      <c r="AN2651" s="4199">
        <f>SUM(BO2651:CB2654)</f>
        <v>21078522.8</v>
      </c>
      <c r="AO2651" s="4199">
        <v>45257</v>
      </c>
      <c r="AP2651" s="4199"/>
      <c r="AQ2651" s="4199"/>
      <c r="AR2651" s="4199"/>
      <c r="AS2651" s="4199"/>
      <c r="AT2651" s="4199"/>
      <c r="AU2651" s="4199"/>
      <c r="AV2651" s="4199"/>
      <c r="AW2651" s="4199"/>
      <c r="AX2651" s="4199"/>
      <c r="AY2651" s="4199"/>
      <c r="AZ2651" s="4199"/>
      <c r="BA2651" s="4045"/>
      <c r="BB2651" s="4045"/>
      <c r="BC2651" s="4045">
        <v>3920800.75</v>
      </c>
      <c r="BD2651" s="4199"/>
      <c r="BE2651" s="4199"/>
      <c r="BF2651" s="4199"/>
      <c r="BG2651" s="4199"/>
      <c r="BH2651" s="4199">
        <v>1017235.33</v>
      </c>
      <c r="BI2651" s="4199">
        <v>1972761.41</v>
      </c>
      <c r="BJ2651" s="4199"/>
      <c r="BK2651" s="4199"/>
      <c r="BL2651" s="4199"/>
      <c r="BM2651" s="4199"/>
      <c r="BN2651" s="4045">
        <f>15897202.51-1729477.2</f>
        <v>14167725.31</v>
      </c>
      <c r="BO2651" s="5732"/>
      <c r="BP2651" s="5732"/>
      <c r="BQ2651" s="4045">
        <v>3920800.75</v>
      </c>
      <c r="BR2651" s="4199"/>
      <c r="BS2651" s="4199"/>
      <c r="BT2651" s="4199"/>
      <c r="BU2651" s="4199"/>
      <c r="BV2651" s="4199">
        <v>1017235.33</v>
      </c>
      <c r="BW2651" s="4199">
        <v>1972761.41</v>
      </c>
      <c r="BX2651" s="4199"/>
      <c r="BY2651" s="4199"/>
      <c r="BZ2651" s="4199"/>
      <c r="CA2651" s="4199"/>
      <c r="CB2651" s="4045">
        <f>15897202.51-1729477.2</f>
        <v>14167725.31</v>
      </c>
      <c r="CC2651" s="4199"/>
      <c r="CD2651" s="4199"/>
      <c r="CE2651" s="7264"/>
      <c r="CF2651" s="7264"/>
      <c r="CG2651" s="7264"/>
      <c r="CH2651" s="7264"/>
    </row>
    <row r="2652" s="5019" customFormat="1" ht="61" spans="1:86">
      <c r="A2652" s="4364"/>
      <c r="B2652" s="7205"/>
      <c r="C2652" s="7205"/>
      <c r="D2652" s="4092"/>
      <c r="E2652" s="4092"/>
      <c r="F2652" s="7205"/>
      <c r="G2652" s="4092"/>
      <c r="H2652" s="7205"/>
      <c r="I2652" s="7204"/>
      <c r="J2652" s="4092"/>
      <c r="K2652" s="4092"/>
      <c r="L2652" s="4092"/>
      <c r="M2652" s="7204"/>
      <c r="N2652" s="7215"/>
      <c r="O2652" s="7215"/>
      <c r="P2652" s="7205"/>
      <c r="Q2652" s="7215"/>
      <c r="R2652" s="7215"/>
      <c r="S2652" s="7215"/>
      <c r="T2652" s="7215"/>
      <c r="U2652" s="7215"/>
      <c r="V2652" s="7215"/>
      <c r="W2652" s="7215"/>
      <c r="X2652" s="7215"/>
      <c r="Y2652" s="7215"/>
      <c r="Z2652" s="7215"/>
      <c r="AA2652" s="7205"/>
      <c r="AB2652" s="7229"/>
      <c r="AC2652" s="5726">
        <v>2</v>
      </c>
      <c r="AD2652" s="4127" t="s">
        <v>4409</v>
      </c>
      <c r="AE2652" s="4127" t="s">
        <v>4410</v>
      </c>
      <c r="AF2652" s="4364">
        <f>28510000*0.4</f>
        <v>11404000</v>
      </c>
      <c r="AG2652" s="4045"/>
      <c r="AH2652" s="4364"/>
      <c r="AI2652" s="4045"/>
      <c r="AJ2652" s="5711"/>
      <c r="AK2652" s="4045"/>
      <c r="AL2652" s="4287"/>
      <c r="AM2652" s="4287"/>
      <c r="AN2652" s="4287"/>
      <c r="AO2652" s="4287"/>
      <c r="AP2652" s="4287"/>
      <c r="AQ2652" s="4287"/>
      <c r="AR2652" s="4287"/>
      <c r="AS2652" s="4287"/>
      <c r="AT2652" s="4287"/>
      <c r="AU2652" s="4287"/>
      <c r="AV2652" s="4287"/>
      <c r="AW2652" s="4287"/>
      <c r="AX2652" s="4287"/>
      <c r="AY2652" s="4287"/>
      <c r="AZ2652" s="4287"/>
      <c r="BA2652" s="4045"/>
      <c r="BB2652" s="4045"/>
      <c r="BC2652" s="4045"/>
      <c r="BD2652" s="4287"/>
      <c r="BE2652" s="4287"/>
      <c r="BF2652" s="4287"/>
      <c r="BG2652" s="4287"/>
      <c r="BH2652" s="4287"/>
      <c r="BI2652" s="4287"/>
      <c r="BJ2652" s="4287"/>
      <c r="BK2652" s="4287"/>
      <c r="BL2652" s="4287"/>
      <c r="BM2652" s="4287"/>
      <c r="BN2652" s="4045"/>
      <c r="BO2652" s="5732"/>
      <c r="BP2652" s="5732"/>
      <c r="BQ2652" s="4045"/>
      <c r="BR2652" s="4287"/>
      <c r="BS2652" s="4287"/>
      <c r="BT2652" s="4287"/>
      <c r="BU2652" s="4287"/>
      <c r="BV2652" s="4287"/>
      <c r="BW2652" s="4287"/>
      <c r="BX2652" s="4287"/>
      <c r="BY2652" s="4287"/>
      <c r="BZ2652" s="4287"/>
      <c r="CA2652" s="4287"/>
      <c r="CB2652" s="4045"/>
      <c r="CC2652" s="4287"/>
      <c r="CD2652" s="4287"/>
      <c r="CE2652" s="7264"/>
      <c r="CF2652" s="7264"/>
      <c r="CG2652" s="7264"/>
      <c r="CH2652" s="7264"/>
    </row>
    <row r="2653" s="5019" customFormat="1" ht="61" spans="1:86">
      <c r="A2653" s="4364"/>
      <c r="B2653" s="7205"/>
      <c r="C2653" s="7205"/>
      <c r="D2653" s="4092"/>
      <c r="E2653" s="4092"/>
      <c r="F2653" s="7205"/>
      <c r="G2653" s="4092"/>
      <c r="H2653" s="7205"/>
      <c r="I2653" s="7204"/>
      <c r="J2653" s="4092"/>
      <c r="K2653" s="4092"/>
      <c r="L2653" s="4092"/>
      <c r="M2653" s="7204"/>
      <c r="N2653" s="7215"/>
      <c r="O2653" s="7215"/>
      <c r="P2653" s="7205"/>
      <c r="Q2653" s="7215"/>
      <c r="R2653" s="7215"/>
      <c r="S2653" s="7215"/>
      <c r="T2653" s="7215"/>
      <c r="U2653" s="7215"/>
      <c r="V2653" s="7215"/>
      <c r="W2653" s="7215"/>
      <c r="X2653" s="7215"/>
      <c r="Y2653" s="7215"/>
      <c r="Z2653" s="7215"/>
      <c r="AA2653" s="7205"/>
      <c r="AB2653" s="7229"/>
      <c r="AC2653" s="5726">
        <v>3</v>
      </c>
      <c r="AD2653" s="4127" t="s">
        <v>4388</v>
      </c>
      <c r="AE2653" s="4127" t="s">
        <v>4411</v>
      </c>
      <c r="AF2653" s="4364">
        <f>28510000*0.15</f>
        <v>4276500</v>
      </c>
      <c r="AG2653" s="4045"/>
      <c r="AH2653" s="4364"/>
      <c r="AI2653" s="4045"/>
      <c r="AJ2653" s="5711"/>
      <c r="AK2653" s="4045"/>
      <c r="AL2653" s="4287"/>
      <c r="AM2653" s="4287"/>
      <c r="AN2653" s="4287"/>
      <c r="AO2653" s="4287"/>
      <c r="AP2653" s="4287"/>
      <c r="AQ2653" s="4287"/>
      <c r="AR2653" s="4287"/>
      <c r="AS2653" s="4287"/>
      <c r="AT2653" s="4287"/>
      <c r="AU2653" s="4287"/>
      <c r="AV2653" s="4287"/>
      <c r="AW2653" s="4287"/>
      <c r="AX2653" s="4287"/>
      <c r="AY2653" s="4287"/>
      <c r="AZ2653" s="4287"/>
      <c r="BA2653" s="4045"/>
      <c r="BB2653" s="4045"/>
      <c r="BC2653" s="4045"/>
      <c r="BD2653" s="4287"/>
      <c r="BE2653" s="4287"/>
      <c r="BF2653" s="4287"/>
      <c r="BG2653" s="4287"/>
      <c r="BH2653" s="4287"/>
      <c r="BI2653" s="4287"/>
      <c r="BJ2653" s="4287"/>
      <c r="BK2653" s="4287"/>
      <c r="BL2653" s="4287"/>
      <c r="BM2653" s="4287"/>
      <c r="BN2653" s="4045"/>
      <c r="BO2653" s="5732"/>
      <c r="BP2653" s="5732"/>
      <c r="BQ2653" s="4045"/>
      <c r="BR2653" s="4287"/>
      <c r="BS2653" s="4287"/>
      <c r="BT2653" s="4287"/>
      <c r="BU2653" s="4287"/>
      <c r="BV2653" s="4287"/>
      <c r="BW2653" s="4287"/>
      <c r="BX2653" s="4287"/>
      <c r="BY2653" s="4287"/>
      <c r="BZ2653" s="4287"/>
      <c r="CA2653" s="4287"/>
      <c r="CB2653" s="4045"/>
      <c r="CC2653" s="4287"/>
      <c r="CD2653" s="4287"/>
      <c r="CE2653" s="7264"/>
      <c r="CF2653" s="7264"/>
      <c r="CG2653" s="7264"/>
      <c r="CH2653" s="7264"/>
    </row>
    <row r="2654" s="5019" customFormat="1" ht="33.75" customHeight="1" spans="1:86">
      <c r="A2654" s="4364"/>
      <c r="B2654" s="7205"/>
      <c r="C2654" s="7205"/>
      <c r="D2654" s="4092"/>
      <c r="E2654" s="4092"/>
      <c r="F2654" s="7205"/>
      <c r="G2654" s="4092"/>
      <c r="H2654" s="7205"/>
      <c r="I2654" s="7204"/>
      <c r="J2654" s="4092"/>
      <c r="K2654" s="4092"/>
      <c r="L2654" s="4092"/>
      <c r="M2654" s="7204"/>
      <c r="N2654" s="7215"/>
      <c r="O2654" s="7215"/>
      <c r="P2654" s="7205"/>
      <c r="Q2654" s="7215"/>
      <c r="R2654" s="7215"/>
      <c r="S2654" s="7215"/>
      <c r="T2654" s="7215"/>
      <c r="U2654" s="7215"/>
      <c r="V2654" s="7215"/>
      <c r="W2654" s="7215"/>
      <c r="X2654" s="7215"/>
      <c r="Y2654" s="7215"/>
      <c r="Z2654" s="7215"/>
      <c r="AA2654" s="7205"/>
      <c r="AB2654" s="7229"/>
      <c r="AC2654" s="7235">
        <v>4</v>
      </c>
      <c r="AD2654" s="4090" t="s">
        <v>4389</v>
      </c>
      <c r="AE2654" s="4090" t="s">
        <v>4412</v>
      </c>
      <c r="AF2654" s="4751">
        <f>28510000*0.15</f>
        <v>4276500</v>
      </c>
      <c r="AG2654" s="4045"/>
      <c r="AH2654" s="4364"/>
      <c r="AI2654" s="4045"/>
      <c r="AJ2654" s="5711"/>
      <c r="AK2654" s="4045"/>
      <c r="AL2654" s="4288"/>
      <c r="AM2654" s="4288"/>
      <c r="AN2654" s="4288"/>
      <c r="AO2654" s="4288"/>
      <c r="AP2654" s="4288"/>
      <c r="AQ2654" s="4288"/>
      <c r="AR2654" s="4288"/>
      <c r="AS2654" s="4288"/>
      <c r="AT2654" s="4288"/>
      <c r="AU2654" s="4288"/>
      <c r="AV2654" s="4288"/>
      <c r="AW2654" s="4288"/>
      <c r="AX2654" s="4288"/>
      <c r="AY2654" s="4288"/>
      <c r="AZ2654" s="4288"/>
      <c r="BA2654" s="4045"/>
      <c r="BB2654" s="4045"/>
      <c r="BC2654" s="4045"/>
      <c r="BD2654" s="4288"/>
      <c r="BE2654" s="4288"/>
      <c r="BF2654" s="4288"/>
      <c r="BG2654" s="4288"/>
      <c r="BH2654" s="4288"/>
      <c r="BI2654" s="4288"/>
      <c r="BJ2654" s="4288"/>
      <c r="BK2654" s="4288"/>
      <c r="BL2654" s="4288"/>
      <c r="BM2654" s="4288"/>
      <c r="BN2654" s="4045"/>
      <c r="BO2654" s="5732"/>
      <c r="BP2654" s="5732"/>
      <c r="BQ2654" s="4045"/>
      <c r="BR2654" s="4288"/>
      <c r="BS2654" s="4288"/>
      <c r="BT2654" s="4288"/>
      <c r="BU2654" s="4288"/>
      <c r="BV2654" s="4288"/>
      <c r="BW2654" s="4288"/>
      <c r="BX2654" s="4288"/>
      <c r="BY2654" s="4288"/>
      <c r="BZ2654" s="4288"/>
      <c r="CA2654" s="4288"/>
      <c r="CB2654" s="4045"/>
      <c r="CC2654" s="4288"/>
      <c r="CD2654" s="4288"/>
      <c r="CE2654" s="7264"/>
      <c r="CF2654" s="7264"/>
      <c r="CG2654" s="7264"/>
      <c r="CH2654" s="7264"/>
    </row>
    <row r="2655" s="5019" customFormat="1" ht="42" customHeight="1" spans="1:86">
      <c r="A2655" s="4364"/>
      <c r="B2655" s="7205"/>
      <c r="C2655" s="7205"/>
      <c r="D2655" s="4092"/>
      <c r="E2655" s="4092"/>
      <c r="F2655" s="7205"/>
      <c r="G2655" s="4092"/>
      <c r="H2655" s="7205"/>
      <c r="I2655" s="7204"/>
      <c r="J2655" s="4092"/>
      <c r="K2655" s="4092"/>
      <c r="L2655" s="4092"/>
      <c r="M2655" s="7204"/>
      <c r="N2655" s="7215"/>
      <c r="O2655" s="7215"/>
      <c r="P2655" s="7205"/>
      <c r="Q2655" s="7215"/>
      <c r="R2655" s="7215"/>
      <c r="S2655" s="7215"/>
      <c r="T2655" s="7215"/>
      <c r="U2655" s="7215"/>
      <c r="V2655" s="7215"/>
      <c r="W2655" s="7215"/>
      <c r="X2655" s="7215"/>
      <c r="Y2655" s="7215"/>
      <c r="Z2655" s="7215"/>
      <c r="AA2655" s="7205"/>
      <c r="AB2655" s="7229"/>
      <c r="AC2655" s="7236"/>
      <c r="AD2655" s="5222"/>
      <c r="AE2655" s="5222"/>
      <c r="AF2655" s="4362"/>
      <c r="AG2655" s="4045">
        <f>28510000*0.8-AG2651</f>
        <v>1729477.2</v>
      </c>
      <c r="AH2655" s="4362" t="s">
        <v>122</v>
      </c>
      <c r="AI2655" s="4288">
        <v>45275</v>
      </c>
      <c r="AJ2655" s="5235">
        <v>1729477.2</v>
      </c>
      <c r="AK2655" s="4288">
        <v>45275</v>
      </c>
      <c r="AL2655" s="4045">
        <f>28510000*0.8-AL2651</f>
        <v>1729477.2</v>
      </c>
      <c r="AM2655" s="4045">
        <v>45365</v>
      </c>
      <c r="AN2655" s="4045">
        <f>SUBTOTAL(9,BO2655:CB2655)</f>
        <v>1729477.2</v>
      </c>
      <c r="AO2655" s="4045">
        <v>45470</v>
      </c>
      <c r="AP2655" s="4046"/>
      <c r="AQ2655" s="5696"/>
      <c r="AR2655" s="7254"/>
      <c r="AS2655" s="4128"/>
      <c r="AT2655" s="4046"/>
      <c r="AU2655" s="5696"/>
      <c r="AV2655" s="5696"/>
      <c r="AW2655" s="5696"/>
      <c r="AX2655" s="5696"/>
      <c r="AY2655" s="5696"/>
      <c r="AZ2655" s="5696"/>
      <c r="BA2655" s="4288"/>
      <c r="BB2655" s="7264"/>
      <c r="BC2655" s="4045"/>
      <c r="BD2655" s="4045"/>
      <c r="BE2655" s="4045"/>
      <c r="BF2655" s="4045"/>
      <c r="BG2655" s="4045"/>
      <c r="BH2655" s="4045"/>
      <c r="BI2655" s="4045"/>
      <c r="BJ2655" s="4045"/>
      <c r="BK2655" s="4045"/>
      <c r="BL2655" s="4045"/>
      <c r="BM2655" s="4045"/>
      <c r="BN2655" s="4046">
        <v>1729477.2</v>
      </c>
      <c r="BO2655" s="5696"/>
      <c r="BP2655" s="5696"/>
      <c r="BQ2655" s="5696"/>
      <c r="BR2655" s="5696"/>
      <c r="BS2655" s="5696"/>
      <c r="BT2655" s="5696"/>
      <c r="BU2655" s="5696"/>
      <c r="BV2655" s="5696"/>
      <c r="BW2655" s="5696"/>
      <c r="BX2655" s="5696"/>
      <c r="BY2655" s="5696"/>
      <c r="BZ2655" s="5696"/>
      <c r="CA2655" s="5696"/>
      <c r="CB2655" s="5704">
        <v>1729477.2</v>
      </c>
      <c r="CC2655" s="7206"/>
      <c r="CD2655" s="7206"/>
      <c r="CE2655" s="7264"/>
      <c r="CF2655" s="7264"/>
      <c r="CG2655" s="7264"/>
      <c r="CH2655" s="7264"/>
    </row>
    <row r="2656" s="5019" customFormat="1" ht="61" spans="1:86">
      <c r="A2656" s="4364"/>
      <c r="B2656" s="7205"/>
      <c r="C2656" s="7205"/>
      <c r="D2656" s="4092"/>
      <c r="E2656" s="4092"/>
      <c r="F2656" s="7205"/>
      <c r="G2656" s="4092"/>
      <c r="H2656" s="7205"/>
      <c r="I2656" s="7204"/>
      <c r="J2656" s="4092"/>
      <c r="K2656" s="4092"/>
      <c r="L2656" s="4092"/>
      <c r="M2656" s="7216"/>
      <c r="N2656" s="7215"/>
      <c r="O2656" s="7215"/>
      <c r="P2656" s="7205"/>
      <c r="Q2656" s="7205"/>
      <c r="R2656" s="7205"/>
      <c r="S2656" s="7205"/>
      <c r="T2656" s="7205"/>
      <c r="U2656" s="7205"/>
      <c r="V2656" s="7205"/>
      <c r="W2656" s="7215"/>
      <c r="X2656" s="7215"/>
      <c r="Y2656" s="7215"/>
      <c r="Z2656" s="7215"/>
      <c r="AA2656" s="7205"/>
      <c r="AB2656" s="7229"/>
      <c r="AC2656" s="5726">
        <v>5</v>
      </c>
      <c r="AD2656" s="4127" t="s">
        <v>4390</v>
      </c>
      <c r="AE2656" s="4127" t="s">
        <v>4413</v>
      </c>
      <c r="AF2656" s="4364">
        <f>28510000*0.1</f>
        <v>2851000</v>
      </c>
      <c r="AG2656" s="4045">
        <f>SUBTOTAL(9,BA2656:BN2656)</f>
        <v>2851000</v>
      </c>
      <c r="AH2656" s="4364" t="s">
        <v>122</v>
      </c>
      <c r="AI2656" s="4045">
        <v>45593</v>
      </c>
      <c r="AJ2656" s="4046">
        <v>2851000</v>
      </c>
      <c r="AK2656" s="4045">
        <v>45593</v>
      </c>
      <c r="AL2656" s="4046">
        <v>2851000</v>
      </c>
      <c r="AM2656" s="4045">
        <v>45593</v>
      </c>
      <c r="AN2656" s="4045">
        <f>SUBTOTAL(9,BO2656:CB2656)</f>
        <v>2851000</v>
      </c>
      <c r="AO2656" s="4045">
        <v>45624</v>
      </c>
      <c r="AP2656" s="4046"/>
      <c r="AQ2656" s="5696"/>
      <c r="AR2656" s="7254"/>
      <c r="AS2656" s="4128"/>
      <c r="AT2656" s="4046"/>
      <c r="AU2656" s="5696"/>
      <c r="AV2656" s="5696"/>
      <c r="AW2656" s="5696"/>
      <c r="AX2656" s="5696"/>
      <c r="AY2656" s="5696"/>
      <c r="AZ2656" s="5696"/>
      <c r="BA2656" s="5696"/>
      <c r="BB2656" s="5696"/>
      <c r="BC2656" s="5696"/>
      <c r="BD2656" s="5696"/>
      <c r="BE2656" s="5696"/>
      <c r="BF2656" s="5696"/>
      <c r="BG2656" s="5696"/>
      <c r="BH2656" s="5696"/>
      <c r="BI2656" s="5704">
        <v>563646.12</v>
      </c>
      <c r="BJ2656" s="5704"/>
      <c r="BK2656" s="5704"/>
      <c r="BL2656" s="5704"/>
      <c r="BM2656" s="5704"/>
      <c r="BN2656" s="4364">
        <f>28510000*0.1-BI2656</f>
        <v>2287353.88</v>
      </c>
      <c r="BO2656" s="5696"/>
      <c r="BP2656" s="5696"/>
      <c r="BQ2656" s="5696"/>
      <c r="BR2656" s="5696"/>
      <c r="BS2656" s="5696"/>
      <c r="BT2656" s="5696"/>
      <c r="BU2656" s="5696"/>
      <c r="BV2656" s="5696"/>
      <c r="BW2656" s="5704">
        <v>563646.12</v>
      </c>
      <c r="BX2656" s="5704"/>
      <c r="BY2656" s="5704"/>
      <c r="BZ2656" s="5704"/>
      <c r="CA2656" s="5704"/>
      <c r="CB2656" s="4364">
        <f>28510000*0.1-BW2656</f>
        <v>2287353.88</v>
      </c>
      <c r="CC2656" s="7206"/>
      <c r="CD2656" s="7206"/>
      <c r="CE2656" s="7264"/>
      <c r="CF2656" s="7264"/>
      <c r="CG2656" s="7264"/>
      <c r="CH2656" s="7264"/>
    </row>
    <row r="2657" s="5019" customFormat="1" spans="1:86">
      <c r="A2657" s="4364"/>
      <c r="B2657" s="7205"/>
      <c r="C2657" s="7205"/>
      <c r="D2657" s="4092"/>
      <c r="E2657" s="4092"/>
      <c r="F2657" s="7205"/>
      <c r="G2657" s="4092"/>
      <c r="H2657" s="7205"/>
      <c r="I2657" s="7204"/>
      <c r="J2657" s="4092"/>
      <c r="K2657" s="4092"/>
      <c r="L2657" s="4092"/>
      <c r="M2657" s="7216"/>
      <c r="N2657" s="7215"/>
      <c r="O2657" s="7215"/>
      <c r="P2657" s="7205"/>
      <c r="Q2657" s="7205"/>
      <c r="R2657" s="7205"/>
      <c r="S2657" s="7205"/>
      <c r="T2657" s="7205"/>
      <c r="U2657" s="7205"/>
      <c r="V2657" s="7205"/>
      <c r="W2657" s="7215"/>
      <c r="X2657" s="7215"/>
      <c r="Y2657" s="7215"/>
      <c r="Z2657" s="7215"/>
      <c r="AA2657" s="7205"/>
      <c r="AB2657" s="7229"/>
      <c r="AC2657" s="7235">
        <v>6</v>
      </c>
      <c r="AD2657" s="4090" t="s">
        <v>4391</v>
      </c>
      <c r="AE2657" s="4090" t="s">
        <v>4414</v>
      </c>
      <c r="AF2657" s="4751">
        <f>28510000*0.1</f>
        <v>2851000</v>
      </c>
      <c r="AG2657" s="5732">
        <f>SUBTOTAL(9,BA2657:BN2657)</f>
        <v>1425500</v>
      </c>
      <c r="AH2657" s="7058" t="s">
        <v>349</v>
      </c>
      <c r="AI2657" s="7058"/>
      <c r="AJ2657" s="4046"/>
      <c r="AK2657" s="4045"/>
      <c r="AL2657" s="4046"/>
      <c r="AM2657" s="4045"/>
      <c r="AN2657" s="7244"/>
      <c r="AO2657" s="4045"/>
      <c r="AP2657" s="4046"/>
      <c r="AQ2657" s="7171" t="s">
        <v>4415</v>
      </c>
      <c r="AR2657" s="7254"/>
      <c r="AS2657" s="4128"/>
      <c r="AT2657" s="4046"/>
      <c r="AU2657" s="5696"/>
      <c r="AV2657" s="5696"/>
      <c r="AW2657" s="5696"/>
      <c r="AX2657" s="5696"/>
      <c r="AY2657" s="5696"/>
      <c r="AZ2657" s="5696"/>
      <c r="BA2657" s="5696"/>
      <c r="BB2657" s="5696"/>
      <c r="BC2657" s="5696">
        <f>BC2658</f>
        <v>131681.92</v>
      </c>
      <c r="BD2657" s="5696"/>
      <c r="BE2657" s="5696"/>
      <c r="BF2657" s="5696"/>
      <c r="BG2657" s="5696"/>
      <c r="BH2657" s="5696">
        <f>BH2658</f>
        <v>-10965.7</v>
      </c>
      <c r="BI2657" s="5696">
        <f>BI2658</f>
        <v>140911.525</v>
      </c>
      <c r="BJ2657" s="5704"/>
      <c r="BK2657" s="5704"/>
      <c r="BL2657" s="5704"/>
      <c r="BM2657" s="5704"/>
      <c r="BN2657" s="4364">
        <f>BN2658</f>
        <v>1163872.255</v>
      </c>
      <c r="BO2657" s="5696"/>
      <c r="BP2657" s="5696"/>
      <c r="BQ2657" s="5696"/>
      <c r="BR2657" s="5696"/>
      <c r="BS2657" s="5696"/>
      <c r="BT2657" s="5696"/>
      <c r="BU2657" s="5696"/>
      <c r="BV2657" s="5696"/>
      <c r="BW2657" s="5704"/>
      <c r="BX2657" s="5704"/>
      <c r="BY2657" s="5704"/>
      <c r="BZ2657" s="5704"/>
      <c r="CA2657" s="5704"/>
      <c r="CB2657" s="4364"/>
      <c r="CC2657" s="7206"/>
      <c r="CD2657" s="7206"/>
      <c r="CE2657" s="7264"/>
      <c r="CF2657" s="7264"/>
      <c r="CG2657" s="7264"/>
      <c r="CH2657" s="7264"/>
    </row>
    <row r="2658" s="5019" customFormat="1" spans="1:86">
      <c r="A2658" s="4364"/>
      <c r="B2658" s="7206"/>
      <c r="C2658" s="7206"/>
      <c r="D2658" s="4125"/>
      <c r="E2658" s="4125"/>
      <c r="F2658" s="7206"/>
      <c r="G2658" s="4125"/>
      <c r="H2658" s="7206"/>
      <c r="I2658" s="4362"/>
      <c r="J2658" s="4125"/>
      <c r="K2658" s="4125"/>
      <c r="L2658" s="4125"/>
      <c r="M2658" s="7217"/>
      <c r="N2658" s="7218"/>
      <c r="O2658" s="7218"/>
      <c r="P2658" s="7206"/>
      <c r="Q2658" s="7206"/>
      <c r="R2658" s="7206"/>
      <c r="S2658" s="7206"/>
      <c r="T2658" s="7206"/>
      <c r="U2658" s="7206"/>
      <c r="V2658" s="7206"/>
      <c r="W2658" s="7218"/>
      <c r="X2658" s="7218"/>
      <c r="Y2658" s="7218"/>
      <c r="Z2658" s="7218"/>
      <c r="AA2658" s="7206"/>
      <c r="AB2658" s="7230"/>
      <c r="AC2658" s="7236"/>
      <c r="AD2658" s="5222"/>
      <c r="AE2658" s="5222"/>
      <c r="AF2658" s="4362"/>
      <c r="AG2658" s="5732">
        <f>SUBTOTAL(9,BA2658:BN2658)</f>
        <v>1425500</v>
      </c>
      <c r="AH2658" s="7058" t="s">
        <v>349</v>
      </c>
      <c r="AI2658" s="5732"/>
      <c r="AJ2658" s="4046"/>
      <c r="AK2658" s="4046"/>
      <c r="AL2658" s="4046"/>
      <c r="AM2658" s="4046"/>
      <c r="AN2658" s="4045"/>
      <c r="AO2658" s="4046"/>
      <c r="AP2658" s="4046"/>
      <c r="AQ2658" s="7171"/>
      <c r="AR2658" s="7254"/>
      <c r="AS2658" s="4128"/>
      <c r="AT2658" s="4046"/>
      <c r="AU2658" s="5696"/>
      <c r="AV2658" s="5696"/>
      <c r="AW2658" s="5696"/>
      <c r="AX2658" s="5696"/>
      <c r="AY2658" s="5696"/>
      <c r="AZ2658" s="5696"/>
      <c r="BA2658" s="7265"/>
      <c r="BB2658" s="7265"/>
      <c r="BC2658" s="7266">
        <f>(4447528.43-BC2651)/2/2</f>
        <v>131681.92</v>
      </c>
      <c r="BD2658" s="7265"/>
      <c r="BE2658" s="7265"/>
      <c r="BF2658" s="7265"/>
      <c r="BG2658" s="7265"/>
      <c r="BH2658" s="7266">
        <f>(995303.93-BH2651)/2</f>
        <v>-10965.7</v>
      </c>
      <c r="BI2658" s="7269">
        <f>(2818230.58-BI2656-BI2651)/2</f>
        <v>140911.525</v>
      </c>
      <c r="BJ2658" s="7265"/>
      <c r="BK2658" s="7265"/>
      <c r="BL2658" s="7265"/>
      <c r="BM2658" s="7265"/>
      <c r="BN2658" s="7269">
        <f>(2851000-BI2658-BH2657-BH2658-BI2657-BC2658-BC2657)/2</f>
        <v>1163872.255</v>
      </c>
      <c r="BO2658" s="7265"/>
      <c r="BP2658" s="7265"/>
      <c r="BQ2658" s="7265"/>
      <c r="BR2658" s="7265"/>
      <c r="BS2658" s="7265"/>
      <c r="BT2658" s="7265"/>
      <c r="BU2658" s="7265"/>
      <c r="BV2658" s="7265"/>
      <c r="BW2658" s="7265"/>
      <c r="BX2658" s="7265"/>
      <c r="BY2658" s="7265"/>
      <c r="BZ2658" s="7265"/>
      <c r="CA2658" s="7265"/>
      <c r="CB2658" s="7265"/>
      <c r="CC2658" s="7205"/>
      <c r="CD2658" s="7205"/>
      <c r="CE2658" s="7264"/>
      <c r="CF2658" s="7264"/>
      <c r="CG2658" s="7264"/>
      <c r="CH2658" s="7264"/>
    </row>
    <row r="2659" s="5019" customFormat="1" ht="31" spans="1:86">
      <c r="A2659" s="4364"/>
      <c r="B2659" s="4364" t="s">
        <v>690</v>
      </c>
      <c r="C2659" s="4046">
        <v>45940</v>
      </c>
      <c r="D2659" s="4127" t="s">
        <v>4416</v>
      </c>
      <c r="E2659" s="4127" t="s">
        <v>4417</v>
      </c>
      <c r="F2659" s="4127" t="s">
        <v>4418</v>
      </c>
      <c r="G2659" s="4127" t="s">
        <v>4419</v>
      </c>
      <c r="H2659" s="4364" t="s">
        <v>4420</v>
      </c>
      <c r="I2659" s="4364" t="s">
        <v>4421</v>
      </c>
      <c r="J2659" s="4127" t="s">
        <v>1242</v>
      </c>
      <c r="K2659" s="4127" t="s">
        <v>4422</v>
      </c>
      <c r="L2659" s="4127" t="s">
        <v>4423</v>
      </c>
      <c r="M2659" s="4364">
        <v>148500</v>
      </c>
      <c r="N2659" s="7215"/>
      <c r="O2659" s="7215"/>
      <c r="P2659" s="7205"/>
      <c r="Q2659" s="7205"/>
      <c r="R2659" s="7205"/>
      <c r="S2659" s="7205"/>
      <c r="T2659" s="7205"/>
      <c r="U2659" s="7205"/>
      <c r="V2659" s="7206"/>
      <c r="W2659" s="7215"/>
      <c r="X2659" s="7215"/>
      <c r="Y2659" s="7215"/>
      <c r="Z2659" s="7215"/>
      <c r="AA2659" s="7205"/>
      <c r="AB2659" s="7229"/>
      <c r="AC2659" s="7236">
        <v>1</v>
      </c>
      <c r="AD2659" s="5222" t="s">
        <v>4424</v>
      </c>
      <c r="AE2659" s="5222">
        <v>0.25</v>
      </c>
      <c r="AF2659" s="4362">
        <f>M2659*AE2659</f>
        <v>37125</v>
      </c>
      <c r="AG2659" s="7241">
        <f>SUM(BA2659:BN2659)</f>
        <v>37125</v>
      </c>
      <c r="AH2659" s="7242" t="s">
        <v>349</v>
      </c>
      <c r="AI2659" s="7243">
        <v>46203</v>
      </c>
      <c r="AJ2659" s="4046"/>
      <c r="AK2659" s="4046"/>
      <c r="AL2659" s="4046"/>
      <c r="AM2659" s="4046"/>
      <c r="AN2659" s="4045"/>
      <c r="AO2659" s="4046"/>
      <c r="AP2659" s="4046"/>
      <c r="AQ2659" s="7171"/>
      <c r="AR2659" s="7254"/>
      <c r="AS2659" s="4128"/>
      <c r="AT2659" s="4046"/>
      <c r="AU2659" s="5696"/>
      <c r="AV2659" s="5696"/>
      <c r="AW2659" s="5696"/>
      <c r="AX2659" s="5696"/>
      <c r="AY2659" s="5696"/>
      <c r="AZ2659" s="5696"/>
      <c r="BA2659" s="7265"/>
      <c r="BB2659" s="7265"/>
      <c r="BC2659" s="7266"/>
      <c r="BD2659" s="7265"/>
      <c r="BE2659" s="7265"/>
      <c r="BF2659" s="7265"/>
      <c r="BG2659" s="7265"/>
      <c r="BH2659" s="7266"/>
      <c r="BI2659" s="7269"/>
      <c r="BJ2659" s="7269">
        <v>37125</v>
      </c>
      <c r="BK2659" s="7265"/>
      <c r="BL2659" s="7265"/>
      <c r="BM2659" s="7265"/>
      <c r="BN2659" s="7269"/>
      <c r="BO2659" s="7265"/>
      <c r="BP2659" s="7265"/>
      <c r="BQ2659" s="7265"/>
      <c r="BR2659" s="7265"/>
      <c r="BS2659" s="7265"/>
      <c r="BT2659" s="7265"/>
      <c r="BU2659" s="7265"/>
      <c r="BV2659" s="7265"/>
      <c r="BW2659" s="7265"/>
      <c r="BX2659" s="7265"/>
      <c r="BY2659" s="7265"/>
      <c r="BZ2659" s="7265"/>
      <c r="CA2659" s="7265"/>
      <c r="CB2659" s="7265"/>
      <c r="CC2659" s="7205"/>
      <c r="CD2659" s="7205"/>
      <c r="CE2659" s="7264"/>
      <c r="CF2659" s="7264"/>
      <c r="CG2659" s="7264"/>
      <c r="CH2659" s="7264"/>
    </row>
    <row r="2660" s="5019" customFormat="1" ht="31" spans="1:86">
      <c r="A2660" s="4364"/>
      <c r="B2660" s="4046"/>
      <c r="C2660" s="4046"/>
      <c r="D2660" s="4128"/>
      <c r="E2660" s="4128"/>
      <c r="F2660" s="4128"/>
      <c r="G2660" s="5711"/>
      <c r="H2660" s="4046"/>
      <c r="I2660" s="4364"/>
      <c r="J2660" s="4128"/>
      <c r="K2660" s="4128"/>
      <c r="L2660" s="4128"/>
      <c r="M2660" s="4364"/>
      <c r="N2660" s="7215"/>
      <c r="O2660" s="7215"/>
      <c r="P2660" s="7205"/>
      <c r="Q2660" s="7205"/>
      <c r="R2660" s="7205"/>
      <c r="S2660" s="7205"/>
      <c r="T2660" s="7205"/>
      <c r="U2660" s="7205"/>
      <c r="V2660" s="7206"/>
      <c r="W2660" s="7215"/>
      <c r="X2660" s="7215"/>
      <c r="Y2660" s="7215"/>
      <c r="Z2660" s="7215"/>
      <c r="AA2660" s="7205"/>
      <c r="AB2660" s="7229"/>
      <c r="AC2660" s="7236">
        <v>2</v>
      </c>
      <c r="AD2660" s="5222" t="s">
        <v>4425</v>
      </c>
      <c r="AE2660" s="5222">
        <v>0.25</v>
      </c>
      <c r="AF2660" s="4362">
        <f>M2659*AE2660</f>
        <v>37125</v>
      </c>
      <c r="AG2660" s="4199">
        <f>SUM(BA2660:BN2660)</f>
        <v>0</v>
      </c>
      <c r="AH2660" s="7058"/>
      <c r="AI2660" s="5732"/>
      <c r="AJ2660" s="4046"/>
      <c r="AK2660" s="4046"/>
      <c r="AL2660" s="4046"/>
      <c r="AM2660" s="4046"/>
      <c r="AN2660" s="4045"/>
      <c r="AO2660" s="4046"/>
      <c r="AP2660" s="4046"/>
      <c r="AQ2660" s="7171"/>
      <c r="AR2660" s="7254"/>
      <c r="AS2660" s="4128"/>
      <c r="AT2660" s="4046"/>
      <c r="AU2660" s="5696"/>
      <c r="AV2660" s="5696"/>
      <c r="AW2660" s="5696"/>
      <c r="AX2660" s="5696"/>
      <c r="AY2660" s="5696"/>
      <c r="AZ2660" s="5696"/>
      <c r="BA2660" s="7265"/>
      <c r="BB2660" s="7265"/>
      <c r="BC2660" s="7266"/>
      <c r="BD2660" s="7265"/>
      <c r="BE2660" s="7265"/>
      <c r="BF2660" s="7265"/>
      <c r="BG2660" s="7265"/>
      <c r="BH2660" s="7266"/>
      <c r="BI2660" s="7269"/>
      <c r="BJ2660" s="7265"/>
      <c r="BK2660" s="7265"/>
      <c r="BL2660" s="7265"/>
      <c r="BM2660" s="7265"/>
      <c r="BN2660" s="7269"/>
      <c r="BO2660" s="7265"/>
      <c r="BP2660" s="7265"/>
      <c r="BQ2660" s="7265"/>
      <c r="BR2660" s="7265"/>
      <c r="BS2660" s="7265"/>
      <c r="BT2660" s="7265"/>
      <c r="BU2660" s="7265"/>
      <c r="BV2660" s="7265"/>
      <c r="BW2660" s="7265"/>
      <c r="BX2660" s="7265"/>
      <c r="BY2660" s="7265"/>
      <c r="BZ2660" s="7265"/>
      <c r="CA2660" s="7265"/>
      <c r="CB2660" s="7265"/>
      <c r="CC2660" s="7205"/>
      <c r="CD2660" s="7205"/>
      <c r="CE2660" s="7264"/>
      <c r="CF2660" s="7264"/>
      <c r="CG2660" s="7264"/>
      <c r="CH2660" s="7264"/>
    </row>
    <row r="2661" s="5019" customFormat="1" ht="31" spans="1:86">
      <c r="A2661" s="4364"/>
      <c r="B2661" s="4046"/>
      <c r="C2661" s="4046"/>
      <c r="D2661" s="4128"/>
      <c r="E2661" s="4128"/>
      <c r="F2661" s="4128"/>
      <c r="G2661" s="5711"/>
      <c r="H2661" s="4046"/>
      <c r="I2661" s="4364"/>
      <c r="J2661" s="4128"/>
      <c r="K2661" s="4128"/>
      <c r="L2661" s="4128"/>
      <c r="M2661" s="4364"/>
      <c r="N2661" s="7215"/>
      <c r="O2661" s="7215"/>
      <c r="P2661" s="7205"/>
      <c r="Q2661" s="7205"/>
      <c r="R2661" s="7205"/>
      <c r="S2661" s="7205"/>
      <c r="T2661" s="7205"/>
      <c r="U2661" s="7205"/>
      <c r="V2661" s="7206"/>
      <c r="W2661" s="7215"/>
      <c r="X2661" s="7215"/>
      <c r="Y2661" s="7215"/>
      <c r="Z2661" s="7215"/>
      <c r="AA2661" s="7205"/>
      <c r="AB2661" s="7229"/>
      <c r="AC2661" s="7236">
        <v>3</v>
      </c>
      <c r="AD2661" s="5222" t="s">
        <v>4426</v>
      </c>
      <c r="AE2661" s="5222">
        <v>0.25</v>
      </c>
      <c r="AF2661" s="4362">
        <f>M2659*AE2661</f>
        <v>37125</v>
      </c>
      <c r="AG2661" s="4199">
        <f>SUM(BA2661:BN2661)</f>
        <v>0</v>
      </c>
      <c r="AH2661" s="7058"/>
      <c r="AI2661" s="5732"/>
      <c r="AJ2661" s="4046"/>
      <c r="AK2661" s="4046"/>
      <c r="AL2661" s="4046"/>
      <c r="AM2661" s="4046"/>
      <c r="AN2661" s="4045"/>
      <c r="AO2661" s="4046"/>
      <c r="AP2661" s="4046"/>
      <c r="AQ2661" s="7171"/>
      <c r="AR2661" s="7254"/>
      <c r="AS2661" s="4128"/>
      <c r="AT2661" s="4046"/>
      <c r="AU2661" s="5696"/>
      <c r="AV2661" s="5696"/>
      <c r="AW2661" s="5696"/>
      <c r="AX2661" s="5696"/>
      <c r="AY2661" s="5696"/>
      <c r="AZ2661" s="5696"/>
      <c r="BA2661" s="7265"/>
      <c r="BB2661" s="7265"/>
      <c r="BC2661" s="7266"/>
      <c r="BD2661" s="7265"/>
      <c r="BE2661" s="7265"/>
      <c r="BF2661" s="7265"/>
      <c r="BG2661" s="7265"/>
      <c r="BH2661" s="7266"/>
      <c r="BI2661" s="7269"/>
      <c r="BJ2661" s="7265"/>
      <c r="BK2661" s="7265"/>
      <c r="BL2661" s="7265"/>
      <c r="BM2661" s="7265"/>
      <c r="BN2661" s="7269"/>
      <c r="BO2661" s="7265"/>
      <c r="BP2661" s="7265"/>
      <c r="BQ2661" s="7265"/>
      <c r="BR2661" s="7265"/>
      <c r="BS2661" s="7265"/>
      <c r="BT2661" s="7265"/>
      <c r="BU2661" s="7265"/>
      <c r="BV2661" s="7265"/>
      <c r="BW2661" s="7265"/>
      <c r="BX2661" s="7265"/>
      <c r="BY2661" s="7265"/>
      <c r="BZ2661" s="7265"/>
      <c r="CA2661" s="7265"/>
      <c r="CB2661" s="7265"/>
      <c r="CC2661" s="7205"/>
      <c r="CD2661" s="7205"/>
      <c r="CE2661" s="7264"/>
      <c r="CF2661" s="7264"/>
      <c r="CG2661" s="7264"/>
      <c r="CH2661" s="7264"/>
    </row>
    <row r="2662" s="5019" customFormat="1" ht="46" spans="1:86">
      <c r="A2662" s="4364"/>
      <c r="B2662" s="4046"/>
      <c r="C2662" s="4046"/>
      <c r="D2662" s="4128"/>
      <c r="E2662" s="4128"/>
      <c r="F2662" s="4128"/>
      <c r="G2662" s="5711"/>
      <c r="H2662" s="4046"/>
      <c r="I2662" s="4364"/>
      <c r="J2662" s="4128"/>
      <c r="K2662" s="4128"/>
      <c r="L2662" s="4128"/>
      <c r="M2662" s="4364"/>
      <c r="N2662" s="7215"/>
      <c r="O2662" s="7215"/>
      <c r="P2662" s="7205"/>
      <c r="Q2662" s="7205"/>
      <c r="R2662" s="7205"/>
      <c r="S2662" s="7205"/>
      <c r="T2662" s="7205"/>
      <c r="U2662" s="7205"/>
      <c r="V2662" s="7206"/>
      <c r="W2662" s="7215"/>
      <c r="X2662" s="7215"/>
      <c r="Y2662" s="7215"/>
      <c r="Z2662" s="7215"/>
      <c r="AA2662" s="7205"/>
      <c r="AB2662" s="7229"/>
      <c r="AC2662" s="7236">
        <v>4</v>
      </c>
      <c r="AD2662" s="5222" t="s">
        <v>4427</v>
      </c>
      <c r="AE2662" s="5222">
        <v>0.25</v>
      </c>
      <c r="AF2662" s="4362">
        <f>M2659*AE2662</f>
        <v>37125</v>
      </c>
      <c r="AG2662" s="4199">
        <f>SUM(BA2662:BN2662)</f>
        <v>0</v>
      </c>
      <c r="AH2662" s="7058"/>
      <c r="AI2662" s="5732"/>
      <c r="AJ2662" s="4046"/>
      <c r="AK2662" s="4046"/>
      <c r="AL2662" s="4046"/>
      <c r="AM2662" s="4046"/>
      <c r="AN2662" s="4045"/>
      <c r="AO2662" s="4046"/>
      <c r="AP2662" s="4046"/>
      <c r="AQ2662" s="7171"/>
      <c r="AR2662" s="7254"/>
      <c r="AS2662" s="4128"/>
      <c r="AT2662" s="4046"/>
      <c r="AU2662" s="5696"/>
      <c r="AV2662" s="5696"/>
      <c r="AW2662" s="5696"/>
      <c r="AX2662" s="5696"/>
      <c r="AY2662" s="5696"/>
      <c r="AZ2662" s="5696"/>
      <c r="BA2662" s="7265"/>
      <c r="BB2662" s="7265"/>
      <c r="BC2662" s="7266"/>
      <c r="BD2662" s="7265"/>
      <c r="BE2662" s="7265"/>
      <c r="BF2662" s="7265"/>
      <c r="BG2662" s="7265"/>
      <c r="BH2662" s="7266"/>
      <c r="BI2662" s="7269"/>
      <c r="BJ2662" s="7265"/>
      <c r="BK2662" s="7265"/>
      <c r="BL2662" s="7265"/>
      <c r="BM2662" s="7265"/>
      <c r="BN2662" s="7269"/>
      <c r="BO2662" s="7265"/>
      <c r="BP2662" s="7265"/>
      <c r="BQ2662" s="7265"/>
      <c r="BR2662" s="7265"/>
      <c r="BS2662" s="7265"/>
      <c r="BT2662" s="7265"/>
      <c r="BU2662" s="7265"/>
      <c r="BV2662" s="7265"/>
      <c r="BW2662" s="7265"/>
      <c r="BX2662" s="7265"/>
      <c r="BY2662" s="7265"/>
      <c r="BZ2662" s="7265"/>
      <c r="CA2662" s="7265"/>
      <c r="CB2662" s="7265"/>
      <c r="CC2662" s="7205"/>
      <c r="CD2662" s="7205"/>
      <c r="CE2662" s="7264"/>
      <c r="CF2662" s="7264"/>
      <c r="CG2662" s="7264"/>
      <c r="CH2662" s="7264"/>
    </row>
    <row r="2663" s="5020" customFormat="1" ht="61" spans="1:86">
      <c r="A2663" s="6444"/>
      <c r="B2663" s="6444" t="s">
        <v>2570</v>
      </c>
      <c r="C2663" s="3066">
        <v>45849</v>
      </c>
      <c r="D2663" s="6388" t="s">
        <v>4428</v>
      </c>
      <c r="E2663" s="5221" t="s">
        <v>4429</v>
      </c>
      <c r="F2663" s="6388" t="s">
        <v>4430</v>
      </c>
      <c r="G2663" s="6388" t="s">
        <v>4431</v>
      </c>
      <c r="H2663" s="6444" t="s">
        <v>3551</v>
      </c>
      <c r="I2663" s="6388" t="s">
        <v>4432</v>
      </c>
      <c r="J2663" s="6388" t="s">
        <v>4433</v>
      </c>
      <c r="K2663" s="6388" t="s">
        <v>4434</v>
      </c>
      <c r="L2663" s="6388" t="s">
        <v>4435</v>
      </c>
      <c r="M2663" s="6444">
        <v>19001085.24</v>
      </c>
      <c r="N2663" s="7219"/>
      <c r="O2663" s="7219"/>
      <c r="P2663" s="6340"/>
      <c r="Q2663" s="6340"/>
      <c r="R2663" s="6340"/>
      <c r="S2663" s="6340"/>
      <c r="T2663" s="6340"/>
      <c r="U2663" s="6340"/>
      <c r="V2663" s="3066">
        <v>288000</v>
      </c>
      <c r="W2663" s="7219"/>
      <c r="X2663" s="7219"/>
      <c r="Y2663" s="7219"/>
      <c r="Z2663" s="7219"/>
      <c r="AA2663" s="6340">
        <v>18713085.24</v>
      </c>
      <c r="AB2663" s="7231" t="s">
        <v>3581</v>
      </c>
      <c r="AC2663" s="2087">
        <v>1</v>
      </c>
      <c r="AD2663" s="6388" t="s">
        <v>4407</v>
      </c>
      <c r="AE2663" s="6388" t="s">
        <v>4408</v>
      </c>
      <c r="AF2663" s="6444">
        <f>M2663*10%</f>
        <v>1900108.524</v>
      </c>
      <c r="AG2663" s="3065">
        <f t="shared" ref="AG2663:AG2668" si="550">SUBTOTAL(9,BA2663:BN2663)</f>
        <v>1900108.524</v>
      </c>
      <c r="AH2663" s="6444" t="s">
        <v>122</v>
      </c>
      <c r="AI2663" s="6444">
        <v>45884</v>
      </c>
      <c r="AJ2663" s="3066">
        <v>1900108.52</v>
      </c>
      <c r="AK2663" s="6444">
        <v>45884</v>
      </c>
      <c r="AL2663" s="3066">
        <v>1900108.52</v>
      </c>
      <c r="AM2663" s="3066">
        <v>45887</v>
      </c>
      <c r="AN2663" s="3065">
        <f>SUBTOTAL(9,BO2663:CD2663)</f>
        <v>1900108.524</v>
      </c>
      <c r="AO2663" s="3066">
        <v>45896</v>
      </c>
      <c r="AP2663" s="3065">
        <f>AF2663-AN2663</f>
        <v>0</v>
      </c>
      <c r="AQ2663" s="6770"/>
      <c r="AR2663" s="7011"/>
      <c r="AS2663" s="6522"/>
      <c r="AT2663" s="3066"/>
      <c r="AU2663" s="5696"/>
      <c r="AV2663" s="5696"/>
      <c r="AW2663" s="5696"/>
      <c r="AX2663" s="5696"/>
      <c r="AY2663" s="5696"/>
      <c r="AZ2663" s="5696"/>
      <c r="BA2663" s="6424"/>
      <c r="BB2663" s="6424"/>
      <c r="BC2663" s="6527"/>
      <c r="BD2663" s="6424"/>
      <c r="BE2663" s="6424"/>
      <c r="BF2663" s="6424"/>
      <c r="BG2663" s="6424"/>
      <c r="BH2663" s="6527"/>
      <c r="BI2663" s="6556"/>
      <c r="BJ2663" s="6556"/>
      <c r="BK2663" s="6556"/>
      <c r="BL2663" s="6556"/>
      <c r="BM2663" s="6556"/>
      <c r="BN2663" s="6556">
        <v>1900108.524</v>
      </c>
      <c r="BO2663" s="6424"/>
      <c r="BP2663" s="6424"/>
      <c r="BQ2663" s="6424"/>
      <c r="BR2663" s="6424"/>
      <c r="BS2663" s="6424"/>
      <c r="BT2663" s="6424"/>
      <c r="BU2663" s="6424"/>
      <c r="BV2663" s="6424"/>
      <c r="BW2663" s="6556"/>
      <c r="BX2663" s="6556"/>
      <c r="BY2663" s="6556"/>
      <c r="BZ2663" s="6556"/>
      <c r="CA2663" s="6556"/>
      <c r="CB2663" s="6556">
        <v>1900108.524</v>
      </c>
      <c r="CC2663" s="3066"/>
      <c r="CD2663" s="3066"/>
      <c r="CE2663" s="6848"/>
      <c r="CF2663" s="6848"/>
      <c r="CG2663" s="6848"/>
      <c r="CH2663" s="6848"/>
    </row>
    <row r="2664" s="5020" customFormat="1" ht="61" spans="1:86">
      <c r="A2664" s="6444"/>
      <c r="B2664" s="3066"/>
      <c r="C2664" s="3066"/>
      <c r="D2664" s="6522"/>
      <c r="E2664" s="4092"/>
      <c r="F2664" s="6522"/>
      <c r="G2664" s="6522"/>
      <c r="H2664" s="3066"/>
      <c r="I2664" s="6388"/>
      <c r="J2664" s="6522"/>
      <c r="K2664" s="6522"/>
      <c r="L2664" s="6522"/>
      <c r="M2664" s="6444"/>
      <c r="N2664" s="7220"/>
      <c r="O2664" s="7220"/>
      <c r="P2664" s="6341"/>
      <c r="Q2664" s="6341"/>
      <c r="R2664" s="6341"/>
      <c r="S2664" s="6341"/>
      <c r="T2664" s="6341"/>
      <c r="U2664" s="6341"/>
      <c r="V2664" s="3066"/>
      <c r="W2664" s="7220"/>
      <c r="X2664" s="7220"/>
      <c r="Y2664" s="7220"/>
      <c r="Z2664" s="7220"/>
      <c r="AA2664" s="6341"/>
      <c r="AB2664" s="7232"/>
      <c r="AC2664" s="2087">
        <v>2</v>
      </c>
      <c r="AD2664" s="6388" t="s">
        <v>4409</v>
      </c>
      <c r="AE2664" s="6388" t="s">
        <v>4410</v>
      </c>
      <c r="AF2664" s="6444">
        <f>M2663*40%</f>
        <v>7600434.096</v>
      </c>
      <c r="AG2664" s="3065">
        <f t="shared" si="550"/>
        <v>7600434.096</v>
      </c>
      <c r="AH2664" s="6444" t="s">
        <v>122</v>
      </c>
      <c r="AI2664" s="6444">
        <v>45884</v>
      </c>
      <c r="AJ2664" s="3066">
        <v>7600434.1</v>
      </c>
      <c r="AK2664" s="6444">
        <v>45884</v>
      </c>
      <c r="AL2664" s="3066">
        <v>7600434.1</v>
      </c>
      <c r="AM2664" s="3066">
        <v>45887</v>
      </c>
      <c r="AN2664" s="3065">
        <f>SUBTOTAL(9,BO2664:CD2664)</f>
        <v>7600434.096</v>
      </c>
      <c r="AO2664" s="3066">
        <v>45896</v>
      </c>
      <c r="AP2664" s="3065">
        <f>AF2664-AN2664</f>
        <v>0</v>
      </c>
      <c r="AQ2664" s="6770"/>
      <c r="AR2664" s="7011"/>
      <c r="AS2664" s="6522"/>
      <c r="AT2664" s="3066"/>
      <c r="AU2664" s="5696"/>
      <c r="AV2664" s="5696"/>
      <c r="AW2664" s="5696"/>
      <c r="AX2664" s="5696"/>
      <c r="AY2664" s="5696"/>
      <c r="AZ2664" s="5696"/>
      <c r="BA2664" s="6424"/>
      <c r="BB2664" s="6424"/>
      <c r="BC2664" s="6527"/>
      <c r="BD2664" s="6424"/>
      <c r="BE2664" s="6424"/>
      <c r="BF2664" s="6424"/>
      <c r="BG2664" s="6424"/>
      <c r="BH2664" s="6527"/>
      <c r="BI2664" s="6556"/>
      <c r="BJ2664" s="6556"/>
      <c r="BK2664" s="6556"/>
      <c r="BL2664" s="6556"/>
      <c r="BM2664" s="6556"/>
      <c r="BN2664" s="6556">
        <v>7600434.096</v>
      </c>
      <c r="BO2664" s="6424"/>
      <c r="BP2664" s="6424"/>
      <c r="BQ2664" s="6424"/>
      <c r="BR2664" s="6424"/>
      <c r="BS2664" s="6424"/>
      <c r="BT2664" s="6424"/>
      <c r="BU2664" s="6424"/>
      <c r="BV2664" s="6424"/>
      <c r="BW2664" s="6556"/>
      <c r="BX2664" s="6556"/>
      <c r="BY2664" s="6556"/>
      <c r="BZ2664" s="6556"/>
      <c r="CA2664" s="6556"/>
      <c r="CB2664" s="6556">
        <v>7600434.096</v>
      </c>
      <c r="CC2664" s="3066"/>
      <c r="CD2664" s="3066"/>
      <c r="CE2664" s="6848"/>
      <c r="CF2664" s="6848"/>
      <c r="CG2664" s="6848"/>
      <c r="CH2664" s="6848"/>
    </row>
    <row r="2665" s="5020" customFormat="1" ht="61" spans="1:86">
      <c r="A2665" s="6444"/>
      <c r="B2665" s="3066"/>
      <c r="C2665" s="3066"/>
      <c r="D2665" s="6522"/>
      <c r="E2665" s="4092"/>
      <c r="F2665" s="6522"/>
      <c r="G2665" s="6522"/>
      <c r="H2665" s="3066"/>
      <c r="I2665" s="6388"/>
      <c r="J2665" s="6522"/>
      <c r="K2665" s="6522"/>
      <c r="L2665" s="6522"/>
      <c r="M2665" s="6444"/>
      <c r="N2665" s="7220"/>
      <c r="O2665" s="7220"/>
      <c r="P2665" s="6341"/>
      <c r="Q2665" s="6341"/>
      <c r="R2665" s="6341"/>
      <c r="S2665" s="6341"/>
      <c r="T2665" s="6341"/>
      <c r="U2665" s="6341"/>
      <c r="V2665" s="3066"/>
      <c r="W2665" s="7220"/>
      <c r="X2665" s="7220"/>
      <c r="Y2665" s="7220"/>
      <c r="Z2665" s="7220"/>
      <c r="AA2665" s="6341"/>
      <c r="AB2665" s="7232"/>
      <c r="AC2665" s="2087">
        <v>3</v>
      </c>
      <c r="AD2665" s="6388" t="s">
        <v>4388</v>
      </c>
      <c r="AE2665" s="6388" t="s">
        <v>4411</v>
      </c>
      <c r="AF2665" s="6444">
        <f>M2663*15%</f>
        <v>2850162.786</v>
      </c>
      <c r="AG2665" s="3065">
        <f t="shared" si="550"/>
        <v>2850162.786</v>
      </c>
      <c r="AH2665" s="6444" t="s">
        <v>122</v>
      </c>
      <c r="AI2665" s="6444">
        <v>45884</v>
      </c>
      <c r="AJ2665" s="3066">
        <v>2850162.79</v>
      </c>
      <c r="AK2665" s="6444">
        <v>45884</v>
      </c>
      <c r="AL2665" s="3066">
        <v>2850162.79</v>
      </c>
      <c r="AM2665" s="3066">
        <v>45887</v>
      </c>
      <c r="AN2665" s="3065">
        <f>SUBTOTAL(9,BO2665:CD2665)</f>
        <v>2850162.786</v>
      </c>
      <c r="AO2665" s="3066">
        <v>45896</v>
      </c>
      <c r="AP2665" s="3065">
        <f>AF2665-AN2665</f>
        <v>0</v>
      </c>
      <c r="AQ2665" s="6770"/>
      <c r="AR2665" s="7011"/>
      <c r="AS2665" s="6522"/>
      <c r="AT2665" s="3066"/>
      <c r="AU2665" s="5696"/>
      <c r="AV2665" s="5696"/>
      <c r="AW2665" s="5696"/>
      <c r="AX2665" s="5696"/>
      <c r="AY2665" s="5696"/>
      <c r="AZ2665" s="5696"/>
      <c r="BA2665" s="6424"/>
      <c r="BB2665" s="6424"/>
      <c r="BC2665" s="6527"/>
      <c r="BD2665" s="6424"/>
      <c r="BE2665" s="6424"/>
      <c r="BF2665" s="6424"/>
      <c r="BG2665" s="6424"/>
      <c r="BH2665" s="6527"/>
      <c r="BI2665" s="6556">
        <f>288000*0.5</f>
        <v>144000</v>
      </c>
      <c r="BJ2665" s="6556"/>
      <c r="BK2665" s="6556"/>
      <c r="BL2665" s="6556"/>
      <c r="BM2665" s="6556"/>
      <c r="BN2665" s="6556">
        <f>2850162.786-BH2665-BI2665</f>
        <v>2706162.786</v>
      </c>
      <c r="BO2665" s="6424"/>
      <c r="BP2665" s="6424"/>
      <c r="BQ2665" s="6424"/>
      <c r="BR2665" s="6424"/>
      <c r="BS2665" s="6424"/>
      <c r="BT2665" s="6424"/>
      <c r="BU2665" s="6424"/>
      <c r="BV2665" s="6424"/>
      <c r="BW2665" s="6556">
        <f>288000*0.5</f>
        <v>144000</v>
      </c>
      <c r="BX2665" s="6556"/>
      <c r="BY2665" s="6556"/>
      <c r="BZ2665" s="6556"/>
      <c r="CA2665" s="6556"/>
      <c r="CB2665" s="6556">
        <f>2850162.786-BV2665-BW2665</f>
        <v>2706162.786</v>
      </c>
      <c r="CC2665" s="3066"/>
      <c r="CD2665" s="3066"/>
      <c r="CE2665" s="6848"/>
      <c r="CF2665" s="6848"/>
      <c r="CG2665" s="6848"/>
      <c r="CH2665" s="6848"/>
    </row>
    <row r="2666" s="5020" customFormat="1" ht="61" spans="1:86">
      <c r="A2666" s="6444"/>
      <c r="B2666" s="3066"/>
      <c r="C2666" s="3066"/>
      <c r="D2666" s="6522"/>
      <c r="E2666" s="4092"/>
      <c r="F2666" s="6522"/>
      <c r="G2666" s="6522"/>
      <c r="H2666" s="3066"/>
      <c r="I2666" s="6388"/>
      <c r="J2666" s="6522"/>
      <c r="K2666" s="6522"/>
      <c r="L2666" s="6522"/>
      <c r="M2666" s="6444"/>
      <c r="N2666" s="7220"/>
      <c r="O2666" s="7220"/>
      <c r="P2666" s="6341"/>
      <c r="Q2666" s="6341"/>
      <c r="R2666" s="6341"/>
      <c r="S2666" s="6341"/>
      <c r="T2666" s="6341"/>
      <c r="U2666" s="6341"/>
      <c r="V2666" s="3066"/>
      <c r="W2666" s="7220"/>
      <c r="X2666" s="7220"/>
      <c r="Y2666" s="7220"/>
      <c r="Z2666" s="7220"/>
      <c r="AA2666" s="6341"/>
      <c r="AB2666" s="7232"/>
      <c r="AC2666" s="2087">
        <v>4</v>
      </c>
      <c r="AD2666" s="6388" t="s">
        <v>4389</v>
      </c>
      <c r="AE2666" s="6388" t="s">
        <v>4412</v>
      </c>
      <c r="AF2666" s="6444">
        <f>M2663*15%</f>
        <v>2850162.786</v>
      </c>
      <c r="AG2666" s="6527">
        <f t="shared" si="550"/>
        <v>2850162.786</v>
      </c>
      <c r="AH2666" s="6452" t="s">
        <v>349</v>
      </c>
      <c r="AI2666" s="6527">
        <v>46052</v>
      </c>
      <c r="AJ2666" s="6527"/>
      <c r="AK2666" s="3066"/>
      <c r="AL2666" s="3066"/>
      <c r="AM2666" s="3066"/>
      <c r="AN2666" s="6527">
        <f>SUBTOTAL(9,BO2666:CD2666)</f>
        <v>2850162.79</v>
      </c>
      <c r="AO2666" s="6527">
        <v>46052</v>
      </c>
      <c r="AP2666" s="3066"/>
      <c r="AQ2666" s="6770"/>
      <c r="AR2666" s="7011"/>
      <c r="AS2666" s="6522"/>
      <c r="AT2666" s="3066"/>
      <c r="AU2666" s="5696"/>
      <c r="AV2666" s="5696"/>
      <c r="AW2666" s="5696"/>
      <c r="AX2666" s="5696"/>
      <c r="AY2666" s="5696"/>
      <c r="AZ2666" s="5696"/>
      <c r="BA2666" s="6424"/>
      <c r="BB2666" s="6424"/>
      <c r="BC2666" s="6527"/>
      <c r="BD2666" s="6424"/>
      <c r="BE2666" s="6424"/>
      <c r="BF2666" s="6424"/>
      <c r="BG2666" s="6424"/>
      <c r="BH2666" s="6527"/>
      <c r="BI2666" s="6776">
        <f>288000*0.3</f>
        <v>86400</v>
      </c>
      <c r="BJ2666" s="6424"/>
      <c r="BK2666" s="6424"/>
      <c r="BL2666" s="6424"/>
      <c r="BM2666" s="6424"/>
      <c r="BN2666" s="6776">
        <f>AF2666-BI2666</f>
        <v>2763762.786</v>
      </c>
      <c r="BO2666" s="6424"/>
      <c r="BP2666" s="6424"/>
      <c r="BQ2666" s="6424"/>
      <c r="BR2666" s="6424"/>
      <c r="BS2666" s="6424"/>
      <c r="BT2666" s="6424"/>
      <c r="BU2666" s="6424"/>
      <c r="BV2666" s="6424"/>
      <c r="BW2666" s="6776">
        <v>86400</v>
      </c>
      <c r="BX2666" s="6424"/>
      <c r="BY2666" s="6424"/>
      <c r="BZ2666" s="6424"/>
      <c r="CA2666" s="6424"/>
      <c r="CB2666" s="6776">
        <v>2763762.79</v>
      </c>
      <c r="CC2666" s="3066"/>
      <c r="CD2666" s="3066"/>
      <c r="CE2666" s="6848"/>
      <c r="CF2666" s="6848"/>
      <c r="CG2666" s="6848"/>
      <c r="CH2666" s="6848"/>
    </row>
    <row r="2667" s="5020" customFormat="1" ht="61" spans="1:86">
      <c r="A2667" s="6444"/>
      <c r="B2667" s="3066"/>
      <c r="C2667" s="3066"/>
      <c r="D2667" s="6522"/>
      <c r="E2667" s="4092"/>
      <c r="F2667" s="6522"/>
      <c r="G2667" s="6522"/>
      <c r="H2667" s="3066"/>
      <c r="I2667" s="6388"/>
      <c r="J2667" s="6522"/>
      <c r="K2667" s="6522"/>
      <c r="L2667" s="6522"/>
      <c r="M2667" s="6444"/>
      <c r="N2667" s="7220"/>
      <c r="O2667" s="7220"/>
      <c r="P2667" s="6341"/>
      <c r="Q2667" s="6341"/>
      <c r="R2667" s="6341"/>
      <c r="S2667" s="6341"/>
      <c r="T2667" s="6341"/>
      <c r="U2667" s="6341"/>
      <c r="V2667" s="3066"/>
      <c r="W2667" s="7220"/>
      <c r="X2667" s="7220"/>
      <c r="Y2667" s="7220"/>
      <c r="Z2667" s="7220"/>
      <c r="AA2667" s="6341"/>
      <c r="AB2667" s="7232"/>
      <c r="AC2667" s="2087">
        <v>5</v>
      </c>
      <c r="AD2667" s="6388" t="s">
        <v>4390</v>
      </c>
      <c r="AE2667" s="6388" t="s">
        <v>4413</v>
      </c>
      <c r="AF2667" s="6444">
        <f>M2663*10%</f>
        <v>1900108.524</v>
      </c>
      <c r="AG2667" s="6527"/>
      <c r="AH2667" s="6452"/>
      <c r="AI2667" s="6527"/>
      <c r="AJ2667" s="3066"/>
      <c r="AK2667" s="3066"/>
      <c r="AL2667" s="3066"/>
      <c r="AM2667" s="3066"/>
      <c r="AN2667" s="3065"/>
      <c r="AO2667" s="3066"/>
      <c r="AP2667" s="3066"/>
      <c r="AQ2667" s="6770"/>
      <c r="AR2667" s="7011"/>
      <c r="AS2667" s="6522"/>
      <c r="AT2667" s="3066"/>
      <c r="AU2667" s="5696"/>
      <c r="AV2667" s="5696"/>
      <c r="AW2667" s="5696"/>
      <c r="AX2667" s="5696"/>
      <c r="AY2667" s="5696"/>
      <c r="AZ2667" s="5696"/>
      <c r="BA2667" s="6424"/>
      <c r="BB2667" s="6424"/>
      <c r="BC2667" s="6527"/>
      <c r="BD2667" s="6424"/>
      <c r="BE2667" s="6424"/>
      <c r="BF2667" s="6424"/>
      <c r="BG2667" s="6424"/>
      <c r="BH2667" s="6527"/>
      <c r="BI2667" s="6776"/>
      <c r="BJ2667" s="6424"/>
      <c r="BK2667" s="6424"/>
      <c r="BL2667" s="6424"/>
      <c r="BM2667" s="6424"/>
      <c r="BN2667" s="6776"/>
      <c r="BO2667" s="6424"/>
      <c r="BP2667" s="6424"/>
      <c r="BQ2667" s="6424"/>
      <c r="BR2667" s="6424"/>
      <c r="BS2667" s="6424"/>
      <c r="BT2667" s="6424"/>
      <c r="BU2667" s="6424"/>
      <c r="BV2667" s="6424"/>
      <c r="BW2667" s="6424"/>
      <c r="BX2667" s="6424"/>
      <c r="BY2667" s="6424"/>
      <c r="BZ2667" s="6424"/>
      <c r="CA2667" s="6424"/>
      <c r="CB2667" s="6424"/>
      <c r="CC2667" s="3066"/>
      <c r="CD2667" s="3066"/>
      <c r="CE2667" s="6848"/>
      <c r="CF2667" s="6848"/>
      <c r="CG2667" s="6848"/>
      <c r="CH2667" s="6848"/>
    </row>
    <row r="2668" s="5020" customFormat="1" ht="61" spans="1:86">
      <c r="A2668" s="6444"/>
      <c r="B2668" s="3066"/>
      <c r="C2668" s="3066"/>
      <c r="D2668" s="6522"/>
      <c r="E2668" s="4092"/>
      <c r="F2668" s="6522"/>
      <c r="G2668" s="6522"/>
      <c r="H2668" s="3066"/>
      <c r="I2668" s="6388"/>
      <c r="J2668" s="6522"/>
      <c r="K2668" s="6522"/>
      <c r="L2668" s="6522"/>
      <c r="M2668" s="6444"/>
      <c r="N2668" s="7221"/>
      <c r="O2668" s="7221"/>
      <c r="P2668" s="6485"/>
      <c r="Q2668" s="6485"/>
      <c r="R2668" s="6485"/>
      <c r="S2668" s="6485"/>
      <c r="T2668" s="6485"/>
      <c r="U2668" s="6485"/>
      <c r="V2668" s="3066"/>
      <c r="W2668" s="7221"/>
      <c r="X2668" s="7221"/>
      <c r="Y2668" s="7221"/>
      <c r="Z2668" s="7221"/>
      <c r="AA2668" s="6485"/>
      <c r="AB2668" s="7233"/>
      <c r="AC2668" s="2087">
        <v>6</v>
      </c>
      <c r="AD2668" s="6388" t="s">
        <v>4391</v>
      </c>
      <c r="AE2668" s="6388" t="s">
        <v>4414</v>
      </c>
      <c r="AF2668" s="6444">
        <f>M2663*10%</f>
        <v>1900108.524</v>
      </c>
      <c r="AG2668" s="6527"/>
      <c r="AH2668" s="6452"/>
      <c r="AI2668" s="6527"/>
      <c r="AJ2668" s="3066"/>
      <c r="AK2668" s="3066"/>
      <c r="AL2668" s="3066"/>
      <c r="AM2668" s="3066"/>
      <c r="AN2668" s="3065"/>
      <c r="AO2668" s="3066"/>
      <c r="AP2668" s="3066"/>
      <c r="AQ2668" s="6770"/>
      <c r="AR2668" s="7011"/>
      <c r="AS2668" s="6522"/>
      <c r="AT2668" s="3066"/>
      <c r="AU2668" s="5696"/>
      <c r="AV2668" s="5696"/>
      <c r="AW2668" s="5696"/>
      <c r="AX2668" s="5696"/>
      <c r="AY2668" s="5696"/>
      <c r="AZ2668" s="5696"/>
      <c r="BA2668" s="6424"/>
      <c r="BB2668" s="6424"/>
      <c r="BC2668" s="6527"/>
      <c r="BD2668" s="6424"/>
      <c r="BE2668" s="6424"/>
      <c r="BF2668" s="6424"/>
      <c r="BG2668" s="6424"/>
      <c r="BH2668" s="6527"/>
      <c r="BI2668" s="6776"/>
      <c r="BJ2668" s="6424"/>
      <c r="BK2668" s="6424"/>
      <c r="BL2668" s="6424"/>
      <c r="BM2668" s="6424"/>
      <c r="BN2668" s="6776"/>
      <c r="BO2668" s="6424"/>
      <c r="BP2668" s="6424"/>
      <c r="BQ2668" s="6424"/>
      <c r="BR2668" s="6424"/>
      <c r="BS2668" s="6424"/>
      <c r="BT2668" s="6424"/>
      <c r="BU2668" s="6424"/>
      <c r="BV2668" s="6424"/>
      <c r="BW2668" s="6424"/>
      <c r="BX2668" s="6424"/>
      <c r="BY2668" s="6424"/>
      <c r="BZ2668" s="6424"/>
      <c r="CA2668" s="6424"/>
      <c r="CB2668" s="6424"/>
      <c r="CC2668" s="3066"/>
      <c r="CD2668" s="3066"/>
      <c r="CE2668" s="6848"/>
      <c r="CF2668" s="6848"/>
      <c r="CG2668" s="6848"/>
      <c r="CH2668" s="6848"/>
    </row>
    <row r="2669" s="5019" customFormat="1" ht="52.5" customHeight="1" spans="1:86">
      <c r="A2669" s="4362"/>
      <c r="B2669" s="7204" t="s">
        <v>2570</v>
      </c>
      <c r="C2669" s="4287">
        <v>45503</v>
      </c>
      <c r="D2669" s="5221" t="s">
        <v>4436</v>
      </c>
      <c r="E2669" s="5221"/>
      <c r="F2669" s="5221" t="s">
        <v>4437</v>
      </c>
      <c r="G2669" s="5221" t="s">
        <v>4438</v>
      </c>
      <c r="H2669" s="7204" t="s">
        <v>1290</v>
      </c>
      <c r="I2669" s="5221" t="s">
        <v>4439</v>
      </c>
      <c r="J2669" s="5221" t="s">
        <v>4440</v>
      </c>
      <c r="K2669" s="5221" t="s">
        <v>171</v>
      </c>
      <c r="L2669" s="5221" t="s">
        <v>4441</v>
      </c>
      <c r="M2669" s="7204">
        <f>SUM(N2669:AA2670)</f>
        <v>750000</v>
      </c>
      <c r="N2669" s="7215"/>
      <c r="O2669" s="7215"/>
      <c r="P2669" s="7215"/>
      <c r="Q2669" s="7215"/>
      <c r="R2669" s="7215"/>
      <c r="S2669" s="7205">
        <v>137500</v>
      </c>
      <c r="T2669" s="7215"/>
      <c r="U2669" s="7215"/>
      <c r="V2669" s="7215"/>
      <c r="W2669" s="7215"/>
      <c r="X2669" s="7205">
        <v>612500</v>
      </c>
      <c r="Y2669" s="7215"/>
      <c r="Z2669" s="7215"/>
      <c r="AA2669" s="7215"/>
      <c r="AB2669" s="7215"/>
      <c r="AC2669" s="7236">
        <v>1</v>
      </c>
      <c r="AD2669" s="5222" t="s">
        <v>4442</v>
      </c>
      <c r="AE2669" s="5222">
        <v>0.5</v>
      </c>
      <c r="AF2669" s="4362">
        <f>750000*AE2669</f>
        <v>375000</v>
      </c>
      <c r="AG2669" s="4288">
        <f>SUBTOTAL(9,BA2669:BN2669)</f>
        <v>375000</v>
      </c>
      <c r="AH2669" s="4362" t="s">
        <v>122</v>
      </c>
      <c r="AI2669" s="7206">
        <v>45559</v>
      </c>
      <c r="AJ2669" s="4288">
        <f>SUBTOTAL(9,BD2669:BQ2669)</f>
        <v>375000</v>
      </c>
      <c r="AK2669" s="7206">
        <v>45559</v>
      </c>
      <c r="AL2669" s="4288">
        <f>SUBTOTAL(9,BF2669:BS2669)</f>
        <v>375000</v>
      </c>
      <c r="AM2669" s="7206">
        <v>45562</v>
      </c>
      <c r="AN2669" s="4288">
        <f>SUBTOTAL(9,BO2669:CB2669)</f>
        <v>375000</v>
      </c>
      <c r="AO2669" s="4288">
        <v>45638</v>
      </c>
      <c r="AP2669" s="7206"/>
      <c r="AQ2669" s="7255"/>
      <c r="AR2669" s="7256"/>
      <c r="AS2669" s="4125"/>
      <c r="AT2669" s="7206"/>
      <c r="AU2669" s="5696"/>
      <c r="AV2669" s="5696"/>
      <c r="AW2669" s="5696"/>
      <c r="AX2669" s="5696"/>
      <c r="AY2669" s="5696"/>
      <c r="AZ2669" s="5696"/>
      <c r="BA2669" s="7267"/>
      <c r="BB2669" s="7267"/>
      <c r="BC2669" s="7206"/>
      <c r="BD2669" s="7267"/>
      <c r="BE2669" s="7267"/>
      <c r="BF2669" s="7267">
        <f>43750</f>
        <v>43750</v>
      </c>
      <c r="BG2669" s="7267"/>
      <c r="BH2669" s="7206"/>
      <c r="BI2669" s="7267"/>
      <c r="BJ2669" s="7267"/>
      <c r="BK2669" s="7267">
        <f>231250</f>
        <v>231250</v>
      </c>
      <c r="BL2669" s="7267"/>
      <c r="BM2669" s="7267"/>
      <c r="BN2669" s="7267">
        <f>200000/2</f>
        <v>100000</v>
      </c>
      <c r="BO2669" s="7267"/>
      <c r="BP2669" s="7267"/>
      <c r="BQ2669" s="7267"/>
      <c r="BR2669" s="7267"/>
      <c r="BS2669" s="7267"/>
      <c r="BT2669" s="7271">
        <f>43750</f>
        <v>43750</v>
      </c>
      <c r="BU2669" s="7271"/>
      <c r="BV2669" s="4288"/>
      <c r="BW2669" s="7271"/>
      <c r="BX2669" s="7271"/>
      <c r="BY2669" s="7271">
        <f>231250</f>
        <v>231250</v>
      </c>
      <c r="BZ2669" s="7271"/>
      <c r="CA2669" s="7271"/>
      <c r="CB2669" s="7271">
        <f>200000/2</f>
        <v>100000</v>
      </c>
      <c r="CC2669" s="7206"/>
      <c r="CD2669" s="7206"/>
      <c r="CE2669" s="7264"/>
      <c r="CF2669" s="7264"/>
      <c r="CG2669" s="7264"/>
      <c r="CH2669" s="7264"/>
    </row>
    <row r="2670" s="5019" customFormat="1" ht="55" customHeight="1" spans="1:86">
      <c r="A2670" s="4364"/>
      <c r="B2670" s="7205"/>
      <c r="C2670" s="4287"/>
      <c r="D2670" s="4092"/>
      <c r="E2670" s="4092"/>
      <c r="F2670" s="7205"/>
      <c r="G2670" s="4092"/>
      <c r="H2670" s="7205"/>
      <c r="I2670" s="4092"/>
      <c r="J2670" s="4092"/>
      <c r="K2670" s="4092"/>
      <c r="L2670" s="4125"/>
      <c r="M2670" s="4362"/>
      <c r="N2670" s="7218"/>
      <c r="O2670" s="7218"/>
      <c r="P2670" s="7218"/>
      <c r="Q2670" s="7218"/>
      <c r="R2670" s="7218"/>
      <c r="S2670" s="7206"/>
      <c r="T2670" s="7218"/>
      <c r="U2670" s="7218"/>
      <c r="V2670" s="7218"/>
      <c r="W2670" s="7218"/>
      <c r="X2670" s="7206"/>
      <c r="Y2670" s="7218"/>
      <c r="Z2670" s="7218"/>
      <c r="AA2670" s="7218"/>
      <c r="AB2670" s="7218"/>
      <c r="AC2670" s="5726">
        <v>2</v>
      </c>
      <c r="AD2670" s="4127" t="s">
        <v>4443</v>
      </c>
      <c r="AE2670" s="4127">
        <v>0.5</v>
      </c>
      <c r="AF2670" s="4364">
        <f>750000*AE2670</f>
        <v>375000</v>
      </c>
      <c r="AG2670" s="7244">
        <f>SUBTOTAL(9,BA2670:BN2670)</f>
        <v>375000</v>
      </c>
      <c r="AH2670" s="7245" t="s">
        <v>122</v>
      </c>
      <c r="AI2670" s="7244">
        <v>45646</v>
      </c>
      <c r="AJ2670" s="4045">
        <f>SUBTOTAL(9,BD2670:BQ2670)</f>
        <v>375000</v>
      </c>
      <c r="AK2670" s="4046">
        <v>45646</v>
      </c>
      <c r="AL2670" s="4046">
        <v>37500</v>
      </c>
      <c r="AM2670" s="4046"/>
      <c r="AN2670" s="7244">
        <f>SUBTOTAL(9,BO2670:CB2670)</f>
        <v>375000</v>
      </c>
      <c r="AO2670" s="4046">
        <v>45729</v>
      </c>
      <c r="AP2670" s="4046"/>
      <c r="AQ2670" s="7171"/>
      <c r="AR2670" s="7254"/>
      <c r="AS2670" s="4128"/>
      <c r="AT2670" s="4046"/>
      <c r="AU2670" s="5696"/>
      <c r="AV2670" s="5696"/>
      <c r="AW2670" s="5696"/>
      <c r="AX2670" s="5696"/>
      <c r="AY2670" s="5696"/>
      <c r="AZ2670" s="5696"/>
      <c r="BA2670" s="5696"/>
      <c r="BB2670" s="5696"/>
      <c r="BC2670" s="4046"/>
      <c r="BD2670" s="5696"/>
      <c r="BE2670" s="5696"/>
      <c r="BF2670" s="5704">
        <f>137500-BF2669</f>
        <v>93750</v>
      </c>
      <c r="BG2670" s="5704"/>
      <c r="BH2670" s="4045"/>
      <c r="BI2670" s="5704"/>
      <c r="BJ2670" s="5704"/>
      <c r="BK2670" s="5704">
        <f>412500-231250</f>
        <v>181250</v>
      </c>
      <c r="BL2670" s="5704"/>
      <c r="BM2670" s="5704"/>
      <c r="BN2670" s="5704">
        <f>200000/2</f>
        <v>100000</v>
      </c>
      <c r="BO2670" s="5696"/>
      <c r="BP2670" s="5696"/>
      <c r="BQ2670" s="5696"/>
      <c r="BR2670" s="5696"/>
      <c r="BS2670" s="5696"/>
      <c r="BT2670" s="5704">
        <f>137500-BT2669</f>
        <v>93750</v>
      </c>
      <c r="BU2670" s="5704"/>
      <c r="BV2670" s="4045"/>
      <c r="BW2670" s="5704"/>
      <c r="BX2670" s="5704"/>
      <c r="BY2670" s="5704">
        <f>412500-231250</f>
        <v>181250</v>
      </c>
      <c r="BZ2670" s="5704"/>
      <c r="CA2670" s="5704"/>
      <c r="CB2670" s="5704">
        <f>200000/2</f>
        <v>100000</v>
      </c>
      <c r="CC2670" s="7206"/>
      <c r="CD2670" s="7206"/>
      <c r="CE2670" s="7264"/>
      <c r="CF2670" s="7264"/>
      <c r="CG2670" s="7264"/>
      <c r="CH2670" s="7264"/>
    </row>
    <row r="2671" s="4981" customFormat="1" ht="46" spans="1:86">
      <c r="A2671" s="857"/>
      <c r="B2671" s="3366" t="s">
        <v>2570</v>
      </c>
      <c r="C2671" s="4087">
        <v>44519</v>
      </c>
      <c r="D2671" s="5073" t="s">
        <v>4444</v>
      </c>
      <c r="E2671" s="5073" t="s">
        <v>4445</v>
      </c>
      <c r="F2671" s="5073" t="s">
        <v>4446</v>
      </c>
      <c r="G2671" s="5073" t="s">
        <v>4447</v>
      </c>
      <c r="H2671" s="3366" t="s">
        <v>4448</v>
      </c>
      <c r="I2671" s="5073" t="s">
        <v>4449</v>
      </c>
      <c r="J2671" s="5073" t="s">
        <v>4450</v>
      </c>
      <c r="K2671" s="4087">
        <v>151831.46</v>
      </c>
      <c r="L2671" s="4087"/>
      <c r="M2671" s="4840">
        <v>10300000</v>
      </c>
      <c r="N2671" s="3524"/>
      <c r="O2671" s="3524"/>
      <c r="P2671" s="7222">
        <v>1475795</v>
      </c>
      <c r="Q2671" s="3524"/>
      <c r="R2671" s="3524"/>
      <c r="S2671" s="3524"/>
      <c r="T2671" s="3524"/>
      <c r="U2671" s="5262">
        <v>73555</v>
      </c>
      <c r="V2671" s="3524">
        <v>350000</v>
      </c>
      <c r="W2671" s="3524"/>
      <c r="X2671" s="3524"/>
      <c r="Y2671" s="3524"/>
      <c r="Z2671" s="3524"/>
      <c r="AA2671" s="3524">
        <v>8400650</v>
      </c>
      <c r="AB2671" s="857" t="s">
        <v>126</v>
      </c>
      <c r="AC2671" s="3524">
        <v>1</v>
      </c>
      <c r="AD2671" s="3742" t="s">
        <v>4451</v>
      </c>
      <c r="AE2671" s="3524">
        <v>0.2</v>
      </c>
      <c r="AF2671" s="3524">
        <f t="shared" ref="AF2671:AF2676" si="551">10300000*AE2671</f>
        <v>2060000</v>
      </c>
      <c r="AG2671" s="3524">
        <v>6180000</v>
      </c>
      <c r="AH2671" s="857" t="s">
        <v>122</v>
      </c>
      <c r="AI2671" s="3812">
        <v>44670</v>
      </c>
      <c r="AJ2671" s="3524">
        <v>6180000</v>
      </c>
      <c r="AK2671" s="3812">
        <v>44670</v>
      </c>
      <c r="AL2671" s="3524">
        <f>SUBTOTAL(9,BF2671:BS2671)</f>
        <v>6180000</v>
      </c>
      <c r="AM2671" s="3812">
        <v>44670</v>
      </c>
      <c r="AN2671" s="3524">
        <f>SUBTOTAL(9,BO2671:CB2671)</f>
        <v>6180000</v>
      </c>
      <c r="AO2671" s="3812">
        <v>44711</v>
      </c>
      <c r="AP2671" s="3524"/>
      <c r="AQ2671" s="3742"/>
      <c r="AR2671" s="3524"/>
      <c r="AS2671" s="3742"/>
      <c r="AT2671" s="3524"/>
      <c r="AU2671" s="5122"/>
      <c r="AV2671" s="5122"/>
      <c r="AW2671" s="5122"/>
      <c r="AX2671" s="5122"/>
      <c r="AY2671" s="5122"/>
      <c r="AZ2671" s="5122"/>
      <c r="BA2671" s="5146"/>
      <c r="BB2671" s="5146"/>
      <c r="BC2671" s="3812">
        <v>1380960.04</v>
      </c>
      <c r="BD2671" s="5146"/>
      <c r="BE2671" s="5146"/>
      <c r="BF2671" s="5146"/>
      <c r="BG2671" s="5146"/>
      <c r="BH2671" s="3812">
        <v>17677.86</v>
      </c>
      <c r="BI2671" s="3812">
        <v>70000</v>
      </c>
      <c r="BJ2671" s="5146"/>
      <c r="BK2671" s="5146"/>
      <c r="BL2671" s="5146"/>
      <c r="BM2671" s="5146"/>
      <c r="BN2671" s="3812">
        <v>4711362.1</v>
      </c>
      <c r="BO2671" s="5146"/>
      <c r="BP2671" s="5146"/>
      <c r="BQ2671" s="3812">
        <v>1380960.04</v>
      </c>
      <c r="BR2671" s="5146"/>
      <c r="BS2671" s="5146"/>
      <c r="BT2671" s="5146"/>
      <c r="BU2671" s="5146"/>
      <c r="BV2671" s="3812">
        <v>17677.86</v>
      </c>
      <c r="BW2671" s="3812">
        <v>70000</v>
      </c>
      <c r="BX2671" s="5146"/>
      <c r="BY2671" s="5146"/>
      <c r="BZ2671" s="5146"/>
      <c r="CA2671" s="5146"/>
      <c r="CB2671" s="3812">
        <v>4711362.1</v>
      </c>
      <c r="CC2671" s="3524"/>
      <c r="CD2671" s="3524"/>
      <c r="CE2671" s="5920"/>
      <c r="CF2671" s="5920"/>
      <c r="CG2671" s="5920"/>
      <c r="CH2671" s="5920"/>
    </row>
    <row r="2672" s="4981" customFormat="1" ht="31" spans="1:86">
      <c r="A2672" s="857"/>
      <c r="B2672" s="3408"/>
      <c r="C2672" s="4088"/>
      <c r="D2672" s="5205"/>
      <c r="E2672" s="5205"/>
      <c r="F2672" s="5205"/>
      <c r="G2672" s="5205"/>
      <c r="H2672" s="3408"/>
      <c r="I2672" s="5205"/>
      <c r="J2672" s="5205"/>
      <c r="K2672" s="4088"/>
      <c r="L2672" s="4088"/>
      <c r="M2672" s="4841"/>
      <c r="N2672" s="3524"/>
      <c r="O2672" s="3524"/>
      <c r="P2672" s="7223"/>
      <c r="Q2672" s="3524"/>
      <c r="R2672" s="3524"/>
      <c r="S2672" s="3524"/>
      <c r="T2672" s="3524"/>
      <c r="U2672" s="5262"/>
      <c r="V2672" s="3524"/>
      <c r="W2672" s="3524"/>
      <c r="X2672" s="3524"/>
      <c r="Y2672" s="3524"/>
      <c r="Z2672" s="3524"/>
      <c r="AA2672" s="3524"/>
      <c r="AB2672" s="3524"/>
      <c r="AC2672" s="3524">
        <v>2</v>
      </c>
      <c r="AD2672" s="3742" t="s">
        <v>4409</v>
      </c>
      <c r="AE2672" s="3524">
        <v>0.3</v>
      </c>
      <c r="AF2672" s="3524">
        <f t="shared" si="551"/>
        <v>3090000</v>
      </c>
      <c r="AG2672" s="3524"/>
      <c r="AH2672" s="857"/>
      <c r="AI2672" s="3812"/>
      <c r="AJ2672" s="3524"/>
      <c r="AK2672" s="3812"/>
      <c r="AL2672" s="3524"/>
      <c r="AM2672" s="3812"/>
      <c r="AN2672" s="3524"/>
      <c r="AO2672" s="3812"/>
      <c r="AP2672" s="3524"/>
      <c r="AQ2672" s="3742"/>
      <c r="AR2672" s="3524"/>
      <c r="AS2672" s="3742"/>
      <c r="AT2672" s="3524"/>
      <c r="AU2672" s="5122"/>
      <c r="AV2672" s="5122"/>
      <c r="AW2672" s="5122"/>
      <c r="AX2672" s="5122"/>
      <c r="AY2672" s="5122"/>
      <c r="AZ2672" s="5122"/>
      <c r="BA2672" s="5146"/>
      <c r="BB2672" s="5146"/>
      <c r="BC2672" s="3812"/>
      <c r="BD2672" s="5146"/>
      <c r="BE2672" s="5146"/>
      <c r="BF2672" s="5146"/>
      <c r="BG2672" s="5146"/>
      <c r="BH2672" s="3812"/>
      <c r="BI2672" s="3812"/>
      <c r="BJ2672" s="5146"/>
      <c r="BK2672" s="5146"/>
      <c r="BL2672" s="5146"/>
      <c r="BM2672" s="5146"/>
      <c r="BN2672" s="3812"/>
      <c r="BO2672" s="5146"/>
      <c r="BP2672" s="5146"/>
      <c r="BQ2672" s="3812"/>
      <c r="BR2672" s="5146"/>
      <c r="BS2672" s="5146"/>
      <c r="BT2672" s="5146"/>
      <c r="BU2672" s="5146"/>
      <c r="BV2672" s="3812"/>
      <c r="BW2672" s="3812"/>
      <c r="BX2672" s="5146"/>
      <c r="BY2672" s="5146"/>
      <c r="BZ2672" s="5146"/>
      <c r="CA2672" s="5146"/>
      <c r="CB2672" s="3812"/>
      <c r="CC2672" s="3524"/>
      <c r="CD2672" s="3524"/>
      <c r="CE2672" s="5920"/>
      <c r="CF2672" s="5920"/>
      <c r="CG2672" s="5920"/>
      <c r="CH2672" s="5920"/>
    </row>
    <row r="2673" s="4981" customFormat="1" ht="46" spans="1:86">
      <c r="A2673" s="857"/>
      <c r="B2673" s="3408"/>
      <c r="C2673" s="4088"/>
      <c r="D2673" s="5205"/>
      <c r="E2673" s="5205"/>
      <c r="F2673" s="5205"/>
      <c r="G2673" s="5205"/>
      <c r="H2673" s="3408"/>
      <c r="I2673" s="5205"/>
      <c r="J2673" s="5205"/>
      <c r="K2673" s="4088"/>
      <c r="L2673" s="4088"/>
      <c r="M2673" s="4841"/>
      <c r="N2673" s="3524"/>
      <c r="O2673" s="3524"/>
      <c r="P2673" s="7223"/>
      <c r="Q2673" s="3524"/>
      <c r="R2673" s="3524"/>
      <c r="S2673" s="3524"/>
      <c r="T2673" s="3524"/>
      <c r="U2673" s="5262"/>
      <c r="V2673" s="3524"/>
      <c r="W2673" s="3524"/>
      <c r="X2673" s="3524"/>
      <c r="Y2673" s="3524"/>
      <c r="Z2673" s="3524"/>
      <c r="AA2673" s="3524"/>
      <c r="AB2673" s="3524"/>
      <c r="AC2673" s="3524">
        <v>3</v>
      </c>
      <c r="AD2673" s="3742" t="s">
        <v>4388</v>
      </c>
      <c r="AE2673" s="3524">
        <v>0.1</v>
      </c>
      <c r="AF2673" s="3524">
        <f t="shared" si="551"/>
        <v>1030000</v>
      </c>
      <c r="AG2673" s="3524"/>
      <c r="AH2673" s="857"/>
      <c r="AI2673" s="3812"/>
      <c r="AJ2673" s="3524"/>
      <c r="AK2673" s="3812"/>
      <c r="AL2673" s="3524"/>
      <c r="AM2673" s="3812"/>
      <c r="AN2673" s="3524"/>
      <c r="AO2673" s="3812"/>
      <c r="AP2673" s="3524"/>
      <c r="AQ2673" s="3742"/>
      <c r="AR2673" s="3524"/>
      <c r="AS2673" s="3742"/>
      <c r="AT2673" s="3524"/>
      <c r="AU2673" s="5122"/>
      <c r="AV2673" s="5122"/>
      <c r="AW2673" s="5122"/>
      <c r="AX2673" s="5122"/>
      <c r="AY2673" s="5122"/>
      <c r="AZ2673" s="5122"/>
      <c r="BA2673" s="5146"/>
      <c r="BB2673" s="5146"/>
      <c r="BC2673" s="3812"/>
      <c r="BD2673" s="5146"/>
      <c r="BE2673" s="5146"/>
      <c r="BF2673" s="5146"/>
      <c r="BG2673" s="5146"/>
      <c r="BH2673" s="3812"/>
      <c r="BI2673" s="3812"/>
      <c r="BJ2673" s="5146"/>
      <c r="BK2673" s="5146"/>
      <c r="BL2673" s="5146"/>
      <c r="BM2673" s="5146"/>
      <c r="BN2673" s="3812"/>
      <c r="BO2673" s="5146"/>
      <c r="BP2673" s="5146"/>
      <c r="BQ2673" s="3812"/>
      <c r="BR2673" s="5146"/>
      <c r="BS2673" s="5146"/>
      <c r="BT2673" s="5146"/>
      <c r="BU2673" s="5146"/>
      <c r="BV2673" s="3812"/>
      <c r="BW2673" s="3812"/>
      <c r="BX2673" s="5146"/>
      <c r="BY2673" s="5146"/>
      <c r="BZ2673" s="5146"/>
      <c r="CA2673" s="5146"/>
      <c r="CB2673" s="3812"/>
      <c r="CC2673" s="3524"/>
      <c r="CD2673" s="3524"/>
      <c r="CE2673" s="5920"/>
      <c r="CF2673" s="5920"/>
      <c r="CG2673" s="5920"/>
      <c r="CH2673" s="5920"/>
    </row>
    <row r="2674" s="4981" customFormat="1" ht="46" spans="1:86">
      <c r="A2674" s="857"/>
      <c r="B2674" s="3408"/>
      <c r="C2674" s="4088"/>
      <c r="D2674" s="5205"/>
      <c r="E2674" s="5205"/>
      <c r="F2674" s="5205"/>
      <c r="G2674" s="5205"/>
      <c r="H2674" s="3408"/>
      <c r="I2674" s="5205"/>
      <c r="J2674" s="5205"/>
      <c r="K2674" s="4088"/>
      <c r="L2674" s="4088"/>
      <c r="M2674" s="4841"/>
      <c r="N2674" s="3524"/>
      <c r="O2674" s="3524"/>
      <c r="P2674" s="7223"/>
      <c r="Q2674" s="3524"/>
      <c r="R2674" s="3524"/>
      <c r="S2674" s="3524"/>
      <c r="T2674" s="3524"/>
      <c r="U2674" s="5262"/>
      <c r="V2674" s="3524"/>
      <c r="W2674" s="3524"/>
      <c r="X2674" s="3524"/>
      <c r="Y2674" s="3524"/>
      <c r="Z2674" s="3524"/>
      <c r="AA2674" s="3524"/>
      <c r="AB2674" s="3524"/>
      <c r="AC2674" s="3524">
        <v>4</v>
      </c>
      <c r="AD2674" s="3742" t="s">
        <v>4452</v>
      </c>
      <c r="AE2674" s="3524">
        <v>0.1</v>
      </c>
      <c r="AF2674" s="3524">
        <f t="shared" si="551"/>
        <v>1030000</v>
      </c>
      <c r="AG2674" s="3812">
        <f>SUBTOTAL(9,BA2674:BN2674)</f>
        <v>3090000</v>
      </c>
      <c r="AH2674" s="857" t="s">
        <v>122</v>
      </c>
      <c r="AI2674" s="3812">
        <v>44817</v>
      </c>
      <c r="AJ2674" s="3524">
        <v>3090000</v>
      </c>
      <c r="AK2674" s="3524">
        <v>44817</v>
      </c>
      <c r="AL2674" s="3812">
        <v>3090000</v>
      </c>
      <c r="AM2674" s="3524">
        <v>44818</v>
      </c>
      <c r="AN2674" s="3812">
        <f>SUBTOTAL(9,BO2674:CB2674)</f>
        <v>3090000</v>
      </c>
      <c r="AO2674" s="3812">
        <v>44937</v>
      </c>
      <c r="AP2674" s="3524"/>
      <c r="AQ2674" s="5137"/>
      <c r="AR2674" s="3524"/>
      <c r="AS2674" s="3742"/>
      <c r="AT2674" s="3524"/>
      <c r="AU2674" s="5122"/>
      <c r="AV2674" s="5122"/>
      <c r="AW2674" s="5122"/>
      <c r="AX2674" s="5122"/>
      <c r="AY2674" s="5122"/>
      <c r="AZ2674" s="5122"/>
      <c r="BA2674" s="5146"/>
      <c r="BB2674" s="5146"/>
      <c r="BC2674" s="3812"/>
      <c r="BD2674" s="5146"/>
      <c r="BE2674" s="5146"/>
      <c r="BF2674" s="5146"/>
      <c r="BG2674" s="5146"/>
      <c r="BH2674" s="3812"/>
      <c r="BI2674" s="3812">
        <v>245000</v>
      </c>
      <c r="BJ2674" s="5146"/>
      <c r="BK2674" s="5146"/>
      <c r="BL2674" s="5146"/>
      <c r="BM2674" s="5146"/>
      <c r="BN2674" s="3812">
        <v>2845000</v>
      </c>
      <c r="BO2674" s="5122"/>
      <c r="BP2674" s="5122"/>
      <c r="BQ2674" s="5122"/>
      <c r="BR2674" s="5122"/>
      <c r="BS2674" s="5122"/>
      <c r="BT2674" s="5122"/>
      <c r="BU2674" s="5122"/>
      <c r="BV2674" s="5122"/>
      <c r="BW2674" s="3812">
        <v>245000</v>
      </c>
      <c r="BX2674" s="5146"/>
      <c r="BY2674" s="5146"/>
      <c r="BZ2674" s="5146"/>
      <c r="CA2674" s="5146"/>
      <c r="CB2674" s="3812">
        <v>2845000</v>
      </c>
      <c r="CC2674" s="3524"/>
      <c r="CD2674" s="3524"/>
      <c r="CE2674" s="5920"/>
      <c r="CF2674" s="5920"/>
      <c r="CG2674" s="5920"/>
      <c r="CH2674" s="5920"/>
    </row>
    <row r="2675" s="4981" customFormat="1" ht="92" spans="1:86">
      <c r="A2675" s="857"/>
      <c r="B2675" s="3408"/>
      <c r="C2675" s="4088"/>
      <c r="D2675" s="5205"/>
      <c r="E2675" s="5205"/>
      <c r="F2675" s="5205"/>
      <c r="G2675" s="5205"/>
      <c r="H2675" s="3408"/>
      <c r="I2675" s="5205"/>
      <c r="J2675" s="5205"/>
      <c r="K2675" s="4088"/>
      <c r="L2675" s="4088"/>
      <c r="M2675" s="4841"/>
      <c r="N2675" s="3524"/>
      <c r="O2675" s="3524"/>
      <c r="P2675" s="7223"/>
      <c r="Q2675" s="3524"/>
      <c r="R2675" s="3524"/>
      <c r="S2675" s="3524"/>
      <c r="T2675" s="3524"/>
      <c r="U2675" s="5262"/>
      <c r="V2675" s="3524"/>
      <c r="W2675" s="3524"/>
      <c r="X2675" s="3524"/>
      <c r="Y2675" s="3524"/>
      <c r="Z2675" s="3524"/>
      <c r="AA2675" s="3524"/>
      <c r="AB2675" s="3524"/>
      <c r="AC2675" s="3524">
        <v>5</v>
      </c>
      <c r="AD2675" s="3742" t="s">
        <v>4453</v>
      </c>
      <c r="AE2675" s="3524">
        <v>0.2</v>
      </c>
      <c r="AF2675" s="3524">
        <f t="shared" si="551"/>
        <v>2060000</v>
      </c>
      <c r="AG2675" s="3812"/>
      <c r="AH2675" s="857"/>
      <c r="AI2675" s="3812"/>
      <c r="AJ2675" s="3524"/>
      <c r="AK2675" s="3524"/>
      <c r="AL2675" s="3812"/>
      <c r="AM2675" s="3524"/>
      <c r="AN2675" s="3812"/>
      <c r="AO2675" s="3812"/>
      <c r="AP2675" s="3524"/>
      <c r="AQ2675" s="5137"/>
      <c r="AR2675" s="3524"/>
      <c r="AS2675" s="3742"/>
      <c r="AT2675" s="3524"/>
      <c r="AU2675" s="5122"/>
      <c r="AV2675" s="5122"/>
      <c r="AW2675" s="5122"/>
      <c r="AX2675" s="5122"/>
      <c r="AY2675" s="5122"/>
      <c r="AZ2675" s="5122"/>
      <c r="BA2675" s="5146"/>
      <c r="BB2675" s="5146"/>
      <c r="BC2675" s="3812"/>
      <c r="BD2675" s="5146"/>
      <c r="BE2675" s="5146"/>
      <c r="BF2675" s="5146"/>
      <c r="BG2675" s="5146"/>
      <c r="BH2675" s="3812"/>
      <c r="BI2675" s="3812"/>
      <c r="BJ2675" s="5146"/>
      <c r="BK2675" s="5146"/>
      <c r="BL2675" s="5146"/>
      <c r="BM2675" s="5146"/>
      <c r="BN2675" s="3812"/>
      <c r="BO2675" s="5122"/>
      <c r="BP2675" s="5122"/>
      <c r="BQ2675" s="5122"/>
      <c r="BR2675" s="5122"/>
      <c r="BS2675" s="5122"/>
      <c r="BT2675" s="5122"/>
      <c r="BU2675" s="5122"/>
      <c r="BV2675" s="5122"/>
      <c r="BW2675" s="3812"/>
      <c r="BX2675" s="5146"/>
      <c r="BY2675" s="5146"/>
      <c r="BZ2675" s="5146"/>
      <c r="CA2675" s="5146"/>
      <c r="CB2675" s="3812"/>
      <c r="CC2675" s="3524"/>
      <c r="CD2675" s="3524"/>
      <c r="CE2675" s="5920"/>
      <c r="CF2675" s="5920"/>
      <c r="CG2675" s="5920"/>
      <c r="CH2675" s="5920"/>
    </row>
    <row r="2676" s="4981" customFormat="1" spans="1:86">
      <c r="A2676" s="857"/>
      <c r="B2676" s="3408"/>
      <c r="C2676" s="4088"/>
      <c r="D2676" s="5205"/>
      <c r="E2676" s="5205"/>
      <c r="F2676" s="5205"/>
      <c r="G2676" s="5205"/>
      <c r="H2676" s="3408"/>
      <c r="I2676" s="5205"/>
      <c r="J2676" s="5205"/>
      <c r="K2676" s="4088"/>
      <c r="L2676" s="4088"/>
      <c r="M2676" s="4841"/>
      <c r="N2676" s="3524"/>
      <c r="O2676" s="3524"/>
      <c r="P2676" s="7223"/>
      <c r="Q2676" s="3524"/>
      <c r="R2676" s="3524"/>
      <c r="S2676" s="3524"/>
      <c r="T2676" s="3524"/>
      <c r="U2676" s="5262"/>
      <c r="V2676" s="3524"/>
      <c r="W2676" s="3524"/>
      <c r="X2676" s="3524"/>
      <c r="Y2676" s="3524"/>
      <c r="Z2676" s="3524"/>
      <c r="AA2676" s="3524"/>
      <c r="AB2676" s="3524"/>
      <c r="AC2676" s="4087">
        <v>6</v>
      </c>
      <c r="AD2676" s="3740" t="s">
        <v>4454</v>
      </c>
      <c r="AE2676" s="4087">
        <v>0.1</v>
      </c>
      <c r="AF2676" s="4087">
        <v>600000</v>
      </c>
      <c r="AG2676" s="4813">
        <f>SUBTOTAL(9,BA2676:BN2676)</f>
        <v>600000</v>
      </c>
      <c r="AH2676" s="7084" t="s">
        <v>122</v>
      </c>
      <c r="AI2676" s="5248">
        <v>45651</v>
      </c>
      <c r="AJ2676" s="4087"/>
      <c r="AK2676" s="4087"/>
      <c r="AL2676" s="4087"/>
      <c r="AM2676" s="4087"/>
      <c r="AN2676" s="4087">
        <f>SUBTOTAL(9,BO2676:CB2676)</f>
        <v>0</v>
      </c>
      <c r="AO2676" s="5302"/>
      <c r="AP2676" s="4087"/>
      <c r="AQ2676" s="7257"/>
      <c r="AR2676" s="4087"/>
      <c r="AS2676" s="3740"/>
      <c r="AT2676" s="4087"/>
      <c r="AU2676" s="7139"/>
      <c r="AV2676" s="7139"/>
      <c r="AW2676" s="7139"/>
      <c r="AX2676" s="7139"/>
      <c r="AY2676" s="7139"/>
      <c r="AZ2676" s="7139"/>
      <c r="BA2676" s="5910"/>
      <c r="BB2676" s="5910"/>
      <c r="BC2676" s="4840">
        <v>94834.96</v>
      </c>
      <c r="BD2676" s="5910"/>
      <c r="BE2676" s="5910"/>
      <c r="BF2676" s="5910"/>
      <c r="BG2676" s="5910"/>
      <c r="BH2676" s="5248">
        <v>7355.5</v>
      </c>
      <c r="BI2676" s="5910">
        <v>34289.5</v>
      </c>
      <c r="BJ2676" s="5910"/>
      <c r="BK2676" s="5910"/>
      <c r="BL2676" s="5910"/>
      <c r="BM2676" s="5910"/>
      <c r="BN2676" s="5302">
        <v>463520.04</v>
      </c>
      <c r="BO2676" s="5910"/>
      <c r="BP2676" s="5910"/>
      <c r="BQ2676" s="4840"/>
      <c r="BR2676" s="5910"/>
      <c r="BS2676" s="5910"/>
      <c r="BT2676" s="5910"/>
      <c r="BU2676" s="5910"/>
      <c r="BV2676" s="4840"/>
      <c r="BW2676" s="5910"/>
      <c r="BX2676" s="5910"/>
      <c r="BY2676" s="5910"/>
      <c r="BZ2676" s="5910"/>
      <c r="CA2676" s="5910"/>
      <c r="CB2676" s="5910"/>
      <c r="CC2676" s="4087"/>
      <c r="CD2676" s="4087"/>
      <c r="CE2676" s="5920"/>
      <c r="CF2676" s="5920"/>
      <c r="CG2676" s="5920"/>
      <c r="CH2676" s="5920"/>
    </row>
    <row r="2677" s="4981" customFormat="1" ht="30" customHeight="1" spans="1:86">
      <c r="A2677" s="857"/>
      <c r="B2677" s="3409"/>
      <c r="C2677" s="4903"/>
      <c r="D2677" s="5206"/>
      <c r="E2677" s="5206"/>
      <c r="F2677" s="5206"/>
      <c r="G2677" s="5206"/>
      <c r="H2677" s="3409"/>
      <c r="I2677" s="5205"/>
      <c r="J2677" s="5206"/>
      <c r="K2677" s="4903"/>
      <c r="L2677" s="4903"/>
      <c r="M2677" s="4842"/>
      <c r="N2677" s="6143"/>
      <c r="O2677" s="6143"/>
      <c r="P2677" s="7224"/>
      <c r="Q2677" s="6143"/>
      <c r="R2677" s="6143"/>
      <c r="S2677" s="6143"/>
      <c r="T2677" s="6143"/>
      <c r="U2677" s="7225"/>
      <c r="V2677" s="6143"/>
      <c r="W2677" s="6143"/>
      <c r="X2677" s="6143"/>
      <c r="Y2677" s="6143"/>
      <c r="Z2677" s="6143"/>
      <c r="AA2677" s="6143"/>
      <c r="AB2677" s="6143"/>
      <c r="AC2677" s="4088"/>
      <c r="AD2677" s="3669"/>
      <c r="AE2677" s="4088"/>
      <c r="AF2677" s="3740">
        <v>430000</v>
      </c>
      <c r="AG2677" s="5346"/>
      <c r="AH2677" s="3366"/>
      <c r="AI2677" s="4840"/>
      <c r="AJ2677" s="5302"/>
      <c r="AK2677" s="4087"/>
      <c r="AL2677" s="4087"/>
      <c r="AM2677" s="4087"/>
      <c r="AN2677" s="5834"/>
      <c r="AO2677" s="5302"/>
      <c r="AP2677" s="4087"/>
      <c r="AQ2677" s="7257"/>
      <c r="AR2677" s="4087"/>
      <c r="AS2677" s="3740"/>
      <c r="AT2677" s="4087"/>
      <c r="AU2677" s="7139"/>
      <c r="AV2677" s="7139"/>
      <c r="AW2677" s="7139"/>
      <c r="AX2677" s="7139"/>
      <c r="AY2677" s="7139"/>
      <c r="AZ2677" s="7139"/>
      <c r="BA2677" s="5910"/>
      <c r="BB2677" s="5910"/>
      <c r="BC2677" s="4840"/>
      <c r="BD2677" s="5910"/>
      <c r="BE2677" s="5910"/>
      <c r="BF2677" s="5910"/>
      <c r="BG2677" s="5910"/>
      <c r="BH2677" s="4840"/>
      <c r="BI2677" s="4087"/>
      <c r="BJ2677" s="4840"/>
      <c r="BK2677" s="5910"/>
      <c r="BL2677" s="5910"/>
      <c r="BM2677" s="5910"/>
      <c r="BN2677" s="4840"/>
      <c r="BO2677" s="5910"/>
      <c r="BP2677" s="5910"/>
      <c r="BQ2677" s="4840"/>
      <c r="BR2677" s="5910"/>
      <c r="BS2677" s="5910"/>
      <c r="BT2677" s="5910"/>
      <c r="BU2677" s="5910"/>
      <c r="BV2677" s="4840"/>
      <c r="BW2677" s="5910"/>
      <c r="BX2677" s="5910"/>
      <c r="BY2677" s="5910"/>
      <c r="BZ2677" s="5910"/>
      <c r="CA2677" s="5910"/>
      <c r="CB2677" s="5910"/>
      <c r="CC2677" s="4087"/>
      <c r="CD2677" s="4087"/>
      <c r="CE2677" s="5920"/>
      <c r="CF2677" s="5920"/>
      <c r="CG2677" s="5920"/>
      <c r="CH2677" s="5920"/>
    </row>
    <row r="2678" s="24" customFormat="1" ht="30" customHeight="1" spans="1:87">
      <c r="A2678" s="857"/>
      <c r="B2678" s="857" t="s">
        <v>690</v>
      </c>
      <c r="C2678" s="3524">
        <v>45225</v>
      </c>
      <c r="D2678" s="1032" t="s">
        <v>4455</v>
      </c>
      <c r="E2678" s="1032"/>
      <c r="F2678" s="1032" t="s">
        <v>4456</v>
      </c>
      <c r="G2678" s="1032" t="s">
        <v>4457</v>
      </c>
      <c r="H2678" s="1032" t="s">
        <v>193</v>
      </c>
      <c r="I2678" s="5073"/>
      <c r="J2678" s="1032" t="s">
        <v>4458</v>
      </c>
      <c r="K2678" s="857" t="s">
        <v>171</v>
      </c>
      <c r="L2678" s="7212" t="s">
        <v>3285</v>
      </c>
      <c r="M2678" s="3524">
        <f>SUBTOTAL(9,N2678:AA2681)</f>
        <v>105000</v>
      </c>
      <c r="N2678" s="6143"/>
      <c r="O2678" s="6143"/>
      <c r="P2678" s="6143"/>
      <c r="Q2678" s="6143"/>
      <c r="R2678" s="6143"/>
      <c r="S2678" s="6143"/>
      <c r="T2678" s="6143"/>
      <c r="U2678" s="6143"/>
      <c r="V2678" s="6143">
        <v>95000</v>
      </c>
      <c r="W2678" s="6143">
        <v>10000</v>
      </c>
      <c r="X2678" s="6143"/>
      <c r="Y2678" s="6143"/>
      <c r="Z2678" s="6143"/>
      <c r="AA2678" s="6143"/>
      <c r="AB2678" s="6143"/>
      <c r="AC2678" s="3524">
        <v>1</v>
      </c>
      <c r="AD2678" s="5241" t="s">
        <v>4459</v>
      </c>
      <c r="AE2678" s="3524">
        <v>0.2</v>
      </c>
      <c r="AF2678" s="3742">
        <f t="shared" ref="AF2678:AF2680" si="552">AE2678*M2678</f>
        <v>21000</v>
      </c>
      <c r="AG2678" s="5346">
        <f>SUM(BA2678:BN2678)</f>
        <v>21000</v>
      </c>
      <c r="AH2678" s="857"/>
      <c r="AI2678" s="3812"/>
      <c r="AJ2678" s="5123">
        <v>21000</v>
      </c>
      <c r="AK2678" s="3524"/>
      <c r="AL2678" s="3524"/>
      <c r="AM2678" s="3524"/>
      <c r="AN2678" s="3742">
        <f t="shared" ref="AN2678:AN2688" si="553">SUM(BO2678:CB2678)</f>
        <v>0</v>
      </c>
      <c r="AO2678" s="5123"/>
      <c r="AP2678" s="3812">
        <f>AG2678-AN2678</f>
        <v>21000</v>
      </c>
      <c r="AQ2678" s="5137"/>
      <c r="AR2678" s="3524"/>
      <c r="AS2678" s="3742"/>
      <c r="AT2678" s="3524"/>
      <c r="AU2678" s="5122"/>
      <c r="AV2678" s="5122"/>
      <c r="AW2678" s="5122"/>
      <c r="AX2678" s="5122"/>
      <c r="AY2678" s="5122"/>
      <c r="AZ2678" s="5122"/>
      <c r="BA2678" s="5146"/>
      <c r="BB2678" s="5146"/>
      <c r="BC2678" s="3812"/>
      <c r="BD2678" s="5146"/>
      <c r="BE2678" s="5146"/>
      <c r="BF2678" s="5146"/>
      <c r="BG2678" s="5146"/>
      <c r="BH2678" s="3812"/>
      <c r="BI2678" s="3524">
        <v>11000</v>
      </c>
      <c r="BJ2678" s="3812">
        <v>10000</v>
      </c>
      <c r="BK2678" s="5146"/>
      <c r="BL2678" s="5146"/>
      <c r="BM2678" s="5146"/>
      <c r="BN2678" s="3812"/>
      <c r="BO2678" s="5146"/>
      <c r="BP2678" s="5146"/>
      <c r="BQ2678" s="3812"/>
      <c r="BR2678" s="5146"/>
      <c r="BS2678" s="5146"/>
      <c r="BT2678" s="5146"/>
      <c r="BU2678" s="5146"/>
      <c r="BV2678" s="3812"/>
      <c r="BW2678" s="5146"/>
      <c r="BX2678" s="5146"/>
      <c r="BY2678" s="5146"/>
      <c r="BZ2678" s="5146"/>
      <c r="CA2678" s="5146"/>
      <c r="CB2678" s="5146"/>
      <c r="CC2678" s="3524"/>
      <c r="CD2678" s="3524"/>
      <c r="CE2678" s="6769"/>
      <c r="CF2678" s="7274"/>
      <c r="CG2678" s="5920"/>
      <c r="CH2678" s="5920"/>
      <c r="CI2678" s="7275"/>
    </row>
    <row r="2679" s="24" customFormat="1" ht="62.5" customHeight="1" spans="1:87">
      <c r="A2679" s="857"/>
      <c r="B2679" s="857"/>
      <c r="C2679" s="3524"/>
      <c r="D2679" s="1032"/>
      <c r="E2679" s="1032"/>
      <c r="F2679" s="1032"/>
      <c r="G2679" s="1032"/>
      <c r="H2679" s="1032"/>
      <c r="I2679" s="5205"/>
      <c r="J2679" s="1032"/>
      <c r="K2679" s="3524"/>
      <c r="L2679" s="7212"/>
      <c r="M2679" s="3524"/>
      <c r="N2679" s="6145"/>
      <c r="O2679" s="6145"/>
      <c r="P2679" s="6145"/>
      <c r="Q2679" s="6145"/>
      <c r="R2679" s="6145"/>
      <c r="S2679" s="6145"/>
      <c r="T2679" s="6145"/>
      <c r="U2679" s="6145"/>
      <c r="V2679" s="6145"/>
      <c r="W2679" s="6145"/>
      <c r="X2679" s="6145"/>
      <c r="Y2679" s="6145"/>
      <c r="Z2679" s="6145"/>
      <c r="AA2679" s="6145"/>
      <c r="AB2679" s="6145"/>
      <c r="AC2679" s="857">
        <v>2</v>
      </c>
      <c r="AD2679" s="5241" t="s">
        <v>4460</v>
      </c>
      <c r="AE2679" s="3524">
        <v>0.4</v>
      </c>
      <c r="AF2679" s="3742">
        <f>M2678*AE2679</f>
        <v>42000</v>
      </c>
      <c r="AG2679" s="5059">
        <f>SUM(BA2679:BN2679)</f>
        <v>42000</v>
      </c>
      <c r="AH2679" s="857" t="s">
        <v>122</v>
      </c>
      <c r="AI2679" s="3812">
        <v>45267</v>
      </c>
      <c r="AJ2679" s="3812">
        <v>42000</v>
      </c>
      <c r="AK2679" s="3812">
        <v>45266</v>
      </c>
      <c r="AL2679" s="3524">
        <v>39900</v>
      </c>
      <c r="AM2679" s="3524">
        <v>45519</v>
      </c>
      <c r="AN2679" s="3742">
        <f t="shared" si="553"/>
        <v>39900</v>
      </c>
      <c r="AO2679" s="3812">
        <v>45701</v>
      </c>
      <c r="AP2679" s="3812">
        <f>AG2679-AN2679</f>
        <v>2100</v>
      </c>
      <c r="AQ2679" s="5256" t="s">
        <v>4461</v>
      </c>
      <c r="AR2679" s="3524"/>
      <c r="AS2679" s="3742"/>
      <c r="AT2679" s="3524"/>
      <c r="AU2679" s="5122"/>
      <c r="AV2679" s="5122"/>
      <c r="AW2679" s="5122"/>
      <c r="AX2679" s="5122"/>
      <c r="AY2679" s="5122"/>
      <c r="AZ2679" s="5122"/>
      <c r="BA2679" s="5146"/>
      <c r="BB2679" s="5146"/>
      <c r="BC2679" s="3812"/>
      <c r="BD2679" s="5146"/>
      <c r="BE2679" s="5146"/>
      <c r="BF2679" s="5146"/>
      <c r="BG2679" s="5146"/>
      <c r="BH2679" s="3812"/>
      <c r="BI2679" s="3524">
        <v>42000</v>
      </c>
      <c r="BJ2679" s="5123"/>
      <c r="BK2679" s="5146"/>
      <c r="BL2679" s="5146"/>
      <c r="BM2679" s="5146"/>
      <c r="BN2679" s="3812"/>
      <c r="BO2679" s="5146"/>
      <c r="BP2679" s="5146"/>
      <c r="BQ2679" s="3812"/>
      <c r="BR2679" s="5146"/>
      <c r="BS2679" s="5146"/>
      <c r="BT2679" s="5146"/>
      <c r="BU2679" s="5146"/>
      <c r="BV2679" s="3812"/>
      <c r="BW2679" s="5146">
        <v>39900</v>
      </c>
      <c r="BX2679" s="5146"/>
      <c r="BY2679" s="5146"/>
      <c r="BZ2679" s="5146"/>
      <c r="CA2679" s="5146"/>
      <c r="CB2679" s="5146"/>
      <c r="CC2679" s="3524"/>
      <c r="CD2679" s="3524"/>
      <c r="CE2679" s="6769"/>
      <c r="CF2679" s="7274"/>
      <c r="CG2679" s="5920"/>
      <c r="CH2679" s="5920"/>
      <c r="CI2679" s="7275"/>
    </row>
    <row r="2680" s="24" customFormat="1" ht="46" spans="1:87">
      <c r="A2680" s="857"/>
      <c r="B2680" s="857"/>
      <c r="C2680" s="3524"/>
      <c r="D2680" s="1032"/>
      <c r="E2680" s="1032"/>
      <c r="F2680" s="1032"/>
      <c r="G2680" s="1032"/>
      <c r="H2680" s="1032"/>
      <c r="I2680" s="5205"/>
      <c r="J2680" s="1032"/>
      <c r="K2680" s="3524"/>
      <c r="L2680" s="7212"/>
      <c r="M2680" s="3524"/>
      <c r="N2680" s="6145"/>
      <c r="O2680" s="6145"/>
      <c r="P2680" s="6145"/>
      <c r="Q2680" s="6145"/>
      <c r="R2680" s="6145"/>
      <c r="S2680" s="6145"/>
      <c r="T2680" s="6145"/>
      <c r="U2680" s="6145"/>
      <c r="V2680" s="6145"/>
      <c r="W2680" s="6145"/>
      <c r="X2680" s="6145"/>
      <c r="Y2680" s="6145"/>
      <c r="Z2680" s="6145"/>
      <c r="AA2680" s="6145"/>
      <c r="AB2680" s="6145"/>
      <c r="AC2680" s="3524">
        <v>3</v>
      </c>
      <c r="AD2680" s="7237" t="s">
        <v>4462</v>
      </c>
      <c r="AE2680" s="3524">
        <v>0.2</v>
      </c>
      <c r="AF2680" s="3742">
        <f>M2678*AE2680</f>
        <v>21000</v>
      </c>
      <c r="AG2680" s="5059"/>
      <c r="AH2680" s="857"/>
      <c r="AI2680" s="3812"/>
      <c r="AJ2680" s="5123">
        <v>21000</v>
      </c>
      <c r="AK2680" s="3524"/>
      <c r="AL2680" s="3524"/>
      <c r="AM2680" s="3524"/>
      <c r="AN2680" s="3742">
        <f t="shared" si="553"/>
        <v>0</v>
      </c>
      <c r="AO2680" s="5123"/>
      <c r="AP2680" s="3812">
        <f>AG2680-AN2680</f>
        <v>0</v>
      </c>
      <c r="AQ2680" s="5137"/>
      <c r="AR2680" s="3524"/>
      <c r="AS2680" s="3742"/>
      <c r="AT2680" s="3524"/>
      <c r="AU2680" s="5122"/>
      <c r="AV2680" s="5122"/>
      <c r="AW2680" s="5122"/>
      <c r="AX2680" s="5122"/>
      <c r="AY2680" s="5122"/>
      <c r="AZ2680" s="5122"/>
      <c r="BA2680" s="5146"/>
      <c r="BB2680" s="5146"/>
      <c r="BC2680" s="3812"/>
      <c r="BD2680" s="5146"/>
      <c r="BE2680" s="5146"/>
      <c r="BF2680" s="5146"/>
      <c r="BG2680" s="5146"/>
      <c r="BH2680" s="3812"/>
      <c r="BI2680" s="3524">
        <v>21000</v>
      </c>
      <c r="BJ2680" s="5123"/>
      <c r="BK2680" s="5146"/>
      <c r="BL2680" s="5146"/>
      <c r="BM2680" s="5146"/>
      <c r="BN2680" s="3812"/>
      <c r="BO2680" s="5146"/>
      <c r="BP2680" s="5146"/>
      <c r="BQ2680" s="3812"/>
      <c r="BR2680" s="5146"/>
      <c r="BS2680" s="5146"/>
      <c r="BT2680" s="5146"/>
      <c r="BU2680" s="5146"/>
      <c r="BV2680" s="3812"/>
      <c r="BW2680" s="5146"/>
      <c r="BX2680" s="5146"/>
      <c r="BY2680" s="5146"/>
      <c r="BZ2680" s="5146"/>
      <c r="CA2680" s="5146"/>
      <c r="CB2680" s="5146"/>
      <c r="CC2680" s="3524"/>
      <c r="CD2680" s="3524"/>
      <c r="CE2680" s="6769"/>
      <c r="CF2680" s="7274"/>
      <c r="CG2680" s="5920"/>
      <c r="CH2680" s="5920"/>
      <c r="CI2680" s="7275"/>
    </row>
    <row r="2681" s="24" customFormat="1" ht="31" spans="1:87">
      <c r="A2681" s="857"/>
      <c r="B2681" s="857"/>
      <c r="C2681" s="3524"/>
      <c r="D2681" s="5256"/>
      <c r="E2681" s="1032"/>
      <c r="F2681" s="5256"/>
      <c r="G2681" s="7207"/>
      <c r="H2681" s="5256"/>
      <c r="I2681" s="5206"/>
      <c r="J2681" s="5256"/>
      <c r="K2681" s="5122"/>
      <c r="L2681" s="7212"/>
      <c r="M2681" s="3524"/>
      <c r="N2681" s="6147"/>
      <c r="O2681" s="6147"/>
      <c r="P2681" s="6147"/>
      <c r="Q2681" s="6147"/>
      <c r="R2681" s="6147"/>
      <c r="S2681" s="6147"/>
      <c r="T2681" s="6147"/>
      <c r="U2681" s="6147"/>
      <c r="V2681" s="6147"/>
      <c r="W2681" s="6147"/>
      <c r="X2681" s="6147"/>
      <c r="Y2681" s="6147"/>
      <c r="Z2681" s="6147"/>
      <c r="AA2681" s="6147"/>
      <c r="AB2681" s="6147"/>
      <c r="AC2681" s="7131">
        <v>4</v>
      </c>
      <c r="AD2681" s="7237" t="s">
        <v>4463</v>
      </c>
      <c r="AE2681" s="3524">
        <v>0.2</v>
      </c>
      <c r="AF2681" s="3742">
        <f>M2678*AE2681</f>
        <v>21000</v>
      </c>
      <c r="AG2681" s="7246"/>
      <c r="AH2681" s="7246"/>
      <c r="AI2681" s="7246"/>
      <c r="AJ2681" s="5123">
        <v>21000</v>
      </c>
      <c r="AK2681" s="6769"/>
      <c r="AL2681" s="6769"/>
      <c r="AM2681" s="6769"/>
      <c r="AN2681" s="3742">
        <f t="shared" si="553"/>
        <v>0</v>
      </c>
      <c r="AO2681" s="6769"/>
      <c r="AP2681" s="3812">
        <f>AG2681-AN2681</f>
        <v>0</v>
      </c>
      <c r="AQ2681" s="6769"/>
      <c r="AR2681" s="6769"/>
      <c r="AS2681" s="6769"/>
      <c r="AT2681" s="6769"/>
      <c r="AU2681" s="6769"/>
      <c r="AV2681" s="6769"/>
      <c r="AW2681" s="6769"/>
      <c r="AX2681" s="6769"/>
      <c r="AY2681" s="6769"/>
      <c r="AZ2681" s="6769"/>
      <c r="BA2681" s="6769"/>
      <c r="BB2681" s="6769"/>
      <c r="BC2681" s="6769"/>
      <c r="BD2681" s="6769"/>
      <c r="BE2681" s="6769"/>
      <c r="BF2681" s="6769"/>
      <c r="BG2681" s="6769"/>
      <c r="BH2681" s="6769"/>
      <c r="BI2681" s="3524">
        <v>21000</v>
      </c>
      <c r="BJ2681" s="6769"/>
      <c r="BK2681" s="6769"/>
      <c r="BL2681" s="6769"/>
      <c r="BM2681" s="6769"/>
      <c r="BN2681" s="6769"/>
      <c r="BO2681" s="6769"/>
      <c r="BP2681" s="6769"/>
      <c r="BQ2681" s="6769"/>
      <c r="BR2681" s="6769"/>
      <c r="BS2681" s="6769"/>
      <c r="BT2681" s="6769"/>
      <c r="BU2681" s="6769"/>
      <c r="BV2681" s="6769"/>
      <c r="BW2681" s="6769"/>
      <c r="BX2681" s="6769"/>
      <c r="BY2681" s="6769"/>
      <c r="BZ2681" s="6769"/>
      <c r="CA2681" s="6769"/>
      <c r="CB2681" s="6769"/>
      <c r="CC2681" s="6769"/>
      <c r="CD2681" s="6769"/>
      <c r="CE2681" s="6769"/>
      <c r="CF2681" s="7274"/>
      <c r="CG2681" s="5920"/>
      <c r="CH2681" s="5920"/>
      <c r="CI2681" s="7275"/>
    </row>
    <row r="2682" s="4981" customFormat="1" ht="69" customHeight="1" spans="1:86">
      <c r="A2682" s="3409"/>
      <c r="B2682" s="3408" t="s">
        <v>690</v>
      </c>
      <c r="C2682" s="4088">
        <v>45243</v>
      </c>
      <c r="D2682" s="5073" t="s">
        <v>4464</v>
      </c>
      <c r="E2682" s="5073"/>
      <c r="F2682" s="5073" t="s">
        <v>4465</v>
      </c>
      <c r="G2682" s="3740" t="s">
        <v>4466</v>
      </c>
      <c r="H2682" s="5073" t="s">
        <v>695</v>
      </c>
      <c r="I2682" s="5073" t="s">
        <v>4467</v>
      </c>
      <c r="J2682" s="5073" t="s">
        <v>4468</v>
      </c>
      <c r="K2682" s="4087" t="s">
        <v>4469</v>
      </c>
      <c r="L2682" s="7213" t="s">
        <v>4470</v>
      </c>
      <c r="M2682" s="4087">
        <f>SUBTOTAL(9,N2682:AA2684)</f>
        <v>496800</v>
      </c>
      <c r="N2682" s="6143"/>
      <c r="O2682" s="6143"/>
      <c r="P2682" s="6143"/>
      <c r="Q2682" s="6143"/>
      <c r="R2682" s="6143"/>
      <c r="S2682" s="6143"/>
      <c r="T2682" s="6143"/>
      <c r="U2682" s="6143"/>
      <c r="V2682" s="6143"/>
      <c r="W2682" s="6143">
        <v>496800</v>
      </c>
      <c r="X2682" s="6143"/>
      <c r="Y2682" s="6143"/>
      <c r="Z2682" s="6143"/>
      <c r="AA2682" s="6143"/>
      <c r="AB2682" s="6143"/>
      <c r="AC2682" s="3524">
        <v>1</v>
      </c>
      <c r="AD2682" s="1032" t="s">
        <v>4471</v>
      </c>
      <c r="AE2682" s="3524">
        <v>0.95</v>
      </c>
      <c r="AF2682" s="3524">
        <v>471960</v>
      </c>
      <c r="AG2682" s="5059">
        <f>SUM(BA2682:BN2682)</f>
        <v>207191.01</v>
      </c>
      <c r="AH2682" s="3408" t="s">
        <v>122</v>
      </c>
      <c r="AI2682" s="4841">
        <v>45261</v>
      </c>
      <c r="AJ2682" s="4088">
        <v>207191.01</v>
      </c>
      <c r="AK2682" s="4088">
        <v>45261</v>
      </c>
      <c r="AL2682" s="4088">
        <v>207191.01</v>
      </c>
      <c r="AM2682" s="4088">
        <v>45262</v>
      </c>
      <c r="AN2682" s="5059">
        <f t="shared" si="553"/>
        <v>196831.46</v>
      </c>
      <c r="AO2682" s="3812">
        <v>45303</v>
      </c>
      <c r="AP2682" s="3524">
        <f>AL2682-AN2682</f>
        <v>10359.55</v>
      </c>
      <c r="AQ2682" s="7258"/>
      <c r="AR2682" s="4903"/>
      <c r="AS2682" s="3741"/>
      <c r="AT2682" s="4903"/>
      <c r="AU2682" s="5806"/>
      <c r="AV2682" s="5806"/>
      <c r="AW2682" s="5806"/>
      <c r="AX2682" s="5806"/>
      <c r="AY2682" s="5806"/>
      <c r="AZ2682" s="5806"/>
      <c r="BA2682" s="5792"/>
      <c r="BB2682" s="5792"/>
      <c r="BC2682" s="4842"/>
      <c r="BD2682" s="5792"/>
      <c r="BE2682" s="5792"/>
      <c r="BF2682" s="5792"/>
      <c r="BG2682" s="5792"/>
      <c r="BH2682" s="4842"/>
      <c r="BI2682" s="5792"/>
      <c r="BJ2682" s="7270">
        <v>207191.01</v>
      </c>
      <c r="BK2682" s="5792"/>
      <c r="BL2682" s="5792"/>
      <c r="BM2682" s="5792"/>
      <c r="BN2682" s="4842"/>
      <c r="BO2682" s="5792"/>
      <c r="BP2682" s="5792"/>
      <c r="BQ2682" s="4842"/>
      <c r="BR2682" s="5792"/>
      <c r="BS2682" s="5792"/>
      <c r="BT2682" s="5792"/>
      <c r="BU2682" s="5792"/>
      <c r="BV2682" s="4842"/>
      <c r="BW2682" s="5792"/>
      <c r="BX2682" s="4842">
        <v>196831.46</v>
      </c>
      <c r="BY2682" s="5792"/>
      <c r="BZ2682" s="5792"/>
      <c r="CA2682" s="5792"/>
      <c r="CB2682" s="5792"/>
      <c r="CC2682" s="4903"/>
      <c r="CD2682" s="4903"/>
      <c r="CE2682" s="5920"/>
      <c r="CF2682" s="5920"/>
      <c r="CG2682" s="5920"/>
      <c r="CH2682" s="5920"/>
    </row>
    <row r="2683" s="4981" customFormat="1" ht="74.25" customHeight="1" spans="1:86">
      <c r="A2683" s="3409"/>
      <c r="B2683" s="3408"/>
      <c r="C2683" s="4088"/>
      <c r="D2683" s="5205"/>
      <c r="E2683" s="5205"/>
      <c r="F2683" s="5205"/>
      <c r="G2683" s="3669"/>
      <c r="H2683" s="5205"/>
      <c r="I2683" s="5205"/>
      <c r="J2683" s="5205"/>
      <c r="K2683" s="4088"/>
      <c r="L2683" s="7214"/>
      <c r="M2683" s="4088"/>
      <c r="N2683" s="6145"/>
      <c r="O2683" s="6145"/>
      <c r="P2683" s="6145"/>
      <c r="Q2683" s="6145"/>
      <c r="R2683" s="6145"/>
      <c r="S2683" s="6145"/>
      <c r="T2683" s="6145"/>
      <c r="U2683" s="6145"/>
      <c r="V2683" s="6145"/>
      <c r="W2683" s="6145"/>
      <c r="X2683" s="6145"/>
      <c r="Y2683" s="6145"/>
      <c r="Z2683" s="6145"/>
      <c r="AA2683" s="6145"/>
      <c r="AB2683" s="6145"/>
      <c r="AC2683" s="3524"/>
      <c r="AD2683" s="1032"/>
      <c r="AE2683" s="3524"/>
      <c r="AF2683" s="3524"/>
      <c r="AG2683" s="5059">
        <f>SUM(BA2683:BN2683)</f>
        <v>264768.99</v>
      </c>
      <c r="AH2683" s="3366" t="s">
        <v>722</v>
      </c>
      <c r="AI2683" s="4840">
        <v>45307</v>
      </c>
      <c r="AJ2683" s="5214">
        <v>264768.99</v>
      </c>
      <c r="AK2683" s="4840">
        <v>45307</v>
      </c>
      <c r="AL2683" s="5214">
        <v>264768.99</v>
      </c>
      <c r="AM2683" s="4840">
        <v>45308</v>
      </c>
      <c r="AN2683" s="5059">
        <f t="shared" si="553"/>
        <v>150000</v>
      </c>
      <c r="AO2683" s="3812">
        <v>45423</v>
      </c>
      <c r="AP2683" s="3524">
        <f>AJ2683-AN2683</f>
        <v>114768.99</v>
      </c>
      <c r="AQ2683" s="7259"/>
      <c r="AR2683" s="7259"/>
      <c r="AS2683" s="7259"/>
      <c r="AT2683" s="7259"/>
      <c r="AU2683" s="7259"/>
      <c r="AV2683" s="7259"/>
      <c r="AW2683" s="7259"/>
      <c r="AX2683" s="7259"/>
      <c r="AY2683" s="7259"/>
      <c r="AZ2683" s="7259"/>
      <c r="BA2683" s="7259"/>
      <c r="BB2683" s="7259"/>
      <c r="BC2683" s="7259"/>
      <c r="BD2683" s="7259"/>
      <c r="BE2683" s="7259"/>
      <c r="BF2683" s="7259"/>
      <c r="BG2683" s="7259"/>
      <c r="BH2683" s="7259"/>
      <c r="BI2683" s="7259"/>
      <c r="BJ2683" s="4087">
        <v>264768.99</v>
      </c>
      <c r="BK2683" s="7259"/>
      <c r="BL2683" s="7259"/>
      <c r="BM2683" s="7259"/>
      <c r="BN2683" s="7259"/>
      <c r="BO2683" s="7259"/>
      <c r="BP2683" s="7259"/>
      <c r="BQ2683" s="7259"/>
      <c r="BR2683" s="7259"/>
      <c r="BS2683" s="7259"/>
      <c r="BT2683" s="7259"/>
      <c r="BU2683" s="7259"/>
      <c r="BV2683" s="7259"/>
      <c r="BW2683" s="7259"/>
      <c r="BX2683" s="4842">
        <v>150000</v>
      </c>
      <c r="BY2683" s="7259"/>
      <c r="BZ2683" s="7259"/>
      <c r="CA2683" s="7259"/>
      <c r="CB2683" s="7259"/>
      <c r="CC2683" s="7259"/>
      <c r="CD2683" s="7259"/>
      <c r="CE2683" s="5920"/>
      <c r="CF2683" s="5920"/>
      <c r="CG2683" s="5920"/>
      <c r="CH2683" s="5920"/>
    </row>
    <row r="2684" s="4981" customFormat="1" ht="50.25" customHeight="1" spans="1:86">
      <c r="A2684" s="857"/>
      <c r="B2684" s="3408"/>
      <c r="C2684" s="4088"/>
      <c r="D2684" s="5205"/>
      <c r="E2684" s="5205"/>
      <c r="F2684" s="5205"/>
      <c r="G2684" s="3669"/>
      <c r="H2684" s="5205"/>
      <c r="I2684" s="5205"/>
      <c r="J2684" s="5205"/>
      <c r="K2684" s="4088"/>
      <c r="L2684" s="7214"/>
      <c r="M2684" s="4088"/>
      <c r="N2684" s="6147"/>
      <c r="O2684" s="6147"/>
      <c r="P2684" s="6147"/>
      <c r="Q2684" s="6147"/>
      <c r="R2684" s="6147"/>
      <c r="S2684" s="6147"/>
      <c r="T2684" s="6147"/>
      <c r="U2684" s="6147"/>
      <c r="V2684" s="6147"/>
      <c r="W2684" s="6147"/>
      <c r="X2684" s="6147"/>
      <c r="Y2684" s="6147"/>
      <c r="Z2684" s="6147"/>
      <c r="AA2684" s="6147"/>
      <c r="AB2684" s="6147"/>
      <c r="AC2684" s="7238">
        <v>2</v>
      </c>
      <c r="AD2684" s="5242" t="s">
        <v>4472</v>
      </c>
      <c r="AE2684" s="4087">
        <v>0.05</v>
      </c>
      <c r="AF2684" s="4087">
        <v>24840</v>
      </c>
      <c r="AG2684" s="5214">
        <f>SUM(BA2684:BN2684)</f>
        <v>24840</v>
      </c>
      <c r="AH2684" s="3366" t="s">
        <v>722</v>
      </c>
      <c r="AI2684" s="4840">
        <v>45307</v>
      </c>
      <c r="AJ2684" s="5214">
        <v>24840</v>
      </c>
      <c r="AK2684" s="4840">
        <v>45307</v>
      </c>
      <c r="AL2684" s="5214">
        <v>24840</v>
      </c>
      <c r="AM2684" s="4840">
        <v>45308</v>
      </c>
      <c r="AN2684" s="5059">
        <f t="shared" si="553"/>
        <v>100000</v>
      </c>
      <c r="AO2684" s="3812">
        <v>45644</v>
      </c>
      <c r="AP2684" s="3524"/>
      <c r="AQ2684" s="857" t="s">
        <v>4473</v>
      </c>
      <c r="AR2684" s="6769"/>
      <c r="AS2684" s="6769"/>
      <c r="AT2684" s="6769"/>
      <c r="AU2684" s="6769"/>
      <c r="AV2684" s="6769"/>
      <c r="AW2684" s="6769"/>
      <c r="AX2684" s="6769"/>
      <c r="AY2684" s="6769"/>
      <c r="AZ2684" s="6769"/>
      <c r="BA2684" s="6769"/>
      <c r="BB2684" s="6769"/>
      <c r="BC2684" s="6769"/>
      <c r="BD2684" s="6769"/>
      <c r="BE2684" s="6769"/>
      <c r="BF2684" s="6769"/>
      <c r="BG2684" s="6769"/>
      <c r="BH2684" s="6769"/>
      <c r="BI2684" s="6769"/>
      <c r="BJ2684" s="4087">
        <v>24840</v>
      </c>
      <c r="BK2684" s="6769"/>
      <c r="BL2684" s="6769"/>
      <c r="BM2684" s="6769"/>
      <c r="BN2684" s="6769"/>
      <c r="BO2684" s="6769"/>
      <c r="BP2684" s="6769"/>
      <c r="BQ2684" s="6769"/>
      <c r="BR2684" s="6769"/>
      <c r="BS2684" s="6769"/>
      <c r="BT2684" s="6769"/>
      <c r="BU2684" s="6769"/>
      <c r="BV2684" s="6769"/>
      <c r="BW2684" s="6769"/>
      <c r="BX2684" s="4842">
        <v>100000</v>
      </c>
      <c r="BY2684" s="6769"/>
      <c r="BZ2684" s="6769"/>
      <c r="CA2684" s="6769"/>
      <c r="CB2684" s="6769"/>
      <c r="CC2684" s="6769"/>
      <c r="CD2684" s="6769"/>
      <c r="CE2684" s="5920"/>
      <c r="CF2684" s="5920"/>
      <c r="CG2684" s="5920"/>
      <c r="CH2684" s="5920"/>
    </row>
    <row r="2685" s="3478" customFormat="1" ht="44.15" customHeight="1" spans="1:86">
      <c r="A2685" s="857"/>
      <c r="B2685" s="3408"/>
      <c r="C2685" s="4088"/>
      <c r="D2685" s="5205"/>
      <c r="E2685" s="5205"/>
      <c r="F2685" s="5205"/>
      <c r="G2685" s="3669"/>
      <c r="H2685" s="5205"/>
      <c r="I2685" s="5205"/>
      <c r="J2685" s="5205"/>
      <c r="K2685" s="4088"/>
      <c r="L2685" s="7214"/>
      <c r="M2685" s="4088"/>
      <c r="N2685" s="6307"/>
      <c r="O2685" s="6307"/>
      <c r="P2685" s="6307"/>
      <c r="Q2685" s="6307"/>
      <c r="R2685" s="6307"/>
      <c r="S2685" s="6307"/>
      <c r="T2685" s="6307"/>
      <c r="U2685" s="6307"/>
      <c r="V2685" s="6307"/>
      <c r="W2685" s="6307"/>
      <c r="X2685" s="6307"/>
      <c r="Y2685" s="6307"/>
      <c r="Z2685" s="6307"/>
      <c r="AA2685" s="6307"/>
      <c r="AB2685" s="6307"/>
      <c r="AC2685" s="7239"/>
      <c r="AD2685" s="5942"/>
      <c r="AE2685" s="4903"/>
      <c r="AF2685" s="4903"/>
      <c r="AG2685" s="5074"/>
      <c r="AH2685" s="3408"/>
      <c r="AI2685" s="4841"/>
      <c r="AJ2685" s="5075"/>
      <c r="AK2685" s="4842"/>
      <c r="AL2685" s="5075"/>
      <c r="AM2685" s="4842"/>
      <c r="AN2685" s="5059">
        <f t="shared" si="553"/>
        <v>14840</v>
      </c>
      <c r="AO2685" s="5345"/>
      <c r="AP2685" s="3812"/>
      <c r="AQ2685" s="857"/>
      <c r="AR2685" s="3524"/>
      <c r="AS2685" s="3524"/>
      <c r="AT2685" s="3524"/>
      <c r="AU2685" s="3066"/>
      <c r="AV2685" s="3066"/>
      <c r="AW2685" s="3066"/>
      <c r="AX2685" s="3066"/>
      <c r="AY2685" s="3066"/>
      <c r="AZ2685" s="3066"/>
      <c r="BA2685" s="3812"/>
      <c r="BB2685" s="3812"/>
      <c r="BC2685" s="3812"/>
      <c r="BD2685" s="3812"/>
      <c r="BE2685" s="3812"/>
      <c r="BF2685" s="3812"/>
      <c r="BG2685" s="3812"/>
      <c r="BH2685" s="3812"/>
      <c r="BI2685" s="3812"/>
      <c r="BJ2685" s="4088"/>
      <c r="BK2685" s="3812"/>
      <c r="BL2685" s="3812"/>
      <c r="BM2685" s="3812"/>
      <c r="BN2685" s="3812"/>
      <c r="BO2685" s="3524"/>
      <c r="BP2685" s="3524"/>
      <c r="BQ2685" s="3524"/>
      <c r="BR2685" s="3524"/>
      <c r="BS2685" s="3524"/>
      <c r="BT2685" s="3524"/>
      <c r="BU2685" s="3524"/>
      <c r="BV2685" s="3812"/>
      <c r="BW2685" s="3524"/>
      <c r="BX2685" s="4842">
        <v>14840</v>
      </c>
      <c r="BY2685" s="3524"/>
      <c r="BZ2685" s="3524"/>
      <c r="CA2685" s="3524"/>
      <c r="CB2685" s="3524"/>
      <c r="CC2685" s="3524"/>
      <c r="CD2685" s="3524"/>
      <c r="CE2685" s="5169"/>
      <c r="CF2685" s="5169"/>
      <c r="CG2685" s="5044"/>
      <c r="CH2685" s="5044"/>
    </row>
    <row r="2686" s="4981" customFormat="1" ht="42.75" customHeight="1" spans="1:86">
      <c r="A2686" s="3409"/>
      <c r="B2686" s="3366" t="s">
        <v>690</v>
      </c>
      <c r="C2686" s="4087">
        <v>45621</v>
      </c>
      <c r="D2686" s="5073" t="s">
        <v>4464</v>
      </c>
      <c r="E2686" s="5073"/>
      <c r="F2686" s="5073" t="s">
        <v>4474</v>
      </c>
      <c r="G2686" s="5073" t="s">
        <v>4475</v>
      </c>
      <c r="H2686" s="5073" t="s">
        <v>695</v>
      </c>
      <c r="I2686" s="5073" t="s">
        <v>4476</v>
      </c>
      <c r="J2686" s="5073" t="s">
        <v>4468</v>
      </c>
      <c r="K2686" s="3366" t="s">
        <v>4477</v>
      </c>
      <c r="L2686" s="7213" t="s">
        <v>4470</v>
      </c>
      <c r="M2686" s="4087">
        <f>SUBTOTAL(9,N2686:AA2686)</f>
        <v>73508</v>
      </c>
      <c r="N2686" s="6143"/>
      <c r="O2686" s="6143"/>
      <c r="P2686" s="6143"/>
      <c r="Q2686" s="6143"/>
      <c r="R2686" s="6143"/>
      <c r="S2686" s="6143"/>
      <c r="T2686" s="6143"/>
      <c r="U2686" s="6143"/>
      <c r="V2686" s="6143"/>
      <c r="W2686" s="6143">
        <v>73508</v>
      </c>
      <c r="X2686" s="6143"/>
      <c r="Y2686" s="6143"/>
      <c r="Z2686" s="6143"/>
      <c r="AA2686" s="6143"/>
      <c r="AB2686" s="6143"/>
      <c r="AC2686" s="4087">
        <v>1</v>
      </c>
      <c r="AD2686" s="5242" t="s">
        <v>4478</v>
      </c>
      <c r="AE2686" s="4087">
        <v>1</v>
      </c>
      <c r="AF2686" s="4087">
        <f>M2686*AE2686</f>
        <v>73508</v>
      </c>
      <c r="AG2686" s="5214">
        <f>SUM(BA2686:BN2686)</f>
        <v>63600</v>
      </c>
      <c r="AH2686" s="3366" t="s">
        <v>122</v>
      </c>
      <c r="AI2686" s="4840">
        <v>45261</v>
      </c>
      <c r="AJ2686" s="4088">
        <v>63600</v>
      </c>
      <c r="AK2686" s="3366">
        <v>45601</v>
      </c>
      <c r="AL2686" s="7247">
        <v>60420</v>
      </c>
      <c r="AM2686" s="7248">
        <v>46007</v>
      </c>
      <c r="AN2686" s="7249">
        <f t="shared" si="553"/>
        <v>60420</v>
      </c>
      <c r="AO2686" s="7260"/>
      <c r="AP2686" s="3524">
        <f>AL2686-AN2686</f>
        <v>0</v>
      </c>
      <c r="AQ2686" s="7258"/>
      <c r="AR2686" s="4903"/>
      <c r="AS2686" s="3741"/>
      <c r="AT2686" s="4903"/>
      <c r="AU2686" s="5806"/>
      <c r="AV2686" s="5806"/>
      <c r="AW2686" s="5806"/>
      <c r="AX2686" s="5806"/>
      <c r="AY2686" s="5806"/>
      <c r="AZ2686" s="5806"/>
      <c r="BA2686" s="5792"/>
      <c r="BB2686" s="5792"/>
      <c r="BC2686" s="4842"/>
      <c r="BD2686" s="5792"/>
      <c r="BE2686" s="5792"/>
      <c r="BF2686" s="5792"/>
      <c r="BG2686" s="5792"/>
      <c r="BH2686" s="4842"/>
      <c r="BI2686" s="5792"/>
      <c r="BJ2686" s="7270">
        <v>63600</v>
      </c>
      <c r="BK2686" s="5792"/>
      <c r="BL2686" s="5792"/>
      <c r="BM2686" s="5792"/>
      <c r="BN2686" s="4842"/>
      <c r="BO2686" s="5792"/>
      <c r="BP2686" s="5792"/>
      <c r="BQ2686" s="4842"/>
      <c r="BR2686" s="5792"/>
      <c r="BS2686" s="5792"/>
      <c r="BT2686" s="5792"/>
      <c r="BU2686" s="5792"/>
      <c r="BV2686" s="4842"/>
      <c r="BW2686" s="5792"/>
      <c r="BX2686" s="4842">
        <v>60420</v>
      </c>
      <c r="BY2686" s="5792"/>
      <c r="BZ2686" s="5792"/>
      <c r="CA2686" s="5792"/>
      <c r="CB2686" s="5792"/>
      <c r="CC2686" s="4903"/>
      <c r="CD2686" s="4903"/>
      <c r="CE2686" s="5920"/>
      <c r="CF2686" s="5920"/>
      <c r="CG2686" s="5920"/>
      <c r="CH2686" s="5920"/>
    </row>
    <row r="2687" s="4981" customFormat="1" ht="42.75" customHeight="1" spans="1:86">
      <c r="A2687" s="3409"/>
      <c r="B2687" s="3408"/>
      <c r="C2687" s="4088"/>
      <c r="D2687" s="5205"/>
      <c r="E2687" s="5205"/>
      <c r="F2687" s="5205"/>
      <c r="G2687" s="5205"/>
      <c r="H2687" s="5205"/>
      <c r="I2687" s="5205"/>
      <c r="J2687" s="5205"/>
      <c r="K2687" s="3408"/>
      <c r="L2687" s="7214"/>
      <c r="M2687" s="4088"/>
      <c r="N2687" s="6143"/>
      <c r="O2687" s="6143"/>
      <c r="P2687" s="6143"/>
      <c r="Q2687" s="6143"/>
      <c r="R2687" s="6143"/>
      <c r="S2687" s="6143"/>
      <c r="T2687" s="6143"/>
      <c r="U2687" s="6143"/>
      <c r="V2687" s="6143"/>
      <c r="W2687" s="6143"/>
      <c r="X2687" s="6143"/>
      <c r="Y2687" s="6143"/>
      <c r="Z2687" s="6143"/>
      <c r="AA2687" s="6143"/>
      <c r="AB2687" s="6143"/>
      <c r="AC2687" s="4088"/>
      <c r="AD2687" s="5977"/>
      <c r="AE2687" s="4088"/>
      <c r="AF2687" s="4088"/>
      <c r="AG2687" s="5214">
        <f>SUM(BA2687:BN2687)</f>
        <v>-3180</v>
      </c>
      <c r="AH2687" s="3366" t="s">
        <v>122</v>
      </c>
      <c r="AI2687" s="7084">
        <v>46007</v>
      </c>
      <c r="AJ2687" s="4088">
        <v>-3180</v>
      </c>
      <c r="AK2687" s="3366">
        <v>46007</v>
      </c>
      <c r="AL2687" s="7247"/>
      <c r="AM2687" s="7250"/>
      <c r="AN2687" s="7251"/>
      <c r="AO2687" s="7261"/>
      <c r="AP2687" s="3524"/>
      <c r="AQ2687" s="7258"/>
      <c r="AR2687" s="4903"/>
      <c r="AS2687" s="3741"/>
      <c r="AT2687" s="4903"/>
      <c r="AU2687" s="5806"/>
      <c r="AV2687" s="5806"/>
      <c r="AW2687" s="5806"/>
      <c r="AX2687" s="5806"/>
      <c r="AY2687" s="5806"/>
      <c r="AZ2687" s="5806"/>
      <c r="BA2687" s="5792"/>
      <c r="BB2687" s="5792"/>
      <c r="BC2687" s="4842"/>
      <c r="BD2687" s="5792"/>
      <c r="BE2687" s="5792"/>
      <c r="BF2687" s="5792"/>
      <c r="BG2687" s="5792"/>
      <c r="BH2687" s="4842"/>
      <c r="BI2687" s="5792"/>
      <c r="BJ2687" s="7270">
        <v>-3180</v>
      </c>
      <c r="BK2687" s="5792"/>
      <c r="BL2687" s="5792"/>
      <c r="BM2687" s="5792"/>
      <c r="BN2687" s="4842"/>
      <c r="BO2687" s="5792"/>
      <c r="BP2687" s="5792"/>
      <c r="BQ2687" s="4842"/>
      <c r="BR2687" s="5792"/>
      <c r="BS2687" s="5792"/>
      <c r="BT2687" s="5792"/>
      <c r="BU2687" s="5792"/>
      <c r="BV2687" s="4842"/>
      <c r="BW2687" s="5792"/>
      <c r="BX2687" s="7270">
        <v>-3180</v>
      </c>
      <c r="BY2687" s="5792"/>
      <c r="BZ2687" s="5792"/>
      <c r="CA2687" s="5792"/>
      <c r="CB2687" s="5792"/>
      <c r="CC2687" s="4903"/>
      <c r="CD2687" s="4903"/>
      <c r="CE2687" s="5920"/>
      <c r="CF2687" s="5920"/>
      <c r="CG2687" s="5920"/>
      <c r="CH2687" s="5920"/>
    </row>
    <row r="2688" s="3478" customFormat="1" ht="38.25" customHeight="1" spans="1:86">
      <c r="A2688" s="3409"/>
      <c r="B2688" s="3408"/>
      <c r="C2688" s="4088"/>
      <c r="D2688" s="5205"/>
      <c r="E2688" s="5205"/>
      <c r="F2688" s="5205"/>
      <c r="G2688" s="5205"/>
      <c r="H2688" s="5205"/>
      <c r="I2688" s="5205"/>
      <c r="J2688" s="5205"/>
      <c r="K2688" s="3408"/>
      <c r="L2688" s="7214"/>
      <c r="M2688" s="4088"/>
      <c r="N2688" s="7211"/>
      <c r="O2688" s="7211"/>
      <c r="P2688" s="7211"/>
      <c r="Q2688" s="7211"/>
      <c r="R2688" s="7211"/>
      <c r="S2688" s="7211"/>
      <c r="T2688" s="7211"/>
      <c r="U2688" s="7211"/>
      <c r="V2688" s="7211"/>
      <c r="W2688" s="7211"/>
      <c r="X2688" s="7211"/>
      <c r="Y2688" s="7211"/>
      <c r="Z2688" s="7211"/>
      <c r="AA2688" s="7211"/>
      <c r="AB2688" s="7211"/>
      <c r="AC2688" s="4903"/>
      <c r="AD2688" s="5942"/>
      <c r="AE2688" s="4903"/>
      <c r="AF2688" s="4903"/>
      <c r="AG2688" s="5059">
        <f>SUM(BA2688:BN2688)</f>
        <v>0</v>
      </c>
      <c r="AH2688" s="857"/>
      <c r="AI2688" s="3812"/>
      <c r="AJ2688" s="3524"/>
      <c r="AK2688" s="857"/>
      <c r="AL2688" s="3524"/>
      <c r="AM2688" s="857"/>
      <c r="AN2688" s="5059">
        <f>SUM(BO2688:CB2688)</f>
        <v>0</v>
      </c>
      <c r="AO2688" s="5345"/>
      <c r="AP2688" s="3524">
        <f>AL2688-AN2688</f>
        <v>0</v>
      </c>
      <c r="AQ2688" s="4903"/>
      <c r="AR2688" s="4903"/>
      <c r="AS2688" s="4903"/>
      <c r="AT2688" s="4903"/>
      <c r="AU2688" s="6485"/>
      <c r="AV2688" s="6485"/>
      <c r="AW2688" s="6485"/>
      <c r="AX2688" s="6485"/>
      <c r="AY2688" s="6485"/>
      <c r="AZ2688" s="6485"/>
      <c r="BA2688" s="4842"/>
      <c r="BB2688" s="4842"/>
      <c r="BC2688" s="4842"/>
      <c r="BD2688" s="4842"/>
      <c r="BE2688" s="4842"/>
      <c r="BF2688" s="4842"/>
      <c r="BG2688" s="4842"/>
      <c r="BH2688" s="5350"/>
      <c r="BI2688" s="4842"/>
      <c r="BJ2688" s="4841"/>
      <c r="BK2688" s="4842"/>
      <c r="BL2688" s="4842"/>
      <c r="BM2688" s="4842"/>
      <c r="BN2688" s="4842"/>
      <c r="BO2688" s="4903"/>
      <c r="BP2688" s="4903"/>
      <c r="BQ2688" s="4903"/>
      <c r="BR2688" s="4903"/>
      <c r="BS2688" s="4903"/>
      <c r="BT2688" s="4903"/>
      <c r="BU2688" s="4903"/>
      <c r="BV2688" s="4842"/>
      <c r="BW2688" s="4903"/>
      <c r="BX2688" s="4903"/>
      <c r="BY2688" s="4903"/>
      <c r="BZ2688" s="4903"/>
      <c r="CA2688" s="4903"/>
      <c r="CB2688" s="4903"/>
      <c r="CC2688" s="4903"/>
      <c r="CD2688" s="4903"/>
      <c r="CE2688" s="5169"/>
      <c r="CF2688" s="5169"/>
      <c r="CG2688" s="5044"/>
      <c r="CH2688" s="5044"/>
    </row>
    <row r="2689" s="4981" customFormat="1" ht="42.75" customHeight="1" spans="1:86">
      <c r="A2689" s="3409"/>
      <c r="B2689" s="3366" t="s">
        <v>690</v>
      </c>
      <c r="C2689" s="4087">
        <v>45958</v>
      </c>
      <c r="D2689" s="5073" t="s">
        <v>4479</v>
      </c>
      <c r="E2689" s="5073"/>
      <c r="F2689" s="5073" t="s">
        <v>4480</v>
      </c>
      <c r="G2689" s="5073" t="s">
        <v>4481</v>
      </c>
      <c r="H2689" s="5073" t="s">
        <v>4482</v>
      </c>
      <c r="I2689" s="5073" t="s">
        <v>4483</v>
      </c>
      <c r="J2689" s="5073" t="s">
        <v>4484</v>
      </c>
      <c r="K2689" s="5073">
        <v>278998.36</v>
      </c>
      <c r="L2689" s="7281" t="s">
        <v>4485</v>
      </c>
      <c r="M2689" s="4087">
        <f>SUBTOTAL(9,N2689:AB2697)</f>
        <v>845980.78</v>
      </c>
      <c r="N2689" s="6143"/>
      <c r="O2689" s="6143"/>
      <c r="P2689" s="6143"/>
      <c r="Q2689" s="6143">
        <v>775980.78</v>
      </c>
      <c r="R2689" s="6143"/>
      <c r="S2689" s="6143"/>
      <c r="T2689" s="6143"/>
      <c r="U2689" s="6143">
        <v>70000</v>
      </c>
      <c r="V2689" s="6143"/>
      <c r="W2689" s="6143"/>
      <c r="X2689" s="6143"/>
      <c r="Y2689" s="6143"/>
      <c r="Z2689" s="6143"/>
      <c r="AA2689" s="6143"/>
      <c r="AB2689" s="6143"/>
      <c r="AC2689" s="857" t="s">
        <v>4486</v>
      </c>
      <c r="AD2689" s="5241" t="s">
        <v>4487</v>
      </c>
      <c r="AE2689" s="3524">
        <v>0.1</v>
      </c>
      <c r="AF2689" s="3524">
        <f>Q2689*AE2689</f>
        <v>77598.078</v>
      </c>
      <c r="AG2689" s="5891">
        <f>SUM(BA2689:BN2689)</f>
        <v>77598.078</v>
      </c>
      <c r="AH2689" s="5345" t="s">
        <v>122</v>
      </c>
      <c r="AI2689" s="4815">
        <v>46011</v>
      </c>
      <c r="AJ2689" s="3524"/>
      <c r="AK2689" s="857"/>
      <c r="AL2689" s="3524"/>
      <c r="AM2689" s="857"/>
      <c r="AN2689" s="5059">
        <f>SUM(BO2689:CB2689)</f>
        <v>77598.078</v>
      </c>
      <c r="AO2689" s="3406">
        <v>46021</v>
      </c>
      <c r="AP2689" s="3812">
        <f>AG2689-AL2689</f>
        <v>77598.078</v>
      </c>
      <c r="AQ2689" s="7258"/>
      <c r="AR2689" s="4903"/>
      <c r="AS2689" s="3741"/>
      <c r="AT2689" s="4903"/>
      <c r="AU2689" s="5806"/>
      <c r="AV2689" s="5806"/>
      <c r="AW2689" s="5806"/>
      <c r="AX2689" s="5806"/>
      <c r="AY2689" s="5806"/>
      <c r="AZ2689" s="5806"/>
      <c r="BA2689" s="5792"/>
      <c r="BB2689" s="5792"/>
      <c r="BC2689" s="4842"/>
      <c r="BD2689" s="5792"/>
      <c r="BE2689" s="5792"/>
      <c r="BF2689" s="5792"/>
      <c r="BG2689" s="5792"/>
      <c r="BH2689" s="4842"/>
      <c r="BI2689" s="5792"/>
      <c r="BJ2689" s="7270"/>
      <c r="BK2689" s="5792"/>
      <c r="BL2689" s="5792"/>
      <c r="BM2689" s="4842">
        <v>77598.078</v>
      </c>
      <c r="BN2689" s="4842"/>
      <c r="BO2689" s="5792"/>
      <c r="BP2689" s="5792"/>
      <c r="BQ2689" s="4842"/>
      <c r="BR2689" s="5792"/>
      <c r="BS2689" s="5792"/>
      <c r="BT2689" s="5792"/>
      <c r="BU2689" s="5792"/>
      <c r="BV2689" s="4842"/>
      <c r="BW2689" s="5792"/>
      <c r="BX2689" s="4842"/>
      <c r="BY2689" s="5792"/>
      <c r="BZ2689" s="5792"/>
      <c r="CA2689" s="4842">
        <v>77598.078</v>
      </c>
      <c r="CB2689" s="5792"/>
      <c r="CC2689" s="4903"/>
      <c r="CD2689" s="4903"/>
      <c r="CE2689" s="5920"/>
      <c r="CF2689" s="5920"/>
      <c r="CG2689" s="5920"/>
      <c r="CH2689" s="5920"/>
    </row>
    <row r="2690" s="4981" customFormat="1" ht="42.75" customHeight="1" spans="1:86">
      <c r="A2690" s="3409"/>
      <c r="B2690" s="3408"/>
      <c r="C2690" s="4088"/>
      <c r="D2690" s="5205"/>
      <c r="E2690" s="5205"/>
      <c r="F2690" s="5205"/>
      <c r="G2690" s="5205"/>
      <c r="H2690" s="5205"/>
      <c r="I2690" s="5205"/>
      <c r="J2690" s="5205"/>
      <c r="K2690" s="5205"/>
      <c r="L2690" s="7282"/>
      <c r="M2690" s="4088"/>
      <c r="N2690" s="6145"/>
      <c r="O2690" s="6145"/>
      <c r="P2690" s="6145"/>
      <c r="Q2690" s="6145"/>
      <c r="R2690" s="6145"/>
      <c r="S2690" s="6145"/>
      <c r="T2690" s="6145"/>
      <c r="U2690" s="6145"/>
      <c r="V2690" s="6145"/>
      <c r="W2690" s="6145"/>
      <c r="X2690" s="6145"/>
      <c r="Y2690" s="6145"/>
      <c r="Z2690" s="6145"/>
      <c r="AA2690" s="6145"/>
      <c r="AB2690" s="6145"/>
      <c r="AC2690" s="857" t="s">
        <v>4488</v>
      </c>
      <c r="AD2690" s="5241" t="s">
        <v>4489</v>
      </c>
      <c r="AE2690" s="3524">
        <v>0.15</v>
      </c>
      <c r="AF2690" s="3524">
        <f>Q2689*AE2690</f>
        <v>116397.117</v>
      </c>
      <c r="AG2690" s="5891">
        <f t="shared" ref="AG2690:AG2700" si="554">SUM(BA2690:BN2690)</f>
        <v>116397.117</v>
      </c>
      <c r="AH2690" s="5345" t="s">
        <v>122</v>
      </c>
      <c r="AI2690" s="4815">
        <v>46011</v>
      </c>
      <c r="AJ2690" s="3524"/>
      <c r="AK2690" s="857"/>
      <c r="AL2690" s="3524"/>
      <c r="AM2690" s="857"/>
      <c r="AN2690" s="5059">
        <f t="shared" ref="AN2690:AN2697" si="555">SUM(BO2690:CB2690)</f>
        <v>116397.117</v>
      </c>
      <c r="AO2690" s="3406">
        <v>46021</v>
      </c>
      <c r="AP2690" s="3812">
        <f>AG2690-AL2690</f>
        <v>116397.117</v>
      </c>
      <c r="AQ2690" s="7258"/>
      <c r="AR2690" s="4903"/>
      <c r="AS2690" s="3741"/>
      <c r="AT2690" s="4903"/>
      <c r="AU2690" s="5806"/>
      <c r="AV2690" s="5806"/>
      <c r="AW2690" s="5806"/>
      <c r="AX2690" s="5806"/>
      <c r="AY2690" s="5806"/>
      <c r="AZ2690" s="5806"/>
      <c r="BA2690" s="5792"/>
      <c r="BB2690" s="5792"/>
      <c r="BC2690" s="4842"/>
      <c r="BD2690" s="5792"/>
      <c r="BE2690" s="5792"/>
      <c r="BF2690" s="5792"/>
      <c r="BG2690" s="5792"/>
      <c r="BH2690" s="4842"/>
      <c r="BI2690" s="5792"/>
      <c r="BJ2690" s="7270"/>
      <c r="BK2690" s="5792"/>
      <c r="BL2690" s="5792"/>
      <c r="BM2690" s="4842">
        <v>116397.117</v>
      </c>
      <c r="BN2690" s="4842"/>
      <c r="BO2690" s="5792"/>
      <c r="BP2690" s="5792"/>
      <c r="BQ2690" s="4842"/>
      <c r="BR2690" s="5792"/>
      <c r="BS2690" s="5792"/>
      <c r="BT2690" s="5792"/>
      <c r="BU2690" s="5792"/>
      <c r="BV2690" s="4842"/>
      <c r="BW2690" s="5792"/>
      <c r="BX2690" s="4842"/>
      <c r="BY2690" s="5792"/>
      <c r="BZ2690" s="5792"/>
      <c r="CA2690" s="4842">
        <v>116397.117</v>
      </c>
      <c r="CB2690" s="5792"/>
      <c r="CC2690" s="4903"/>
      <c r="CD2690" s="4903"/>
      <c r="CE2690" s="5920"/>
      <c r="CF2690" s="5920"/>
      <c r="CG2690" s="5920"/>
      <c r="CH2690" s="5920"/>
    </row>
    <row r="2691" s="4981" customFormat="1" ht="42.75" customHeight="1" spans="1:86">
      <c r="A2691" s="3409"/>
      <c r="B2691" s="3408"/>
      <c r="C2691" s="4088"/>
      <c r="D2691" s="5205"/>
      <c r="E2691" s="5205"/>
      <c r="F2691" s="5205"/>
      <c r="G2691" s="5205"/>
      <c r="H2691" s="5205"/>
      <c r="I2691" s="5205"/>
      <c r="J2691" s="5205"/>
      <c r="K2691" s="5205"/>
      <c r="L2691" s="7282"/>
      <c r="M2691" s="4088"/>
      <c r="N2691" s="6145"/>
      <c r="O2691" s="6145"/>
      <c r="P2691" s="6145"/>
      <c r="Q2691" s="6145"/>
      <c r="R2691" s="6145"/>
      <c r="S2691" s="6145"/>
      <c r="T2691" s="6145"/>
      <c r="U2691" s="6145"/>
      <c r="V2691" s="6145"/>
      <c r="W2691" s="6145"/>
      <c r="X2691" s="6145"/>
      <c r="Y2691" s="6145"/>
      <c r="Z2691" s="6145"/>
      <c r="AA2691" s="6145"/>
      <c r="AB2691" s="6145"/>
      <c r="AC2691" s="857" t="s">
        <v>4490</v>
      </c>
      <c r="AD2691" s="5241" t="s">
        <v>4491</v>
      </c>
      <c r="AE2691" s="3524">
        <v>0.25</v>
      </c>
      <c r="AF2691" s="3524">
        <f>Q2689*AE2691</f>
        <v>193995.195</v>
      </c>
      <c r="AG2691" s="5346">
        <f t="shared" si="554"/>
        <v>193995.195</v>
      </c>
      <c r="AH2691" s="3406" t="s">
        <v>349</v>
      </c>
      <c r="AI2691" s="3406">
        <v>46111</v>
      </c>
      <c r="AJ2691" s="3524"/>
      <c r="AK2691" s="857"/>
      <c r="AL2691" s="3524"/>
      <c r="AM2691" s="857"/>
      <c r="AN2691" s="5059">
        <f t="shared" si="555"/>
        <v>193995.195</v>
      </c>
      <c r="AO2691" s="3406">
        <v>46081</v>
      </c>
      <c r="AP2691" s="3524">
        <f t="shared" ref="AP2690:AP2697" si="556">AL2691-AN2691</f>
        <v>-193995.195</v>
      </c>
      <c r="AQ2691" s="7258"/>
      <c r="AR2691" s="4903"/>
      <c r="AS2691" s="3741"/>
      <c r="AT2691" s="4903"/>
      <c r="AU2691" s="5806"/>
      <c r="AV2691" s="5806"/>
      <c r="AW2691" s="5806"/>
      <c r="AX2691" s="5806"/>
      <c r="AY2691" s="5806"/>
      <c r="AZ2691" s="5806"/>
      <c r="BA2691" s="5792"/>
      <c r="BB2691" s="5792"/>
      <c r="BC2691" s="4842"/>
      <c r="BD2691" s="5792"/>
      <c r="BE2691" s="5792"/>
      <c r="BF2691" s="5792"/>
      <c r="BG2691" s="5792"/>
      <c r="BH2691" s="4842"/>
      <c r="BI2691" s="5792"/>
      <c r="BJ2691" s="7270"/>
      <c r="BK2691" s="5792"/>
      <c r="BL2691" s="5792"/>
      <c r="BM2691" s="4842">
        <v>193995.195</v>
      </c>
      <c r="BN2691" s="4842"/>
      <c r="BO2691" s="5792"/>
      <c r="BP2691" s="5792"/>
      <c r="BQ2691" s="4842"/>
      <c r="BR2691" s="5792"/>
      <c r="BS2691" s="5792"/>
      <c r="BT2691" s="5792"/>
      <c r="BU2691" s="5792"/>
      <c r="BV2691" s="4842"/>
      <c r="BW2691" s="5792"/>
      <c r="BX2691" s="4842"/>
      <c r="BY2691" s="5792"/>
      <c r="BZ2691" s="5792"/>
      <c r="CA2691" s="4842">
        <v>193995.195</v>
      </c>
      <c r="CB2691" s="5792"/>
      <c r="CC2691" s="4903"/>
      <c r="CD2691" s="4903"/>
      <c r="CE2691" s="5920"/>
      <c r="CF2691" s="5920"/>
      <c r="CG2691" s="5920"/>
      <c r="CH2691" s="5920"/>
    </row>
    <row r="2692" s="4981" customFormat="1" ht="42.75" customHeight="1" spans="1:86">
      <c r="A2692" s="3409"/>
      <c r="B2692" s="3408"/>
      <c r="C2692" s="4088"/>
      <c r="D2692" s="5205"/>
      <c r="E2692" s="5205"/>
      <c r="F2692" s="5205"/>
      <c r="G2692" s="5205"/>
      <c r="H2692" s="5205"/>
      <c r="I2692" s="5205"/>
      <c r="J2692" s="5205"/>
      <c r="K2692" s="5205"/>
      <c r="L2692" s="7282"/>
      <c r="M2692" s="4088"/>
      <c r="N2692" s="6145"/>
      <c r="O2692" s="6145"/>
      <c r="P2692" s="6145"/>
      <c r="Q2692" s="6145"/>
      <c r="R2692" s="6145"/>
      <c r="S2692" s="6145"/>
      <c r="T2692" s="6145"/>
      <c r="U2692" s="6145"/>
      <c r="V2692" s="6145"/>
      <c r="W2692" s="6145"/>
      <c r="X2692" s="6145"/>
      <c r="Y2692" s="6145"/>
      <c r="Z2692" s="6145"/>
      <c r="AA2692" s="6145"/>
      <c r="AB2692" s="6145"/>
      <c r="AC2692" s="857" t="s">
        <v>4492</v>
      </c>
      <c r="AD2692" s="5241" t="s">
        <v>4493</v>
      </c>
      <c r="AE2692" s="3524">
        <v>0.2</v>
      </c>
      <c r="AF2692" s="3524">
        <f>Q2689*AE2692</f>
        <v>155196.156</v>
      </c>
      <c r="AG2692" s="5346">
        <f t="shared" si="554"/>
        <v>155196.156</v>
      </c>
      <c r="AH2692" s="3406" t="s">
        <v>349</v>
      </c>
      <c r="AI2692" s="3406">
        <v>46142</v>
      </c>
      <c r="AJ2692" s="3524"/>
      <c r="AK2692" s="857"/>
      <c r="AL2692" s="3524"/>
      <c r="AM2692" s="857"/>
      <c r="AN2692" s="5059">
        <f t="shared" si="555"/>
        <v>155196.156</v>
      </c>
      <c r="AO2692" s="3406">
        <v>46081</v>
      </c>
      <c r="AP2692" s="3524">
        <f t="shared" si="556"/>
        <v>-155196.156</v>
      </c>
      <c r="AQ2692" s="7258"/>
      <c r="AR2692" s="4903"/>
      <c r="AS2692" s="3741"/>
      <c r="AT2692" s="4903"/>
      <c r="AU2692" s="5806"/>
      <c r="AV2692" s="5806"/>
      <c r="AW2692" s="5806"/>
      <c r="AX2692" s="5806"/>
      <c r="AY2692" s="5806"/>
      <c r="AZ2692" s="5806"/>
      <c r="BA2692" s="5792"/>
      <c r="BB2692" s="5792"/>
      <c r="BC2692" s="4842"/>
      <c r="BD2692" s="5792"/>
      <c r="BE2692" s="5792"/>
      <c r="BF2692" s="5792"/>
      <c r="BG2692" s="5792"/>
      <c r="BH2692" s="4842"/>
      <c r="BI2692" s="5792"/>
      <c r="BJ2692" s="7270"/>
      <c r="BK2692" s="5792"/>
      <c r="BL2692" s="5792"/>
      <c r="BM2692" s="4842">
        <v>155196.156</v>
      </c>
      <c r="BN2692" s="4842"/>
      <c r="BO2692" s="5792"/>
      <c r="BP2692" s="5792"/>
      <c r="BQ2692" s="4842"/>
      <c r="BR2692" s="5792"/>
      <c r="BS2692" s="5792"/>
      <c r="BT2692" s="5792"/>
      <c r="BU2692" s="5792"/>
      <c r="BV2692" s="4842"/>
      <c r="BW2692" s="5792"/>
      <c r="BX2692" s="4842"/>
      <c r="BY2692" s="5792"/>
      <c r="BZ2692" s="5792"/>
      <c r="CA2692" s="4842">
        <v>155196.156</v>
      </c>
      <c r="CB2692" s="5792"/>
      <c r="CC2692" s="4903"/>
      <c r="CD2692" s="4903"/>
      <c r="CE2692" s="5920"/>
      <c r="CF2692" s="5920"/>
      <c r="CG2692" s="5920"/>
      <c r="CH2692" s="5920"/>
    </row>
    <row r="2693" s="4981" customFormat="1" ht="42.75" customHeight="1" spans="1:86">
      <c r="A2693" s="3409"/>
      <c r="B2693" s="3408"/>
      <c r="C2693" s="4088"/>
      <c r="D2693" s="5205"/>
      <c r="E2693" s="5205"/>
      <c r="F2693" s="5205"/>
      <c r="G2693" s="5205"/>
      <c r="H2693" s="5205"/>
      <c r="I2693" s="5205"/>
      <c r="J2693" s="5205"/>
      <c r="K2693" s="5205"/>
      <c r="L2693" s="7282"/>
      <c r="M2693" s="4088"/>
      <c r="N2693" s="6145"/>
      <c r="O2693" s="6145"/>
      <c r="P2693" s="6145"/>
      <c r="Q2693" s="6145"/>
      <c r="R2693" s="6145"/>
      <c r="S2693" s="6145"/>
      <c r="T2693" s="6145"/>
      <c r="U2693" s="6145"/>
      <c r="V2693" s="6145"/>
      <c r="W2693" s="6145"/>
      <c r="X2693" s="6145"/>
      <c r="Y2693" s="6145"/>
      <c r="Z2693" s="6145"/>
      <c r="AA2693" s="6145"/>
      <c r="AB2693" s="6145"/>
      <c r="AC2693" s="857" t="s">
        <v>4494</v>
      </c>
      <c r="AD2693" s="5241" t="s">
        <v>4495</v>
      </c>
      <c r="AE2693" s="3524">
        <v>0.2</v>
      </c>
      <c r="AF2693" s="3524">
        <f>Q2689*AE2693</f>
        <v>155196.156</v>
      </c>
      <c r="AG2693" s="5346">
        <f t="shared" si="554"/>
        <v>155196.156</v>
      </c>
      <c r="AH2693" s="3406" t="s">
        <v>349</v>
      </c>
      <c r="AI2693" s="3406">
        <v>46172</v>
      </c>
      <c r="AJ2693" s="3524"/>
      <c r="AK2693" s="857"/>
      <c r="AL2693" s="3524"/>
      <c r="AM2693" s="857"/>
      <c r="AN2693" s="5059">
        <f t="shared" si="555"/>
        <v>155196.156</v>
      </c>
      <c r="AO2693" s="3406">
        <v>46142</v>
      </c>
      <c r="AP2693" s="3524">
        <f t="shared" si="556"/>
        <v>-155196.156</v>
      </c>
      <c r="AQ2693" s="7258"/>
      <c r="AR2693" s="4903"/>
      <c r="AS2693" s="3741"/>
      <c r="AT2693" s="4903"/>
      <c r="AU2693" s="5806"/>
      <c r="AV2693" s="5806"/>
      <c r="AW2693" s="5806"/>
      <c r="AX2693" s="5806"/>
      <c r="AY2693" s="5806"/>
      <c r="AZ2693" s="5806"/>
      <c r="BA2693" s="5792"/>
      <c r="BB2693" s="5792"/>
      <c r="BC2693" s="4842"/>
      <c r="BD2693" s="5792"/>
      <c r="BE2693" s="5792"/>
      <c r="BF2693" s="5792"/>
      <c r="BG2693" s="5792"/>
      <c r="BH2693" s="4842"/>
      <c r="BI2693" s="5792"/>
      <c r="BJ2693" s="7270"/>
      <c r="BK2693" s="5792"/>
      <c r="BL2693" s="5792"/>
      <c r="BM2693" s="4842">
        <v>155196.156</v>
      </c>
      <c r="BN2693" s="4842"/>
      <c r="BO2693" s="5792"/>
      <c r="BP2693" s="5792"/>
      <c r="BQ2693" s="4842"/>
      <c r="BR2693" s="5792"/>
      <c r="BS2693" s="5792"/>
      <c r="BT2693" s="5792"/>
      <c r="BU2693" s="5792"/>
      <c r="BV2693" s="4842"/>
      <c r="BW2693" s="5792"/>
      <c r="BX2693" s="4842"/>
      <c r="BY2693" s="5792"/>
      <c r="BZ2693" s="5792"/>
      <c r="CA2693" s="4842">
        <v>155196.156</v>
      </c>
      <c r="CB2693" s="5792"/>
      <c r="CC2693" s="4903"/>
      <c r="CD2693" s="4903"/>
      <c r="CE2693" s="5920"/>
      <c r="CF2693" s="5920"/>
      <c r="CG2693" s="5920"/>
      <c r="CH2693" s="5920"/>
    </row>
    <row r="2694" s="4981" customFormat="1" ht="42.75" customHeight="1" spans="1:86">
      <c r="A2694" s="3409"/>
      <c r="B2694" s="3408"/>
      <c r="C2694" s="4088"/>
      <c r="D2694" s="5205"/>
      <c r="E2694" s="5205"/>
      <c r="F2694" s="5205"/>
      <c r="G2694" s="5205"/>
      <c r="H2694" s="5205"/>
      <c r="I2694" s="5205"/>
      <c r="J2694" s="5205"/>
      <c r="K2694" s="5205"/>
      <c r="L2694" s="7282"/>
      <c r="M2694" s="4088"/>
      <c r="N2694" s="6145"/>
      <c r="O2694" s="6145"/>
      <c r="P2694" s="6145"/>
      <c r="Q2694" s="6145"/>
      <c r="R2694" s="6145"/>
      <c r="S2694" s="6145"/>
      <c r="T2694" s="6145"/>
      <c r="U2694" s="6145"/>
      <c r="V2694" s="6145"/>
      <c r="W2694" s="6145"/>
      <c r="X2694" s="6145"/>
      <c r="Y2694" s="6145"/>
      <c r="Z2694" s="6145"/>
      <c r="AA2694" s="6145"/>
      <c r="AB2694" s="6145"/>
      <c r="AC2694" s="857" t="s">
        <v>4496</v>
      </c>
      <c r="AD2694" s="5241" t="s">
        <v>4497</v>
      </c>
      <c r="AE2694" s="3524">
        <v>0.1</v>
      </c>
      <c r="AF2694" s="3524">
        <f>Q2689*AE2694</f>
        <v>77598.078</v>
      </c>
      <c r="AG2694" s="5059">
        <f t="shared" si="554"/>
        <v>77598.078</v>
      </c>
      <c r="AH2694" s="857"/>
      <c r="AI2694" s="3812"/>
      <c r="AJ2694" s="3524"/>
      <c r="AK2694" s="857"/>
      <c r="AL2694" s="3524"/>
      <c r="AM2694" s="857"/>
      <c r="AN2694" s="5059">
        <f t="shared" si="555"/>
        <v>77598.078</v>
      </c>
      <c r="AO2694" s="5345"/>
      <c r="AP2694" s="3524">
        <f t="shared" si="556"/>
        <v>-77598.078</v>
      </c>
      <c r="AQ2694" s="7258"/>
      <c r="AR2694" s="4903"/>
      <c r="AS2694" s="3741"/>
      <c r="AT2694" s="4903"/>
      <c r="AU2694" s="5806"/>
      <c r="AV2694" s="5806"/>
      <c r="AW2694" s="5806"/>
      <c r="AX2694" s="5806"/>
      <c r="AY2694" s="5806"/>
      <c r="AZ2694" s="5806"/>
      <c r="BA2694" s="5792"/>
      <c r="BB2694" s="5792"/>
      <c r="BC2694" s="4842"/>
      <c r="BD2694" s="5792"/>
      <c r="BE2694" s="5792"/>
      <c r="BF2694" s="5792"/>
      <c r="BG2694" s="5792"/>
      <c r="BH2694" s="4842"/>
      <c r="BI2694" s="5792"/>
      <c r="BJ2694" s="7270"/>
      <c r="BK2694" s="5792"/>
      <c r="BL2694" s="5792"/>
      <c r="BM2694" s="4842">
        <v>77598.078</v>
      </c>
      <c r="BN2694" s="4842"/>
      <c r="BO2694" s="5792"/>
      <c r="BP2694" s="5792"/>
      <c r="BQ2694" s="4842"/>
      <c r="BR2694" s="5792"/>
      <c r="BS2694" s="5792"/>
      <c r="BT2694" s="5792"/>
      <c r="BU2694" s="5792"/>
      <c r="BV2694" s="4842"/>
      <c r="BW2694" s="5792"/>
      <c r="BX2694" s="4842"/>
      <c r="BY2694" s="5792"/>
      <c r="BZ2694" s="5792"/>
      <c r="CA2694" s="4842">
        <v>77598.078</v>
      </c>
      <c r="CB2694" s="5792"/>
      <c r="CC2694" s="4903"/>
      <c r="CD2694" s="4903"/>
      <c r="CE2694" s="5920"/>
      <c r="CF2694" s="5920"/>
      <c r="CG2694" s="5920"/>
      <c r="CH2694" s="5920"/>
    </row>
    <row r="2695" s="4981" customFormat="1" ht="42.75" customHeight="1" spans="1:86">
      <c r="A2695" s="3409"/>
      <c r="B2695" s="3408"/>
      <c r="C2695" s="4088"/>
      <c r="D2695" s="5205"/>
      <c r="E2695" s="5205"/>
      <c r="F2695" s="5205"/>
      <c r="G2695" s="5205"/>
      <c r="H2695" s="5205"/>
      <c r="I2695" s="5205"/>
      <c r="J2695" s="5205"/>
      <c r="K2695" s="5205"/>
      <c r="L2695" s="7282"/>
      <c r="M2695" s="4088"/>
      <c r="N2695" s="6145"/>
      <c r="O2695" s="6145"/>
      <c r="P2695" s="6145"/>
      <c r="Q2695" s="6145"/>
      <c r="R2695" s="6145"/>
      <c r="S2695" s="6145"/>
      <c r="T2695" s="6145"/>
      <c r="U2695" s="6145"/>
      <c r="V2695" s="6145"/>
      <c r="W2695" s="6145"/>
      <c r="X2695" s="6145"/>
      <c r="Y2695" s="6145"/>
      <c r="Z2695" s="6145"/>
      <c r="AA2695" s="6145"/>
      <c r="AB2695" s="6145"/>
      <c r="AC2695" s="857" t="s">
        <v>385</v>
      </c>
      <c r="AD2695" s="5241" t="s">
        <v>4498</v>
      </c>
      <c r="AE2695" s="3524">
        <v>0.2</v>
      </c>
      <c r="AF2695" s="3524">
        <f>U2689*AE2695</f>
        <v>14000</v>
      </c>
      <c r="AG2695" s="5891">
        <f t="shared" si="554"/>
        <v>14000</v>
      </c>
      <c r="AH2695" s="5345" t="s">
        <v>122</v>
      </c>
      <c r="AI2695" s="4815">
        <v>46011</v>
      </c>
      <c r="AJ2695" s="3524"/>
      <c r="AK2695" s="857"/>
      <c r="AL2695" s="3524"/>
      <c r="AM2695" s="857"/>
      <c r="AN2695" s="5059">
        <f t="shared" si="555"/>
        <v>14000</v>
      </c>
      <c r="AO2695" s="3406">
        <v>46081</v>
      </c>
      <c r="AP2695" s="3812">
        <f>AG2695-AL2695</f>
        <v>14000</v>
      </c>
      <c r="AQ2695" s="7258"/>
      <c r="AR2695" s="4903"/>
      <c r="AS2695" s="3741"/>
      <c r="AT2695" s="4903"/>
      <c r="AU2695" s="5806"/>
      <c r="AV2695" s="5806"/>
      <c r="AW2695" s="5806"/>
      <c r="AX2695" s="5806"/>
      <c r="AY2695" s="5806"/>
      <c r="AZ2695" s="5806"/>
      <c r="BA2695" s="5792"/>
      <c r="BB2695" s="5792"/>
      <c r="BC2695" s="4842"/>
      <c r="BD2695" s="5792"/>
      <c r="BE2695" s="5792"/>
      <c r="BF2695" s="5792"/>
      <c r="BG2695" s="5792"/>
      <c r="BH2695" s="4842"/>
      <c r="BI2695" s="5792"/>
      <c r="BJ2695" s="7270"/>
      <c r="BK2695" s="5792"/>
      <c r="BL2695" s="5792"/>
      <c r="BM2695" s="4842">
        <v>14000</v>
      </c>
      <c r="BN2695" s="4842"/>
      <c r="BO2695" s="5792"/>
      <c r="BP2695" s="5792"/>
      <c r="BQ2695" s="4842"/>
      <c r="BR2695" s="5792"/>
      <c r="BS2695" s="5792"/>
      <c r="BT2695" s="5792"/>
      <c r="BU2695" s="5792"/>
      <c r="BV2695" s="4842"/>
      <c r="BW2695" s="5792"/>
      <c r="BX2695" s="4842"/>
      <c r="BY2695" s="5792"/>
      <c r="BZ2695" s="5792"/>
      <c r="CA2695" s="4842">
        <v>14000</v>
      </c>
      <c r="CB2695" s="5792"/>
      <c r="CC2695" s="4903"/>
      <c r="CD2695" s="4903"/>
      <c r="CE2695" s="5920"/>
      <c r="CF2695" s="5920"/>
      <c r="CG2695" s="5920"/>
      <c r="CH2695" s="5920"/>
    </row>
    <row r="2696" s="4981" customFormat="1" ht="45.85" customHeight="1" spans="1:86">
      <c r="A2696" s="3409"/>
      <c r="B2696" s="3408"/>
      <c r="C2696" s="4088"/>
      <c r="D2696" s="5205"/>
      <c r="E2696" s="5205"/>
      <c r="F2696" s="5205"/>
      <c r="G2696" s="5205"/>
      <c r="H2696" s="5205"/>
      <c r="I2696" s="5205"/>
      <c r="J2696" s="5205"/>
      <c r="K2696" s="5205"/>
      <c r="L2696" s="7282"/>
      <c r="M2696" s="4088"/>
      <c r="N2696" s="6145"/>
      <c r="O2696" s="6145"/>
      <c r="P2696" s="6145"/>
      <c r="Q2696" s="6145"/>
      <c r="R2696" s="6145"/>
      <c r="S2696" s="6145"/>
      <c r="T2696" s="6145"/>
      <c r="U2696" s="6145"/>
      <c r="V2696" s="6145"/>
      <c r="W2696" s="6145"/>
      <c r="X2696" s="6145"/>
      <c r="Y2696" s="6145"/>
      <c r="Z2696" s="6145"/>
      <c r="AA2696" s="6145"/>
      <c r="AB2696" s="6145"/>
      <c r="AC2696" s="857" t="s">
        <v>387</v>
      </c>
      <c r="AD2696" s="5241" t="s">
        <v>4499</v>
      </c>
      <c r="AE2696" s="3524">
        <v>0.6</v>
      </c>
      <c r="AF2696" s="3524">
        <f>U2689*AE2696</f>
        <v>42000</v>
      </c>
      <c r="AG2696" s="5346">
        <f t="shared" si="554"/>
        <v>42000</v>
      </c>
      <c r="AH2696" s="3406"/>
      <c r="AI2696" s="3406"/>
      <c r="AJ2696" s="3524"/>
      <c r="AK2696" s="857"/>
      <c r="AL2696" s="3524"/>
      <c r="AM2696" s="857"/>
      <c r="AN2696" s="5059">
        <f t="shared" si="555"/>
        <v>42000</v>
      </c>
      <c r="AO2696" s="5345"/>
      <c r="AP2696" s="3524">
        <f t="shared" si="556"/>
        <v>-42000</v>
      </c>
      <c r="AQ2696" s="7258"/>
      <c r="AR2696" s="4903"/>
      <c r="AS2696" s="3741"/>
      <c r="AT2696" s="4903"/>
      <c r="AU2696" s="5806"/>
      <c r="AV2696" s="5806"/>
      <c r="AW2696" s="5806"/>
      <c r="AX2696" s="5806"/>
      <c r="AY2696" s="5806"/>
      <c r="AZ2696" s="5806"/>
      <c r="BA2696" s="5792"/>
      <c r="BB2696" s="5792"/>
      <c r="BC2696" s="4842"/>
      <c r="BD2696" s="5792"/>
      <c r="BE2696" s="5792"/>
      <c r="BF2696" s="5792"/>
      <c r="BG2696" s="5792"/>
      <c r="BH2696" s="4842"/>
      <c r="BI2696" s="5792"/>
      <c r="BJ2696" s="7270"/>
      <c r="BK2696" s="5792"/>
      <c r="BL2696" s="5792"/>
      <c r="BM2696" s="4842">
        <v>42000</v>
      </c>
      <c r="BN2696" s="4842"/>
      <c r="BO2696" s="5792"/>
      <c r="BP2696" s="5792"/>
      <c r="BQ2696" s="4842"/>
      <c r="BR2696" s="5792"/>
      <c r="BS2696" s="5792"/>
      <c r="BT2696" s="5792"/>
      <c r="BU2696" s="5792"/>
      <c r="BV2696" s="4842"/>
      <c r="BW2696" s="5792"/>
      <c r="BX2696" s="4842"/>
      <c r="BY2696" s="5792"/>
      <c r="BZ2696" s="5792"/>
      <c r="CA2696" s="4842">
        <v>42000</v>
      </c>
      <c r="CB2696" s="5792"/>
      <c r="CC2696" s="4903"/>
      <c r="CD2696" s="4903"/>
      <c r="CE2696" s="5920"/>
      <c r="CF2696" s="5920"/>
      <c r="CG2696" s="5920"/>
      <c r="CH2696" s="5920"/>
    </row>
    <row r="2697" s="3478" customFormat="1" ht="38.25" customHeight="1" spans="1:86">
      <c r="A2697" s="3409"/>
      <c r="B2697" s="3408"/>
      <c r="C2697" s="4088"/>
      <c r="D2697" s="5205"/>
      <c r="E2697" s="5205"/>
      <c r="F2697" s="5205"/>
      <c r="G2697" s="5205"/>
      <c r="H2697" s="5205"/>
      <c r="I2697" s="5205"/>
      <c r="J2697" s="5205"/>
      <c r="K2697" s="5205"/>
      <c r="L2697" s="7282"/>
      <c r="M2697" s="4088"/>
      <c r="N2697" s="6145"/>
      <c r="O2697" s="6145"/>
      <c r="P2697" s="6145"/>
      <c r="Q2697" s="6145"/>
      <c r="R2697" s="6145"/>
      <c r="S2697" s="6145"/>
      <c r="T2697" s="6145"/>
      <c r="U2697" s="6145"/>
      <c r="V2697" s="6145"/>
      <c r="W2697" s="6145"/>
      <c r="X2697" s="6145"/>
      <c r="Y2697" s="6145"/>
      <c r="Z2697" s="6145"/>
      <c r="AA2697" s="6145"/>
      <c r="AB2697" s="6145"/>
      <c r="AC2697" s="857" t="s">
        <v>389</v>
      </c>
      <c r="AD2697" s="5241" t="s">
        <v>4500</v>
      </c>
      <c r="AE2697" s="3524">
        <v>0.2</v>
      </c>
      <c r="AF2697" s="3524">
        <f>U2689*AE2697</f>
        <v>14000</v>
      </c>
      <c r="AG2697" s="5059">
        <f t="shared" si="554"/>
        <v>14000</v>
      </c>
      <c r="AH2697" s="857"/>
      <c r="AI2697" s="3812"/>
      <c r="AJ2697" s="3524"/>
      <c r="AK2697" s="857"/>
      <c r="AL2697" s="3524"/>
      <c r="AM2697" s="857"/>
      <c r="AN2697" s="5059">
        <f t="shared" si="555"/>
        <v>14000</v>
      </c>
      <c r="AO2697" s="5345"/>
      <c r="AP2697" s="3524">
        <f t="shared" si="556"/>
        <v>-14000</v>
      </c>
      <c r="AQ2697" s="4903"/>
      <c r="AR2697" s="4903"/>
      <c r="AS2697" s="4903"/>
      <c r="AT2697" s="4903"/>
      <c r="AU2697" s="6485"/>
      <c r="AV2697" s="6485"/>
      <c r="AW2697" s="6485"/>
      <c r="AX2697" s="6485"/>
      <c r="AY2697" s="6485"/>
      <c r="AZ2697" s="6485"/>
      <c r="BA2697" s="4842"/>
      <c r="BB2697" s="4842"/>
      <c r="BC2697" s="4842"/>
      <c r="BD2697" s="4842"/>
      <c r="BE2697" s="4842"/>
      <c r="BF2697" s="4842"/>
      <c r="BG2697" s="4842"/>
      <c r="BH2697" s="5350"/>
      <c r="BI2697" s="4842"/>
      <c r="BJ2697" s="4841"/>
      <c r="BK2697" s="4842"/>
      <c r="BL2697" s="4842"/>
      <c r="BM2697" s="4842">
        <v>14000</v>
      </c>
      <c r="BN2697" s="4842"/>
      <c r="BO2697" s="4903"/>
      <c r="BP2697" s="4903"/>
      <c r="BQ2697" s="4903"/>
      <c r="BR2697" s="4903"/>
      <c r="BS2697" s="4903"/>
      <c r="BT2697" s="4903"/>
      <c r="BU2697" s="4903"/>
      <c r="BV2697" s="4842"/>
      <c r="BW2697" s="4903"/>
      <c r="BX2697" s="4903"/>
      <c r="BY2697" s="4903"/>
      <c r="BZ2697" s="4903"/>
      <c r="CA2697" s="4842">
        <v>14000</v>
      </c>
      <c r="CB2697" s="4903"/>
      <c r="CC2697" s="4903"/>
      <c r="CD2697" s="4903"/>
      <c r="CE2697" s="5169"/>
      <c r="CF2697" s="5169"/>
      <c r="CG2697" s="5044"/>
      <c r="CH2697" s="5044"/>
    </row>
    <row r="2698" s="5021" customFormat="1" ht="92" spans="1:86">
      <c r="A2698" s="6444"/>
      <c r="B2698" s="6519" t="s">
        <v>690</v>
      </c>
      <c r="C2698" s="6340">
        <v>45357</v>
      </c>
      <c r="D2698" s="2326" t="s">
        <v>4501</v>
      </c>
      <c r="E2698" s="7211"/>
      <c r="F2698" s="7211" t="s">
        <v>4502</v>
      </c>
      <c r="G2698" s="7211" t="s">
        <v>4503</v>
      </c>
      <c r="H2698" s="7211" t="s">
        <v>31</v>
      </c>
      <c r="I2698" s="7211"/>
      <c r="J2698" s="7211" t="s">
        <v>4504</v>
      </c>
      <c r="K2698" s="7211">
        <v>159518.6</v>
      </c>
      <c r="L2698" s="7211" t="s">
        <v>4505</v>
      </c>
      <c r="M2698" s="2326">
        <v>489277.2</v>
      </c>
      <c r="N2698" s="7211"/>
      <c r="O2698" s="7211"/>
      <c r="P2698" s="7211"/>
      <c r="Q2698" s="7211"/>
      <c r="R2698" s="7211"/>
      <c r="S2698" s="7211"/>
      <c r="T2698" s="7211"/>
      <c r="U2698" s="7211">
        <v>490000</v>
      </c>
      <c r="V2698" s="7211"/>
      <c r="W2698" s="7211"/>
      <c r="X2698" s="7211"/>
      <c r="Y2698" s="7211"/>
      <c r="Z2698" s="7211"/>
      <c r="AA2698" s="7211"/>
      <c r="AB2698" s="7211">
        <v>0</v>
      </c>
      <c r="AC2698" s="6444" t="s">
        <v>2286</v>
      </c>
      <c r="AD2698" s="7283" t="s">
        <v>4506</v>
      </c>
      <c r="AE2698" s="3066">
        <v>0.5</v>
      </c>
      <c r="AF2698" s="3066">
        <v>159518.6</v>
      </c>
      <c r="AG2698" s="3065">
        <f t="shared" si="554"/>
        <v>159518.6</v>
      </c>
      <c r="AH2698" s="6444" t="s">
        <v>122</v>
      </c>
      <c r="AI2698" s="6444">
        <v>45426</v>
      </c>
      <c r="AJ2698" s="3065">
        <f>SUM(BD2698:BQ2698)</f>
        <v>159518.6</v>
      </c>
      <c r="AK2698" s="6444" t="s">
        <v>171</v>
      </c>
      <c r="AL2698" s="6442">
        <f>SUM(BF2698:BS2698)</f>
        <v>159518.6</v>
      </c>
      <c r="AM2698" s="6444">
        <v>45426</v>
      </c>
      <c r="AN2698" s="3065">
        <f>SUM(BH2698:BU2698)</f>
        <v>159518.6</v>
      </c>
      <c r="AO2698" s="6444">
        <v>45559</v>
      </c>
      <c r="AP2698" s="3065">
        <f t="shared" ref="AP2697:AP2707" si="557">AL2698-AN2698</f>
        <v>0</v>
      </c>
      <c r="AQ2698" s="3066"/>
      <c r="AR2698" s="3066"/>
      <c r="AS2698" s="3066"/>
      <c r="AT2698" s="3066"/>
      <c r="AU2698" s="3066"/>
      <c r="AV2698" s="3066"/>
      <c r="AW2698" s="3066"/>
      <c r="AX2698" s="3066"/>
      <c r="AY2698" s="3066"/>
      <c r="AZ2698" s="3066"/>
      <c r="BA2698" s="3065"/>
      <c r="BB2698" s="3065"/>
      <c r="BC2698" s="3065"/>
      <c r="BD2698" s="3065"/>
      <c r="BE2698" s="3065"/>
      <c r="BF2698" s="3065"/>
      <c r="BG2698" s="3065"/>
      <c r="BH2698" s="6442">
        <v>159518.6</v>
      </c>
      <c r="BI2698" s="3065"/>
      <c r="BJ2698" s="3065"/>
      <c r="BK2698" s="3065"/>
      <c r="BL2698" s="3065"/>
      <c r="BM2698" s="3065"/>
      <c r="BN2698" s="3065"/>
      <c r="BO2698" s="3066"/>
      <c r="BP2698" s="3066"/>
      <c r="BQ2698" s="3066"/>
      <c r="BR2698" s="3066"/>
      <c r="BS2698" s="3066"/>
      <c r="BT2698" s="3066"/>
      <c r="BU2698" s="3066"/>
      <c r="BV2698" s="3065">
        <v>159518.6</v>
      </c>
      <c r="BW2698" s="3066"/>
      <c r="BX2698" s="3066"/>
      <c r="BY2698" s="3066"/>
      <c r="BZ2698" s="3066"/>
      <c r="CA2698" s="3066"/>
      <c r="CB2698" s="3066"/>
      <c r="CC2698" s="3066"/>
      <c r="CD2698" s="3066"/>
      <c r="CE2698" s="5169">
        <f>SUBTOTAL(9,BO2698:CB2698)</f>
        <v>159518.6</v>
      </c>
      <c r="CF2698" s="5169">
        <f>AN2698-CE2698</f>
        <v>0</v>
      </c>
      <c r="CG2698" s="5031"/>
      <c r="CH2698" s="5031"/>
    </row>
    <row r="2699" s="5000" customFormat="1" ht="92" spans="1:86">
      <c r="A2699" s="6444"/>
      <c r="B2699" s="6500"/>
      <c r="C2699" s="6341"/>
      <c r="D2699" s="2328"/>
      <c r="E2699" s="6307"/>
      <c r="F2699" s="6307"/>
      <c r="G2699" s="6307"/>
      <c r="H2699" s="6307"/>
      <c r="I2699" s="6307"/>
      <c r="J2699" s="6307"/>
      <c r="K2699" s="6307"/>
      <c r="L2699" s="6307"/>
      <c r="M2699" s="5233"/>
      <c r="N2699" s="6307"/>
      <c r="O2699" s="6307"/>
      <c r="P2699" s="6307"/>
      <c r="Q2699" s="6307"/>
      <c r="R2699" s="6307"/>
      <c r="S2699" s="6307"/>
      <c r="T2699" s="6307"/>
      <c r="U2699" s="6307"/>
      <c r="V2699" s="6307"/>
      <c r="W2699" s="6307"/>
      <c r="X2699" s="6307"/>
      <c r="Y2699" s="6307"/>
      <c r="Z2699" s="6307"/>
      <c r="AA2699" s="6307"/>
      <c r="AB2699" s="6307"/>
      <c r="AC2699" s="6444" t="s">
        <v>2286</v>
      </c>
      <c r="AD2699" s="7283" t="s">
        <v>4507</v>
      </c>
      <c r="AE2699" s="3066">
        <v>0.5</v>
      </c>
      <c r="AF2699" s="3066">
        <v>159518.6</v>
      </c>
      <c r="AG2699" s="3065">
        <f t="shared" si="554"/>
        <v>0</v>
      </c>
      <c r="AH2699" s="7294"/>
      <c r="AI2699" s="7294"/>
      <c r="AJ2699" s="7294"/>
      <c r="AK2699" s="6848"/>
      <c r="AL2699" s="6848"/>
      <c r="AM2699" s="6848"/>
      <c r="AN2699" s="7303"/>
      <c r="AO2699" s="7303"/>
      <c r="AP2699" s="3065">
        <f t="shared" si="557"/>
        <v>0</v>
      </c>
      <c r="AQ2699" s="6848"/>
      <c r="AR2699" s="6848"/>
      <c r="AS2699" s="6848"/>
      <c r="AT2699" s="6848"/>
      <c r="AU2699" s="6848"/>
      <c r="AV2699" s="6848"/>
      <c r="AW2699" s="6848"/>
      <c r="AX2699" s="6848"/>
      <c r="AY2699" s="6848"/>
      <c r="AZ2699" s="6848"/>
      <c r="BA2699" s="6848"/>
      <c r="BB2699" s="6848"/>
      <c r="BC2699" s="6848"/>
      <c r="BD2699" s="6848"/>
      <c r="BE2699" s="6848"/>
      <c r="BF2699" s="6848"/>
      <c r="BG2699" s="6848"/>
      <c r="BH2699" s="6848"/>
      <c r="BI2699" s="6848"/>
      <c r="BJ2699" s="6848"/>
      <c r="BK2699" s="6848"/>
      <c r="BL2699" s="6848"/>
      <c r="BM2699" s="6848"/>
      <c r="BN2699" s="6848"/>
      <c r="BO2699" s="6848"/>
      <c r="BP2699" s="6848"/>
      <c r="BQ2699" s="6848"/>
      <c r="BR2699" s="6848"/>
      <c r="BS2699" s="6848"/>
      <c r="BT2699" s="6848"/>
      <c r="BU2699" s="6848"/>
      <c r="BV2699" s="7303"/>
      <c r="BW2699" s="6848"/>
      <c r="BX2699" s="6848"/>
      <c r="BY2699" s="6848"/>
      <c r="BZ2699" s="6848"/>
      <c r="CA2699" s="6848"/>
      <c r="CB2699" s="6848"/>
      <c r="CC2699" s="6848"/>
      <c r="CD2699" s="6848"/>
      <c r="CE2699" s="7020"/>
      <c r="CF2699" s="7020"/>
      <c r="CG2699" s="7020"/>
      <c r="CH2699" s="7020"/>
    </row>
    <row r="2700" s="5000" customFormat="1" ht="50.25" customHeight="1" spans="1:86">
      <c r="A2700" s="6444"/>
      <c r="B2700" s="6500"/>
      <c r="C2700" s="6341"/>
      <c r="D2700" s="2328"/>
      <c r="E2700" s="6307"/>
      <c r="F2700" s="6307"/>
      <c r="G2700" s="6307"/>
      <c r="H2700" s="6307"/>
      <c r="I2700" s="6307"/>
      <c r="J2700" s="6307"/>
      <c r="K2700" s="6307"/>
      <c r="L2700" s="6307"/>
      <c r="M2700" s="5233"/>
      <c r="N2700" s="6307"/>
      <c r="O2700" s="6307"/>
      <c r="P2700" s="6307"/>
      <c r="Q2700" s="6307"/>
      <c r="R2700" s="6307"/>
      <c r="S2700" s="6307"/>
      <c r="T2700" s="6307"/>
      <c r="U2700" s="6307"/>
      <c r="V2700" s="6307"/>
      <c r="W2700" s="6307"/>
      <c r="X2700" s="6307"/>
      <c r="Y2700" s="6307"/>
      <c r="Z2700" s="6307"/>
      <c r="AA2700" s="6307"/>
      <c r="AB2700" s="6307"/>
      <c r="AC2700" s="6562" t="s">
        <v>4508</v>
      </c>
      <c r="AD2700" s="7283" t="s">
        <v>4509</v>
      </c>
      <c r="AE2700" s="3066">
        <v>0.2</v>
      </c>
      <c r="AF2700" s="3065">
        <v>34048</v>
      </c>
      <c r="AG2700" s="3065">
        <f t="shared" si="554"/>
        <v>34048</v>
      </c>
      <c r="AH2700" s="6444" t="s">
        <v>122</v>
      </c>
      <c r="AI2700" s="6444">
        <v>45426</v>
      </c>
      <c r="AJ2700" s="3065">
        <f>SUM(BD2700:BQ2700)</f>
        <v>34048</v>
      </c>
      <c r="AK2700" s="6444" t="s">
        <v>171</v>
      </c>
      <c r="AL2700" s="6442">
        <f>SUM(BF2700:BS2700)</f>
        <v>34048</v>
      </c>
      <c r="AM2700" s="6444">
        <v>45426</v>
      </c>
      <c r="AN2700" s="3065">
        <f>SUM(BH2700:BU2700)</f>
        <v>34048</v>
      </c>
      <c r="AO2700" s="6444">
        <v>45559</v>
      </c>
      <c r="AP2700" s="3065">
        <f t="shared" si="557"/>
        <v>0</v>
      </c>
      <c r="AQ2700" s="6848"/>
      <c r="AR2700" s="6848"/>
      <c r="AS2700" s="6848"/>
      <c r="AT2700" s="6848"/>
      <c r="AU2700" s="6848"/>
      <c r="AV2700" s="6848"/>
      <c r="AW2700" s="6848"/>
      <c r="AX2700" s="6848"/>
      <c r="AY2700" s="6848"/>
      <c r="AZ2700" s="6848"/>
      <c r="BA2700" s="7303"/>
      <c r="BB2700" s="7303"/>
      <c r="BC2700" s="7303"/>
      <c r="BD2700" s="7303"/>
      <c r="BE2700" s="7303"/>
      <c r="BF2700" s="7303"/>
      <c r="BG2700" s="7303"/>
      <c r="BH2700" s="6442">
        <v>34048</v>
      </c>
      <c r="BI2700" s="7303"/>
      <c r="BJ2700" s="7303"/>
      <c r="BK2700" s="7303"/>
      <c r="BL2700" s="7303"/>
      <c r="BM2700" s="7303"/>
      <c r="BN2700" s="7303"/>
      <c r="BO2700" s="6848"/>
      <c r="BP2700" s="6848"/>
      <c r="BQ2700" s="6848"/>
      <c r="BR2700" s="6848"/>
      <c r="BS2700" s="6848"/>
      <c r="BT2700" s="6848"/>
      <c r="BU2700" s="6848"/>
      <c r="BV2700" s="3065">
        <v>34048</v>
      </c>
      <c r="BW2700" s="6848"/>
      <c r="BX2700" s="6848"/>
      <c r="BY2700" s="6848"/>
      <c r="BZ2700" s="6848"/>
      <c r="CA2700" s="6848"/>
      <c r="CB2700" s="6848"/>
      <c r="CC2700" s="6848"/>
      <c r="CD2700" s="6848"/>
      <c r="CE2700" s="5169">
        <f>SUBTOTAL(9,BO2700:CB2700)</f>
        <v>34048</v>
      </c>
      <c r="CF2700" s="5169">
        <f>AN2700-CE2700</f>
        <v>0</v>
      </c>
      <c r="CG2700" s="7020"/>
      <c r="CH2700" s="7020"/>
    </row>
    <row r="2701" s="5000" customFormat="1" ht="55.5" customHeight="1" spans="1:86">
      <c r="A2701" s="6444"/>
      <c r="B2701" s="7276"/>
      <c r="C2701" s="7277"/>
      <c r="D2701" s="7278"/>
      <c r="E2701" s="6307"/>
      <c r="F2701" s="7280"/>
      <c r="G2701" s="6307"/>
      <c r="H2701" s="7280"/>
      <c r="I2701" s="6307"/>
      <c r="J2701" s="6307"/>
      <c r="K2701" s="7280"/>
      <c r="L2701" s="6307"/>
      <c r="M2701" s="5233"/>
      <c r="N2701" s="6307"/>
      <c r="O2701" s="6307"/>
      <c r="P2701" s="6307"/>
      <c r="Q2701" s="6307"/>
      <c r="R2701" s="6307"/>
      <c r="S2701" s="6307"/>
      <c r="T2701" s="6307"/>
      <c r="U2701" s="6307"/>
      <c r="V2701" s="6307"/>
      <c r="W2701" s="6307"/>
      <c r="X2701" s="6307"/>
      <c r="Y2701" s="6307"/>
      <c r="Z2701" s="6307"/>
      <c r="AA2701" s="6307"/>
      <c r="AB2701" s="6307"/>
      <c r="AC2701" s="6562" t="s">
        <v>4508</v>
      </c>
      <c r="AD2701" s="7284" t="s">
        <v>4510</v>
      </c>
      <c r="AE2701" s="6444">
        <v>0.6</v>
      </c>
      <c r="AF2701" s="3065">
        <v>102144</v>
      </c>
      <c r="AG2701" s="7019">
        <v>102144</v>
      </c>
      <c r="AH2701" s="7295" t="s">
        <v>349</v>
      </c>
      <c r="AI2701" s="7019"/>
      <c r="AJ2701" s="7294"/>
      <c r="AK2701" s="6444" t="s">
        <v>171</v>
      </c>
      <c r="AL2701" s="6848"/>
      <c r="AM2701" s="6848"/>
      <c r="AN2701" s="6527">
        <v>102144</v>
      </c>
      <c r="AO2701" s="6848"/>
      <c r="AP2701" s="3065">
        <f t="shared" si="557"/>
        <v>-102144</v>
      </c>
      <c r="AQ2701" s="6848"/>
      <c r="AR2701" s="6848"/>
      <c r="AS2701" s="6848"/>
      <c r="AT2701" s="6848"/>
      <c r="AU2701" s="6848"/>
      <c r="AV2701" s="6848"/>
      <c r="AW2701" s="6848"/>
      <c r="AX2701" s="6848"/>
      <c r="AY2701" s="6848"/>
      <c r="AZ2701" s="6848"/>
      <c r="BA2701" s="6848"/>
      <c r="BB2701" s="6848"/>
      <c r="BC2701" s="6848"/>
      <c r="BD2701" s="6848"/>
      <c r="BE2701" s="6848"/>
      <c r="BF2701" s="6848"/>
      <c r="BG2701" s="6848"/>
      <c r="BH2701" s="6527">
        <v>102144</v>
      </c>
      <c r="BI2701" s="6848"/>
      <c r="BJ2701" s="6848"/>
      <c r="BK2701" s="6848"/>
      <c r="BL2701" s="6848"/>
      <c r="BM2701" s="6848"/>
      <c r="BN2701" s="6848"/>
      <c r="BO2701" s="6848"/>
      <c r="BP2701" s="6848"/>
      <c r="BQ2701" s="6848"/>
      <c r="BR2701" s="6848"/>
      <c r="BS2701" s="6848"/>
      <c r="BT2701" s="6848"/>
      <c r="BU2701" s="6848"/>
      <c r="BV2701" s="6527">
        <v>102144</v>
      </c>
      <c r="BW2701" s="6848"/>
      <c r="BX2701" s="6848"/>
      <c r="BY2701" s="6848"/>
      <c r="BZ2701" s="6848"/>
      <c r="CA2701" s="6848"/>
      <c r="CB2701" s="6848"/>
      <c r="CC2701" s="6848"/>
      <c r="CD2701" s="6848"/>
      <c r="CE2701" s="7020"/>
      <c r="CF2701" s="7020"/>
      <c r="CG2701" s="7020"/>
      <c r="CH2701" s="7020"/>
    </row>
    <row r="2702" s="5000" customFormat="1" ht="60.75" customHeight="1" spans="1:86">
      <c r="A2702" s="6444"/>
      <c r="B2702" s="6500"/>
      <c r="C2702" s="6341"/>
      <c r="D2702" s="2328"/>
      <c r="E2702" s="6307"/>
      <c r="F2702" s="6307"/>
      <c r="G2702" s="6307"/>
      <c r="H2702" s="6307"/>
      <c r="I2702" s="6307"/>
      <c r="J2702" s="6307"/>
      <c r="K2702" s="6307"/>
      <c r="L2702" s="6307"/>
      <c r="M2702" s="5233"/>
      <c r="N2702" s="6307"/>
      <c r="O2702" s="6307"/>
      <c r="P2702" s="6307"/>
      <c r="Q2702" s="6307"/>
      <c r="R2702" s="6307"/>
      <c r="S2702" s="6307"/>
      <c r="T2702" s="6307"/>
      <c r="U2702" s="6307"/>
      <c r="V2702" s="6307"/>
      <c r="W2702" s="6307"/>
      <c r="X2702" s="6307"/>
      <c r="Y2702" s="6307"/>
      <c r="Z2702" s="6307"/>
      <c r="AA2702" s="6307"/>
      <c r="AB2702" s="6307"/>
      <c r="AC2702" s="7285" t="s">
        <v>4508</v>
      </c>
      <c r="AD2702" s="7286" t="s">
        <v>4511</v>
      </c>
      <c r="AE2702" s="4129">
        <v>0.2</v>
      </c>
      <c r="AF2702" s="4129">
        <v>34048</v>
      </c>
      <c r="AG2702" s="3065">
        <f t="shared" ref="AG2702:AG2707" si="558">SUM(BA2702:BN2702)</f>
        <v>0</v>
      </c>
      <c r="AH2702" s="7296"/>
      <c r="AI2702" s="7296"/>
      <c r="AJ2702" s="7296"/>
      <c r="AK2702" s="7304"/>
      <c r="AL2702" s="7304"/>
      <c r="AM2702" s="7304"/>
      <c r="AN2702" s="4129"/>
      <c r="AO2702" s="7304"/>
      <c r="AP2702" s="3065">
        <f t="shared" si="557"/>
        <v>0</v>
      </c>
      <c r="AQ2702" s="7304"/>
      <c r="AR2702" s="7304"/>
      <c r="AS2702" s="7304"/>
      <c r="AT2702" s="7304"/>
      <c r="AU2702" s="6848"/>
      <c r="AV2702" s="6848"/>
      <c r="AW2702" s="6848"/>
      <c r="AX2702" s="6848"/>
      <c r="AY2702" s="6848"/>
      <c r="AZ2702" s="6848"/>
      <c r="BA2702" s="7304"/>
      <c r="BB2702" s="7304"/>
      <c r="BC2702" s="7304"/>
      <c r="BD2702" s="7304"/>
      <c r="BE2702" s="7304"/>
      <c r="BF2702" s="7304"/>
      <c r="BG2702" s="7304"/>
      <c r="BH2702" s="7304"/>
      <c r="BI2702" s="7304"/>
      <c r="BJ2702" s="7304"/>
      <c r="BK2702" s="7304"/>
      <c r="BL2702" s="7304"/>
      <c r="BM2702" s="7304"/>
      <c r="BN2702" s="7304"/>
      <c r="BO2702" s="7304"/>
      <c r="BP2702" s="7304"/>
      <c r="BQ2702" s="7304"/>
      <c r="BR2702" s="7304"/>
      <c r="BS2702" s="7304"/>
      <c r="BT2702" s="7304"/>
      <c r="BU2702" s="7304"/>
      <c r="BV2702" s="7304"/>
      <c r="BW2702" s="7304"/>
      <c r="BX2702" s="7304"/>
      <c r="BY2702" s="7304"/>
      <c r="BZ2702" s="7304"/>
      <c r="CA2702" s="7304"/>
      <c r="CB2702" s="7304"/>
      <c r="CC2702" s="7304"/>
      <c r="CD2702" s="7304"/>
      <c r="CE2702" s="7020"/>
      <c r="CF2702" s="7020"/>
      <c r="CG2702" s="7020"/>
      <c r="CH2702" s="7020"/>
    </row>
    <row r="2703" s="5019" customFormat="1" ht="92" spans="1:86">
      <c r="A2703" s="4364"/>
      <c r="B2703" s="4364" t="s">
        <v>690</v>
      </c>
      <c r="C2703" s="4364">
        <v>45857</v>
      </c>
      <c r="D2703" s="4127" t="s">
        <v>4512</v>
      </c>
      <c r="E2703" s="4364"/>
      <c r="F2703" s="4127" t="s">
        <v>4513</v>
      </c>
      <c r="G2703" s="4127" t="s">
        <v>4514</v>
      </c>
      <c r="H2703" s="4364" t="s">
        <v>4420</v>
      </c>
      <c r="I2703" s="4364"/>
      <c r="J2703" s="4127" t="s">
        <v>4515</v>
      </c>
      <c r="K2703" s="4364"/>
      <c r="L2703" s="4364"/>
      <c r="M2703" s="4364">
        <f>SUM(N2703:AA2705)</f>
        <v>446000</v>
      </c>
      <c r="N2703" s="4364"/>
      <c r="O2703" s="4364"/>
      <c r="P2703" s="4364"/>
      <c r="Q2703" s="4364"/>
      <c r="R2703" s="4364"/>
      <c r="S2703" s="4364"/>
      <c r="T2703" s="4364"/>
      <c r="U2703" s="4364"/>
      <c r="V2703" s="4364"/>
      <c r="W2703" s="4364">
        <v>446000</v>
      </c>
      <c r="X2703" s="4364"/>
      <c r="Y2703" s="4364"/>
      <c r="Z2703" s="4364"/>
      <c r="AA2703" s="4364"/>
      <c r="AB2703" s="4364"/>
      <c r="AC2703" s="4124">
        <v>1</v>
      </c>
      <c r="AD2703" s="7287" t="s">
        <v>4516</v>
      </c>
      <c r="AE2703" s="7288">
        <f>AF2703/M2703</f>
        <v>0.616017937219731</v>
      </c>
      <c r="AF2703" s="4199">
        <v>274744</v>
      </c>
      <c r="AG2703" s="4199">
        <f t="shared" si="558"/>
        <v>274744</v>
      </c>
      <c r="AH2703" s="4751" t="s">
        <v>122</v>
      </c>
      <c r="AI2703" s="4199">
        <v>45908</v>
      </c>
      <c r="AJ2703" s="4900">
        <v>274744</v>
      </c>
      <c r="AK2703" s="4199">
        <v>45908</v>
      </c>
      <c r="AL2703" s="4900">
        <v>274744</v>
      </c>
      <c r="AM2703" s="4199">
        <v>45908</v>
      </c>
      <c r="AN2703" s="4199">
        <f>SUM(BO2703:CB2703)</f>
        <v>274744</v>
      </c>
      <c r="AO2703" s="4199">
        <v>45917</v>
      </c>
      <c r="AP2703" s="4199">
        <f t="shared" si="557"/>
        <v>0</v>
      </c>
      <c r="AQ2703" s="4090" t="s">
        <v>4517</v>
      </c>
      <c r="AR2703" s="4900"/>
      <c r="AS2703" s="4124"/>
      <c r="AT2703" s="4900"/>
      <c r="AU2703" s="5169"/>
      <c r="AV2703" s="5169"/>
      <c r="AW2703" s="5169"/>
      <c r="AX2703" s="5169"/>
      <c r="AY2703" s="5169"/>
      <c r="AZ2703" s="5169"/>
      <c r="BA2703" s="7306"/>
      <c r="BB2703" s="4199"/>
      <c r="BC2703" s="4199"/>
      <c r="BD2703" s="4199"/>
      <c r="BE2703" s="4199"/>
      <c r="BF2703" s="4199"/>
      <c r="BG2703" s="7266"/>
      <c r="BH2703" s="4199">
        <v>31971.33</v>
      </c>
      <c r="BI2703" s="7306"/>
      <c r="BJ2703" s="7306">
        <v>242772.67</v>
      </c>
      <c r="BK2703" s="7306"/>
      <c r="BL2703" s="7306"/>
      <c r="BM2703" s="7306"/>
      <c r="BN2703" s="4199"/>
      <c r="BO2703" s="7306"/>
      <c r="BP2703" s="7306"/>
      <c r="BQ2703" s="4199"/>
      <c r="BR2703" s="7306"/>
      <c r="BS2703" s="7306"/>
      <c r="BT2703" s="4199"/>
      <c r="BU2703" s="4199"/>
      <c r="BV2703" s="4199">
        <v>31971.33</v>
      </c>
      <c r="BW2703" s="7306"/>
      <c r="BX2703" s="7306">
        <v>242772.67</v>
      </c>
      <c r="BY2703" s="7306"/>
      <c r="BZ2703" s="7306"/>
      <c r="CA2703" s="7306"/>
      <c r="CB2703" s="7306"/>
      <c r="CC2703" s="4751"/>
      <c r="CD2703" s="4751"/>
      <c r="CE2703" s="5169"/>
      <c r="CF2703" s="5169"/>
      <c r="CG2703" s="7264"/>
      <c r="CH2703" s="7264"/>
    </row>
    <row r="2704" s="5019" customFormat="1" ht="36.55" customHeight="1" spans="1:86">
      <c r="A2704" s="4364"/>
      <c r="B2704" s="4364"/>
      <c r="C2704" s="4364"/>
      <c r="D2704" s="4127"/>
      <c r="E2704" s="4364"/>
      <c r="F2704" s="4127"/>
      <c r="G2704" s="4127"/>
      <c r="H2704" s="4364"/>
      <c r="I2704" s="4364"/>
      <c r="J2704" s="4127"/>
      <c r="K2704" s="4364"/>
      <c r="L2704" s="4364"/>
      <c r="M2704" s="4364"/>
      <c r="N2704" s="4364"/>
      <c r="O2704" s="4364"/>
      <c r="P2704" s="4364"/>
      <c r="Q2704" s="4364"/>
      <c r="R2704" s="4364"/>
      <c r="S2704" s="4364"/>
      <c r="T2704" s="4364"/>
      <c r="U2704" s="4364"/>
      <c r="V2704" s="4364"/>
      <c r="W2704" s="4364"/>
      <c r="X2704" s="4364"/>
      <c r="Y2704" s="4364"/>
      <c r="Z2704" s="4364"/>
      <c r="AA2704" s="4364"/>
      <c r="AB2704" s="4364"/>
      <c r="AC2704" s="4124">
        <v>2</v>
      </c>
      <c r="AD2704" s="7287" t="s">
        <v>4518</v>
      </c>
      <c r="AE2704" s="7288">
        <f>AF2704/M2703</f>
        <v>0.352035874439462</v>
      </c>
      <c r="AF2704" s="4199">
        <v>157008</v>
      </c>
      <c r="AG2704" s="7266">
        <f t="shared" si="558"/>
        <v>157008</v>
      </c>
      <c r="AH2704" s="7297" t="s">
        <v>349</v>
      </c>
      <c r="AI2704" s="7266">
        <v>46021</v>
      </c>
      <c r="AJ2704" s="4900"/>
      <c r="AK2704" s="4199"/>
      <c r="AL2704" s="4900"/>
      <c r="AM2704" s="4199"/>
      <c r="AN2704" s="7266">
        <f>SUM(BO2704:CB2704)</f>
        <v>157008</v>
      </c>
      <c r="AO2704" s="7266">
        <v>46052</v>
      </c>
      <c r="AP2704" s="4199">
        <f t="shared" si="557"/>
        <v>-157008</v>
      </c>
      <c r="AQ2704" s="5221"/>
      <c r="AR2704" s="4900"/>
      <c r="AS2704" s="4124"/>
      <c r="AT2704" s="4900"/>
      <c r="AU2704" s="5169"/>
      <c r="AV2704" s="5169"/>
      <c r="AW2704" s="5169"/>
      <c r="AX2704" s="5169"/>
      <c r="AY2704" s="5169"/>
      <c r="AZ2704" s="5169"/>
      <c r="BA2704" s="7306"/>
      <c r="BB2704" s="4199"/>
      <c r="BC2704" s="4199"/>
      <c r="BD2704" s="4199"/>
      <c r="BE2704" s="4199"/>
      <c r="BF2704" s="4199"/>
      <c r="BG2704" s="7266"/>
      <c r="BH2704" s="4199">
        <v>18270.66</v>
      </c>
      <c r="BI2704" s="7306"/>
      <c r="BJ2704" s="7306">
        <v>138737.34</v>
      </c>
      <c r="BK2704" s="7306"/>
      <c r="BL2704" s="7306"/>
      <c r="BM2704" s="7306"/>
      <c r="BN2704" s="4199"/>
      <c r="BO2704" s="7306"/>
      <c r="BP2704" s="7306"/>
      <c r="BQ2704" s="4199"/>
      <c r="BR2704" s="7306"/>
      <c r="BS2704" s="7306"/>
      <c r="BT2704" s="4199"/>
      <c r="BU2704" s="4199"/>
      <c r="BV2704" s="4199">
        <v>18270.66</v>
      </c>
      <c r="BW2704" s="7306"/>
      <c r="BX2704" s="7306">
        <v>138737.34</v>
      </c>
      <c r="BY2704" s="7306"/>
      <c r="BZ2704" s="7306"/>
      <c r="CA2704" s="7306"/>
      <c r="CB2704" s="7306"/>
      <c r="CC2704" s="4751"/>
      <c r="CD2704" s="4751"/>
      <c r="CE2704" s="5169"/>
      <c r="CF2704" s="5169"/>
      <c r="CG2704" s="7264"/>
      <c r="CH2704" s="7264"/>
    </row>
    <row r="2705" s="5019" customFormat="1" ht="46.65" customHeight="1" spans="1:86">
      <c r="A2705" s="4364"/>
      <c r="B2705" s="4364"/>
      <c r="C2705" s="4364"/>
      <c r="D2705" s="4127"/>
      <c r="E2705" s="4364"/>
      <c r="F2705" s="4127"/>
      <c r="G2705" s="4127"/>
      <c r="H2705" s="4364"/>
      <c r="I2705" s="4364"/>
      <c r="J2705" s="4127"/>
      <c r="K2705" s="4364"/>
      <c r="L2705" s="4364"/>
      <c r="M2705" s="4364"/>
      <c r="N2705" s="4364"/>
      <c r="O2705" s="4364"/>
      <c r="P2705" s="4364"/>
      <c r="Q2705" s="4364"/>
      <c r="R2705" s="4364"/>
      <c r="S2705" s="4364"/>
      <c r="T2705" s="4364"/>
      <c r="U2705" s="4364"/>
      <c r="V2705" s="4364"/>
      <c r="W2705" s="4364"/>
      <c r="X2705" s="4364"/>
      <c r="Y2705" s="4364"/>
      <c r="Z2705" s="4364"/>
      <c r="AA2705" s="4364"/>
      <c r="AB2705" s="4364"/>
      <c r="AC2705" s="4124">
        <v>3</v>
      </c>
      <c r="AD2705" s="7287" t="s">
        <v>4519</v>
      </c>
      <c r="AE2705" s="7288">
        <f>AF2705/M2703</f>
        <v>0.0319461883408072</v>
      </c>
      <c r="AF2705" s="4199">
        <v>14248</v>
      </c>
      <c r="AG2705" s="4199">
        <f t="shared" si="558"/>
        <v>0</v>
      </c>
      <c r="AH2705" s="7298" t="s">
        <v>349</v>
      </c>
      <c r="AI2705" s="7299"/>
      <c r="AJ2705" s="4900"/>
      <c r="AK2705" s="4199"/>
      <c r="AL2705" s="4900"/>
      <c r="AM2705" s="4199"/>
      <c r="AN2705" s="4199">
        <f>SUM(BO2705:CB2705)</f>
        <v>0</v>
      </c>
      <c r="AO2705" s="4199"/>
      <c r="AP2705" s="4199">
        <f t="shared" si="557"/>
        <v>0</v>
      </c>
      <c r="AQ2705" s="5221"/>
      <c r="AR2705" s="4900"/>
      <c r="AS2705" s="4124"/>
      <c r="AT2705" s="4900"/>
      <c r="AU2705" s="5169"/>
      <c r="AV2705" s="5169"/>
      <c r="AW2705" s="5169"/>
      <c r="AX2705" s="5169"/>
      <c r="AY2705" s="5169"/>
      <c r="AZ2705" s="5169"/>
      <c r="BA2705" s="7306"/>
      <c r="BB2705" s="4199"/>
      <c r="BC2705" s="4199"/>
      <c r="BD2705" s="4199"/>
      <c r="BE2705" s="4199"/>
      <c r="BF2705" s="4199"/>
      <c r="BG2705" s="7266"/>
      <c r="BH2705" s="4199"/>
      <c r="BI2705" s="7306"/>
      <c r="BJ2705" s="7306"/>
      <c r="BK2705" s="7306"/>
      <c r="BL2705" s="7306"/>
      <c r="BM2705" s="7306"/>
      <c r="BN2705" s="4199"/>
      <c r="BO2705" s="7306"/>
      <c r="BP2705" s="7306"/>
      <c r="BQ2705" s="4199"/>
      <c r="BR2705" s="7306"/>
      <c r="BS2705" s="7306"/>
      <c r="BT2705" s="4199"/>
      <c r="BU2705" s="4199"/>
      <c r="BV2705" s="4199"/>
      <c r="BW2705" s="7306"/>
      <c r="BX2705" s="7306"/>
      <c r="BY2705" s="7306"/>
      <c r="BZ2705" s="7306"/>
      <c r="CA2705" s="7306"/>
      <c r="CB2705" s="7306"/>
      <c r="CC2705" s="4751"/>
      <c r="CD2705" s="4751"/>
      <c r="CE2705" s="5169"/>
      <c r="CF2705" s="5169"/>
      <c r="CG2705" s="7264"/>
      <c r="CH2705" s="7264"/>
    </row>
    <row r="2706" s="5019" customFormat="1" ht="152" spans="1:86">
      <c r="A2706" s="4364"/>
      <c r="B2706" s="4364" t="s">
        <v>690</v>
      </c>
      <c r="C2706" s="4364">
        <v>45862</v>
      </c>
      <c r="D2706" s="4127" t="s">
        <v>4512</v>
      </c>
      <c r="E2706" s="4127"/>
      <c r="F2706" s="4127" t="s">
        <v>4520</v>
      </c>
      <c r="G2706" s="4127" t="s">
        <v>4521</v>
      </c>
      <c r="H2706" s="4127" t="s">
        <v>4420</v>
      </c>
      <c r="I2706" s="5221"/>
      <c r="J2706" s="5221" t="s">
        <v>4515</v>
      </c>
      <c r="K2706" s="7204"/>
      <c r="L2706" s="7204"/>
      <c r="M2706" s="4364">
        <f>SUM(N2706:AA2706)</f>
        <v>45900</v>
      </c>
      <c r="N2706" s="7205"/>
      <c r="O2706" s="7205"/>
      <c r="P2706" s="7205"/>
      <c r="Q2706" s="7205"/>
      <c r="R2706" s="7205"/>
      <c r="S2706" s="7205"/>
      <c r="T2706" s="7205"/>
      <c r="U2706" s="7205"/>
      <c r="V2706" s="7205">
        <v>18150</v>
      </c>
      <c r="W2706" s="7205">
        <v>27750</v>
      </c>
      <c r="X2706" s="7205"/>
      <c r="Y2706" s="7205"/>
      <c r="Z2706" s="7205"/>
      <c r="AA2706" s="7205"/>
      <c r="AB2706" s="7205"/>
      <c r="AC2706" s="4124">
        <v>1</v>
      </c>
      <c r="AD2706" s="7287" t="s">
        <v>4522</v>
      </c>
      <c r="AE2706" s="7288">
        <v>1</v>
      </c>
      <c r="AF2706" s="4199">
        <f>M2706*AE2706</f>
        <v>45900</v>
      </c>
      <c r="AG2706" s="4199">
        <f t="shared" si="558"/>
        <v>45900</v>
      </c>
      <c r="AH2706" s="4751" t="s">
        <v>122</v>
      </c>
      <c r="AI2706" s="4199">
        <v>45877</v>
      </c>
      <c r="AJ2706" s="4900">
        <v>45900</v>
      </c>
      <c r="AK2706" s="4199">
        <v>45877</v>
      </c>
      <c r="AL2706" s="4900">
        <v>45900</v>
      </c>
      <c r="AM2706" s="4199">
        <v>45880</v>
      </c>
      <c r="AN2706" s="4199">
        <f>SUM(BO2706:CB2706)</f>
        <v>45900</v>
      </c>
      <c r="AO2706" s="4199">
        <v>45888</v>
      </c>
      <c r="AP2706" s="4199">
        <f t="shared" si="557"/>
        <v>0</v>
      </c>
      <c r="AQ2706" s="4090"/>
      <c r="AR2706" s="4900"/>
      <c r="AS2706" s="4124"/>
      <c r="AT2706" s="4900"/>
      <c r="AU2706" s="5169"/>
      <c r="AV2706" s="5169"/>
      <c r="AW2706" s="5169"/>
      <c r="AX2706" s="5169"/>
      <c r="AY2706" s="5169"/>
      <c r="AZ2706" s="5169"/>
      <c r="BA2706" s="7306"/>
      <c r="BB2706" s="4199"/>
      <c r="BC2706" s="4199"/>
      <c r="BD2706" s="4199"/>
      <c r="BE2706" s="4199"/>
      <c r="BF2706" s="4199"/>
      <c r="BG2706" s="7266"/>
      <c r="BH2706" s="4199"/>
      <c r="BI2706" s="7306">
        <v>18150</v>
      </c>
      <c r="BJ2706" s="7306">
        <v>27750</v>
      </c>
      <c r="BK2706" s="7306"/>
      <c r="BL2706" s="7306"/>
      <c r="BM2706" s="7306"/>
      <c r="BN2706" s="4199"/>
      <c r="BO2706" s="7306"/>
      <c r="BP2706" s="7306"/>
      <c r="BQ2706" s="4199"/>
      <c r="BR2706" s="7306"/>
      <c r="BS2706" s="7306"/>
      <c r="BT2706" s="4199"/>
      <c r="BU2706" s="4199"/>
      <c r="BV2706" s="4199"/>
      <c r="BW2706" s="7306">
        <v>18150</v>
      </c>
      <c r="BX2706" s="7306">
        <v>27750</v>
      </c>
      <c r="BY2706" s="7306"/>
      <c r="BZ2706" s="7306"/>
      <c r="CA2706" s="7306"/>
      <c r="CB2706" s="7306"/>
      <c r="CC2706" s="4751"/>
      <c r="CD2706" s="4751"/>
      <c r="CE2706" s="5169"/>
      <c r="CF2706" s="5169"/>
      <c r="CG2706" s="7264"/>
      <c r="CH2706" s="7264"/>
    </row>
    <row r="2707" s="5019" customFormat="1" ht="76.4" customHeight="1" spans="1:86">
      <c r="A2707" s="4364"/>
      <c r="B2707" s="4364" t="s">
        <v>690</v>
      </c>
      <c r="C2707" s="4364">
        <v>45954</v>
      </c>
      <c r="D2707" s="4127" t="s">
        <v>4512</v>
      </c>
      <c r="E2707" s="4127"/>
      <c r="F2707" s="4127" t="s">
        <v>4523</v>
      </c>
      <c r="G2707" s="4127" t="s">
        <v>4524</v>
      </c>
      <c r="H2707" s="4127" t="s">
        <v>4420</v>
      </c>
      <c r="I2707" s="4090"/>
      <c r="J2707" s="4090" t="s">
        <v>4515</v>
      </c>
      <c r="K2707" s="4090"/>
      <c r="L2707" s="4090" t="s">
        <v>4525</v>
      </c>
      <c r="M2707" s="4127">
        <f>SUM(N2707:AA2707)</f>
        <v>79941.75</v>
      </c>
      <c r="N2707" s="7205"/>
      <c r="O2707" s="7205"/>
      <c r="P2707" s="7205"/>
      <c r="Q2707" s="7205"/>
      <c r="R2707" s="7205"/>
      <c r="S2707" s="7205"/>
      <c r="T2707" s="7205"/>
      <c r="U2707" s="7205"/>
      <c r="V2707" s="7205"/>
      <c r="W2707" s="7205">
        <v>79941.75</v>
      </c>
      <c r="X2707" s="7205"/>
      <c r="Y2707" s="7205"/>
      <c r="Z2707" s="7205"/>
      <c r="AA2707" s="7205"/>
      <c r="AB2707" s="7205"/>
      <c r="AC2707" s="4124">
        <v>1</v>
      </c>
      <c r="AD2707" s="7287" t="s">
        <v>4526</v>
      </c>
      <c r="AE2707" s="7288">
        <f>AF2707/M2707</f>
        <v>0.603299277286274</v>
      </c>
      <c r="AF2707" s="4199">
        <v>48228.8</v>
      </c>
      <c r="AG2707" s="7266">
        <f t="shared" si="558"/>
        <v>48228.8</v>
      </c>
      <c r="AH2707" s="7298" t="s">
        <v>349</v>
      </c>
      <c r="AI2707" s="7266">
        <v>46021</v>
      </c>
      <c r="AJ2707" s="4900"/>
      <c r="AK2707" s="4199"/>
      <c r="AL2707" s="4900"/>
      <c r="AM2707" s="4199"/>
      <c r="AN2707" s="7266">
        <f>SUM(BO2707:CB2707)</f>
        <v>48228.8</v>
      </c>
      <c r="AO2707" s="7266">
        <v>46052</v>
      </c>
      <c r="AP2707" s="4199">
        <f t="shared" si="557"/>
        <v>-48228.8</v>
      </c>
      <c r="AQ2707" s="4090" t="s">
        <v>4527</v>
      </c>
      <c r="AR2707" s="4900"/>
      <c r="AS2707" s="4124"/>
      <c r="AT2707" s="4900"/>
      <c r="AU2707" s="5169"/>
      <c r="AV2707" s="5169"/>
      <c r="AW2707" s="5169"/>
      <c r="AX2707" s="5169"/>
      <c r="AY2707" s="5169"/>
      <c r="AZ2707" s="5169"/>
      <c r="BA2707" s="7306"/>
      <c r="BB2707" s="4199"/>
      <c r="BC2707" s="4199"/>
      <c r="BD2707" s="4199"/>
      <c r="BE2707" s="4199"/>
      <c r="BF2707" s="4199"/>
      <c r="BG2707" s="7266"/>
      <c r="BH2707" s="4199">
        <v>7234.32</v>
      </c>
      <c r="BI2707" s="7306"/>
      <c r="BJ2707" s="7306">
        <v>40994.48</v>
      </c>
      <c r="BK2707" s="7306"/>
      <c r="BL2707" s="7306"/>
      <c r="BM2707" s="7306"/>
      <c r="BN2707" s="4199"/>
      <c r="BO2707" s="7306"/>
      <c r="BP2707" s="7306"/>
      <c r="BQ2707" s="4199"/>
      <c r="BR2707" s="7306"/>
      <c r="BS2707" s="7306"/>
      <c r="BT2707" s="4199"/>
      <c r="BU2707" s="4199"/>
      <c r="BV2707" s="4199">
        <v>7234.32</v>
      </c>
      <c r="BW2707" s="7306"/>
      <c r="BX2707" s="7306">
        <v>40994.48</v>
      </c>
      <c r="BY2707" s="7306"/>
      <c r="BZ2707" s="7306"/>
      <c r="CA2707" s="7306"/>
      <c r="CB2707" s="7306"/>
      <c r="CC2707" s="4751"/>
      <c r="CD2707" s="4751"/>
      <c r="CE2707" s="5169"/>
      <c r="CF2707" s="5169"/>
      <c r="CG2707" s="7264"/>
      <c r="CH2707" s="7264"/>
    </row>
    <row r="2708" s="5019" customFormat="1" ht="76.4" customHeight="1" spans="1:86">
      <c r="A2708" s="4364"/>
      <c r="B2708" s="4364"/>
      <c r="C2708" s="4364"/>
      <c r="D2708" s="4127"/>
      <c r="E2708" s="4127"/>
      <c r="F2708" s="4127"/>
      <c r="G2708" s="4127"/>
      <c r="H2708" s="4127"/>
      <c r="I2708" s="5221"/>
      <c r="J2708" s="5221"/>
      <c r="K2708" s="5221"/>
      <c r="L2708" s="5221"/>
      <c r="M2708" s="4127"/>
      <c r="N2708" s="7205"/>
      <c r="O2708" s="7205"/>
      <c r="P2708" s="7205"/>
      <c r="Q2708" s="7205"/>
      <c r="R2708" s="7205"/>
      <c r="S2708" s="7205"/>
      <c r="T2708" s="7205"/>
      <c r="U2708" s="7205"/>
      <c r="V2708" s="7205"/>
      <c r="W2708" s="7205"/>
      <c r="X2708" s="7205"/>
      <c r="Y2708" s="7205"/>
      <c r="Z2708" s="7205"/>
      <c r="AA2708" s="7205"/>
      <c r="AB2708" s="7205"/>
      <c r="AC2708" s="4124">
        <v>2</v>
      </c>
      <c r="AD2708" s="7287" t="s">
        <v>4519</v>
      </c>
      <c r="AE2708" s="7288"/>
      <c r="AF2708" s="4199"/>
      <c r="AG2708" s="4199"/>
      <c r="AH2708" s="4751"/>
      <c r="AI2708" s="4199"/>
      <c r="AJ2708" s="4900"/>
      <c r="AK2708" s="4199"/>
      <c r="AL2708" s="4900"/>
      <c r="AM2708" s="4199"/>
      <c r="AN2708" s="4199"/>
      <c r="AO2708" s="4199"/>
      <c r="AP2708" s="4900"/>
      <c r="AQ2708" s="5221"/>
      <c r="AR2708" s="4900"/>
      <c r="AS2708" s="4124"/>
      <c r="AT2708" s="4900"/>
      <c r="AU2708" s="5169"/>
      <c r="AV2708" s="5169"/>
      <c r="AW2708" s="5169"/>
      <c r="AX2708" s="5169"/>
      <c r="AY2708" s="5169"/>
      <c r="AZ2708" s="5169"/>
      <c r="BA2708" s="7306"/>
      <c r="BB2708" s="4199"/>
      <c r="BC2708" s="4199"/>
      <c r="BD2708" s="4199"/>
      <c r="BE2708" s="4199"/>
      <c r="BF2708" s="4199"/>
      <c r="BG2708" s="7266"/>
      <c r="BH2708" s="4199"/>
      <c r="BI2708" s="7306"/>
      <c r="BJ2708" s="7306"/>
      <c r="BK2708" s="7306"/>
      <c r="BL2708" s="7306"/>
      <c r="BM2708" s="7306"/>
      <c r="BN2708" s="4199"/>
      <c r="BO2708" s="7306"/>
      <c r="BP2708" s="7306"/>
      <c r="BQ2708" s="4199"/>
      <c r="BR2708" s="7306"/>
      <c r="BS2708" s="7306"/>
      <c r="BT2708" s="4199"/>
      <c r="BU2708" s="4199"/>
      <c r="BV2708" s="4199"/>
      <c r="BW2708" s="7306"/>
      <c r="BX2708" s="7306"/>
      <c r="BY2708" s="7306"/>
      <c r="BZ2708" s="7306"/>
      <c r="CA2708" s="7306"/>
      <c r="CB2708" s="7306"/>
      <c r="CC2708" s="4751"/>
      <c r="CD2708" s="4751"/>
      <c r="CE2708" s="5169"/>
      <c r="CF2708" s="5169"/>
      <c r="CG2708" s="7264"/>
      <c r="CH2708" s="7264"/>
    </row>
    <row r="2709" s="5022" customFormat="1" ht="29.25" customHeight="1" spans="1:86">
      <c r="A2709" s="4364"/>
      <c r="B2709" s="4364" t="s">
        <v>4528</v>
      </c>
      <c r="C2709" s="4364">
        <v>45427</v>
      </c>
      <c r="D2709" s="4127" t="s">
        <v>4529</v>
      </c>
      <c r="E2709" s="4127" t="s">
        <v>4530</v>
      </c>
      <c r="F2709" s="4127" t="s">
        <v>4531</v>
      </c>
      <c r="G2709" s="4127" t="s">
        <v>4532</v>
      </c>
      <c r="H2709" s="4127" t="s">
        <v>813</v>
      </c>
      <c r="I2709" s="4090"/>
      <c r="J2709" s="4127" t="s">
        <v>3068</v>
      </c>
      <c r="K2709" s="4364">
        <v>2756</v>
      </c>
      <c r="L2709" s="4364"/>
      <c r="M2709" s="4364">
        <f>SUBTOTAL(9,N2709:AA2712)</f>
        <v>400000</v>
      </c>
      <c r="N2709" s="4046"/>
      <c r="O2709" s="4046"/>
      <c r="P2709" s="4046"/>
      <c r="Q2709" s="4046"/>
      <c r="R2709" s="4046"/>
      <c r="S2709" s="4046">
        <v>88000</v>
      </c>
      <c r="T2709" s="4046"/>
      <c r="U2709" s="4046"/>
      <c r="V2709" s="4046"/>
      <c r="W2709" s="4046"/>
      <c r="X2709" s="4046"/>
      <c r="Y2709" s="4046">
        <v>312000</v>
      </c>
      <c r="Z2709" s="4046"/>
      <c r="AA2709" s="4046"/>
      <c r="AB2709" s="4046"/>
      <c r="AC2709" s="4128">
        <v>1</v>
      </c>
      <c r="AD2709" s="7289" t="s">
        <v>4533</v>
      </c>
      <c r="AE2709" s="7290">
        <v>0.4</v>
      </c>
      <c r="AF2709" s="4045">
        <f>M2709*0.4</f>
        <v>160000</v>
      </c>
      <c r="AG2709" s="4045">
        <f>SUM(BA2709:BN2709)</f>
        <v>160000</v>
      </c>
      <c r="AH2709" s="4364" t="s">
        <v>409</v>
      </c>
      <c r="AI2709" s="4045">
        <v>45464</v>
      </c>
      <c r="AJ2709" s="4046">
        <v>160000</v>
      </c>
      <c r="AK2709" s="4045">
        <v>45464</v>
      </c>
      <c r="AL2709" s="4046">
        <v>160000</v>
      </c>
      <c r="AM2709" s="4045">
        <v>45464</v>
      </c>
      <c r="AN2709" s="4045">
        <f>SUM(BO2709:CB2709)</f>
        <v>160000</v>
      </c>
      <c r="AO2709" s="4045">
        <v>45499</v>
      </c>
      <c r="AP2709" s="4046"/>
      <c r="AQ2709" s="4127" t="s">
        <v>4534</v>
      </c>
      <c r="AR2709" s="4046"/>
      <c r="AS2709" s="4128"/>
      <c r="AT2709" s="4046"/>
      <c r="AU2709" s="5169"/>
      <c r="AV2709" s="5169"/>
      <c r="AW2709" s="5169"/>
      <c r="AX2709" s="5169"/>
      <c r="AY2709" s="5169"/>
      <c r="AZ2709" s="5169"/>
      <c r="BA2709" s="5704"/>
      <c r="BB2709" s="4045"/>
      <c r="BC2709" s="4045"/>
      <c r="BD2709" s="4045"/>
      <c r="BE2709" s="4045"/>
      <c r="BF2709" s="4045">
        <v>35200</v>
      </c>
      <c r="BG2709" s="5732"/>
      <c r="BH2709" s="4045"/>
      <c r="BI2709" s="5704"/>
      <c r="BJ2709" s="5704"/>
      <c r="BK2709" s="5704"/>
      <c r="BL2709" s="5704">
        <v>124800</v>
      </c>
      <c r="BM2709" s="5704"/>
      <c r="BN2709" s="4045"/>
      <c r="BO2709" s="5704"/>
      <c r="BP2709" s="5704"/>
      <c r="BQ2709" s="4045"/>
      <c r="BR2709" s="5704"/>
      <c r="BS2709" s="5704"/>
      <c r="BT2709" s="4045">
        <v>35200</v>
      </c>
      <c r="BU2709" s="4045"/>
      <c r="BV2709" s="4045"/>
      <c r="BW2709" s="5704"/>
      <c r="BX2709" s="5704"/>
      <c r="BY2709" s="5704"/>
      <c r="BZ2709" s="5704">
        <v>124800</v>
      </c>
      <c r="CA2709" s="5704"/>
      <c r="CB2709" s="5704"/>
      <c r="CC2709" s="4751" t="s">
        <v>166</v>
      </c>
      <c r="CD2709" s="4751" t="s">
        <v>154</v>
      </c>
      <c r="CE2709" s="5169">
        <f>SUBTOTAL(9,BO2709:CB2709)</f>
        <v>160000</v>
      </c>
      <c r="CF2709" s="5169">
        <f>AN2709-CE2709</f>
        <v>0</v>
      </c>
      <c r="CG2709" s="7300"/>
      <c r="CH2709" s="7300"/>
    </row>
    <row r="2710" s="5022" customFormat="1" ht="29.25" customHeight="1" spans="1:86">
      <c r="A2710" s="4364"/>
      <c r="B2710" s="4364"/>
      <c r="C2710" s="4364"/>
      <c r="D2710" s="4364"/>
      <c r="E2710" s="4127"/>
      <c r="F2710" s="4364"/>
      <c r="G2710" s="4127"/>
      <c r="H2710" s="4127"/>
      <c r="I2710" s="5221"/>
      <c r="J2710" s="4127"/>
      <c r="K2710" s="4364"/>
      <c r="L2710" s="4364"/>
      <c r="M2710" s="4364"/>
      <c r="N2710" s="4046"/>
      <c r="O2710" s="4046"/>
      <c r="P2710" s="4046"/>
      <c r="Q2710" s="4046"/>
      <c r="R2710" s="4046"/>
      <c r="S2710" s="4046"/>
      <c r="T2710" s="4046"/>
      <c r="U2710" s="4046"/>
      <c r="V2710" s="4046"/>
      <c r="W2710" s="4046"/>
      <c r="X2710" s="4046"/>
      <c r="Y2710" s="4046"/>
      <c r="Z2710" s="4046"/>
      <c r="AA2710" s="4046"/>
      <c r="AB2710" s="4046"/>
      <c r="AC2710" s="4128">
        <v>2</v>
      </c>
      <c r="AD2710" s="7289" t="s">
        <v>4535</v>
      </c>
      <c r="AE2710" s="7290">
        <v>0.3</v>
      </c>
      <c r="AF2710" s="4045">
        <f>M2709*0.3</f>
        <v>120000</v>
      </c>
      <c r="AG2710" s="4045">
        <f>SUM(BA2710:BN2710)</f>
        <v>120000</v>
      </c>
      <c r="AH2710" s="4364" t="s">
        <v>409</v>
      </c>
      <c r="AI2710" s="4045">
        <v>45600</v>
      </c>
      <c r="AJ2710" s="4045">
        <f>SUM(BD2710:BQ2710)</f>
        <v>120000</v>
      </c>
      <c r="AK2710" s="4045">
        <v>45600</v>
      </c>
      <c r="AL2710" s="4045">
        <v>120000</v>
      </c>
      <c r="AM2710" s="4045">
        <v>45601</v>
      </c>
      <c r="AN2710" s="4045">
        <f>SUM(BO2710:CB2710)</f>
        <v>120000</v>
      </c>
      <c r="AO2710" s="4045">
        <v>45624</v>
      </c>
      <c r="AP2710" s="4046"/>
      <c r="AQ2710" s="4127"/>
      <c r="AR2710" s="4046"/>
      <c r="AS2710" s="4128"/>
      <c r="AT2710" s="4046"/>
      <c r="AU2710" s="5169"/>
      <c r="AV2710" s="5169"/>
      <c r="AW2710" s="5169"/>
      <c r="AX2710" s="5169"/>
      <c r="AY2710" s="5169"/>
      <c r="AZ2710" s="5169"/>
      <c r="BA2710" s="5704"/>
      <c r="BB2710" s="4045"/>
      <c r="BC2710" s="5704"/>
      <c r="BD2710" s="5704"/>
      <c r="BE2710" s="5704"/>
      <c r="BF2710" s="4045">
        <f>120000*0.22</f>
        <v>26400</v>
      </c>
      <c r="BG2710" s="5732"/>
      <c r="BH2710" s="4045"/>
      <c r="BI2710" s="5704"/>
      <c r="BJ2710" s="5704"/>
      <c r="BK2710" s="5704"/>
      <c r="BL2710" s="5704">
        <f>120000*0.78</f>
        <v>93600</v>
      </c>
      <c r="BM2710" s="5704"/>
      <c r="BN2710" s="4045"/>
      <c r="BO2710" s="5704"/>
      <c r="BP2710" s="5704"/>
      <c r="BQ2710" s="4045"/>
      <c r="BR2710" s="5704"/>
      <c r="BS2710" s="5704"/>
      <c r="BT2710" s="4045">
        <f>120000*0.22</f>
        <v>26400</v>
      </c>
      <c r="BU2710" s="5704"/>
      <c r="BV2710" s="4045"/>
      <c r="BW2710" s="5704"/>
      <c r="BX2710" s="5704"/>
      <c r="BY2710" s="5704"/>
      <c r="BZ2710" s="5704">
        <v>93600</v>
      </c>
      <c r="CA2710" s="5704"/>
      <c r="CB2710" s="5704"/>
      <c r="CC2710" s="7205"/>
      <c r="CD2710" s="7205"/>
      <c r="CE2710" s="7300"/>
      <c r="CF2710" s="7300"/>
      <c r="CG2710" s="7300"/>
      <c r="CH2710" s="7300"/>
    </row>
    <row r="2711" s="5022" customFormat="1" ht="29.25" customHeight="1" spans="1:86">
      <c r="A2711" s="4364"/>
      <c r="B2711" s="4364"/>
      <c r="C2711" s="4364"/>
      <c r="D2711" s="4364"/>
      <c r="E2711" s="4127"/>
      <c r="F2711" s="4364"/>
      <c r="G2711" s="4127"/>
      <c r="H2711" s="4127"/>
      <c r="I2711" s="5221"/>
      <c r="J2711" s="4127"/>
      <c r="K2711" s="4364"/>
      <c r="L2711" s="4364"/>
      <c r="M2711" s="4364"/>
      <c r="N2711" s="4046"/>
      <c r="O2711" s="4046"/>
      <c r="P2711" s="4046"/>
      <c r="Q2711" s="4046"/>
      <c r="R2711" s="4046"/>
      <c r="S2711" s="4046"/>
      <c r="T2711" s="4046"/>
      <c r="U2711" s="4046"/>
      <c r="V2711" s="4046"/>
      <c r="W2711" s="4046"/>
      <c r="X2711" s="4046"/>
      <c r="Y2711" s="4046"/>
      <c r="Z2711" s="4046"/>
      <c r="AA2711" s="4046"/>
      <c r="AB2711" s="4046"/>
      <c r="AC2711" s="4128">
        <v>3</v>
      </c>
      <c r="AD2711" s="7289" t="s">
        <v>4536</v>
      </c>
      <c r="AE2711" s="7290">
        <v>0.25</v>
      </c>
      <c r="AF2711" s="4045">
        <f>M2709*0.25</f>
        <v>100000</v>
      </c>
      <c r="AG2711" s="4045"/>
      <c r="AH2711" s="4045"/>
      <c r="AI2711" s="7300"/>
      <c r="AJ2711" s="4046"/>
      <c r="AK2711" s="4046"/>
      <c r="AL2711" s="4046"/>
      <c r="AM2711" s="4046"/>
      <c r="AN2711" s="4045"/>
      <c r="AO2711" s="4045"/>
      <c r="AP2711" s="4046"/>
      <c r="AQ2711" s="4127"/>
      <c r="AR2711" s="4046"/>
      <c r="AS2711" s="4128"/>
      <c r="AT2711" s="4046"/>
      <c r="AU2711" s="5169"/>
      <c r="AV2711" s="5169"/>
      <c r="AW2711" s="5169"/>
      <c r="AX2711" s="5169"/>
      <c r="AY2711" s="5169"/>
      <c r="AZ2711" s="5169"/>
      <c r="BA2711" s="5704"/>
      <c r="BB2711" s="5704"/>
      <c r="BC2711" s="4045"/>
      <c r="BD2711" s="5704"/>
      <c r="BE2711" s="7300"/>
      <c r="BF2711" s="5704"/>
      <c r="BG2711" s="5704"/>
      <c r="BH2711" s="4045"/>
      <c r="BI2711" s="5704"/>
      <c r="BJ2711" s="5704"/>
      <c r="BK2711" s="5704"/>
      <c r="BL2711" s="5704"/>
      <c r="BM2711" s="5704"/>
      <c r="BN2711" s="4045"/>
      <c r="BO2711" s="5704"/>
      <c r="BP2711" s="5704"/>
      <c r="BQ2711" s="4045"/>
      <c r="BR2711" s="5704"/>
      <c r="BS2711" s="5704"/>
      <c r="BT2711" s="5704"/>
      <c r="BU2711" s="5704"/>
      <c r="BV2711" s="4045"/>
      <c r="BW2711" s="5704"/>
      <c r="BX2711" s="5704"/>
      <c r="BY2711" s="5704"/>
      <c r="BZ2711" s="5704"/>
      <c r="CA2711" s="5704"/>
      <c r="CB2711" s="5704"/>
      <c r="CC2711" s="7205"/>
      <c r="CD2711" s="7205"/>
      <c r="CE2711" s="7300"/>
      <c r="CF2711" s="7300"/>
      <c r="CG2711" s="7300"/>
      <c r="CH2711" s="7300"/>
    </row>
    <row r="2712" s="5022" customFormat="1" ht="29.25" customHeight="1" spans="1:86">
      <c r="A2712" s="4364"/>
      <c r="B2712" s="4751"/>
      <c r="C2712" s="4751"/>
      <c r="D2712" s="4751"/>
      <c r="E2712" s="4090"/>
      <c r="F2712" s="4751"/>
      <c r="G2712" s="4090"/>
      <c r="H2712" s="4090"/>
      <c r="I2712" s="5221"/>
      <c r="J2712" s="4090"/>
      <c r="K2712" s="4751"/>
      <c r="L2712" s="4751"/>
      <c r="M2712" s="4751"/>
      <c r="N2712" s="4900"/>
      <c r="O2712" s="4900"/>
      <c r="P2712" s="4900"/>
      <c r="Q2712" s="4900"/>
      <c r="R2712" s="4900"/>
      <c r="S2712" s="4900"/>
      <c r="T2712" s="4900"/>
      <c r="U2712" s="4900"/>
      <c r="V2712" s="4900"/>
      <c r="W2712" s="4900"/>
      <c r="X2712" s="4900"/>
      <c r="Y2712" s="4900"/>
      <c r="Z2712" s="4900"/>
      <c r="AA2712" s="4900"/>
      <c r="AB2712" s="4900"/>
      <c r="AC2712" s="4124">
        <v>4</v>
      </c>
      <c r="AD2712" s="7291" t="s">
        <v>4537</v>
      </c>
      <c r="AE2712" s="7288">
        <v>0.05</v>
      </c>
      <c r="AF2712" s="4199">
        <f>M2709*0.05</f>
        <v>20000</v>
      </c>
      <c r="AG2712" s="4199">
        <f>AF2712</f>
        <v>20000</v>
      </c>
      <c r="AH2712" s="4751" t="s">
        <v>122</v>
      </c>
      <c r="AI2712" s="7301">
        <v>45845</v>
      </c>
      <c r="AJ2712" s="4045">
        <f>SUM(BD2712:BQ2712)</f>
        <v>20000</v>
      </c>
      <c r="AK2712" s="7301">
        <v>45845</v>
      </c>
      <c r="AL2712" s="4900">
        <v>20000</v>
      </c>
      <c r="AM2712" s="4900">
        <v>45848</v>
      </c>
      <c r="AN2712" s="4045">
        <f>SUM(BO2712:CB2712)</f>
        <v>20000</v>
      </c>
      <c r="AO2712" s="4199">
        <v>45861</v>
      </c>
      <c r="AP2712" s="7305"/>
      <c r="AQ2712" s="4090"/>
      <c r="AR2712" s="4900"/>
      <c r="AS2712" s="4124"/>
      <c r="AT2712" s="4900"/>
      <c r="AU2712" s="5169"/>
      <c r="AV2712" s="5169"/>
      <c r="AW2712" s="5169"/>
      <c r="AX2712" s="5169"/>
      <c r="AY2712" s="5169"/>
      <c r="AZ2712" s="5169"/>
      <c r="BA2712" s="7306"/>
      <c r="BB2712" s="7306"/>
      <c r="BC2712" s="4199"/>
      <c r="BD2712" s="7306"/>
      <c r="BE2712" s="7306"/>
      <c r="BF2712" s="7306">
        <f>20000*0.22</f>
        <v>4400</v>
      </c>
      <c r="BG2712" s="7306"/>
      <c r="BH2712" s="4199"/>
      <c r="BI2712" s="7306"/>
      <c r="BJ2712" s="7306"/>
      <c r="BK2712" s="7306"/>
      <c r="BL2712" s="7306">
        <f>20000*0.78</f>
        <v>15600</v>
      </c>
      <c r="BM2712" s="7306"/>
      <c r="BN2712" s="4199"/>
      <c r="BO2712" s="7306"/>
      <c r="BP2712" s="7306"/>
      <c r="BQ2712" s="4199"/>
      <c r="BR2712" s="7306"/>
      <c r="BS2712" s="7306"/>
      <c r="BT2712" s="7269">
        <f>20000*0.22</f>
        <v>4400</v>
      </c>
      <c r="BU2712" s="7306"/>
      <c r="BV2712" s="4199"/>
      <c r="BW2712" s="7306"/>
      <c r="BX2712" s="7306"/>
      <c r="BY2712" s="7306"/>
      <c r="BZ2712" s="7269">
        <f>20000*0.78</f>
        <v>15600</v>
      </c>
      <c r="CA2712" s="7269"/>
      <c r="CB2712" s="7306"/>
      <c r="CC2712" s="7205"/>
      <c r="CD2712" s="7205"/>
      <c r="CE2712" s="7300"/>
      <c r="CF2712" s="7300"/>
      <c r="CG2712" s="7300"/>
      <c r="CH2712" s="7300"/>
    </row>
    <row r="2713" s="5023" customFormat="1" ht="61" spans="1:86">
      <c r="A2713" s="7279"/>
      <c r="B2713" s="6901" t="s">
        <v>690</v>
      </c>
      <c r="C2713" s="6901">
        <v>45922</v>
      </c>
      <c r="D2713" s="6474" t="s">
        <v>4538</v>
      </c>
      <c r="E2713" s="6901"/>
      <c r="F2713" s="6474" t="s">
        <v>4539</v>
      </c>
      <c r="G2713" s="6474" t="s">
        <v>4540</v>
      </c>
      <c r="H2713" s="6474" t="s">
        <v>4541</v>
      </c>
      <c r="I2713" s="6474" t="s">
        <v>4542</v>
      </c>
      <c r="J2713" s="6474" t="s">
        <v>4543</v>
      </c>
      <c r="K2713" s="6474">
        <v>53439.76</v>
      </c>
      <c r="L2713" s="6474" t="s">
        <v>393</v>
      </c>
      <c r="M2713" s="6901">
        <f>SUM(N2713:AA2718)</f>
        <v>374078.32</v>
      </c>
      <c r="N2713" s="6901"/>
      <c r="O2713" s="6901"/>
      <c r="P2713" s="6901"/>
      <c r="Q2713" s="6901"/>
      <c r="R2713" s="6901"/>
      <c r="S2713" s="6901"/>
      <c r="T2713" s="6901"/>
      <c r="U2713" s="6901"/>
      <c r="V2713" s="6901">
        <v>374078.32</v>
      </c>
      <c r="W2713" s="6901"/>
      <c r="X2713" s="6901"/>
      <c r="Y2713" s="6901"/>
      <c r="Z2713" s="6901"/>
      <c r="AA2713" s="6901"/>
      <c r="AB2713" s="6901" t="s">
        <v>32</v>
      </c>
      <c r="AC2713" s="6475">
        <v>1</v>
      </c>
      <c r="AD2713" s="7292" t="s">
        <v>4544</v>
      </c>
      <c r="AE2713" s="7293">
        <v>0.3</v>
      </c>
      <c r="AF2713" s="6932">
        <f>M2713*AE2713</f>
        <v>112223.496</v>
      </c>
      <c r="AG2713" s="6932">
        <f t="shared" ref="AG2713:AG2718" si="559">SUM(BA2713:BN2713)</f>
        <v>0</v>
      </c>
      <c r="AH2713" s="6901"/>
      <c r="AI2713" s="7302"/>
      <c r="AJ2713" s="2667"/>
      <c r="AK2713" s="7302"/>
      <c r="AL2713" s="2829"/>
      <c r="AM2713" s="2829"/>
      <c r="AN2713" s="6932">
        <f t="shared" ref="AN2713:AN2718" si="560">SUM(BO2713:CB2713)</f>
        <v>0</v>
      </c>
      <c r="AO2713" s="6932"/>
      <c r="AP2713" s="6932">
        <f t="shared" ref="AP2713:AP2721" si="561">AL2713-AN2713</f>
        <v>0</v>
      </c>
      <c r="AQ2713" s="6474"/>
      <c r="AR2713" s="2829"/>
      <c r="AS2713" s="6475"/>
      <c r="AT2713" s="2829"/>
      <c r="AU2713" s="5169"/>
      <c r="AV2713" s="5169"/>
      <c r="AW2713" s="5169"/>
      <c r="AX2713" s="5169"/>
      <c r="AY2713" s="5169"/>
      <c r="AZ2713" s="5169"/>
      <c r="BA2713" s="7307"/>
      <c r="BB2713" s="7307"/>
      <c r="BC2713" s="6932"/>
      <c r="BD2713" s="7307"/>
      <c r="BE2713" s="7307"/>
      <c r="BF2713" s="7307"/>
      <c r="BG2713" s="7307"/>
      <c r="BH2713" s="6932"/>
      <c r="BI2713" s="7307"/>
      <c r="BJ2713" s="7307"/>
      <c r="BK2713" s="7307"/>
      <c r="BL2713" s="7307"/>
      <c r="BM2713" s="7307"/>
      <c r="BN2713" s="6932"/>
      <c r="BO2713" s="7307"/>
      <c r="BP2713" s="7307"/>
      <c r="BQ2713" s="6932"/>
      <c r="BR2713" s="7307"/>
      <c r="BS2713" s="7307"/>
      <c r="BT2713" s="7308"/>
      <c r="BU2713" s="7307"/>
      <c r="BV2713" s="6932"/>
      <c r="BW2713" s="7307"/>
      <c r="BX2713" s="7307"/>
      <c r="BY2713" s="7307"/>
      <c r="BZ2713" s="7308"/>
      <c r="CA2713" s="7308"/>
      <c r="CB2713" s="7307"/>
      <c r="CC2713" s="6495"/>
      <c r="CD2713" s="6495"/>
      <c r="CE2713" s="7309"/>
      <c r="CF2713" s="7309"/>
      <c r="CG2713" s="7309"/>
      <c r="CH2713" s="7309"/>
    </row>
    <row r="2714" s="5023" customFormat="1" ht="61" spans="1:86">
      <c r="A2714" s="7279"/>
      <c r="B2714" s="6881"/>
      <c r="C2714" s="6881"/>
      <c r="D2714" s="6484"/>
      <c r="E2714" s="6881"/>
      <c r="F2714" s="6484"/>
      <c r="G2714" s="6484"/>
      <c r="H2714" s="6484"/>
      <c r="I2714" s="6484"/>
      <c r="J2714" s="6484"/>
      <c r="K2714" s="6484"/>
      <c r="L2714" s="6484"/>
      <c r="M2714" s="6881"/>
      <c r="N2714" s="6881"/>
      <c r="O2714" s="6881"/>
      <c r="P2714" s="6881"/>
      <c r="Q2714" s="6881"/>
      <c r="R2714" s="6881"/>
      <c r="S2714" s="6881"/>
      <c r="T2714" s="6881"/>
      <c r="U2714" s="6881"/>
      <c r="V2714" s="6881"/>
      <c r="W2714" s="6881"/>
      <c r="X2714" s="6881"/>
      <c r="Y2714" s="6881"/>
      <c r="Z2714" s="6881"/>
      <c r="AA2714" s="6881"/>
      <c r="AB2714" s="6881"/>
      <c r="AC2714" s="6475">
        <v>2</v>
      </c>
      <c r="AD2714" s="7292" t="s">
        <v>4545</v>
      </c>
      <c r="AE2714" s="7293">
        <v>0.2</v>
      </c>
      <c r="AF2714" s="6932">
        <f>M2713*AE2714</f>
        <v>74815.664</v>
      </c>
      <c r="AG2714" s="6932">
        <f t="shared" si="559"/>
        <v>0</v>
      </c>
      <c r="AH2714" s="6901"/>
      <c r="AI2714" s="7302"/>
      <c r="AJ2714" s="2667"/>
      <c r="AK2714" s="7302"/>
      <c r="AL2714" s="2829"/>
      <c r="AM2714" s="2829"/>
      <c r="AN2714" s="6932">
        <f t="shared" si="560"/>
        <v>0</v>
      </c>
      <c r="AO2714" s="6932"/>
      <c r="AP2714" s="6932">
        <f t="shared" si="561"/>
        <v>0</v>
      </c>
      <c r="AQ2714" s="6474"/>
      <c r="AR2714" s="2829"/>
      <c r="AS2714" s="6475"/>
      <c r="AT2714" s="2829"/>
      <c r="AU2714" s="5169"/>
      <c r="AV2714" s="5169"/>
      <c r="AW2714" s="5169"/>
      <c r="AX2714" s="5169"/>
      <c r="AY2714" s="5169"/>
      <c r="AZ2714" s="5169"/>
      <c r="BA2714" s="7307"/>
      <c r="BB2714" s="7307"/>
      <c r="BC2714" s="6932"/>
      <c r="BD2714" s="7307"/>
      <c r="BE2714" s="7307"/>
      <c r="BF2714" s="7307"/>
      <c r="BG2714" s="7307"/>
      <c r="BH2714" s="6932"/>
      <c r="BI2714" s="7307"/>
      <c r="BJ2714" s="7307"/>
      <c r="BK2714" s="7307"/>
      <c r="BL2714" s="7307"/>
      <c r="BM2714" s="7307"/>
      <c r="BN2714" s="6932"/>
      <c r="BO2714" s="7307"/>
      <c r="BP2714" s="7307"/>
      <c r="BQ2714" s="6932"/>
      <c r="BR2714" s="7307"/>
      <c r="BS2714" s="7307"/>
      <c r="BT2714" s="7308"/>
      <c r="BU2714" s="7307"/>
      <c r="BV2714" s="6932"/>
      <c r="BW2714" s="7307"/>
      <c r="BX2714" s="7307"/>
      <c r="BY2714" s="7307"/>
      <c r="BZ2714" s="7308"/>
      <c r="CA2714" s="7308"/>
      <c r="CB2714" s="7307"/>
      <c r="CC2714" s="6495"/>
      <c r="CD2714" s="6495"/>
      <c r="CE2714" s="7309"/>
      <c r="CF2714" s="7309"/>
      <c r="CG2714" s="7309"/>
      <c r="CH2714" s="7309"/>
    </row>
    <row r="2715" s="5023" customFormat="1" ht="107" spans="1:86">
      <c r="A2715" s="7279"/>
      <c r="B2715" s="6881"/>
      <c r="C2715" s="6881"/>
      <c r="D2715" s="6484"/>
      <c r="E2715" s="6881"/>
      <c r="F2715" s="6484"/>
      <c r="G2715" s="6484"/>
      <c r="H2715" s="6484"/>
      <c r="I2715" s="6484"/>
      <c r="J2715" s="6484"/>
      <c r="K2715" s="6484"/>
      <c r="L2715" s="6484"/>
      <c r="M2715" s="6881"/>
      <c r="N2715" s="6881"/>
      <c r="O2715" s="6881"/>
      <c r="P2715" s="6881"/>
      <c r="Q2715" s="6881"/>
      <c r="R2715" s="6881"/>
      <c r="S2715" s="6881"/>
      <c r="T2715" s="6881"/>
      <c r="U2715" s="6881"/>
      <c r="V2715" s="6881"/>
      <c r="W2715" s="6881"/>
      <c r="X2715" s="6881"/>
      <c r="Y2715" s="6881"/>
      <c r="Z2715" s="6881"/>
      <c r="AA2715" s="6881"/>
      <c r="AB2715" s="6881"/>
      <c r="AC2715" s="6475">
        <v>3</v>
      </c>
      <c r="AD2715" s="7292" t="s">
        <v>4546</v>
      </c>
      <c r="AE2715" s="7293">
        <v>0.2</v>
      </c>
      <c r="AF2715" s="6932">
        <f>M2713*AE2715</f>
        <v>74815.664</v>
      </c>
      <c r="AG2715" s="6932">
        <f t="shared" si="559"/>
        <v>0</v>
      </c>
      <c r="AH2715" s="6901"/>
      <c r="AI2715" s="7302"/>
      <c r="AJ2715" s="2667"/>
      <c r="AK2715" s="7302"/>
      <c r="AL2715" s="2829"/>
      <c r="AM2715" s="2829"/>
      <c r="AN2715" s="6932">
        <f t="shared" si="560"/>
        <v>0</v>
      </c>
      <c r="AO2715" s="6932"/>
      <c r="AP2715" s="6932">
        <f t="shared" si="561"/>
        <v>0</v>
      </c>
      <c r="AQ2715" s="6474"/>
      <c r="AR2715" s="2829"/>
      <c r="AS2715" s="6475"/>
      <c r="AT2715" s="2829"/>
      <c r="AU2715" s="5169"/>
      <c r="AV2715" s="5169"/>
      <c r="AW2715" s="5169"/>
      <c r="AX2715" s="5169"/>
      <c r="AY2715" s="5169"/>
      <c r="AZ2715" s="5169"/>
      <c r="BA2715" s="7307"/>
      <c r="BB2715" s="7307"/>
      <c r="BC2715" s="6932"/>
      <c r="BD2715" s="7307"/>
      <c r="BE2715" s="7307"/>
      <c r="BF2715" s="7307"/>
      <c r="BG2715" s="7307"/>
      <c r="BH2715" s="6932"/>
      <c r="BI2715" s="7307"/>
      <c r="BJ2715" s="7307"/>
      <c r="BK2715" s="7307"/>
      <c r="BL2715" s="7307"/>
      <c r="BM2715" s="7307"/>
      <c r="BN2715" s="6932"/>
      <c r="BO2715" s="7307"/>
      <c r="BP2715" s="7307"/>
      <c r="BQ2715" s="6932"/>
      <c r="BR2715" s="7307"/>
      <c r="BS2715" s="7307"/>
      <c r="BT2715" s="7308"/>
      <c r="BU2715" s="7307"/>
      <c r="BV2715" s="6932"/>
      <c r="BW2715" s="7307"/>
      <c r="BX2715" s="7307"/>
      <c r="BY2715" s="7307"/>
      <c r="BZ2715" s="7308"/>
      <c r="CA2715" s="7308"/>
      <c r="CB2715" s="7307"/>
      <c r="CC2715" s="6495"/>
      <c r="CD2715" s="6495"/>
      <c r="CE2715" s="7309"/>
      <c r="CF2715" s="7309"/>
      <c r="CG2715" s="7309"/>
      <c r="CH2715" s="7309"/>
    </row>
    <row r="2716" s="5023" customFormat="1" ht="61" spans="1:86">
      <c r="A2716" s="7279"/>
      <c r="B2716" s="6881"/>
      <c r="C2716" s="6881"/>
      <c r="D2716" s="6484"/>
      <c r="E2716" s="6881"/>
      <c r="F2716" s="6484"/>
      <c r="G2716" s="6484"/>
      <c r="H2716" s="6484"/>
      <c r="I2716" s="6484"/>
      <c r="J2716" s="6484"/>
      <c r="K2716" s="6484"/>
      <c r="L2716" s="6484"/>
      <c r="M2716" s="6881"/>
      <c r="N2716" s="6881"/>
      <c r="O2716" s="6881"/>
      <c r="P2716" s="6881"/>
      <c r="Q2716" s="6881"/>
      <c r="R2716" s="6881"/>
      <c r="S2716" s="6881"/>
      <c r="T2716" s="6881"/>
      <c r="U2716" s="6881"/>
      <c r="V2716" s="6881"/>
      <c r="W2716" s="6881"/>
      <c r="X2716" s="6881"/>
      <c r="Y2716" s="6881"/>
      <c r="Z2716" s="6881"/>
      <c r="AA2716" s="6881"/>
      <c r="AB2716" s="6881"/>
      <c r="AC2716" s="6475">
        <v>4</v>
      </c>
      <c r="AD2716" s="7292" t="s">
        <v>4547</v>
      </c>
      <c r="AE2716" s="7293">
        <v>0.1</v>
      </c>
      <c r="AF2716" s="6932">
        <f>M2713*AE2716</f>
        <v>37407.832</v>
      </c>
      <c r="AG2716" s="6932">
        <f t="shared" si="559"/>
        <v>0</v>
      </c>
      <c r="AH2716" s="6901"/>
      <c r="AI2716" s="7302"/>
      <c r="AJ2716" s="2667"/>
      <c r="AK2716" s="7302"/>
      <c r="AL2716" s="2829"/>
      <c r="AM2716" s="2829"/>
      <c r="AN2716" s="6932">
        <f t="shared" si="560"/>
        <v>0</v>
      </c>
      <c r="AO2716" s="6932"/>
      <c r="AP2716" s="6932">
        <f t="shared" si="561"/>
        <v>0</v>
      </c>
      <c r="AQ2716" s="6474"/>
      <c r="AR2716" s="2829"/>
      <c r="AS2716" s="6475"/>
      <c r="AT2716" s="2829"/>
      <c r="AU2716" s="5169"/>
      <c r="AV2716" s="5169"/>
      <c r="AW2716" s="5169"/>
      <c r="AX2716" s="5169"/>
      <c r="AY2716" s="5169"/>
      <c r="AZ2716" s="5169"/>
      <c r="BA2716" s="7307"/>
      <c r="BB2716" s="7307"/>
      <c r="BC2716" s="6932"/>
      <c r="BD2716" s="7307"/>
      <c r="BE2716" s="7307"/>
      <c r="BF2716" s="7307"/>
      <c r="BG2716" s="7307"/>
      <c r="BH2716" s="6932"/>
      <c r="BI2716" s="7307"/>
      <c r="BJ2716" s="7307"/>
      <c r="BK2716" s="7307"/>
      <c r="BL2716" s="7307"/>
      <c r="BM2716" s="7307"/>
      <c r="BN2716" s="6932"/>
      <c r="BO2716" s="7307"/>
      <c r="BP2716" s="7307"/>
      <c r="BQ2716" s="6932"/>
      <c r="BR2716" s="7307"/>
      <c r="BS2716" s="7307"/>
      <c r="BT2716" s="7308"/>
      <c r="BU2716" s="7307"/>
      <c r="BV2716" s="6932"/>
      <c r="BW2716" s="7307"/>
      <c r="BX2716" s="7307"/>
      <c r="BY2716" s="7307"/>
      <c r="BZ2716" s="7308"/>
      <c r="CA2716" s="7308"/>
      <c r="CB2716" s="7307"/>
      <c r="CC2716" s="6495"/>
      <c r="CD2716" s="6495"/>
      <c r="CE2716" s="7309"/>
      <c r="CF2716" s="7309"/>
      <c r="CG2716" s="7309"/>
      <c r="CH2716" s="7309"/>
    </row>
    <row r="2717" s="5023" customFormat="1" ht="29.25" customHeight="1" spans="1:86">
      <c r="A2717" s="7279"/>
      <c r="B2717" s="6881"/>
      <c r="C2717" s="6881"/>
      <c r="D2717" s="6484"/>
      <c r="E2717" s="6881"/>
      <c r="F2717" s="6484"/>
      <c r="G2717" s="6484"/>
      <c r="H2717" s="6484"/>
      <c r="I2717" s="6484"/>
      <c r="J2717" s="6484"/>
      <c r="K2717" s="6484"/>
      <c r="L2717" s="6484"/>
      <c r="M2717" s="6881"/>
      <c r="N2717" s="6881"/>
      <c r="O2717" s="6881"/>
      <c r="P2717" s="6881"/>
      <c r="Q2717" s="6881"/>
      <c r="R2717" s="6881"/>
      <c r="S2717" s="6881"/>
      <c r="T2717" s="6881"/>
      <c r="U2717" s="6881"/>
      <c r="V2717" s="6881"/>
      <c r="W2717" s="6881"/>
      <c r="X2717" s="6881"/>
      <c r="Y2717" s="6881"/>
      <c r="Z2717" s="6881"/>
      <c r="AA2717" s="6881"/>
      <c r="AB2717" s="6881"/>
      <c r="AC2717" s="6475">
        <v>5</v>
      </c>
      <c r="AD2717" s="7292" t="s">
        <v>4548</v>
      </c>
      <c r="AE2717" s="7293">
        <v>0.17</v>
      </c>
      <c r="AF2717" s="6932">
        <f>M2713*AE2717</f>
        <v>63593.3144</v>
      </c>
      <c r="AG2717" s="6932">
        <f t="shared" si="559"/>
        <v>0</v>
      </c>
      <c r="AH2717" s="6901"/>
      <c r="AI2717" s="7302"/>
      <c r="AJ2717" s="2667"/>
      <c r="AK2717" s="7302"/>
      <c r="AL2717" s="2829"/>
      <c r="AM2717" s="2829"/>
      <c r="AN2717" s="6932">
        <f t="shared" si="560"/>
        <v>0</v>
      </c>
      <c r="AO2717" s="6932"/>
      <c r="AP2717" s="6932">
        <f t="shared" si="561"/>
        <v>0</v>
      </c>
      <c r="AQ2717" s="6474"/>
      <c r="AR2717" s="2829"/>
      <c r="AS2717" s="6475"/>
      <c r="AT2717" s="2829"/>
      <c r="AU2717" s="5169"/>
      <c r="AV2717" s="5169"/>
      <c r="AW2717" s="5169"/>
      <c r="AX2717" s="5169"/>
      <c r="AY2717" s="5169"/>
      <c r="AZ2717" s="5169"/>
      <c r="BA2717" s="7307"/>
      <c r="BB2717" s="7307"/>
      <c r="BC2717" s="6932"/>
      <c r="BD2717" s="7307"/>
      <c r="BE2717" s="7307"/>
      <c r="BF2717" s="7307"/>
      <c r="BG2717" s="7307"/>
      <c r="BH2717" s="6932"/>
      <c r="BI2717" s="7307"/>
      <c r="BJ2717" s="7307"/>
      <c r="BK2717" s="7307"/>
      <c r="BL2717" s="7307"/>
      <c r="BM2717" s="7307"/>
      <c r="BN2717" s="6932"/>
      <c r="BO2717" s="7307"/>
      <c r="BP2717" s="7307"/>
      <c r="BQ2717" s="6932"/>
      <c r="BR2717" s="7307"/>
      <c r="BS2717" s="7307"/>
      <c r="BT2717" s="7308"/>
      <c r="BU2717" s="7307"/>
      <c r="BV2717" s="6932"/>
      <c r="BW2717" s="7307"/>
      <c r="BX2717" s="7307"/>
      <c r="BY2717" s="7307"/>
      <c r="BZ2717" s="7308"/>
      <c r="CA2717" s="7308"/>
      <c r="CB2717" s="7307"/>
      <c r="CC2717" s="6495"/>
      <c r="CD2717" s="6495"/>
      <c r="CE2717" s="7309"/>
      <c r="CF2717" s="7309"/>
      <c r="CG2717" s="7309"/>
      <c r="CH2717" s="7309"/>
    </row>
    <row r="2718" s="5023" customFormat="1" ht="29.25" customHeight="1" spans="1:86">
      <c r="A2718" s="7279"/>
      <c r="B2718" s="6881"/>
      <c r="C2718" s="6881"/>
      <c r="D2718" s="6484"/>
      <c r="E2718" s="6881"/>
      <c r="F2718" s="6484"/>
      <c r="G2718" s="6484"/>
      <c r="H2718" s="6484"/>
      <c r="I2718" s="6484"/>
      <c r="J2718" s="6484"/>
      <c r="K2718" s="6484"/>
      <c r="L2718" s="6484"/>
      <c r="M2718" s="6881"/>
      <c r="N2718" s="6881"/>
      <c r="O2718" s="6881"/>
      <c r="P2718" s="6881"/>
      <c r="Q2718" s="6881"/>
      <c r="R2718" s="6881"/>
      <c r="S2718" s="6881"/>
      <c r="T2718" s="6881"/>
      <c r="U2718" s="6881"/>
      <c r="V2718" s="6881"/>
      <c r="W2718" s="6881"/>
      <c r="X2718" s="6881"/>
      <c r="Y2718" s="6881"/>
      <c r="Z2718" s="6881"/>
      <c r="AA2718" s="6881"/>
      <c r="AB2718" s="6881"/>
      <c r="AC2718" s="6475">
        <v>6</v>
      </c>
      <c r="AD2718" s="7292" t="s">
        <v>4549</v>
      </c>
      <c r="AE2718" s="7293">
        <v>0.03</v>
      </c>
      <c r="AF2718" s="6932">
        <f>M2713*AE2718</f>
        <v>11222.3496</v>
      </c>
      <c r="AG2718" s="6932">
        <f t="shared" si="559"/>
        <v>0</v>
      </c>
      <c r="AH2718" s="6901"/>
      <c r="AI2718" s="7302"/>
      <c r="AJ2718" s="2667"/>
      <c r="AK2718" s="7302"/>
      <c r="AL2718" s="2829"/>
      <c r="AM2718" s="2829"/>
      <c r="AN2718" s="6932">
        <f t="shared" si="560"/>
        <v>0</v>
      </c>
      <c r="AO2718" s="6932"/>
      <c r="AP2718" s="6932">
        <f t="shared" si="561"/>
        <v>0</v>
      </c>
      <c r="AQ2718" s="6474"/>
      <c r="AR2718" s="2829"/>
      <c r="AS2718" s="6475"/>
      <c r="AT2718" s="2829"/>
      <c r="AU2718" s="5169"/>
      <c r="AV2718" s="5169"/>
      <c r="AW2718" s="5169"/>
      <c r="AX2718" s="5169"/>
      <c r="AY2718" s="5169"/>
      <c r="AZ2718" s="5169"/>
      <c r="BA2718" s="7307"/>
      <c r="BB2718" s="7307"/>
      <c r="BC2718" s="6932"/>
      <c r="BD2718" s="7307"/>
      <c r="BE2718" s="7307"/>
      <c r="BF2718" s="7307"/>
      <c r="BG2718" s="7307"/>
      <c r="BH2718" s="6932"/>
      <c r="BI2718" s="7307"/>
      <c r="BJ2718" s="7307"/>
      <c r="BK2718" s="7307"/>
      <c r="BL2718" s="7307"/>
      <c r="BM2718" s="7307"/>
      <c r="BN2718" s="6932"/>
      <c r="BO2718" s="7307"/>
      <c r="BP2718" s="7307"/>
      <c r="BQ2718" s="6932"/>
      <c r="BR2718" s="7307"/>
      <c r="BS2718" s="7307"/>
      <c r="BT2718" s="7308"/>
      <c r="BU2718" s="7307"/>
      <c r="BV2718" s="6932"/>
      <c r="BW2718" s="7307"/>
      <c r="BX2718" s="7307"/>
      <c r="BY2718" s="7307"/>
      <c r="BZ2718" s="7308"/>
      <c r="CA2718" s="7308"/>
      <c r="CB2718" s="7307"/>
      <c r="CC2718" s="6495"/>
      <c r="CD2718" s="6495"/>
      <c r="CE2718" s="7309"/>
      <c r="CF2718" s="7309"/>
      <c r="CG2718" s="7309"/>
      <c r="CH2718" s="7309"/>
    </row>
    <row r="2719" ht="76" spans="1:86">
      <c r="A2719" s="5039"/>
      <c r="B2719" s="6444" t="s">
        <v>690</v>
      </c>
      <c r="C2719" s="3066">
        <v>45672</v>
      </c>
      <c r="D2719" s="6388" t="s">
        <v>4550</v>
      </c>
      <c r="E2719" s="6340"/>
      <c r="F2719" s="6388" t="s">
        <v>4551</v>
      </c>
      <c r="G2719" s="6388" t="s">
        <v>4552</v>
      </c>
      <c r="H2719" s="6444" t="s">
        <v>31</v>
      </c>
      <c r="I2719" s="6522"/>
      <c r="J2719" s="6388" t="s">
        <v>4553</v>
      </c>
      <c r="K2719" s="6444" t="s">
        <v>171</v>
      </c>
      <c r="L2719" s="6444" t="s">
        <v>171</v>
      </c>
      <c r="M2719" s="3066">
        <f>SUBTOTAL(9,N2719:AA2721)</f>
        <v>60000</v>
      </c>
      <c r="N2719" s="6340"/>
      <c r="O2719" s="6340"/>
      <c r="P2719" s="6340"/>
      <c r="Q2719" s="6340"/>
      <c r="R2719" s="6340"/>
      <c r="S2719" s="6340"/>
      <c r="T2719" s="6340"/>
      <c r="U2719" s="6340">
        <v>60000</v>
      </c>
      <c r="V2719" s="6340"/>
      <c r="W2719" s="6340"/>
      <c r="X2719" s="6340"/>
      <c r="Y2719" s="6340"/>
      <c r="Z2719" s="6340"/>
      <c r="AA2719" s="6340"/>
      <c r="AB2719" s="6340"/>
      <c r="AC2719" s="6522">
        <v>1</v>
      </c>
      <c r="AD2719" s="6388" t="s">
        <v>4554</v>
      </c>
      <c r="AE2719" s="3066">
        <v>0.5</v>
      </c>
      <c r="AF2719" s="3066">
        <v>30000</v>
      </c>
      <c r="AG2719" s="3065">
        <v>30000</v>
      </c>
      <c r="AH2719" s="6444" t="s">
        <v>122</v>
      </c>
      <c r="AI2719" s="3065">
        <v>45674</v>
      </c>
      <c r="AJ2719" s="3065">
        <v>30000</v>
      </c>
      <c r="AK2719" s="3065">
        <v>45674</v>
      </c>
      <c r="AL2719" s="3065">
        <v>30000</v>
      </c>
      <c r="AM2719" s="3065">
        <v>45679</v>
      </c>
      <c r="AN2719" s="3065">
        <f>SUBTOTAL(9,BO2719:CB2719)</f>
        <v>30000</v>
      </c>
      <c r="AO2719" s="3065">
        <v>45765</v>
      </c>
      <c r="AP2719" s="3065">
        <f t="shared" si="561"/>
        <v>0</v>
      </c>
      <c r="AQ2719" s="6522"/>
      <c r="AR2719" s="6522"/>
      <c r="AS2719" s="6522"/>
      <c r="AT2719" s="3066"/>
      <c r="AU2719" s="6424"/>
      <c r="AV2719" s="6424"/>
      <c r="AW2719" s="6424"/>
      <c r="AX2719" s="6424"/>
      <c r="AY2719" s="6424"/>
      <c r="AZ2719" s="6424"/>
      <c r="BA2719" s="6556"/>
      <c r="BB2719" s="6556"/>
      <c r="BC2719" s="3065"/>
      <c r="BD2719" s="6556"/>
      <c r="BE2719" s="6556"/>
      <c r="BF2719" s="6556"/>
      <c r="BG2719" s="6556"/>
      <c r="BH2719" s="3065">
        <v>30000</v>
      </c>
      <c r="BI2719" s="6556"/>
      <c r="BJ2719" s="6556"/>
      <c r="BK2719" s="6556"/>
      <c r="BL2719" s="6556"/>
      <c r="BM2719" s="6556"/>
      <c r="BN2719" s="3065"/>
      <c r="BO2719" s="6556"/>
      <c r="BP2719" s="6556"/>
      <c r="BQ2719" s="6556"/>
      <c r="BR2719" s="6556"/>
      <c r="BS2719" s="6556"/>
      <c r="BT2719" s="6556"/>
      <c r="BU2719" s="6556"/>
      <c r="BV2719" s="3065">
        <v>30000</v>
      </c>
      <c r="BW2719" s="6556"/>
      <c r="BX2719" s="6556"/>
      <c r="BY2719" s="6556"/>
      <c r="BZ2719" s="6556"/>
      <c r="CA2719" s="6556"/>
      <c r="CB2719" s="6556"/>
      <c r="CC2719" s="6519" t="s">
        <v>166</v>
      </c>
      <c r="CD2719" s="6519" t="s">
        <v>154</v>
      </c>
      <c r="CE2719" s="5168"/>
      <c r="CF2719" s="5168"/>
      <c r="CG2719" s="5750"/>
      <c r="CH2719" s="5750"/>
    </row>
    <row r="2720" ht="92" spans="1:86">
      <c r="A2720" s="5039"/>
      <c r="B2720" s="3066"/>
      <c r="C2720" s="3066"/>
      <c r="D2720" s="6522"/>
      <c r="E2720" s="6341"/>
      <c r="F2720" s="6522"/>
      <c r="G2720" s="6518"/>
      <c r="H2720" s="3066"/>
      <c r="I2720" s="6522"/>
      <c r="J2720" s="6522"/>
      <c r="K2720" s="3066"/>
      <c r="L2720" s="3066"/>
      <c r="M2720" s="3066"/>
      <c r="N2720" s="6341"/>
      <c r="O2720" s="6341"/>
      <c r="P2720" s="6341"/>
      <c r="Q2720" s="6341"/>
      <c r="R2720" s="6341"/>
      <c r="S2720" s="6341"/>
      <c r="T2720" s="6341"/>
      <c r="U2720" s="6341"/>
      <c r="V2720" s="6341"/>
      <c r="W2720" s="6341"/>
      <c r="X2720" s="6341"/>
      <c r="Y2720" s="6341"/>
      <c r="Z2720" s="6341"/>
      <c r="AA2720" s="6341"/>
      <c r="AB2720" s="6341"/>
      <c r="AC2720" s="6522">
        <v>2</v>
      </c>
      <c r="AD2720" s="6388" t="s">
        <v>4555</v>
      </c>
      <c r="AE2720" s="3066">
        <v>0.4</v>
      </c>
      <c r="AF2720" s="3066">
        <v>24000</v>
      </c>
      <c r="AG2720" s="3065">
        <v>24000</v>
      </c>
      <c r="AH2720" s="6444" t="s">
        <v>122</v>
      </c>
      <c r="AI2720" s="3065">
        <v>45674</v>
      </c>
      <c r="AJ2720" s="3065">
        <v>24000</v>
      </c>
      <c r="AK2720" s="3065">
        <v>45674</v>
      </c>
      <c r="AL2720" s="3065">
        <v>24000</v>
      </c>
      <c r="AM2720" s="3065">
        <v>45679</v>
      </c>
      <c r="AN2720" s="3065">
        <f>SUBTOTAL(9,BO2720:CB2720)</f>
        <v>24000</v>
      </c>
      <c r="AO2720" s="3065">
        <v>45765</v>
      </c>
      <c r="AP2720" s="3065">
        <f t="shared" si="561"/>
        <v>0</v>
      </c>
      <c r="AQ2720" s="6522"/>
      <c r="AR2720" s="6522"/>
      <c r="AS2720" s="6522"/>
      <c r="AT2720" s="3066"/>
      <c r="AU2720" s="6424"/>
      <c r="AV2720" s="6424"/>
      <c r="AW2720" s="6424"/>
      <c r="AX2720" s="6424"/>
      <c r="AY2720" s="6424"/>
      <c r="AZ2720" s="6424"/>
      <c r="BA2720" s="6556"/>
      <c r="BB2720" s="6556"/>
      <c r="BC2720" s="3065"/>
      <c r="BD2720" s="6556"/>
      <c r="BE2720" s="6556"/>
      <c r="BF2720" s="6556"/>
      <c r="BG2720" s="6556"/>
      <c r="BH2720" s="3065">
        <v>24000</v>
      </c>
      <c r="BI2720" s="6556"/>
      <c r="BJ2720" s="6556"/>
      <c r="BK2720" s="6556"/>
      <c r="BL2720" s="6556"/>
      <c r="BM2720" s="6556"/>
      <c r="BN2720" s="3065"/>
      <c r="BO2720" s="6556"/>
      <c r="BP2720" s="6556"/>
      <c r="BQ2720" s="6556"/>
      <c r="BR2720" s="6556"/>
      <c r="BS2720" s="6556"/>
      <c r="BT2720" s="6556"/>
      <c r="BU2720" s="6556"/>
      <c r="BV2720" s="3065">
        <v>24000</v>
      </c>
      <c r="BW2720" s="6556"/>
      <c r="BX2720" s="6556"/>
      <c r="BY2720" s="6556"/>
      <c r="BZ2720" s="6556"/>
      <c r="CA2720" s="6556"/>
      <c r="CB2720" s="6556"/>
      <c r="CC2720" s="6341"/>
      <c r="CD2720" s="6341"/>
      <c r="CE2720" s="5168"/>
      <c r="CF2720" s="5168"/>
      <c r="CG2720" s="5750"/>
      <c r="CH2720" s="5750"/>
    </row>
    <row r="2721" ht="107" spans="1:86">
      <c r="A2721" s="5039"/>
      <c r="B2721" s="3066"/>
      <c r="C2721" s="3066"/>
      <c r="D2721" s="6522"/>
      <c r="E2721" s="6485"/>
      <c r="F2721" s="6522"/>
      <c r="G2721" s="6518"/>
      <c r="H2721" s="3066"/>
      <c r="I2721" s="6522"/>
      <c r="J2721" s="6522"/>
      <c r="K2721" s="3066"/>
      <c r="L2721" s="3066"/>
      <c r="M2721" s="3066"/>
      <c r="N2721" s="6485"/>
      <c r="O2721" s="6485"/>
      <c r="P2721" s="6485"/>
      <c r="Q2721" s="6485"/>
      <c r="R2721" s="6485"/>
      <c r="S2721" s="6485"/>
      <c r="T2721" s="6485"/>
      <c r="U2721" s="6485"/>
      <c r="V2721" s="6485"/>
      <c r="W2721" s="6485"/>
      <c r="X2721" s="6485"/>
      <c r="Y2721" s="6485"/>
      <c r="Z2721" s="6485"/>
      <c r="AA2721" s="6485"/>
      <c r="AB2721" s="6485"/>
      <c r="AC2721" s="6522">
        <v>3</v>
      </c>
      <c r="AD2721" s="6388" t="s">
        <v>4556</v>
      </c>
      <c r="AE2721" s="3066">
        <v>0.1</v>
      </c>
      <c r="AF2721" s="3066">
        <v>6000</v>
      </c>
      <c r="AG2721" s="3065">
        <v>6000</v>
      </c>
      <c r="AH2721" s="6444" t="s">
        <v>122</v>
      </c>
      <c r="AI2721" s="3065">
        <v>45674</v>
      </c>
      <c r="AJ2721" s="3065">
        <v>6000</v>
      </c>
      <c r="AK2721" s="3065">
        <v>45674</v>
      </c>
      <c r="AL2721" s="3065">
        <v>6000</v>
      </c>
      <c r="AM2721" s="3065">
        <v>45679</v>
      </c>
      <c r="AN2721" s="3065">
        <f>SUBTOTAL(9,BO2721:CB2721)</f>
        <v>6000</v>
      </c>
      <c r="AO2721" s="3065">
        <v>45765</v>
      </c>
      <c r="AP2721" s="3065">
        <f t="shared" si="561"/>
        <v>0</v>
      </c>
      <c r="AQ2721" s="6522"/>
      <c r="AR2721" s="6522"/>
      <c r="AS2721" s="6522"/>
      <c r="AT2721" s="3066"/>
      <c r="AU2721" s="6424"/>
      <c r="AV2721" s="6424"/>
      <c r="AW2721" s="6424"/>
      <c r="AX2721" s="6424"/>
      <c r="AY2721" s="6424"/>
      <c r="AZ2721" s="6424"/>
      <c r="BA2721" s="6556"/>
      <c r="BB2721" s="6556"/>
      <c r="BC2721" s="3065"/>
      <c r="BD2721" s="6556"/>
      <c r="BE2721" s="6556"/>
      <c r="BF2721" s="6556"/>
      <c r="BG2721" s="6556"/>
      <c r="BH2721" s="3065">
        <v>6000</v>
      </c>
      <c r="BI2721" s="6556"/>
      <c r="BJ2721" s="6556"/>
      <c r="BK2721" s="6556"/>
      <c r="BL2721" s="6556"/>
      <c r="BM2721" s="6556"/>
      <c r="BN2721" s="3065"/>
      <c r="BO2721" s="6556"/>
      <c r="BP2721" s="6556"/>
      <c r="BQ2721" s="6556"/>
      <c r="BR2721" s="6556"/>
      <c r="BS2721" s="6556"/>
      <c r="BT2721" s="6556"/>
      <c r="BU2721" s="6556"/>
      <c r="BV2721" s="3065">
        <v>6000</v>
      </c>
      <c r="BW2721" s="6556"/>
      <c r="BX2721" s="6556"/>
      <c r="BY2721" s="6556"/>
      <c r="BZ2721" s="6556"/>
      <c r="CA2721" s="6556"/>
      <c r="CB2721" s="6556"/>
      <c r="CC2721" s="6485"/>
      <c r="CD2721" s="6485"/>
      <c r="CE2721" s="5168"/>
      <c r="CF2721" s="5168"/>
      <c r="CG2721" s="5750"/>
      <c r="CH2721" s="5750"/>
    </row>
    <row r="2722" spans="35:35">
      <c r="AI2722" s="5032"/>
    </row>
    <row r="2723" spans="82:82">
      <c r="CD2723" s="4987">
        <f>COLUMN()</f>
        <v>82</v>
      </c>
    </row>
  </sheetData>
  <sheetProtection formatCells="0" insertHyperlinks="0" autoFilter="0"/>
  <protectedRanges>
    <protectedRange sqref="O1665" name="Range1"/>
  </protectedRanges>
  <autoFilter xmlns:etc="http://www.wps.cn/officeDocument/2017/etCustomData" ref="A1:CH2721" etc:filterBottomFollowUsedRange="0">
    <extLst/>
  </autoFilter>
  <mergeCells count="15908">
    <mergeCell ref="A1:BN1"/>
    <mergeCell ref="A2:M2"/>
    <mergeCell ref="N2:AB2"/>
    <mergeCell ref="AC2:AF2"/>
    <mergeCell ref="AG2:AQ2"/>
    <mergeCell ref="AR2:AT2"/>
    <mergeCell ref="AU2:AZ2"/>
    <mergeCell ref="BA2:BN2"/>
    <mergeCell ref="BO2:CB2"/>
    <mergeCell ref="CC2:CD2"/>
    <mergeCell ref="CG4:CH4"/>
    <mergeCell ref="CJ4:CK4"/>
    <mergeCell ref="CM4:CN4"/>
    <mergeCell ref="A5:A29"/>
    <mergeCell ref="A30:A34"/>
    <mergeCell ref="A35:A38"/>
    <mergeCell ref="A39:A40"/>
    <mergeCell ref="A41:A44"/>
    <mergeCell ref="A45:A48"/>
    <mergeCell ref="A49:A51"/>
    <mergeCell ref="A52:A55"/>
    <mergeCell ref="A56:A59"/>
    <mergeCell ref="A60:A65"/>
    <mergeCell ref="A66:A77"/>
    <mergeCell ref="A78:A80"/>
    <mergeCell ref="A81:A84"/>
    <mergeCell ref="A86:A87"/>
    <mergeCell ref="A90:A96"/>
    <mergeCell ref="A97:A103"/>
    <mergeCell ref="A104:A130"/>
    <mergeCell ref="A131:A134"/>
    <mergeCell ref="A135:A137"/>
    <mergeCell ref="A138:A143"/>
    <mergeCell ref="A144:A149"/>
    <mergeCell ref="A150:A153"/>
    <mergeCell ref="A154:A159"/>
    <mergeCell ref="A160:A164"/>
    <mergeCell ref="A168:A171"/>
    <mergeCell ref="A172:A174"/>
    <mergeCell ref="A175:A177"/>
    <mergeCell ref="A178:A181"/>
    <mergeCell ref="A182:A188"/>
    <mergeCell ref="A189:A190"/>
    <mergeCell ref="A191:A194"/>
    <mergeCell ref="A195:A199"/>
    <mergeCell ref="A203:A206"/>
    <mergeCell ref="A209:A210"/>
    <mergeCell ref="A213:A216"/>
    <mergeCell ref="A218:A221"/>
    <mergeCell ref="A222:A223"/>
    <mergeCell ref="A224:A227"/>
    <mergeCell ref="A228:A230"/>
    <mergeCell ref="A231:A234"/>
    <mergeCell ref="A235:A239"/>
    <mergeCell ref="A240:A247"/>
    <mergeCell ref="A248:A249"/>
    <mergeCell ref="A258:A259"/>
    <mergeCell ref="A260:A261"/>
    <mergeCell ref="A262:A267"/>
    <mergeCell ref="A268:A269"/>
    <mergeCell ref="A271:A273"/>
    <mergeCell ref="A274:A276"/>
    <mergeCell ref="A283:A286"/>
    <mergeCell ref="A293:A297"/>
    <mergeCell ref="A298:A301"/>
    <mergeCell ref="A302:A303"/>
    <mergeCell ref="A332:A336"/>
    <mergeCell ref="A431:A433"/>
    <mergeCell ref="A434:A436"/>
    <mergeCell ref="A437:A440"/>
    <mergeCell ref="A445:A449"/>
    <mergeCell ref="A450:A451"/>
    <mergeCell ref="A452:A453"/>
    <mergeCell ref="A454:A455"/>
    <mergeCell ref="A456:A457"/>
    <mergeCell ref="A458:A460"/>
    <mergeCell ref="A461:A468"/>
    <mergeCell ref="A469:A472"/>
    <mergeCell ref="A473:A476"/>
    <mergeCell ref="A477:A480"/>
    <mergeCell ref="A481:A484"/>
    <mergeCell ref="A485:A488"/>
    <mergeCell ref="A489:A491"/>
    <mergeCell ref="A492:A497"/>
    <mergeCell ref="A500:A502"/>
    <mergeCell ref="A503:A505"/>
    <mergeCell ref="A506:A508"/>
    <mergeCell ref="A525:A528"/>
    <mergeCell ref="A532:A535"/>
    <mergeCell ref="A538:A540"/>
    <mergeCell ref="A541:A547"/>
    <mergeCell ref="A548:A550"/>
    <mergeCell ref="A551:A554"/>
    <mergeCell ref="A555:A559"/>
    <mergeCell ref="A561:A563"/>
    <mergeCell ref="A566:A588"/>
    <mergeCell ref="A593:A594"/>
    <mergeCell ref="A595:A598"/>
    <mergeCell ref="A600:A602"/>
    <mergeCell ref="A604:A613"/>
    <mergeCell ref="A614:A615"/>
    <mergeCell ref="A616:A618"/>
    <mergeCell ref="A621:A624"/>
    <mergeCell ref="A625:A628"/>
    <mergeCell ref="A629:A630"/>
    <mergeCell ref="A631:A639"/>
    <mergeCell ref="A640:A642"/>
    <mergeCell ref="A643:A646"/>
    <mergeCell ref="A647:A650"/>
    <mergeCell ref="A652:A657"/>
    <mergeCell ref="A658:A674"/>
    <mergeCell ref="A675:A680"/>
    <mergeCell ref="A681:A685"/>
    <mergeCell ref="A686:A688"/>
    <mergeCell ref="A689:A694"/>
    <mergeCell ref="A695:A704"/>
    <mergeCell ref="A705:A711"/>
    <mergeCell ref="A712:A794"/>
    <mergeCell ref="A795:A815"/>
    <mergeCell ref="A816:A836"/>
    <mergeCell ref="A837:A867"/>
    <mergeCell ref="A868:A871"/>
    <mergeCell ref="A872:A874"/>
    <mergeCell ref="A875:A877"/>
    <mergeCell ref="A878:A880"/>
    <mergeCell ref="A881:A941"/>
    <mergeCell ref="A942:A947"/>
    <mergeCell ref="A948:A950"/>
    <mergeCell ref="A951:A957"/>
    <mergeCell ref="A959:A964"/>
    <mergeCell ref="A965:A967"/>
    <mergeCell ref="A968:A970"/>
    <mergeCell ref="A971:A973"/>
    <mergeCell ref="A974:A976"/>
    <mergeCell ref="A999:A1027"/>
    <mergeCell ref="A1032:A1064"/>
    <mergeCell ref="A1065:A1092"/>
    <mergeCell ref="A1093:A1120"/>
    <mergeCell ref="A1121:A1126"/>
    <mergeCell ref="A1127:A1128"/>
    <mergeCell ref="A1129:A1132"/>
    <mergeCell ref="A1133:A1134"/>
    <mergeCell ref="A1135:A1136"/>
    <mergeCell ref="A1137:A1138"/>
    <mergeCell ref="A1139:A1144"/>
    <mergeCell ref="A1451:A1456"/>
    <mergeCell ref="A1457:A1459"/>
    <mergeCell ref="A1460:A1463"/>
    <mergeCell ref="A1464:A1466"/>
    <mergeCell ref="A1467:A1469"/>
    <mergeCell ref="A1470:A1475"/>
    <mergeCell ref="A1476:A1478"/>
    <mergeCell ref="A1479:A1482"/>
    <mergeCell ref="A1483:A1486"/>
    <mergeCell ref="A1487:A1491"/>
    <mergeCell ref="A1492:A1497"/>
    <mergeCell ref="A1501:A1504"/>
    <mergeCell ref="A1505:A1508"/>
    <mergeCell ref="A1509:A1513"/>
    <mergeCell ref="A1514:A1518"/>
    <mergeCell ref="A1524:A1525"/>
    <mergeCell ref="A1526:A1528"/>
    <mergeCell ref="A1529:A1530"/>
    <mergeCell ref="A1531:A1539"/>
    <mergeCell ref="A1540:A1544"/>
    <mergeCell ref="A1547:A1553"/>
    <mergeCell ref="A1555:A1558"/>
    <mergeCell ref="A1561:A1565"/>
    <mergeCell ref="A1566:A1569"/>
    <mergeCell ref="A1570:A1575"/>
    <mergeCell ref="A1577:A1581"/>
    <mergeCell ref="A1583:A1598"/>
    <mergeCell ref="A1599:A1601"/>
    <mergeCell ref="A1602:A1603"/>
    <mergeCell ref="A1604:A1606"/>
    <mergeCell ref="A1607:A1612"/>
    <mergeCell ref="A1614:A1617"/>
    <mergeCell ref="A1618:A1621"/>
    <mergeCell ref="A1623:A1624"/>
    <mergeCell ref="A1625:A1668"/>
    <mergeCell ref="A1669:A1671"/>
    <mergeCell ref="A1679:A1680"/>
    <mergeCell ref="A1681:A1684"/>
    <mergeCell ref="A1685:A1687"/>
    <mergeCell ref="A1688:A1689"/>
    <mergeCell ref="A1690:A1697"/>
    <mergeCell ref="A1710:A1714"/>
    <mergeCell ref="A1716:A1719"/>
    <mergeCell ref="A1720:A1723"/>
    <mergeCell ref="A1724:A1728"/>
    <mergeCell ref="A1731:A1733"/>
    <mergeCell ref="A1736:A1738"/>
    <mergeCell ref="A1743:A1745"/>
    <mergeCell ref="A1746:A1748"/>
    <mergeCell ref="A1749:A1750"/>
    <mergeCell ref="A1751:A1757"/>
    <mergeCell ref="A1758:A1762"/>
    <mergeCell ref="A1763:A1765"/>
    <mergeCell ref="A1766:A1770"/>
    <mergeCell ref="A1771:A1772"/>
    <mergeCell ref="A1773:A1775"/>
    <mergeCell ref="A1777:A1780"/>
    <mergeCell ref="A1781:A1784"/>
    <mergeCell ref="A1785:A1786"/>
    <mergeCell ref="A1788:A1790"/>
    <mergeCell ref="A1791:A1792"/>
    <mergeCell ref="A1793:A1795"/>
    <mergeCell ref="A1803:A1808"/>
    <mergeCell ref="A1809:A1813"/>
    <mergeCell ref="A1814:A1815"/>
    <mergeCell ref="A1816:A1819"/>
    <mergeCell ref="A1825:A1828"/>
    <mergeCell ref="A1829:A1832"/>
    <mergeCell ref="A1867:A1886"/>
    <mergeCell ref="A1888:A1911"/>
    <mergeCell ref="A1935:A1937"/>
    <mergeCell ref="A1955:A1979"/>
    <mergeCell ref="A1987:A2023"/>
    <mergeCell ref="A2026:A2028"/>
    <mergeCell ref="A2154:A2161"/>
    <mergeCell ref="A2162:A2169"/>
    <mergeCell ref="A2170:A2177"/>
    <mergeCell ref="A2178:A2180"/>
    <mergeCell ref="A2181:A2184"/>
    <mergeCell ref="A2185:A2192"/>
    <mergeCell ref="A2194:A2236"/>
    <mergeCell ref="A2237:A2241"/>
    <mergeCell ref="A2242:A2296"/>
    <mergeCell ref="A2297:A2303"/>
    <mergeCell ref="A2325:A2328"/>
    <mergeCell ref="A2329:A2335"/>
    <mergeCell ref="A2336:A2344"/>
    <mergeCell ref="A2345:A2347"/>
    <mergeCell ref="A2348:A2351"/>
    <mergeCell ref="A2352:A2359"/>
    <mergeCell ref="A2360:A2363"/>
    <mergeCell ref="A2364:A2370"/>
    <mergeCell ref="A2371:A2374"/>
    <mergeCell ref="A2375:A2378"/>
    <mergeCell ref="A2380:A2383"/>
    <mergeCell ref="A2385:A2395"/>
    <mergeCell ref="A2396:A2397"/>
    <mergeCell ref="A2399:A2413"/>
    <mergeCell ref="A2415:A2421"/>
    <mergeCell ref="A2435:A2440"/>
    <mergeCell ref="A2441:A2445"/>
    <mergeCell ref="A2446:A2447"/>
    <mergeCell ref="A2478:A2554"/>
    <mergeCell ref="A2558:A2618"/>
    <mergeCell ref="A2622:A2629"/>
    <mergeCell ref="A2630:A2636"/>
    <mergeCell ref="A2637:A2643"/>
    <mergeCell ref="B5:B29"/>
    <mergeCell ref="B30:B34"/>
    <mergeCell ref="B35:B38"/>
    <mergeCell ref="B39:B40"/>
    <mergeCell ref="B41:B44"/>
    <mergeCell ref="B45:B48"/>
    <mergeCell ref="B49:B51"/>
    <mergeCell ref="B52:B55"/>
    <mergeCell ref="B56:B59"/>
    <mergeCell ref="B60:B65"/>
    <mergeCell ref="B66:B77"/>
    <mergeCell ref="B78:B80"/>
    <mergeCell ref="B81:B84"/>
    <mergeCell ref="B86:B87"/>
    <mergeCell ref="B90:B96"/>
    <mergeCell ref="B97:B103"/>
    <mergeCell ref="B104:B130"/>
    <mergeCell ref="B131:B134"/>
    <mergeCell ref="B135:B137"/>
    <mergeCell ref="B138:B143"/>
    <mergeCell ref="B144:B149"/>
    <mergeCell ref="B150:B153"/>
    <mergeCell ref="B154:B159"/>
    <mergeCell ref="B160:B164"/>
    <mergeCell ref="B168:B171"/>
    <mergeCell ref="B172:B174"/>
    <mergeCell ref="B175:B177"/>
    <mergeCell ref="B178:B181"/>
    <mergeCell ref="B182:B188"/>
    <mergeCell ref="B189:B190"/>
    <mergeCell ref="B191:B194"/>
    <mergeCell ref="B195:B199"/>
    <mergeCell ref="B203:B206"/>
    <mergeCell ref="B209:B210"/>
    <mergeCell ref="B213:B216"/>
    <mergeCell ref="B218:B221"/>
    <mergeCell ref="B222:B223"/>
    <mergeCell ref="B224:B227"/>
    <mergeCell ref="B228:B230"/>
    <mergeCell ref="B231:B234"/>
    <mergeCell ref="B235:B239"/>
    <mergeCell ref="B240:B247"/>
    <mergeCell ref="B248:B249"/>
    <mergeCell ref="B250:B253"/>
    <mergeCell ref="B254:B257"/>
    <mergeCell ref="B258:B259"/>
    <mergeCell ref="B260:B261"/>
    <mergeCell ref="B262:B267"/>
    <mergeCell ref="B268:B269"/>
    <mergeCell ref="B271:B273"/>
    <mergeCell ref="B274:B276"/>
    <mergeCell ref="B278:B282"/>
    <mergeCell ref="B283:B286"/>
    <mergeCell ref="B287:B289"/>
    <mergeCell ref="B290:B292"/>
    <mergeCell ref="B293:B297"/>
    <mergeCell ref="B298:B301"/>
    <mergeCell ref="B302:B303"/>
    <mergeCell ref="B304:B313"/>
    <mergeCell ref="B314:B330"/>
    <mergeCell ref="B332:B336"/>
    <mergeCell ref="B337:B339"/>
    <mergeCell ref="B340:B343"/>
    <mergeCell ref="B344:B365"/>
    <mergeCell ref="B366:B383"/>
    <mergeCell ref="B384:B389"/>
    <mergeCell ref="B390:B396"/>
    <mergeCell ref="B397:B402"/>
    <mergeCell ref="B403:B408"/>
    <mergeCell ref="B409:B414"/>
    <mergeCell ref="B415:B426"/>
    <mergeCell ref="B427:B429"/>
    <mergeCell ref="B431:B433"/>
    <mergeCell ref="B434:B436"/>
    <mergeCell ref="B437:B440"/>
    <mergeCell ref="B441:B442"/>
    <mergeCell ref="B443:B444"/>
    <mergeCell ref="B445:B449"/>
    <mergeCell ref="B450:B451"/>
    <mergeCell ref="B452:B453"/>
    <mergeCell ref="B454:B455"/>
    <mergeCell ref="B456:B457"/>
    <mergeCell ref="B458:B460"/>
    <mergeCell ref="B461:B468"/>
    <mergeCell ref="B469:B472"/>
    <mergeCell ref="B473:B476"/>
    <mergeCell ref="B477:B480"/>
    <mergeCell ref="B481:B484"/>
    <mergeCell ref="B485:B488"/>
    <mergeCell ref="B489:B491"/>
    <mergeCell ref="B492:B497"/>
    <mergeCell ref="B500:B502"/>
    <mergeCell ref="B503:B505"/>
    <mergeCell ref="B506:B508"/>
    <mergeCell ref="B509:B524"/>
    <mergeCell ref="B525:B528"/>
    <mergeCell ref="B532:B537"/>
    <mergeCell ref="B538:B540"/>
    <mergeCell ref="B541:B547"/>
    <mergeCell ref="B548:B550"/>
    <mergeCell ref="B551:B554"/>
    <mergeCell ref="B555:B559"/>
    <mergeCell ref="B561:B564"/>
    <mergeCell ref="B566:B588"/>
    <mergeCell ref="B589:B592"/>
    <mergeCell ref="B593:B594"/>
    <mergeCell ref="B595:B599"/>
    <mergeCell ref="B600:B602"/>
    <mergeCell ref="B604:B613"/>
    <mergeCell ref="B614:B615"/>
    <mergeCell ref="B616:B618"/>
    <mergeCell ref="B619:B620"/>
    <mergeCell ref="B621:B624"/>
    <mergeCell ref="B625:B628"/>
    <mergeCell ref="B629:B630"/>
    <mergeCell ref="B631:B639"/>
    <mergeCell ref="B640:B642"/>
    <mergeCell ref="B643:B646"/>
    <mergeCell ref="B647:B650"/>
    <mergeCell ref="B652:B657"/>
    <mergeCell ref="B658:B674"/>
    <mergeCell ref="B675:B680"/>
    <mergeCell ref="B681:B685"/>
    <mergeCell ref="B686:B688"/>
    <mergeCell ref="B689:B694"/>
    <mergeCell ref="B695:B704"/>
    <mergeCell ref="B705:B711"/>
    <mergeCell ref="B712:B794"/>
    <mergeCell ref="B795:B815"/>
    <mergeCell ref="B816:B836"/>
    <mergeCell ref="B837:B867"/>
    <mergeCell ref="B868:B871"/>
    <mergeCell ref="B872:B874"/>
    <mergeCell ref="B875:B877"/>
    <mergeCell ref="B878:B880"/>
    <mergeCell ref="B881:B941"/>
    <mergeCell ref="B942:B947"/>
    <mergeCell ref="B948:B950"/>
    <mergeCell ref="B951:B958"/>
    <mergeCell ref="B959:B964"/>
    <mergeCell ref="B965:B967"/>
    <mergeCell ref="B968:B970"/>
    <mergeCell ref="B971:B973"/>
    <mergeCell ref="B974:B976"/>
    <mergeCell ref="B977:B981"/>
    <mergeCell ref="B982:B986"/>
    <mergeCell ref="B987:B992"/>
    <mergeCell ref="B993:B998"/>
    <mergeCell ref="B999:B1027"/>
    <mergeCell ref="B1028:B1031"/>
    <mergeCell ref="B1032:B1064"/>
    <mergeCell ref="B1065:B1092"/>
    <mergeCell ref="B1093:B1120"/>
    <mergeCell ref="B1121:B1126"/>
    <mergeCell ref="B1127:B1128"/>
    <mergeCell ref="B1129:B1132"/>
    <mergeCell ref="B1133:B1134"/>
    <mergeCell ref="B1135:B1136"/>
    <mergeCell ref="B1137:B1138"/>
    <mergeCell ref="B1139:B1144"/>
    <mergeCell ref="B1145:B1174"/>
    <mergeCell ref="B1175:B1213"/>
    <mergeCell ref="B1214:B1252"/>
    <mergeCell ref="B1253:B1285"/>
    <mergeCell ref="B1286:B1320"/>
    <mergeCell ref="B1321:B1347"/>
    <mergeCell ref="B1348:B1376"/>
    <mergeCell ref="B1377:B1384"/>
    <mergeCell ref="B1385:B1411"/>
    <mergeCell ref="B1412:B1445"/>
    <mergeCell ref="B1446:B1450"/>
    <mergeCell ref="B1451:B1456"/>
    <mergeCell ref="B1457:B1459"/>
    <mergeCell ref="B1460:B1463"/>
    <mergeCell ref="B1464:B1466"/>
    <mergeCell ref="B1467:B1469"/>
    <mergeCell ref="B1470:B1475"/>
    <mergeCell ref="B1476:B1478"/>
    <mergeCell ref="B1479:B1482"/>
    <mergeCell ref="B1483:B1486"/>
    <mergeCell ref="B1487:B1491"/>
    <mergeCell ref="B1492:B1497"/>
    <mergeCell ref="B1498:B1500"/>
    <mergeCell ref="B1501:B1504"/>
    <mergeCell ref="B1505:B1508"/>
    <mergeCell ref="B1509:B1513"/>
    <mergeCell ref="B1514:B1519"/>
    <mergeCell ref="B1524:B1525"/>
    <mergeCell ref="B1526:B1528"/>
    <mergeCell ref="B1529:B1530"/>
    <mergeCell ref="B1531:B1539"/>
    <mergeCell ref="B1540:B1545"/>
    <mergeCell ref="B1547:B1554"/>
    <mergeCell ref="B1555:B1560"/>
    <mergeCell ref="B1561:B1565"/>
    <mergeCell ref="B1566:B1569"/>
    <mergeCell ref="B1570:B1576"/>
    <mergeCell ref="B1577:B1582"/>
    <mergeCell ref="B1583:B1598"/>
    <mergeCell ref="B1599:B1601"/>
    <mergeCell ref="B1602:B1603"/>
    <mergeCell ref="B1604:B1606"/>
    <mergeCell ref="B1607:B1613"/>
    <mergeCell ref="B1614:B1617"/>
    <mergeCell ref="B1618:B1621"/>
    <mergeCell ref="B1623:B1624"/>
    <mergeCell ref="B1625:B1668"/>
    <mergeCell ref="B1669:B1671"/>
    <mergeCell ref="B1672:B1678"/>
    <mergeCell ref="B1679:B1680"/>
    <mergeCell ref="B1681:B1684"/>
    <mergeCell ref="B1685:B1687"/>
    <mergeCell ref="B1688:B1689"/>
    <mergeCell ref="B1690:B1697"/>
    <mergeCell ref="B1698:B1700"/>
    <mergeCell ref="B1701:B1706"/>
    <mergeCell ref="B1708:B1709"/>
    <mergeCell ref="B1710:B1714"/>
    <mergeCell ref="B1716:B1719"/>
    <mergeCell ref="B1720:B1723"/>
    <mergeCell ref="B1724:B1728"/>
    <mergeCell ref="B1731:B1733"/>
    <mergeCell ref="B1736:B1738"/>
    <mergeCell ref="B1743:B1745"/>
    <mergeCell ref="B1746:B1748"/>
    <mergeCell ref="B1749:B1750"/>
    <mergeCell ref="B1751:B1757"/>
    <mergeCell ref="B1758:B1762"/>
    <mergeCell ref="B1763:B1765"/>
    <mergeCell ref="B1766:B1770"/>
    <mergeCell ref="B1771:B1772"/>
    <mergeCell ref="B1773:B1775"/>
    <mergeCell ref="B1777:B1780"/>
    <mergeCell ref="B1781:B1784"/>
    <mergeCell ref="B1785:B1787"/>
    <mergeCell ref="B1788:B1790"/>
    <mergeCell ref="B1791:B1792"/>
    <mergeCell ref="B1793:B1795"/>
    <mergeCell ref="B1800:B1801"/>
    <mergeCell ref="B1803:B1808"/>
    <mergeCell ref="B1809:B1813"/>
    <mergeCell ref="B1814:B1815"/>
    <mergeCell ref="B1816:B1819"/>
    <mergeCell ref="B1821:B1823"/>
    <mergeCell ref="B1825:B1828"/>
    <mergeCell ref="B1829:B1832"/>
    <mergeCell ref="B1833:B1865"/>
    <mergeCell ref="B1867:B1886"/>
    <mergeCell ref="B1888:B1911"/>
    <mergeCell ref="B1912:B1919"/>
    <mergeCell ref="B1920:B1946"/>
    <mergeCell ref="B1947:B1954"/>
    <mergeCell ref="B1955:B1982"/>
    <mergeCell ref="B1983:B1986"/>
    <mergeCell ref="B1987:B2023"/>
    <mergeCell ref="B2026:B2028"/>
    <mergeCell ref="B2029:B2105"/>
    <mergeCell ref="B2106:B2113"/>
    <mergeCell ref="B2114:B2116"/>
    <mergeCell ref="B2117:B2144"/>
    <mergeCell ref="B2145:B2153"/>
    <mergeCell ref="B2154:B2161"/>
    <mergeCell ref="B2162:B2169"/>
    <mergeCell ref="B2170:B2177"/>
    <mergeCell ref="B2178:B2180"/>
    <mergeCell ref="B2181:B2184"/>
    <mergeCell ref="B2185:B2192"/>
    <mergeCell ref="B2194:B2236"/>
    <mergeCell ref="B2237:B2241"/>
    <mergeCell ref="B2242:B2296"/>
    <mergeCell ref="B2297:B2303"/>
    <mergeCell ref="B2304:B2308"/>
    <mergeCell ref="B2309:B2311"/>
    <mergeCell ref="B2312:B2315"/>
    <mergeCell ref="B2316:B2318"/>
    <mergeCell ref="B2319:B2321"/>
    <mergeCell ref="B2325:B2328"/>
    <mergeCell ref="B2329:B2335"/>
    <mergeCell ref="B2336:B2344"/>
    <mergeCell ref="B2345:B2347"/>
    <mergeCell ref="B2348:B2351"/>
    <mergeCell ref="B2352:B2359"/>
    <mergeCell ref="B2360:B2363"/>
    <mergeCell ref="B2364:B2370"/>
    <mergeCell ref="B2371:B2374"/>
    <mergeCell ref="B2375:B2378"/>
    <mergeCell ref="B2380:B2383"/>
    <mergeCell ref="B2385:B2395"/>
    <mergeCell ref="B2396:B2397"/>
    <mergeCell ref="B2399:B2413"/>
    <mergeCell ref="B2415:B2421"/>
    <mergeCell ref="B2422:B2434"/>
    <mergeCell ref="B2435:B2440"/>
    <mergeCell ref="B2441:B2445"/>
    <mergeCell ref="B2446:B2447"/>
    <mergeCell ref="B2448:B2449"/>
    <mergeCell ref="B2450:B2453"/>
    <mergeCell ref="B2454:B2455"/>
    <mergeCell ref="B2456:B2469"/>
    <mergeCell ref="B2470:B2474"/>
    <mergeCell ref="B2475:B2476"/>
    <mergeCell ref="B2478:B2557"/>
    <mergeCell ref="B2558:B2618"/>
    <mergeCell ref="B2619:B2621"/>
    <mergeCell ref="B2622:B2629"/>
    <mergeCell ref="B2630:B2636"/>
    <mergeCell ref="B2637:B2643"/>
    <mergeCell ref="B2644:B2650"/>
    <mergeCell ref="B2651:B2658"/>
    <mergeCell ref="B2659:B2662"/>
    <mergeCell ref="B2663:B2668"/>
    <mergeCell ref="B2669:B2670"/>
    <mergeCell ref="B2671:B2677"/>
    <mergeCell ref="B2678:B2681"/>
    <mergeCell ref="B2682:B2685"/>
    <mergeCell ref="B2686:B2688"/>
    <mergeCell ref="B2689:B2697"/>
    <mergeCell ref="B2698:B2702"/>
    <mergeCell ref="B2703:B2705"/>
    <mergeCell ref="B2707:B2708"/>
    <mergeCell ref="B2709:B2712"/>
    <mergeCell ref="B2713:B2718"/>
    <mergeCell ref="B2719:B2721"/>
    <mergeCell ref="C5:C29"/>
    <mergeCell ref="C30:C34"/>
    <mergeCell ref="C35:C38"/>
    <mergeCell ref="C39:C40"/>
    <mergeCell ref="C41:C44"/>
    <mergeCell ref="C45:C48"/>
    <mergeCell ref="C49:C51"/>
    <mergeCell ref="C52:C55"/>
    <mergeCell ref="C56:C59"/>
    <mergeCell ref="C60:C65"/>
    <mergeCell ref="C66:C77"/>
    <mergeCell ref="C78:C80"/>
    <mergeCell ref="C81:C84"/>
    <mergeCell ref="C86:C87"/>
    <mergeCell ref="C90:C96"/>
    <mergeCell ref="C97:C103"/>
    <mergeCell ref="C104:C130"/>
    <mergeCell ref="C131:C134"/>
    <mergeCell ref="C135:C137"/>
    <mergeCell ref="C138:C143"/>
    <mergeCell ref="C144:C149"/>
    <mergeCell ref="C150:C153"/>
    <mergeCell ref="C154:C159"/>
    <mergeCell ref="C160:C164"/>
    <mergeCell ref="C168:C171"/>
    <mergeCell ref="C172:C174"/>
    <mergeCell ref="C175:C177"/>
    <mergeCell ref="C178:C181"/>
    <mergeCell ref="C182:C188"/>
    <mergeCell ref="C189:C190"/>
    <mergeCell ref="C191:C194"/>
    <mergeCell ref="C195:C199"/>
    <mergeCell ref="C203:C206"/>
    <mergeCell ref="C209:C210"/>
    <mergeCell ref="C213:C216"/>
    <mergeCell ref="C218:C221"/>
    <mergeCell ref="C222:C223"/>
    <mergeCell ref="C224:C227"/>
    <mergeCell ref="C228:C230"/>
    <mergeCell ref="C231:C234"/>
    <mergeCell ref="C235:C239"/>
    <mergeCell ref="C240:C247"/>
    <mergeCell ref="C248:C249"/>
    <mergeCell ref="C250:C253"/>
    <mergeCell ref="C254:C257"/>
    <mergeCell ref="C258:C259"/>
    <mergeCell ref="C260:C261"/>
    <mergeCell ref="C262:C267"/>
    <mergeCell ref="C268:C269"/>
    <mergeCell ref="C271:C273"/>
    <mergeCell ref="C274:C276"/>
    <mergeCell ref="C278:C282"/>
    <mergeCell ref="C283:C286"/>
    <mergeCell ref="C287:C289"/>
    <mergeCell ref="C290:C292"/>
    <mergeCell ref="C293:C297"/>
    <mergeCell ref="C298:C301"/>
    <mergeCell ref="C302:C303"/>
    <mergeCell ref="C304:C313"/>
    <mergeCell ref="C314:C321"/>
    <mergeCell ref="C322:C330"/>
    <mergeCell ref="C332:C336"/>
    <mergeCell ref="C337:C339"/>
    <mergeCell ref="C340:C343"/>
    <mergeCell ref="C344:C349"/>
    <mergeCell ref="C350:C355"/>
    <mergeCell ref="C356:C365"/>
    <mergeCell ref="C366:C371"/>
    <mergeCell ref="C372:C377"/>
    <mergeCell ref="C378:C383"/>
    <mergeCell ref="C384:C389"/>
    <mergeCell ref="C390:C396"/>
    <mergeCell ref="C397:C402"/>
    <mergeCell ref="C403:C408"/>
    <mergeCell ref="C409:C414"/>
    <mergeCell ref="C415:C426"/>
    <mergeCell ref="C427:C429"/>
    <mergeCell ref="C431:C433"/>
    <mergeCell ref="C434:C436"/>
    <mergeCell ref="C437:C440"/>
    <mergeCell ref="C441:C442"/>
    <mergeCell ref="C443:C444"/>
    <mergeCell ref="C445:C449"/>
    <mergeCell ref="C450:C451"/>
    <mergeCell ref="C452:C453"/>
    <mergeCell ref="C454:C455"/>
    <mergeCell ref="C456:C457"/>
    <mergeCell ref="C458:C460"/>
    <mergeCell ref="C461:C468"/>
    <mergeCell ref="C469:C472"/>
    <mergeCell ref="C473:C476"/>
    <mergeCell ref="C477:C480"/>
    <mergeCell ref="C481:C484"/>
    <mergeCell ref="C485:C488"/>
    <mergeCell ref="C489:C491"/>
    <mergeCell ref="C492:C497"/>
    <mergeCell ref="C500:C502"/>
    <mergeCell ref="C503:C505"/>
    <mergeCell ref="C506:C508"/>
    <mergeCell ref="C509:C524"/>
    <mergeCell ref="C525:C528"/>
    <mergeCell ref="C532:C537"/>
    <mergeCell ref="C538:C540"/>
    <mergeCell ref="C541:C547"/>
    <mergeCell ref="C548:C550"/>
    <mergeCell ref="C551:C554"/>
    <mergeCell ref="C555:C559"/>
    <mergeCell ref="C561:C564"/>
    <mergeCell ref="C566:C588"/>
    <mergeCell ref="C589:C592"/>
    <mergeCell ref="C593:C594"/>
    <mergeCell ref="C595:C599"/>
    <mergeCell ref="C600:C602"/>
    <mergeCell ref="C604:C613"/>
    <mergeCell ref="C614:C615"/>
    <mergeCell ref="C616:C618"/>
    <mergeCell ref="C619:C620"/>
    <mergeCell ref="C621:C624"/>
    <mergeCell ref="C625:C628"/>
    <mergeCell ref="C629:C630"/>
    <mergeCell ref="C631:C639"/>
    <mergeCell ref="C640:C642"/>
    <mergeCell ref="C643:C646"/>
    <mergeCell ref="C647:C650"/>
    <mergeCell ref="C652:C657"/>
    <mergeCell ref="C658:C674"/>
    <mergeCell ref="C675:C680"/>
    <mergeCell ref="C681:C685"/>
    <mergeCell ref="C686:C688"/>
    <mergeCell ref="C689:C694"/>
    <mergeCell ref="C695:C704"/>
    <mergeCell ref="C705:C711"/>
    <mergeCell ref="C712:C794"/>
    <mergeCell ref="C795:C815"/>
    <mergeCell ref="C816:C836"/>
    <mergeCell ref="C837:C867"/>
    <mergeCell ref="C868:C871"/>
    <mergeCell ref="C872:C874"/>
    <mergeCell ref="C875:C877"/>
    <mergeCell ref="C878:C880"/>
    <mergeCell ref="C881:C941"/>
    <mergeCell ref="C942:C947"/>
    <mergeCell ref="C948:C950"/>
    <mergeCell ref="C951:C958"/>
    <mergeCell ref="C959:C964"/>
    <mergeCell ref="C965:C967"/>
    <mergeCell ref="C968:C970"/>
    <mergeCell ref="C971:C973"/>
    <mergeCell ref="C974:C976"/>
    <mergeCell ref="C977:C981"/>
    <mergeCell ref="C982:C986"/>
    <mergeCell ref="C987:C992"/>
    <mergeCell ref="C993:C998"/>
    <mergeCell ref="C999:C1027"/>
    <mergeCell ref="C1028:C1031"/>
    <mergeCell ref="C1032:C1064"/>
    <mergeCell ref="C1065:C1092"/>
    <mergeCell ref="C1093:C1120"/>
    <mergeCell ref="C1121:C1126"/>
    <mergeCell ref="C1127:C1128"/>
    <mergeCell ref="C1129:C1132"/>
    <mergeCell ref="C1133:C1134"/>
    <mergeCell ref="C1135:C1136"/>
    <mergeCell ref="C1137:C1138"/>
    <mergeCell ref="C1139:C1144"/>
    <mergeCell ref="C1145:C1149"/>
    <mergeCell ref="C1150:C1159"/>
    <mergeCell ref="C1160:C1164"/>
    <mergeCell ref="C1165:C1167"/>
    <mergeCell ref="C1168:C1171"/>
    <mergeCell ref="C1172:C1174"/>
    <mergeCell ref="C1175:C1179"/>
    <mergeCell ref="C1180:C1189"/>
    <mergeCell ref="C1190:C1200"/>
    <mergeCell ref="C1201:C1205"/>
    <mergeCell ref="C1206:C1210"/>
    <mergeCell ref="C1211:C1213"/>
    <mergeCell ref="C1214:C1218"/>
    <mergeCell ref="C1219:C1226"/>
    <mergeCell ref="C1227:C1239"/>
    <mergeCell ref="C1240:C1245"/>
    <mergeCell ref="C1246:C1249"/>
    <mergeCell ref="C1250:C1252"/>
    <mergeCell ref="C1253:C1257"/>
    <mergeCell ref="C1258:C1262"/>
    <mergeCell ref="C1263:C1273"/>
    <mergeCell ref="C1274:C1278"/>
    <mergeCell ref="C1279:C1282"/>
    <mergeCell ref="C1283:C1285"/>
    <mergeCell ref="C1286:C1291"/>
    <mergeCell ref="C1292:C1299"/>
    <mergeCell ref="C1300:C1308"/>
    <mergeCell ref="C1309:C1313"/>
    <mergeCell ref="C1314:C1317"/>
    <mergeCell ref="C1318:C1320"/>
    <mergeCell ref="C1321:C1347"/>
    <mergeCell ref="C1348:C1376"/>
    <mergeCell ref="C1377:C1384"/>
    <mergeCell ref="C1385:C1411"/>
    <mergeCell ref="C1412:C1445"/>
    <mergeCell ref="C1446:C1450"/>
    <mergeCell ref="C1451:C1456"/>
    <mergeCell ref="C1457:C1459"/>
    <mergeCell ref="C1460:C1463"/>
    <mergeCell ref="C1464:C1466"/>
    <mergeCell ref="C1467:C1469"/>
    <mergeCell ref="C1470:C1475"/>
    <mergeCell ref="C1476:C1478"/>
    <mergeCell ref="C1479:C1482"/>
    <mergeCell ref="C1483:C1486"/>
    <mergeCell ref="C1487:C1491"/>
    <mergeCell ref="C1492:C1497"/>
    <mergeCell ref="C1498:C1500"/>
    <mergeCell ref="C1501:C1504"/>
    <mergeCell ref="C1505:C1508"/>
    <mergeCell ref="C1509:C1513"/>
    <mergeCell ref="C1514:C1519"/>
    <mergeCell ref="C1524:C1525"/>
    <mergeCell ref="C1526:C1528"/>
    <mergeCell ref="C1529:C1530"/>
    <mergeCell ref="C1531:C1539"/>
    <mergeCell ref="C1540:C1545"/>
    <mergeCell ref="C1547:C1554"/>
    <mergeCell ref="C1555:C1560"/>
    <mergeCell ref="C1561:C1565"/>
    <mergeCell ref="C1566:C1569"/>
    <mergeCell ref="C1570:C1576"/>
    <mergeCell ref="C1577:C1582"/>
    <mergeCell ref="C1583:C1598"/>
    <mergeCell ref="C1599:C1601"/>
    <mergeCell ref="C1602:C1603"/>
    <mergeCell ref="C1604:C1606"/>
    <mergeCell ref="C1607:C1613"/>
    <mergeCell ref="C1614:C1617"/>
    <mergeCell ref="C1618:C1621"/>
    <mergeCell ref="C1623:C1624"/>
    <mergeCell ref="C1625:C1627"/>
    <mergeCell ref="C1628:C1632"/>
    <mergeCell ref="C1633:C1636"/>
    <mergeCell ref="C1637:C1645"/>
    <mergeCell ref="C1646:C1650"/>
    <mergeCell ref="C1651:C1652"/>
    <mergeCell ref="C1653:C1654"/>
    <mergeCell ref="C1655:C1656"/>
    <mergeCell ref="C1657:C1658"/>
    <mergeCell ref="C1659:C1660"/>
    <mergeCell ref="C1661:C1662"/>
    <mergeCell ref="C1663:C1664"/>
    <mergeCell ref="C1665:C1668"/>
    <mergeCell ref="C1669:C1671"/>
    <mergeCell ref="C1672:C1678"/>
    <mergeCell ref="C1679:C1680"/>
    <mergeCell ref="C1681:C1684"/>
    <mergeCell ref="C1685:C1687"/>
    <mergeCell ref="C1688:C1689"/>
    <mergeCell ref="C1690:C1697"/>
    <mergeCell ref="C1698:C1700"/>
    <mergeCell ref="C1701:C1706"/>
    <mergeCell ref="C1708:C1709"/>
    <mergeCell ref="C1710:C1714"/>
    <mergeCell ref="C1716:C1719"/>
    <mergeCell ref="C1720:C1723"/>
    <mergeCell ref="C1731:C1733"/>
    <mergeCell ref="C1736:C1738"/>
    <mergeCell ref="C1743:C1745"/>
    <mergeCell ref="C1746:C1748"/>
    <mergeCell ref="C1749:C1750"/>
    <mergeCell ref="C1751:C1757"/>
    <mergeCell ref="C1758:C1762"/>
    <mergeCell ref="C1763:C1765"/>
    <mergeCell ref="C1766:C1770"/>
    <mergeCell ref="C1771:C1772"/>
    <mergeCell ref="C1773:C1775"/>
    <mergeCell ref="C1777:C1780"/>
    <mergeCell ref="C1781:C1784"/>
    <mergeCell ref="C1785:C1787"/>
    <mergeCell ref="C1788:C1790"/>
    <mergeCell ref="C1791:C1792"/>
    <mergeCell ref="C1793:C1795"/>
    <mergeCell ref="C1800:C1801"/>
    <mergeCell ref="C1803:C1808"/>
    <mergeCell ref="C1809:C1813"/>
    <mergeCell ref="C1814:C1815"/>
    <mergeCell ref="C1816:C1819"/>
    <mergeCell ref="C1821:C1823"/>
    <mergeCell ref="C1825:C1828"/>
    <mergeCell ref="C1829:C1832"/>
    <mergeCell ref="C1833:C1838"/>
    <mergeCell ref="C1839:C1849"/>
    <mergeCell ref="C1850:C1856"/>
    <mergeCell ref="C1857:C1859"/>
    <mergeCell ref="C1860:C1862"/>
    <mergeCell ref="C1863:C1865"/>
    <mergeCell ref="C1867:C1872"/>
    <mergeCell ref="C1873:C1880"/>
    <mergeCell ref="C1881:C1886"/>
    <mergeCell ref="C1888:C1893"/>
    <mergeCell ref="C1894:C1901"/>
    <mergeCell ref="C1902:C1907"/>
    <mergeCell ref="C1908:C1911"/>
    <mergeCell ref="C1912:C1915"/>
    <mergeCell ref="C1916:C1919"/>
    <mergeCell ref="C1920:C1922"/>
    <mergeCell ref="C1923:C1925"/>
    <mergeCell ref="C1926:C1928"/>
    <mergeCell ref="C1929:C1931"/>
    <mergeCell ref="C1932:C1934"/>
    <mergeCell ref="C1935:C1937"/>
    <mergeCell ref="C1938:C1940"/>
    <mergeCell ref="C1941:C1943"/>
    <mergeCell ref="C1944:C1946"/>
    <mergeCell ref="C1947:C1950"/>
    <mergeCell ref="C1951:C1954"/>
    <mergeCell ref="C1955:C1957"/>
    <mergeCell ref="C1958:C1960"/>
    <mergeCell ref="C1961:C1964"/>
    <mergeCell ref="C1965:C1967"/>
    <mergeCell ref="C1968:C1970"/>
    <mergeCell ref="C1971:C1973"/>
    <mergeCell ref="C1974:C1976"/>
    <mergeCell ref="C1977:C1979"/>
    <mergeCell ref="C1980:C1982"/>
    <mergeCell ref="C1983:C1986"/>
    <mergeCell ref="C1987:C1990"/>
    <mergeCell ref="C1991:C1995"/>
    <mergeCell ref="C1996:C2023"/>
    <mergeCell ref="C2026:C2028"/>
    <mergeCell ref="C2029:C2034"/>
    <mergeCell ref="C2035:C2046"/>
    <mergeCell ref="C2047:C2064"/>
    <mergeCell ref="C2065:C2073"/>
    <mergeCell ref="C2074:C2076"/>
    <mergeCell ref="C2078:C2081"/>
    <mergeCell ref="C2082:C2086"/>
    <mergeCell ref="C2087:C2091"/>
    <mergeCell ref="C2092:C2096"/>
    <mergeCell ref="C2097:C2101"/>
    <mergeCell ref="C2102:C2105"/>
    <mergeCell ref="C2106:C2113"/>
    <mergeCell ref="C2114:C2116"/>
    <mergeCell ref="C2117:C2144"/>
    <mergeCell ref="C2145:C2153"/>
    <mergeCell ref="C2154:C2161"/>
    <mergeCell ref="C2162:C2169"/>
    <mergeCell ref="C2170:C2177"/>
    <mergeCell ref="C2178:C2180"/>
    <mergeCell ref="C2181:C2184"/>
    <mergeCell ref="C2185:C2192"/>
    <mergeCell ref="C2194:C2236"/>
    <mergeCell ref="C2237:C2241"/>
    <mergeCell ref="C2242:C2296"/>
    <mergeCell ref="C2297:C2303"/>
    <mergeCell ref="C2304:C2308"/>
    <mergeCell ref="C2309:C2311"/>
    <mergeCell ref="C2312:C2315"/>
    <mergeCell ref="C2316:C2318"/>
    <mergeCell ref="C2319:C2321"/>
    <mergeCell ref="C2325:C2328"/>
    <mergeCell ref="C2329:C2335"/>
    <mergeCell ref="C2336:C2344"/>
    <mergeCell ref="C2345:C2347"/>
    <mergeCell ref="C2348:C2351"/>
    <mergeCell ref="C2352:C2359"/>
    <mergeCell ref="C2360:C2363"/>
    <mergeCell ref="C2364:C2370"/>
    <mergeCell ref="C2371:C2374"/>
    <mergeCell ref="C2375:C2378"/>
    <mergeCell ref="C2380:C2383"/>
    <mergeCell ref="C2385:C2395"/>
    <mergeCell ref="C2396:C2397"/>
    <mergeCell ref="C2399:C2413"/>
    <mergeCell ref="C2415:C2421"/>
    <mergeCell ref="C2422:C2434"/>
    <mergeCell ref="C2435:C2440"/>
    <mergeCell ref="C2441:C2445"/>
    <mergeCell ref="C2446:C2447"/>
    <mergeCell ref="C2448:C2449"/>
    <mergeCell ref="C2450:C2453"/>
    <mergeCell ref="C2454:C2455"/>
    <mergeCell ref="C2456:C2469"/>
    <mergeCell ref="C2470:C2474"/>
    <mergeCell ref="C2475:C2476"/>
    <mergeCell ref="C2478:C2482"/>
    <mergeCell ref="C2483:C2489"/>
    <mergeCell ref="C2490:C2494"/>
    <mergeCell ref="C2495:C2499"/>
    <mergeCell ref="C2500:C2504"/>
    <mergeCell ref="C2505:C2508"/>
    <mergeCell ref="C2509:C2512"/>
    <mergeCell ref="C2513:C2516"/>
    <mergeCell ref="C2520:C2523"/>
    <mergeCell ref="C2524:C2527"/>
    <mergeCell ref="C2528:C2530"/>
    <mergeCell ref="C2531:C2533"/>
    <mergeCell ref="C2534:C2536"/>
    <mergeCell ref="C2537:C2539"/>
    <mergeCell ref="C2540:C2542"/>
    <mergeCell ref="C2543:C2545"/>
    <mergeCell ref="C2546:C2548"/>
    <mergeCell ref="C2549:C2551"/>
    <mergeCell ref="C2552:C2554"/>
    <mergeCell ref="C2555:C2557"/>
    <mergeCell ref="C2558:C2618"/>
    <mergeCell ref="C2619:C2621"/>
    <mergeCell ref="C2622:C2629"/>
    <mergeCell ref="C2630:C2636"/>
    <mergeCell ref="C2637:C2643"/>
    <mergeCell ref="C2644:C2650"/>
    <mergeCell ref="C2651:C2658"/>
    <mergeCell ref="C2659:C2662"/>
    <mergeCell ref="C2663:C2668"/>
    <mergeCell ref="C2669:C2670"/>
    <mergeCell ref="C2671:C2677"/>
    <mergeCell ref="C2678:C2681"/>
    <mergeCell ref="C2682:C2685"/>
    <mergeCell ref="C2686:C2688"/>
    <mergeCell ref="C2689:C2697"/>
    <mergeCell ref="C2698:C2702"/>
    <mergeCell ref="C2703:C2705"/>
    <mergeCell ref="C2707:C2708"/>
    <mergeCell ref="C2709:C2712"/>
    <mergeCell ref="C2713:C2718"/>
    <mergeCell ref="C2719:C2721"/>
    <mergeCell ref="D5:D29"/>
    <mergeCell ref="D30:D34"/>
    <mergeCell ref="D35:D38"/>
    <mergeCell ref="D39:D40"/>
    <mergeCell ref="D41:D44"/>
    <mergeCell ref="D45:D48"/>
    <mergeCell ref="D49:D51"/>
    <mergeCell ref="D52:D55"/>
    <mergeCell ref="D56:D59"/>
    <mergeCell ref="D60:D65"/>
    <mergeCell ref="D66:D77"/>
    <mergeCell ref="D78:D80"/>
    <mergeCell ref="D81:D84"/>
    <mergeCell ref="D86:D87"/>
    <mergeCell ref="D90:D96"/>
    <mergeCell ref="D97:D103"/>
    <mergeCell ref="D104:D130"/>
    <mergeCell ref="D131:D134"/>
    <mergeCell ref="D135:D137"/>
    <mergeCell ref="D138:D143"/>
    <mergeCell ref="D144:D149"/>
    <mergeCell ref="D150:D153"/>
    <mergeCell ref="D154:D159"/>
    <mergeCell ref="D160:D164"/>
    <mergeCell ref="D168:D171"/>
    <mergeCell ref="D172:D174"/>
    <mergeCell ref="D175:D177"/>
    <mergeCell ref="D178:D181"/>
    <mergeCell ref="D182:D188"/>
    <mergeCell ref="D189:D190"/>
    <mergeCell ref="D191:D194"/>
    <mergeCell ref="D195:D199"/>
    <mergeCell ref="D203:D206"/>
    <mergeCell ref="D209:D210"/>
    <mergeCell ref="D213:D216"/>
    <mergeCell ref="D218:D221"/>
    <mergeCell ref="D222:D223"/>
    <mergeCell ref="D224:D227"/>
    <mergeCell ref="D228:D230"/>
    <mergeCell ref="D231:D234"/>
    <mergeCell ref="D235:D239"/>
    <mergeCell ref="D240:D247"/>
    <mergeCell ref="D248:D249"/>
    <mergeCell ref="D250:D253"/>
    <mergeCell ref="D254:D257"/>
    <mergeCell ref="D258:D259"/>
    <mergeCell ref="D260:D261"/>
    <mergeCell ref="D262:D267"/>
    <mergeCell ref="D268:D269"/>
    <mergeCell ref="D271:D273"/>
    <mergeCell ref="D274:D276"/>
    <mergeCell ref="D278:D282"/>
    <mergeCell ref="D283:D286"/>
    <mergeCell ref="D287:D289"/>
    <mergeCell ref="D290:D292"/>
    <mergeCell ref="D293:D297"/>
    <mergeCell ref="D298:D301"/>
    <mergeCell ref="D302:D303"/>
    <mergeCell ref="D304:D313"/>
    <mergeCell ref="D314:D321"/>
    <mergeCell ref="D322:D330"/>
    <mergeCell ref="D332:D336"/>
    <mergeCell ref="D337:D339"/>
    <mergeCell ref="D340:D343"/>
    <mergeCell ref="D344:D365"/>
    <mergeCell ref="D366:D383"/>
    <mergeCell ref="D384:D389"/>
    <mergeCell ref="D390:D396"/>
    <mergeCell ref="D397:D402"/>
    <mergeCell ref="D403:D408"/>
    <mergeCell ref="D409:D414"/>
    <mergeCell ref="D415:D426"/>
    <mergeCell ref="D427:D429"/>
    <mergeCell ref="D431:D433"/>
    <mergeCell ref="D434:D436"/>
    <mergeCell ref="D437:D440"/>
    <mergeCell ref="D441:D442"/>
    <mergeCell ref="D443:D444"/>
    <mergeCell ref="D445:D449"/>
    <mergeCell ref="D450:D451"/>
    <mergeCell ref="D452:D453"/>
    <mergeCell ref="D454:D455"/>
    <mergeCell ref="D456:D457"/>
    <mergeCell ref="D458:D460"/>
    <mergeCell ref="D461:D468"/>
    <mergeCell ref="D469:D472"/>
    <mergeCell ref="D473:D476"/>
    <mergeCell ref="D477:D480"/>
    <mergeCell ref="D481:D484"/>
    <mergeCell ref="D485:D488"/>
    <mergeCell ref="D489:D491"/>
    <mergeCell ref="D492:D497"/>
    <mergeCell ref="D500:D502"/>
    <mergeCell ref="D503:D505"/>
    <mergeCell ref="D506:D508"/>
    <mergeCell ref="D509:D524"/>
    <mergeCell ref="D525:D528"/>
    <mergeCell ref="D532:D537"/>
    <mergeCell ref="D538:D540"/>
    <mergeCell ref="D541:D547"/>
    <mergeCell ref="D548:D550"/>
    <mergeCell ref="D551:D554"/>
    <mergeCell ref="D555:D559"/>
    <mergeCell ref="D561:D564"/>
    <mergeCell ref="D566:D588"/>
    <mergeCell ref="D589:D592"/>
    <mergeCell ref="D593:D594"/>
    <mergeCell ref="D595:D599"/>
    <mergeCell ref="D600:D602"/>
    <mergeCell ref="D604:D613"/>
    <mergeCell ref="D614:D615"/>
    <mergeCell ref="D616:D618"/>
    <mergeCell ref="D619:D620"/>
    <mergeCell ref="D621:D624"/>
    <mergeCell ref="D625:D628"/>
    <mergeCell ref="D629:D630"/>
    <mergeCell ref="D631:D639"/>
    <mergeCell ref="D640:D642"/>
    <mergeCell ref="D643:D646"/>
    <mergeCell ref="D647:D650"/>
    <mergeCell ref="D652:D657"/>
    <mergeCell ref="D658:D674"/>
    <mergeCell ref="D675:D680"/>
    <mergeCell ref="D681:D685"/>
    <mergeCell ref="D686:D688"/>
    <mergeCell ref="D689:D694"/>
    <mergeCell ref="D695:D704"/>
    <mergeCell ref="D705:D711"/>
    <mergeCell ref="D712:D794"/>
    <mergeCell ref="D795:D815"/>
    <mergeCell ref="D816:D836"/>
    <mergeCell ref="D837:D867"/>
    <mergeCell ref="D868:D871"/>
    <mergeCell ref="D872:D874"/>
    <mergeCell ref="D875:D877"/>
    <mergeCell ref="D878:D880"/>
    <mergeCell ref="D881:D941"/>
    <mergeCell ref="D942:D947"/>
    <mergeCell ref="D948:D950"/>
    <mergeCell ref="D951:D958"/>
    <mergeCell ref="D959:D964"/>
    <mergeCell ref="D965:D967"/>
    <mergeCell ref="D968:D970"/>
    <mergeCell ref="D971:D973"/>
    <mergeCell ref="D974:D976"/>
    <mergeCell ref="D977:D981"/>
    <mergeCell ref="D982:D986"/>
    <mergeCell ref="D987:D992"/>
    <mergeCell ref="D993:D998"/>
    <mergeCell ref="D999:D1027"/>
    <mergeCell ref="D1028:D1031"/>
    <mergeCell ref="D1032:D1064"/>
    <mergeCell ref="D1065:D1092"/>
    <mergeCell ref="D1093:D1120"/>
    <mergeCell ref="D1121:D1126"/>
    <mergeCell ref="D1127:D1128"/>
    <mergeCell ref="D1129:D1132"/>
    <mergeCell ref="D1133:D1134"/>
    <mergeCell ref="D1135:D1136"/>
    <mergeCell ref="D1137:D1138"/>
    <mergeCell ref="D1139:D1144"/>
    <mergeCell ref="D1145:D1174"/>
    <mergeCell ref="D1175:D1213"/>
    <mergeCell ref="D1214:D1252"/>
    <mergeCell ref="D1253:D1285"/>
    <mergeCell ref="D1286:D1320"/>
    <mergeCell ref="D1321:D1347"/>
    <mergeCell ref="D1348:D1376"/>
    <mergeCell ref="D1377:D1384"/>
    <mergeCell ref="D1385:D1411"/>
    <mergeCell ref="D1412:D1445"/>
    <mergeCell ref="D1446:D1450"/>
    <mergeCell ref="D1451:D1456"/>
    <mergeCell ref="D1457:D1459"/>
    <mergeCell ref="D1460:D1463"/>
    <mergeCell ref="D1464:D1466"/>
    <mergeCell ref="D1467:D1469"/>
    <mergeCell ref="D1470:D1475"/>
    <mergeCell ref="D1476:D1478"/>
    <mergeCell ref="D1479:D1482"/>
    <mergeCell ref="D1483:D1486"/>
    <mergeCell ref="D1487:D1491"/>
    <mergeCell ref="D1492:D1497"/>
    <mergeCell ref="D1498:D1500"/>
    <mergeCell ref="D1501:D1504"/>
    <mergeCell ref="D1505:D1508"/>
    <mergeCell ref="D1509:D1513"/>
    <mergeCell ref="D1514:D1519"/>
    <mergeCell ref="D1524:D1525"/>
    <mergeCell ref="D1526:D1528"/>
    <mergeCell ref="D1529:D1530"/>
    <mergeCell ref="D1531:D1539"/>
    <mergeCell ref="D1540:D1545"/>
    <mergeCell ref="D1547:D1554"/>
    <mergeCell ref="D1555:D1560"/>
    <mergeCell ref="D1561:D1565"/>
    <mergeCell ref="D1566:D1569"/>
    <mergeCell ref="D1570:D1576"/>
    <mergeCell ref="D1577:D1582"/>
    <mergeCell ref="D1583:D1598"/>
    <mergeCell ref="D1599:D1601"/>
    <mergeCell ref="D1602:D1603"/>
    <mergeCell ref="D1604:D1606"/>
    <mergeCell ref="D1607:D1613"/>
    <mergeCell ref="D1614:D1617"/>
    <mergeCell ref="D1618:D1621"/>
    <mergeCell ref="D1623:D1624"/>
    <mergeCell ref="D1625:D1627"/>
    <mergeCell ref="D1628:D1632"/>
    <mergeCell ref="D1633:D1636"/>
    <mergeCell ref="D1637:D1645"/>
    <mergeCell ref="D1646:D1650"/>
    <mergeCell ref="D1651:D1664"/>
    <mergeCell ref="D1665:D1668"/>
    <mergeCell ref="D1669:D1671"/>
    <mergeCell ref="D1672:D1678"/>
    <mergeCell ref="D1679:D1680"/>
    <mergeCell ref="D1681:D1684"/>
    <mergeCell ref="D1685:D1687"/>
    <mergeCell ref="D1688:D1689"/>
    <mergeCell ref="D1690:D1697"/>
    <mergeCell ref="D1698:D1700"/>
    <mergeCell ref="D1701:D1706"/>
    <mergeCell ref="D1708:D1709"/>
    <mergeCell ref="D1710:D1714"/>
    <mergeCell ref="D1716:D1719"/>
    <mergeCell ref="D1720:D1723"/>
    <mergeCell ref="D1724:D1728"/>
    <mergeCell ref="D1731:D1733"/>
    <mergeCell ref="D1736:D1738"/>
    <mergeCell ref="D1743:D1745"/>
    <mergeCell ref="D1746:D1748"/>
    <mergeCell ref="D1749:D1750"/>
    <mergeCell ref="D1751:D1757"/>
    <mergeCell ref="D1758:D1762"/>
    <mergeCell ref="D1763:D1765"/>
    <mergeCell ref="D1766:D1770"/>
    <mergeCell ref="D1771:D1772"/>
    <mergeCell ref="D1773:D1775"/>
    <mergeCell ref="D1777:D1780"/>
    <mergeCell ref="D1781:D1784"/>
    <mergeCell ref="D1785:D1787"/>
    <mergeCell ref="D1788:D1790"/>
    <mergeCell ref="D1791:D1792"/>
    <mergeCell ref="D1793:D1795"/>
    <mergeCell ref="D1800:D1801"/>
    <mergeCell ref="D1803:D1808"/>
    <mergeCell ref="D1809:D1813"/>
    <mergeCell ref="D1814:D1815"/>
    <mergeCell ref="D1816:D1819"/>
    <mergeCell ref="D1821:D1823"/>
    <mergeCell ref="D1825:D1828"/>
    <mergeCell ref="D1829:D1832"/>
    <mergeCell ref="D1833:D1838"/>
    <mergeCell ref="D1839:D1849"/>
    <mergeCell ref="D1850:D1856"/>
    <mergeCell ref="D1857:D1859"/>
    <mergeCell ref="D1860:D1862"/>
    <mergeCell ref="D1863:D1865"/>
    <mergeCell ref="D1867:D1872"/>
    <mergeCell ref="D1873:D1880"/>
    <mergeCell ref="D1881:D1886"/>
    <mergeCell ref="D1888:D1893"/>
    <mergeCell ref="D1894:D1901"/>
    <mergeCell ref="D1902:D1907"/>
    <mergeCell ref="D1908:D1911"/>
    <mergeCell ref="D1912:D1915"/>
    <mergeCell ref="D1916:D1919"/>
    <mergeCell ref="D1920:D1946"/>
    <mergeCell ref="D1947:D1950"/>
    <mergeCell ref="D1951:D1954"/>
    <mergeCell ref="D1955:D1982"/>
    <mergeCell ref="D1983:D1986"/>
    <mergeCell ref="D1987:D1990"/>
    <mergeCell ref="D1991:D1995"/>
    <mergeCell ref="D1996:D2023"/>
    <mergeCell ref="D2026:D2028"/>
    <mergeCell ref="D2029:D2105"/>
    <mergeCell ref="D2106:D2113"/>
    <mergeCell ref="D2114:D2116"/>
    <mergeCell ref="D2117:D2144"/>
    <mergeCell ref="D2145:D2153"/>
    <mergeCell ref="D2154:D2161"/>
    <mergeCell ref="D2162:D2169"/>
    <mergeCell ref="D2170:D2177"/>
    <mergeCell ref="D2178:D2180"/>
    <mergeCell ref="D2181:D2184"/>
    <mergeCell ref="D2185:D2192"/>
    <mergeCell ref="D2194:D2236"/>
    <mergeCell ref="D2237:D2241"/>
    <mergeCell ref="D2242:D2296"/>
    <mergeCell ref="D2297:D2303"/>
    <mergeCell ref="D2304:D2308"/>
    <mergeCell ref="D2309:D2311"/>
    <mergeCell ref="D2312:D2315"/>
    <mergeCell ref="D2316:D2318"/>
    <mergeCell ref="D2319:D2321"/>
    <mergeCell ref="D2325:D2328"/>
    <mergeCell ref="D2329:D2335"/>
    <mergeCell ref="D2336:D2344"/>
    <mergeCell ref="D2345:D2347"/>
    <mergeCell ref="D2348:D2351"/>
    <mergeCell ref="D2352:D2359"/>
    <mergeCell ref="D2360:D2363"/>
    <mergeCell ref="D2364:D2370"/>
    <mergeCell ref="D2371:D2374"/>
    <mergeCell ref="D2375:D2378"/>
    <mergeCell ref="D2380:D2383"/>
    <mergeCell ref="D2385:D2395"/>
    <mergeCell ref="D2396:D2397"/>
    <mergeCell ref="D2399:D2413"/>
    <mergeCell ref="D2415:D2421"/>
    <mergeCell ref="D2422:D2434"/>
    <mergeCell ref="D2435:D2440"/>
    <mergeCell ref="D2441:D2445"/>
    <mergeCell ref="D2446:D2447"/>
    <mergeCell ref="D2448:D2449"/>
    <mergeCell ref="D2450:D2453"/>
    <mergeCell ref="D2454:D2455"/>
    <mergeCell ref="D2456:D2469"/>
    <mergeCell ref="D2470:D2474"/>
    <mergeCell ref="D2475:D2476"/>
    <mergeCell ref="D2478:D2557"/>
    <mergeCell ref="D2558:D2618"/>
    <mergeCell ref="D2619:D2621"/>
    <mergeCell ref="D2622:D2629"/>
    <mergeCell ref="D2630:D2636"/>
    <mergeCell ref="D2637:D2643"/>
    <mergeCell ref="D2644:D2650"/>
    <mergeCell ref="D2651:D2658"/>
    <mergeCell ref="D2659:D2662"/>
    <mergeCell ref="D2663:D2668"/>
    <mergeCell ref="D2669:D2670"/>
    <mergeCell ref="D2671:D2677"/>
    <mergeCell ref="D2678:D2681"/>
    <mergeCell ref="D2682:D2685"/>
    <mergeCell ref="D2686:D2688"/>
    <mergeCell ref="D2689:D2697"/>
    <mergeCell ref="D2698:D2702"/>
    <mergeCell ref="D2703:D2705"/>
    <mergeCell ref="D2707:D2708"/>
    <mergeCell ref="D2709:D2712"/>
    <mergeCell ref="D2713:D2718"/>
    <mergeCell ref="D2719:D2721"/>
    <mergeCell ref="E5:E29"/>
    <mergeCell ref="E30:E34"/>
    <mergeCell ref="E35:E38"/>
    <mergeCell ref="E39:E40"/>
    <mergeCell ref="E41:E44"/>
    <mergeCell ref="E45:E48"/>
    <mergeCell ref="E49:E51"/>
    <mergeCell ref="E52:E55"/>
    <mergeCell ref="E56:E59"/>
    <mergeCell ref="E60:E65"/>
    <mergeCell ref="E66:E77"/>
    <mergeCell ref="E78:E80"/>
    <mergeCell ref="E81:E84"/>
    <mergeCell ref="E86:E87"/>
    <mergeCell ref="E90:E96"/>
    <mergeCell ref="E97:E103"/>
    <mergeCell ref="E104:E130"/>
    <mergeCell ref="E131:E134"/>
    <mergeCell ref="E135:E137"/>
    <mergeCell ref="E138:E143"/>
    <mergeCell ref="E144:E149"/>
    <mergeCell ref="E150:E153"/>
    <mergeCell ref="E154:E159"/>
    <mergeCell ref="E160:E164"/>
    <mergeCell ref="E168:E171"/>
    <mergeCell ref="E172:E174"/>
    <mergeCell ref="E175:E177"/>
    <mergeCell ref="E178:E181"/>
    <mergeCell ref="E182:E188"/>
    <mergeCell ref="E189:E190"/>
    <mergeCell ref="E191:E194"/>
    <mergeCell ref="E195:E199"/>
    <mergeCell ref="E203:E206"/>
    <mergeCell ref="E209:E210"/>
    <mergeCell ref="E213:E216"/>
    <mergeCell ref="E218:E221"/>
    <mergeCell ref="E222:E223"/>
    <mergeCell ref="E224:E227"/>
    <mergeCell ref="E228:E230"/>
    <mergeCell ref="E231:E234"/>
    <mergeCell ref="E235:E239"/>
    <mergeCell ref="E240:E247"/>
    <mergeCell ref="E248:E249"/>
    <mergeCell ref="E250:E253"/>
    <mergeCell ref="E254:E255"/>
    <mergeCell ref="E258:E259"/>
    <mergeCell ref="E260:E261"/>
    <mergeCell ref="E262:E267"/>
    <mergeCell ref="E268:E269"/>
    <mergeCell ref="E271:E273"/>
    <mergeCell ref="E274:E276"/>
    <mergeCell ref="E278:E282"/>
    <mergeCell ref="E283:E286"/>
    <mergeCell ref="E293:E297"/>
    <mergeCell ref="E298:E301"/>
    <mergeCell ref="E302:E303"/>
    <mergeCell ref="E304:E313"/>
    <mergeCell ref="E314:E330"/>
    <mergeCell ref="E332:E336"/>
    <mergeCell ref="E337:E339"/>
    <mergeCell ref="E340:E343"/>
    <mergeCell ref="E344:E365"/>
    <mergeCell ref="E366:E383"/>
    <mergeCell ref="E384:E389"/>
    <mergeCell ref="E390:E396"/>
    <mergeCell ref="E397:E402"/>
    <mergeCell ref="E403:E408"/>
    <mergeCell ref="E409:E414"/>
    <mergeCell ref="E415:E420"/>
    <mergeCell ref="E421:E426"/>
    <mergeCell ref="E427:E429"/>
    <mergeCell ref="E431:E433"/>
    <mergeCell ref="E434:E436"/>
    <mergeCell ref="E437:E440"/>
    <mergeCell ref="E441:E442"/>
    <mergeCell ref="E443:E444"/>
    <mergeCell ref="E445:E449"/>
    <mergeCell ref="E450:E451"/>
    <mergeCell ref="E452:E453"/>
    <mergeCell ref="E454:E455"/>
    <mergeCell ref="E456:E457"/>
    <mergeCell ref="E458:E460"/>
    <mergeCell ref="E461:E468"/>
    <mergeCell ref="E469:E472"/>
    <mergeCell ref="E473:E476"/>
    <mergeCell ref="E477:E480"/>
    <mergeCell ref="E481:E484"/>
    <mergeCell ref="E485:E488"/>
    <mergeCell ref="E489:E491"/>
    <mergeCell ref="E492:E497"/>
    <mergeCell ref="E500:E502"/>
    <mergeCell ref="E503:E505"/>
    <mergeCell ref="E506:E508"/>
    <mergeCell ref="E509:E524"/>
    <mergeCell ref="E525:E528"/>
    <mergeCell ref="E532:E537"/>
    <mergeCell ref="E538:E540"/>
    <mergeCell ref="E541:E547"/>
    <mergeCell ref="E548:E550"/>
    <mergeCell ref="E551:E554"/>
    <mergeCell ref="E555:E559"/>
    <mergeCell ref="E561:E564"/>
    <mergeCell ref="E566:E588"/>
    <mergeCell ref="E589:E592"/>
    <mergeCell ref="E593:E594"/>
    <mergeCell ref="E595:E598"/>
    <mergeCell ref="E600:E602"/>
    <mergeCell ref="E604:E613"/>
    <mergeCell ref="E614:E615"/>
    <mergeCell ref="E616:E618"/>
    <mergeCell ref="E619:E620"/>
    <mergeCell ref="E621:E624"/>
    <mergeCell ref="E625:E628"/>
    <mergeCell ref="E629:E630"/>
    <mergeCell ref="E631:E639"/>
    <mergeCell ref="E640:E642"/>
    <mergeCell ref="E643:E646"/>
    <mergeCell ref="E647:E650"/>
    <mergeCell ref="E652:E657"/>
    <mergeCell ref="E658:E674"/>
    <mergeCell ref="E675:E680"/>
    <mergeCell ref="E681:E685"/>
    <mergeCell ref="E686:E688"/>
    <mergeCell ref="E689:E694"/>
    <mergeCell ref="E695:E704"/>
    <mergeCell ref="E705:E711"/>
    <mergeCell ref="E712:E794"/>
    <mergeCell ref="E795:E815"/>
    <mergeCell ref="E816:E836"/>
    <mergeCell ref="E837:E867"/>
    <mergeCell ref="E868:E871"/>
    <mergeCell ref="E872:E874"/>
    <mergeCell ref="E875:E877"/>
    <mergeCell ref="E878:E880"/>
    <mergeCell ref="E881:E941"/>
    <mergeCell ref="E942:E947"/>
    <mergeCell ref="E948:E950"/>
    <mergeCell ref="E951:E958"/>
    <mergeCell ref="E959:E964"/>
    <mergeCell ref="E965:E967"/>
    <mergeCell ref="E968:E970"/>
    <mergeCell ref="E971:E973"/>
    <mergeCell ref="E974:E976"/>
    <mergeCell ref="E977:E981"/>
    <mergeCell ref="E982:E986"/>
    <mergeCell ref="E987:E992"/>
    <mergeCell ref="E993:E998"/>
    <mergeCell ref="E999:E1027"/>
    <mergeCell ref="E1028:E1031"/>
    <mergeCell ref="E1032:E1064"/>
    <mergeCell ref="E1065:E1092"/>
    <mergeCell ref="E1093:E1120"/>
    <mergeCell ref="E1121:E1126"/>
    <mergeCell ref="E1127:E1128"/>
    <mergeCell ref="E1129:E1132"/>
    <mergeCell ref="E1133:E1134"/>
    <mergeCell ref="E1135:E1136"/>
    <mergeCell ref="E1137:E1138"/>
    <mergeCell ref="E1139:E1144"/>
    <mergeCell ref="E1145:E1174"/>
    <mergeCell ref="E1175:E1213"/>
    <mergeCell ref="E1214:E1252"/>
    <mergeCell ref="E1253:E1257"/>
    <mergeCell ref="E1258:E1262"/>
    <mergeCell ref="E1263:E1273"/>
    <mergeCell ref="E1274:E1278"/>
    <mergeCell ref="E1279:E1282"/>
    <mergeCell ref="E1283:E1285"/>
    <mergeCell ref="E1286:E1291"/>
    <mergeCell ref="E1292:E1299"/>
    <mergeCell ref="E1300:E1308"/>
    <mergeCell ref="E1309:E1313"/>
    <mergeCell ref="E1314:E1317"/>
    <mergeCell ref="E1318:E1320"/>
    <mergeCell ref="E1321:E1347"/>
    <mergeCell ref="E1348:E1376"/>
    <mergeCell ref="E1377:E1384"/>
    <mergeCell ref="E1385:E1411"/>
    <mergeCell ref="E1412:E1445"/>
    <mergeCell ref="E1446:E1450"/>
    <mergeCell ref="E1451:E1456"/>
    <mergeCell ref="E1457:E1459"/>
    <mergeCell ref="E1460:E1463"/>
    <mergeCell ref="E1464:E1466"/>
    <mergeCell ref="E1467:E1469"/>
    <mergeCell ref="E1470:E1475"/>
    <mergeCell ref="E1476:E1478"/>
    <mergeCell ref="E1479:E1482"/>
    <mergeCell ref="E1483:E1486"/>
    <mergeCell ref="E1487:E1491"/>
    <mergeCell ref="E1492:E1497"/>
    <mergeCell ref="E1501:E1504"/>
    <mergeCell ref="E1505:E1508"/>
    <mergeCell ref="E1509:E1513"/>
    <mergeCell ref="E1514:E1519"/>
    <mergeCell ref="E1524:E1525"/>
    <mergeCell ref="E1526:E1528"/>
    <mergeCell ref="E1529:E1530"/>
    <mergeCell ref="E1531:E1539"/>
    <mergeCell ref="E1540:E1545"/>
    <mergeCell ref="E1547:E1554"/>
    <mergeCell ref="E1555:E1560"/>
    <mergeCell ref="E1561:E1565"/>
    <mergeCell ref="E1566:E1569"/>
    <mergeCell ref="E1570:E1575"/>
    <mergeCell ref="E1577:E1582"/>
    <mergeCell ref="E1583:E1598"/>
    <mergeCell ref="E1599:E1601"/>
    <mergeCell ref="E1602:E1603"/>
    <mergeCell ref="E1604:E1606"/>
    <mergeCell ref="E1607:E1613"/>
    <mergeCell ref="E1614:E1617"/>
    <mergeCell ref="E1618:E1621"/>
    <mergeCell ref="E1623:E1624"/>
    <mergeCell ref="E1625:E1627"/>
    <mergeCell ref="E1628:E1632"/>
    <mergeCell ref="E1633:E1636"/>
    <mergeCell ref="E1637:E1645"/>
    <mergeCell ref="E1646:E1650"/>
    <mergeCell ref="E1651:E1664"/>
    <mergeCell ref="E1665:E1668"/>
    <mergeCell ref="E1669:E1671"/>
    <mergeCell ref="E1672:E1678"/>
    <mergeCell ref="E1679:E1680"/>
    <mergeCell ref="E1681:E1684"/>
    <mergeCell ref="E1685:E1687"/>
    <mergeCell ref="E1688:E1689"/>
    <mergeCell ref="E1690:E1697"/>
    <mergeCell ref="E1698:E1700"/>
    <mergeCell ref="E1701:E1706"/>
    <mergeCell ref="E1708:E1709"/>
    <mergeCell ref="E1710:E1714"/>
    <mergeCell ref="E1716:E1719"/>
    <mergeCell ref="E1720:E1723"/>
    <mergeCell ref="E1731:E1733"/>
    <mergeCell ref="E1736:E1738"/>
    <mergeCell ref="E1743:E1745"/>
    <mergeCell ref="E1746:E1748"/>
    <mergeCell ref="E1749:E1750"/>
    <mergeCell ref="E1751:E1757"/>
    <mergeCell ref="E1758:E1762"/>
    <mergeCell ref="E1763:E1765"/>
    <mergeCell ref="E1766:E1770"/>
    <mergeCell ref="E1771:E1772"/>
    <mergeCell ref="E1773:E1775"/>
    <mergeCell ref="E1777:E1780"/>
    <mergeCell ref="E1781:E1784"/>
    <mergeCell ref="E1785:E1787"/>
    <mergeCell ref="E1788:E1790"/>
    <mergeCell ref="E1791:E1792"/>
    <mergeCell ref="E1793:E1795"/>
    <mergeCell ref="E1803:E1808"/>
    <mergeCell ref="E1809:E1813"/>
    <mergeCell ref="E1814:E1815"/>
    <mergeCell ref="E1816:E1819"/>
    <mergeCell ref="E1821:E1823"/>
    <mergeCell ref="E1825:E1828"/>
    <mergeCell ref="E1829:E1832"/>
    <mergeCell ref="E1833:E1838"/>
    <mergeCell ref="E1839:E1849"/>
    <mergeCell ref="E1850:E1856"/>
    <mergeCell ref="E1857:E1859"/>
    <mergeCell ref="E1860:E1862"/>
    <mergeCell ref="E1863:E1865"/>
    <mergeCell ref="E1867:E1872"/>
    <mergeCell ref="E1873:E1880"/>
    <mergeCell ref="E1881:E1886"/>
    <mergeCell ref="E1888:E1893"/>
    <mergeCell ref="E1894:E1901"/>
    <mergeCell ref="E1902:E1907"/>
    <mergeCell ref="E1908:E1911"/>
    <mergeCell ref="E1912:E1915"/>
    <mergeCell ref="E1916:E1919"/>
    <mergeCell ref="E1920:E1946"/>
    <mergeCell ref="E1947:E1950"/>
    <mergeCell ref="E1951:E1954"/>
    <mergeCell ref="E1955:E1982"/>
    <mergeCell ref="E1983:E1986"/>
    <mergeCell ref="E1987:E1990"/>
    <mergeCell ref="E1991:E1995"/>
    <mergeCell ref="E1996:E2023"/>
    <mergeCell ref="E2026:E2028"/>
    <mergeCell ref="E2029:E2105"/>
    <mergeCell ref="E2106:E2113"/>
    <mergeCell ref="E2114:E2116"/>
    <mergeCell ref="E2117:E2144"/>
    <mergeCell ref="E2145:E2153"/>
    <mergeCell ref="E2154:E2161"/>
    <mergeCell ref="E2162:E2169"/>
    <mergeCell ref="E2170:E2177"/>
    <mergeCell ref="E2178:E2180"/>
    <mergeCell ref="E2181:E2184"/>
    <mergeCell ref="E2185:E2192"/>
    <mergeCell ref="E2194:E2236"/>
    <mergeCell ref="E2237:E2241"/>
    <mergeCell ref="E2242:E2296"/>
    <mergeCell ref="E2297:E2303"/>
    <mergeCell ref="E2304:E2308"/>
    <mergeCell ref="E2309:E2311"/>
    <mergeCell ref="E2312:E2315"/>
    <mergeCell ref="E2316:E2318"/>
    <mergeCell ref="E2319:E2321"/>
    <mergeCell ref="E2325:E2328"/>
    <mergeCell ref="E2329:E2335"/>
    <mergeCell ref="E2336:E2344"/>
    <mergeCell ref="E2345:E2347"/>
    <mergeCell ref="E2348:E2351"/>
    <mergeCell ref="E2352:E2359"/>
    <mergeCell ref="E2360:E2363"/>
    <mergeCell ref="E2364:E2370"/>
    <mergeCell ref="E2371:E2374"/>
    <mergeCell ref="E2375:E2378"/>
    <mergeCell ref="E2380:E2383"/>
    <mergeCell ref="E2385:E2395"/>
    <mergeCell ref="E2396:E2397"/>
    <mergeCell ref="E2399:E2413"/>
    <mergeCell ref="E2415:E2421"/>
    <mergeCell ref="E2422:E2434"/>
    <mergeCell ref="E2435:E2440"/>
    <mergeCell ref="E2441:E2445"/>
    <mergeCell ref="E2446:E2447"/>
    <mergeCell ref="E2448:E2449"/>
    <mergeCell ref="E2450:E2453"/>
    <mergeCell ref="E2454:E2455"/>
    <mergeCell ref="E2464:E2465"/>
    <mergeCell ref="E2470:E2474"/>
    <mergeCell ref="E2478:E2557"/>
    <mergeCell ref="E2558:E2618"/>
    <mergeCell ref="E2619:E2621"/>
    <mergeCell ref="E2622:E2629"/>
    <mergeCell ref="E2630:E2636"/>
    <mergeCell ref="E2637:E2643"/>
    <mergeCell ref="E2644:E2650"/>
    <mergeCell ref="E2651:E2658"/>
    <mergeCell ref="E2659:E2662"/>
    <mergeCell ref="E2663:E2668"/>
    <mergeCell ref="E2669:E2670"/>
    <mergeCell ref="E2671:E2677"/>
    <mergeCell ref="E2678:E2681"/>
    <mergeCell ref="E2682:E2685"/>
    <mergeCell ref="E2686:E2688"/>
    <mergeCell ref="E2689:E2697"/>
    <mergeCell ref="E2698:E2702"/>
    <mergeCell ref="E2703:E2705"/>
    <mergeCell ref="E2707:E2708"/>
    <mergeCell ref="E2709:E2712"/>
    <mergeCell ref="E2713:E2718"/>
    <mergeCell ref="E2719:E2721"/>
    <mergeCell ref="F5:F29"/>
    <mergeCell ref="F30:F34"/>
    <mergeCell ref="F35:F38"/>
    <mergeCell ref="F39:F40"/>
    <mergeCell ref="F41:F44"/>
    <mergeCell ref="F45:F48"/>
    <mergeCell ref="F49:F51"/>
    <mergeCell ref="F52:F55"/>
    <mergeCell ref="F56:F59"/>
    <mergeCell ref="F60:F65"/>
    <mergeCell ref="F66:F77"/>
    <mergeCell ref="F78:F80"/>
    <mergeCell ref="F81:F84"/>
    <mergeCell ref="F86:F87"/>
    <mergeCell ref="F90:F96"/>
    <mergeCell ref="F97:F103"/>
    <mergeCell ref="F104:F108"/>
    <mergeCell ref="F109:F112"/>
    <mergeCell ref="F113:F122"/>
    <mergeCell ref="F123:F130"/>
    <mergeCell ref="F131:F134"/>
    <mergeCell ref="F135:F137"/>
    <mergeCell ref="F138:F143"/>
    <mergeCell ref="F144:F149"/>
    <mergeCell ref="F150:F153"/>
    <mergeCell ref="F154:F159"/>
    <mergeCell ref="F160:F164"/>
    <mergeCell ref="F168:F171"/>
    <mergeCell ref="F172:F174"/>
    <mergeCell ref="F175:F177"/>
    <mergeCell ref="F178:F181"/>
    <mergeCell ref="F182:F188"/>
    <mergeCell ref="F189:F190"/>
    <mergeCell ref="F191:F194"/>
    <mergeCell ref="F195:F199"/>
    <mergeCell ref="F203:F206"/>
    <mergeCell ref="F209:F210"/>
    <mergeCell ref="F213:F216"/>
    <mergeCell ref="F218:F221"/>
    <mergeCell ref="F222:F223"/>
    <mergeCell ref="F224:F227"/>
    <mergeCell ref="F228:F230"/>
    <mergeCell ref="F231:F234"/>
    <mergeCell ref="F235:F239"/>
    <mergeCell ref="F240:F247"/>
    <mergeCell ref="F248:F249"/>
    <mergeCell ref="F250:F253"/>
    <mergeCell ref="F254:F257"/>
    <mergeCell ref="F258:F259"/>
    <mergeCell ref="F260:F261"/>
    <mergeCell ref="F262:F267"/>
    <mergeCell ref="F268:F269"/>
    <mergeCell ref="F271:F273"/>
    <mergeCell ref="F274:F276"/>
    <mergeCell ref="F278:F282"/>
    <mergeCell ref="F283:F286"/>
    <mergeCell ref="F287:F289"/>
    <mergeCell ref="F290:F292"/>
    <mergeCell ref="F293:F297"/>
    <mergeCell ref="F298:F301"/>
    <mergeCell ref="F302:F303"/>
    <mergeCell ref="F304:F313"/>
    <mergeCell ref="F314:F321"/>
    <mergeCell ref="F322:F330"/>
    <mergeCell ref="F332:F336"/>
    <mergeCell ref="F337:F339"/>
    <mergeCell ref="F340:F343"/>
    <mergeCell ref="F344:F349"/>
    <mergeCell ref="F350:F355"/>
    <mergeCell ref="F356:F365"/>
    <mergeCell ref="F366:F371"/>
    <mergeCell ref="F372:F377"/>
    <mergeCell ref="F378:F383"/>
    <mergeCell ref="F384:F389"/>
    <mergeCell ref="F390:F396"/>
    <mergeCell ref="F397:F402"/>
    <mergeCell ref="F403:F408"/>
    <mergeCell ref="F409:F414"/>
    <mergeCell ref="F415:F420"/>
    <mergeCell ref="F421:F426"/>
    <mergeCell ref="F427:F429"/>
    <mergeCell ref="F431:F433"/>
    <mergeCell ref="F434:F436"/>
    <mergeCell ref="F437:F440"/>
    <mergeCell ref="F441:F442"/>
    <mergeCell ref="F443:F444"/>
    <mergeCell ref="F445:F449"/>
    <mergeCell ref="F450:F451"/>
    <mergeCell ref="F452:F453"/>
    <mergeCell ref="F454:F455"/>
    <mergeCell ref="F456:F457"/>
    <mergeCell ref="F458:F460"/>
    <mergeCell ref="F461:F468"/>
    <mergeCell ref="F469:F472"/>
    <mergeCell ref="F473:F476"/>
    <mergeCell ref="F477:F480"/>
    <mergeCell ref="F481:F484"/>
    <mergeCell ref="F485:F488"/>
    <mergeCell ref="F489:F491"/>
    <mergeCell ref="F492:F497"/>
    <mergeCell ref="F500:F502"/>
    <mergeCell ref="F503:F505"/>
    <mergeCell ref="F506:F508"/>
    <mergeCell ref="F509:F524"/>
    <mergeCell ref="F525:F528"/>
    <mergeCell ref="F532:F537"/>
    <mergeCell ref="F538:F540"/>
    <mergeCell ref="F541:F547"/>
    <mergeCell ref="F548:F550"/>
    <mergeCell ref="F551:F554"/>
    <mergeCell ref="F555:F559"/>
    <mergeCell ref="F561:F564"/>
    <mergeCell ref="F566:F588"/>
    <mergeCell ref="F589:F592"/>
    <mergeCell ref="F593:F594"/>
    <mergeCell ref="F595:F599"/>
    <mergeCell ref="F600:F602"/>
    <mergeCell ref="F604:F613"/>
    <mergeCell ref="F614:F615"/>
    <mergeCell ref="F616:F618"/>
    <mergeCell ref="F619:F620"/>
    <mergeCell ref="F621:F624"/>
    <mergeCell ref="F625:F628"/>
    <mergeCell ref="F629:F630"/>
    <mergeCell ref="F631:F639"/>
    <mergeCell ref="F640:F642"/>
    <mergeCell ref="F643:F646"/>
    <mergeCell ref="F647:F650"/>
    <mergeCell ref="F652:F657"/>
    <mergeCell ref="F658:F674"/>
    <mergeCell ref="F675:F680"/>
    <mergeCell ref="F681:F685"/>
    <mergeCell ref="F686:F688"/>
    <mergeCell ref="F689:F694"/>
    <mergeCell ref="F695:F704"/>
    <mergeCell ref="F705:F711"/>
    <mergeCell ref="F712:F794"/>
    <mergeCell ref="F795:F815"/>
    <mergeCell ref="F816:F836"/>
    <mergeCell ref="F837:F867"/>
    <mergeCell ref="F868:F871"/>
    <mergeCell ref="F872:F874"/>
    <mergeCell ref="F875:F877"/>
    <mergeCell ref="F878:F880"/>
    <mergeCell ref="F881:F941"/>
    <mergeCell ref="F942:F947"/>
    <mergeCell ref="F948:F950"/>
    <mergeCell ref="F951:F958"/>
    <mergeCell ref="F959:F964"/>
    <mergeCell ref="F965:F967"/>
    <mergeCell ref="F968:F970"/>
    <mergeCell ref="F971:F973"/>
    <mergeCell ref="F974:F976"/>
    <mergeCell ref="F977:F981"/>
    <mergeCell ref="F982:F986"/>
    <mergeCell ref="F987:F992"/>
    <mergeCell ref="F993:F998"/>
    <mergeCell ref="F999:F1027"/>
    <mergeCell ref="F1028:F1031"/>
    <mergeCell ref="F1032:F1064"/>
    <mergeCell ref="F1065:F1092"/>
    <mergeCell ref="F1093:F1120"/>
    <mergeCell ref="F1121:F1126"/>
    <mergeCell ref="F1127:F1128"/>
    <mergeCell ref="F1129:F1132"/>
    <mergeCell ref="F1133:F1134"/>
    <mergeCell ref="F1135:F1136"/>
    <mergeCell ref="F1137:F1138"/>
    <mergeCell ref="F1139:F1144"/>
    <mergeCell ref="F1145:F1149"/>
    <mergeCell ref="F1150:F1159"/>
    <mergeCell ref="F1160:F1164"/>
    <mergeCell ref="F1165:F1167"/>
    <mergeCell ref="F1168:F1171"/>
    <mergeCell ref="F1172:F1174"/>
    <mergeCell ref="F1175:F1179"/>
    <mergeCell ref="F1180:F1189"/>
    <mergeCell ref="F1190:F1200"/>
    <mergeCell ref="F1201:F1205"/>
    <mergeCell ref="F1206:F1210"/>
    <mergeCell ref="F1211:F1213"/>
    <mergeCell ref="F1214:F1218"/>
    <mergeCell ref="F1219:F1226"/>
    <mergeCell ref="F1227:F1239"/>
    <mergeCell ref="F1240:F1245"/>
    <mergeCell ref="F1246:F1249"/>
    <mergeCell ref="F1250:F1252"/>
    <mergeCell ref="F1253:F1257"/>
    <mergeCell ref="F1258:F1262"/>
    <mergeCell ref="F1263:F1273"/>
    <mergeCell ref="F1274:F1278"/>
    <mergeCell ref="F1279:F1282"/>
    <mergeCell ref="F1283:F1285"/>
    <mergeCell ref="F1286:F1291"/>
    <mergeCell ref="F1292:F1299"/>
    <mergeCell ref="F1300:F1308"/>
    <mergeCell ref="F1309:F1313"/>
    <mergeCell ref="F1314:F1317"/>
    <mergeCell ref="F1318:F1320"/>
    <mergeCell ref="F1321:F1325"/>
    <mergeCell ref="F1326:F1330"/>
    <mergeCell ref="F1331:F1336"/>
    <mergeCell ref="F1337:F1340"/>
    <mergeCell ref="F1341:F1343"/>
    <mergeCell ref="F1344:F1347"/>
    <mergeCell ref="F1348:F1354"/>
    <mergeCell ref="F1355:F1363"/>
    <mergeCell ref="F1364:F1369"/>
    <mergeCell ref="F1370:F1373"/>
    <mergeCell ref="F1374:F1376"/>
    <mergeCell ref="F1377:F1381"/>
    <mergeCell ref="F1382:F1384"/>
    <mergeCell ref="F1385:F1389"/>
    <mergeCell ref="F1390:F1394"/>
    <mergeCell ref="F1395:F1399"/>
    <mergeCell ref="F1400:F1404"/>
    <mergeCell ref="F1405:F1408"/>
    <mergeCell ref="F1409:F1411"/>
    <mergeCell ref="F1412:F1416"/>
    <mergeCell ref="F1417:F1424"/>
    <mergeCell ref="F1425:F1429"/>
    <mergeCell ref="F1430:F1434"/>
    <mergeCell ref="F1435:F1438"/>
    <mergeCell ref="F1439:F1441"/>
    <mergeCell ref="F1442:F1445"/>
    <mergeCell ref="F1446:F1450"/>
    <mergeCell ref="F1451:F1456"/>
    <mergeCell ref="F1457:F1459"/>
    <mergeCell ref="F1460:F1463"/>
    <mergeCell ref="F1464:F1466"/>
    <mergeCell ref="F1467:F1469"/>
    <mergeCell ref="F1470:F1475"/>
    <mergeCell ref="F1476:F1478"/>
    <mergeCell ref="F1479:F1482"/>
    <mergeCell ref="F1483:F1486"/>
    <mergeCell ref="F1487:F1491"/>
    <mergeCell ref="F1492:F1497"/>
    <mergeCell ref="F1498:F1500"/>
    <mergeCell ref="F1501:F1504"/>
    <mergeCell ref="F1505:F1508"/>
    <mergeCell ref="F1509:F1513"/>
    <mergeCell ref="F1514:F1519"/>
    <mergeCell ref="F1524:F1525"/>
    <mergeCell ref="F1526:F1528"/>
    <mergeCell ref="F1529:F1530"/>
    <mergeCell ref="F1531:F1539"/>
    <mergeCell ref="F1540:F1545"/>
    <mergeCell ref="F1547:F1554"/>
    <mergeCell ref="F1555:F1560"/>
    <mergeCell ref="F1561:F1565"/>
    <mergeCell ref="F1566:F1569"/>
    <mergeCell ref="F1570:F1576"/>
    <mergeCell ref="F1577:F1582"/>
    <mergeCell ref="F1583:F1598"/>
    <mergeCell ref="F1599:F1601"/>
    <mergeCell ref="F1602:F1603"/>
    <mergeCell ref="F1604:F1606"/>
    <mergeCell ref="F1607:F1613"/>
    <mergeCell ref="F1614:F1617"/>
    <mergeCell ref="F1618:F1621"/>
    <mergeCell ref="F1623:F1624"/>
    <mergeCell ref="F1625:F1627"/>
    <mergeCell ref="F1628:F1632"/>
    <mergeCell ref="F1633:F1636"/>
    <mergeCell ref="F1637:F1645"/>
    <mergeCell ref="F1646:F1650"/>
    <mergeCell ref="F1651:F1664"/>
    <mergeCell ref="F1665:F1668"/>
    <mergeCell ref="F1669:F1671"/>
    <mergeCell ref="F1672:F1678"/>
    <mergeCell ref="F1679:F1680"/>
    <mergeCell ref="F1681:F1684"/>
    <mergeCell ref="F1685:F1687"/>
    <mergeCell ref="F1688:F1689"/>
    <mergeCell ref="F1690:F1697"/>
    <mergeCell ref="F1698:F1700"/>
    <mergeCell ref="F1701:F1706"/>
    <mergeCell ref="F1708:F1709"/>
    <mergeCell ref="F1710:F1714"/>
    <mergeCell ref="F1716:F1719"/>
    <mergeCell ref="F1720:F1723"/>
    <mergeCell ref="F1731:F1733"/>
    <mergeCell ref="F1736:F1738"/>
    <mergeCell ref="F1743:F1745"/>
    <mergeCell ref="F1746:F1748"/>
    <mergeCell ref="F1749:F1750"/>
    <mergeCell ref="F1751:F1757"/>
    <mergeCell ref="F1758:F1762"/>
    <mergeCell ref="F1763:F1765"/>
    <mergeCell ref="F1766:F1770"/>
    <mergeCell ref="F1771:F1772"/>
    <mergeCell ref="F1773:F1775"/>
    <mergeCell ref="F1777:F1780"/>
    <mergeCell ref="F1781:F1784"/>
    <mergeCell ref="F1785:F1787"/>
    <mergeCell ref="F1788:F1790"/>
    <mergeCell ref="F1791:F1792"/>
    <mergeCell ref="F1793:F1795"/>
    <mergeCell ref="F1800:F1801"/>
    <mergeCell ref="F1803:F1808"/>
    <mergeCell ref="F1809:F1813"/>
    <mergeCell ref="F1814:F1815"/>
    <mergeCell ref="F1816:F1819"/>
    <mergeCell ref="F1821:F1823"/>
    <mergeCell ref="F1825:F1828"/>
    <mergeCell ref="F1829:F1832"/>
    <mergeCell ref="F1833:F1838"/>
    <mergeCell ref="F1839:F1849"/>
    <mergeCell ref="F1850:F1856"/>
    <mergeCell ref="F1857:F1859"/>
    <mergeCell ref="F1860:F1862"/>
    <mergeCell ref="F1863:F1865"/>
    <mergeCell ref="F1867:F1872"/>
    <mergeCell ref="F1873:F1880"/>
    <mergeCell ref="F1881:F1886"/>
    <mergeCell ref="F1888:F1893"/>
    <mergeCell ref="F1894:F1901"/>
    <mergeCell ref="F1902:F1907"/>
    <mergeCell ref="F1908:F1911"/>
    <mergeCell ref="F1912:F1915"/>
    <mergeCell ref="F1916:F1919"/>
    <mergeCell ref="F1920:F1946"/>
    <mergeCell ref="F1947:F1950"/>
    <mergeCell ref="F1951:F1954"/>
    <mergeCell ref="F1955:F1982"/>
    <mergeCell ref="F1983:F1986"/>
    <mergeCell ref="F1987:F1990"/>
    <mergeCell ref="F1991:F1995"/>
    <mergeCell ref="F1996:F2023"/>
    <mergeCell ref="F2026:F2028"/>
    <mergeCell ref="F2029:F2105"/>
    <mergeCell ref="F2106:F2113"/>
    <mergeCell ref="F2114:F2116"/>
    <mergeCell ref="F2117:F2144"/>
    <mergeCell ref="F2145:F2153"/>
    <mergeCell ref="F2154:F2161"/>
    <mergeCell ref="F2162:F2169"/>
    <mergeCell ref="F2170:F2177"/>
    <mergeCell ref="F2178:F2180"/>
    <mergeCell ref="F2181:F2184"/>
    <mergeCell ref="F2185:F2192"/>
    <mergeCell ref="F2194:F2236"/>
    <mergeCell ref="F2237:F2241"/>
    <mergeCell ref="F2242:F2296"/>
    <mergeCell ref="F2297:F2303"/>
    <mergeCell ref="F2304:F2308"/>
    <mergeCell ref="F2309:F2311"/>
    <mergeCell ref="F2312:F2315"/>
    <mergeCell ref="F2316:F2318"/>
    <mergeCell ref="F2319:F2321"/>
    <mergeCell ref="F2325:F2328"/>
    <mergeCell ref="F2329:F2335"/>
    <mergeCell ref="F2336:F2344"/>
    <mergeCell ref="F2345:F2347"/>
    <mergeCell ref="F2348:F2351"/>
    <mergeCell ref="F2352:F2359"/>
    <mergeCell ref="F2360:F2363"/>
    <mergeCell ref="F2364:F2370"/>
    <mergeCell ref="F2371:F2374"/>
    <mergeCell ref="F2375:F2378"/>
    <mergeCell ref="F2380:F2383"/>
    <mergeCell ref="F2385:F2395"/>
    <mergeCell ref="F2396:F2397"/>
    <mergeCell ref="F2399:F2413"/>
    <mergeCell ref="F2415:F2421"/>
    <mergeCell ref="F2422:F2434"/>
    <mergeCell ref="F2435:F2440"/>
    <mergeCell ref="F2441:F2445"/>
    <mergeCell ref="F2446:F2447"/>
    <mergeCell ref="F2448:F2449"/>
    <mergeCell ref="F2450:F2453"/>
    <mergeCell ref="F2454:F2455"/>
    <mergeCell ref="F2456:F2469"/>
    <mergeCell ref="F2470:F2474"/>
    <mergeCell ref="F2475:F2476"/>
    <mergeCell ref="F2478:F2557"/>
    <mergeCell ref="F2558:F2618"/>
    <mergeCell ref="F2619:F2621"/>
    <mergeCell ref="F2622:F2629"/>
    <mergeCell ref="F2630:F2636"/>
    <mergeCell ref="F2637:F2643"/>
    <mergeCell ref="F2644:F2650"/>
    <mergeCell ref="F2651:F2658"/>
    <mergeCell ref="F2659:F2662"/>
    <mergeCell ref="F2663:F2668"/>
    <mergeCell ref="F2669:F2670"/>
    <mergeCell ref="F2671:F2677"/>
    <mergeCell ref="F2678:F2681"/>
    <mergeCell ref="F2682:F2685"/>
    <mergeCell ref="F2686:F2688"/>
    <mergeCell ref="F2689:F2697"/>
    <mergeCell ref="F2698:F2702"/>
    <mergeCell ref="F2703:F2705"/>
    <mergeCell ref="F2707:F2708"/>
    <mergeCell ref="F2709:F2712"/>
    <mergeCell ref="F2713:F2718"/>
    <mergeCell ref="F2719:F2721"/>
    <mergeCell ref="G5:G29"/>
    <mergeCell ref="G30:G34"/>
    <mergeCell ref="G35:G38"/>
    <mergeCell ref="G39:G40"/>
    <mergeCell ref="G41:G44"/>
    <mergeCell ref="G45:G48"/>
    <mergeCell ref="G49:G51"/>
    <mergeCell ref="G52:G55"/>
    <mergeCell ref="G56:G59"/>
    <mergeCell ref="G60:G65"/>
    <mergeCell ref="G66:G77"/>
    <mergeCell ref="G78:G80"/>
    <mergeCell ref="G81:G84"/>
    <mergeCell ref="G86:G87"/>
    <mergeCell ref="G90:G96"/>
    <mergeCell ref="G97:G103"/>
    <mergeCell ref="G104:G108"/>
    <mergeCell ref="G109:G112"/>
    <mergeCell ref="G113:G122"/>
    <mergeCell ref="G123:G130"/>
    <mergeCell ref="G131:G134"/>
    <mergeCell ref="G135:G137"/>
    <mergeCell ref="G138:G143"/>
    <mergeCell ref="G144:G149"/>
    <mergeCell ref="G150:G153"/>
    <mergeCell ref="G154:G159"/>
    <mergeCell ref="G160:G164"/>
    <mergeCell ref="G168:G171"/>
    <mergeCell ref="G172:G174"/>
    <mergeCell ref="G175:G177"/>
    <mergeCell ref="G178:G181"/>
    <mergeCell ref="G182:G188"/>
    <mergeCell ref="G189:G190"/>
    <mergeCell ref="G191:G194"/>
    <mergeCell ref="G195:G199"/>
    <mergeCell ref="G203:G206"/>
    <mergeCell ref="G209:G210"/>
    <mergeCell ref="G213:G216"/>
    <mergeCell ref="G218:G221"/>
    <mergeCell ref="G222:G223"/>
    <mergeCell ref="G224:G227"/>
    <mergeCell ref="G228:G230"/>
    <mergeCell ref="G231:G234"/>
    <mergeCell ref="G235:G239"/>
    <mergeCell ref="G240:G247"/>
    <mergeCell ref="G248:G249"/>
    <mergeCell ref="G250:G253"/>
    <mergeCell ref="G254:G257"/>
    <mergeCell ref="G258:G259"/>
    <mergeCell ref="G260:G261"/>
    <mergeCell ref="G262:G267"/>
    <mergeCell ref="G268:G269"/>
    <mergeCell ref="G271:G273"/>
    <mergeCell ref="G274:G276"/>
    <mergeCell ref="G278:G282"/>
    <mergeCell ref="G283:G286"/>
    <mergeCell ref="G287:G289"/>
    <mergeCell ref="G290:G292"/>
    <mergeCell ref="G293:G297"/>
    <mergeCell ref="G298:G301"/>
    <mergeCell ref="G302:G303"/>
    <mergeCell ref="G304:G313"/>
    <mergeCell ref="G314:G330"/>
    <mergeCell ref="G332:G336"/>
    <mergeCell ref="G337:G339"/>
    <mergeCell ref="G340:G343"/>
    <mergeCell ref="G344:G349"/>
    <mergeCell ref="G350:G355"/>
    <mergeCell ref="G356:G365"/>
    <mergeCell ref="G366:G371"/>
    <mergeCell ref="G372:G377"/>
    <mergeCell ref="G378:G383"/>
    <mergeCell ref="G384:G389"/>
    <mergeCell ref="G390:G396"/>
    <mergeCell ref="G397:G402"/>
    <mergeCell ref="G403:G408"/>
    <mergeCell ref="G409:G414"/>
    <mergeCell ref="G415:G420"/>
    <mergeCell ref="G421:G426"/>
    <mergeCell ref="G427:G429"/>
    <mergeCell ref="G431:G433"/>
    <mergeCell ref="G434:G436"/>
    <mergeCell ref="G437:G440"/>
    <mergeCell ref="G441:G442"/>
    <mergeCell ref="G443:G444"/>
    <mergeCell ref="G445:G449"/>
    <mergeCell ref="G450:G451"/>
    <mergeCell ref="G452:G453"/>
    <mergeCell ref="G454:G455"/>
    <mergeCell ref="G456:G457"/>
    <mergeCell ref="G458:G460"/>
    <mergeCell ref="G461:G468"/>
    <mergeCell ref="G469:G472"/>
    <mergeCell ref="G473:G476"/>
    <mergeCell ref="G477:G480"/>
    <mergeCell ref="G481:G484"/>
    <mergeCell ref="G485:G488"/>
    <mergeCell ref="G489:G491"/>
    <mergeCell ref="G492:G497"/>
    <mergeCell ref="G500:G502"/>
    <mergeCell ref="G503:G505"/>
    <mergeCell ref="G506:G508"/>
    <mergeCell ref="G509:G524"/>
    <mergeCell ref="G525:G528"/>
    <mergeCell ref="G532:G537"/>
    <mergeCell ref="G538:G540"/>
    <mergeCell ref="G541:G547"/>
    <mergeCell ref="G548:G550"/>
    <mergeCell ref="G551:G554"/>
    <mergeCell ref="G555:G559"/>
    <mergeCell ref="G561:G564"/>
    <mergeCell ref="G566:G588"/>
    <mergeCell ref="G589:G592"/>
    <mergeCell ref="G593:G594"/>
    <mergeCell ref="G595:G599"/>
    <mergeCell ref="G600:G602"/>
    <mergeCell ref="G604:G613"/>
    <mergeCell ref="G614:G615"/>
    <mergeCell ref="G616:G618"/>
    <mergeCell ref="G619:G620"/>
    <mergeCell ref="G621:G624"/>
    <mergeCell ref="G625:G628"/>
    <mergeCell ref="G629:G630"/>
    <mergeCell ref="G631:G639"/>
    <mergeCell ref="G640:G642"/>
    <mergeCell ref="G643:G646"/>
    <mergeCell ref="G647:G650"/>
    <mergeCell ref="G652:G657"/>
    <mergeCell ref="G658:G674"/>
    <mergeCell ref="G675:G680"/>
    <mergeCell ref="G681:G685"/>
    <mergeCell ref="G686:G688"/>
    <mergeCell ref="G689:G694"/>
    <mergeCell ref="G695:G704"/>
    <mergeCell ref="G705:G711"/>
    <mergeCell ref="G712:G794"/>
    <mergeCell ref="G795:G815"/>
    <mergeCell ref="G816:G836"/>
    <mergeCell ref="G837:G867"/>
    <mergeCell ref="G868:G871"/>
    <mergeCell ref="G872:G874"/>
    <mergeCell ref="G875:G877"/>
    <mergeCell ref="G878:G880"/>
    <mergeCell ref="G881:G941"/>
    <mergeCell ref="G942:G947"/>
    <mergeCell ref="G948:G950"/>
    <mergeCell ref="G951:G958"/>
    <mergeCell ref="G959:G964"/>
    <mergeCell ref="G965:G967"/>
    <mergeCell ref="G968:G970"/>
    <mergeCell ref="G971:G973"/>
    <mergeCell ref="G974:G976"/>
    <mergeCell ref="G977:G981"/>
    <mergeCell ref="G982:G986"/>
    <mergeCell ref="G987:G992"/>
    <mergeCell ref="G993:G998"/>
    <mergeCell ref="G999:G1027"/>
    <mergeCell ref="G1028:G1031"/>
    <mergeCell ref="G1032:G1064"/>
    <mergeCell ref="G1065:G1092"/>
    <mergeCell ref="G1093:G1120"/>
    <mergeCell ref="G1121:G1126"/>
    <mergeCell ref="G1127:G1128"/>
    <mergeCell ref="G1129:G1132"/>
    <mergeCell ref="G1133:G1134"/>
    <mergeCell ref="G1135:G1136"/>
    <mergeCell ref="G1137:G1138"/>
    <mergeCell ref="G1139:G1144"/>
    <mergeCell ref="G1145:G1149"/>
    <mergeCell ref="G1150:G1159"/>
    <mergeCell ref="G1160:G1164"/>
    <mergeCell ref="G1165:G1167"/>
    <mergeCell ref="G1168:G1171"/>
    <mergeCell ref="G1172:G1174"/>
    <mergeCell ref="G1175:G1179"/>
    <mergeCell ref="G1180:G1189"/>
    <mergeCell ref="G1190:G1200"/>
    <mergeCell ref="G1201:G1205"/>
    <mergeCell ref="G1206:G1210"/>
    <mergeCell ref="G1211:G1213"/>
    <mergeCell ref="G1214:G1218"/>
    <mergeCell ref="G1219:G1226"/>
    <mergeCell ref="G1227:G1239"/>
    <mergeCell ref="G1240:G1245"/>
    <mergeCell ref="G1246:G1249"/>
    <mergeCell ref="G1250:G1252"/>
    <mergeCell ref="G1253:G1257"/>
    <mergeCell ref="G1258:G1262"/>
    <mergeCell ref="G1263:G1273"/>
    <mergeCell ref="G1274:G1278"/>
    <mergeCell ref="G1279:G1282"/>
    <mergeCell ref="G1283:G1285"/>
    <mergeCell ref="G1286:G1291"/>
    <mergeCell ref="G1292:G1299"/>
    <mergeCell ref="G1300:G1308"/>
    <mergeCell ref="G1309:G1313"/>
    <mergeCell ref="G1314:G1317"/>
    <mergeCell ref="G1318:G1320"/>
    <mergeCell ref="G1321:G1325"/>
    <mergeCell ref="G1326:G1330"/>
    <mergeCell ref="G1331:G1336"/>
    <mergeCell ref="G1337:G1340"/>
    <mergeCell ref="G1341:G1343"/>
    <mergeCell ref="G1344:G1347"/>
    <mergeCell ref="G1348:G1354"/>
    <mergeCell ref="G1355:G1363"/>
    <mergeCell ref="G1364:G1369"/>
    <mergeCell ref="G1370:G1373"/>
    <mergeCell ref="G1374:G1376"/>
    <mergeCell ref="G1377:G1381"/>
    <mergeCell ref="G1382:G1384"/>
    <mergeCell ref="G1385:G1389"/>
    <mergeCell ref="G1390:G1394"/>
    <mergeCell ref="G1395:G1399"/>
    <mergeCell ref="G1400:G1404"/>
    <mergeCell ref="G1405:G1408"/>
    <mergeCell ref="G1409:G1411"/>
    <mergeCell ref="G1412:G1416"/>
    <mergeCell ref="G1417:G1424"/>
    <mergeCell ref="G1425:G1429"/>
    <mergeCell ref="G1430:G1434"/>
    <mergeCell ref="G1435:G1438"/>
    <mergeCell ref="G1439:G1441"/>
    <mergeCell ref="G1442:G1445"/>
    <mergeCell ref="G1446:G1450"/>
    <mergeCell ref="G1451:G1456"/>
    <mergeCell ref="G1457:G1459"/>
    <mergeCell ref="G1460:G1463"/>
    <mergeCell ref="G1464:G1466"/>
    <mergeCell ref="G1467:G1469"/>
    <mergeCell ref="G1470:G1475"/>
    <mergeCell ref="G1476:G1478"/>
    <mergeCell ref="G1479:G1482"/>
    <mergeCell ref="G1483:G1486"/>
    <mergeCell ref="G1487:G1491"/>
    <mergeCell ref="G1492:G1497"/>
    <mergeCell ref="G1498:G1500"/>
    <mergeCell ref="G1501:G1504"/>
    <mergeCell ref="G1505:G1508"/>
    <mergeCell ref="G1509:G1513"/>
    <mergeCell ref="G1514:G1519"/>
    <mergeCell ref="G1524:G1525"/>
    <mergeCell ref="G1526:G1528"/>
    <mergeCell ref="G1529:G1530"/>
    <mergeCell ref="G1531:G1539"/>
    <mergeCell ref="G1540:G1545"/>
    <mergeCell ref="G1547:G1554"/>
    <mergeCell ref="G1555:G1560"/>
    <mergeCell ref="G1561:G1565"/>
    <mergeCell ref="G1566:G1569"/>
    <mergeCell ref="G1570:G1576"/>
    <mergeCell ref="G1577:G1582"/>
    <mergeCell ref="G1583:G1598"/>
    <mergeCell ref="G1599:G1601"/>
    <mergeCell ref="G1602:G1603"/>
    <mergeCell ref="G1604:G1606"/>
    <mergeCell ref="G1607:G1613"/>
    <mergeCell ref="G1614:G1617"/>
    <mergeCell ref="G1618:G1621"/>
    <mergeCell ref="G1623:G1624"/>
    <mergeCell ref="G1625:G1627"/>
    <mergeCell ref="G1628:G1632"/>
    <mergeCell ref="G1633:G1636"/>
    <mergeCell ref="G1637:G1645"/>
    <mergeCell ref="G1646:G1650"/>
    <mergeCell ref="G1651:G1664"/>
    <mergeCell ref="G1665:G1668"/>
    <mergeCell ref="G1669:G1671"/>
    <mergeCell ref="G1672:G1678"/>
    <mergeCell ref="G1679:G1680"/>
    <mergeCell ref="G1681:G1684"/>
    <mergeCell ref="G1685:G1687"/>
    <mergeCell ref="G1688:G1689"/>
    <mergeCell ref="G1690:G1697"/>
    <mergeCell ref="G1698:G1700"/>
    <mergeCell ref="G1701:G1706"/>
    <mergeCell ref="G1708:G1709"/>
    <mergeCell ref="G1710:G1714"/>
    <mergeCell ref="G1716:G1719"/>
    <mergeCell ref="G1720:G1723"/>
    <mergeCell ref="G1731:G1733"/>
    <mergeCell ref="G1736:G1738"/>
    <mergeCell ref="G1743:G1745"/>
    <mergeCell ref="G1746:G1748"/>
    <mergeCell ref="G1749:G1750"/>
    <mergeCell ref="G1751:G1757"/>
    <mergeCell ref="G1758:G1762"/>
    <mergeCell ref="G1763:G1765"/>
    <mergeCell ref="G1766:G1770"/>
    <mergeCell ref="G1771:G1772"/>
    <mergeCell ref="G1773:G1775"/>
    <mergeCell ref="G1777:G1780"/>
    <mergeCell ref="G1781:G1784"/>
    <mergeCell ref="G1785:G1787"/>
    <mergeCell ref="G1788:G1790"/>
    <mergeCell ref="G1791:G1792"/>
    <mergeCell ref="G1793:G1795"/>
    <mergeCell ref="G1800:G1801"/>
    <mergeCell ref="G1803:G1808"/>
    <mergeCell ref="G1809:G1813"/>
    <mergeCell ref="G1814:G1815"/>
    <mergeCell ref="G1816:G1819"/>
    <mergeCell ref="G1821:G1823"/>
    <mergeCell ref="G1825:G1828"/>
    <mergeCell ref="G1829:G1832"/>
    <mergeCell ref="G1833:G1838"/>
    <mergeCell ref="G1839:G1849"/>
    <mergeCell ref="G1850:G1856"/>
    <mergeCell ref="G1857:G1859"/>
    <mergeCell ref="G1860:G1862"/>
    <mergeCell ref="G1863:G1865"/>
    <mergeCell ref="G1867:G1872"/>
    <mergeCell ref="G1873:G1880"/>
    <mergeCell ref="G1881:G1886"/>
    <mergeCell ref="G1888:G1893"/>
    <mergeCell ref="G1894:G1901"/>
    <mergeCell ref="G1902:G1907"/>
    <mergeCell ref="G1908:G1911"/>
    <mergeCell ref="G1912:G1915"/>
    <mergeCell ref="G1916:G1919"/>
    <mergeCell ref="G1920:G1946"/>
    <mergeCell ref="G1947:G1950"/>
    <mergeCell ref="G1951:G1954"/>
    <mergeCell ref="G1955:G1982"/>
    <mergeCell ref="G1983:G1986"/>
    <mergeCell ref="G1987:G1990"/>
    <mergeCell ref="G1991:G1995"/>
    <mergeCell ref="G1996:G2023"/>
    <mergeCell ref="G2026:G2028"/>
    <mergeCell ref="G2029:G2105"/>
    <mergeCell ref="G2106:G2113"/>
    <mergeCell ref="G2114:G2116"/>
    <mergeCell ref="G2117:G2144"/>
    <mergeCell ref="G2145:G2153"/>
    <mergeCell ref="G2154:G2161"/>
    <mergeCell ref="G2162:G2169"/>
    <mergeCell ref="G2170:G2177"/>
    <mergeCell ref="G2178:G2180"/>
    <mergeCell ref="G2181:G2184"/>
    <mergeCell ref="G2185:G2192"/>
    <mergeCell ref="G2194:G2236"/>
    <mergeCell ref="G2237:G2241"/>
    <mergeCell ref="G2242:G2296"/>
    <mergeCell ref="G2297:G2303"/>
    <mergeCell ref="G2304:G2308"/>
    <mergeCell ref="G2309:G2311"/>
    <mergeCell ref="G2312:G2315"/>
    <mergeCell ref="G2316:G2318"/>
    <mergeCell ref="G2319:G2321"/>
    <mergeCell ref="G2325:G2328"/>
    <mergeCell ref="G2329:G2335"/>
    <mergeCell ref="G2336:G2344"/>
    <mergeCell ref="G2345:G2347"/>
    <mergeCell ref="G2348:G2351"/>
    <mergeCell ref="G2352:G2359"/>
    <mergeCell ref="G2360:G2363"/>
    <mergeCell ref="G2364:G2370"/>
    <mergeCell ref="G2371:G2374"/>
    <mergeCell ref="G2375:G2378"/>
    <mergeCell ref="G2380:G2383"/>
    <mergeCell ref="G2385:G2395"/>
    <mergeCell ref="G2396:G2397"/>
    <mergeCell ref="G2399:G2413"/>
    <mergeCell ref="G2415:G2421"/>
    <mergeCell ref="G2422:G2434"/>
    <mergeCell ref="G2435:G2440"/>
    <mergeCell ref="G2441:G2445"/>
    <mergeCell ref="G2446:G2447"/>
    <mergeCell ref="G2448:G2449"/>
    <mergeCell ref="G2450:G2453"/>
    <mergeCell ref="G2454:G2455"/>
    <mergeCell ref="G2456:G2469"/>
    <mergeCell ref="G2470:G2474"/>
    <mergeCell ref="G2475:G2476"/>
    <mergeCell ref="G2478:G2557"/>
    <mergeCell ref="G2558:G2618"/>
    <mergeCell ref="G2619:G2621"/>
    <mergeCell ref="G2622:G2629"/>
    <mergeCell ref="G2630:G2636"/>
    <mergeCell ref="G2637:G2643"/>
    <mergeCell ref="G2644:G2650"/>
    <mergeCell ref="G2651:G2658"/>
    <mergeCell ref="G2659:G2662"/>
    <mergeCell ref="G2663:G2668"/>
    <mergeCell ref="G2669:G2670"/>
    <mergeCell ref="G2671:G2677"/>
    <mergeCell ref="G2678:G2681"/>
    <mergeCell ref="G2682:G2685"/>
    <mergeCell ref="G2686:G2688"/>
    <mergeCell ref="G2689:G2697"/>
    <mergeCell ref="G2698:G2702"/>
    <mergeCell ref="G2703:G2705"/>
    <mergeCell ref="G2707:G2708"/>
    <mergeCell ref="G2709:G2712"/>
    <mergeCell ref="G2713:G2718"/>
    <mergeCell ref="G2719:G2721"/>
    <mergeCell ref="H5:H29"/>
    <mergeCell ref="H30:H34"/>
    <mergeCell ref="H35:H38"/>
    <mergeCell ref="H39:H40"/>
    <mergeCell ref="H41:H44"/>
    <mergeCell ref="H45:H48"/>
    <mergeCell ref="H49:H51"/>
    <mergeCell ref="H52:H55"/>
    <mergeCell ref="H56:H59"/>
    <mergeCell ref="H60:H65"/>
    <mergeCell ref="H66:H77"/>
    <mergeCell ref="H78:H80"/>
    <mergeCell ref="H81:H84"/>
    <mergeCell ref="H86:H87"/>
    <mergeCell ref="H90:H96"/>
    <mergeCell ref="H97:H103"/>
    <mergeCell ref="H104:H108"/>
    <mergeCell ref="H109:H112"/>
    <mergeCell ref="H113:H122"/>
    <mergeCell ref="H123:H126"/>
    <mergeCell ref="H127:H130"/>
    <mergeCell ref="H131:H134"/>
    <mergeCell ref="H135:H137"/>
    <mergeCell ref="H138:H143"/>
    <mergeCell ref="H144:H149"/>
    <mergeCell ref="H150:H153"/>
    <mergeCell ref="H154:H159"/>
    <mergeCell ref="H160:H164"/>
    <mergeCell ref="H168:H171"/>
    <mergeCell ref="H172:H174"/>
    <mergeCell ref="H175:H177"/>
    <mergeCell ref="H178:H181"/>
    <mergeCell ref="H182:H188"/>
    <mergeCell ref="H189:H190"/>
    <mergeCell ref="H191:H194"/>
    <mergeCell ref="H195:H199"/>
    <mergeCell ref="H203:H206"/>
    <mergeCell ref="H209:H210"/>
    <mergeCell ref="H213:H216"/>
    <mergeCell ref="H218:H221"/>
    <mergeCell ref="H222:H223"/>
    <mergeCell ref="H224:H227"/>
    <mergeCell ref="H228:H230"/>
    <mergeCell ref="H231:H234"/>
    <mergeCell ref="H235:H239"/>
    <mergeCell ref="H240:H247"/>
    <mergeCell ref="H248:H249"/>
    <mergeCell ref="H250:H253"/>
    <mergeCell ref="H254:H257"/>
    <mergeCell ref="H258:H259"/>
    <mergeCell ref="H260:H261"/>
    <mergeCell ref="H262:H267"/>
    <mergeCell ref="H268:H269"/>
    <mergeCell ref="H271:H273"/>
    <mergeCell ref="H274:H276"/>
    <mergeCell ref="H278:H282"/>
    <mergeCell ref="H283:H286"/>
    <mergeCell ref="H287:H289"/>
    <mergeCell ref="H290:H292"/>
    <mergeCell ref="H293:H297"/>
    <mergeCell ref="H298:H301"/>
    <mergeCell ref="H302:H303"/>
    <mergeCell ref="H304:H313"/>
    <mergeCell ref="H314:H317"/>
    <mergeCell ref="H318:H321"/>
    <mergeCell ref="H322:H324"/>
    <mergeCell ref="H325:H330"/>
    <mergeCell ref="H332:H336"/>
    <mergeCell ref="H337:H339"/>
    <mergeCell ref="H340:H343"/>
    <mergeCell ref="H344:H349"/>
    <mergeCell ref="H350:H355"/>
    <mergeCell ref="H356:H365"/>
    <mergeCell ref="H366:H371"/>
    <mergeCell ref="H372:H377"/>
    <mergeCell ref="H378:H383"/>
    <mergeCell ref="H384:H389"/>
    <mergeCell ref="H390:H396"/>
    <mergeCell ref="H397:H402"/>
    <mergeCell ref="H403:H408"/>
    <mergeCell ref="H409:H414"/>
    <mergeCell ref="H415:H420"/>
    <mergeCell ref="H421:H426"/>
    <mergeCell ref="H427:H429"/>
    <mergeCell ref="H431:H433"/>
    <mergeCell ref="H434:H436"/>
    <mergeCell ref="H437:H440"/>
    <mergeCell ref="H441:H442"/>
    <mergeCell ref="H443:H444"/>
    <mergeCell ref="H445:H449"/>
    <mergeCell ref="H450:H451"/>
    <mergeCell ref="H452:H453"/>
    <mergeCell ref="H454:H455"/>
    <mergeCell ref="H456:H457"/>
    <mergeCell ref="H458:H460"/>
    <mergeCell ref="H461:H468"/>
    <mergeCell ref="H469:H472"/>
    <mergeCell ref="H473:H476"/>
    <mergeCell ref="H477:H480"/>
    <mergeCell ref="H481:H484"/>
    <mergeCell ref="H485:H488"/>
    <mergeCell ref="H489:H491"/>
    <mergeCell ref="H492:H497"/>
    <mergeCell ref="H500:H502"/>
    <mergeCell ref="H503:H505"/>
    <mergeCell ref="H506:H508"/>
    <mergeCell ref="H509:H524"/>
    <mergeCell ref="H525:H528"/>
    <mergeCell ref="H532:H537"/>
    <mergeCell ref="H538:H540"/>
    <mergeCell ref="H541:H547"/>
    <mergeCell ref="H548:H550"/>
    <mergeCell ref="H551:H554"/>
    <mergeCell ref="H555:H559"/>
    <mergeCell ref="H561:H564"/>
    <mergeCell ref="H566:H588"/>
    <mergeCell ref="H589:H592"/>
    <mergeCell ref="H593:H594"/>
    <mergeCell ref="H595:H599"/>
    <mergeCell ref="H600:H602"/>
    <mergeCell ref="H604:H613"/>
    <mergeCell ref="H614:H615"/>
    <mergeCell ref="H616:H618"/>
    <mergeCell ref="H619:H620"/>
    <mergeCell ref="H621:H624"/>
    <mergeCell ref="H625:H628"/>
    <mergeCell ref="H629:H630"/>
    <mergeCell ref="H631:H639"/>
    <mergeCell ref="H640:H642"/>
    <mergeCell ref="H643:H646"/>
    <mergeCell ref="H647:H650"/>
    <mergeCell ref="H652:H657"/>
    <mergeCell ref="H658:H674"/>
    <mergeCell ref="H675:H680"/>
    <mergeCell ref="H681:H685"/>
    <mergeCell ref="H686:H688"/>
    <mergeCell ref="H689:H694"/>
    <mergeCell ref="H695:H704"/>
    <mergeCell ref="H705:H711"/>
    <mergeCell ref="H712:H794"/>
    <mergeCell ref="H795:H815"/>
    <mergeCell ref="H816:H836"/>
    <mergeCell ref="H837:H867"/>
    <mergeCell ref="H868:H871"/>
    <mergeCell ref="H872:H874"/>
    <mergeCell ref="H875:H877"/>
    <mergeCell ref="H878:H880"/>
    <mergeCell ref="H881:H941"/>
    <mergeCell ref="H942:H947"/>
    <mergeCell ref="H948:H950"/>
    <mergeCell ref="H951:H958"/>
    <mergeCell ref="H959:H964"/>
    <mergeCell ref="H965:H967"/>
    <mergeCell ref="H968:H970"/>
    <mergeCell ref="H971:H973"/>
    <mergeCell ref="H974:H976"/>
    <mergeCell ref="H977:H981"/>
    <mergeCell ref="H982:H986"/>
    <mergeCell ref="H987:H992"/>
    <mergeCell ref="H993:H998"/>
    <mergeCell ref="H999:H1027"/>
    <mergeCell ref="H1028:H1031"/>
    <mergeCell ref="H1032:H1064"/>
    <mergeCell ref="H1065:H1092"/>
    <mergeCell ref="H1093:H1120"/>
    <mergeCell ref="H1121:H1126"/>
    <mergeCell ref="H1127:H1128"/>
    <mergeCell ref="H1129:H1132"/>
    <mergeCell ref="H1133:H1134"/>
    <mergeCell ref="H1135:H1136"/>
    <mergeCell ref="H1137:H1138"/>
    <mergeCell ref="H1139:H1144"/>
    <mergeCell ref="H1145:H1149"/>
    <mergeCell ref="H1150:H1159"/>
    <mergeCell ref="H1160:H1164"/>
    <mergeCell ref="H1165:H1167"/>
    <mergeCell ref="H1168:H1171"/>
    <mergeCell ref="H1172:H1174"/>
    <mergeCell ref="H1175:H1179"/>
    <mergeCell ref="H1180:H1189"/>
    <mergeCell ref="H1190:H1200"/>
    <mergeCell ref="H1201:H1205"/>
    <mergeCell ref="H1206:H1210"/>
    <mergeCell ref="H1211:H1213"/>
    <mergeCell ref="H1214:H1218"/>
    <mergeCell ref="H1219:H1226"/>
    <mergeCell ref="H1227:H1239"/>
    <mergeCell ref="H1240:H1245"/>
    <mergeCell ref="H1246:H1249"/>
    <mergeCell ref="H1250:H1252"/>
    <mergeCell ref="H1253:H1257"/>
    <mergeCell ref="H1258:H1262"/>
    <mergeCell ref="H1263:H1268"/>
    <mergeCell ref="H1269:H1273"/>
    <mergeCell ref="H1274:H1278"/>
    <mergeCell ref="H1279:H1282"/>
    <mergeCell ref="H1283:H1285"/>
    <mergeCell ref="H1286:H1291"/>
    <mergeCell ref="H1292:H1299"/>
    <mergeCell ref="H1300:H1308"/>
    <mergeCell ref="H1309:H1313"/>
    <mergeCell ref="H1314:H1317"/>
    <mergeCell ref="H1318:H1320"/>
    <mergeCell ref="H1321:H1325"/>
    <mergeCell ref="H1326:H1330"/>
    <mergeCell ref="H1331:H1336"/>
    <mergeCell ref="H1337:H1340"/>
    <mergeCell ref="H1341:H1343"/>
    <mergeCell ref="H1344:H1347"/>
    <mergeCell ref="H1348:H1354"/>
    <mergeCell ref="H1355:H1363"/>
    <mergeCell ref="H1364:H1369"/>
    <mergeCell ref="H1370:H1373"/>
    <mergeCell ref="H1374:H1376"/>
    <mergeCell ref="H1377:H1381"/>
    <mergeCell ref="H1382:H1384"/>
    <mergeCell ref="H1385:H1389"/>
    <mergeCell ref="H1390:H1394"/>
    <mergeCell ref="H1395:H1399"/>
    <mergeCell ref="H1400:H1404"/>
    <mergeCell ref="H1405:H1408"/>
    <mergeCell ref="H1409:H1411"/>
    <mergeCell ref="H1412:H1416"/>
    <mergeCell ref="H1417:H1424"/>
    <mergeCell ref="H1425:H1429"/>
    <mergeCell ref="H1430:H1434"/>
    <mergeCell ref="H1435:H1438"/>
    <mergeCell ref="H1439:H1441"/>
    <mergeCell ref="H1442:H1445"/>
    <mergeCell ref="H1446:H1450"/>
    <mergeCell ref="H1451:H1456"/>
    <mergeCell ref="H1457:H1459"/>
    <mergeCell ref="H1460:H1463"/>
    <mergeCell ref="H1464:H1466"/>
    <mergeCell ref="H1467:H1469"/>
    <mergeCell ref="H1470:H1475"/>
    <mergeCell ref="H1476:H1478"/>
    <mergeCell ref="H1479:H1482"/>
    <mergeCell ref="H1483:H1486"/>
    <mergeCell ref="H1487:H1491"/>
    <mergeCell ref="H1492:H1497"/>
    <mergeCell ref="H1498:H1500"/>
    <mergeCell ref="H1501:H1504"/>
    <mergeCell ref="H1505:H1508"/>
    <mergeCell ref="H1509:H1513"/>
    <mergeCell ref="H1514:H1519"/>
    <mergeCell ref="H1524:H1525"/>
    <mergeCell ref="H1526:H1528"/>
    <mergeCell ref="H1529:H1530"/>
    <mergeCell ref="H1531:H1539"/>
    <mergeCell ref="H1540:H1545"/>
    <mergeCell ref="H1547:H1554"/>
    <mergeCell ref="H1555:H1560"/>
    <mergeCell ref="H1561:H1565"/>
    <mergeCell ref="H1566:H1569"/>
    <mergeCell ref="H1570:H1576"/>
    <mergeCell ref="H1577:H1582"/>
    <mergeCell ref="H1583:H1598"/>
    <mergeCell ref="H1599:H1601"/>
    <mergeCell ref="H1602:H1603"/>
    <mergeCell ref="H1604:H1606"/>
    <mergeCell ref="H1607:H1613"/>
    <mergeCell ref="H1614:H1617"/>
    <mergeCell ref="H1618:H1621"/>
    <mergeCell ref="H1623:H1624"/>
    <mergeCell ref="H1625:H1627"/>
    <mergeCell ref="H1628:H1632"/>
    <mergeCell ref="H1633:H1636"/>
    <mergeCell ref="H1637:H1645"/>
    <mergeCell ref="H1646:H1650"/>
    <mergeCell ref="H1651:H1664"/>
    <mergeCell ref="H1665:H1668"/>
    <mergeCell ref="H1669:H1671"/>
    <mergeCell ref="H1672:H1678"/>
    <mergeCell ref="H1679:H1680"/>
    <mergeCell ref="H1681:H1684"/>
    <mergeCell ref="H1685:H1687"/>
    <mergeCell ref="H1688:H1689"/>
    <mergeCell ref="H1690:H1697"/>
    <mergeCell ref="H1698:H1700"/>
    <mergeCell ref="H1701:H1706"/>
    <mergeCell ref="H1708:H1709"/>
    <mergeCell ref="H1710:H1714"/>
    <mergeCell ref="H1716:H1719"/>
    <mergeCell ref="H1720:H1723"/>
    <mergeCell ref="H1724:H1728"/>
    <mergeCell ref="H1731:H1733"/>
    <mergeCell ref="H1736:H1738"/>
    <mergeCell ref="H1743:H1745"/>
    <mergeCell ref="H1746:H1748"/>
    <mergeCell ref="H1749:H1750"/>
    <mergeCell ref="H1751:H1757"/>
    <mergeCell ref="H1758:H1762"/>
    <mergeCell ref="H1763:H1765"/>
    <mergeCell ref="H1766:H1770"/>
    <mergeCell ref="H1771:H1772"/>
    <mergeCell ref="H1773:H1775"/>
    <mergeCell ref="H1777:H1780"/>
    <mergeCell ref="H1781:H1784"/>
    <mergeCell ref="H1785:H1787"/>
    <mergeCell ref="H1788:H1790"/>
    <mergeCell ref="H1791:H1792"/>
    <mergeCell ref="H1793:H1795"/>
    <mergeCell ref="H1800:H1801"/>
    <mergeCell ref="H1803:H1808"/>
    <mergeCell ref="H1809:H1813"/>
    <mergeCell ref="H1814:H1815"/>
    <mergeCell ref="H1816:H1819"/>
    <mergeCell ref="H1821:H1823"/>
    <mergeCell ref="H1825:H1828"/>
    <mergeCell ref="H1829:H1832"/>
    <mergeCell ref="H1833:H1838"/>
    <mergeCell ref="H1839:H1849"/>
    <mergeCell ref="H1850:H1856"/>
    <mergeCell ref="H1857:H1859"/>
    <mergeCell ref="H1860:H1862"/>
    <mergeCell ref="H1863:H1865"/>
    <mergeCell ref="H1867:H1872"/>
    <mergeCell ref="H1873:H1880"/>
    <mergeCell ref="H1881:H1886"/>
    <mergeCell ref="H1888:H1893"/>
    <mergeCell ref="H1894:H1901"/>
    <mergeCell ref="H1902:H1907"/>
    <mergeCell ref="H1908:H1911"/>
    <mergeCell ref="H1912:H1915"/>
    <mergeCell ref="H1916:H1919"/>
    <mergeCell ref="H1920:H1922"/>
    <mergeCell ref="H1923:H1925"/>
    <mergeCell ref="H1926:H1928"/>
    <mergeCell ref="H1929:H1931"/>
    <mergeCell ref="H1932:H1934"/>
    <mergeCell ref="H1935:H1937"/>
    <mergeCell ref="H1938:H1940"/>
    <mergeCell ref="H1941:H1943"/>
    <mergeCell ref="H1944:H1946"/>
    <mergeCell ref="H1947:H1950"/>
    <mergeCell ref="H1951:H1954"/>
    <mergeCell ref="H1955:H1957"/>
    <mergeCell ref="H1958:H1960"/>
    <mergeCell ref="H1961:H1964"/>
    <mergeCell ref="H1965:H1967"/>
    <mergeCell ref="H1968:H1970"/>
    <mergeCell ref="H1971:H1973"/>
    <mergeCell ref="H1974:H1976"/>
    <mergeCell ref="H1977:H1979"/>
    <mergeCell ref="H1980:H1982"/>
    <mergeCell ref="H1983:H1986"/>
    <mergeCell ref="H1987:H1990"/>
    <mergeCell ref="H1991:H1995"/>
    <mergeCell ref="H1996:H1998"/>
    <mergeCell ref="H1999:H2002"/>
    <mergeCell ref="H2003:H2005"/>
    <mergeCell ref="H2006:H2008"/>
    <mergeCell ref="H2009:H2011"/>
    <mergeCell ref="H2012:H2015"/>
    <mergeCell ref="H2016:H2019"/>
    <mergeCell ref="H2020:H2023"/>
    <mergeCell ref="H2026:H2028"/>
    <mergeCell ref="H2029:H2034"/>
    <mergeCell ref="H2035:H2046"/>
    <mergeCell ref="H2047:H2064"/>
    <mergeCell ref="H2065:H2073"/>
    <mergeCell ref="H2074:H2076"/>
    <mergeCell ref="H2078:H2081"/>
    <mergeCell ref="H2082:H2086"/>
    <mergeCell ref="H2087:H2091"/>
    <mergeCell ref="H2092:H2096"/>
    <mergeCell ref="H2097:H2101"/>
    <mergeCell ref="H2102:H2105"/>
    <mergeCell ref="H2106:H2113"/>
    <mergeCell ref="H2114:H2116"/>
    <mergeCell ref="H2117:H2122"/>
    <mergeCell ref="H2123:H2128"/>
    <mergeCell ref="H2129:H2134"/>
    <mergeCell ref="H2135:H2140"/>
    <mergeCell ref="H2141:H2144"/>
    <mergeCell ref="H2145:H2153"/>
    <mergeCell ref="H2154:H2161"/>
    <mergeCell ref="H2162:H2169"/>
    <mergeCell ref="H2170:H2177"/>
    <mergeCell ref="H2178:H2180"/>
    <mergeCell ref="H2181:H2184"/>
    <mergeCell ref="H2185:H2192"/>
    <mergeCell ref="H2194:H2236"/>
    <mergeCell ref="H2237:H2241"/>
    <mergeCell ref="H2242:H2296"/>
    <mergeCell ref="H2297:H2303"/>
    <mergeCell ref="H2304:H2308"/>
    <mergeCell ref="H2309:H2311"/>
    <mergeCell ref="H2312:H2315"/>
    <mergeCell ref="H2316:H2318"/>
    <mergeCell ref="H2319:H2321"/>
    <mergeCell ref="H2325:H2328"/>
    <mergeCell ref="H2329:H2335"/>
    <mergeCell ref="H2336:H2344"/>
    <mergeCell ref="H2345:H2347"/>
    <mergeCell ref="H2348:H2351"/>
    <mergeCell ref="H2352:H2359"/>
    <mergeCell ref="H2360:H2363"/>
    <mergeCell ref="H2364:H2370"/>
    <mergeCell ref="H2371:H2374"/>
    <mergeCell ref="H2375:H2378"/>
    <mergeCell ref="H2380:H2383"/>
    <mergeCell ref="H2385:H2395"/>
    <mergeCell ref="H2396:H2397"/>
    <mergeCell ref="H2399:H2413"/>
    <mergeCell ref="H2415:H2421"/>
    <mergeCell ref="H2422:H2434"/>
    <mergeCell ref="H2435:H2440"/>
    <mergeCell ref="H2441:H2445"/>
    <mergeCell ref="H2446:H2447"/>
    <mergeCell ref="H2448:H2449"/>
    <mergeCell ref="H2450:H2453"/>
    <mergeCell ref="H2454:H2455"/>
    <mergeCell ref="H2456:H2469"/>
    <mergeCell ref="H2470:H2474"/>
    <mergeCell ref="H2475:H2476"/>
    <mergeCell ref="H2478:H2482"/>
    <mergeCell ref="H2483:H2489"/>
    <mergeCell ref="H2490:H2499"/>
    <mergeCell ref="H2500:H2504"/>
    <mergeCell ref="H2505:H2508"/>
    <mergeCell ref="H2509:H2512"/>
    <mergeCell ref="H2513:H2519"/>
    <mergeCell ref="H2520:H2523"/>
    <mergeCell ref="H2524:H2527"/>
    <mergeCell ref="H2528:H2530"/>
    <mergeCell ref="H2531:H2533"/>
    <mergeCell ref="H2534:H2536"/>
    <mergeCell ref="H2537:H2539"/>
    <mergeCell ref="H2540:H2542"/>
    <mergeCell ref="H2543:H2545"/>
    <mergeCell ref="H2546:H2548"/>
    <mergeCell ref="H2549:H2551"/>
    <mergeCell ref="H2552:H2554"/>
    <mergeCell ref="H2555:H2557"/>
    <mergeCell ref="H2558:H2562"/>
    <mergeCell ref="H2563:H2566"/>
    <mergeCell ref="H2567:H2569"/>
    <mergeCell ref="H2570:H2574"/>
    <mergeCell ref="H2575:H2581"/>
    <mergeCell ref="H2582:H2583"/>
    <mergeCell ref="H2584:H2589"/>
    <mergeCell ref="H2590:H2593"/>
    <mergeCell ref="H2594:H2597"/>
    <mergeCell ref="H2598:H2600"/>
    <mergeCell ref="H2601:H2603"/>
    <mergeCell ref="H2604:H2606"/>
    <mergeCell ref="H2607:H2609"/>
    <mergeCell ref="H2610:H2611"/>
    <mergeCell ref="H2612:H2614"/>
    <mergeCell ref="H2616:H2618"/>
    <mergeCell ref="H2619:H2621"/>
    <mergeCell ref="H2622:H2629"/>
    <mergeCell ref="H2630:H2636"/>
    <mergeCell ref="H2637:H2643"/>
    <mergeCell ref="H2644:H2650"/>
    <mergeCell ref="H2651:H2658"/>
    <mergeCell ref="H2659:H2662"/>
    <mergeCell ref="H2663:H2668"/>
    <mergeCell ref="H2669:H2670"/>
    <mergeCell ref="H2671:H2677"/>
    <mergeCell ref="H2678:H2681"/>
    <mergeCell ref="H2682:H2685"/>
    <mergeCell ref="H2686:H2688"/>
    <mergeCell ref="H2689:H2697"/>
    <mergeCell ref="H2698:H2702"/>
    <mergeCell ref="H2703:H2705"/>
    <mergeCell ref="H2707:H2708"/>
    <mergeCell ref="H2709:H2712"/>
    <mergeCell ref="H2713:H2718"/>
    <mergeCell ref="H2719:H2721"/>
    <mergeCell ref="I5:I29"/>
    <mergeCell ref="I30:I34"/>
    <mergeCell ref="I35:I38"/>
    <mergeCell ref="I39:I40"/>
    <mergeCell ref="I41:I44"/>
    <mergeCell ref="I45:I48"/>
    <mergeCell ref="I49:I51"/>
    <mergeCell ref="I52:I55"/>
    <mergeCell ref="I56:I59"/>
    <mergeCell ref="I60:I65"/>
    <mergeCell ref="I66:I77"/>
    <mergeCell ref="I78:I80"/>
    <mergeCell ref="I81:I84"/>
    <mergeCell ref="I86:I87"/>
    <mergeCell ref="I90:I96"/>
    <mergeCell ref="I97:I103"/>
    <mergeCell ref="I104:I108"/>
    <mergeCell ref="I109:I112"/>
    <mergeCell ref="I113:I122"/>
    <mergeCell ref="I123:I130"/>
    <mergeCell ref="I131:I134"/>
    <mergeCell ref="I135:I137"/>
    <mergeCell ref="I138:I143"/>
    <mergeCell ref="I144:I149"/>
    <mergeCell ref="I150:I153"/>
    <mergeCell ref="I154:I159"/>
    <mergeCell ref="I168:I171"/>
    <mergeCell ref="I172:I174"/>
    <mergeCell ref="I175:I177"/>
    <mergeCell ref="I178:I181"/>
    <mergeCell ref="I182:I188"/>
    <mergeCell ref="I189:I190"/>
    <mergeCell ref="I191:I194"/>
    <mergeCell ref="I195:I199"/>
    <mergeCell ref="I209:I210"/>
    <mergeCell ref="I213:I216"/>
    <mergeCell ref="I224:I227"/>
    <mergeCell ref="I228:I230"/>
    <mergeCell ref="I231:I234"/>
    <mergeCell ref="I235:I239"/>
    <mergeCell ref="I240:I247"/>
    <mergeCell ref="I250:I253"/>
    <mergeCell ref="I254:I257"/>
    <mergeCell ref="I258:I259"/>
    <mergeCell ref="I262:I267"/>
    <mergeCell ref="I268:I269"/>
    <mergeCell ref="I271:I273"/>
    <mergeCell ref="I274:I276"/>
    <mergeCell ref="I278:I282"/>
    <mergeCell ref="I287:I289"/>
    <mergeCell ref="I290:I292"/>
    <mergeCell ref="I293:I297"/>
    <mergeCell ref="I302:I303"/>
    <mergeCell ref="I304:I313"/>
    <mergeCell ref="I314:I317"/>
    <mergeCell ref="I318:I321"/>
    <mergeCell ref="I322:I324"/>
    <mergeCell ref="I325:I330"/>
    <mergeCell ref="I332:I336"/>
    <mergeCell ref="I337:I339"/>
    <mergeCell ref="I340:I343"/>
    <mergeCell ref="I344:I349"/>
    <mergeCell ref="I350:I355"/>
    <mergeCell ref="I356:I365"/>
    <mergeCell ref="I366:I371"/>
    <mergeCell ref="I372:I377"/>
    <mergeCell ref="I378:I383"/>
    <mergeCell ref="I384:I389"/>
    <mergeCell ref="I390:I396"/>
    <mergeCell ref="I397:I402"/>
    <mergeCell ref="I403:I408"/>
    <mergeCell ref="I409:I414"/>
    <mergeCell ref="I415:I420"/>
    <mergeCell ref="I421:I426"/>
    <mergeCell ref="I427:I429"/>
    <mergeCell ref="I437:I440"/>
    <mergeCell ref="I443:I444"/>
    <mergeCell ref="I445:I449"/>
    <mergeCell ref="I473:I476"/>
    <mergeCell ref="I489:I491"/>
    <mergeCell ref="I500:I502"/>
    <mergeCell ref="I503:I505"/>
    <mergeCell ref="I506:I508"/>
    <mergeCell ref="I509:I524"/>
    <mergeCell ref="I525:I528"/>
    <mergeCell ref="I532:I537"/>
    <mergeCell ref="I541:I547"/>
    <mergeCell ref="I551:I554"/>
    <mergeCell ref="I555:I559"/>
    <mergeCell ref="I561:I564"/>
    <mergeCell ref="I566:I588"/>
    <mergeCell ref="I589:I592"/>
    <mergeCell ref="I593:I594"/>
    <mergeCell ref="I595:I599"/>
    <mergeCell ref="I604:I613"/>
    <mergeCell ref="I614:I615"/>
    <mergeCell ref="I616:I618"/>
    <mergeCell ref="I619:I620"/>
    <mergeCell ref="I621:I624"/>
    <mergeCell ref="I625:I628"/>
    <mergeCell ref="I631:I639"/>
    <mergeCell ref="I643:I646"/>
    <mergeCell ref="I647:I650"/>
    <mergeCell ref="I652:I657"/>
    <mergeCell ref="I658:I674"/>
    <mergeCell ref="I675:I680"/>
    <mergeCell ref="I681:I685"/>
    <mergeCell ref="I686:I688"/>
    <mergeCell ref="I689:I694"/>
    <mergeCell ref="I695:I704"/>
    <mergeCell ref="I705:I711"/>
    <mergeCell ref="I712:I794"/>
    <mergeCell ref="I795:I815"/>
    <mergeCell ref="I816:I836"/>
    <mergeCell ref="I837:I867"/>
    <mergeCell ref="I868:I871"/>
    <mergeCell ref="I875:I877"/>
    <mergeCell ref="I878:I880"/>
    <mergeCell ref="I881:I941"/>
    <mergeCell ref="I942:I947"/>
    <mergeCell ref="I951:I958"/>
    <mergeCell ref="I959:I964"/>
    <mergeCell ref="I965:I967"/>
    <mergeCell ref="I977:I981"/>
    <mergeCell ref="I982:I986"/>
    <mergeCell ref="I987:I992"/>
    <mergeCell ref="I993:I998"/>
    <mergeCell ref="I999:I1027"/>
    <mergeCell ref="I1028:I1031"/>
    <mergeCell ref="I1032:I1064"/>
    <mergeCell ref="I1065:I1092"/>
    <mergeCell ref="I1093:I1120"/>
    <mergeCell ref="I1121:I1126"/>
    <mergeCell ref="I1127:I1128"/>
    <mergeCell ref="I1129:I1132"/>
    <mergeCell ref="I1133:I1134"/>
    <mergeCell ref="I1135:I1136"/>
    <mergeCell ref="I1137:I1138"/>
    <mergeCell ref="I1139:I1144"/>
    <mergeCell ref="I1145:I1149"/>
    <mergeCell ref="I1150:I1159"/>
    <mergeCell ref="I1160:I1164"/>
    <mergeCell ref="I1165:I1167"/>
    <mergeCell ref="I1168:I1171"/>
    <mergeCell ref="I1172:I1174"/>
    <mergeCell ref="I1175:I1179"/>
    <mergeCell ref="I1180:I1189"/>
    <mergeCell ref="I1190:I1200"/>
    <mergeCell ref="I1201:I1205"/>
    <mergeCell ref="I1206:I1210"/>
    <mergeCell ref="I1211:I1213"/>
    <mergeCell ref="I1214:I1218"/>
    <mergeCell ref="I1219:I1226"/>
    <mergeCell ref="I1227:I1239"/>
    <mergeCell ref="I1240:I1245"/>
    <mergeCell ref="I1246:I1249"/>
    <mergeCell ref="I1250:I1252"/>
    <mergeCell ref="I1253:I1257"/>
    <mergeCell ref="I1258:I1262"/>
    <mergeCell ref="I1263:I1268"/>
    <mergeCell ref="I1269:I1273"/>
    <mergeCell ref="I1274:I1278"/>
    <mergeCell ref="I1279:I1282"/>
    <mergeCell ref="I1283:I1285"/>
    <mergeCell ref="I1286:I1291"/>
    <mergeCell ref="I1292:I1299"/>
    <mergeCell ref="I1300:I1308"/>
    <mergeCell ref="I1309:I1313"/>
    <mergeCell ref="I1314:I1317"/>
    <mergeCell ref="I1318:I1320"/>
    <mergeCell ref="I1321:I1325"/>
    <mergeCell ref="I1326:I1330"/>
    <mergeCell ref="I1331:I1336"/>
    <mergeCell ref="I1337:I1340"/>
    <mergeCell ref="I1341:I1343"/>
    <mergeCell ref="I1344:I1347"/>
    <mergeCell ref="I1348:I1354"/>
    <mergeCell ref="I1355:I1363"/>
    <mergeCell ref="I1364:I1369"/>
    <mergeCell ref="I1370:I1373"/>
    <mergeCell ref="I1374:I1376"/>
    <mergeCell ref="I1377:I1381"/>
    <mergeCell ref="I1382:I1384"/>
    <mergeCell ref="I1385:I1389"/>
    <mergeCell ref="I1390:I1394"/>
    <mergeCell ref="I1395:I1399"/>
    <mergeCell ref="I1400:I1404"/>
    <mergeCell ref="I1405:I1408"/>
    <mergeCell ref="I1409:I1411"/>
    <mergeCell ref="I1412:I1416"/>
    <mergeCell ref="I1417:I1424"/>
    <mergeCell ref="I1425:I1429"/>
    <mergeCell ref="I1430:I1434"/>
    <mergeCell ref="I1435:I1438"/>
    <mergeCell ref="I1439:I1441"/>
    <mergeCell ref="I1442:I1445"/>
    <mergeCell ref="I1446:I1450"/>
    <mergeCell ref="I1451:I1456"/>
    <mergeCell ref="I1457:I1459"/>
    <mergeCell ref="I1460:I1463"/>
    <mergeCell ref="I1464:I1466"/>
    <mergeCell ref="I1467:I1469"/>
    <mergeCell ref="I1470:I1475"/>
    <mergeCell ref="I1479:I1482"/>
    <mergeCell ref="I1487:I1491"/>
    <mergeCell ref="I1492:I1497"/>
    <mergeCell ref="I1498:I1500"/>
    <mergeCell ref="I1514:I1519"/>
    <mergeCell ref="I1531:I1539"/>
    <mergeCell ref="I1540:I1545"/>
    <mergeCell ref="I1547:I1554"/>
    <mergeCell ref="I1555:I1560"/>
    <mergeCell ref="I1561:I1565"/>
    <mergeCell ref="I1566:I1569"/>
    <mergeCell ref="I1570:I1576"/>
    <mergeCell ref="I1577:I1582"/>
    <mergeCell ref="I1607:I1613"/>
    <mergeCell ref="I1625:I1627"/>
    <mergeCell ref="I1690:I1697"/>
    <mergeCell ref="I1698:I1700"/>
    <mergeCell ref="I1701:I1706"/>
    <mergeCell ref="I1708:I1709"/>
    <mergeCell ref="I1710:I1714"/>
    <mergeCell ref="I1716:I1719"/>
    <mergeCell ref="I1720:I1723"/>
    <mergeCell ref="I1731:I1733"/>
    <mergeCell ref="I1736:I1738"/>
    <mergeCell ref="I1763:I1765"/>
    <mergeCell ref="I1781:I1784"/>
    <mergeCell ref="I1785:I1787"/>
    <mergeCell ref="I1788:I1790"/>
    <mergeCell ref="I1791:I1792"/>
    <mergeCell ref="I1793:I1795"/>
    <mergeCell ref="I1800:I1801"/>
    <mergeCell ref="I1803:I1808"/>
    <mergeCell ref="I1809:I1813"/>
    <mergeCell ref="I1814:I1815"/>
    <mergeCell ref="I1816:I1819"/>
    <mergeCell ref="I1821:I1823"/>
    <mergeCell ref="I1829:I1832"/>
    <mergeCell ref="I1833:I1838"/>
    <mergeCell ref="I1839:I1849"/>
    <mergeCell ref="I1850:I1856"/>
    <mergeCell ref="I1867:I1872"/>
    <mergeCell ref="I1873:I1880"/>
    <mergeCell ref="I1881:I1886"/>
    <mergeCell ref="I1888:I1893"/>
    <mergeCell ref="I1894:I1901"/>
    <mergeCell ref="I1912:I1915"/>
    <mergeCell ref="I1916:I1919"/>
    <mergeCell ref="I1947:I1950"/>
    <mergeCell ref="I1951:I1954"/>
    <mergeCell ref="I1983:I1986"/>
    <mergeCell ref="I1987:I2024"/>
    <mergeCell ref="I2029:I2105"/>
    <mergeCell ref="I2106:I2113"/>
    <mergeCell ref="I2114:I2116"/>
    <mergeCell ref="I2117:I2144"/>
    <mergeCell ref="I2145:I2153"/>
    <mergeCell ref="I2154:I2161"/>
    <mergeCell ref="I2162:I2169"/>
    <mergeCell ref="I2170:I2177"/>
    <mergeCell ref="I2178:I2180"/>
    <mergeCell ref="I2181:I2184"/>
    <mergeCell ref="I2185:I2192"/>
    <mergeCell ref="I2194:I2236"/>
    <mergeCell ref="I2237:I2241"/>
    <mergeCell ref="I2242:I2296"/>
    <mergeCell ref="I2297:I2303"/>
    <mergeCell ref="I2304:I2308"/>
    <mergeCell ref="I2325:I2328"/>
    <mergeCell ref="I2329:I2335"/>
    <mergeCell ref="I2336:I2344"/>
    <mergeCell ref="I2345:I2347"/>
    <mergeCell ref="I2348:I2351"/>
    <mergeCell ref="I2352:I2359"/>
    <mergeCell ref="I2360:I2363"/>
    <mergeCell ref="I2364:I2370"/>
    <mergeCell ref="I2371:I2374"/>
    <mergeCell ref="I2375:I2378"/>
    <mergeCell ref="I2380:I2383"/>
    <mergeCell ref="I2385:I2395"/>
    <mergeCell ref="I2396:I2397"/>
    <mergeCell ref="I2399:I2413"/>
    <mergeCell ref="I2415:I2421"/>
    <mergeCell ref="I2422:I2434"/>
    <mergeCell ref="I2435:I2440"/>
    <mergeCell ref="I2441:I2445"/>
    <mergeCell ref="I2450:I2453"/>
    <mergeCell ref="I2456:I2469"/>
    <mergeCell ref="I2475:I2476"/>
    <mergeCell ref="I2505:I2508"/>
    <mergeCell ref="I2509:I2512"/>
    <mergeCell ref="I2622:I2629"/>
    <mergeCell ref="I2630:I2636"/>
    <mergeCell ref="I2637:I2643"/>
    <mergeCell ref="I2644:I2650"/>
    <mergeCell ref="I2651:I2658"/>
    <mergeCell ref="I2659:I2662"/>
    <mergeCell ref="I2663:I2668"/>
    <mergeCell ref="I2669:I2670"/>
    <mergeCell ref="I2671:I2677"/>
    <mergeCell ref="I2678:I2681"/>
    <mergeCell ref="I2682:I2685"/>
    <mergeCell ref="I2686:I2688"/>
    <mergeCell ref="I2689:I2697"/>
    <mergeCell ref="I2698:I2702"/>
    <mergeCell ref="I2703:I2705"/>
    <mergeCell ref="I2707:I2708"/>
    <mergeCell ref="I2709:I2712"/>
    <mergeCell ref="I2713:I2718"/>
    <mergeCell ref="I2719:I2721"/>
    <mergeCell ref="J5:J29"/>
    <mergeCell ref="J30:J34"/>
    <mergeCell ref="J35:J38"/>
    <mergeCell ref="J39:J40"/>
    <mergeCell ref="J41:J44"/>
    <mergeCell ref="J45:J48"/>
    <mergeCell ref="J49:J51"/>
    <mergeCell ref="J52:J55"/>
    <mergeCell ref="J56:J59"/>
    <mergeCell ref="J60:J65"/>
    <mergeCell ref="J66:J77"/>
    <mergeCell ref="J78:J80"/>
    <mergeCell ref="J81:J84"/>
    <mergeCell ref="J86:J87"/>
    <mergeCell ref="J90:J96"/>
    <mergeCell ref="J97:J103"/>
    <mergeCell ref="J104:J108"/>
    <mergeCell ref="J109:J112"/>
    <mergeCell ref="J113:J122"/>
    <mergeCell ref="J123:J130"/>
    <mergeCell ref="J131:J134"/>
    <mergeCell ref="J135:J137"/>
    <mergeCell ref="J138:J143"/>
    <mergeCell ref="J144:J149"/>
    <mergeCell ref="J150:J153"/>
    <mergeCell ref="J154:J159"/>
    <mergeCell ref="J160:J164"/>
    <mergeCell ref="J168:J171"/>
    <mergeCell ref="J172:J174"/>
    <mergeCell ref="J175:J177"/>
    <mergeCell ref="J178:J181"/>
    <mergeCell ref="J182:J188"/>
    <mergeCell ref="J189:J190"/>
    <mergeCell ref="J191:J194"/>
    <mergeCell ref="J195:J199"/>
    <mergeCell ref="J203:J206"/>
    <mergeCell ref="J209:J210"/>
    <mergeCell ref="J213:J216"/>
    <mergeCell ref="J218:J221"/>
    <mergeCell ref="J222:J223"/>
    <mergeCell ref="J224:J227"/>
    <mergeCell ref="J228:J230"/>
    <mergeCell ref="J231:J234"/>
    <mergeCell ref="J235:J239"/>
    <mergeCell ref="J240:J247"/>
    <mergeCell ref="J248:J249"/>
    <mergeCell ref="J250:J253"/>
    <mergeCell ref="J254:J257"/>
    <mergeCell ref="J258:J259"/>
    <mergeCell ref="J260:J261"/>
    <mergeCell ref="J262:J267"/>
    <mergeCell ref="J268:J269"/>
    <mergeCell ref="J271:J273"/>
    <mergeCell ref="J274:J276"/>
    <mergeCell ref="J278:J282"/>
    <mergeCell ref="J283:J286"/>
    <mergeCell ref="J287:J289"/>
    <mergeCell ref="J290:J292"/>
    <mergeCell ref="J293:J297"/>
    <mergeCell ref="J298:J301"/>
    <mergeCell ref="J302:J303"/>
    <mergeCell ref="J304:J313"/>
    <mergeCell ref="J314:J317"/>
    <mergeCell ref="J318:J321"/>
    <mergeCell ref="J322:J324"/>
    <mergeCell ref="J325:J330"/>
    <mergeCell ref="J332:J336"/>
    <mergeCell ref="J337:J339"/>
    <mergeCell ref="J340:J343"/>
    <mergeCell ref="J344:J349"/>
    <mergeCell ref="J350:J355"/>
    <mergeCell ref="J356:J365"/>
    <mergeCell ref="J366:J371"/>
    <mergeCell ref="J372:J377"/>
    <mergeCell ref="J378:J383"/>
    <mergeCell ref="J384:J389"/>
    <mergeCell ref="J390:J396"/>
    <mergeCell ref="J397:J402"/>
    <mergeCell ref="J403:J408"/>
    <mergeCell ref="J409:J414"/>
    <mergeCell ref="J415:J420"/>
    <mergeCell ref="J421:J426"/>
    <mergeCell ref="J427:J429"/>
    <mergeCell ref="J431:J433"/>
    <mergeCell ref="J434:J436"/>
    <mergeCell ref="J437:J440"/>
    <mergeCell ref="J441:J442"/>
    <mergeCell ref="J443:J444"/>
    <mergeCell ref="J445:J449"/>
    <mergeCell ref="J450:J451"/>
    <mergeCell ref="J452:J453"/>
    <mergeCell ref="J454:J455"/>
    <mergeCell ref="J456:J457"/>
    <mergeCell ref="J458:J460"/>
    <mergeCell ref="J461:J468"/>
    <mergeCell ref="J469:J472"/>
    <mergeCell ref="J473:J476"/>
    <mergeCell ref="J477:J480"/>
    <mergeCell ref="J481:J484"/>
    <mergeCell ref="J485:J488"/>
    <mergeCell ref="J489:J491"/>
    <mergeCell ref="J492:J497"/>
    <mergeCell ref="J500:J502"/>
    <mergeCell ref="J503:J505"/>
    <mergeCell ref="J506:J508"/>
    <mergeCell ref="J509:J524"/>
    <mergeCell ref="J525:J528"/>
    <mergeCell ref="J532:J537"/>
    <mergeCell ref="J538:J540"/>
    <mergeCell ref="J541:J547"/>
    <mergeCell ref="J548:J550"/>
    <mergeCell ref="J551:J554"/>
    <mergeCell ref="J555:J559"/>
    <mergeCell ref="J561:J564"/>
    <mergeCell ref="J566:J588"/>
    <mergeCell ref="J589:J592"/>
    <mergeCell ref="J593:J594"/>
    <mergeCell ref="J595:J599"/>
    <mergeCell ref="J600:J602"/>
    <mergeCell ref="J604:J613"/>
    <mergeCell ref="J614:J615"/>
    <mergeCell ref="J616:J618"/>
    <mergeCell ref="J619:J620"/>
    <mergeCell ref="J621:J624"/>
    <mergeCell ref="J625:J628"/>
    <mergeCell ref="J629:J630"/>
    <mergeCell ref="J631:J639"/>
    <mergeCell ref="J640:J642"/>
    <mergeCell ref="J643:J646"/>
    <mergeCell ref="J647:J650"/>
    <mergeCell ref="J652:J657"/>
    <mergeCell ref="J658:J674"/>
    <mergeCell ref="J675:J680"/>
    <mergeCell ref="J681:J685"/>
    <mergeCell ref="J686:J688"/>
    <mergeCell ref="J689:J694"/>
    <mergeCell ref="J695:J704"/>
    <mergeCell ref="J705:J711"/>
    <mergeCell ref="J712:J794"/>
    <mergeCell ref="J795:J815"/>
    <mergeCell ref="J816:J836"/>
    <mergeCell ref="J837:J867"/>
    <mergeCell ref="J868:J871"/>
    <mergeCell ref="J872:J874"/>
    <mergeCell ref="J875:J877"/>
    <mergeCell ref="J878:J880"/>
    <mergeCell ref="J881:J941"/>
    <mergeCell ref="J942:J947"/>
    <mergeCell ref="J948:J950"/>
    <mergeCell ref="J951:J958"/>
    <mergeCell ref="J959:J964"/>
    <mergeCell ref="J965:J967"/>
    <mergeCell ref="J968:J970"/>
    <mergeCell ref="J971:J973"/>
    <mergeCell ref="J974:J976"/>
    <mergeCell ref="J977:J981"/>
    <mergeCell ref="J982:J986"/>
    <mergeCell ref="J987:J992"/>
    <mergeCell ref="J993:J998"/>
    <mergeCell ref="J999:J1027"/>
    <mergeCell ref="J1028:J1031"/>
    <mergeCell ref="J1032:J1064"/>
    <mergeCell ref="J1065:J1092"/>
    <mergeCell ref="J1093:J1120"/>
    <mergeCell ref="J1121:J1126"/>
    <mergeCell ref="J1127:J1128"/>
    <mergeCell ref="J1129:J1132"/>
    <mergeCell ref="J1133:J1134"/>
    <mergeCell ref="J1135:J1136"/>
    <mergeCell ref="J1137:J1138"/>
    <mergeCell ref="J1139:J1144"/>
    <mergeCell ref="J1145:J1149"/>
    <mergeCell ref="J1150:J1159"/>
    <mergeCell ref="J1160:J1164"/>
    <mergeCell ref="J1165:J1167"/>
    <mergeCell ref="J1168:J1171"/>
    <mergeCell ref="J1172:J1174"/>
    <mergeCell ref="J1175:J1179"/>
    <mergeCell ref="J1180:J1189"/>
    <mergeCell ref="J1190:J1200"/>
    <mergeCell ref="J1201:J1205"/>
    <mergeCell ref="J1206:J1210"/>
    <mergeCell ref="J1211:J1213"/>
    <mergeCell ref="J1214:J1218"/>
    <mergeCell ref="J1219:J1226"/>
    <mergeCell ref="J1227:J1239"/>
    <mergeCell ref="J1240:J1245"/>
    <mergeCell ref="J1246:J1249"/>
    <mergeCell ref="J1250:J1252"/>
    <mergeCell ref="J1253:J1257"/>
    <mergeCell ref="J1258:J1262"/>
    <mergeCell ref="J1263:J1273"/>
    <mergeCell ref="J1274:J1278"/>
    <mergeCell ref="J1279:J1282"/>
    <mergeCell ref="J1283:J1285"/>
    <mergeCell ref="J1286:J1291"/>
    <mergeCell ref="J1292:J1299"/>
    <mergeCell ref="J1300:J1308"/>
    <mergeCell ref="J1309:J1313"/>
    <mergeCell ref="J1314:J1317"/>
    <mergeCell ref="J1318:J1320"/>
    <mergeCell ref="J1321:J1325"/>
    <mergeCell ref="J1326:J1330"/>
    <mergeCell ref="J1331:J1336"/>
    <mergeCell ref="J1337:J1340"/>
    <mergeCell ref="J1341:J1343"/>
    <mergeCell ref="J1344:J1347"/>
    <mergeCell ref="J1348:J1354"/>
    <mergeCell ref="J1355:J1363"/>
    <mergeCell ref="J1364:J1369"/>
    <mergeCell ref="J1370:J1373"/>
    <mergeCell ref="J1374:J1376"/>
    <mergeCell ref="J1377:J1381"/>
    <mergeCell ref="J1382:J1384"/>
    <mergeCell ref="J1385:J1389"/>
    <mergeCell ref="J1390:J1394"/>
    <mergeCell ref="J1395:J1399"/>
    <mergeCell ref="J1400:J1404"/>
    <mergeCell ref="J1405:J1408"/>
    <mergeCell ref="J1409:J1411"/>
    <mergeCell ref="J1412:J1416"/>
    <mergeCell ref="J1417:J1424"/>
    <mergeCell ref="J1425:J1429"/>
    <mergeCell ref="J1430:J1434"/>
    <mergeCell ref="J1435:J1438"/>
    <mergeCell ref="J1439:J1441"/>
    <mergeCell ref="J1442:J1445"/>
    <mergeCell ref="J1446:J1450"/>
    <mergeCell ref="J1451:J1456"/>
    <mergeCell ref="J1457:J1459"/>
    <mergeCell ref="J1460:J1463"/>
    <mergeCell ref="J1464:J1466"/>
    <mergeCell ref="J1467:J1469"/>
    <mergeCell ref="J1470:J1475"/>
    <mergeCell ref="J1476:J1478"/>
    <mergeCell ref="J1479:J1482"/>
    <mergeCell ref="J1483:J1486"/>
    <mergeCell ref="J1487:J1491"/>
    <mergeCell ref="J1492:J1497"/>
    <mergeCell ref="J1498:J1500"/>
    <mergeCell ref="J1501:J1504"/>
    <mergeCell ref="J1505:J1508"/>
    <mergeCell ref="J1509:J1513"/>
    <mergeCell ref="J1514:J1519"/>
    <mergeCell ref="J1524:J1525"/>
    <mergeCell ref="J1526:J1528"/>
    <mergeCell ref="J1529:J1530"/>
    <mergeCell ref="J1531:J1539"/>
    <mergeCell ref="J1540:J1545"/>
    <mergeCell ref="J1547:J1554"/>
    <mergeCell ref="J1555:J1560"/>
    <mergeCell ref="J1561:J1565"/>
    <mergeCell ref="J1566:J1569"/>
    <mergeCell ref="J1570:J1576"/>
    <mergeCell ref="J1577:J1582"/>
    <mergeCell ref="J1583:J1598"/>
    <mergeCell ref="J1599:J1601"/>
    <mergeCell ref="J1602:J1603"/>
    <mergeCell ref="J1604:J1606"/>
    <mergeCell ref="J1607:J1613"/>
    <mergeCell ref="J1614:J1617"/>
    <mergeCell ref="J1618:J1621"/>
    <mergeCell ref="J1623:J1624"/>
    <mergeCell ref="J1625:J1627"/>
    <mergeCell ref="J1628:J1632"/>
    <mergeCell ref="J1633:J1636"/>
    <mergeCell ref="J1637:J1645"/>
    <mergeCell ref="J1646:J1650"/>
    <mergeCell ref="J1651:J1664"/>
    <mergeCell ref="J1665:J1668"/>
    <mergeCell ref="J1669:J1671"/>
    <mergeCell ref="J1672:J1678"/>
    <mergeCell ref="J1679:J1680"/>
    <mergeCell ref="J1681:J1684"/>
    <mergeCell ref="J1685:J1687"/>
    <mergeCell ref="J1688:J1689"/>
    <mergeCell ref="J1690:J1697"/>
    <mergeCell ref="J1698:J1700"/>
    <mergeCell ref="J1701:J1706"/>
    <mergeCell ref="J1708:J1709"/>
    <mergeCell ref="J1710:J1714"/>
    <mergeCell ref="J1716:J1719"/>
    <mergeCell ref="J1720:J1723"/>
    <mergeCell ref="J1731:J1733"/>
    <mergeCell ref="J1736:J1738"/>
    <mergeCell ref="J1743:J1745"/>
    <mergeCell ref="J1746:J1748"/>
    <mergeCell ref="J1749:J1750"/>
    <mergeCell ref="J1751:J1757"/>
    <mergeCell ref="J1758:J1762"/>
    <mergeCell ref="J1763:J1765"/>
    <mergeCell ref="J1766:J1770"/>
    <mergeCell ref="J1771:J1772"/>
    <mergeCell ref="J1773:J1775"/>
    <mergeCell ref="J1777:J1780"/>
    <mergeCell ref="J1781:J1784"/>
    <mergeCell ref="J1785:J1787"/>
    <mergeCell ref="J1788:J1790"/>
    <mergeCell ref="J1791:J1792"/>
    <mergeCell ref="J1793:J1795"/>
    <mergeCell ref="J1800:J1801"/>
    <mergeCell ref="J1803:J1808"/>
    <mergeCell ref="J1809:J1813"/>
    <mergeCell ref="J1814:J1815"/>
    <mergeCell ref="J1816:J1819"/>
    <mergeCell ref="J1821:J1823"/>
    <mergeCell ref="J1825:J1828"/>
    <mergeCell ref="J1829:J1832"/>
    <mergeCell ref="J1833:J1838"/>
    <mergeCell ref="J1839:J1849"/>
    <mergeCell ref="J1850:J1856"/>
    <mergeCell ref="J1857:J1859"/>
    <mergeCell ref="J1860:J1862"/>
    <mergeCell ref="J1863:J1865"/>
    <mergeCell ref="J1867:J1872"/>
    <mergeCell ref="J1873:J1880"/>
    <mergeCell ref="J1881:J1886"/>
    <mergeCell ref="J1888:J1893"/>
    <mergeCell ref="J1894:J1901"/>
    <mergeCell ref="J1902:J1907"/>
    <mergeCell ref="J1908:J1911"/>
    <mergeCell ref="J1912:J1915"/>
    <mergeCell ref="J1916:J1919"/>
    <mergeCell ref="J1920:J1946"/>
    <mergeCell ref="J1947:J1950"/>
    <mergeCell ref="J1951:J1954"/>
    <mergeCell ref="J1955:J1982"/>
    <mergeCell ref="J1983:J1986"/>
    <mergeCell ref="J1987:J1990"/>
    <mergeCell ref="J1991:J1995"/>
    <mergeCell ref="J1996:J2023"/>
    <mergeCell ref="J2026:J2028"/>
    <mergeCell ref="J2029:J2034"/>
    <mergeCell ref="J2035:J2046"/>
    <mergeCell ref="J2047:J2064"/>
    <mergeCell ref="J2065:J2073"/>
    <mergeCell ref="J2074:J2076"/>
    <mergeCell ref="J2078:J2081"/>
    <mergeCell ref="J2082:J2086"/>
    <mergeCell ref="J2087:J2091"/>
    <mergeCell ref="J2092:J2096"/>
    <mergeCell ref="J2097:J2101"/>
    <mergeCell ref="J2102:J2105"/>
    <mergeCell ref="J2106:J2113"/>
    <mergeCell ref="J2114:J2116"/>
    <mergeCell ref="J2117:J2144"/>
    <mergeCell ref="J2145:J2153"/>
    <mergeCell ref="J2154:J2161"/>
    <mergeCell ref="J2162:J2169"/>
    <mergeCell ref="J2170:J2177"/>
    <mergeCell ref="J2178:J2180"/>
    <mergeCell ref="J2181:J2184"/>
    <mergeCell ref="J2185:J2192"/>
    <mergeCell ref="J2194:J2236"/>
    <mergeCell ref="J2237:J2241"/>
    <mergeCell ref="J2242:J2296"/>
    <mergeCell ref="J2297:J2303"/>
    <mergeCell ref="J2304:J2308"/>
    <mergeCell ref="J2309:J2311"/>
    <mergeCell ref="J2312:J2315"/>
    <mergeCell ref="J2316:J2318"/>
    <mergeCell ref="J2319:J2321"/>
    <mergeCell ref="J2325:J2328"/>
    <mergeCell ref="J2329:J2335"/>
    <mergeCell ref="J2336:J2344"/>
    <mergeCell ref="J2345:J2347"/>
    <mergeCell ref="J2348:J2351"/>
    <mergeCell ref="J2352:J2359"/>
    <mergeCell ref="J2360:J2363"/>
    <mergeCell ref="J2364:J2370"/>
    <mergeCell ref="J2371:J2374"/>
    <mergeCell ref="J2375:J2378"/>
    <mergeCell ref="J2380:J2383"/>
    <mergeCell ref="J2385:J2395"/>
    <mergeCell ref="J2396:J2397"/>
    <mergeCell ref="J2399:J2413"/>
    <mergeCell ref="J2415:J2421"/>
    <mergeCell ref="J2422:J2434"/>
    <mergeCell ref="J2435:J2440"/>
    <mergeCell ref="J2441:J2445"/>
    <mergeCell ref="J2446:J2447"/>
    <mergeCell ref="J2448:J2449"/>
    <mergeCell ref="J2450:J2453"/>
    <mergeCell ref="J2454:J2455"/>
    <mergeCell ref="J2456:J2469"/>
    <mergeCell ref="J2470:J2474"/>
    <mergeCell ref="J2475:J2476"/>
    <mergeCell ref="J2478:J2482"/>
    <mergeCell ref="J2483:J2557"/>
    <mergeCell ref="J2558:J2618"/>
    <mergeCell ref="J2619:J2621"/>
    <mergeCell ref="J2622:J2629"/>
    <mergeCell ref="J2630:J2636"/>
    <mergeCell ref="J2637:J2643"/>
    <mergeCell ref="J2644:J2650"/>
    <mergeCell ref="J2651:J2658"/>
    <mergeCell ref="J2659:J2662"/>
    <mergeCell ref="J2663:J2668"/>
    <mergeCell ref="J2669:J2670"/>
    <mergeCell ref="J2671:J2677"/>
    <mergeCell ref="J2678:J2681"/>
    <mergeCell ref="J2682:J2685"/>
    <mergeCell ref="J2686:J2688"/>
    <mergeCell ref="J2689:J2697"/>
    <mergeCell ref="J2698:J2702"/>
    <mergeCell ref="J2703:J2705"/>
    <mergeCell ref="J2707:J2708"/>
    <mergeCell ref="J2709:J2712"/>
    <mergeCell ref="J2713:J2718"/>
    <mergeCell ref="J2719:J2721"/>
    <mergeCell ref="K5:K29"/>
    <mergeCell ref="K30:K34"/>
    <mergeCell ref="K35:K38"/>
    <mergeCell ref="K39:K40"/>
    <mergeCell ref="K41:K44"/>
    <mergeCell ref="K45:K48"/>
    <mergeCell ref="K49:K51"/>
    <mergeCell ref="K52:K55"/>
    <mergeCell ref="K56:K59"/>
    <mergeCell ref="K60:K65"/>
    <mergeCell ref="K66:K77"/>
    <mergeCell ref="K78:K80"/>
    <mergeCell ref="K81:K84"/>
    <mergeCell ref="K86:K87"/>
    <mergeCell ref="K90:K96"/>
    <mergeCell ref="K97:K103"/>
    <mergeCell ref="K104:K108"/>
    <mergeCell ref="K109:K112"/>
    <mergeCell ref="K113:K117"/>
    <mergeCell ref="K118:K122"/>
    <mergeCell ref="K123:K126"/>
    <mergeCell ref="K127:K130"/>
    <mergeCell ref="K131:K134"/>
    <mergeCell ref="K135:K137"/>
    <mergeCell ref="K138:K143"/>
    <mergeCell ref="K144:K149"/>
    <mergeCell ref="K150:K153"/>
    <mergeCell ref="K154:K159"/>
    <mergeCell ref="K160:K164"/>
    <mergeCell ref="K168:K171"/>
    <mergeCell ref="K172:K174"/>
    <mergeCell ref="K175:K177"/>
    <mergeCell ref="K178:K181"/>
    <mergeCell ref="K182:K188"/>
    <mergeCell ref="K189:K190"/>
    <mergeCell ref="K191:K194"/>
    <mergeCell ref="K195:K199"/>
    <mergeCell ref="K203:K206"/>
    <mergeCell ref="K209:K210"/>
    <mergeCell ref="K213:K216"/>
    <mergeCell ref="K218:K221"/>
    <mergeCell ref="K222:K223"/>
    <mergeCell ref="K224:K227"/>
    <mergeCell ref="K228:K230"/>
    <mergeCell ref="K231:K234"/>
    <mergeCell ref="K235:K239"/>
    <mergeCell ref="K240:K247"/>
    <mergeCell ref="K248:K249"/>
    <mergeCell ref="K250:K253"/>
    <mergeCell ref="K254:K257"/>
    <mergeCell ref="K258:K259"/>
    <mergeCell ref="K260:K261"/>
    <mergeCell ref="K262:K267"/>
    <mergeCell ref="K268:K269"/>
    <mergeCell ref="K271:K273"/>
    <mergeCell ref="K274:K276"/>
    <mergeCell ref="K278:K282"/>
    <mergeCell ref="K283:K286"/>
    <mergeCell ref="K287:K289"/>
    <mergeCell ref="K290:K292"/>
    <mergeCell ref="K293:K297"/>
    <mergeCell ref="K298:K301"/>
    <mergeCell ref="K302:K303"/>
    <mergeCell ref="K304:K313"/>
    <mergeCell ref="K314:K321"/>
    <mergeCell ref="K322:K324"/>
    <mergeCell ref="K325:K330"/>
    <mergeCell ref="K332:K336"/>
    <mergeCell ref="K337:K339"/>
    <mergeCell ref="K340:K343"/>
    <mergeCell ref="K344:K349"/>
    <mergeCell ref="K350:K355"/>
    <mergeCell ref="K356:K365"/>
    <mergeCell ref="K366:K371"/>
    <mergeCell ref="K372:K377"/>
    <mergeCell ref="K378:K383"/>
    <mergeCell ref="K384:K389"/>
    <mergeCell ref="K390:K396"/>
    <mergeCell ref="K397:K402"/>
    <mergeCell ref="K403:K408"/>
    <mergeCell ref="K409:K414"/>
    <mergeCell ref="K415:K420"/>
    <mergeCell ref="K421:K426"/>
    <mergeCell ref="K427:K429"/>
    <mergeCell ref="K431:K433"/>
    <mergeCell ref="K434:K436"/>
    <mergeCell ref="K437:K440"/>
    <mergeCell ref="K441:K442"/>
    <mergeCell ref="K443:K444"/>
    <mergeCell ref="K445:K449"/>
    <mergeCell ref="K450:K451"/>
    <mergeCell ref="K452:K453"/>
    <mergeCell ref="K454:K455"/>
    <mergeCell ref="K456:K457"/>
    <mergeCell ref="K458:K460"/>
    <mergeCell ref="K461:K468"/>
    <mergeCell ref="K469:K472"/>
    <mergeCell ref="K473:K476"/>
    <mergeCell ref="K477:K480"/>
    <mergeCell ref="K481:K484"/>
    <mergeCell ref="K485:K488"/>
    <mergeCell ref="K489:K491"/>
    <mergeCell ref="K492:K497"/>
    <mergeCell ref="K500:K502"/>
    <mergeCell ref="K503:K505"/>
    <mergeCell ref="K506:K508"/>
    <mergeCell ref="K509:K524"/>
    <mergeCell ref="K525:K528"/>
    <mergeCell ref="K532:K537"/>
    <mergeCell ref="K538:K540"/>
    <mergeCell ref="K541:K547"/>
    <mergeCell ref="K548:K550"/>
    <mergeCell ref="K551:K554"/>
    <mergeCell ref="K555:K559"/>
    <mergeCell ref="K561:K564"/>
    <mergeCell ref="K566:K588"/>
    <mergeCell ref="K589:K592"/>
    <mergeCell ref="K593:K594"/>
    <mergeCell ref="K595:K599"/>
    <mergeCell ref="K600:K602"/>
    <mergeCell ref="K604:K613"/>
    <mergeCell ref="K614:K615"/>
    <mergeCell ref="K616:K618"/>
    <mergeCell ref="K619:K620"/>
    <mergeCell ref="K621:K624"/>
    <mergeCell ref="K625:K628"/>
    <mergeCell ref="K629:K630"/>
    <mergeCell ref="K631:K639"/>
    <mergeCell ref="K640:K642"/>
    <mergeCell ref="K643:K646"/>
    <mergeCell ref="K647:K650"/>
    <mergeCell ref="K652:K657"/>
    <mergeCell ref="K658:K674"/>
    <mergeCell ref="K675:K680"/>
    <mergeCell ref="K681:K685"/>
    <mergeCell ref="K686:K688"/>
    <mergeCell ref="K689:K694"/>
    <mergeCell ref="K695:K704"/>
    <mergeCell ref="K705:K711"/>
    <mergeCell ref="K712:K794"/>
    <mergeCell ref="K795:K815"/>
    <mergeCell ref="K816:K836"/>
    <mergeCell ref="K837:K867"/>
    <mergeCell ref="K868:K871"/>
    <mergeCell ref="K872:K874"/>
    <mergeCell ref="K875:K877"/>
    <mergeCell ref="K878:K880"/>
    <mergeCell ref="K881:K941"/>
    <mergeCell ref="K942:K947"/>
    <mergeCell ref="K948:K950"/>
    <mergeCell ref="K951:K958"/>
    <mergeCell ref="K959:K964"/>
    <mergeCell ref="K965:K967"/>
    <mergeCell ref="K968:K970"/>
    <mergeCell ref="K971:K973"/>
    <mergeCell ref="K974:K976"/>
    <mergeCell ref="K977:K981"/>
    <mergeCell ref="K982:K986"/>
    <mergeCell ref="K987:K992"/>
    <mergeCell ref="K993:K998"/>
    <mergeCell ref="K999:K1027"/>
    <mergeCell ref="K1028:K1031"/>
    <mergeCell ref="K1032:K1064"/>
    <mergeCell ref="K1065:K1092"/>
    <mergeCell ref="K1093:K1120"/>
    <mergeCell ref="K1121:K1126"/>
    <mergeCell ref="K1127:K1128"/>
    <mergeCell ref="K1129:K1132"/>
    <mergeCell ref="K1133:K1134"/>
    <mergeCell ref="K1135:K1136"/>
    <mergeCell ref="K1137:K1138"/>
    <mergeCell ref="K1139:K1144"/>
    <mergeCell ref="K1145:K1149"/>
    <mergeCell ref="K1150:K1159"/>
    <mergeCell ref="K1160:K1164"/>
    <mergeCell ref="K1165:K1167"/>
    <mergeCell ref="K1168:K1171"/>
    <mergeCell ref="K1172:K1174"/>
    <mergeCell ref="K1175:K1179"/>
    <mergeCell ref="K1180:K1189"/>
    <mergeCell ref="K1190:K1200"/>
    <mergeCell ref="K1201:K1205"/>
    <mergeCell ref="K1206:K1210"/>
    <mergeCell ref="K1211:K1213"/>
    <mergeCell ref="K1214:K1218"/>
    <mergeCell ref="K1219:K1226"/>
    <mergeCell ref="K1227:K1239"/>
    <mergeCell ref="K1240:K1245"/>
    <mergeCell ref="K1246:K1249"/>
    <mergeCell ref="K1250:K1252"/>
    <mergeCell ref="K1253:K1257"/>
    <mergeCell ref="K1258:K1262"/>
    <mergeCell ref="K1263:K1268"/>
    <mergeCell ref="K1269:K1273"/>
    <mergeCell ref="K1274:K1278"/>
    <mergeCell ref="K1279:K1282"/>
    <mergeCell ref="K1283:K1285"/>
    <mergeCell ref="K1286:K1291"/>
    <mergeCell ref="K1292:K1299"/>
    <mergeCell ref="K1300:K1308"/>
    <mergeCell ref="K1309:K1313"/>
    <mergeCell ref="K1314:K1317"/>
    <mergeCell ref="K1318:K1320"/>
    <mergeCell ref="K1321:K1325"/>
    <mergeCell ref="K1326:K1330"/>
    <mergeCell ref="K1331:K1336"/>
    <mergeCell ref="K1337:K1340"/>
    <mergeCell ref="K1341:K1343"/>
    <mergeCell ref="K1344:K1347"/>
    <mergeCell ref="K1348:K1354"/>
    <mergeCell ref="K1355:K1363"/>
    <mergeCell ref="K1364:K1369"/>
    <mergeCell ref="K1370:K1373"/>
    <mergeCell ref="K1374:K1376"/>
    <mergeCell ref="K1377:K1381"/>
    <mergeCell ref="K1382:K1384"/>
    <mergeCell ref="K1385:K1389"/>
    <mergeCell ref="K1390:K1394"/>
    <mergeCell ref="K1395:K1399"/>
    <mergeCell ref="K1400:K1404"/>
    <mergeCell ref="K1405:K1408"/>
    <mergeCell ref="K1409:K1411"/>
    <mergeCell ref="K1412:K1416"/>
    <mergeCell ref="K1417:K1424"/>
    <mergeCell ref="K1425:K1429"/>
    <mergeCell ref="K1430:K1434"/>
    <mergeCell ref="K1435:K1438"/>
    <mergeCell ref="K1439:K1441"/>
    <mergeCell ref="K1442:K1445"/>
    <mergeCell ref="K1446:K1450"/>
    <mergeCell ref="K1451:K1456"/>
    <mergeCell ref="K1457:K1459"/>
    <mergeCell ref="K1460:K1463"/>
    <mergeCell ref="K1464:K1466"/>
    <mergeCell ref="K1467:K1469"/>
    <mergeCell ref="K1470:K1475"/>
    <mergeCell ref="K1476:K1478"/>
    <mergeCell ref="K1479:K1482"/>
    <mergeCell ref="K1483:K1486"/>
    <mergeCell ref="K1487:K1491"/>
    <mergeCell ref="K1492:K1497"/>
    <mergeCell ref="K1498:K1500"/>
    <mergeCell ref="K1501:K1504"/>
    <mergeCell ref="K1505:K1508"/>
    <mergeCell ref="K1509:K1513"/>
    <mergeCell ref="K1514:K1519"/>
    <mergeCell ref="K1524:K1525"/>
    <mergeCell ref="K1526:K1528"/>
    <mergeCell ref="K1529:K1530"/>
    <mergeCell ref="K1531:K1539"/>
    <mergeCell ref="K1540:K1545"/>
    <mergeCell ref="K1547:K1554"/>
    <mergeCell ref="K1555:K1560"/>
    <mergeCell ref="K1561:K1565"/>
    <mergeCell ref="K1566:K1569"/>
    <mergeCell ref="K1570:K1576"/>
    <mergeCell ref="K1577:K1582"/>
    <mergeCell ref="K1583:K1598"/>
    <mergeCell ref="K1599:K1601"/>
    <mergeCell ref="K1602:K1603"/>
    <mergeCell ref="K1604:K1606"/>
    <mergeCell ref="K1607:K1613"/>
    <mergeCell ref="K1614:K1617"/>
    <mergeCell ref="K1618:K1621"/>
    <mergeCell ref="K1623:K1624"/>
    <mergeCell ref="K1625:K1627"/>
    <mergeCell ref="K1628:K1632"/>
    <mergeCell ref="K1633:K1636"/>
    <mergeCell ref="K1637:K1645"/>
    <mergeCell ref="K1646:K1650"/>
    <mergeCell ref="K1651:K1664"/>
    <mergeCell ref="K1665:K1668"/>
    <mergeCell ref="K1669:K1671"/>
    <mergeCell ref="K1672:K1678"/>
    <mergeCell ref="K1679:K1680"/>
    <mergeCell ref="K1681:K1684"/>
    <mergeCell ref="K1685:K1687"/>
    <mergeCell ref="K1688:K1689"/>
    <mergeCell ref="K1690:K1697"/>
    <mergeCell ref="K1698:K1700"/>
    <mergeCell ref="K1701:K1706"/>
    <mergeCell ref="K1708:K1709"/>
    <mergeCell ref="K1710:K1714"/>
    <mergeCell ref="K1716:K1719"/>
    <mergeCell ref="K1720:K1723"/>
    <mergeCell ref="K1731:K1733"/>
    <mergeCell ref="K1736:K1738"/>
    <mergeCell ref="K1743:K1745"/>
    <mergeCell ref="K1746:K1748"/>
    <mergeCell ref="K1749:K1750"/>
    <mergeCell ref="K1751:K1757"/>
    <mergeCell ref="K1758:K1762"/>
    <mergeCell ref="K1763:K1765"/>
    <mergeCell ref="K1766:K1770"/>
    <mergeCell ref="K1771:K1772"/>
    <mergeCell ref="K1773:K1775"/>
    <mergeCell ref="K1777:K1780"/>
    <mergeCell ref="K1781:K1784"/>
    <mergeCell ref="K1785:K1787"/>
    <mergeCell ref="K1788:K1790"/>
    <mergeCell ref="K1791:K1792"/>
    <mergeCell ref="K1793:K1795"/>
    <mergeCell ref="K1800:K1801"/>
    <mergeCell ref="K1803:K1808"/>
    <mergeCell ref="K1809:K1813"/>
    <mergeCell ref="K1814:K1815"/>
    <mergeCell ref="K1816:K1819"/>
    <mergeCell ref="K1821:K1823"/>
    <mergeCell ref="K1825:K1828"/>
    <mergeCell ref="K1829:K1832"/>
    <mergeCell ref="K1833:K1838"/>
    <mergeCell ref="K1839:K1849"/>
    <mergeCell ref="K1850:K1856"/>
    <mergeCell ref="K1857:K1859"/>
    <mergeCell ref="K1860:K1862"/>
    <mergeCell ref="K1863:K1865"/>
    <mergeCell ref="K1867:K1872"/>
    <mergeCell ref="K1873:K1880"/>
    <mergeCell ref="K1881:K1886"/>
    <mergeCell ref="K1888:K1893"/>
    <mergeCell ref="K1894:K1901"/>
    <mergeCell ref="K1902:K1907"/>
    <mergeCell ref="K1908:K1911"/>
    <mergeCell ref="K1912:K1915"/>
    <mergeCell ref="K1916:K1919"/>
    <mergeCell ref="K1920:K1946"/>
    <mergeCell ref="K1947:K1950"/>
    <mergeCell ref="K1951:K1954"/>
    <mergeCell ref="K1955:K1982"/>
    <mergeCell ref="K1983:K1986"/>
    <mergeCell ref="K1987:K1990"/>
    <mergeCell ref="K1991:K1995"/>
    <mergeCell ref="K1996:K2023"/>
    <mergeCell ref="K2026:K2028"/>
    <mergeCell ref="K2029:K2034"/>
    <mergeCell ref="K2035:K2046"/>
    <mergeCell ref="K2047:K2064"/>
    <mergeCell ref="K2065:K2073"/>
    <mergeCell ref="K2074:K2076"/>
    <mergeCell ref="K2078:K2081"/>
    <mergeCell ref="K2082:K2086"/>
    <mergeCell ref="K2087:K2091"/>
    <mergeCell ref="K2092:K2096"/>
    <mergeCell ref="K2097:K2101"/>
    <mergeCell ref="K2102:K2105"/>
    <mergeCell ref="K2106:K2113"/>
    <mergeCell ref="K2114:K2116"/>
    <mergeCell ref="K2145:K2153"/>
    <mergeCell ref="K2154:K2161"/>
    <mergeCell ref="K2162:K2169"/>
    <mergeCell ref="K2170:K2177"/>
    <mergeCell ref="K2178:K2180"/>
    <mergeCell ref="K2181:K2184"/>
    <mergeCell ref="K2185:K2192"/>
    <mergeCell ref="K2194:K2236"/>
    <mergeCell ref="K2237:K2241"/>
    <mergeCell ref="K2242:K2296"/>
    <mergeCell ref="K2297:K2303"/>
    <mergeCell ref="K2304:K2308"/>
    <mergeCell ref="K2309:K2311"/>
    <mergeCell ref="K2312:K2315"/>
    <mergeCell ref="K2316:K2318"/>
    <mergeCell ref="K2319:K2321"/>
    <mergeCell ref="K2325:K2328"/>
    <mergeCell ref="K2329:K2335"/>
    <mergeCell ref="K2336:K2344"/>
    <mergeCell ref="K2345:K2347"/>
    <mergeCell ref="K2348:K2351"/>
    <mergeCell ref="K2352:K2359"/>
    <mergeCell ref="K2360:K2363"/>
    <mergeCell ref="K2364:K2370"/>
    <mergeCell ref="K2371:K2374"/>
    <mergeCell ref="K2375:K2378"/>
    <mergeCell ref="K2380:K2383"/>
    <mergeCell ref="K2385:K2395"/>
    <mergeCell ref="K2396:K2397"/>
    <mergeCell ref="K2399:K2413"/>
    <mergeCell ref="K2415:K2421"/>
    <mergeCell ref="K2422:K2434"/>
    <mergeCell ref="K2435:K2440"/>
    <mergeCell ref="K2441:K2445"/>
    <mergeCell ref="K2446:K2447"/>
    <mergeCell ref="K2448:K2449"/>
    <mergeCell ref="K2450:K2453"/>
    <mergeCell ref="K2454:K2455"/>
    <mergeCell ref="K2456:K2469"/>
    <mergeCell ref="K2470:K2474"/>
    <mergeCell ref="K2475:K2476"/>
    <mergeCell ref="K2478:K2482"/>
    <mergeCell ref="K2483:K2489"/>
    <mergeCell ref="K2490:K2494"/>
    <mergeCell ref="K2495:K2499"/>
    <mergeCell ref="K2500:K2504"/>
    <mergeCell ref="K2505:K2508"/>
    <mergeCell ref="K2509:K2512"/>
    <mergeCell ref="K2513:K2519"/>
    <mergeCell ref="K2520:K2523"/>
    <mergeCell ref="K2524:K2527"/>
    <mergeCell ref="K2528:K2530"/>
    <mergeCell ref="K2531:K2533"/>
    <mergeCell ref="K2534:K2536"/>
    <mergeCell ref="K2537:K2539"/>
    <mergeCell ref="K2540:K2542"/>
    <mergeCell ref="K2543:K2545"/>
    <mergeCell ref="K2546:K2548"/>
    <mergeCell ref="K2549:K2551"/>
    <mergeCell ref="K2552:K2554"/>
    <mergeCell ref="K2555:K2557"/>
    <mergeCell ref="K2558:K2562"/>
    <mergeCell ref="K2563:K2566"/>
    <mergeCell ref="K2567:K2569"/>
    <mergeCell ref="K2570:K2574"/>
    <mergeCell ref="K2575:K2581"/>
    <mergeCell ref="K2582:K2583"/>
    <mergeCell ref="K2584:K2589"/>
    <mergeCell ref="K2590:K2593"/>
    <mergeCell ref="K2594:K2597"/>
    <mergeCell ref="K2598:K2600"/>
    <mergeCell ref="K2601:K2603"/>
    <mergeCell ref="K2604:K2606"/>
    <mergeCell ref="K2607:K2609"/>
    <mergeCell ref="K2610:K2611"/>
    <mergeCell ref="K2612:K2614"/>
    <mergeCell ref="K2616:K2618"/>
    <mergeCell ref="K2619:K2621"/>
    <mergeCell ref="K2622:K2629"/>
    <mergeCell ref="K2630:K2636"/>
    <mergeCell ref="K2637:K2643"/>
    <mergeCell ref="K2644:K2650"/>
    <mergeCell ref="K2651:K2658"/>
    <mergeCell ref="K2659:K2662"/>
    <mergeCell ref="K2663:K2668"/>
    <mergeCell ref="K2669:K2670"/>
    <mergeCell ref="K2671:K2677"/>
    <mergeCell ref="K2678:K2681"/>
    <mergeCell ref="K2682:K2685"/>
    <mergeCell ref="K2686:K2688"/>
    <mergeCell ref="K2689:K2697"/>
    <mergeCell ref="K2698:K2702"/>
    <mergeCell ref="K2703:K2705"/>
    <mergeCell ref="K2707:K2708"/>
    <mergeCell ref="K2709:K2712"/>
    <mergeCell ref="K2713:K2718"/>
    <mergeCell ref="K2719:K2721"/>
    <mergeCell ref="L5:L29"/>
    <mergeCell ref="L30:L34"/>
    <mergeCell ref="L35:L38"/>
    <mergeCell ref="L39:L40"/>
    <mergeCell ref="L41:L44"/>
    <mergeCell ref="L45:L48"/>
    <mergeCell ref="L49:L51"/>
    <mergeCell ref="L52:L55"/>
    <mergeCell ref="L56:L59"/>
    <mergeCell ref="L60:L65"/>
    <mergeCell ref="L66:L77"/>
    <mergeCell ref="L78:L80"/>
    <mergeCell ref="L81:L84"/>
    <mergeCell ref="L86:L87"/>
    <mergeCell ref="L90:L96"/>
    <mergeCell ref="L97:L103"/>
    <mergeCell ref="L104:L108"/>
    <mergeCell ref="L109:L112"/>
    <mergeCell ref="L113:L117"/>
    <mergeCell ref="L118:L122"/>
    <mergeCell ref="L123:L126"/>
    <mergeCell ref="L127:L130"/>
    <mergeCell ref="L131:L134"/>
    <mergeCell ref="L135:L137"/>
    <mergeCell ref="L138:L143"/>
    <mergeCell ref="L144:L149"/>
    <mergeCell ref="L150:L153"/>
    <mergeCell ref="L154:L159"/>
    <mergeCell ref="L160:L164"/>
    <mergeCell ref="L168:L171"/>
    <mergeCell ref="L172:L174"/>
    <mergeCell ref="L175:L177"/>
    <mergeCell ref="L178:L181"/>
    <mergeCell ref="L182:L188"/>
    <mergeCell ref="L189:L190"/>
    <mergeCell ref="L191:L194"/>
    <mergeCell ref="L195:L199"/>
    <mergeCell ref="L203:L206"/>
    <mergeCell ref="L209:L210"/>
    <mergeCell ref="L213:L216"/>
    <mergeCell ref="L218:L221"/>
    <mergeCell ref="L222:L223"/>
    <mergeCell ref="L224:L227"/>
    <mergeCell ref="L228:L230"/>
    <mergeCell ref="L231:L234"/>
    <mergeCell ref="L235:L239"/>
    <mergeCell ref="L240:L247"/>
    <mergeCell ref="L248:L249"/>
    <mergeCell ref="L250:L253"/>
    <mergeCell ref="L254:L257"/>
    <mergeCell ref="L258:L259"/>
    <mergeCell ref="L260:L261"/>
    <mergeCell ref="L262:L267"/>
    <mergeCell ref="L268:L269"/>
    <mergeCell ref="L271:L273"/>
    <mergeCell ref="L274:L276"/>
    <mergeCell ref="L278:L282"/>
    <mergeCell ref="L283:L286"/>
    <mergeCell ref="L287:L289"/>
    <mergeCell ref="L290:L292"/>
    <mergeCell ref="L293:L297"/>
    <mergeCell ref="L298:L301"/>
    <mergeCell ref="L302:L303"/>
    <mergeCell ref="L304:L313"/>
    <mergeCell ref="L314:L321"/>
    <mergeCell ref="L322:L324"/>
    <mergeCell ref="L325:L330"/>
    <mergeCell ref="L332:L336"/>
    <mergeCell ref="L337:L339"/>
    <mergeCell ref="L340:L343"/>
    <mergeCell ref="L344:L349"/>
    <mergeCell ref="L350:L355"/>
    <mergeCell ref="L356:L365"/>
    <mergeCell ref="L366:L371"/>
    <mergeCell ref="L372:L377"/>
    <mergeCell ref="L378:L383"/>
    <mergeCell ref="L384:L389"/>
    <mergeCell ref="L390:L396"/>
    <mergeCell ref="L397:L402"/>
    <mergeCell ref="L403:L408"/>
    <mergeCell ref="L409:L414"/>
    <mergeCell ref="L415:L420"/>
    <mergeCell ref="L421:L426"/>
    <mergeCell ref="L427:L429"/>
    <mergeCell ref="L431:L433"/>
    <mergeCell ref="L434:L436"/>
    <mergeCell ref="L437:L440"/>
    <mergeCell ref="L441:L442"/>
    <mergeCell ref="L443:L444"/>
    <mergeCell ref="L445:L449"/>
    <mergeCell ref="L450:L451"/>
    <mergeCell ref="L452:L453"/>
    <mergeCell ref="L454:L455"/>
    <mergeCell ref="L456:L457"/>
    <mergeCell ref="L458:L460"/>
    <mergeCell ref="L461:L468"/>
    <mergeCell ref="L469:L472"/>
    <mergeCell ref="L473:L476"/>
    <mergeCell ref="L477:L480"/>
    <mergeCell ref="L481:L484"/>
    <mergeCell ref="L485:L488"/>
    <mergeCell ref="L489:L491"/>
    <mergeCell ref="L492:L497"/>
    <mergeCell ref="L500:L502"/>
    <mergeCell ref="L503:L505"/>
    <mergeCell ref="L506:L508"/>
    <mergeCell ref="L509:L524"/>
    <mergeCell ref="L525:L528"/>
    <mergeCell ref="L532:L537"/>
    <mergeCell ref="L538:L540"/>
    <mergeCell ref="L541:L547"/>
    <mergeCell ref="L548:L550"/>
    <mergeCell ref="L551:L554"/>
    <mergeCell ref="L555:L559"/>
    <mergeCell ref="L561:L564"/>
    <mergeCell ref="L566:L588"/>
    <mergeCell ref="L589:L592"/>
    <mergeCell ref="L593:L594"/>
    <mergeCell ref="L595:L599"/>
    <mergeCell ref="L600:L602"/>
    <mergeCell ref="L604:L613"/>
    <mergeCell ref="L614:L615"/>
    <mergeCell ref="L616:L618"/>
    <mergeCell ref="L619:L620"/>
    <mergeCell ref="L621:L624"/>
    <mergeCell ref="L625:L628"/>
    <mergeCell ref="L629:L630"/>
    <mergeCell ref="L631:L639"/>
    <mergeCell ref="L640:L642"/>
    <mergeCell ref="L643:L646"/>
    <mergeCell ref="L647:L650"/>
    <mergeCell ref="L652:L657"/>
    <mergeCell ref="L658:L674"/>
    <mergeCell ref="L675:L680"/>
    <mergeCell ref="L681:L685"/>
    <mergeCell ref="L686:L688"/>
    <mergeCell ref="L689:L694"/>
    <mergeCell ref="L695:L704"/>
    <mergeCell ref="L705:L711"/>
    <mergeCell ref="L712:L794"/>
    <mergeCell ref="L795:L815"/>
    <mergeCell ref="L816:L836"/>
    <mergeCell ref="L837:L867"/>
    <mergeCell ref="L868:L871"/>
    <mergeCell ref="L872:L874"/>
    <mergeCell ref="L875:L877"/>
    <mergeCell ref="L878:L880"/>
    <mergeCell ref="L881:L941"/>
    <mergeCell ref="L942:L947"/>
    <mergeCell ref="L948:L950"/>
    <mergeCell ref="L951:L958"/>
    <mergeCell ref="L959:L964"/>
    <mergeCell ref="L965:L967"/>
    <mergeCell ref="L968:L970"/>
    <mergeCell ref="L971:L973"/>
    <mergeCell ref="L974:L976"/>
    <mergeCell ref="L977:L981"/>
    <mergeCell ref="L982:L986"/>
    <mergeCell ref="L987:L992"/>
    <mergeCell ref="L993:L998"/>
    <mergeCell ref="L999:L1027"/>
    <mergeCell ref="L1028:L1031"/>
    <mergeCell ref="L1032:L1064"/>
    <mergeCell ref="L1065:L1092"/>
    <mergeCell ref="L1093:L1120"/>
    <mergeCell ref="L1121:L1126"/>
    <mergeCell ref="L1127:L1128"/>
    <mergeCell ref="L1129:L1132"/>
    <mergeCell ref="L1133:L1134"/>
    <mergeCell ref="L1135:L1136"/>
    <mergeCell ref="L1137:L1138"/>
    <mergeCell ref="L1139:L1144"/>
    <mergeCell ref="L1145:L1149"/>
    <mergeCell ref="L1150:L1159"/>
    <mergeCell ref="L1160:L1164"/>
    <mergeCell ref="L1165:L1167"/>
    <mergeCell ref="L1168:L1171"/>
    <mergeCell ref="L1172:L1174"/>
    <mergeCell ref="L1175:L1179"/>
    <mergeCell ref="L1180:L1189"/>
    <mergeCell ref="L1190:L1200"/>
    <mergeCell ref="L1201:L1205"/>
    <mergeCell ref="L1206:L1210"/>
    <mergeCell ref="L1211:L1213"/>
    <mergeCell ref="L1214:L1218"/>
    <mergeCell ref="L1219:L1226"/>
    <mergeCell ref="L1227:L1239"/>
    <mergeCell ref="L1240:L1245"/>
    <mergeCell ref="L1246:L1249"/>
    <mergeCell ref="L1250:L1252"/>
    <mergeCell ref="L1253:L1257"/>
    <mergeCell ref="L1258:L1262"/>
    <mergeCell ref="L1263:L1268"/>
    <mergeCell ref="L1269:L1273"/>
    <mergeCell ref="L1274:L1278"/>
    <mergeCell ref="L1279:L1282"/>
    <mergeCell ref="L1283:L1285"/>
    <mergeCell ref="L1286:L1291"/>
    <mergeCell ref="L1292:L1299"/>
    <mergeCell ref="L1300:L1308"/>
    <mergeCell ref="L1309:L1313"/>
    <mergeCell ref="L1314:L1317"/>
    <mergeCell ref="L1318:L1320"/>
    <mergeCell ref="L1321:L1325"/>
    <mergeCell ref="L1326:L1330"/>
    <mergeCell ref="L1331:L1336"/>
    <mergeCell ref="L1337:L1340"/>
    <mergeCell ref="L1341:L1343"/>
    <mergeCell ref="L1344:L1347"/>
    <mergeCell ref="L1348:L1354"/>
    <mergeCell ref="L1355:L1363"/>
    <mergeCell ref="L1364:L1369"/>
    <mergeCell ref="L1370:L1373"/>
    <mergeCell ref="L1374:L1376"/>
    <mergeCell ref="L1377:L1381"/>
    <mergeCell ref="L1382:L1384"/>
    <mergeCell ref="L1385:L1389"/>
    <mergeCell ref="L1390:L1394"/>
    <mergeCell ref="L1395:L1399"/>
    <mergeCell ref="L1400:L1404"/>
    <mergeCell ref="L1405:L1408"/>
    <mergeCell ref="L1409:L1411"/>
    <mergeCell ref="L1412:L1416"/>
    <mergeCell ref="L1417:L1424"/>
    <mergeCell ref="L1425:L1429"/>
    <mergeCell ref="L1430:L1434"/>
    <mergeCell ref="L1435:L1438"/>
    <mergeCell ref="L1439:L1441"/>
    <mergeCell ref="L1442:L1445"/>
    <mergeCell ref="L1446:L1450"/>
    <mergeCell ref="L1451:L1456"/>
    <mergeCell ref="L1457:L1459"/>
    <mergeCell ref="L1460:L1463"/>
    <mergeCell ref="L1464:L1466"/>
    <mergeCell ref="L1467:L1469"/>
    <mergeCell ref="L1470:L1475"/>
    <mergeCell ref="L1476:L1478"/>
    <mergeCell ref="L1479:L1482"/>
    <mergeCell ref="L1483:L1486"/>
    <mergeCell ref="L1487:L1491"/>
    <mergeCell ref="L1492:L1497"/>
    <mergeCell ref="L1498:L1500"/>
    <mergeCell ref="L1501:L1504"/>
    <mergeCell ref="L1505:L1508"/>
    <mergeCell ref="L1509:L1513"/>
    <mergeCell ref="L1514:L1519"/>
    <mergeCell ref="L1524:L1525"/>
    <mergeCell ref="L1526:L1528"/>
    <mergeCell ref="L1529:L1530"/>
    <mergeCell ref="L1531:L1539"/>
    <mergeCell ref="L1540:L1545"/>
    <mergeCell ref="L1547:L1554"/>
    <mergeCell ref="L1555:L1560"/>
    <mergeCell ref="L1561:L1565"/>
    <mergeCell ref="L1566:L1569"/>
    <mergeCell ref="L1570:L1576"/>
    <mergeCell ref="L1577:L1582"/>
    <mergeCell ref="L1583:L1598"/>
    <mergeCell ref="L1599:L1601"/>
    <mergeCell ref="L1602:L1603"/>
    <mergeCell ref="L1604:L1606"/>
    <mergeCell ref="L1607:L1613"/>
    <mergeCell ref="L1614:L1617"/>
    <mergeCell ref="L1618:L1621"/>
    <mergeCell ref="L1623:L1624"/>
    <mergeCell ref="L1625:L1627"/>
    <mergeCell ref="L1628:L1632"/>
    <mergeCell ref="L1633:L1636"/>
    <mergeCell ref="L1637:L1645"/>
    <mergeCell ref="L1646:L1650"/>
    <mergeCell ref="L1651:L1652"/>
    <mergeCell ref="L1653:L1654"/>
    <mergeCell ref="L1655:L1656"/>
    <mergeCell ref="L1657:L1658"/>
    <mergeCell ref="L1659:L1660"/>
    <mergeCell ref="L1661:L1662"/>
    <mergeCell ref="L1663:L1664"/>
    <mergeCell ref="L1665:L1668"/>
    <mergeCell ref="L1669:L1671"/>
    <mergeCell ref="L1672:L1678"/>
    <mergeCell ref="L1679:L1680"/>
    <mergeCell ref="L1681:L1684"/>
    <mergeCell ref="L1685:L1687"/>
    <mergeCell ref="L1688:L1689"/>
    <mergeCell ref="L1690:L1697"/>
    <mergeCell ref="L1698:L1700"/>
    <mergeCell ref="L1701:L1706"/>
    <mergeCell ref="L1708:L1709"/>
    <mergeCell ref="L1710:L1714"/>
    <mergeCell ref="L1716:L1719"/>
    <mergeCell ref="L1720:L1723"/>
    <mergeCell ref="L1731:L1733"/>
    <mergeCell ref="L1736:L1738"/>
    <mergeCell ref="L1743:L1745"/>
    <mergeCell ref="L1746:L1748"/>
    <mergeCell ref="L1749:L1750"/>
    <mergeCell ref="L1751:L1757"/>
    <mergeCell ref="L1758:L1762"/>
    <mergeCell ref="L1763:L1765"/>
    <mergeCell ref="L1766:L1770"/>
    <mergeCell ref="L1771:L1772"/>
    <mergeCell ref="L1773:L1775"/>
    <mergeCell ref="L1777:L1780"/>
    <mergeCell ref="L1781:L1784"/>
    <mergeCell ref="L1785:L1787"/>
    <mergeCell ref="L1788:L1790"/>
    <mergeCell ref="L1791:L1792"/>
    <mergeCell ref="L1793:L1795"/>
    <mergeCell ref="L1800:L1801"/>
    <mergeCell ref="L1803:L1808"/>
    <mergeCell ref="L1809:L1813"/>
    <mergeCell ref="L1814:L1815"/>
    <mergeCell ref="L1816:L1819"/>
    <mergeCell ref="L1821:L1823"/>
    <mergeCell ref="L1825:L1828"/>
    <mergeCell ref="L1829:L1832"/>
    <mergeCell ref="L1833:L1838"/>
    <mergeCell ref="L1839:L1849"/>
    <mergeCell ref="L1850:L1856"/>
    <mergeCell ref="L1857:L1859"/>
    <mergeCell ref="L1860:L1862"/>
    <mergeCell ref="L1863:L1865"/>
    <mergeCell ref="L1867:L1872"/>
    <mergeCell ref="L1873:L1880"/>
    <mergeCell ref="L1881:L1886"/>
    <mergeCell ref="L1888:L1893"/>
    <mergeCell ref="L1894:L1901"/>
    <mergeCell ref="L1902:L1907"/>
    <mergeCell ref="L1908:L1911"/>
    <mergeCell ref="L1912:L1915"/>
    <mergeCell ref="L1916:L1919"/>
    <mergeCell ref="L1920:L1922"/>
    <mergeCell ref="L1923:L1925"/>
    <mergeCell ref="L1926:L1928"/>
    <mergeCell ref="L1929:L1931"/>
    <mergeCell ref="L1932:L1934"/>
    <mergeCell ref="L1935:L1937"/>
    <mergeCell ref="L1938:L1940"/>
    <mergeCell ref="L1941:L1943"/>
    <mergeCell ref="L1944:L1946"/>
    <mergeCell ref="L1947:L1950"/>
    <mergeCell ref="L1951:L1954"/>
    <mergeCell ref="L1955:L1957"/>
    <mergeCell ref="L1958:L1960"/>
    <mergeCell ref="L1961:L1964"/>
    <mergeCell ref="L1965:L1967"/>
    <mergeCell ref="L1968:L1970"/>
    <mergeCell ref="L1971:L1973"/>
    <mergeCell ref="L1974:L1976"/>
    <mergeCell ref="L1977:L1979"/>
    <mergeCell ref="L1980:L1982"/>
    <mergeCell ref="L1983:L1986"/>
    <mergeCell ref="L1987:L1990"/>
    <mergeCell ref="L1991:L1995"/>
    <mergeCell ref="L1996:L1998"/>
    <mergeCell ref="L1999:L2002"/>
    <mergeCell ref="L2003:L2005"/>
    <mergeCell ref="L2006:L2008"/>
    <mergeCell ref="L2009:L2011"/>
    <mergeCell ref="L2012:L2015"/>
    <mergeCell ref="L2016:L2019"/>
    <mergeCell ref="L2020:L2023"/>
    <mergeCell ref="L2026:L2028"/>
    <mergeCell ref="L2029:L2034"/>
    <mergeCell ref="L2035:L2046"/>
    <mergeCell ref="L2047:L2064"/>
    <mergeCell ref="L2065:L2073"/>
    <mergeCell ref="L2074:L2076"/>
    <mergeCell ref="L2078:L2081"/>
    <mergeCell ref="L2082:L2086"/>
    <mergeCell ref="L2087:L2091"/>
    <mergeCell ref="L2092:L2096"/>
    <mergeCell ref="L2097:L2101"/>
    <mergeCell ref="L2102:L2105"/>
    <mergeCell ref="L2106:L2113"/>
    <mergeCell ref="L2114:L2116"/>
    <mergeCell ref="L2145:L2153"/>
    <mergeCell ref="L2154:L2161"/>
    <mergeCell ref="L2162:L2169"/>
    <mergeCell ref="L2170:L2177"/>
    <mergeCell ref="L2178:L2180"/>
    <mergeCell ref="L2181:L2184"/>
    <mergeCell ref="L2185:L2192"/>
    <mergeCell ref="L2194:L2236"/>
    <mergeCell ref="L2237:L2241"/>
    <mergeCell ref="L2242:L2296"/>
    <mergeCell ref="L2297:L2303"/>
    <mergeCell ref="L2304:L2308"/>
    <mergeCell ref="L2309:L2311"/>
    <mergeCell ref="L2312:L2315"/>
    <mergeCell ref="L2316:L2318"/>
    <mergeCell ref="L2319:L2321"/>
    <mergeCell ref="L2325:L2328"/>
    <mergeCell ref="L2329:L2335"/>
    <mergeCell ref="L2336:L2344"/>
    <mergeCell ref="L2345:L2347"/>
    <mergeCell ref="L2348:L2351"/>
    <mergeCell ref="L2352:L2359"/>
    <mergeCell ref="L2360:L2363"/>
    <mergeCell ref="L2364:L2370"/>
    <mergeCell ref="L2371:L2374"/>
    <mergeCell ref="L2375:L2378"/>
    <mergeCell ref="L2380:L2383"/>
    <mergeCell ref="L2385:L2395"/>
    <mergeCell ref="L2396:L2397"/>
    <mergeCell ref="L2399:L2413"/>
    <mergeCell ref="L2415:L2421"/>
    <mergeCell ref="L2422:L2434"/>
    <mergeCell ref="L2435:L2440"/>
    <mergeCell ref="L2441:L2445"/>
    <mergeCell ref="L2446:L2447"/>
    <mergeCell ref="L2448:L2449"/>
    <mergeCell ref="L2450:L2453"/>
    <mergeCell ref="L2454:L2455"/>
    <mergeCell ref="L2456:L2469"/>
    <mergeCell ref="L2470:L2474"/>
    <mergeCell ref="L2475:L2476"/>
    <mergeCell ref="L2478:L2482"/>
    <mergeCell ref="L2483:L2489"/>
    <mergeCell ref="L2490:L2494"/>
    <mergeCell ref="L2495:L2499"/>
    <mergeCell ref="L2500:L2504"/>
    <mergeCell ref="L2505:L2508"/>
    <mergeCell ref="L2509:L2512"/>
    <mergeCell ref="L2513:L2519"/>
    <mergeCell ref="L2520:L2523"/>
    <mergeCell ref="L2524:L2527"/>
    <mergeCell ref="L2528:L2530"/>
    <mergeCell ref="L2531:L2533"/>
    <mergeCell ref="L2534:L2536"/>
    <mergeCell ref="L2537:L2539"/>
    <mergeCell ref="L2540:L2542"/>
    <mergeCell ref="L2543:L2545"/>
    <mergeCell ref="L2546:L2548"/>
    <mergeCell ref="L2549:L2551"/>
    <mergeCell ref="L2552:L2554"/>
    <mergeCell ref="L2555:L2557"/>
    <mergeCell ref="L2558:L2562"/>
    <mergeCell ref="L2563:L2566"/>
    <mergeCell ref="L2567:L2569"/>
    <mergeCell ref="L2570:L2574"/>
    <mergeCell ref="L2575:L2581"/>
    <mergeCell ref="L2582:L2583"/>
    <mergeCell ref="L2584:L2589"/>
    <mergeCell ref="L2590:L2593"/>
    <mergeCell ref="L2594:L2597"/>
    <mergeCell ref="L2601:L2603"/>
    <mergeCell ref="L2604:L2606"/>
    <mergeCell ref="L2607:L2609"/>
    <mergeCell ref="L2610:L2611"/>
    <mergeCell ref="L2612:L2614"/>
    <mergeCell ref="L2616:L2618"/>
    <mergeCell ref="L2619:L2621"/>
    <mergeCell ref="L2622:L2629"/>
    <mergeCell ref="L2630:L2636"/>
    <mergeCell ref="L2637:L2643"/>
    <mergeCell ref="L2644:L2650"/>
    <mergeCell ref="L2651:L2658"/>
    <mergeCell ref="L2659:L2662"/>
    <mergeCell ref="L2663:L2668"/>
    <mergeCell ref="L2669:L2670"/>
    <mergeCell ref="L2671:L2677"/>
    <mergeCell ref="L2678:L2681"/>
    <mergeCell ref="L2682:L2685"/>
    <mergeCell ref="L2686:L2688"/>
    <mergeCell ref="L2689:L2697"/>
    <mergeCell ref="L2698:L2702"/>
    <mergeCell ref="L2703:L2705"/>
    <mergeCell ref="L2707:L2708"/>
    <mergeCell ref="L2709:L2712"/>
    <mergeCell ref="L2713:L2718"/>
    <mergeCell ref="L2719:L2721"/>
    <mergeCell ref="M5:M29"/>
    <mergeCell ref="M30:M34"/>
    <mergeCell ref="M35:M38"/>
    <mergeCell ref="M39:M40"/>
    <mergeCell ref="M41:M44"/>
    <mergeCell ref="M45:M48"/>
    <mergeCell ref="M49:M51"/>
    <mergeCell ref="M52:M55"/>
    <mergeCell ref="M56:M59"/>
    <mergeCell ref="M60:M65"/>
    <mergeCell ref="M66:M77"/>
    <mergeCell ref="M78:M80"/>
    <mergeCell ref="M81:M84"/>
    <mergeCell ref="M86:M87"/>
    <mergeCell ref="M90:M96"/>
    <mergeCell ref="M97:M103"/>
    <mergeCell ref="M104:M108"/>
    <mergeCell ref="M109:M112"/>
    <mergeCell ref="M113:M117"/>
    <mergeCell ref="M118:M122"/>
    <mergeCell ref="M123:M126"/>
    <mergeCell ref="M127:M130"/>
    <mergeCell ref="M131:M134"/>
    <mergeCell ref="M135:M137"/>
    <mergeCell ref="M138:M143"/>
    <mergeCell ref="M144:M149"/>
    <mergeCell ref="M150:M153"/>
    <mergeCell ref="M154:M159"/>
    <mergeCell ref="M160:M164"/>
    <mergeCell ref="M168:M171"/>
    <mergeCell ref="M172:M174"/>
    <mergeCell ref="M175:M177"/>
    <mergeCell ref="M178:M181"/>
    <mergeCell ref="M182:M188"/>
    <mergeCell ref="M189:M190"/>
    <mergeCell ref="M191:M194"/>
    <mergeCell ref="M195:M199"/>
    <mergeCell ref="M203:M206"/>
    <mergeCell ref="M209:M210"/>
    <mergeCell ref="M213:M216"/>
    <mergeCell ref="M218:M221"/>
    <mergeCell ref="M222:M223"/>
    <mergeCell ref="M224:M227"/>
    <mergeCell ref="M228:M230"/>
    <mergeCell ref="M231:M234"/>
    <mergeCell ref="M235:M239"/>
    <mergeCell ref="M240:M247"/>
    <mergeCell ref="M248:M249"/>
    <mergeCell ref="M250:M253"/>
    <mergeCell ref="M254:M257"/>
    <mergeCell ref="M258:M259"/>
    <mergeCell ref="M260:M261"/>
    <mergeCell ref="M262:M267"/>
    <mergeCell ref="M268:M269"/>
    <mergeCell ref="M271:M273"/>
    <mergeCell ref="M274:M276"/>
    <mergeCell ref="M278:M282"/>
    <mergeCell ref="M283:M286"/>
    <mergeCell ref="M287:M289"/>
    <mergeCell ref="M290:M292"/>
    <mergeCell ref="M293:M297"/>
    <mergeCell ref="M298:M301"/>
    <mergeCell ref="M302:M303"/>
    <mergeCell ref="M304:M307"/>
    <mergeCell ref="M308:M313"/>
    <mergeCell ref="M314:M317"/>
    <mergeCell ref="M318:M321"/>
    <mergeCell ref="M322:M324"/>
    <mergeCell ref="M325:M330"/>
    <mergeCell ref="M332:M336"/>
    <mergeCell ref="M337:M339"/>
    <mergeCell ref="M340:M343"/>
    <mergeCell ref="M344:M349"/>
    <mergeCell ref="M350:M355"/>
    <mergeCell ref="M356:M365"/>
    <mergeCell ref="M366:M371"/>
    <mergeCell ref="M372:M377"/>
    <mergeCell ref="M378:M383"/>
    <mergeCell ref="M384:M389"/>
    <mergeCell ref="M390:M396"/>
    <mergeCell ref="M397:M402"/>
    <mergeCell ref="M403:M408"/>
    <mergeCell ref="M409:M414"/>
    <mergeCell ref="M415:M420"/>
    <mergeCell ref="M421:M426"/>
    <mergeCell ref="M427:M429"/>
    <mergeCell ref="M431:M433"/>
    <mergeCell ref="M434:M436"/>
    <mergeCell ref="M437:M440"/>
    <mergeCell ref="M441:M442"/>
    <mergeCell ref="M443:M444"/>
    <mergeCell ref="M445:M449"/>
    <mergeCell ref="M450:M451"/>
    <mergeCell ref="M452:M453"/>
    <mergeCell ref="M454:M455"/>
    <mergeCell ref="M456:M457"/>
    <mergeCell ref="M458:M460"/>
    <mergeCell ref="M461:M468"/>
    <mergeCell ref="M469:M472"/>
    <mergeCell ref="M473:M476"/>
    <mergeCell ref="M477:M480"/>
    <mergeCell ref="M481:M484"/>
    <mergeCell ref="M485:M488"/>
    <mergeCell ref="M489:M491"/>
    <mergeCell ref="M492:M497"/>
    <mergeCell ref="M500:M502"/>
    <mergeCell ref="M503:M505"/>
    <mergeCell ref="M506:M508"/>
    <mergeCell ref="M509:M524"/>
    <mergeCell ref="M525:M528"/>
    <mergeCell ref="M532:M537"/>
    <mergeCell ref="M538:M540"/>
    <mergeCell ref="M541:M547"/>
    <mergeCell ref="M548:M550"/>
    <mergeCell ref="M551:M554"/>
    <mergeCell ref="M555:M559"/>
    <mergeCell ref="M561:M564"/>
    <mergeCell ref="M566:M588"/>
    <mergeCell ref="M589:M592"/>
    <mergeCell ref="M593:M594"/>
    <mergeCell ref="M595:M599"/>
    <mergeCell ref="M600:M602"/>
    <mergeCell ref="M604:M613"/>
    <mergeCell ref="M614:M615"/>
    <mergeCell ref="M616:M618"/>
    <mergeCell ref="M619:M620"/>
    <mergeCell ref="M621:M624"/>
    <mergeCell ref="M625:M628"/>
    <mergeCell ref="M629:M630"/>
    <mergeCell ref="M631:M639"/>
    <mergeCell ref="M640:M642"/>
    <mergeCell ref="M643:M646"/>
    <mergeCell ref="M647:M650"/>
    <mergeCell ref="M652:M657"/>
    <mergeCell ref="M658:M674"/>
    <mergeCell ref="M675:M680"/>
    <mergeCell ref="M681:M685"/>
    <mergeCell ref="M686:M688"/>
    <mergeCell ref="M689:M694"/>
    <mergeCell ref="M695:M704"/>
    <mergeCell ref="M705:M711"/>
    <mergeCell ref="M712:M794"/>
    <mergeCell ref="M795:M815"/>
    <mergeCell ref="M816:M836"/>
    <mergeCell ref="M837:M867"/>
    <mergeCell ref="M868:M871"/>
    <mergeCell ref="M872:M874"/>
    <mergeCell ref="M875:M877"/>
    <mergeCell ref="M878:M880"/>
    <mergeCell ref="M881:M941"/>
    <mergeCell ref="M942:M947"/>
    <mergeCell ref="M948:M950"/>
    <mergeCell ref="M951:M958"/>
    <mergeCell ref="M959:M964"/>
    <mergeCell ref="M965:M967"/>
    <mergeCell ref="M968:M970"/>
    <mergeCell ref="M971:M973"/>
    <mergeCell ref="M974:M976"/>
    <mergeCell ref="M977:M981"/>
    <mergeCell ref="M982:M986"/>
    <mergeCell ref="M987:M992"/>
    <mergeCell ref="M993:M998"/>
    <mergeCell ref="M999:M1027"/>
    <mergeCell ref="M1028:M1031"/>
    <mergeCell ref="M1032:M1064"/>
    <mergeCell ref="M1065:M1092"/>
    <mergeCell ref="M1093:M1120"/>
    <mergeCell ref="M1121:M1126"/>
    <mergeCell ref="M1127:M1128"/>
    <mergeCell ref="M1129:M1132"/>
    <mergeCell ref="M1133:M1134"/>
    <mergeCell ref="M1135:M1136"/>
    <mergeCell ref="M1137:M1138"/>
    <mergeCell ref="M1139:M1144"/>
    <mergeCell ref="M1145:M1149"/>
    <mergeCell ref="M1150:M1159"/>
    <mergeCell ref="M1160:M1164"/>
    <mergeCell ref="M1165:M1167"/>
    <mergeCell ref="M1168:M1171"/>
    <mergeCell ref="M1172:M1174"/>
    <mergeCell ref="M1175:M1179"/>
    <mergeCell ref="M1180:M1189"/>
    <mergeCell ref="M1190:M1200"/>
    <mergeCell ref="M1201:M1205"/>
    <mergeCell ref="M1206:M1210"/>
    <mergeCell ref="M1211:M1213"/>
    <mergeCell ref="M1214:M1218"/>
    <mergeCell ref="M1219:M1226"/>
    <mergeCell ref="M1227:M1239"/>
    <mergeCell ref="M1240:M1245"/>
    <mergeCell ref="M1246:M1249"/>
    <mergeCell ref="M1250:M1252"/>
    <mergeCell ref="M1253:M1257"/>
    <mergeCell ref="M1258:M1262"/>
    <mergeCell ref="M1263:M1268"/>
    <mergeCell ref="M1269:M1273"/>
    <mergeCell ref="M1274:M1278"/>
    <mergeCell ref="M1279:M1282"/>
    <mergeCell ref="M1283:M1285"/>
    <mergeCell ref="M1286:M1291"/>
    <mergeCell ref="M1292:M1299"/>
    <mergeCell ref="M1300:M1308"/>
    <mergeCell ref="M1309:M1313"/>
    <mergeCell ref="M1314:M1317"/>
    <mergeCell ref="M1318:M1320"/>
    <mergeCell ref="M1321:M1325"/>
    <mergeCell ref="M1326:M1330"/>
    <mergeCell ref="M1331:M1336"/>
    <mergeCell ref="M1337:M1340"/>
    <mergeCell ref="M1341:M1343"/>
    <mergeCell ref="M1344:M1347"/>
    <mergeCell ref="M1348:M1354"/>
    <mergeCell ref="M1355:M1363"/>
    <mergeCell ref="M1364:M1369"/>
    <mergeCell ref="M1370:M1373"/>
    <mergeCell ref="M1374:M1376"/>
    <mergeCell ref="M1377:M1381"/>
    <mergeCell ref="M1382:M1384"/>
    <mergeCell ref="M1385:M1389"/>
    <mergeCell ref="M1390:M1394"/>
    <mergeCell ref="M1395:M1399"/>
    <mergeCell ref="M1400:M1404"/>
    <mergeCell ref="M1405:M1408"/>
    <mergeCell ref="M1409:M1411"/>
    <mergeCell ref="M1412:M1416"/>
    <mergeCell ref="M1417:M1424"/>
    <mergeCell ref="M1425:M1429"/>
    <mergeCell ref="M1430:M1434"/>
    <mergeCell ref="M1435:M1438"/>
    <mergeCell ref="M1439:M1441"/>
    <mergeCell ref="M1442:M1445"/>
    <mergeCell ref="M1446:M1450"/>
    <mergeCell ref="M1451:M1456"/>
    <mergeCell ref="M1457:M1459"/>
    <mergeCell ref="M1460:M1463"/>
    <mergeCell ref="M1464:M1466"/>
    <mergeCell ref="M1467:M1469"/>
    <mergeCell ref="M1470:M1475"/>
    <mergeCell ref="M1476:M1478"/>
    <mergeCell ref="M1479:M1482"/>
    <mergeCell ref="M1483:M1486"/>
    <mergeCell ref="M1487:M1491"/>
    <mergeCell ref="M1492:M1497"/>
    <mergeCell ref="M1498:M1500"/>
    <mergeCell ref="M1501:M1504"/>
    <mergeCell ref="M1505:M1508"/>
    <mergeCell ref="M1509:M1513"/>
    <mergeCell ref="M1514:M1519"/>
    <mergeCell ref="M1524:M1525"/>
    <mergeCell ref="M1526:M1528"/>
    <mergeCell ref="M1529:M1530"/>
    <mergeCell ref="M1531:M1539"/>
    <mergeCell ref="M1540:M1545"/>
    <mergeCell ref="M1547:M1554"/>
    <mergeCell ref="M1555:M1560"/>
    <mergeCell ref="M1561:M1565"/>
    <mergeCell ref="M1566:M1569"/>
    <mergeCell ref="M1570:M1576"/>
    <mergeCell ref="M1577:M1582"/>
    <mergeCell ref="M1583:M1598"/>
    <mergeCell ref="M1599:M1601"/>
    <mergeCell ref="M1602:M1603"/>
    <mergeCell ref="M1604:M1606"/>
    <mergeCell ref="M1607:M1613"/>
    <mergeCell ref="M1614:M1617"/>
    <mergeCell ref="M1618:M1621"/>
    <mergeCell ref="M1623:M1624"/>
    <mergeCell ref="M1625:M1627"/>
    <mergeCell ref="M1628:M1632"/>
    <mergeCell ref="M1633:M1636"/>
    <mergeCell ref="M1637:M1645"/>
    <mergeCell ref="M1646:M1650"/>
    <mergeCell ref="M1651:M1652"/>
    <mergeCell ref="M1653:M1654"/>
    <mergeCell ref="M1655:M1656"/>
    <mergeCell ref="M1657:M1658"/>
    <mergeCell ref="M1659:M1660"/>
    <mergeCell ref="M1661:M1662"/>
    <mergeCell ref="M1663:M1664"/>
    <mergeCell ref="M1665:M1668"/>
    <mergeCell ref="M1669:M1671"/>
    <mergeCell ref="M1672:M1678"/>
    <mergeCell ref="M1679:M1680"/>
    <mergeCell ref="M1681:M1684"/>
    <mergeCell ref="M1685:M1687"/>
    <mergeCell ref="M1688:M1689"/>
    <mergeCell ref="M1690:M1697"/>
    <mergeCell ref="M1698:M1700"/>
    <mergeCell ref="M1701:M1706"/>
    <mergeCell ref="M1708:M1709"/>
    <mergeCell ref="M1710:M1714"/>
    <mergeCell ref="M1716:M1719"/>
    <mergeCell ref="M1720:M1723"/>
    <mergeCell ref="M1724:M1727"/>
    <mergeCell ref="M1731:M1733"/>
    <mergeCell ref="M1736:M1738"/>
    <mergeCell ref="M1743:M1745"/>
    <mergeCell ref="M1746:M1748"/>
    <mergeCell ref="M1749:M1750"/>
    <mergeCell ref="M1751:M1757"/>
    <mergeCell ref="M1758:M1762"/>
    <mergeCell ref="M1763:M1765"/>
    <mergeCell ref="M1766:M1770"/>
    <mergeCell ref="M1771:M1772"/>
    <mergeCell ref="M1773:M1775"/>
    <mergeCell ref="M1777:M1780"/>
    <mergeCell ref="M1781:M1784"/>
    <mergeCell ref="M1785:M1787"/>
    <mergeCell ref="M1788:M1790"/>
    <mergeCell ref="M1791:M1792"/>
    <mergeCell ref="M1793:M1795"/>
    <mergeCell ref="M1800:M1801"/>
    <mergeCell ref="M1803:M1808"/>
    <mergeCell ref="M1809:M1813"/>
    <mergeCell ref="M1814:M1815"/>
    <mergeCell ref="M1816:M1819"/>
    <mergeCell ref="M1821:M1823"/>
    <mergeCell ref="M1825:M1828"/>
    <mergeCell ref="M1829:M1832"/>
    <mergeCell ref="M1833:M1838"/>
    <mergeCell ref="M1839:M1849"/>
    <mergeCell ref="M1850:M1856"/>
    <mergeCell ref="M1857:M1859"/>
    <mergeCell ref="M1860:M1862"/>
    <mergeCell ref="M1863:M1865"/>
    <mergeCell ref="M1867:M1872"/>
    <mergeCell ref="M1873:M1880"/>
    <mergeCell ref="M1881:M1886"/>
    <mergeCell ref="M1888:M1893"/>
    <mergeCell ref="M1894:M1901"/>
    <mergeCell ref="M1902:M1907"/>
    <mergeCell ref="M1908:M1911"/>
    <mergeCell ref="M1912:M1915"/>
    <mergeCell ref="M1916:M1919"/>
    <mergeCell ref="M1920:M1922"/>
    <mergeCell ref="M1923:M1925"/>
    <mergeCell ref="M1926:M1928"/>
    <mergeCell ref="M1929:M1931"/>
    <mergeCell ref="M1932:M1934"/>
    <mergeCell ref="M1935:M1937"/>
    <mergeCell ref="M1938:M1940"/>
    <mergeCell ref="M1941:M1943"/>
    <mergeCell ref="M1944:M1946"/>
    <mergeCell ref="M1947:M1950"/>
    <mergeCell ref="M1951:M1954"/>
    <mergeCell ref="M1955:M1957"/>
    <mergeCell ref="M1958:M1960"/>
    <mergeCell ref="M1961:M1964"/>
    <mergeCell ref="M1965:M1967"/>
    <mergeCell ref="M1968:M1970"/>
    <mergeCell ref="M1971:M1973"/>
    <mergeCell ref="M1974:M1976"/>
    <mergeCell ref="M1977:M1979"/>
    <mergeCell ref="M1980:M1982"/>
    <mergeCell ref="M1983:M1986"/>
    <mergeCell ref="M1987:M1990"/>
    <mergeCell ref="M1991:M1995"/>
    <mergeCell ref="M1996:M1998"/>
    <mergeCell ref="M1999:M2002"/>
    <mergeCell ref="M2003:M2005"/>
    <mergeCell ref="M2006:M2008"/>
    <mergeCell ref="M2009:M2011"/>
    <mergeCell ref="M2012:M2015"/>
    <mergeCell ref="M2016:M2019"/>
    <mergeCell ref="M2020:M2023"/>
    <mergeCell ref="M2026:M2028"/>
    <mergeCell ref="M2029:M2034"/>
    <mergeCell ref="M2035:M2046"/>
    <mergeCell ref="M2047:M2064"/>
    <mergeCell ref="M2065:M2073"/>
    <mergeCell ref="M2074:M2076"/>
    <mergeCell ref="M2078:M2081"/>
    <mergeCell ref="M2082:M2086"/>
    <mergeCell ref="M2087:M2091"/>
    <mergeCell ref="M2092:M2096"/>
    <mergeCell ref="M2097:M2101"/>
    <mergeCell ref="M2102:M2105"/>
    <mergeCell ref="M2106:M2113"/>
    <mergeCell ref="M2114:M2116"/>
    <mergeCell ref="M2117:M2122"/>
    <mergeCell ref="M2123:M2128"/>
    <mergeCell ref="M2129:M2134"/>
    <mergeCell ref="M2135:M2140"/>
    <mergeCell ref="M2141:M2144"/>
    <mergeCell ref="M2145:M2153"/>
    <mergeCell ref="M2154:M2161"/>
    <mergeCell ref="M2162:M2169"/>
    <mergeCell ref="M2170:M2177"/>
    <mergeCell ref="M2178:M2180"/>
    <mergeCell ref="M2181:M2184"/>
    <mergeCell ref="M2185:M2192"/>
    <mergeCell ref="M2194:M2236"/>
    <mergeCell ref="M2237:M2241"/>
    <mergeCell ref="M2242:M2296"/>
    <mergeCell ref="M2297:M2303"/>
    <mergeCell ref="M2304:M2308"/>
    <mergeCell ref="M2309:M2311"/>
    <mergeCell ref="M2312:M2315"/>
    <mergeCell ref="M2316:M2318"/>
    <mergeCell ref="M2319:M2321"/>
    <mergeCell ref="M2325:M2328"/>
    <mergeCell ref="M2329:M2335"/>
    <mergeCell ref="M2336:M2344"/>
    <mergeCell ref="M2345:M2347"/>
    <mergeCell ref="M2348:M2351"/>
    <mergeCell ref="M2352:M2359"/>
    <mergeCell ref="M2360:M2363"/>
    <mergeCell ref="M2364:M2370"/>
    <mergeCell ref="M2371:M2374"/>
    <mergeCell ref="M2375:M2378"/>
    <mergeCell ref="M2380:M2383"/>
    <mergeCell ref="M2385:M2395"/>
    <mergeCell ref="M2396:M2397"/>
    <mergeCell ref="M2399:M2413"/>
    <mergeCell ref="M2415:M2421"/>
    <mergeCell ref="M2422:M2434"/>
    <mergeCell ref="M2435:M2440"/>
    <mergeCell ref="M2441:M2445"/>
    <mergeCell ref="M2446:M2447"/>
    <mergeCell ref="M2448:M2449"/>
    <mergeCell ref="M2450:M2453"/>
    <mergeCell ref="M2454:M2455"/>
    <mergeCell ref="M2456:M2469"/>
    <mergeCell ref="M2470:M2474"/>
    <mergeCell ref="M2475:M2476"/>
    <mergeCell ref="M2478:M2482"/>
    <mergeCell ref="M2483:M2489"/>
    <mergeCell ref="M2490:M2494"/>
    <mergeCell ref="M2495:M2499"/>
    <mergeCell ref="M2500:M2504"/>
    <mergeCell ref="M2505:M2508"/>
    <mergeCell ref="M2509:M2512"/>
    <mergeCell ref="M2513:M2519"/>
    <mergeCell ref="M2520:M2523"/>
    <mergeCell ref="M2524:M2527"/>
    <mergeCell ref="M2528:M2530"/>
    <mergeCell ref="M2531:M2533"/>
    <mergeCell ref="M2534:M2536"/>
    <mergeCell ref="M2537:M2539"/>
    <mergeCell ref="M2540:M2542"/>
    <mergeCell ref="M2543:M2545"/>
    <mergeCell ref="M2546:M2548"/>
    <mergeCell ref="M2549:M2551"/>
    <mergeCell ref="M2552:M2554"/>
    <mergeCell ref="M2555:M2557"/>
    <mergeCell ref="M2558:M2562"/>
    <mergeCell ref="M2563:M2566"/>
    <mergeCell ref="M2567:M2569"/>
    <mergeCell ref="M2570:M2574"/>
    <mergeCell ref="M2575:M2581"/>
    <mergeCell ref="M2582:M2583"/>
    <mergeCell ref="M2584:M2589"/>
    <mergeCell ref="M2590:M2593"/>
    <mergeCell ref="M2594:M2597"/>
    <mergeCell ref="M2598:M2600"/>
    <mergeCell ref="M2601:M2603"/>
    <mergeCell ref="M2604:M2606"/>
    <mergeCell ref="M2607:M2609"/>
    <mergeCell ref="M2610:M2611"/>
    <mergeCell ref="M2612:M2614"/>
    <mergeCell ref="M2616:M2618"/>
    <mergeCell ref="M2619:M2621"/>
    <mergeCell ref="M2622:M2629"/>
    <mergeCell ref="M2630:M2636"/>
    <mergeCell ref="M2637:M2643"/>
    <mergeCell ref="M2644:M2650"/>
    <mergeCell ref="M2651:M2658"/>
    <mergeCell ref="M2659:M2662"/>
    <mergeCell ref="M2663:M2668"/>
    <mergeCell ref="M2669:M2670"/>
    <mergeCell ref="M2671:M2677"/>
    <mergeCell ref="M2678:M2681"/>
    <mergeCell ref="M2682:M2685"/>
    <mergeCell ref="M2686:M2688"/>
    <mergeCell ref="M2689:M2697"/>
    <mergeCell ref="M2698:M2702"/>
    <mergeCell ref="M2703:M2705"/>
    <mergeCell ref="M2707:M2708"/>
    <mergeCell ref="M2709:M2712"/>
    <mergeCell ref="M2713:M2718"/>
    <mergeCell ref="M2719:M2721"/>
    <mergeCell ref="N5:N29"/>
    <mergeCell ref="N30:N34"/>
    <mergeCell ref="N35:N38"/>
    <mergeCell ref="N39:N40"/>
    <mergeCell ref="N41:N44"/>
    <mergeCell ref="N45:N48"/>
    <mergeCell ref="N49:N51"/>
    <mergeCell ref="N52:N55"/>
    <mergeCell ref="N56:N59"/>
    <mergeCell ref="N60:N65"/>
    <mergeCell ref="N66:N77"/>
    <mergeCell ref="N78:N80"/>
    <mergeCell ref="N81:N84"/>
    <mergeCell ref="N86:N87"/>
    <mergeCell ref="N90:N96"/>
    <mergeCell ref="N97:N103"/>
    <mergeCell ref="N104:N108"/>
    <mergeCell ref="N109:N112"/>
    <mergeCell ref="N113:N117"/>
    <mergeCell ref="N118:N122"/>
    <mergeCell ref="N123:N126"/>
    <mergeCell ref="N127:N130"/>
    <mergeCell ref="N131:N134"/>
    <mergeCell ref="N135:N137"/>
    <mergeCell ref="N138:N143"/>
    <mergeCell ref="N144:N149"/>
    <mergeCell ref="N150:N153"/>
    <mergeCell ref="N154:N159"/>
    <mergeCell ref="N160:N164"/>
    <mergeCell ref="N168:N170"/>
    <mergeCell ref="N172:N174"/>
    <mergeCell ref="N175:N177"/>
    <mergeCell ref="N178:N181"/>
    <mergeCell ref="N182:N188"/>
    <mergeCell ref="N189:N190"/>
    <mergeCell ref="N191:N194"/>
    <mergeCell ref="N195:N199"/>
    <mergeCell ref="N203:N206"/>
    <mergeCell ref="N209:N210"/>
    <mergeCell ref="N213:N214"/>
    <mergeCell ref="N215:N216"/>
    <mergeCell ref="N218:N221"/>
    <mergeCell ref="N222:N223"/>
    <mergeCell ref="N224:N227"/>
    <mergeCell ref="N228:N230"/>
    <mergeCell ref="N231:N234"/>
    <mergeCell ref="N235:N239"/>
    <mergeCell ref="N240:N247"/>
    <mergeCell ref="N248:N249"/>
    <mergeCell ref="N258:N259"/>
    <mergeCell ref="N260:N261"/>
    <mergeCell ref="N262:N267"/>
    <mergeCell ref="N268:N269"/>
    <mergeCell ref="N271:N273"/>
    <mergeCell ref="N274:N276"/>
    <mergeCell ref="N283:N286"/>
    <mergeCell ref="N293:N297"/>
    <mergeCell ref="N298:N301"/>
    <mergeCell ref="N302:N303"/>
    <mergeCell ref="N304:N307"/>
    <mergeCell ref="N308:N313"/>
    <mergeCell ref="N314:N317"/>
    <mergeCell ref="N318:N321"/>
    <mergeCell ref="N322:N324"/>
    <mergeCell ref="N325:N330"/>
    <mergeCell ref="N332:N336"/>
    <mergeCell ref="N337:N339"/>
    <mergeCell ref="N340:N343"/>
    <mergeCell ref="N344:N349"/>
    <mergeCell ref="N350:N355"/>
    <mergeCell ref="N356:N365"/>
    <mergeCell ref="N366:N371"/>
    <mergeCell ref="N372:N377"/>
    <mergeCell ref="N378:N383"/>
    <mergeCell ref="N384:N389"/>
    <mergeCell ref="N390:N396"/>
    <mergeCell ref="N397:N402"/>
    <mergeCell ref="N403:N408"/>
    <mergeCell ref="N409:N414"/>
    <mergeCell ref="N415:N420"/>
    <mergeCell ref="N421:N426"/>
    <mergeCell ref="N427:N429"/>
    <mergeCell ref="N431:N433"/>
    <mergeCell ref="N434:N436"/>
    <mergeCell ref="N437:N440"/>
    <mergeCell ref="N445:N449"/>
    <mergeCell ref="N450:N451"/>
    <mergeCell ref="N452:N453"/>
    <mergeCell ref="N454:N455"/>
    <mergeCell ref="N456:N457"/>
    <mergeCell ref="N458:N460"/>
    <mergeCell ref="N461:N467"/>
    <mergeCell ref="N469:N472"/>
    <mergeCell ref="N473:N476"/>
    <mergeCell ref="N477:N480"/>
    <mergeCell ref="N481:N484"/>
    <mergeCell ref="N485:N488"/>
    <mergeCell ref="N489:N491"/>
    <mergeCell ref="N492:N497"/>
    <mergeCell ref="N500:N502"/>
    <mergeCell ref="N503:N505"/>
    <mergeCell ref="N506:N508"/>
    <mergeCell ref="N509:N524"/>
    <mergeCell ref="N525:N528"/>
    <mergeCell ref="N532:N535"/>
    <mergeCell ref="N538:N540"/>
    <mergeCell ref="N541:N547"/>
    <mergeCell ref="N548:N550"/>
    <mergeCell ref="N551:N554"/>
    <mergeCell ref="N555:N559"/>
    <mergeCell ref="N561:N563"/>
    <mergeCell ref="N566:N588"/>
    <mergeCell ref="N589:N592"/>
    <mergeCell ref="N593:N594"/>
    <mergeCell ref="N595:N598"/>
    <mergeCell ref="N600:N602"/>
    <mergeCell ref="N604:N613"/>
    <mergeCell ref="N614:N615"/>
    <mergeCell ref="N616:N618"/>
    <mergeCell ref="N621:N624"/>
    <mergeCell ref="N625:N628"/>
    <mergeCell ref="N629:N630"/>
    <mergeCell ref="N631:N639"/>
    <mergeCell ref="N640:N642"/>
    <mergeCell ref="N643:N646"/>
    <mergeCell ref="N647:N650"/>
    <mergeCell ref="N652:N657"/>
    <mergeCell ref="N658:N674"/>
    <mergeCell ref="N675:N680"/>
    <mergeCell ref="N681:N685"/>
    <mergeCell ref="N686:N688"/>
    <mergeCell ref="N689:N694"/>
    <mergeCell ref="N695:N704"/>
    <mergeCell ref="N705:N711"/>
    <mergeCell ref="N712:N794"/>
    <mergeCell ref="N795:N815"/>
    <mergeCell ref="N816:N836"/>
    <mergeCell ref="N837:N867"/>
    <mergeCell ref="N868:N871"/>
    <mergeCell ref="N872:N874"/>
    <mergeCell ref="N875:N877"/>
    <mergeCell ref="N878:N880"/>
    <mergeCell ref="N881:N941"/>
    <mergeCell ref="N942:N947"/>
    <mergeCell ref="N948:N950"/>
    <mergeCell ref="N951:N957"/>
    <mergeCell ref="N959:N964"/>
    <mergeCell ref="N965:N967"/>
    <mergeCell ref="N968:N970"/>
    <mergeCell ref="N971:N973"/>
    <mergeCell ref="N974:N976"/>
    <mergeCell ref="N977:N981"/>
    <mergeCell ref="N982:N986"/>
    <mergeCell ref="N987:N992"/>
    <mergeCell ref="N993:N998"/>
    <mergeCell ref="N999:N1027"/>
    <mergeCell ref="N1028:N1031"/>
    <mergeCell ref="N1032:N1064"/>
    <mergeCell ref="N1065:N1092"/>
    <mergeCell ref="N1093:N1120"/>
    <mergeCell ref="N1121:N1126"/>
    <mergeCell ref="N1127:N1128"/>
    <mergeCell ref="N1129:N1132"/>
    <mergeCell ref="N1133:N1134"/>
    <mergeCell ref="N1135:N1136"/>
    <mergeCell ref="N1137:N1138"/>
    <mergeCell ref="N1139:N1144"/>
    <mergeCell ref="N1145:N1149"/>
    <mergeCell ref="N1150:N1159"/>
    <mergeCell ref="N1160:N1164"/>
    <mergeCell ref="N1165:N1167"/>
    <mergeCell ref="N1168:N1171"/>
    <mergeCell ref="N1172:N1174"/>
    <mergeCell ref="N1175:N1179"/>
    <mergeCell ref="N1180:N1189"/>
    <mergeCell ref="N1190:N1200"/>
    <mergeCell ref="N1201:N1205"/>
    <mergeCell ref="N1206:N1210"/>
    <mergeCell ref="N1211:N1213"/>
    <mergeCell ref="N1214:N1218"/>
    <mergeCell ref="N1219:N1226"/>
    <mergeCell ref="N1227:N1239"/>
    <mergeCell ref="N1240:N1245"/>
    <mergeCell ref="N1246:N1249"/>
    <mergeCell ref="N1250:N1252"/>
    <mergeCell ref="N1253:N1257"/>
    <mergeCell ref="N1258:N1262"/>
    <mergeCell ref="N1263:N1268"/>
    <mergeCell ref="N1269:N1273"/>
    <mergeCell ref="N1274:N1278"/>
    <mergeCell ref="N1279:N1282"/>
    <mergeCell ref="N1283:N1285"/>
    <mergeCell ref="N1286:N1291"/>
    <mergeCell ref="N1292:N1299"/>
    <mergeCell ref="N1300:N1308"/>
    <mergeCell ref="N1309:N1313"/>
    <mergeCell ref="N1314:N1317"/>
    <mergeCell ref="N1318:N1320"/>
    <mergeCell ref="N1321:N1325"/>
    <mergeCell ref="N1326:N1330"/>
    <mergeCell ref="N1331:N1336"/>
    <mergeCell ref="N1337:N1340"/>
    <mergeCell ref="N1341:N1343"/>
    <mergeCell ref="N1344:N1347"/>
    <mergeCell ref="N1348:N1354"/>
    <mergeCell ref="N1355:N1363"/>
    <mergeCell ref="N1364:N1369"/>
    <mergeCell ref="N1370:N1373"/>
    <mergeCell ref="N1374:N1376"/>
    <mergeCell ref="N1377:N1381"/>
    <mergeCell ref="N1382:N1384"/>
    <mergeCell ref="N1385:N1389"/>
    <mergeCell ref="N1390:N1394"/>
    <mergeCell ref="N1395:N1399"/>
    <mergeCell ref="N1400:N1404"/>
    <mergeCell ref="N1405:N1408"/>
    <mergeCell ref="N1409:N1411"/>
    <mergeCell ref="N1412:N1416"/>
    <mergeCell ref="N1417:N1424"/>
    <mergeCell ref="N1425:N1429"/>
    <mergeCell ref="N1430:N1434"/>
    <mergeCell ref="N1435:N1438"/>
    <mergeCell ref="N1439:N1441"/>
    <mergeCell ref="N1442:N1445"/>
    <mergeCell ref="N1446:N1450"/>
    <mergeCell ref="N1451:N1456"/>
    <mergeCell ref="N1457:N1459"/>
    <mergeCell ref="N1460:N1463"/>
    <mergeCell ref="N1464:N1466"/>
    <mergeCell ref="N1467:N1469"/>
    <mergeCell ref="N1470:N1475"/>
    <mergeCell ref="N1476:N1478"/>
    <mergeCell ref="N1479:N1482"/>
    <mergeCell ref="N1483:N1486"/>
    <mergeCell ref="N1487:N1491"/>
    <mergeCell ref="N1492:N1497"/>
    <mergeCell ref="N1498:N1500"/>
    <mergeCell ref="N1501:N1504"/>
    <mergeCell ref="N1505:N1508"/>
    <mergeCell ref="N1509:N1513"/>
    <mergeCell ref="N1514:N1519"/>
    <mergeCell ref="N1524:N1525"/>
    <mergeCell ref="N1526:N1528"/>
    <mergeCell ref="N1529:N1530"/>
    <mergeCell ref="N1531:N1539"/>
    <mergeCell ref="N1540:N1545"/>
    <mergeCell ref="N1547:N1554"/>
    <mergeCell ref="N1555:N1558"/>
    <mergeCell ref="N1561:N1565"/>
    <mergeCell ref="N1566:N1569"/>
    <mergeCell ref="N1570:N1575"/>
    <mergeCell ref="N1577:N1581"/>
    <mergeCell ref="N1583:N1598"/>
    <mergeCell ref="N1599:N1601"/>
    <mergeCell ref="N1602:N1603"/>
    <mergeCell ref="N1604:N1606"/>
    <mergeCell ref="N1607:N1612"/>
    <mergeCell ref="N1614:N1617"/>
    <mergeCell ref="N1618:N1621"/>
    <mergeCell ref="N1623:N1624"/>
    <mergeCell ref="N1625:N1627"/>
    <mergeCell ref="N1628:N1632"/>
    <mergeCell ref="N1633:N1636"/>
    <mergeCell ref="N1637:N1645"/>
    <mergeCell ref="N1646:N1650"/>
    <mergeCell ref="N1651:N1652"/>
    <mergeCell ref="N1653:N1654"/>
    <mergeCell ref="N1655:N1656"/>
    <mergeCell ref="N1657:N1658"/>
    <mergeCell ref="N1659:N1660"/>
    <mergeCell ref="N1661:N1662"/>
    <mergeCell ref="N1663:N1664"/>
    <mergeCell ref="N1665:N1668"/>
    <mergeCell ref="N1669:N1671"/>
    <mergeCell ref="N1672:N1678"/>
    <mergeCell ref="N1679:N1680"/>
    <mergeCell ref="N1681:N1684"/>
    <mergeCell ref="N1685:N1687"/>
    <mergeCell ref="N1688:N1689"/>
    <mergeCell ref="N1690:N1697"/>
    <mergeCell ref="N1698:N1700"/>
    <mergeCell ref="N1701:N1706"/>
    <mergeCell ref="N1708:N1709"/>
    <mergeCell ref="N1710:N1714"/>
    <mergeCell ref="N1716:N1719"/>
    <mergeCell ref="N1720:N1723"/>
    <mergeCell ref="N1731:N1733"/>
    <mergeCell ref="N1736:N1738"/>
    <mergeCell ref="N1743:N1745"/>
    <mergeCell ref="N1746:N1748"/>
    <mergeCell ref="N1749:N1750"/>
    <mergeCell ref="N1751:N1757"/>
    <mergeCell ref="N1758:N1762"/>
    <mergeCell ref="N1763:N1765"/>
    <mergeCell ref="N1766:N1770"/>
    <mergeCell ref="N1771:N1772"/>
    <mergeCell ref="N1773:N1775"/>
    <mergeCell ref="N1777:N1780"/>
    <mergeCell ref="N1781:N1784"/>
    <mergeCell ref="N1785:N1787"/>
    <mergeCell ref="N1788:N1790"/>
    <mergeCell ref="N1791:N1792"/>
    <mergeCell ref="N1793:N1795"/>
    <mergeCell ref="N1803:N1808"/>
    <mergeCell ref="N1809:N1813"/>
    <mergeCell ref="N1814:N1815"/>
    <mergeCell ref="N1816:N1819"/>
    <mergeCell ref="N1821:N1823"/>
    <mergeCell ref="N1825:N1828"/>
    <mergeCell ref="N1829:N1832"/>
    <mergeCell ref="N1833:N1838"/>
    <mergeCell ref="N1839:N1849"/>
    <mergeCell ref="N1850:N1856"/>
    <mergeCell ref="N1857:N1859"/>
    <mergeCell ref="N1860:N1862"/>
    <mergeCell ref="N1863:N1865"/>
    <mergeCell ref="N1867:N1872"/>
    <mergeCell ref="N1873:N1880"/>
    <mergeCell ref="N1881:N1886"/>
    <mergeCell ref="N1888:N1893"/>
    <mergeCell ref="N1894:N1901"/>
    <mergeCell ref="N1902:N1907"/>
    <mergeCell ref="N1908:N1911"/>
    <mergeCell ref="N1912:N1915"/>
    <mergeCell ref="N1916:N1919"/>
    <mergeCell ref="N1920:N1922"/>
    <mergeCell ref="N1923:N1925"/>
    <mergeCell ref="N1926:N1928"/>
    <mergeCell ref="N1929:N1931"/>
    <mergeCell ref="N1932:N1934"/>
    <mergeCell ref="N1938:N1940"/>
    <mergeCell ref="N1941:N1943"/>
    <mergeCell ref="N1944:N1946"/>
    <mergeCell ref="N1951:N1954"/>
    <mergeCell ref="N1955:N1957"/>
    <mergeCell ref="N1958:N1960"/>
    <mergeCell ref="N1961:N1964"/>
    <mergeCell ref="N1965:N1967"/>
    <mergeCell ref="N1968:N1970"/>
    <mergeCell ref="N1971:N1973"/>
    <mergeCell ref="N1974:N1976"/>
    <mergeCell ref="N1977:N1979"/>
    <mergeCell ref="N1980:N1982"/>
    <mergeCell ref="N1983:N1986"/>
    <mergeCell ref="N1991:N1995"/>
    <mergeCell ref="N1996:N1998"/>
    <mergeCell ref="N1999:N2002"/>
    <mergeCell ref="N2003:N2005"/>
    <mergeCell ref="N2006:N2008"/>
    <mergeCell ref="N2009:N2011"/>
    <mergeCell ref="N2012:N2015"/>
    <mergeCell ref="N2016:N2019"/>
    <mergeCell ref="N2020:N2023"/>
    <mergeCell ref="N2026:N2028"/>
    <mergeCell ref="N2029:N2034"/>
    <mergeCell ref="N2035:N2046"/>
    <mergeCell ref="N2047:N2064"/>
    <mergeCell ref="N2065:N2073"/>
    <mergeCell ref="N2074:N2076"/>
    <mergeCell ref="N2078:N2081"/>
    <mergeCell ref="N2082:N2086"/>
    <mergeCell ref="N2087:N2091"/>
    <mergeCell ref="N2092:N2096"/>
    <mergeCell ref="N2097:N2101"/>
    <mergeCell ref="N2102:N2105"/>
    <mergeCell ref="N2106:N2113"/>
    <mergeCell ref="N2114:N2116"/>
    <mergeCell ref="N2145:N2153"/>
    <mergeCell ref="N2154:N2161"/>
    <mergeCell ref="N2170:N2177"/>
    <mergeCell ref="N2178:N2180"/>
    <mergeCell ref="N2181:N2184"/>
    <mergeCell ref="N2185:N2192"/>
    <mergeCell ref="N2194:N2236"/>
    <mergeCell ref="N2237:N2241"/>
    <mergeCell ref="N2242:N2296"/>
    <mergeCell ref="N2297:N2303"/>
    <mergeCell ref="N2305:N2308"/>
    <mergeCell ref="N2309:N2311"/>
    <mergeCell ref="N2312:N2315"/>
    <mergeCell ref="N2316:N2318"/>
    <mergeCell ref="N2319:N2321"/>
    <mergeCell ref="N2325:N2328"/>
    <mergeCell ref="N2329:N2335"/>
    <mergeCell ref="N2336:N2344"/>
    <mergeCell ref="N2345:N2347"/>
    <mergeCell ref="N2348:N2351"/>
    <mergeCell ref="N2352:N2359"/>
    <mergeCell ref="N2360:N2363"/>
    <mergeCell ref="N2364:N2370"/>
    <mergeCell ref="N2371:N2374"/>
    <mergeCell ref="N2375:N2378"/>
    <mergeCell ref="N2380:N2383"/>
    <mergeCell ref="N2385:N2395"/>
    <mergeCell ref="N2396:N2397"/>
    <mergeCell ref="N2399:N2413"/>
    <mergeCell ref="N2415:N2421"/>
    <mergeCell ref="N2435:N2440"/>
    <mergeCell ref="N2441:N2445"/>
    <mergeCell ref="N2446:N2447"/>
    <mergeCell ref="N2448:N2449"/>
    <mergeCell ref="N2450:N2455"/>
    <mergeCell ref="N2456:N2469"/>
    <mergeCell ref="N2478:N2482"/>
    <mergeCell ref="N2483:N2489"/>
    <mergeCell ref="N2490:N2494"/>
    <mergeCell ref="N2495:N2499"/>
    <mergeCell ref="N2500:N2504"/>
    <mergeCell ref="N2505:N2508"/>
    <mergeCell ref="N2520:N2523"/>
    <mergeCell ref="N2524:N2527"/>
    <mergeCell ref="N2528:N2530"/>
    <mergeCell ref="N2531:N2533"/>
    <mergeCell ref="N2534:N2536"/>
    <mergeCell ref="N2537:N2539"/>
    <mergeCell ref="N2540:N2542"/>
    <mergeCell ref="N2543:N2545"/>
    <mergeCell ref="N2546:N2548"/>
    <mergeCell ref="N2549:N2551"/>
    <mergeCell ref="N2552:N2554"/>
    <mergeCell ref="N2558:N2562"/>
    <mergeCell ref="N2563:N2566"/>
    <mergeCell ref="N2570:N2574"/>
    <mergeCell ref="N2590:N2593"/>
    <mergeCell ref="N2594:N2597"/>
    <mergeCell ref="N2619:N2621"/>
    <mergeCell ref="N2630:N2636"/>
    <mergeCell ref="N2637:N2643"/>
    <mergeCell ref="N2644:N2650"/>
    <mergeCell ref="N2651:N2658"/>
    <mergeCell ref="N2663:N2668"/>
    <mergeCell ref="N2669:N2670"/>
    <mergeCell ref="N2671:N2676"/>
    <mergeCell ref="N2678:N2681"/>
    <mergeCell ref="N2682:N2684"/>
    <mergeCell ref="N2689:N2697"/>
    <mergeCell ref="N2698:N2702"/>
    <mergeCell ref="N2703:N2705"/>
    <mergeCell ref="N2709:N2712"/>
    <mergeCell ref="N2713:N2718"/>
    <mergeCell ref="N2719:N2721"/>
    <mergeCell ref="O5:O29"/>
    <mergeCell ref="O30:O34"/>
    <mergeCell ref="O35:O38"/>
    <mergeCell ref="O39:O40"/>
    <mergeCell ref="O41:O44"/>
    <mergeCell ref="O45:O48"/>
    <mergeCell ref="O49:O51"/>
    <mergeCell ref="O52:O55"/>
    <mergeCell ref="O56:O59"/>
    <mergeCell ref="O60:O65"/>
    <mergeCell ref="O66:O77"/>
    <mergeCell ref="O78:O80"/>
    <mergeCell ref="O81:O84"/>
    <mergeCell ref="O86:O87"/>
    <mergeCell ref="O90:O96"/>
    <mergeCell ref="O97:O103"/>
    <mergeCell ref="O104:O108"/>
    <mergeCell ref="O109:O112"/>
    <mergeCell ref="O113:O117"/>
    <mergeCell ref="O118:O122"/>
    <mergeCell ref="O123:O126"/>
    <mergeCell ref="O127:O130"/>
    <mergeCell ref="O131:O134"/>
    <mergeCell ref="O135:O137"/>
    <mergeCell ref="O138:O143"/>
    <mergeCell ref="O144:O149"/>
    <mergeCell ref="O150:O153"/>
    <mergeCell ref="O154:O159"/>
    <mergeCell ref="O160:O164"/>
    <mergeCell ref="O168:O170"/>
    <mergeCell ref="O172:O174"/>
    <mergeCell ref="O175:O177"/>
    <mergeCell ref="O178:O181"/>
    <mergeCell ref="O182:O188"/>
    <mergeCell ref="O189:O190"/>
    <mergeCell ref="O191:O194"/>
    <mergeCell ref="O195:O199"/>
    <mergeCell ref="O203:O206"/>
    <mergeCell ref="O209:O210"/>
    <mergeCell ref="O213:O216"/>
    <mergeCell ref="O218:O221"/>
    <mergeCell ref="O222:O223"/>
    <mergeCell ref="O224:O227"/>
    <mergeCell ref="O228:O230"/>
    <mergeCell ref="O231:O234"/>
    <mergeCell ref="O235:O239"/>
    <mergeCell ref="O240:O247"/>
    <mergeCell ref="O248:O249"/>
    <mergeCell ref="O258:O259"/>
    <mergeCell ref="O260:O261"/>
    <mergeCell ref="O262:O267"/>
    <mergeCell ref="O268:O269"/>
    <mergeCell ref="O271:O273"/>
    <mergeCell ref="O274:O276"/>
    <mergeCell ref="O283:O286"/>
    <mergeCell ref="O293:O297"/>
    <mergeCell ref="O298:O301"/>
    <mergeCell ref="O302:O303"/>
    <mergeCell ref="O304:O307"/>
    <mergeCell ref="O308:O313"/>
    <mergeCell ref="O314:O317"/>
    <mergeCell ref="O318:O321"/>
    <mergeCell ref="O322:O324"/>
    <mergeCell ref="O325:O330"/>
    <mergeCell ref="O332:O336"/>
    <mergeCell ref="O337:O339"/>
    <mergeCell ref="O340:O343"/>
    <mergeCell ref="O344:O349"/>
    <mergeCell ref="O350:O355"/>
    <mergeCell ref="O356:O365"/>
    <mergeCell ref="O366:O371"/>
    <mergeCell ref="O372:O377"/>
    <mergeCell ref="O378:O383"/>
    <mergeCell ref="O384:O389"/>
    <mergeCell ref="O390:O396"/>
    <mergeCell ref="O397:O402"/>
    <mergeCell ref="O403:O408"/>
    <mergeCell ref="O409:O414"/>
    <mergeCell ref="O415:O420"/>
    <mergeCell ref="O421:O426"/>
    <mergeCell ref="O427:O429"/>
    <mergeCell ref="O431:O433"/>
    <mergeCell ref="O434:O436"/>
    <mergeCell ref="O437:O440"/>
    <mergeCell ref="O445:O449"/>
    <mergeCell ref="O450:O451"/>
    <mergeCell ref="O452:O453"/>
    <mergeCell ref="O454:O455"/>
    <mergeCell ref="O456:O457"/>
    <mergeCell ref="O458:O460"/>
    <mergeCell ref="O461:O467"/>
    <mergeCell ref="O469:O472"/>
    <mergeCell ref="O473:O476"/>
    <mergeCell ref="O477:O480"/>
    <mergeCell ref="O481:O484"/>
    <mergeCell ref="O485:O488"/>
    <mergeCell ref="O489:O491"/>
    <mergeCell ref="O492:O497"/>
    <mergeCell ref="O500:O502"/>
    <mergeCell ref="O503:O505"/>
    <mergeCell ref="O506:O508"/>
    <mergeCell ref="O509:O524"/>
    <mergeCell ref="O525:O528"/>
    <mergeCell ref="O532:O535"/>
    <mergeCell ref="O538:O540"/>
    <mergeCell ref="O541:O547"/>
    <mergeCell ref="O548:O550"/>
    <mergeCell ref="O551:O554"/>
    <mergeCell ref="O555:O559"/>
    <mergeCell ref="O561:O563"/>
    <mergeCell ref="O566:O588"/>
    <mergeCell ref="O589:O592"/>
    <mergeCell ref="O593:O594"/>
    <mergeCell ref="O595:O598"/>
    <mergeCell ref="O600:O602"/>
    <mergeCell ref="O604:O613"/>
    <mergeCell ref="O614:O615"/>
    <mergeCell ref="O616:O618"/>
    <mergeCell ref="O621:O624"/>
    <mergeCell ref="O625:O628"/>
    <mergeCell ref="O629:O630"/>
    <mergeCell ref="O631:O639"/>
    <mergeCell ref="O640:O642"/>
    <mergeCell ref="O643:O646"/>
    <mergeCell ref="O647:O650"/>
    <mergeCell ref="O652:O657"/>
    <mergeCell ref="O658:O674"/>
    <mergeCell ref="O675:O680"/>
    <mergeCell ref="O681:O685"/>
    <mergeCell ref="O686:O688"/>
    <mergeCell ref="O689:O694"/>
    <mergeCell ref="O695:O704"/>
    <mergeCell ref="O705:O711"/>
    <mergeCell ref="O712:O794"/>
    <mergeCell ref="O795:O815"/>
    <mergeCell ref="O816:O836"/>
    <mergeCell ref="O837:O867"/>
    <mergeCell ref="O868:O871"/>
    <mergeCell ref="O872:O874"/>
    <mergeCell ref="O875:O877"/>
    <mergeCell ref="O878:O880"/>
    <mergeCell ref="O881:O941"/>
    <mergeCell ref="O942:O947"/>
    <mergeCell ref="O948:O950"/>
    <mergeCell ref="O951:O957"/>
    <mergeCell ref="O959:O964"/>
    <mergeCell ref="O965:O967"/>
    <mergeCell ref="O968:O970"/>
    <mergeCell ref="O971:O973"/>
    <mergeCell ref="O974:O976"/>
    <mergeCell ref="O977:O981"/>
    <mergeCell ref="O982:O986"/>
    <mergeCell ref="O987:O992"/>
    <mergeCell ref="O993:O998"/>
    <mergeCell ref="O999:O1027"/>
    <mergeCell ref="O1028:O1031"/>
    <mergeCell ref="O1032:O1064"/>
    <mergeCell ref="O1065:O1092"/>
    <mergeCell ref="O1093:O1120"/>
    <mergeCell ref="O1121:O1126"/>
    <mergeCell ref="O1127:O1128"/>
    <mergeCell ref="O1129:O1132"/>
    <mergeCell ref="O1133:O1134"/>
    <mergeCell ref="O1135:O1136"/>
    <mergeCell ref="O1137:O1138"/>
    <mergeCell ref="O1139:O1144"/>
    <mergeCell ref="O1145:O1149"/>
    <mergeCell ref="O1150:O1159"/>
    <mergeCell ref="O1160:O1164"/>
    <mergeCell ref="O1165:O1167"/>
    <mergeCell ref="O1168:O1171"/>
    <mergeCell ref="O1172:O1174"/>
    <mergeCell ref="O1175:O1179"/>
    <mergeCell ref="O1180:O1189"/>
    <mergeCell ref="O1190:O1200"/>
    <mergeCell ref="O1201:O1205"/>
    <mergeCell ref="O1206:O1210"/>
    <mergeCell ref="O1211:O1213"/>
    <mergeCell ref="O1214:O1218"/>
    <mergeCell ref="O1219:O1226"/>
    <mergeCell ref="O1227:O1239"/>
    <mergeCell ref="O1240:O1245"/>
    <mergeCell ref="O1246:O1249"/>
    <mergeCell ref="O1250:O1252"/>
    <mergeCell ref="O1253:O1257"/>
    <mergeCell ref="O1258:O1262"/>
    <mergeCell ref="O1263:O1268"/>
    <mergeCell ref="O1269:O1273"/>
    <mergeCell ref="O1274:O1278"/>
    <mergeCell ref="O1279:O1282"/>
    <mergeCell ref="O1283:O1285"/>
    <mergeCell ref="O1286:O1291"/>
    <mergeCell ref="O1292:O1299"/>
    <mergeCell ref="O1300:O1308"/>
    <mergeCell ref="O1309:O1313"/>
    <mergeCell ref="O1314:O1317"/>
    <mergeCell ref="O1318:O1320"/>
    <mergeCell ref="O1321:O1325"/>
    <mergeCell ref="O1326:O1330"/>
    <mergeCell ref="O1331:O1336"/>
    <mergeCell ref="O1337:O1340"/>
    <mergeCell ref="O1341:O1343"/>
    <mergeCell ref="O1344:O1347"/>
    <mergeCell ref="O1348:O1354"/>
    <mergeCell ref="O1355:O1363"/>
    <mergeCell ref="O1364:O1369"/>
    <mergeCell ref="O1370:O1373"/>
    <mergeCell ref="O1374:O1376"/>
    <mergeCell ref="O1377:O1381"/>
    <mergeCell ref="O1382:O1384"/>
    <mergeCell ref="O1385:O1389"/>
    <mergeCell ref="O1390:O1394"/>
    <mergeCell ref="O1395:O1399"/>
    <mergeCell ref="O1400:O1404"/>
    <mergeCell ref="O1405:O1408"/>
    <mergeCell ref="O1409:O1411"/>
    <mergeCell ref="O1412:O1416"/>
    <mergeCell ref="O1417:O1424"/>
    <mergeCell ref="O1425:O1429"/>
    <mergeCell ref="O1430:O1434"/>
    <mergeCell ref="O1435:O1438"/>
    <mergeCell ref="O1439:O1441"/>
    <mergeCell ref="O1442:O1445"/>
    <mergeCell ref="O1446:O1450"/>
    <mergeCell ref="O1451:O1456"/>
    <mergeCell ref="O1457:O1459"/>
    <mergeCell ref="O1460:O1463"/>
    <mergeCell ref="O1464:O1466"/>
    <mergeCell ref="O1467:O1469"/>
    <mergeCell ref="O1470:O1475"/>
    <mergeCell ref="O1476:O1478"/>
    <mergeCell ref="O1479:O1482"/>
    <mergeCell ref="O1483:O1486"/>
    <mergeCell ref="O1487:O1491"/>
    <mergeCell ref="O1492:O1497"/>
    <mergeCell ref="O1498:O1500"/>
    <mergeCell ref="O1501:O1504"/>
    <mergeCell ref="O1505:O1508"/>
    <mergeCell ref="O1509:O1513"/>
    <mergeCell ref="O1514:O1519"/>
    <mergeCell ref="O1524:O1525"/>
    <mergeCell ref="O1526:O1528"/>
    <mergeCell ref="O1529:O1530"/>
    <mergeCell ref="O1531:O1539"/>
    <mergeCell ref="O1540:O1545"/>
    <mergeCell ref="O1547:O1554"/>
    <mergeCell ref="O1555:O1558"/>
    <mergeCell ref="O1561:O1565"/>
    <mergeCell ref="O1566:O1569"/>
    <mergeCell ref="O1570:O1575"/>
    <mergeCell ref="O1577:O1581"/>
    <mergeCell ref="O1583:O1598"/>
    <mergeCell ref="O1599:O1601"/>
    <mergeCell ref="O1602:O1603"/>
    <mergeCell ref="O1604:O1606"/>
    <mergeCell ref="O1607:O1612"/>
    <mergeCell ref="O1614:O1617"/>
    <mergeCell ref="O1618:O1621"/>
    <mergeCell ref="O1623:O1624"/>
    <mergeCell ref="O1625:O1627"/>
    <mergeCell ref="O1628:O1632"/>
    <mergeCell ref="O1633:O1636"/>
    <mergeCell ref="O1637:O1645"/>
    <mergeCell ref="O1646:O1650"/>
    <mergeCell ref="O1651:O1652"/>
    <mergeCell ref="O1653:O1654"/>
    <mergeCell ref="O1655:O1656"/>
    <mergeCell ref="O1657:O1658"/>
    <mergeCell ref="O1659:O1660"/>
    <mergeCell ref="O1661:O1662"/>
    <mergeCell ref="O1663:O1664"/>
    <mergeCell ref="O1665:O1668"/>
    <mergeCell ref="O1669:O1671"/>
    <mergeCell ref="O1672:O1678"/>
    <mergeCell ref="O1679:O1680"/>
    <mergeCell ref="O1681:O1684"/>
    <mergeCell ref="O1685:O1687"/>
    <mergeCell ref="O1688:O1689"/>
    <mergeCell ref="O1690:O1697"/>
    <mergeCell ref="O1698:O1700"/>
    <mergeCell ref="O1701:O1706"/>
    <mergeCell ref="O1708:O1709"/>
    <mergeCell ref="O1710:O1714"/>
    <mergeCell ref="O1716:O1719"/>
    <mergeCell ref="O1720:O1723"/>
    <mergeCell ref="O1731:O1733"/>
    <mergeCell ref="O1736:O1738"/>
    <mergeCell ref="O1743:O1745"/>
    <mergeCell ref="O1746:O1748"/>
    <mergeCell ref="O1749:O1750"/>
    <mergeCell ref="O1751:O1757"/>
    <mergeCell ref="O1758:O1762"/>
    <mergeCell ref="O1763:O1765"/>
    <mergeCell ref="O1766:O1770"/>
    <mergeCell ref="O1771:O1772"/>
    <mergeCell ref="O1773:O1775"/>
    <mergeCell ref="O1777:O1780"/>
    <mergeCell ref="O1781:O1784"/>
    <mergeCell ref="O1785:O1787"/>
    <mergeCell ref="O1788:O1790"/>
    <mergeCell ref="O1791:O1792"/>
    <mergeCell ref="O1793:O1795"/>
    <mergeCell ref="O1803:O1808"/>
    <mergeCell ref="O1809:O1813"/>
    <mergeCell ref="O1814:O1815"/>
    <mergeCell ref="O1816:O1819"/>
    <mergeCell ref="O1821:O1823"/>
    <mergeCell ref="O1825:O1828"/>
    <mergeCell ref="O1829:O1832"/>
    <mergeCell ref="O1833:O1838"/>
    <mergeCell ref="O1839:O1849"/>
    <mergeCell ref="O1850:O1856"/>
    <mergeCell ref="O1857:O1859"/>
    <mergeCell ref="O1860:O1862"/>
    <mergeCell ref="O1863:O1865"/>
    <mergeCell ref="O1867:O1872"/>
    <mergeCell ref="O1873:O1880"/>
    <mergeCell ref="O1881:O1886"/>
    <mergeCell ref="O1888:O1893"/>
    <mergeCell ref="O1894:O1901"/>
    <mergeCell ref="O1902:O1907"/>
    <mergeCell ref="O1908:O1911"/>
    <mergeCell ref="O1912:O1915"/>
    <mergeCell ref="O1916:O1919"/>
    <mergeCell ref="O1920:O1922"/>
    <mergeCell ref="O1923:O1925"/>
    <mergeCell ref="O1926:O1928"/>
    <mergeCell ref="O1929:O1931"/>
    <mergeCell ref="O1932:O1934"/>
    <mergeCell ref="O1938:O1940"/>
    <mergeCell ref="O1941:O1943"/>
    <mergeCell ref="O1944:O1946"/>
    <mergeCell ref="O1947:O1950"/>
    <mergeCell ref="O1951:O1954"/>
    <mergeCell ref="O1955:O1957"/>
    <mergeCell ref="O1958:O1960"/>
    <mergeCell ref="O1961:O1964"/>
    <mergeCell ref="O1965:O1967"/>
    <mergeCell ref="O1968:O1970"/>
    <mergeCell ref="O1971:O1973"/>
    <mergeCell ref="O1974:O1976"/>
    <mergeCell ref="O1977:O1979"/>
    <mergeCell ref="O1980:O1982"/>
    <mergeCell ref="O1983:O1986"/>
    <mergeCell ref="O1987:O1990"/>
    <mergeCell ref="O1991:O1995"/>
    <mergeCell ref="O1996:O1998"/>
    <mergeCell ref="O1999:O2002"/>
    <mergeCell ref="O2003:O2005"/>
    <mergeCell ref="O2006:O2008"/>
    <mergeCell ref="O2009:O2011"/>
    <mergeCell ref="O2012:O2015"/>
    <mergeCell ref="O2016:O2019"/>
    <mergeCell ref="O2020:O2023"/>
    <mergeCell ref="O2026:O2028"/>
    <mergeCell ref="O2029:O2034"/>
    <mergeCell ref="O2035:O2046"/>
    <mergeCell ref="O2047:O2064"/>
    <mergeCell ref="O2065:O2073"/>
    <mergeCell ref="O2074:O2076"/>
    <mergeCell ref="O2078:O2081"/>
    <mergeCell ref="O2082:O2086"/>
    <mergeCell ref="O2087:O2091"/>
    <mergeCell ref="O2092:O2096"/>
    <mergeCell ref="O2097:O2101"/>
    <mergeCell ref="O2102:O2105"/>
    <mergeCell ref="O2106:O2113"/>
    <mergeCell ref="O2114:O2116"/>
    <mergeCell ref="O2145:O2153"/>
    <mergeCell ref="O2154:O2161"/>
    <mergeCell ref="O2170:O2177"/>
    <mergeCell ref="O2178:O2180"/>
    <mergeCell ref="O2181:O2184"/>
    <mergeCell ref="O2185:O2192"/>
    <mergeCell ref="O2194:O2236"/>
    <mergeCell ref="O2237:O2241"/>
    <mergeCell ref="O2242:O2296"/>
    <mergeCell ref="O2297:O2303"/>
    <mergeCell ref="O2305:O2308"/>
    <mergeCell ref="O2309:O2311"/>
    <mergeCell ref="O2312:O2315"/>
    <mergeCell ref="O2316:O2318"/>
    <mergeCell ref="O2319:O2321"/>
    <mergeCell ref="O2325:O2328"/>
    <mergeCell ref="O2329:O2335"/>
    <mergeCell ref="O2336:O2344"/>
    <mergeCell ref="O2345:O2347"/>
    <mergeCell ref="O2348:O2351"/>
    <mergeCell ref="O2352:O2359"/>
    <mergeCell ref="O2360:O2363"/>
    <mergeCell ref="O2364:O2370"/>
    <mergeCell ref="O2371:O2374"/>
    <mergeCell ref="O2375:O2378"/>
    <mergeCell ref="O2380:O2383"/>
    <mergeCell ref="O2385:O2395"/>
    <mergeCell ref="O2396:O2397"/>
    <mergeCell ref="O2399:O2413"/>
    <mergeCell ref="O2415:O2421"/>
    <mergeCell ref="O2435:O2440"/>
    <mergeCell ref="O2441:O2445"/>
    <mergeCell ref="O2446:O2447"/>
    <mergeCell ref="O2448:O2449"/>
    <mergeCell ref="O2450:O2455"/>
    <mergeCell ref="O2456:O2469"/>
    <mergeCell ref="O2478:O2482"/>
    <mergeCell ref="O2483:O2489"/>
    <mergeCell ref="O2490:O2494"/>
    <mergeCell ref="O2495:O2499"/>
    <mergeCell ref="O2500:O2504"/>
    <mergeCell ref="O2505:O2508"/>
    <mergeCell ref="O2520:O2523"/>
    <mergeCell ref="O2524:O2527"/>
    <mergeCell ref="O2528:O2530"/>
    <mergeCell ref="O2531:O2533"/>
    <mergeCell ref="O2534:O2536"/>
    <mergeCell ref="O2537:O2539"/>
    <mergeCell ref="O2540:O2542"/>
    <mergeCell ref="O2543:O2545"/>
    <mergeCell ref="O2546:O2548"/>
    <mergeCell ref="O2549:O2551"/>
    <mergeCell ref="O2552:O2554"/>
    <mergeCell ref="O2558:O2562"/>
    <mergeCell ref="O2563:O2566"/>
    <mergeCell ref="O2570:O2574"/>
    <mergeCell ref="O2590:O2593"/>
    <mergeCell ref="O2594:O2597"/>
    <mergeCell ref="O2619:O2621"/>
    <mergeCell ref="O2630:O2636"/>
    <mergeCell ref="O2637:O2643"/>
    <mergeCell ref="O2644:O2650"/>
    <mergeCell ref="O2651:O2658"/>
    <mergeCell ref="O2663:O2668"/>
    <mergeCell ref="O2669:O2670"/>
    <mergeCell ref="O2671:O2676"/>
    <mergeCell ref="O2678:O2681"/>
    <mergeCell ref="O2682:O2684"/>
    <mergeCell ref="O2689:O2697"/>
    <mergeCell ref="O2698:O2702"/>
    <mergeCell ref="O2703:O2705"/>
    <mergeCell ref="O2709:O2712"/>
    <mergeCell ref="O2713:O2718"/>
    <mergeCell ref="O2719:O2721"/>
    <mergeCell ref="P5:P29"/>
    <mergeCell ref="P30:P34"/>
    <mergeCell ref="P35:P38"/>
    <mergeCell ref="P39:P40"/>
    <mergeCell ref="P41:P44"/>
    <mergeCell ref="P45:P48"/>
    <mergeCell ref="P49:P51"/>
    <mergeCell ref="P52:P55"/>
    <mergeCell ref="P56:P59"/>
    <mergeCell ref="P60:P65"/>
    <mergeCell ref="P66:P77"/>
    <mergeCell ref="P78:P80"/>
    <mergeCell ref="P81:P84"/>
    <mergeCell ref="P86:P87"/>
    <mergeCell ref="P90:P96"/>
    <mergeCell ref="P97:P103"/>
    <mergeCell ref="P104:P108"/>
    <mergeCell ref="P109:P112"/>
    <mergeCell ref="P113:P117"/>
    <mergeCell ref="P118:P122"/>
    <mergeCell ref="P123:P126"/>
    <mergeCell ref="P127:P130"/>
    <mergeCell ref="P131:P134"/>
    <mergeCell ref="P135:P137"/>
    <mergeCell ref="P138:P143"/>
    <mergeCell ref="P144:P149"/>
    <mergeCell ref="P150:P153"/>
    <mergeCell ref="P154:P159"/>
    <mergeCell ref="P160:P164"/>
    <mergeCell ref="P168:P170"/>
    <mergeCell ref="P172:P174"/>
    <mergeCell ref="P175:P177"/>
    <mergeCell ref="P178:P181"/>
    <mergeCell ref="P182:P188"/>
    <mergeCell ref="P189:P190"/>
    <mergeCell ref="P191:P194"/>
    <mergeCell ref="P195:P199"/>
    <mergeCell ref="P203:P206"/>
    <mergeCell ref="P209:P210"/>
    <mergeCell ref="P213:P216"/>
    <mergeCell ref="P218:P221"/>
    <mergeCell ref="P222:P223"/>
    <mergeCell ref="P224:P227"/>
    <mergeCell ref="P228:P230"/>
    <mergeCell ref="P231:P234"/>
    <mergeCell ref="P235:P239"/>
    <mergeCell ref="P240:P247"/>
    <mergeCell ref="P248:P249"/>
    <mergeCell ref="P258:P259"/>
    <mergeCell ref="P260:P261"/>
    <mergeCell ref="P262:P267"/>
    <mergeCell ref="P268:P269"/>
    <mergeCell ref="P271:P273"/>
    <mergeCell ref="P274:P276"/>
    <mergeCell ref="P283:P286"/>
    <mergeCell ref="P293:P297"/>
    <mergeCell ref="P298:P301"/>
    <mergeCell ref="P302:P303"/>
    <mergeCell ref="P304:P307"/>
    <mergeCell ref="P308:P313"/>
    <mergeCell ref="P314:P317"/>
    <mergeCell ref="P318:P321"/>
    <mergeCell ref="P322:P324"/>
    <mergeCell ref="P325:P330"/>
    <mergeCell ref="P332:P336"/>
    <mergeCell ref="P337:P339"/>
    <mergeCell ref="P340:P343"/>
    <mergeCell ref="P344:P349"/>
    <mergeCell ref="P350:P355"/>
    <mergeCell ref="P356:P365"/>
    <mergeCell ref="P366:P371"/>
    <mergeCell ref="P372:P377"/>
    <mergeCell ref="P378:P383"/>
    <mergeCell ref="P384:P389"/>
    <mergeCell ref="P390:P396"/>
    <mergeCell ref="P397:P402"/>
    <mergeCell ref="P403:P408"/>
    <mergeCell ref="P409:P414"/>
    <mergeCell ref="P415:P420"/>
    <mergeCell ref="P421:P426"/>
    <mergeCell ref="P427:P429"/>
    <mergeCell ref="P431:P433"/>
    <mergeCell ref="P434:P436"/>
    <mergeCell ref="P437:P440"/>
    <mergeCell ref="P445:P449"/>
    <mergeCell ref="P450:P451"/>
    <mergeCell ref="P452:P453"/>
    <mergeCell ref="P454:P455"/>
    <mergeCell ref="P456:P457"/>
    <mergeCell ref="P458:P460"/>
    <mergeCell ref="P461:P467"/>
    <mergeCell ref="P469:P472"/>
    <mergeCell ref="P473:P476"/>
    <mergeCell ref="P477:P480"/>
    <mergeCell ref="P481:P484"/>
    <mergeCell ref="P485:P488"/>
    <mergeCell ref="P489:P491"/>
    <mergeCell ref="P492:P497"/>
    <mergeCell ref="P500:P502"/>
    <mergeCell ref="P503:P505"/>
    <mergeCell ref="P506:P508"/>
    <mergeCell ref="P509:P524"/>
    <mergeCell ref="P525:P528"/>
    <mergeCell ref="P532:P535"/>
    <mergeCell ref="P538:P540"/>
    <mergeCell ref="P541:P547"/>
    <mergeCell ref="P548:P550"/>
    <mergeCell ref="P551:P554"/>
    <mergeCell ref="P555:P559"/>
    <mergeCell ref="P561:P563"/>
    <mergeCell ref="P566:P588"/>
    <mergeCell ref="P589:P592"/>
    <mergeCell ref="P593:P594"/>
    <mergeCell ref="P595:P598"/>
    <mergeCell ref="P600:P602"/>
    <mergeCell ref="P604:P613"/>
    <mergeCell ref="P614:P615"/>
    <mergeCell ref="P616:P618"/>
    <mergeCell ref="P621:P624"/>
    <mergeCell ref="P625:P628"/>
    <mergeCell ref="P629:P630"/>
    <mergeCell ref="P631:P639"/>
    <mergeCell ref="P640:P642"/>
    <mergeCell ref="P643:P646"/>
    <mergeCell ref="P647:P650"/>
    <mergeCell ref="P652:P657"/>
    <mergeCell ref="P658:P674"/>
    <mergeCell ref="P675:P680"/>
    <mergeCell ref="P681:P685"/>
    <mergeCell ref="P686:P688"/>
    <mergeCell ref="P689:P694"/>
    <mergeCell ref="P695:P704"/>
    <mergeCell ref="P705:P711"/>
    <mergeCell ref="P712:P794"/>
    <mergeCell ref="P795:P815"/>
    <mergeCell ref="P816:P836"/>
    <mergeCell ref="P837:P867"/>
    <mergeCell ref="P868:P871"/>
    <mergeCell ref="P872:P874"/>
    <mergeCell ref="P875:P877"/>
    <mergeCell ref="P878:P880"/>
    <mergeCell ref="P881:P941"/>
    <mergeCell ref="P942:P947"/>
    <mergeCell ref="P948:P950"/>
    <mergeCell ref="P951:P957"/>
    <mergeCell ref="P959:P964"/>
    <mergeCell ref="P965:P967"/>
    <mergeCell ref="P968:P970"/>
    <mergeCell ref="P971:P973"/>
    <mergeCell ref="P974:P976"/>
    <mergeCell ref="P977:P981"/>
    <mergeCell ref="P982:P986"/>
    <mergeCell ref="P987:P992"/>
    <mergeCell ref="P993:P998"/>
    <mergeCell ref="P999:P1027"/>
    <mergeCell ref="P1028:P1031"/>
    <mergeCell ref="P1032:P1064"/>
    <mergeCell ref="P1065:P1092"/>
    <mergeCell ref="P1093:P1120"/>
    <mergeCell ref="P1121:P1126"/>
    <mergeCell ref="P1127:P1128"/>
    <mergeCell ref="P1129:P1132"/>
    <mergeCell ref="P1133:P1134"/>
    <mergeCell ref="P1135:P1136"/>
    <mergeCell ref="P1137:P1138"/>
    <mergeCell ref="P1139:P1144"/>
    <mergeCell ref="P1145:P1149"/>
    <mergeCell ref="P1150:P1159"/>
    <mergeCell ref="P1160:P1164"/>
    <mergeCell ref="P1165:P1167"/>
    <mergeCell ref="P1168:P1171"/>
    <mergeCell ref="P1172:P1174"/>
    <mergeCell ref="P1175:P1179"/>
    <mergeCell ref="P1180:P1189"/>
    <mergeCell ref="P1190:P1200"/>
    <mergeCell ref="P1201:P1205"/>
    <mergeCell ref="P1206:P1210"/>
    <mergeCell ref="P1211:P1213"/>
    <mergeCell ref="P1214:P1218"/>
    <mergeCell ref="P1219:P1226"/>
    <mergeCell ref="P1227:P1239"/>
    <mergeCell ref="P1240:P1245"/>
    <mergeCell ref="P1246:P1249"/>
    <mergeCell ref="P1250:P1252"/>
    <mergeCell ref="P1253:P1257"/>
    <mergeCell ref="P1258:P1262"/>
    <mergeCell ref="P1263:P1268"/>
    <mergeCell ref="P1269:P1273"/>
    <mergeCell ref="P1274:P1278"/>
    <mergeCell ref="P1279:P1282"/>
    <mergeCell ref="P1283:P1285"/>
    <mergeCell ref="P1286:P1291"/>
    <mergeCell ref="P1292:P1299"/>
    <mergeCell ref="P1300:P1308"/>
    <mergeCell ref="P1309:P1313"/>
    <mergeCell ref="P1314:P1317"/>
    <mergeCell ref="P1318:P1320"/>
    <mergeCell ref="P1321:P1325"/>
    <mergeCell ref="P1326:P1330"/>
    <mergeCell ref="P1331:P1336"/>
    <mergeCell ref="P1337:P1340"/>
    <mergeCell ref="P1341:P1343"/>
    <mergeCell ref="P1344:P1347"/>
    <mergeCell ref="P1348:P1354"/>
    <mergeCell ref="P1355:P1363"/>
    <mergeCell ref="P1364:P1369"/>
    <mergeCell ref="P1370:P1373"/>
    <mergeCell ref="P1374:P1376"/>
    <mergeCell ref="P1377:P1381"/>
    <mergeCell ref="P1382:P1384"/>
    <mergeCell ref="P1385:P1389"/>
    <mergeCell ref="P1390:P1394"/>
    <mergeCell ref="P1395:P1399"/>
    <mergeCell ref="P1400:P1404"/>
    <mergeCell ref="P1405:P1408"/>
    <mergeCell ref="P1409:P1411"/>
    <mergeCell ref="P1412:P1416"/>
    <mergeCell ref="P1417:P1424"/>
    <mergeCell ref="P1425:P1429"/>
    <mergeCell ref="P1430:P1434"/>
    <mergeCell ref="P1435:P1438"/>
    <mergeCell ref="P1439:P1441"/>
    <mergeCell ref="P1442:P1445"/>
    <mergeCell ref="P1446:P1450"/>
    <mergeCell ref="P1451:P1456"/>
    <mergeCell ref="P1457:P1459"/>
    <mergeCell ref="P1460:P1463"/>
    <mergeCell ref="P1464:P1466"/>
    <mergeCell ref="P1467:P1469"/>
    <mergeCell ref="P1470:P1475"/>
    <mergeCell ref="P1476:P1478"/>
    <mergeCell ref="P1479:P1482"/>
    <mergeCell ref="P1483:P1486"/>
    <mergeCell ref="P1487:P1491"/>
    <mergeCell ref="P1492:P1497"/>
    <mergeCell ref="P1498:P1500"/>
    <mergeCell ref="P1501:P1504"/>
    <mergeCell ref="P1505:P1508"/>
    <mergeCell ref="P1509:P1513"/>
    <mergeCell ref="P1514:P1519"/>
    <mergeCell ref="P1524:P1525"/>
    <mergeCell ref="P1526:P1528"/>
    <mergeCell ref="P1529:P1530"/>
    <mergeCell ref="P1531:P1539"/>
    <mergeCell ref="P1540:P1545"/>
    <mergeCell ref="P1547:P1554"/>
    <mergeCell ref="P1555:P1558"/>
    <mergeCell ref="P1561:P1565"/>
    <mergeCell ref="P1566:P1569"/>
    <mergeCell ref="P1570:P1575"/>
    <mergeCell ref="P1577:P1581"/>
    <mergeCell ref="P1583:P1598"/>
    <mergeCell ref="P1599:P1601"/>
    <mergeCell ref="P1602:P1603"/>
    <mergeCell ref="P1604:P1606"/>
    <mergeCell ref="P1607:P1612"/>
    <mergeCell ref="P1614:P1617"/>
    <mergeCell ref="P1618:P1621"/>
    <mergeCell ref="P1623:P1624"/>
    <mergeCell ref="P1625:P1627"/>
    <mergeCell ref="P1628:P1632"/>
    <mergeCell ref="P1633:P1636"/>
    <mergeCell ref="P1637:P1645"/>
    <mergeCell ref="P1646:P1650"/>
    <mergeCell ref="P1651:P1652"/>
    <mergeCell ref="P1653:P1654"/>
    <mergeCell ref="P1655:P1656"/>
    <mergeCell ref="P1657:P1658"/>
    <mergeCell ref="P1659:P1660"/>
    <mergeCell ref="P1661:P1662"/>
    <mergeCell ref="P1663:P1664"/>
    <mergeCell ref="P1665:P1668"/>
    <mergeCell ref="P1669:P1671"/>
    <mergeCell ref="P1672:P1678"/>
    <mergeCell ref="P1679:P1680"/>
    <mergeCell ref="P1681:P1684"/>
    <mergeCell ref="P1685:P1687"/>
    <mergeCell ref="P1688:P1689"/>
    <mergeCell ref="P1690:P1697"/>
    <mergeCell ref="P1698:P1700"/>
    <mergeCell ref="P1701:P1706"/>
    <mergeCell ref="P1708:P1709"/>
    <mergeCell ref="P1710:P1714"/>
    <mergeCell ref="P1716:P1719"/>
    <mergeCell ref="P1720:P1723"/>
    <mergeCell ref="P1731:P1733"/>
    <mergeCell ref="P1736:P1738"/>
    <mergeCell ref="P1743:P1745"/>
    <mergeCell ref="P1746:P1748"/>
    <mergeCell ref="P1749:P1750"/>
    <mergeCell ref="P1751:P1757"/>
    <mergeCell ref="P1758:P1762"/>
    <mergeCell ref="P1763:P1765"/>
    <mergeCell ref="P1766:P1770"/>
    <mergeCell ref="P1771:P1772"/>
    <mergeCell ref="P1773:P1775"/>
    <mergeCell ref="P1777:P1780"/>
    <mergeCell ref="P1781:P1784"/>
    <mergeCell ref="P1785:P1787"/>
    <mergeCell ref="P1788:P1790"/>
    <mergeCell ref="P1791:P1792"/>
    <mergeCell ref="P1793:P1795"/>
    <mergeCell ref="P1803:P1808"/>
    <mergeCell ref="P1809:P1813"/>
    <mergeCell ref="P1814:P1815"/>
    <mergeCell ref="P1816:P1819"/>
    <mergeCell ref="P1821:P1823"/>
    <mergeCell ref="P1825:P1828"/>
    <mergeCell ref="P1829:P1832"/>
    <mergeCell ref="P1833:P1838"/>
    <mergeCell ref="P1839:P1849"/>
    <mergeCell ref="P1850:P1856"/>
    <mergeCell ref="P1857:P1859"/>
    <mergeCell ref="P1860:P1862"/>
    <mergeCell ref="P1863:P1865"/>
    <mergeCell ref="P1867:P1872"/>
    <mergeCell ref="P1873:P1880"/>
    <mergeCell ref="P1881:P1886"/>
    <mergeCell ref="P1888:P1893"/>
    <mergeCell ref="P1894:P1901"/>
    <mergeCell ref="P1902:P1907"/>
    <mergeCell ref="P1908:P1911"/>
    <mergeCell ref="P1912:P1915"/>
    <mergeCell ref="P1916:P1919"/>
    <mergeCell ref="P1920:P1922"/>
    <mergeCell ref="P1923:P1925"/>
    <mergeCell ref="P1926:P1928"/>
    <mergeCell ref="P1929:P1931"/>
    <mergeCell ref="P1932:P1934"/>
    <mergeCell ref="P1938:P1940"/>
    <mergeCell ref="P1941:P1943"/>
    <mergeCell ref="P1944:P1946"/>
    <mergeCell ref="P1947:P1950"/>
    <mergeCell ref="P1951:P1954"/>
    <mergeCell ref="P1955:P1957"/>
    <mergeCell ref="P1958:P1960"/>
    <mergeCell ref="P1961:P1964"/>
    <mergeCell ref="P1965:P1967"/>
    <mergeCell ref="P1968:P1970"/>
    <mergeCell ref="P1971:P1973"/>
    <mergeCell ref="P1974:P1976"/>
    <mergeCell ref="P1977:P1979"/>
    <mergeCell ref="P1980:P1982"/>
    <mergeCell ref="P1983:P1986"/>
    <mergeCell ref="P1987:P1990"/>
    <mergeCell ref="P1991:P1995"/>
    <mergeCell ref="P1996:P1998"/>
    <mergeCell ref="P1999:P2002"/>
    <mergeCell ref="P2003:P2005"/>
    <mergeCell ref="P2006:P2008"/>
    <mergeCell ref="P2009:P2011"/>
    <mergeCell ref="P2012:P2015"/>
    <mergeCell ref="P2016:P2019"/>
    <mergeCell ref="P2020:P2023"/>
    <mergeCell ref="P2026:P2028"/>
    <mergeCell ref="P2029:P2034"/>
    <mergeCell ref="P2035:P2046"/>
    <mergeCell ref="P2047:P2064"/>
    <mergeCell ref="P2065:P2073"/>
    <mergeCell ref="P2074:P2076"/>
    <mergeCell ref="P2078:P2081"/>
    <mergeCell ref="P2082:P2086"/>
    <mergeCell ref="P2087:P2091"/>
    <mergeCell ref="P2092:P2096"/>
    <mergeCell ref="P2097:P2101"/>
    <mergeCell ref="P2102:P2105"/>
    <mergeCell ref="P2106:P2113"/>
    <mergeCell ref="P2114:P2116"/>
    <mergeCell ref="P2145:P2153"/>
    <mergeCell ref="P2154:P2161"/>
    <mergeCell ref="P2170:P2177"/>
    <mergeCell ref="P2178:P2180"/>
    <mergeCell ref="P2181:P2184"/>
    <mergeCell ref="P2185:P2192"/>
    <mergeCell ref="P2194:P2236"/>
    <mergeCell ref="P2237:P2241"/>
    <mergeCell ref="P2242:P2296"/>
    <mergeCell ref="P2297:P2303"/>
    <mergeCell ref="P2305:P2308"/>
    <mergeCell ref="P2309:P2311"/>
    <mergeCell ref="P2312:P2315"/>
    <mergeCell ref="P2316:P2318"/>
    <mergeCell ref="P2319:P2321"/>
    <mergeCell ref="P2325:P2328"/>
    <mergeCell ref="P2329:P2335"/>
    <mergeCell ref="P2336:P2344"/>
    <mergeCell ref="P2345:P2347"/>
    <mergeCell ref="P2348:P2351"/>
    <mergeCell ref="P2352:P2359"/>
    <mergeCell ref="P2360:P2363"/>
    <mergeCell ref="P2364:P2370"/>
    <mergeCell ref="P2371:P2374"/>
    <mergeCell ref="P2375:P2378"/>
    <mergeCell ref="P2380:P2383"/>
    <mergeCell ref="P2385:P2395"/>
    <mergeCell ref="P2396:P2397"/>
    <mergeCell ref="P2399:P2413"/>
    <mergeCell ref="P2415:P2421"/>
    <mergeCell ref="P2422:P2434"/>
    <mergeCell ref="P2435:P2440"/>
    <mergeCell ref="P2441:P2445"/>
    <mergeCell ref="P2446:P2447"/>
    <mergeCell ref="P2448:P2449"/>
    <mergeCell ref="P2450:P2453"/>
    <mergeCell ref="P2454:P2455"/>
    <mergeCell ref="P2456:P2469"/>
    <mergeCell ref="P2470:P2474"/>
    <mergeCell ref="P2478:P2482"/>
    <mergeCell ref="P2483:P2489"/>
    <mergeCell ref="P2490:P2494"/>
    <mergeCell ref="P2495:P2499"/>
    <mergeCell ref="P2500:P2504"/>
    <mergeCell ref="P2505:P2508"/>
    <mergeCell ref="P2520:P2523"/>
    <mergeCell ref="P2524:P2527"/>
    <mergeCell ref="P2528:P2530"/>
    <mergeCell ref="P2531:P2533"/>
    <mergeCell ref="P2534:P2536"/>
    <mergeCell ref="P2537:P2539"/>
    <mergeCell ref="P2540:P2542"/>
    <mergeCell ref="P2543:P2545"/>
    <mergeCell ref="P2546:P2548"/>
    <mergeCell ref="P2549:P2551"/>
    <mergeCell ref="P2552:P2554"/>
    <mergeCell ref="P2558:P2562"/>
    <mergeCell ref="P2563:P2566"/>
    <mergeCell ref="P2570:P2574"/>
    <mergeCell ref="P2590:P2593"/>
    <mergeCell ref="P2594:P2597"/>
    <mergeCell ref="P2619:P2621"/>
    <mergeCell ref="P2622:P2629"/>
    <mergeCell ref="P2630:P2636"/>
    <mergeCell ref="P2637:P2643"/>
    <mergeCell ref="P2644:P2650"/>
    <mergeCell ref="P2651:P2658"/>
    <mergeCell ref="P2663:P2668"/>
    <mergeCell ref="P2669:P2670"/>
    <mergeCell ref="P2671:P2677"/>
    <mergeCell ref="P2678:P2681"/>
    <mergeCell ref="P2682:P2684"/>
    <mergeCell ref="P2689:P2697"/>
    <mergeCell ref="P2698:P2702"/>
    <mergeCell ref="P2703:P2705"/>
    <mergeCell ref="P2709:P2712"/>
    <mergeCell ref="P2713:P2718"/>
    <mergeCell ref="P2719:P2721"/>
    <mergeCell ref="Q5:Q29"/>
    <mergeCell ref="Q30:Q34"/>
    <mergeCell ref="Q35:Q38"/>
    <mergeCell ref="Q39:Q40"/>
    <mergeCell ref="Q41:Q44"/>
    <mergeCell ref="Q45:Q48"/>
    <mergeCell ref="Q49:Q51"/>
    <mergeCell ref="Q52:Q55"/>
    <mergeCell ref="Q56:Q59"/>
    <mergeCell ref="Q60:Q65"/>
    <mergeCell ref="Q66:Q77"/>
    <mergeCell ref="Q78:Q80"/>
    <mergeCell ref="Q81:Q84"/>
    <mergeCell ref="Q86:Q87"/>
    <mergeCell ref="Q90:Q96"/>
    <mergeCell ref="Q97:Q103"/>
    <mergeCell ref="Q104:Q108"/>
    <mergeCell ref="Q109:Q112"/>
    <mergeCell ref="Q113:Q117"/>
    <mergeCell ref="Q118:Q122"/>
    <mergeCell ref="Q123:Q126"/>
    <mergeCell ref="Q127:Q130"/>
    <mergeCell ref="Q131:Q134"/>
    <mergeCell ref="Q135:Q137"/>
    <mergeCell ref="Q138:Q143"/>
    <mergeCell ref="Q144:Q149"/>
    <mergeCell ref="Q150:Q153"/>
    <mergeCell ref="Q154:Q159"/>
    <mergeCell ref="Q160:Q164"/>
    <mergeCell ref="Q168:Q170"/>
    <mergeCell ref="Q172:Q174"/>
    <mergeCell ref="Q175:Q177"/>
    <mergeCell ref="Q178:Q181"/>
    <mergeCell ref="Q182:Q188"/>
    <mergeCell ref="Q189:Q190"/>
    <mergeCell ref="Q191:Q194"/>
    <mergeCell ref="Q195:Q199"/>
    <mergeCell ref="Q203:Q206"/>
    <mergeCell ref="Q209:Q210"/>
    <mergeCell ref="Q213:Q216"/>
    <mergeCell ref="Q218:Q221"/>
    <mergeCell ref="Q222:Q223"/>
    <mergeCell ref="Q224:Q227"/>
    <mergeCell ref="Q228:Q230"/>
    <mergeCell ref="Q231:Q234"/>
    <mergeCell ref="Q235:Q239"/>
    <mergeCell ref="Q240:Q247"/>
    <mergeCell ref="Q248:Q249"/>
    <mergeCell ref="Q258:Q259"/>
    <mergeCell ref="Q260:Q261"/>
    <mergeCell ref="Q262:Q267"/>
    <mergeCell ref="Q268:Q269"/>
    <mergeCell ref="Q271:Q273"/>
    <mergeCell ref="Q274:Q276"/>
    <mergeCell ref="Q283:Q286"/>
    <mergeCell ref="Q293:Q297"/>
    <mergeCell ref="Q298:Q301"/>
    <mergeCell ref="Q302:Q303"/>
    <mergeCell ref="Q304:Q307"/>
    <mergeCell ref="Q308:Q313"/>
    <mergeCell ref="Q314:Q317"/>
    <mergeCell ref="Q318:Q321"/>
    <mergeCell ref="Q322:Q324"/>
    <mergeCell ref="Q325:Q330"/>
    <mergeCell ref="Q332:Q336"/>
    <mergeCell ref="Q337:Q339"/>
    <mergeCell ref="Q340:Q343"/>
    <mergeCell ref="Q344:Q349"/>
    <mergeCell ref="Q350:Q355"/>
    <mergeCell ref="Q356:Q365"/>
    <mergeCell ref="Q366:Q371"/>
    <mergeCell ref="Q372:Q377"/>
    <mergeCell ref="Q378:Q383"/>
    <mergeCell ref="Q384:Q389"/>
    <mergeCell ref="Q390:Q396"/>
    <mergeCell ref="Q397:Q402"/>
    <mergeCell ref="Q403:Q408"/>
    <mergeCell ref="Q409:Q414"/>
    <mergeCell ref="Q415:Q420"/>
    <mergeCell ref="Q421:Q426"/>
    <mergeCell ref="Q427:Q429"/>
    <mergeCell ref="Q431:Q433"/>
    <mergeCell ref="Q434:Q436"/>
    <mergeCell ref="Q437:Q440"/>
    <mergeCell ref="Q445:Q449"/>
    <mergeCell ref="Q450:Q451"/>
    <mergeCell ref="Q452:Q453"/>
    <mergeCell ref="Q454:Q455"/>
    <mergeCell ref="Q456:Q457"/>
    <mergeCell ref="Q458:Q460"/>
    <mergeCell ref="Q461:Q467"/>
    <mergeCell ref="Q469:Q472"/>
    <mergeCell ref="Q473:Q476"/>
    <mergeCell ref="Q477:Q480"/>
    <mergeCell ref="Q481:Q484"/>
    <mergeCell ref="Q485:Q488"/>
    <mergeCell ref="Q489:Q491"/>
    <mergeCell ref="Q492:Q497"/>
    <mergeCell ref="Q500:Q502"/>
    <mergeCell ref="Q503:Q505"/>
    <mergeCell ref="Q506:Q508"/>
    <mergeCell ref="Q509:Q524"/>
    <mergeCell ref="Q525:Q528"/>
    <mergeCell ref="Q532:Q535"/>
    <mergeCell ref="Q538:Q540"/>
    <mergeCell ref="Q541:Q547"/>
    <mergeCell ref="Q548:Q550"/>
    <mergeCell ref="Q551:Q554"/>
    <mergeCell ref="Q555:Q559"/>
    <mergeCell ref="Q561:Q563"/>
    <mergeCell ref="Q566:Q588"/>
    <mergeCell ref="Q589:Q592"/>
    <mergeCell ref="Q593:Q594"/>
    <mergeCell ref="Q595:Q598"/>
    <mergeCell ref="Q600:Q602"/>
    <mergeCell ref="Q604:Q613"/>
    <mergeCell ref="Q614:Q615"/>
    <mergeCell ref="Q616:Q618"/>
    <mergeCell ref="Q621:Q624"/>
    <mergeCell ref="Q625:Q628"/>
    <mergeCell ref="Q629:Q630"/>
    <mergeCell ref="Q631:Q639"/>
    <mergeCell ref="Q640:Q642"/>
    <mergeCell ref="Q643:Q646"/>
    <mergeCell ref="Q647:Q650"/>
    <mergeCell ref="Q652:Q657"/>
    <mergeCell ref="Q658:Q674"/>
    <mergeCell ref="Q675:Q680"/>
    <mergeCell ref="Q681:Q685"/>
    <mergeCell ref="Q686:Q688"/>
    <mergeCell ref="Q689:Q694"/>
    <mergeCell ref="Q695:Q704"/>
    <mergeCell ref="Q705:Q711"/>
    <mergeCell ref="Q712:Q794"/>
    <mergeCell ref="Q795:Q815"/>
    <mergeCell ref="Q816:Q836"/>
    <mergeCell ref="Q837:Q867"/>
    <mergeCell ref="Q868:Q871"/>
    <mergeCell ref="Q872:Q874"/>
    <mergeCell ref="Q875:Q877"/>
    <mergeCell ref="Q878:Q880"/>
    <mergeCell ref="Q881:Q941"/>
    <mergeCell ref="Q942:Q947"/>
    <mergeCell ref="Q948:Q950"/>
    <mergeCell ref="Q951:Q957"/>
    <mergeCell ref="Q959:Q964"/>
    <mergeCell ref="Q965:Q967"/>
    <mergeCell ref="Q968:Q970"/>
    <mergeCell ref="Q971:Q973"/>
    <mergeCell ref="Q974:Q976"/>
    <mergeCell ref="Q977:Q981"/>
    <mergeCell ref="Q982:Q986"/>
    <mergeCell ref="Q987:Q992"/>
    <mergeCell ref="Q993:Q998"/>
    <mergeCell ref="Q999:Q1027"/>
    <mergeCell ref="Q1028:Q1031"/>
    <mergeCell ref="Q1032:Q1064"/>
    <mergeCell ref="Q1065:Q1092"/>
    <mergeCell ref="Q1093:Q1120"/>
    <mergeCell ref="Q1121:Q1126"/>
    <mergeCell ref="Q1127:Q1128"/>
    <mergeCell ref="Q1129:Q1132"/>
    <mergeCell ref="Q1133:Q1134"/>
    <mergeCell ref="Q1135:Q1136"/>
    <mergeCell ref="Q1137:Q1138"/>
    <mergeCell ref="Q1139:Q1144"/>
    <mergeCell ref="Q1145:Q1149"/>
    <mergeCell ref="Q1150:Q1159"/>
    <mergeCell ref="Q1160:Q1164"/>
    <mergeCell ref="Q1165:Q1167"/>
    <mergeCell ref="Q1168:Q1171"/>
    <mergeCell ref="Q1172:Q1174"/>
    <mergeCell ref="Q1175:Q1179"/>
    <mergeCell ref="Q1180:Q1189"/>
    <mergeCell ref="Q1190:Q1200"/>
    <mergeCell ref="Q1201:Q1205"/>
    <mergeCell ref="Q1206:Q1210"/>
    <mergeCell ref="Q1211:Q1213"/>
    <mergeCell ref="Q1214:Q1218"/>
    <mergeCell ref="Q1219:Q1226"/>
    <mergeCell ref="Q1227:Q1239"/>
    <mergeCell ref="Q1240:Q1245"/>
    <mergeCell ref="Q1246:Q1249"/>
    <mergeCell ref="Q1250:Q1252"/>
    <mergeCell ref="Q1253:Q1257"/>
    <mergeCell ref="Q1258:Q1262"/>
    <mergeCell ref="Q1263:Q1268"/>
    <mergeCell ref="Q1269:Q1273"/>
    <mergeCell ref="Q1274:Q1278"/>
    <mergeCell ref="Q1279:Q1282"/>
    <mergeCell ref="Q1283:Q1285"/>
    <mergeCell ref="Q1286:Q1291"/>
    <mergeCell ref="Q1292:Q1299"/>
    <mergeCell ref="Q1300:Q1308"/>
    <mergeCell ref="Q1309:Q1313"/>
    <mergeCell ref="Q1314:Q1317"/>
    <mergeCell ref="Q1318:Q1320"/>
    <mergeCell ref="Q1321:Q1325"/>
    <mergeCell ref="Q1326:Q1330"/>
    <mergeCell ref="Q1331:Q1336"/>
    <mergeCell ref="Q1337:Q1340"/>
    <mergeCell ref="Q1341:Q1343"/>
    <mergeCell ref="Q1344:Q1347"/>
    <mergeCell ref="Q1348:Q1354"/>
    <mergeCell ref="Q1355:Q1363"/>
    <mergeCell ref="Q1364:Q1369"/>
    <mergeCell ref="Q1370:Q1373"/>
    <mergeCell ref="Q1374:Q1376"/>
    <mergeCell ref="Q1377:Q1381"/>
    <mergeCell ref="Q1382:Q1384"/>
    <mergeCell ref="Q1385:Q1389"/>
    <mergeCell ref="Q1390:Q1394"/>
    <mergeCell ref="Q1395:Q1399"/>
    <mergeCell ref="Q1400:Q1404"/>
    <mergeCell ref="Q1405:Q1408"/>
    <mergeCell ref="Q1409:Q1411"/>
    <mergeCell ref="Q1412:Q1416"/>
    <mergeCell ref="Q1417:Q1424"/>
    <mergeCell ref="Q1425:Q1429"/>
    <mergeCell ref="Q1430:Q1434"/>
    <mergeCell ref="Q1435:Q1438"/>
    <mergeCell ref="Q1439:Q1441"/>
    <mergeCell ref="Q1442:Q1445"/>
    <mergeCell ref="Q1446:Q1450"/>
    <mergeCell ref="Q1451:Q1456"/>
    <mergeCell ref="Q1457:Q1459"/>
    <mergeCell ref="Q1460:Q1463"/>
    <mergeCell ref="Q1464:Q1466"/>
    <mergeCell ref="Q1467:Q1469"/>
    <mergeCell ref="Q1470:Q1475"/>
    <mergeCell ref="Q1476:Q1478"/>
    <mergeCell ref="Q1479:Q1482"/>
    <mergeCell ref="Q1483:Q1486"/>
    <mergeCell ref="Q1487:Q1491"/>
    <mergeCell ref="Q1492:Q1497"/>
    <mergeCell ref="Q1498:Q1500"/>
    <mergeCell ref="Q1501:Q1504"/>
    <mergeCell ref="Q1505:Q1508"/>
    <mergeCell ref="Q1509:Q1513"/>
    <mergeCell ref="Q1514:Q1519"/>
    <mergeCell ref="Q1524:Q1525"/>
    <mergeCell ref="Q1526:Q1528"/>
    <mergeCell ref="Q1529:Q1530"/>
    <mergeCell ref="Q1531:Q1539"/>
    <mergeCell ref="Q1540:Q1545"/>
    <mergeCell ref="Q1547:Q1554"/>
    <mergeCell ref="Q1555:Q1558"/>
    <mergeCell ref="Q1561:Q1565"/>
    <mergeCell ref="Q1566:Q1569"/>
    <mergeCell ref="Q1570:Q1575"/>
    <mergeCell ref="Q1577:Q1581"/>
    <mergeCell ref="Q1583:Q1598"/>
    <mergeCell ref="Q1599:Q1601"/>
    <mergeCell ref="Q1602:Q1603"/>
    <mergeCell ref="Q1604:Q1606"/>
    <mergeCell ref="Q1607:Q1612"/>
    <mergeCell ref="Q1614:Q1617"/>
    <mergeCell ref="Q1618:Q1621"/>
    <mergeCell ref="Q1623:Q1624"/>
    <mergeCell ref="Q1625:Q1627"/>
    <mergeCell ref="Q1628:Q1632"/>
    <mergeCell ref="Q1633:Q1636"/>
    <mergeCell ref="Q1637:Q1645"/>
    <mergeCell ref="Q1646:Q1650"/>
    <mergeCell ref="Q1651:Q1652"/>
    <mergeCell ref="Q1653:Q1654"/>
    <mergeCell ref="Q1655:Q1656"/>
    <mergeCell ref="Q1657:Q1658"/>
    <mergeCell ref="Q1659:Q1660"/>
    <mergeCell ref="Q1661:Q1662"/>
    <mergeCell ref="Q1663:Q1664"/>
    <mergeCell ref="Q1665:Q1668"/>
    <mergeCell ref="Q1669:Q1671"/>
    <mergeCell ref="Q1672:Q1678"/>
    <mergeCell ref="Q1679:Q1680"/>
    <mergeCell ref="Q1681:Q1684"/>
    <mergeCell ref="Q1685:Q1687"/>
    <mergeCell ref="Q1688:Q1689"/>
    <mergeCell ref="Q1690:Q1697"/>
    <mergeCell ref="Q1698:Q1700"/>
    <mergeCell ref="Q1701:Q1706"/>
    <mergeCell ref="Q1708:Q1709"/>
    <mergeCell ref="Q1710:Q1714"/>
    <mergeCell ref="Q1716:Q1719"/>
    <mergeCell ref="Q1720:Q1723"/>
    <mergeCell ref="Q1724:Q1725"/>
    <mergeCell ref="Q1731:Q1733"/>
    <mergeCell ref="Q1736:Q1738"/>
    <mergeCell ref="Q1743:Q1745"/>
    <mergeCell ref="Q1746:Q1748"/>
    <mergeCell ref="Q1749:Q1750"/>
    <mergeCell ref="Q1751:Q1757"/>
    <mergeCell ref="Q1758:Q1762"/>
    <mergeCell ref="Q1763:Q1765"/>
    <mergeCell ref="Q1766:Q1770"/>
    <mergeCell ref="Q1771:Q1772"/>
    <mergeCell ref="Q1773:Q1775"/>
    <mergeCell ref="Q1777:Q1780"/>
    <mergeCell ref="Q1781:Q1784"/>
    <mergeCell ref="Q1785:Q1787"/>
    <mergeCell ref="Q1788:Q1790"/>
    <mergeCell ref="Q1791:Q1792"/>
    <mergeCell ref="Q1793:Q1795"/>
    <mergeCell ref="Q1803:Q1808"/>
    <mergeCell ref="Q1809:Q1813"/>
    <mergeCell ref="Q1814:Q1815"/>
    <mergeCell ref="Q1816:Q1819"/>
    <mergeCell ref="Q1821:Q1823"/>
    <mergeCell ref="Q1825:Q1828"/>
    <mergeCell ref="Q1829:Q1832"/>
    <mergeCell ref="Q1833:Q1838"/>
    <mergeCell ref="Q1839:Q1849"/>
    <mergeCell ref="Q1850:Q1856"/>
    <mergeCell ref="Q1857:Q1859"/>
    <mergeCell ref="Q1860:Q1862"/>
    <mergeCell ref="Q1863:Q1865"/>
    <mergeCell ref="Q1867:Q1872"/>
    <mergeCell ref="Q1873:Q1880"/>
    <mergeCell ref="Q1881:Q1886"/>
    <mergeCell ref="Q1888:Q1893"/>
    <mergeCell ref="Q1894:Q1901"/>
    <mergeCell ref="Q1902:Q1907"/>
    <mergeCell ref="Q1908:Q1911"/>
    <mergeCell ref="Q1912:Q1915"/>
    <mergeCell ref="Q1916:Q1919"/>
    <mergeCell ref="Q1920:Q1922"/>
    <mergeCell ref="Q1923:Q1925"/>
    <mergeCell ref="Q1926:Q1928"/>
    <mergeCell ref="Q1929:Q1931"/>
    <mergeCell ref="Q1932:Q1934"/>
    <mergeCell ref="Q1938:Q1940"/>
    <mergeCell ref="Q1941:Q1943"/>
    <mergeCell ref="Q1944:Q1946"/>
    <mergeCell ref="Q1947:Q1950"/>
    <mergeCell ref="Q1951:Q1954"/>
    <mergeCell ref="Q1955:Q1957"/>
    <mergeCell ref="Q1958:Q1960"/>
    <mergeCell ref="Q1961:Q1964"/>
    <mergeCell ref="Q1965:Q1967"/>
    <mergeCell ref="Q1968:Q1970"/>
    <mergeCell ref="Q1971:Q1973"/>
    <mergeCell ref="Q1974:Q1976"/>
    <mergeCell ref="Q1977:Q1979"/>
    <mergeCell ref="Q1980:Q1982"/>
    <mergeCell ref="Q1983:Q1986"/>
    <mergeCell ref="Q1987:Q1990"/>
    <mergeCell ref="Q1991:Q1995"/>
    <mergeCell ref="Q1996:Q1998"/>
    <mergeCell ref="Q1999:Q2002"/>
    <mergeCell ref="Q2003:Q2005"/>
    <mergeCell ref="Q2006:Q2008"/>
    <mergeCell ref="Q2009:Q2011"/>
    <mergeCell ref="Q2012:Q2015"/>
    <mergeCell ref="Q2016:Q2019"/>
    <mergeCell ref="Q2020:Q2023"/>
    <mergeCell ref="Q2026:Q2028"/>
    <mergeCell ref="Q2029:Q2034"/>
    <mergeCell ref="Q2035:Q2046"/>
    <mergeCell ref="Q2047:Q2064"/>
    <mergeCell ref="Q2065:Q2073"/>
    <mergeCell ref="Q2074:Q2076"/>
    <mergeCell ref="Q2078:Q2081"/>
    <mergeCell ref="Q2082:Q2086"/>
    <mergeCell ref="Q2087:Q2091"/>
    <mergeCell ref="Q2092:Q2096"/>
    <mergeCell ref="Q2097:Q2101"/>
    <mergeCell ref="Q2102:Q2105"/>
    <mergeCell ref="Q2106:Q2113"/>
    <mergeCell ref="Q2114:Q2116"/>
    <mergeCell ref="Q2145:Q2153"/>
    <mergeCell ref="Q2154:Q2161"/>
    <mergeCell ref="Q2170:Q2177"/>
    <mergeCell ref="Q2178:Q2180"/>
    <mergeCell ref="Q2181:Q2184"/>
    <mergeCell ref="Q2185:Q2192"/>
    <mergeCell ref="Q2194:Q2236"/>
    <mergeCell ref="Q2237:Q2241"/>
    <mergeCell ref="Q2242:Q2296"/>
    <mergeCell ref="Q2297:Q2303"/>
    <mergeCell ref="Q2305:Q2308"/>
    <mergeCell ref="Q2309:Q2311"/>
    <mergeCell ref="Q2312:Q2315"/>
    <mergeCell ref="Q2316:Q2318"/>
    <mergeCell ref="Q2319:Q2321"/>
    <mergeCell ref="Q2325:Q2328"/>
    <mergeCell ref="Q2329:Q2335"/>
    <mergeCell ref="Q2336:Q2344"/>
    <mergeCell ref="Q2345:Q2347"/>
    <mergeCell ref="Q2348:Q2351"/>
    <mergeCell ref="Q2352:Q2359"/>
    <mergeCell ref="Q2360:Q2363"/>
    <mergeCell ref="Q2364:Q2370"/>
    <mergeCell ref="Q2371:Q2374"/>
    <mergeCell ref="Q2375:Q2378"/>
    <mergeCell ref="Q2380:Q2383"/>
    <mergeCell ref="Q2385:Q2395"/>
    <mergeCell ref="Q2396:Q2397"/>
    <mergeCell ref="Q2399:Q2413"/>
    <mergeCell ref="Q2415:Q2421"/>
    <mergeCell ref="Q2422:Q2434"/>
    <mergeCell ref="Q2435:Q2440"/>
    <mergeCell ref="Q2441:Q2445"/>
    <mergeCell ref="Q2446:Q2447"/>
    <mergeCell ref="Q2448:Q2449"/>
    <mergeCell ref="Q2450:Q2453"/>
    <mergeCell ref="Q2454:Q2455"/>
    <mergeCell ref="Q2456:Q2469"/>
    <mergeCell ref="Q2470:Q2474"/>
    <mergeCell ref="Q2478:Q2482"/>
    <mergeCell ref="Q2483:Q2489"/>
    <mergeCell ref="Q2490:Q2494"/>
    <mergeCell ref="Q2495:Q2499"/>
    <mergeCell ref="Q2500:Q2504"/>
    <mergeCell ref="Q2505:Q2508"/>
    <mergeCell ref="Q2520:Q2523"/>
    <mergeCell ref="Q2524:Q2527"/>
    <mergeCell ref="Q2528:Q2530"/>
    <mergeCell ref="Q2531:Q2533"/>
    <mergeCell ref="Q2534:Q2536"/>
    <mergeCell ref="Q2537:Q2539"/>
    <mergeCell ref="Q2540:Q2542"/>
    <mergeCell ref="Q2543:Q2545"/>
    <mergeCell ref="Q2546:Q2548"/>
    <mergeCell ref="Q2549:Q2551"/>
    <mergeCell ref="Q2552:Q2554"/>
    <mergeCell ref="Q2558:Q2562"/>
    <mergeCell ref="Q2563:Q2566"/>
    <mergeCell ref="Q2570:Q2574"/>
    <mergeCell ref="Q2590:Q2593"/>
    <mergeCell ref="Q2594:Q2597"/>
    <mergeCell ref="Q2619:Q2621"/>
    <mergeCell ref="Q2622:Q2629"/>
    <mergeCell ref="Q2630:Q2636"/>
    <mergeCell ref="Q2637:Q2643"/>
    <mergeCell ref="Q2644:Q2650"/>
    <mergeCell ref="Q2651:Q2658"/>
    <mergeCell ref="Q2663:Q2668"/>
    <mergeCell ref="Q2669:Q2670"/>
    <mergeCell ref="Q2671:Q2676"/>
    <mergeCell ref="Q2678:Q2681"/>
    <mergeCell ref="Q2682:Q2684"/>
    <mergeCell ref="Q2689:Q2697"/>
    <mergeCell ref="Q2698:Q2702"/>
    <mergeCell ref="Q2703:Q2705"/>
    <mergeCell ref="Q2709:Q2712"/>
    <mergeCell ref="Q2713:Q2718"/>
    <mergeCell ref="Q2719:Q2721"/>
    <mergeCell ref="R5:R29"/>
    <mergeCell ref="R30:R34"/>
    <mergeCell ref="R35:R38"/>
    <mergeCell ref="R39:R40"/>
    <mergeCell ref="R41:R44"/>
    <mergeCell ref="R45:R48"/>
    <mergeCell ref="R49:R51"/>
    <mergeCell ref="R52:R55"/>
    <mergeCell ref="R56:R59"/>
    <mergeCell ref="R60:R65"/>
    <mergeCell ref="R66:R77"/>
    <mergeCell ref="R78:R80"/>
    <mergeCell ref="R81:R84"/>
    <mergeCell ref="R86:R87"/>
    <mergeCell ref="R90:R96"/>
    <mergeCell ref="R97:R103"/>
    <mergeCell ref="R104:R108"/>
    <mergeCell ref="R109:R112"/>
    <mergeCell ref="R113:R117"/>
    <mergeCell ref="R118:R122"/>
    <mergeCell ref="R123:R126"/>
    <mergeCell ref="R127:R130"/>
    <mergeCell ref="R131:R134"/>
    <mergeCell ref="R135:R137"/>
    <mergeCell ref="R138:R143"/>
    <mergeCell ref="R144:R149"/>
    <mergeCell ref="R150:R153"/>
    <mergeCell ref="R154:R159"/>
    <mergeCell ref="R160:R164"/>
    <mergeCell ref="R168:R170"/>
    <mergeCell ref="R172:R174"/>
    <mergeCell ref="R175:R177"/>
    <mergeCell ref="R178:R181"/>
    <mergeCell ref="R182:R188"/>
    <mergeCell ref="R189:R190"/>
    <mergeCell ref="R191:R194"/>
    <mergeCell ref="R195:R199"/>
    <mergeCell ref="R203:R206"/>
    <mergeCell ref="R209:R210"/>
    <mergeCell ref="R213:R216"/>
    <mergeCell ref="R218:R221"/>
    <mergeCell ref="R222:R223"/>
    <mergeCell ref="R224:R227"/>
    <mergeCell ref="R228:R230"/>
    <mergeCell ref="R231:R234"/>
    <mergeCell ref="R235:R239"/>
    <mergeCell ref="R240:R247"/>
    <mergeCell ref="R248:R249"/>
    <mergeCell ref="R258:R259"/>
    <mergeCell ref="R260:R261"/>
    <mergeCell ref="R262:R267"/>
    <mergeCell ref="R268:R269"/>
    <mergeCell ref="R271:R273"/>
    <mergeCell ref="R274:R276"/>
    <mergeCell ref="R283:R286"/>
    <mergeCell ref="R293:R297"/>
    <mergeCell ref="R298:R301"/>
    <mergeCell ref="R302:R303"/>
    <mergeCell ref="R304:R307"/>
    <mergeCell ref="R308:R313"/>
    <mergeCell ref="R314:R317"/>
    <mergeCell ref="R318:R321"/>
    <mergeCell ref="R322:R324"/>
    <mergeCell ref="R325:R330"/>
    <mergeCell ref="R332:R336"/>
    <mergeCell ref="R337:R339"/>
    <mergeCell ref="R340:R343"/>
    <mergeCell ref="R344:R349"/>
    <mergeCell ref="R350:R355"/>
    <mergeCell ref="R356:R365"/>
    <mergeCell ref="R366:R371"/>
    <mergeCell ref="R372:R377"/>
    <mergeCell ref="R378:R383"/>
    <mergeCell ref="R384:R389"/>
    <mergeCell ref="R390:R396"/>
    <mergeCell ref="R397:R402"/>
    <mergeCell ref="R403:R408"/>
    <mergeCell ref="R409:R414"/>
    <mergeCell ref="R415:R420"/>
    <mergeCell ref="R421:R426"/>
    <mergeCell ref="R427:R429"/>
    <mergeCell ref="R431:R433"/>
    <mergeCell ref="R434:R436"/>
    <mergeCell ref="R437:R440"/>
    <mergeCell ref="R445:R449"/>
    <mergeCell ref="R450:R451"/>
    <mergeCell ref="R452:R453"/>
    <mergeCell ref="R454:R455"/>
    <mergeCell ref="R456:R457"/>
    <mergeCell ref="R458:R460"/>
    <mergeCell ref="R461:R467"/>
    <mergeCell ref="R469:R472"/>
    <mergeCell ref="R473:R476"/>
    <mergeCell ref="R477:R480"/>
    <mergeCell ref="R481:R484"/>
    <mergeCell ref="R485:R488"/>
    <mergeCell ref="R489:R491"/>
    <mergeCell ref="R492:R497"/>
    <mergeCell ref="R500:R502"/>
    <mergeCell ref="R503:R505"/>
    <mergeCell ref="R506:R508"/>
    <mergeCell ref="R509:R524"/>
    <mergeCell ref="R525:R528"/>
    <mergeCell ref="R532:R535"/>
    <mergeCell ref="R538:R540"/>
    <mergeCell ref="R541:R547"/>
    <mergeCell ref="R548:R550"/>
    <mergeCell ref="R551:R554"/>
    <mergeCell ref="R555:R559"/>
    <mergeCell ref="R561:R563"/>
    <mergeCell ref="R566:R588"/>
    <mergeCell ref="R589:R592"/>
    <mergeCell ref="R593:R594"/>
    <mergeCell ref="R595:R598"/>
    <mergeCell ref="R600:R602"/>
    <mergeCell ref="R604:R613"/>
    <mergeCell ref="R614:R615"/>
    <mergeCell ref="R616:R618"/>
    <mergeCell ref="R621:R624"/>
    <mergeCell ref="R625:R628"/>
    <mergeCell ref="R629:R630"/>
    <mergeCell ref="R631:R639"/>
    <mergeCell ref="R640:R642"/>
    <mergeCell ref="R643:R646"/>
    <mergeCell ref="R647:R650"/>
    <mergeCell ref="R652:R657"/>
    <mergeCell ref="R658:R674"/>
    <mergeCell ref="R675:R680"/>
    <mergeCell ref="R681:R685"/>
    <mergeCell ref="R686:R688"/>
    <mergeCell ref="R689:R694"/>
    <mergeCell ref="R695:R704"/>
    <mergeCell ref="R705:R711"/>
    <mergeCell ref="R712:R794"/>
    <mergeCell ref="R795:R815"/>
    <mergeCell ref="R816:R836"/>
    <mergeCell ref="R837:R867"/>
    <mergeCell ref="R868:R871"/>
    <mergeCell ref="R872:R874"/>
    <mergeCell ref="R875:R877"/>
    <mergeCell ref="R878:R880"/>
    <mergeCell ref="R881:R941"/>
    <mergeCell ref="R942:R947"/>
    <mergeCell ref="R948:R950"/>
    <mergeCell ref="R951:R957"/>
    <mergeCell ref="R959:R964"/>
    <mergeCell ref="R965:R967"/>
    <mergeCell ref="R968:R970"/>
    <mergeCell ref="R971:R973"/>
    <mergeCell ref="R974:R976"/>
    <mergeCell ref="R977:R981"/>
    <mergeCell ref="R982:R986"/>
    <mergeCell ref="R987:R992"/>
    <mergeCell ref="R993:R998"/>
    <mergeCell ref="R999:R1027"/>
    <mergeCell ref="R1028:R1031"/>
    <mergeCell ref="R1032:R1064"/>
    <mergeCell ref="R1065:R1092"/>
    <mergeCell ref="R1093:R1120"/>
    <mergeCell ref="R1121:R1126"/>
    <mergeCell ref="R1127:R1128"/>
    <mergeCell ref="R1129:R1132"/>
    <mergeCell ref="R1133:R1134"/>
    <mergeCell ref="R1135:R1136"/>
    <mergeCell ref="R1137:R1138"/>
    <mergeCell ref="R1139:R1144"/>
    <mergeCell ref="R1145:R1149"/>
    <mergeCell ref="R1150:R1159"/>
    <mergeCell ref="R1160:R1164"/>
    <mergeCell ref="R1165:R1167"/>
    <mergeCell ref="R1168:R1171"/>
    <mergeCell ref="R1172:R1174"/>
    <mergeCell ref="R1175:R1179"/>
    <mergeCell ref="R1180:R1189"/>
    <mergeCell ref="R1190:R1200"/>
    <mergeCell ref="R1201:R1205"/>
    <mergeCell ref="R1206:R1210"/>
    <mergeCell ref="R1211:R1213"/>
    <mergeCell ref="R1214:R1218"/>
    <mergeCell ref="R1219:R1226"/>
    <mergeCell ref="R1227:R1239"/>
    <mergeCell ref="R1240:R1245"/>
    <mergeCell ref="R1246:R1249"/>
    <mergeCell ref="R1250:R1252"/>
    <mergeCell ref="R1253:R1257"/>
    <mergeCell ref="R1258:R1262"/>
    <mergeCell ref="R1263:R1268"/>
    <mergeCell ref="R1269:R1273"/>
    <mergeCell ref="R1274:R1278"/>
    <mergeCell ref="R1279:R1282"/>
    <mergeCell ref="R1283:R1285"/>
    <mergeCell ref="R1286:R1291"/>
    <mergeCell ref="R1292:R1299"/>
    <mergeCell ref="R1300:R1308"/>
    <mergeCell ref="R1309:R1313"/>
    <mergeCell ref="R1314:R1317"/>
    <mergeCell ref="R1318:R1320"/>
    <mergeCell ref="R1321:R1325"/>
    <mergeCell ref="R1326:R1330"/>
    <mergeCell ref="R1331:R1336"/>
    <mergeCell ref="R1337:R1340"/>
    <mergeCell ref="R1341:R1343"/>
    <mergeCell ref="R1344:R1347"/>
    <mergeCell ref="R1348:R1354"/>
    <mergeCell ref="R1355:R1363"/>
    <mergeCell ref="R1364:R1369"/>
    <mergeCell ref="R1370:R1373"/>
    <mergeCell ref="R1374:R1376"/>
    <mergeCell ref="R1377:R1381"/>
    <mergeCell ref="R1382:R1384"/>
    <mergeCell ref="R1385:R1389"/>
    <mergeCell ref="R1390:R1394"/>
    <mergeCell ref="R1395:R1399"/>
    <mergeCell ref="R1400:R1404"/>
    <mergeCell ref="R1405:R1408"/>
    <mergeCell ref="R1409:R1411"/>
    <mergeCell ref="R1412:R1416"/>
    <mergeCell ref="R1417:R1424"/>
    <mergeCell ref="R1425:R1429"/>
    <mergeCell ref="R1430:R1434"/>
    <mergeCell ref="R1435:R1438"/>
    <mergeCell ref="R1439:R1441"/>
    <mergeCell ref="R1442:R1445"/>
    <mergeCell ref="R1446:R1450"/>
    <mergeCell ref="R1451:R1456"/>
    <mergeCell ref="R1457:R1459"/>
    <mergeCell ref="R1460:R1463"/>
    <mergeCell ref="R1464:R1466"/>
    <mergeCell ref="R1467:R1469"/>
    <mergeCell ref="R1470:R1475"/>
    <mergeCell ref="R1476:R1478"/>
    <mergeCell ref="R1479:R1482"/>
    <mergeCell ref="R1483:R1486"/>
    <mergeCell ref="R1487:R1491"/>
    <mergeCell ref="R1492:R1497"/>
    <mergeCell ref="R1498:R1500"/>
    <mergeCell ref="R1501:R1504"/>
    <mergeCell ref="R1505:R1508"/>
    <mergeCell ref="R1509:R1513"/>
    <mergeCell ref="R1514:R1519"/>
    <mergeCell ref="R1524:R1525"/>
    <mergeCell ref="R1526:R1528"/>
    <mergeCell ref="R1529:R1530"/>
    <mergeCell ref="R1531:R1539"/>
    <mergeCell ref="R1540:R1545"/>
    <mergeCell ref="R1547:R1554"/>
    <mergeCell ref="R1555:R1558"/>
    <mergeCell ref="R1561:R1565"/>
    <mergeCell ref="R1566:R1569"/>
    <mergeCell ref="R1570:R1575"/>
    <mergeCell ref="R1577:R1581"/>
    <mergeCell ref="R1583:R1598"/>
    <mergeCell ref="R1599:R1601"/>
    <mergeCell ref="R1602:R1603"/>
    <mergeCell ref="R1604:R1606"/>
    <mergeCell ref="R1607:R1612"/>
    <mergeCell ref="R1614:R1617"/>
    <mergeCell ref="R1618:R1621"/>
    <mergeCell ref="R1623:R1624"/>
    <mergeCell ref="R1625:R1627"/>
    <mergeCell ref="R1628:R1632"/>
    <mergeCell ref="R1633:R1636"/>
    <mergeCell ref="R1637:R1645"/>
    <mergeCell ref="R1646:R1650"/>
    <mergeCell ref="R1651:R1652"/>
    <mergeCell ref="R1653:R1654"/>
    <mergeCell ref="R1655:R1656"/>
    <mergeCell ref="R1657:R1658"/>
    <mergeCell ref="R1659:R1660"/>
    <mergeCell ref="R1661:R1662"/>
    <mergeCell ref="R1663:R1664"/>
    <mergeCell ref="R1665:R1668"/>
    <mergeCell ref="R1669:R1671"/>
    <mergeCell ref="R1672:R1678"/>
    <mergeCell ref="R1679:R1680"/>
    <mergeCell ref="R1681:R1684"/>
    <mergeCell ref="R1685:R1687"/>
    <mergeCell ref="R1688:R1689"/>
    <mergeCell ref="R1690:R1697"/>
    <mergeCell ref="R1698:R1700"/>
    <mergeCell ref="R1701:R1706"/>
    <mergeCell ref="R1708:R1709"/>
    <mergeCell ref="R1710:R1714"/>
    <mergeCell ref="R1716:R1719"/>
    <mergeCell ref="R1720:R1723"/>
    <mergeCell ref="R1731:R1733"/>
    <mergeCell ref="R1736:R1738"/>
    <mergeCell ref="R1743:R1745"/>
    <mergeCell ref="R1746:R1748"/>
    <mergeCell ref="R1749:R1750"/>
    <mergeCell ref="R1751:R1757"/>
    <mergeCell ref="R1758:R1762"/>
    <mergeCell ref="R1763:R1765"/>
    <mergeCell ref="R1766:R1770"/>
    <mergeCell ref="R1771:R1772"/>
    <mergeCell ref="R1773:R1775"/>
    <mergeCell ref="R1777:R1780"/>
    <mergeCell ref="R1781:R1784"/>
    <mergeCell ref="R1785:R1787"/>
    <mergeCell ref="R1788:R1790"/>
    <mergeCell ref="R1791:R1792"/>
    <mergeCell ref="R1793:R1795"/>
    <mergeCell ref="R1803:R1808"/>
    <mergeCell ref="R1809:R1813"/>
    <mergeCell ref="R1814:R1815"/>
    <mergeCell ref="R1816:R1819"/>
    <mergeCell ref="R1821:R1823"/>
    <mergeCell ref="R1825:R1828"/>
    <mergeCell ref="R1829:R1832"/>
    <mergeCell ref="R1833:R1838"/>
    <mergeCell ref="R1839:R1849"/>
    <mergeCell ref="R1850:R1856"/>
    <mergeCell ref="R1857:R1859"/>
    <mergeCell ref="R1860:R1862"/>
    <mergeCell ref="R1863:R1865"/>
    <mergeCell ref="R1867:R1872"/>
    <mergeCell ref="R1873:R1880"/>
    <mergeCell ref="R1881:R1886"/>
    <mergeCell ref="R1888:R1893"/>
    <mergeCell ref="R1894:R1901"/>
    <mergeCell ref="R1902:R1907"/>
    <mergeCell ref="R1908:R1911"/>
    <mergeCell ref="R1912:R1915"/>
    <mergeCell ref="R1916:R1919"/>
    <mergeCell ref="R1920:R1922"/>
    <mergeCell ref="R1923:R1925"/>
    <mergeCell ref="R1926:R1928"/>
    <mergeCell ref="R1929:R1931"/>
    <mergeCell ref="R1932:R1934"/>
    <mergeCell ref="R1938:R1940"/>
    <mergeCell ref="R1941:R1943"/>
    <mergeCell ref="R1944:R1946"/>
    <mergeCell ref="R1947:R1950"/>
    <mergeCell ref="R1951:R1954"/>
    <mergeCell ref="R1955:R1957"/>
    <mergeCell ref="R1958:R1960"/>
    <mergeCell ref="R1961:R1964"/>
    <mergeCell ref="R1965:R1967"/>
    <mergeCell ref="R1968:R1970"/>
    <mergeCell ref="R1971:R1973"/>
    <mergeCell ref="R1974:R1976"/>
    <mergeCell ref="R1977:R1979"/>
    <mergeCell ref="R1980:R1982"/>
    <mergeCell ref="R1983:R1986"/>
    <mergeCell ref="R1987:R1990"/>
    <mergeCell ref="R1991:R1995"/>
    <mergeCell ref="R1996:R1998"/>
    <mergeCell ref="R1999:R2002"/>
    <mergeCell ref="R2003:R2005"/>
    <mergeCell ref="R2006:R2008"/>
    <mergeCell ref="R2009:R2011"/>
    <mergeCell ref="R2012:R2015"/>
    <mergeCell ref="R2016:R2019"/>
    <mergeCell ref="R2020:R2023"/>
    <mergeCell ref="R2026:R2028"/>
    <mergeCell ref="R2029:R2034"/>
    <mergeCell ref="R2035:R2046"/>
    <mergeCell ref="R2047:R2064"/>
    <mergeCell ref="R2065:R2073"/>
    <mergeCell ref="R2074:R2076"/>
    <mergeCell ref="R2078:R2081"/>
    <mergeCell ref="R2082:R2086"/>
    <mergeCell ref="R2087:R2091"/>
    <mergeCell ref="R2092:R2096"/>
    <mergeCell ref="R2097:R2101"/>
    <mergeCell ref="R2102:R2105"/>
    <mergeCell ref="R2106:R2113"/>
    <mergeCell ref="R2114:R2116"/>
    <mergeCell ref="R2145:R2153"/>
    <mergeCell ref="R2154:R2161"/>
    <mergeCell ref="R2170:R2177"/>
    <mergeCell ref="R2178:R2180"/>
    <mergeCell ref="R2181:R2184"/>
    <mergeCell ref="R2185:R2192"/>
    <mergeCell ref="R2194:R2236"/>
    <mergeCell ref="R2237:R2241"/>
    <mergeCell ref="R2242:R2296"/>
    <mergeCell ref="R2297:R2303"/>
    <mergeCell ref="R2305:R2308"/>
    <mergeCell ref="R2309:R2311"/>
    <mergeCell ref="R2312:R2315"/>
    <mergeCell ref="R2316:R2318"/>
    <mergeCell ref="R2319:R2321"/>
    <mergeCell ref="R2325:R2328"/>
    <mergeCell ref="R2329:R2335"/>
    <mergeCell ref="R2336:R2344"/>
    <mergeCell ref="R2345:R2347"/>
    <mergeCell ref="R2348:R2351"/>
    <mergeCell ref="R2352:R2359"/>
    <mergeCell ref="R2360:R2363"/>
    <mergeCell ref="R2364:R2370"/>
    <mergeCell ref="R2371:R2374"/>
    <mergeCell ref="R2375:R2378"/>
    <mergeCell ref="R2380:R2383"/>
    <mergeCell ref="R2385:R2395"/>
    <mergeCell ref="R2396:R2397"/>
    <mergeCell ref="R2399:R2413"/>
    <mergeCell ref="R2415:R2421"/>
    <mergeCell ref="R2435:R2440"/>
    <mergeCell ref="R2441:R2445"/>
    <mergeCell ref="R2446:R2447"/>
    <mergeCell ref="R2448:R2449"/>
    <mergeCell ref="R2456:R2469"/>
    <mergeCell ref="R2478:R2482"/>
    <mergeCell ref="R2483:R2489"/>
    <mergeCell ref="R2490:R2494"/>
    <mergeCell ref="R2495:R2499"/>
    <mergeCell ref="R2500:R2504"/>
    <mergeCell ref="R2505:R2508"/>
    <mergeCell ref="R2520:R2523"/>
    <mergeCell ref="R2524:R2527"/>
    <mergeCell ref="R2528:R2530"/>
    <mergeCell ref="R2531:R2533"/>
    <mergeCell ref="R2534:R2536"/>
    <mergeCell ref="R2537:R2539"/>
    <mergeCell ref="R2540:R2542"/>
    <mergeCell ref="R2543:R2545"/>
    <mergeCell ref="R2546:R2548"/>
    <mergeCell ref="R2549:R2551"/>
    <mergeCell ref="R2552:R2554"/>
    <mergeCell ref="R2558:R2562"/>
    <mergeCell ref="R2563:R2566"/>
    <mergeCell ref="R2570:R2574"/>
    <mergeCell ref="R2590:R2593"/>
    <mergeCell ref="R2594:R2597"/>
    <mergeCell ref="R2619:R2621"/>
    <mergeCell ref="R2630:R2636"/>
    <mergeCell ref="R2637:R2643"/>
    <mergeCell ref="R2644:R2650"/>
    <mergeCell ref="R2651:R2658"/>
    <mergeCell ref="R2663:R2668"/>
    <mergeCell ref="R2669:R2670"/>
    <mergeCell ref="R2671:R2676"/>
    <mergeCell ref="R2678:R2681"/>
    <mergeCell ref="R2682:R2684"/>
    <mergeCell ref="R2689:R2697"/>
    <mergeCell ref="R2698:R2702"/>
    <mergeCell ref="R2703:R2705"/>
    <mergeCell ref="R2709:R2712"/>
    <mergeCell ref="R2713:R2718"/>
    <mergeCell ref="R2719:R2721"/>
    <mergeCell ref="S5:S29"/>
    <mergeCell ref="S30:S34"/>
    <mergeCell ref="S35:S38"/>
    <mergeCell ref="S39:S40"/>
    <mergeCell ref="S41:S44"/>
    <mergeCell ref="S45:S48"/>
    <mergeCell ref="S49:S51"/>
    <mergeCell ref="S52:S55"/>
    <mergeCell ref="S56:S59"/>
    <mergeCell ref="S60:S65"/>
    <mergeCell ref="S66:S77"/>
    <mergeCell ref="S78:S80"/>
    <mergeCell ref="S81:S84"/>
    <mergeCell ref="S86:S87"/>
    <mergeCell ref="S90:S96"/>
    <mergeCell ref="S97:S103"/>
    <mergeCell ref="S104:S108"/>
    <mergeCell ref="S109:S112"/>
    <mergeCell ref="S113:S117"/>
    <mergeCell ref="S118:S122"/>
    <mergeCell ref="S123:S126"/>
    <mergeCell ref="S127:S130"/>
    <mergeCell ref="S131:S134"/>
    <mergeCell ref="S135:S137"/>
    <mergeCell ref="S138:S143"/>
    <mergeCell ref="S144:S149"/>
    <mergeCell ref="S150:S153"/>
    <mergeCell ref="S154:S159"/>
    <mergeCell ref="S160:S164"/>
    <mergeCell ref="S168:S170"/>
    <mergeCell ref="S172:S174"/>
    <mergeCell ref="S175:S177"/>
    <mergeCell ref="S178:S181"/>
    <mergeCell ref="S182:S188"/>
    <mergeCell ref="S189:S190"/>
    <mergeCell ref="S191:S194"/>
    <mergeCell ref="S195:S199"/>
    <mergeCell ref="S203:S206"/>
    <mergeCell ref="S209:S210"/>
    <mergeCell ref="S213:S216"/>
    <mergeCell ref="S218:S221"/>
    <mergeCell ref="S222:S223"/>
    <mergeCell ref="S224:S227"/>
    <mergeCell ref="S228:S230"/>
    <mergeCell ref="S231:S234"/>
    <mergeCell ref="S235:S239"/>
    <mergeCell ref="S240:S247"/>
    <mergeCell ref="S248:S249"/>
    <mergeCell ref="S258:S259"/>
    <mergeCell ref="S260:S261"/>
    <mergeCell ref="S262:S267"/>
    <mergeCell ref="S271:S273"/>
    <mergeCell ref="S274:S276"/>
    <mergeCell ref="S283:S286"/>
    <mergeCell ref="S293:S297"/>
    <mergeCell ref="S298:S301"/>
    <mergeCell ref="S302:S303"/>
    <mergeCell ref="S304:S307"/>
    <mergeCell ref="S308:S313"/>
    <mergeCell ref="S314:S317"/>
    <mergeCell ref="S318:S321"/>
    <mergeCell ref="S322:S324"/>
    <mergeCell ref="S325:S330"/>
    <mergeCell ref="S332:S336"/>
    <mergeCell ref="S337:S339"/>
    <mergeCell ref="S340:S343"/>
    <mergeCell ref="S344:S349"/>
    <mergeCell ref="S350:S355"/>
    <mergeCell ref="S356:S365"/>
    <mergeCell ref="S366:S371"/>
    <mergeCell ref="S372:S377"/>
    <mergeCell ref="S378:S383"/>
    <mergeCell ref="S384:S389"/>
    <mergeCell ref="S390:S396"/>
    <mergeCell ref="S397:S402"/>
    <mergeCell ref="S403:S408"/>
    <mergeCell ref="S409:S414"/>
    <mergeCell ref="S415:S420"/>
    <mergeCell ref="S421:S426"/>
    <mergeCell ref="S427:S429"/>
    <mergeCell ref="S431:S433"/>
    <mergeCell ref="S434:S436"/>
    <mergeCell ref="S437:S440"/>
    <mergeCell ref="S445:S449"/>
    <mergeCell ref="S450:S451"/>
    <mergeCell ref="S452:S453"/>
    <mergeCell ref="S454:S455"/>
    <mergeCell ref="S456:S457"/>
    <mergeCell ref="S458:S460"/>
    <mergeCell ref="S461:S467"/>
    <mergeCell ref="S469:S472"/>
    <mergeCell ref="S473:S476"/>
    <mergeCell ref="S477:S480"/>
    <mergeCell ref="S481:S484"/>
    <mergeCell ref="S485:S488"/>
    <mergeCell ref="S489:S491"/>
    <mergeCell ref="S492:S497"/>
    <mergeCell ref="S500:S502"/>
    <mergeCell ref="S503:S505"/>
    <mergeCell ref="S506:S508"/>
    <mergeCell ref="S509:S524"/>
    <mergeCell ref="S525:S528"/>
    <mergeCell ref="S532:S535"/>
    <mergeCell ref="S538:S540"/>
    <mergeCell ref="S541:S547"/>
    <mergeCell ref="S548:S550"/>
    <mergeCell ref="S551:S554"/>
    <mergeCell ref="S555:S559"/>
    <mergeCell ref="S561:S563"/>
    <mergeCell ref="S566:S588"/>
    <mergeCell ref="S589:S592"/>
    <mergeCell ref="S593:S594"/>
    <mergeCell ref="S595:S598"/>
    <mergeCell ref="S600:S602"/>
    <mergeCell ref="S604:S613"/>
    <mergeCell ref="S614:S615"/>
    <mergeCell ref="S616:S618"/>
    <mergeCell ref="S621:S624"/>
    <mergeCell ref="S625:S628"/>
    <mergeCell ref="S629:S630"/>
    <mergeCell ref="S631:S639"/>
    <mergeCell ref="S640:S642"/>
    <mergeCell ref="S643:S646"/>
    <mergeCell ref="S647:S650"/>
    <mergeCell ref="S652:S657"/>
    <mergeCell ref="S658:S674"/>
    <mergeCell ref="S675:S680"/>
    <mergeCell ref="S681:S685"/>
    <mergeCell ref="S686:S688"/>
    <mergeCell ref="S689:S694"/>
    <mergeCell ref="S695:S704"/>
    <mergeCell ref="S705:S711"/>
    <mergeCell ref="S712:S794"/>
    <mergeCell ref="S795:S815"/>
    <mergeCell ref="S816:S836"/>
    <mergeCell ref="S837:S867"/>
    <mergeCell ref="S868:S871"/>
    <mergeCell ref="S872:S874"/>
    <mergeCell ref="S875:S877"/>
    <mergeCell ref="S878:S880"/>
    <mergeCell ref="S881:S941"/>
    <mergeCell ref="S942:S947"/>
    <mergeCell ref="S948:S950"/>
    <mergeCell ref="S951:S957"/>
    <mergeCell ref="S959:S964"/>
    <mergeCell ref="S965:S967"/>
    <mergeCell ref="S968:S970"/>
    <mergeCell ref="S971:S973"/>
    <mergeCell ref="S974:S976"/>
    <mergeCell ref="S977:S981"/>
    <mergeCell ref="S982:S986"/>
    <mergeCell ref="S987:S992"/>
    <mergeCell ref="S993:S998"/>
    <mergeCell ref="S999:S1027"/>
    <mergeCell ref="S1028:S1031"/>
    <mergeCell ref="S1032:S1064"/>
    <mergeCell ref="S1065:S1092"/>
    <mergeCell ref="S1093:S1120"/>
    <mergeCell ref="S1121:S1126"/>
    <mergeCell ref="S1127:S1128"/>
    <mergeCell ref="S1129:S1132"/>
    <mergeCell ref="S1133:S1134"/>
    <mergeCell ref="S1135:S1136"/>
    <mergeCell ref="S1137:S1138"/>
    <mergeCell ref="S1139:S1144"/>
    <mergeCell ref="S1145:S1149"/>
    <mergeCell ref="S1150:S1159"/>
    <mergeCell ref="S1160:S1164"/>
    <mergeCell ref="S1165:S1167"/>
    <mergeCell ref="S1168:S1171"/>
    <mergeCell ref="S1172:S1174"/>
    <mergeCell ref="S1175:S1179"/>
    <mergeCell ref="S1180:S1189"/>
    <mergeCell ref="S1190:S1200"/>
    <mergeCell ref="S1201:S1205"/>
    <mergeCell ref="S1206:S1210"/>
    <mergeCell ref="S1211:S1213"/>
    <mergeCell ref="S1214:S1218"/>
    <mergeCell ref="S1219:S1226"/>
    <mergeCell ref="S1227:S1239"/>
    <mergeCell ref="S1240:S1245"/>
    <mergeCell ref="S1246:S1249"/>
    <mergeCell ref="S1250:S1252"/>
    <mergeCell ref="S1253:S1257"/>
    <mergeCell ref="S1258:S1262"/>
    <mergeCell ref="S1263:S1268"/>
    <mergeCell ref="S1269:S1273"/>
    <mergeCell ref="S1274:S1278"/>
    <mergeCell ref="S1279:S1282"/>
    <mergeCell ref="S1283:S1285"/>
    <mergeCell ref="S1286:S1291"/>
    <mergeCell ref="S1292:S1299"/>
    <mergeCell ref="S1300:S1308"/>
    <mergeCell ref="S1309:S1313"/>
    <mergeCell ref="S1314:S1317"/>
    <mergeCell ref="S1318:S1320"/>
    <mergeCell ref="S1321:S1325"/>
    <mergeCell ref="S1326:S1330"/>
    <mergeCell ref="S1331:S1336"/>
    <mergeCell ref="S1337:S1340"/>
    <mergeCell ref="S1341:S1343"/>
    <mergeCell ref="S1344:S1347"/>
    <mergeCell ref="S1348:S1354"/>
    <mergeCell ref="S1355:S1363"/>
    <mergeCell ref="S1364:S1369"/>
    <mergeCell ref="S1370:S1373"/>
    <mergeCell ref="S1374:S1376"/>
    <mergeCell ref="S1377:S1381"/>
    <mergeCell ref="S1382:S1384"/>
    <mergeCell ref="S1385:S1389"/>
    <mergeCell ref="S1390:S1394"/>
    <mergeCell ref="S1395:S1399"/>
    <mergeCell ref="S1400:S1404"/>
    <mergeCell ref="S1405:S1408"/>
    <mergeCell ref="S1409:S1411"/>
    <mergeCell ref="S1412:S1416"/>
    <mergeCell ref="S1417:S1424"/>
    <mergeCell ref="S1425:S1429"/>
    <mergeCell ref="S1430:S1434"/>
    <mergeCell ref="S1435:S1438"/>
    <mergeCell ref="S1439:S1441"/>
    <mergeCell ref="S1442:S1445"/>
    <mergeCell ref="S1446:S1450"/>
    <mergeCell ref="S1451:S1456"/>
    <mergeCell ref="S1457:S1459"/>
    <mergeCell ref="S1460:S1463"/>
    <mergeCell ref="S1464:S1466"/>
    <mergeCell ref="S1467:S1469"/>
    <mergeCell ref="S1470:S1475"/>
    <mergeCell ref="S1476:S1478"/>
    <mergeCell ref="S1479:S1482"/>
    <mergeCell ref="S1483:S1486"/>
    <mergeCell ref="S1487:S1491"/>
    <mergeCell ref="S1492:S1497"/>
    <mergeCell ref="S1498:S1500"/>
    <mergeCell ref="S1501:S1504"/>
    <mergeCell ref="S1505:S1508"/>
    <mergeCell ref="S1509:S1513"/>
    <mergeCell ref="S1514:S1519"/>
    <mergeCell ref="S1524:S1525"/>
    <mergeCell ref="S1526:S1528"/>
    <mergeCell ref="S1529:S1530"/>
    <mergeCell ref="S1531:S1539"/>
    <mergeCell ref="S1540:S1545"/>
    <mergeCell ref="S1547:S1554"/>
    <mergeCell ref="S1555:S1558"/>
    <mergeCell ref="S1561:S1565"/>
    <mergeCell ref="S1566:S1569"/>
    <mergeCell ref="S1570:S1575"/>
    <mergeCell ref="S1577:S1581"/>
    <mergeCell ref="S1583:S1598"/>
    <mergeCell ref="S1599:S1601"/>
    <mergeCell ref="S1602:S1603"/>
    <mergeCell ref="S1604:S1606"/>
    <mergeCell ref="S1607:S1612"/>
    <mergeCell ref="S1614:S1617"/>
    <mergeCell ref="S1618:S1621"/>
    <mergeCell ref="S1623:S1624"/>
    <mergeCell ref="S1625:S1627"/>
    <mergeCell ref="S1628:S1632"/>
    <mergeCell ref="S1633:S1636"/>
    <mergeCell ref="S1637:S1645"/>
    <mergeCell ref="S1646:S1650"/>
    <mergeCell ref="S1651:S1652"/>
    <mergeCell ref="S1653:S1654"/>
    <mergeCell ref="S1655:S1656"/>
    <mergeCell ref="S1657:S1658"/>
    <mergeCell ref="S1659:S1660"/>
    <mergeCell ref="S1661:S1662"/>
    <mergeCell ref="S1663:S1664"/>
    <mergeCell ref="S1665:S1668"/>
    <mergeCell ref="S1669:S1671"/>
    <mergeCell ref="S1672:S1678"/>
    <mergeCell ref="S1679:S1680"/>
    <mergeCell ref="S1681:S1684"/>
    <mergeCell ref="S1685:S1687"/>
    <mergeCell ref="S1688:S1689"/>
    <mergeCell ref="S1690:S1697"/>
    <mergeCell ref="S1698:S1700"/>
    <mergeCell ref="S1701:S1706"/>
    <mergeCell ref="S1708:S1709"/>
    <mergeCell ref="S1710:S1714"/>
    <mergeCell ref="S1716:S1719"/>
    <mergeCell ref="S1720:S1723"/>
    <mergeCell ref="S1731:S1733"/>
    <mergeCell ref="S1736:S1738"/>
    <mergeCell ref="S1743:S1745"/>
    <mergeCell ref="S1746:S1748"/>
    <mergeCell ref="S1749:S1750"/>
    <mergeCell ref="S1751:S1757"/>
    <mergeCell ref="S1758:S1762"/>
    <mergeCell ref="S1763:S1765"/>
    <mergeCell ref="S1766:S1770"/>
    <mergeCell ref="S1771:S1772"/>
    <mergeCell ref="S1773:S1775"/>
    <mergeCell ref="S1777:S1780"/>
    <mergeCell ref="S1781:S1784"/>
    <mergeCell ref="S1785:S1787"/>
    <mergeCell ref="S1788:S1790"/>
    <mergeCell ref="S1791:S1792"/>
    <mergeCell ref="S1793:S1795"/>
    <mergeCell ref="S1803:S1808"/>
    <mergeCell ref="S1809:S1813"/>
    <mergeCell ref="S1814:S1815"/>
    <mergeCell ref="S1816:S1819"/>
    <mergeCell ref="S1821:S1823"/>
    <mergeCell ref="S1825:S1828"/>
    <mergeCell ref="S1829:S1832"/>
    <mergeCell ref="S1833:S1838"/>
    <mergeCell ref="S1839:S1849"/>
    <mergeCell ref="S1850:S1856"/>
    <mergeCell ref="S1857:S1859"/>
    <mergeCell ref="S1860:S1862"/>
    <mergeCell ref="S1863:S1865"/>
    <mergeCell ref="S1867:S1872"/>
    <mergeCell ref="S1873:S1880"/>
    <mergeCell ref="S1881:S1886"/>
    <mergeCell ref="S1888:S1893"/>
    <mergeCell ref="S1894:S1901"/>
    <mergeCell ref="S1902:S1907"/>
    <mergeCell ref="S1908:S1911"/>
    <mergeCell ref="S1912:S1915"/>
    <mergeCell ref="S1916:S1919"/>
    <mergeCell ref="S1920:S1922"/>
    <mergeCell ref="S1923:S1925"/>
    <mergeCell ref="S1926:S1928"/>
    <mergeCell ref="S1929:S1931"/>
    <mergeCell ref="S1932:S1934"/>
    <mergeCell ref="S1938:S1940"/>
    <mergeCell ref="S1941:S1943"/>
    <mergeCell ref="S1944:S1946"/>
    <mergeCell ref="S1947:S1950"/>
    <mergeCell ref="S1951:S1954"/>
    <mergeCell ref="S1955:S1957"/>
    <mergeCell ref="S1958:S1960"/>
    <mergeCell ref="S1961:S1964"/>
    <mergeCell ref="S1965:S1967"/>
    <mergeCell ref="S1968:S1970"/>
    <mergeCell ref="S1971:S1973"/>
    <mergeCell ref="S1974:S1976"/>
    <mergeCell ref="S1977:S1979"/>
    <mergeCell ref="S1980:S1982"/>
    <mergeCell ref="S1983:S1986"/>
    <mergeCell ref="S1987:S1990"/>
    <mergeCell ref="S1991:S1995"/>
    <mergeCell ref="S1996:S1998"/>
    <mergeCell ref="S1999:S2002"/>
    <mergeCell ref="S2003:S2005"/>
    <mergeCell ref="S2006:S2008"/>
    <mergeCell ref="S2009:S2011"/>
    <mergeCell ref="S2012:S2015"/>
    <mergeCell ref="S2016:S2019"/>
    <mergeCell ref="S2020:S2023"/>
    <mergeCell ref="S2026:S2028"/>
    <mergeCell ref="S2029:S2034"/>
    <mergeCell ref="S2035:S2046"/>
    <mergeCell ref="S2047:S2064"/>
    <mergeCell ref="S2065:S2073"/>
    <mergeCell ref="S2074:S2076"/>
    <mergeCell ref="S2078:S2081"/>
    <mergeCell ref="S2082:S2086"/>
    <mergeCell ref="S2087:S2091"/>
    <mergeCell ref="S2092:S2096"/>
    <mergeCell ref="S2097:S2101"/>
    <mergeCell ref="S2102:S2105"/>
    <mergeCell ref="S2106:S2113"/>
    <mergeCell ref="S2114:S2116"/>
    <mergeCell ref="S2145:S2153"/>
    <mergeCell ref="S2154:S2161"/>
    <mergeCell ref="S2170:S2177"/>
    <mergeCell ref="S2178:S2180"/>
    <mergeCell ref="S2181:S2184"/>
    <mergeCell ref="S2185:S2192"/>
    <mergeCell ref="S2194:S2236"/>
    <mergeCell ref="S2237:S2241"/>
    <mergeCell ref="S2242:S2296"/>
    <mergeCell ref="S2297:S2303"/>
    <mergeCell ref="S2305:S2308"/>
    <mergeCell ref="S2309:S2311"/>
    <mergeCell ref="S2312:S2315"/>
    <mergeCell ref="S2316:S2318"/>
    <mergeCell ref="S2319:S2321"/>
    <mergeCell ref="S2325:S2328"/>
    <mergeCell ref="S2329:S2335"/>
    <mergeCell ref="S2336:S2344"/>
    <mergeCell ref="S2345:S2347"/>
    <mergeCell ref="S2348:S2351"/>
    <mergeCell ref="S2352:S2359"/>
    <mergeCell ref="S2360:S2363"/>
    <mergeCell ref="S2364:S2370"/>
    <mergeCell ref="S2371:S2374"/>
    <mergeCell ref="S2375:S2378"/>
    <mergeCell ref="S2380:S2383"/>
    <mergeCell ref="S2385:S2395"/>
    <mergeCell ref="S2396:S2397"/>
    <mergeCell ref="S2399:S2413"/>
    <mergeCell ref="S2415:S2421"/>
    <mergeCell ref="S2435:S2440"/>
    <mergeCell ref="S2441:S2445"/>
    <mergeCell ref="S2446:S2447"/>
    <mergeCell ref="S2448:S2449"/>
    <mergeCell ref="S2456:S2469"/>
    <mergeCell ref="S2478:S2482"/>
    <mergeCell ref="S2483:S2489"/>
    <mergeCell ref="S2490:S2494"/>
    <mergeCell ref="S2495:S2499"/>
    <mergeCell ref="S2500:S2504"/>
    <mergeCell ref="S2505:S2508"/>
    <mergeCell ref="S2520:S2523"/>
    <mergeCell ref="S2524:S2527"/>
    <mergeCell ref="S2528:S2530"/>
    <mergeCell ref="S2531:S2533"/>
    <mergeCell ref="S2534:S2536"/>
    <mergeCell ref="S2537:S2539"/>
    <mergeCell ref="S2540:S2542"/>
    <mergeCell ref="S2543:S2545"/>
    <mergeCell ref="S2546:S2548"/>
    <mergeCell ref="S2549:S2551"/>
    <mergeCell ref="S2552:S2554"/>
    <mergeCell ref="S2558:S2562"/>
    <mergeCell ref="S2563:S2566"/>
    <mergeCell ref="S2570:S2574"/>
    <mergeCell ref="S2590:S2593"/>
    <mergeCell ref="S2594:S2597"/>
    <mergeCell ref="S2619:S2621"/>
    <mergeCell ref="S2630:S2636"/>
    <mergeCell ref="S2637:S2643"/>
    <mergeCell ref="S2644:S2650"/>
    <mergeCell ref="S2651:S2658"/>
    <mergeCell ref="S2663:S2668"/>
    <mergeCell ref="S2669:S2670"/>
    <mergeCell ref="S2671:S2676"/>
    <mergeCell ref="S2678:S2681"/>
    <mergeCell ref="S2682:S2684"/>
    <mergeCell ref="S2689:S2697"/>
    <mergeCell ref="S2698:S2702"/>
    <mergeCell ref="S2703:S2705"/>
    <mergeCell ref="S2709:S2712"/>
    <mergeCell ref="S2713:S2718"/>
    <mergeCell ref="S2719:S2721"/>
    <mergeCell ref="T5:T29"/>
    <mergeCell ref="T30:T34"/>
    <mergeCell ref="T35:T38"/>
    <mergeCell ref="T39:T40"/>
    <mergeCell ref="T41:T44"/>
    <mergeCell ref="T45:T48"/>
    <mergeCell ref="T49:T51"/>
    <mergeCell ref="T52:T55"/>
    <mergeCell ref="T56:T59"/>
    <mergeCell ref="T60:T65"/>
    <mergeCell ref="T66:T77"/>
    <mergeCell ref="T78:T80"/>
    <mergeCell ref="T81:T84"/>
    <mergeCell ref="T86:T87"/>
    <mergeCell ref="T90:T96"/>
    <mergeCell ref="T97:T103"/>
    <mergeCell ref="T104:T108"/>
    <mergeCell ref="T109:T112"/>
    <mergeCell ref="T113:T117"/>
    <mergeCell ref="T118:T122"/>
    <mergeCell ref="T123:T126"/>
    <mergeCell ref="T127:T130"/>
    <mergeCell ref="T131:T134"/>
    <mergeCell ref="T135:T137"/>
    <mergeCell ref="T138:T143"/>
    <mergeCell ref="T144:T149"/>
    <mergeCell ref="T150:T153"/>
    <mergeCell ref="T154:T159"/>
    <mergeCell ref="T160:T164"/>
    <mergeCell ref="T168:T170"/>
    <mergeCell ref="T172:T174"/>
    <mergeCell ref="T175:T177"/>
    <mergeCell ref="T178:T181"/>
    <mergeCell ref="T182:T188"/>
    <mergeCell ref="T189:T190"/>
    <mergeCell ref="T191:T194"/>
    <mergeCell ref="T195:T199"/>
    <mergeCell ref="T203:T206"/>
    <mergeCell ref="T209:T210"/>
    <mergeCell ref="T213:T216"/>
    <mergeCell ref="T218:T221"/>
    <mergeCell ref="T222:T223"/>
    <mergeCell ref="T224:T227"/>
    <mergeCell ref="T228:T230"/>
    <mergeCell ref="T231:T234"/>
    <mergeCell ref="T235:T239"/>
    <mergeCell ref="T240:T247"/>
    <mergeCell ref="T248:T249"/>
    <mergeCell ref="T258:T259"/>
    <mergeCell ref="T260:T261"/>
    <mergeCell ref="T262:T267"/>
    <mergeCell ref="T271:T273"/>
    <mergeCell ref="T283:T286"/>
    <mergeCell ref="T293:T297"/>
    <mergeCell ref="T298:T301"/>
    <mergeCell ref="T302:T303"/>
    <mergeCell ref="T304:T307"/>
    <mergeCell ref="T308:T313"/>
    <mergeCell ref="T314:T317"/>
    <mergeCell ref="T318:T321"/>
    <mergeCell ref="T322:T324"/>
    <mergeCell ref="T325:T330"/>
    <mergeCell ref="T332:T336"/>
    <mergeCell ref="T337:T339"/>
    <mergeCell ref="T340:T343"/>
    <mergeCell ref="T344:T349"/>
    <mergeCell ref="T350:T355"/>
    <mergeCell ref="T356:T365"/>
    <mergeCell ref="T366:T371"/>
    <mergeCell ref="T372:T377"/>
    <mergeCell ref="T378:T383"/>
    <mergeCell ref="T384:T389"/>
    <mergeCell ref="T390:T396"/>
    <mergeCell ref="T397:T402"/>
    <mergeCell ref="T403:T408"/>
    <mergeCell ref="T409:T414"/>
    <mergeCell ref="T415:T420"/>
    <mergeCell ref="T421:T426"/>
    <mergeCell ref="T427:T429"/>
    <mergeCell ref="T431:T433"/>
    <mergeCell ref="T434:T436"/>
    <mergeCell ref="T437:T440"/>
    <mergeCell ref="T445:T449"/>
    <mergeCell ref="T450:T451"/>
    <mergeCell ref="T452:T453"/>
    <mergeCell ref="T454:T455"/>
    <mergeCell ref="T456:T457"/>
    <mergeCell ref="T458:T460"/>
    <mergeCell ref="T461:T467"/>
    <mergeCell ref="T469:T472"/>
    <mergeCell ref="T473:T476"/>
    <mergeCell ref="T477:T480"/>
    <mergeCell ref="T481:T484"/>
    <mergeCell ref="T485:T488"/>
    <mergeCell ref="T489:T491"/>
    <mergeCell ref="T492:T497"/>
    <mergeCell ref="T500:T502"/>
    <mergeCell ref="T503:T505"/>
    <mergeCell ref="T506:T508"/>
    <mergeCell ref="T509:T524"/>
    <mergeCell ref="T525:T528"/>
    <mergeCell ref="T532:T535"/>
    <mergeCell ref="T538:T540"/>
    <mergeCell ref="T541:T547"/>
    <mergeCell ref="T548:T550"/>
    <mergeCell ref="T551:T554"/>
    <mergeCell ref="T555:T559"/>
    <mergeCell ref="T561:T563"/>
    <mergeCell ref="T566:T588"/>
    <mergeCell ref="T589:T592"/>
    <mergeCell ref="T593:T594"/>
    <mergeCell ref="T595:T598"/>
    <mergeCell ref="T600:T602"/>
    <mergeCell ref="T604:T613"/>
    <mergeCell ref="T614:T615"/>
    <mergeCell ref="T616:T618"/>
    <mergeCell ref="T621:T624"/>
    <mergeCell ref="T625:T628"/>
    <mergeCell ref="T629:T630"/>
    <mergeCell ref="T631:T639"/>
    <mergeCell ref="T640:T642"/>
    <mergeCell ref="T643:T646"/>
    <mergeCell ref="T647:T650"/>
    <mergeCell ref="T652:T657"/>
    <mergeCell ref="T658:T674"/>
    <mergeCell ref="T675:T680"/>
    <mergeCell ref="T681:T685"/>
    <mergeCell ref="T686:T688"/>
    <mergeCell ref="T689:T694"/>
    <mergeCell ref="T695:T704"/>
    <mergeCell ref="T705:T711"/>
    <mergeCell ref="T712:T794"/>
    <mergeCell ref="T795:T815"/>
    <mergeCell ref="T816:T836"/>
    <mergeCell ref="T837:T867"/>
    <mergeCell ref="T868:T871"/>
    <mergeCell ref="T872:T874"/>
    <mergeCell ref="T875:T877"/>
    <mergeCell ref="T878:T880"/>
    <mergeCell ref="T881:T941"/>
    <mergeCell ref="T942:T947"/>
    <mergeCell ref="T948:T950"/>
    <mergeCell ref="T951:T957"/>
    <mergeCell ref="T959:T964"/>
    <mergeCell ref="T965:T967"/>
    <mergeCell ref="T968:T970"/>
    <mergeCell ref="T971:T973"/>
    <mergeCell ref="T974:T976"/>
    <mergeCell ref="T977:T981"/>
    <mergeCell ref="T982:T986"/>
    <mergeCell ref="T987:T992"/>
    <mergeCell ref="T993:T998"/>
    <mergeCell ref="T999:T1027"/>
    <mergeCell ref="T1028:T1031"/>
    <mergeCell ref="T1032:T1064"/>
    <mergeCell ref="T1065:T1092"/>
    <mergeCell ref="T1093:T1120"/>
    <mergeCell ref="T1121:T1126"/>
    <mergeCell ref="T1127:T1128"/>
    <mergeCell ref="T1129:T1132"/>
    <mergeCell ref="T1133:T1134"/>
    <mergeCell ref="T1135:T1136"/>
    <mergeCell ref="T1137:T1138"/>
    <mergeCell ref="T1139:T1144"/>
    <mergeCell ref="T1145:T1149"/>
    <mergeCell ref="T1150:T1159"/>
    <mergeCell ref="T1160:T1164"/>
    <mergeCell ref="T1165:T1167"/>
    <mergeCell ref="T1168:T1171"/>
    <mergeCell ref="T1172:T1174"/>
    <mergeCell ref="T1175:T1179"/>
    <mergeCell ref="T1180:T1189"/>
    <mergeCell ref="T1190:T1200"/>
    <mergeCell ref="T1201:T1205"/>
    <mergeCell ref="T1206:T1210"/>
    <mergeCell ref="T1211:T1213"/>
    <mergeCell ref="T1214:T1218"/>
    <mergeCell ref="T1219:T1226"/>
    <mergeCell ref="T1227:T1239"/>
    <mergeCell ref="T1240:T1245"/>
    <mergeCell ref="T1246:T1249"/>
    <mergeCell ref="T1250:T1252"/>
    <mergeCell ref="T1253:T1257"/>
    <mergeCell ref="T1258:T1262"/>
    <mergeCell ref="T1263:T1268"/>
    <mergeCell ref="T1269:T1273"/>
    <mergeCell ref="T1274:T1278"/>
    <mergeCell ref="T1279:T1282"/>
    <mergeCell ref="T1283:T1285"/>
    <mergeCell ref="T1286:T1291"/>
    <mergeCell ref="T1292:T1299"/>
    <mergeCell ref="T1300:T1308"/>
    <mergeCell ref="T1309:T1313"/>
    <mergeCell ref="T1314:T1317"/>
    <mergeCell ref="T1318:T1320"/>
    <mergeCell ref="T1321:T1325"/>
    <mergeCell ref="T1326:T1330"/>
    <mergeCell ref="T1331:T1336"/>
    <mergeCell ref="T1337:T1340"/>
    <mergeCell ref="T1341:T1343"/>
    <mergeCell ref="T1344:T1347"/>
    <mergeCell ref="T1348:T1354"/>
    <mergeCell ref="T1355:T1363"/>
    <mergeCell ref="T1364:T1369"/>
    <mergeCell ref="T1370:T1373"/>
    <mergeCell ref="T1374:T1376"/>
    <mergeCell ref="T1377:T1381"/>
    <mergeCell ref="T1382:T1384"/>
    <mergeCell ref="T1385:T1389"/>
    <mergeCell ref="T1390:T1394"/>
    <mergeCell ref="T1395:T1399"/>
    <mergeCell ref="T1400:T1404"/>
    <mergeCell ref="T1405:T1408"/>
    <mergeCell ref="T1409:T1411"/>
    <mergeCell ref="T1412:T1416"/>
    <mergeCell ref="T1417:T1424"/>
    <mergeCell ref="T1425:T1429"/>
    <mergeCell ref="T1430:T1434"/>
    <mergeCell ref="T1435:T1438"/>
    <mergeCell ref="T1439:T1441"/>
    <mergeCell ref="T1442:T1445"/>
    <mergeCell ref="T1446:T1450"/>
    <mergeCell ref="T1451:T1456"/>
    <mergeCell ref="T1457:T1459"/>
    <mergeCell ref="T1460:T1463"/>
    <mergeCell ref="T1464:T1466"/>
    <mergeCell ref="T1467:T1469"/>
    <mergeCell ref="T1470:T1475"/>
    <mergeCell ref="T1476:T1478"/>
    <mergeCell ref="T1479:T1482"/>
    <mergeCell ref="T1483:T1486"/>
    <mergeCell ref="T1487:T1491"/>
    <mergeCell ref="T1492:T1497"/>
    <mergeCell ref="T1498:T1500"/>
    <mergeCell ref="T1501:T1504"/>
    <mergeCell ref="T1505:T1508"/>
    <mergeCell ref="T1509:T1513"/>
    <mergeCell ref="T1524:T1525"/>
    <mergeCell ref="T1531:T1539"/>
    <mergeCell ref="T1540:T1545"/>
    <mergeCell ref="T1547:T1554"/>
    <mergeCell ref="T1555:T1558"/>
    <mergeCell ref="T1583:T1598"/>
    <mergeCell ref="T1604:T1606"/>
    <mergeCell ref="T1607:T1612"/>
    <mergeCell ref="T1614:T1617"/>
    <mergeCell ref="T1618:T1621"/>
    <mergeCell ref="T1623:T1624"/>
    <mergeCell ref="T1625:T1627"/>
    <mergeCell ref="T1628:T1632"/>
    <mergeCell ref="T1633:T1636"/>
    <mergeCell ref="T1637:T1645"/>
    <mergeCell ref="T1646:T1650"/>
    <mergeCell ref="T1651:T1652"/>
    <mergeCell ref="T1653:T1654"/>
    <mergeCell ref="T1655:T1656"/>
    <mergeCell ref="T1657:T1658"/>
    <mergeCell ref="T1659:T1660"/>
    <mergeCell ref="T1661:T1662"/>
    <mergeCell ref="T1663:T1664"/>
    <mergeCell ref="T1665:T1668"/>
    <mergeCell ref="T1669:T1671"/>
    <mergeCell ref="T1672:T1678"/>
    <mergeCell ref="T1679:T1680"/>
    <mergeCell ref="T1681:T1684"/>
    <mergeCell ref="T1685:T1687"/>
    <mergeCell ref="T1688:T1689"/>
    <mergeCell ref="T1690:T1697"/>
    <mergeCell ref="T1698:T1700"/>
    <mergeCell ref="T1701:T1706"/>
    <mergeCell ref="T1708:T1709"/>
    <mergeCell ref="T1710:T1714"/>
    <mergeCell ref="T1716:T1719"/>
    <mergeCell ref="T1720:T1723"/>
    <mergeCell ref="T1731:T1733"/>
    <mergeCell ref="T1736:T1738"/>
    <mergeCell ref="T1743:T1745"/>
    <mergeCell ref="T1746:T1748"/>
    <mergeCell ref="T1749:T1750"/>
    <mergeCell ref="T1751:T1757"/>
    <mergeCell ref="T1758:T1762"/>
    <mergeCell ref="T1763:T1765"/>
    <mergeCell ref="T1766:T1770"/>
    <mergeCell ref="T1771:T1772"/>
    <mergeCell ref="T1773:T1775"/>
    <mergeCell ref="T1777:T1780"/>
    <mergeCell ref="T1781:T1784"/>
    <mergeCell ref="T1785:T1787"/>
    <mergeCell ref="T1788:T1790"/>
    <mergeCell ref="T1791:T1792"/>
    <mergeCell ref="T1793:T1795"/>
    <mergeCell ref="T1803:T1808"/>
    <mergeCell ref="T1809:T1813"/>
    <mergeCell ref="T1814:T1815"/>
    <mergeCell ref="T1816:T1819"/>
    <mergeCell ref="T1821:T1823"/>
    <mergeCell ref="T1825:T1828"/>
    <mergeCell ref="T1829:T1832"/>
    <mergeCell ref="T1833:T1838"/>
    <mergeCell ref="T1839:T1849"/>
    <mergeCell ref="T1850:T1856"/>
    <mergeCell ref="T1857:T1859"/>
    <mergeCell ref="T1860:T1862"/>
    <mergeCell ref="T1863:T1865"/>
    <mergeCell ref="T1867:T1872"/>
    <mergeCell ref="T1873:T1880"/>
    <mergeCell ref="T1881:T1886"/>
    <mergeCell ref="T1888:T1893"/>
    <mergeCell ref="T1894:T1901"/>
    <mergeCell ref="T1902:T1907"/>
    <mergeCell ref="T1908:T1911"/>
    <mergeCell ref="T1912:T1915"/>
    <mergeCell ref="T1916:T1919"/>
    <mergeCell ref="T1920:T1922"/>
    <mergeCell ref="T1923:T1925"/>
    <mergeCell ref="T1926:T1928"/>
    <mergeCell ref="T1929:T1931"/>
    <mergeCell ref="T1932:T1934"/>
    <mergeCell ref="T1938:T1940"/>
    <mergeCell ref="T1941:T1943"/>
    <mergeCell ref="T1944:T1946"/>
    <mergeCell ref="T1947:T1950"/>
    <mergeCell ref="T1951:T1954"/>
    <mergeCell ref="T1955:T1957"/>
    <mergeCell ref="T1958:T1960"/>
    <mergeCell ref="T1961:T1964"/>
    <mergeCell ref="T1965:T1967"/>
    <mergeCell ref="T1968:T1970"/>
    <mergeCell ref="T1971:T1973"/>
    <mergeCell ref="T1974:T1976"/>
    <mergeCell ref="T1977:T1979"/>
    <mergeCell ref="T1980:T1982"/>
    <mergeCell ref="T1983:T1986"/>
    <mergeCell ref="T1987:T1990"/>
    <mergeCell ref="T1991:T1995"/>
    <mergeCell ref="T1996:T1998"/>
    <mergeCell ref="T1999:T2002"/>
    <mergeCell ref="T2003:T2005"/>
    <mergeCell ref="T2006:T2008"/>
    <mergeCell ref="T2009:T2011"/>
    <mergeCell ref="T2012:T2015"/>
    <mergeCell ref="T2016:T2019"/>
    <mergeCell ref="T2020:T2023"/>
    <mergeCell ref="T2026:T2028"/>
    <mergeCell ref="T2029:T2034"/>
    <mergeCell ref="T2035:T2046"/>
    <mergeCell ref="T2047:T2064"/>
    <mergeCell ref="T2065:T2073"/>
    <mergeCell ref="T2074:T2076"/>
    <mergeCell ref="T2078:T2081"/>
    <mergeCell ref="T2082:T2086"/>
    <mergeCell ref="T2087:T2091"/>
    <mergeCell ref="T2092:T2096"/>
    <mergeCell ref="T2097:T2101"/>
    <mergeCell ref="T2102:T2105"/>
    <mergeCell ref="T2106:T2113"/>
    <mergeCell ref="T2114:T2116"/>
    <mergeCell ref="T2145:T2153"/>
    <mergeCell ref="T2154:T2161"/>
    <mergeCell ref="T2170:T2177"/>
    <mergeCell ref="T2178:T2180"/>
    <mergeCell ref="T2181:T2184"/>
    <mergeCell ref="T2185:T2192"/>
    <mergeCell ref="T2194:T2236"/>
    <mergeCell ref="T2237:T2241"/>
    <mergeCell ref="T2242:T2296"/>
    <mergeCell ref="T2297:T2303"/>
    <mergeCell ref="T2305:T2308"/>
    <mergeCell ref="T2309:T2311"/>
    <mergeCell ref="T2312:T2315"/>
    <mergeCell ref="T2316:T2318"/>
    <mergeCell ref="T2319:T2321"/>
    <mergeCell ref="T2325:T2328"/>
    <mergeCell ref="T2329:T2335"/>
    <mergeCell ref="T2336:T2344"/>
    <mergeCell ref="T2345:T2347"/>
    <mergeCell ref="T2348:T2351"/>
    <mergeCell ref="T2352:T2359"/>
    <mergeCell ref="T2360:T2363"/>
    <mergeCell ref="T2364:T2370"/>
    <mergeCell ref="T2371:T2374"/>
    <mergeCell ref="T2375:T2378"/>
    <mergeCell ref="T2380:T2383"/>
    <mergeCell ref="T2385:T2395"/>
    <mergeCell ref="T2396:T2397"/>
    <mergeCell ref="T2399:T2413"/>
    <mergeCell ref="T2415:T2421"/>
    <mergeCell ref="T2435:T2440"/>
    <mergeCell ref="T2441:T2445"/>
    <mergeCell ref="T2446:T2447"/>
    <mergeCell ref="T2448:T2449"/>
    <mergeCell ref="T2456:T2469"/>
    <mergeCell ref="T2478:T2482"/>
    <mergeCell ref="T2483:T2489"/>
    <mergeCell ref="T2490:T2494"/>
    <mergeCell ref="T2495:T2499"/>
    <mergeCell ref="T2500:T2504"/>
    <mergeCell ref="T2505:T2508"/>
    <mergeCell ref="T2520:T2523"/>
    <mergeCell ref="T2524:T2527"/>
    <mergeCell ref="T2528:T2530"/>
    <mergeCell ref="T2531:T2533"/>
    <mergeCell ref="T2534:T2536"/>
    <mergeCell ref="T2537:T2539"/>
    <mergeCell ref="T2540:T2542"/>
    <mergeCell ref="T2543:T2545"/>
    <mergeCell ref="T2546:T2548"/>
    <mergeCell ref="T2549:T2551"/>
    <mergeCell ref="T2552:T2554"/>
    <mergeCell ref="T2558:T2562"/>
    <mergeCell ref="T2563:T2566"/>
    <mergeCell ref="T2570:T2574"/>
    <mergeCell ref="T2590:T2593"/>
    <mergeCell ref="T2594:T2597"/>
    <mergeCell ref="T2619:T2621"/>
    <mergeCell ref="T2630:T2636"/>
    <mergeCell ref="T2637:T2643"/>
    <mergeCell ref="T2644:T2650"/>
    <mergeCell ref="T2651:T2658"/>
    <mergeCell ref="T2663:T2668"/>
    <mergeCell ref="T2669:T2670"/>
    <mergeCell ref="T2671:T2676"/>
    <mergeCell ref="T2678:T2681"/>
    <mergeCell ref="T2682:T2684"/>
    <mergeCell ref="T2689:T2697"/>
    <mergeCell ref="T2698:T2702"/>
    <mergeCell ref="T2703:T2705"/>
    <mergeCell ref="T2709:T2712"/>
    <mergeCell ref="T2713:T2718"/>
    <mergeCell ref="T2719:T2721"/>
    <mergeCell ref="U5:U29"/>
    <mergeCell ref="U30:U34"/>
    <mergeCell ref="U35:U38"/>
    <mergeCell ref="U39:U40"/>
    <mergeCell ref="U41:U44"/>
    <mergeCell ref="U45:U48"/>
    <mergeCell ref="U49:U51"/>
    <mergeCell ref="U52:U55"/>
    <mergeCell ref="U56:U59"/>
    <mergeCell ref="U60:U65"/>
    <mergeCell ref="U66:U77"/>
    <mergeCell ref="U78:U80"/>
    <mergeCell ref="U81:U84"/>
    <mergeCell ref="U86:U87"/>
    <mergeCell ref="U90:U96"/>
    <mergeCell ref="U97:U103"/>
    <mergeCell ref="U104:U108"/>
    <mergeCell ref="U109:U112"/>
    <mergeCell ref="U113:U117"/>
    <mergeCell ref="U118:U122"/>
    <mergeCell ref="U123:U126"/>
    <mergeCell ref="U127:U130"/>
    <mergeCell ref="U131:U134"/>
    <mergeCell ref="U135:U137"/>
    <mergeCell ref="U138:U143"/>
    <mergeCell ref="U144:U149"/>
    <mergeCell ref="U150:U153"/>
    <mergeCell ref="U154:U159"/>
    <mergeCell ref="U160:U164"/>
    <mergeCell ref="U168:U170"/>
    <mergeCell ref="U172:U174"/>
    <mergeCell ref="U175:U177"/>
    <mergeCell ref="U178:U181"/>
    <mergeCell ref="U182:U188"/>
    <mergeCell ref="U189:U190"/>
    <mergeCell ref="U191:U194"/>
    <mergeCell ref="U195:U199"/>
    <mergeCell ref="U203:U206"/>
    <mergeCell ref="U209:U210"/>
    <mergeCell ref="U213:U216"/>
    <mergeCell ref="U218:U221"/>
    <mergeCell ref="U222:U223"/>
    <mergeCell ref="U224:U227"/>
    <mergeCell ref="U228:U230"/>
    <mergeCell ref="U231:U234"/>
    <mergeCell ref="U235:U239"/>
    <mergeCell ref="U240:U247"/>
    <mergeCell ref="U248:U249"/>
    <mergeCell ref="U250:U253"/>
    <mergeCell ref="U254:U257"/>
    <mergeCell ref="U258:U259"/>
    <mergeCell ref="U260:U261"/>
    <mergeCell ref="U262:U267"/>
    <mergeCell ref="U271:U273"/>
    <mergeCell ref="U274:U276"/>
    <mergeCell ref="U283:U286"/>
    <mergeCell ref="U293:U297"/>
    <mergeCell ref="U298:U301"/>
    <mergeCell ref="U302:U303"/>
    <mergeCell ref="U304:U307"/>
    <mergeCell ref="U308:U313"/>
    <mergeCell ref="U314:U317"/>
    <mergeCell ref="U318:U321"/>
    <mergeCell ref="U322:U324"/>
    <mergeCell ref="U325:U330"/>
    <mergeCell ref="U332:U336"/>
    <mergeCell ref="U337:U339"/>
    <mergeCell ref="U340:U343"/>
    <mergeCell ref="U344:U349"/>
    <mergeCell ref="U350:U355"/>
    <mergeCell ref="U356:U365"/>
    <mergeCell ref="U366:U371"/>
    <mergeCell ref="U372:U377"/>
    <mergeCell ref="U378:U383"/>
    <mergeCell ref="U384:U389"/>
    <mergeCell ref="U390:U396"/>
    <mergeCell ref="U397:U402"/>
    <mergeCell ref="U403:U408"/>
    <mergeCell ref="U409:U414"/>
    <mergeCell ref="U415:U420"/>
    <mergeCell ref="U421:U426"/>
    <mergeCell ref="U427:U429"/>
    <mergeCell ref="U431:U433"/>
    <mergeCell ref="U434:U436"/>
    <mergeCell ref="U437:U440"/>
    <mergeCell ref="U445:U449"/>
    <mergeCell ref="U450:U451"/>
    <mergeCell ref="U452:U453"/>
    <mergeCell ref="U454:U455"/>
    <mergeCell ref="U456:U457"/>
    <mergeCell ref="U458:U460"/>
    <mergeCell ref="U461:U467"/>
    <mergeCell ref="U469:U472"/>
    <mergeCell ref="U473:U476"/>
    <mergeCell ref="U477:U480"/>
    <mergeCell ref="U481:U484"/>
    <mergeCell ref="U485:U488"/>
    <mergeCell ref="U489:U491"/>
    <mergeCell ref="U492:U497"/>
    <mergeCell ref="U500:U502"/>
    <mergeCell ref="U503:U505"/>
    <mergeCell ref="U506:U508"/>
    <mergeCell ref="U509:U524"/>
    <mergeCell ref="U525:U528"/>
    <mergeCell ref="U532:U535"/>
    <mergeCell ref="U538:U540"/>
    <mergeCell ref="U541:U547"/>
    <mergeCell ref="U548:U550"/>
    <mergeCell ref="U551:U554"/>
    <mergeCell ref="U555:U559"/>
    <mergeCell ref="U561:U563"/>
    <mergeCell ref="U566:U588"/>
    <mergeCell ref="U589:U592"/>
    <mergeCell ref="U593:U594"/>
    <mergeCell ref="U595:U598"/>
    <mergeCell ref="U600:U602"/>
    <mergeCell ref="U604:U613"/>
    <mergeCell ref="U614:U615"/>
    <mergeCell ref="U616:U618"/>
    <mergeCell ref="U621:U624"/>
    <mergeCell ref="U625:U628"/>
    <mergeCell ref="U629:U630"/>
    <mergeCell ref="U631:U639"/>
    <mergeCell ref="U640:U642"/>
    <mergeCell ref="U643:U646"/>
    <mergeCell ref="U647:U650"/>
    <mergeCell ref="U652:U657"/>
    <mergeCell ref="U658:U674"/>
    <mergeCell ref="U675:U680"/>
    <mergeCell ref="U681:U685"/>
    <mergeCell ref="U686:U688"/>
    <mergeCell ref="U689:U694"/>
    <mergeCell ref="U695:U704"/>
    <mergeCell ref="U705:U711"/>
    <mergeCell ref="U712:U794"/>
    <mergeCell ref="U795:U815"/>
    <mergeCell ref="U816:U836"/>
    <mergeCell ref="U837:U867"/>
    <mergeCell ref="U868:U871"/>
    <mergeCell ref="U872:U874"/>
    <mergeCell ref="U875:U877"/>
    <mergeCell ref="U878:U880"/>
    <mergeCell ref="U881:U941"/>
    <mergeCell ref="U942:U947"/>
    <mergeCell ref="U948:U950"/>
    <mergeCell ref="U951:U957"/>
    <mergeCell ref="U959:U964"/>
    <mergeCell ref="U965:U967"/>
    <mergeCell ref="U968:U970"/>
    <mergeCell ref="U971:U973"/>
    <mergeCell ref="U974:U976"/>
    <mergeCell ref="U977:U981"/>
    <mergeCell ref="U982:U986"/>
    <mergeCell ref="U987:U992"/>
    <mergeCell ref="U993:U998"/>
    <mergeCell ref="U999:U1027"/>
    <mergeCell ref="U1028:U1031"/>
    <mergeCell ref="U1032:U1064"/>
    <mergeCell ref="U1065:U1092"/>
    <mergeCell ref="U1093:U1120"/>
    <mergeCell ref="U1121:U1126"/>
    <mergeCell ref="U1127:U1128"/>
    <mergeCell ref="U1129:U1132"/>
    <mergeCell ref="U1133:U1134"/>
    <mergeCell ref="U1135:U1136"/>
    <mergeCell ref="U1137:U1138"/>
    <mergeCell ref="U1139:U1144"/>
    <mergeCell ref="U1145:U1149"/>
    <mergeCell ref="U1150:U1159"/>
    <mergeCell ref="U1160:U1164"/>
    <mergeCell ref="U1165:U1167"/>
    <mergeCell ref="U1168:U1171"/>
    <mergeCell ref="U1172:U1174"/>
    <mergeCell ref="U1175:U1179"/>
    <mergeCell ref="U1180:U1189"/>
    <mergeCell ref="U1190:U1200"/>
    <mergeCell ref="U1201:U1205"/>
    <mergeCell ref="U1206:U1210"/>
    <mergeCell ref="U1211:U1213"/>
    <mergeCell ref="U1214:U1218"/>
    <mergeCell ref="U1219:U1226"/>
    <mergeCell ref="U1227:U1239"/>
    <mergeCell ref="U1240:U1245"/>
    <mergeCell ref="U1246:U1249"/>
    <mergeCell ref="U1250:U1252"/>
    <mergeCell ref="U1253:U1257"/>
    <mergeCell ref="U1258:U1262"/>
    <mergeCell ref="U1263:U1268"/>
    <mergeCell ref="U1269:U1273"/>
    <mergeCell ref="U1274:U1278"/>
    <mergeCell ref="U1279:U1282"/>
    <mergeCell ref="U1283:U1285"/>
    <mergeCell ref="U1286:U1291"/>
    <mergeCell ref="U1292:U1299"/>
    <mergeCell ref="U1300:U1308"/>
    <mergeCell ref="U1309:U1313"/>
    <mergeCell ref="U1314:U1317"/>
    <mergeCell ref="U1318:U1320"/>
    <mergeCell ref="U1321:U1325"/>
    <mergeCell ref="U1326:U1330"/>
    <mergeCell ref="U1331:U1336"/>
    <mergeCell ref="U1337:U1340"/>
    <mergeCell ref="U1341:U1343"/>
    <mergeCell ref="U1344:U1347"/>
    <mergeCell ref="U1348:U1354"/>
    <mergeCell ref="U1355:U1363"/>
    <mergeCell ref="U1364:U1369"/>
    <mergeCell ref="U1370:U1373"/>
    <mergeCell ref="U1374:U1376"/>
    <mergeCell ref="U1377:U1381"/>
    <mergeCell ref="U1382:U1384"/>
    <mergeCell ref="U1385:U1389"/>
    <mergeCell ref="U1390:U1394"/>
    <mergeCell ref="U1395:U1399"/>
    <mergeCell ref="U1400:U1404"/>
    <mergeCell ref="U1405:U1408"/>
    <mergeCell ref="U1409:U1411"/>
    <mergeCell ref="U1412:U1416"/>
    <mergeCell ref="U1417:U1424"/>
    <mergeCell ref="U1425:U1429"/>
    <mergeCell ref="U1430:U1434"/>
    <mergeCell ref="U1435:U1438"/>
    <mergeCell ref="U1439:U1441"/>
    <mergeCell ref="U1442:U1445"/>
    <mergeCell ref="U1446:U1450"/>
    <mergeCell ref="U1451:U1456"/>
    <mergeCell ref="U1457:U1459"/>
    <mergeCell ref="U1460:U1463"/>
    <mergeCell ref="U1464:U1466"/>
    <mergeCell ref="U1467:U1469"/>
    <mergeCell ref="U1470:U1475"/>
    <mergeCell ref="U1476:U1478"/>
    <mergeCell ref="U1479:U1482"/>
    <mergeCell ref="U1483:U1486"/>
    <mergeCell ref="U1487:U1491"/>
    <mergeCell ref="U1492:U1497"/>
    <mergeCell ref="U1498:U1500"/>
    <mergeCell ref="U1501:U1504"/>
    <mergeCell ref="U1505:U1508"/>
    <mergeCell ref="U1509:U1513"/>
    <mergeCell ref="U1514:U1519"/>
    <mergeCell ref="U1524:U1525"/>
    <mergeCell ref="U1526:U1528"/>
    <mergeCell ref="U1529:U1530"/>
    <mergeCell ref="U1531:U1539"/>
    <mergeCell ref="U1540:U1545"/>
    <mergeCell ref="U1547:U1554"/>
    <mergeCell ref="U1555:U1558"/>
    <mergeCell ref="U1561:U1565"/>
    <mergeCell ref="U1566:U1569"/>
    <mergeCell ref="U1570:U1575"/>
    <mergeCell ref="U1577:U1581"/>
    <mergeCell ref="U1583:U1598"/>
    <mergeCell ref="U1599:U1601"/>
    <mergeCell ref="U1602:U1603"/>
    <mergeCell ref="U1604:U1606"/>
    <mergeCell ref="U1607:U1612"/>
    <mergeCell ref="U1614:U1617"/>
    <mergeCell ref="U1618:U1621"/>
    <mergeCell ref="U1623:U1624"/>
    <mergeCell ref="U1625:U1627"/>
    <mergeCell ref="U1628:U1632"/>
    <mergeCell ref="U1633:U1636"/>
    <mergeCell ref="U1637:U1645"/>
    <mergeCell ref="U1646:U1650"/>
    <mergeCell ref="U1651:U1652"/>
    <mergeCell ref="U1653:U1654"/>
    <mergeCell ref="U1655:U1656"/>
    <mergeCell ref="U1657:U1658"/>
    <mergeCell ref="U1659:U1660"/>
    <mergeCell ref="U1661:U1662"/>
    <mergeCell ref="U1663:U1664"/>
    <mergeCell ref="U1665:U1668"/>
    <mergeCell ref="U1669:U1671"/>
    <mergeCell ref="U1672:U1678"/>
    <mergeCell ref="U1679:U1680"/>
    <mergeCell ref="U1681:U1684"/>
    <mergeCell ref="U1685:U1687"/>
    <mergeCell ref="U1688:U1689"/>
    <mergeCell ref="U1690:U1697"/>
    <mergeCell ref="U1698:U1700"/>
    <mergeCell ref="U1701:U1706"/>
    <mergeCell ref="U1708:U1709"/>
    <mergeCell ref="U1710:U1714"/>
    <mergeCell ref="U1716:U1719"/>
    <mergeCell ref="U1720:U1723"/>
    <mergeCell ref="U1731:U1733"/>
    <mergeCell ref="U1736:U1738"/>
    <mergeCell ref="U1743:U1745"/>
    <mergeCell ref="U1746:U1748"/>
    <mergeCell ref="U1749:U1750"/>
    <mergeCell ref="U1751:U1757"/>
    <mergeCell ref="U1758:U1762"/>
    <mergeCell ref="U1763:U1765"/>
    <mergeCell ref="U1766:U1770"/>
    <mergeCell ref="U1771:U1772"/>
    <mergeCell ref="U1773:U1775"/>
    <mergeCell ref="U1777:U1780"/>
    <mergeCell ref="U1781:U1784"/>
    <mergeCell ref="U1785:U1787"/>
    <mergeCell ref="U1788:U1790"/>
    <mergeCell ref="U1791:U1792"/>
    <mergeCell ref="U1793:U1795"/>
    <mergeCell ref="U1803:U1808"/>
    <mergeCell ref="U1809:U1813"/>
    <mergeCell ref="U1814:U1815"/>
    <mergeCell ref="U1816:U1819"/>
    <mergeCell ref="U1821:U1823"/>
    <mergeCell ref="U1825:U1828"/>
    <mergeCell ref="U1829:U1832"/>
    <mergeCell ref="U1833:U1838"/>
    <mergeCell ref="U1839:U1849"/>
    <mergeCell ref="U1850:U1856"/>
    <mergeCell ref="U1857:U1859"/>
    <mergeCell ref="U1860:U1862"/>
    <mergeCell ref="U1863:U1865"/>
    <mergeCell ref="U1867:U1872"/>
    <mergeCell ref="U1873:U1880"/>
    <mergeCell ref="U1881:U1886"/>
    <mergeCell ref="U1888:U1893"/>
    <mergeCell ref="U1894:U1901"/>
    <mergeCell ref="U1902:U1907"/>
    <mergeCell ref="U1908:U1911"/>
    <mergeCell ref="U1912:U1915"/>
    <mergeCell ref="U1916:U1919"/>
    <mergeCell ref="U1920:U1922"/>
    <mergeCell ref="U1923:U1925"/>
    <mergeCell ref="U1926:U1928"/>
    <mergeCell ref="U1929:U1931"/>
    <mergeCell ref="U1932:U1934"/>
    <mergeCell ref="U1938:U1940"/>
    <mergeCell ref="U1941:U1943"/>
    <mergeCell ref="U1944:U1946"/>
    <mergeCell ref="U1947:U1950"/>
    <mergeCell ref="U1951:U1954"/>
    <mergeCell ref="U1955:U1957"/>
    <mergeCell ref="U1958:U1960"/>
    <mergeCell ref="U1961:U1964"/>
    <mergeCell ref="U1965:U1967"/>
    <mergeCell ref="U1968:U1970"/>
    <mergeCell ref="U1971:U1973"/>
    <mergeCell ref="U1974:U1976"/>
    <mergeCell ref="U1977:U1979"/>
    <mergeCell ref="U1980:U1982"/>
    <mergeCell ref="U1983:U1986"/>
    <mergeCell ref="U1987:U1990"/>
    <mergeCell ref="U1991:U1995"/>
    <mergeCell ref="U1996:U1998"/>
    <mergeCell ref="U1999:U2002"/>
    <mergeCell ref="U2003:U2005"/>
    <mergeCell ref="U2006:U2008"/>
    <mergeCell ref="U2009:U2011"/>
    <mergeCell ref="U2012:U2015"/>
    <mergeCell ref="U2016:U2019"/>
    <mergeCell ref="U2020:U2023"/>
    <mergeCell ref="U2026:U2028"/>
    <mergeCell ref="U2029:U2034"/>
    <mergeCell ref="U2035:U2046"/>
    <mergeCell ref="U2047:U2064"/>
    <mergeCell ref="U2065:U2073"/>
    <mergeCell ref="U2074:U2076"/>
    <mergeCell ref="U2078:U2081"/>
    <mergeCell ref="U2082:U2086"/>
    <mergeCell ref="U2087:U2091"/>
    <mergeCell ref="U2092:U2096"/>
    <mergeCell ref="U2097:U2101"/>
    <mergeCell ref="U2102:U2105"/>
    <mergeCell ref="U2106:U2113"/>
    <mergeCell ref="U2114:U2116"/>
    <mergeCell ref="U2145:U2153"/>
    <mergeCell ref="U2154:U2161"/>
    <mergeCell ref="U2170:U2177"/>
    <mergeCell ref="U2178:U2180"/>
    <mergeCell ref="U2181:U2184"/>
    <mergeCell ref="U2185:U2192"/>
    <mergeCell ref="U2194:U2236"/>
    <mergeCell ref="U2237:U2241"/>
    <mergeCell ref="U2242:U2296"/>
    <mergeCell ref="U2297:U2303"/>
    <mergeCell ref="U2305:U2308"/>
    <mergeCell ref="U2309:U2311"/>
    <mergeCell ref="U2312:U2315"/>
    <mergeCell ref="U2316:U2318"/>
    <mergeCell ref="U2319:U2321"/>
    <mergeCell ref="U2325:U2328"/>
    <mergeCell ref="U2329:U2335"/>
    <mergeCell ref="U2336:U2344"/>
    <mergeCell ref="U2345:U2347"/>
    <mergeCell ref="U2348:U2351"/>
    <mergeCell ref="U2352:U2359"/>
    <mergeCell ref="U2360:U2363"/>
    <mergeCell ref="U2364:U2370"/>
    <mergeCell ref="U2371:U2374"/>
    <mergeCell ref="U2375:U2378"/>
    <mergeCell ref="U2380:U2383"/>
    <mergeCell ref="U2385:U2395"/>
    <mergeCell ref="U2396:U2397"/>
    <mergeCell ref="U2399:U2413"/>
    <mergeCell ref="U2415:U2421"/>
    <mergeCell ref="U2435:U2440"/>
    <mergeCell ref="U2441:U2445"/>
    <mergeCell ref="U2446:U2447"/>
    <mergeCell ref="U2448:U2449"/>
    <mergeCell ref="U2456:U2469"/>
    <mergeCell ref="U2478:U2482"/>
    <mergeCell ref="U2483:U2489"/>
    <mergeCell ref="U2490:U2494"/>
    <mergeCell ref="U2495:U2499"/>
    <mergeCell ref="U2500:U2504"/>
    <mergeCell ref="U2505:U2508"/>
    <mergeCell ref="U2520:U2523"/>
    <mergeCell ref="U2524:U2527"/>
    <mergeCell ref="U2528:U2530"/>
    <mergeCell ref="U2531:U2533"/>
    <mergeCell ref="U2534:U2536"/>
    <mergeCell ref="U2537:U2539"/>
    <mergeCell ref="U2540:U2542"/>
    <mergeCell ref="U2543:U2545"/>
    <mergeCell ref="U2546:U2548"/>
    <mergeCell ref="U2549:U2551"/>
    <mergeCell ref="U2552:U2554"/>
    <mergeCell ref="U2558:U2562"/>
    <mergeCell ref="U2563:U2566"/>
    <mergeCell ref="U2570:U2574"/>
    <mergeCell ref="U2590:U2593"/>
    <mergeCell ref="U2594:U2597"/>
    <mergeCell ref="U2619:U2621"/>
    <mergeCell ref="U2622:U2629"/>
    <mergeCell ref="U2630:U2636"/>
    <mergeCell ref="U2637:U2643"/>
    <mergeCell ref="U2644:U2650"/>
    <mergeCell ref="U2651:U2658"/>
    <mergeCell ref="U2663:U2668"/>
    <mergeCell ref="U2669:U2670"/>
    <mergeCell ref="U2678:U2681"/>
    <mergeCell ref="U2682:U2684"/>
    <mergeCell ref="U2689:U2697"/>
    <mergeCell ref="U2698:U2702"/>
    <mergeCell ref="U2703:U2705"/>
    <mergeCell ref="U2709:U2712"/>
    <mergeCell ref="U2713:U2718"/>
    <mergeCell ref="U2719:U2721"/>
    <mergeCell ref="V5:V29"/>
    <mergeCell ref="V30:V34"/>
    <mergeCell ref="V35:V38"/>
    <mergeCell ref="V39:V40"/>
    <mergeCell ref="V41:V44"/>
    <mergeCell ref="V45:V48"/>
    <mergeCell ref="V49:V51"/>
    <mergeCell ref="V52:V55"/>
    <mergeCell ref="V56:V59"/>
    <mergeCell ref="V60:V65"/>
    <mergeCell ref="V66:V77"/>
    <mergeCell ref="V78:V80"/>
    <mergeCell ref="V81:V84"/>
    <mergeCell ref="V86:V87"/>
    <mergeCell ref="V90:V96"/>
    <mergeCell ref="V97:V103"/>
    <mergeCell ref="V104:V108"/>
    <mergeCell ref="V109:V112"/>
    <mergeCell ref="V113:V117"/>
    <mergeCell ref="V118:V122"/>
    <mergeCell ref="V123:V126"/>
    <mergeCell ref="V127:V130"/>
    <mergeCell ref="V131:V134"/>
    <mergeCell ref="V135:V137"/>
    <mergeCell ref="V138:V143"/>
    <mergeCell ref="V144:V149"/>
    <mergeCell ref="V150:V153"/>
    <mergeCell ref="V154:V159"/>
    <mergeCell ref="V160:V164"/>
    <mergeCell ref="V168:V170"/>
    <mergeCell ref="V172:V174"/>
    <mergeCell ref="V175:V177"/>
    <mergeCell ref="V178:V181"/>
    <mergeCell ref="V182:V188"/>
    <mergeCell ref="V189:V190"/>
    <mergeCell ref="V191:V194"/>
    <mergeCell ref="V195:V199"/>
    <mergeCell ref="V203:V206"/>
    <mergeCell ref="V209:V210"/>
    <mergeCell ref="V213:V216"/>
    <mergeCell ref="V218:V221"/>
    <mergeCell ref="V222:V223"/>
    <mergeCell ref="V224:V227"/>
    <mergeCell ref="V228:V230"/>
    <mergeCell ref="V231:V234"/>
    <mergeCell ref="V235:V239"/>
    <mergeCell ref="V240:V247"/>
    <mergeCell ref="V248:V249"/>
    <mergeCell ref="V258:V259"/>
    <mergeCell ref="V260:V261"/>
    <mergeCell ref="V262:V267"/>
    <mergeCell ref="V271:V273"/>
    <mergeCell ref="V274:V276"/>
    <mergeCell ref="V283:V286"/>
    <mergeCell ref="V293:V297"/>
    <mergeCell ref="V298:V301"/>
    <mergeCell ref="V302:V303"/>
    <mergeCell ref="V304:V307"/>
    <mergeCell ref="V308:V313"/>
    <mergeCell ref="V314:V317"/>
    <mergeCell ref="V318:V321"/>
    <mergeCell ref="V322:V324"/>
    <mergeCell ref="V325:V330"/>
    <mergeCell ref="V332:V336"/>
    <mergeCell ref="V337:V339"/>
    <mergeCell ref="V340:V343"/>
    <mergeCell ref="V344:V349"/>
    <mergeCell ref="V350:V355"/>
    <mergeCell ref="V356:V365"/>
    <mergeCell ref="V366:V371"/>
    <mergeCell ref="V372:V377"/>
    <mergeCell ref="V378:V383"/>
    <mergeCell ref="V384:V389"/>
    <mergeCell ref="V390:V396"/>
    <mergeCell ref="V397:V402"/>
    <mergeCell ref="V403:V408"/>
    <mergeCell ref="V409:V414"/>
    <mergeCell ref="V415:V420"/>
    <mergeCell ref="V421:V426"/>
    <mergeCell ref="V427:V429"/>
    <mergeCell ref="V431:V433"/>
    <mergeCell ref="V434:V436"/>
    <mergeCell ref="V437:V440"/>
    <mergeCell ref="V445:V449"/>
    <mergeCell ref="V450:V451"/>
    <mergeCell ref="V452:V453"/>
    <mergeCell ref="V454:V455"/>
    <mergeCell ref="V456:V457"/>
    <mergeCell ref="V458:V460"/>
    <mergeCell ref="V461:V467"/>
    <mergeCell ref="V469:V472"/>
    <mergeCell ref="V473:V476"/>
    <mergeCell ref="V477:V480"/>
    <mergeCell ref="V481:V484"/>
    <mergeCell ref="V485:V488"/>
    <mergeCell ref="V489:V491"/>
    <mergeCell ref="V492:V497"/>
    <mergeCell ref="V500:V502"/>
    <mergeCell ref="V503:V505"/>
    <mergeCell ref="V506:V508"/>
    <mergeCell ref="V509:V524"/>
    <mergeCell ref="V525:V528"/>
    <mergeCell ref="V532:V535"/>
    <mergeCell ref="V538:V540"/>
    <mergeCell ref="V541:V547"/>
    <mergeCell ref="V548:V550"/>
    <mergeCell ref="V551:V554"/>
    <mergeCell ref="V555:V559"/>
    <mergeCell ref="V561:V563"/>
    <mergeCell ref="V566:V588"/>
    <mergeCell ref="V589:V592"/>
    <mergeCell ref="V593:V594"/>
    <mergeCell ref="V595:V598"/>
    <mergeCell ref="V600:V602"/>
    <mergeCell ref="V604:V613"/>
    <mergeCell ref="V614:V615"/>
    <mergeCell ref="V616:V618"/>
    <mergeCell ref="V621:V624"/>
    <mergeCell ref="V625:V628"/>
    <mergeCell ref="V629:V630"/>
    <mergeCell ref="V631:V639"/>
    <mergeCell ref="V640:V642"/>
    <mergeCell ref="V643:V646"/>
    <mergeCell ref="V647:V650"/>
    <mergeCell ref="V652:V657"/>
    <mergeCell ref="V658:V674"/>
    <mergeCell ref="V675:V680"/>
    <mergeCell ref="V681:V685"/>
    <mergeCell ref="V686:V688"/>
    <mergeCell ref="V689:V694"/>
    <mergeCell ref="V695:V704"/>
    <mergeCell ref="V705:V711"/>
    <mergeCell ref="V712:V794"/>
    <mergeCell ref="V795:V815"/>
    <mergeCell ref="V816:V836"/>
    <mergeCell ref="V837:V867"/>
    <mergeCell ref="V868:V871"/>
    <mergeCell ref="V872:V874"/>
    <mergeCell ref="V875:V877"/>
    <mergeCell ref="V878:V880"/>
    <mergeCell ref="V881:V941"/>
    <mergeCell ref="V942:V947"/>
    <mergeCell ref="V948:V950"/>
    <mergeCell ref="V951:V957"/>
    <mergeCell ref="V959:V964"/>
    <mergeCell ref="V965:V967"/>
    <mergeCell ref="V968:V970"/>
    <mergeCell ref="V971:V973"/>
    <mergeCell ref="V974:V976"/>
    <mergeCell ref="V977:V981"/>
    <mergeCell ref="V982:V986"/>
    <mergeCell ref="V987:V992"/>
    <mergeCell ref="V993:V998"/>
    <mergeCell ref="V999:V1027"/>
    <mergeCell ref="V1028:V1031"/>
    <mergeCell ref="V1032:V1064"/>
    <mergeCell ref="V1065:V1092"/>
    <mergeCell ref="V1093:V1120"/>
    <mergeCell ref="V1121:V1126"/>
    <mergeCell ref="V1127:V1128"/>
    <mergeCell ref="V1129:V1132"/>
    <mergeCell ref="V1133:V1134"/>
    <mergeCell ref="V1135:V1136"/>
    <mergeCell ref="V1137:V1138"/>
    <mergeCell ref="V1139:V1144"/>
    <mergeCell ref="V1145:V1149"/>
    <mergeCell ref="V1150:V1159"/>
    <mergeCell ref="V1160:V1164"/>
    <mergeCell ref="V1165:V1167"/>
    <mergeCell ref="V1168:V1171"/>
    <mergeCell ref="V1172:V1174"/>
    <mergeCell ref="V1175:V1179"/>
    <mergeCell ref="V1180:V1189"/>
    <mergeCell ref="V1190:V1200"/>
    <mergeCell ref="V1201:V1205"/>
    <mergeCell ref="V1206:V1210"/>
    <mergeCell ref="V1211:V1213"/>
    <mergeCell ref="V1214:V1218"/>
    <mergeCell ref="V1219:V1226"/>
    <mergeCell ref="V1227:V1239"/>
    <mergeCell ref="V1240:V1245"/>
    <mergeCell ref="V1246:V1249"/>
    <mergeCell ref="V1250:V1252"/>
    <mergeCell ref="V1253:V1257"/>
    <mergeCell ref="V1258:V1262"/>
    <mergeCell ref="V1263:V1268"/>
    <mergeCell ref="V1269:V1273"/>
    <mergeCell ref="V1274:V1278"/>
    <mergeCell ref="V1279:V1282"/>
    <mergeCell ref="V1283:V1285"/>
    <mergeCell ref="V1286:V1291"/>
    <mergeCell ref="V1292:V1299"/>
    <mergeCell ref="V1300:V1308"/>
    <mergeCell ref="V1309:V1313"/>
    <mergeCell ref="V1314:V1317"/>
    <mergeCell ref="V1318:V1320"/>
    <mergeCell ref="V1321:V1325"/>
    <mergeCell ref="V1326:V1330"/>
    <mergeCell ref="V1331:V1336"/>
    <mergeCell ref="V1337:V1340"/>
    <mergeCell ref="V1341:V1343"/>
    <mergeCell ref="V1344:V1347"/>
    <mergeCell ref="V1348:V1354"/>
    <mergeCell ref="V1355:V1363"/>
    <mergeCell ref="V1364:V1369"/>
    <mergeCell ref="V1370:V1373"/>
    <mergeCell ref="V1374:V1376"/>
    <mergeCell ref="V1377:V1381"/>
    <mergeCell ref="V1382:V1384"/>
    <mergeCell ref="V1385:V1389"/>
    <mergeCell ref="V1390:V1394"/>
    <mergeCell ref="V1395:V1399"/>
    <mergeCell ref="V1400:V1404"/>
    <mergeCell ref="V1405:V1408"/>
    <mergeCell ref="V1409:V1411"/>
    <mergeCell ref="V1412:V1416"/>
    <mergeCell ref="V1417:V1424"/>
    <mergeCell ref="V1425:V1429"/>
    <mergeCell ref="V1430:V1434"/>
    <mergeCell ref="V1435:V1438"/>
    <mergeCell ref="V1439:V1441"/>
    <mergeCell ref="V1442:V1445"/>
    <mergeCell ref="V1446:V1450"/>
    <mergeCell ref="V1451:V1456"/>
    <mergeCell ref="V1457:V1459"/>
    <mergeCell ref="V1460:V1463"/>
    <mergeCell ref="V1464:V1466"/>
    <mergeCell ref="V1467:V1469"/>
    <mergeCell ref="V1470:V1475"/>
    <mergeCell ref="V1476:V1478"/>
    <mergeCell ref="V1479:V1482"/>
    <mergeCell ref="V1483:V1486"/>
    <mergeCell ref="V1487:V1491"/>
    <mergeCell ref="V1492:V1497"/>
    <mergeCell ref="V1498:V1500"/>
    <mergeCell ref="V1501:V1504"/>
    <mergeCell ref="V1505:V1508"/>
    <mergeCell ref="V1509:V1513"/>
    <mergeCell ref="V1514:V1519"/>
    <mergeCell ref="V1524:V1525"/>
    <mergeCell ref="V1526:V1528"/>
    <mergeCell ref="V1529:V1530"/>
    <mergeCell ref="V1531:V1539"/>
    <mergeCell ref="V1540:V1545"/>
    <mergeCell ref="V1547:V1554"/>
    <mergeCell ref="V1555:V1558"/>
    <mergeCell ref="V1561:V1565"/>
    <mergeCell ref="V1566:V1569"/>
    <mergeCell ref="V1570:V1575"/>
    <mergeCell ref="V1577:V1581"/>
    <mergeCell ref="V1583:V1598"/>
    <mergeCell ref="V1599:V1601"/>
    <mergeCell ref="V1602:V1603"/>
    <mergeCell ref="V1604:V1606"/>
    <mergeCell ref="V1607:V1612"/>
    <mergeCell ref="V1614:V1617"/>
    <mergeCell ref="V1618:V1621"/>
    <mergeCell ref="V1623:V1624"/>
    <mergeCell ref="V1625:V1627"/>
    <mergeCell ref="V1628:V1632"/>
    <mergeCell ref="V1633:V1636"/>
    <mergeCell ref="V1637:V1645"/>
    <mergeCell ref="V1646:V1650"/>
    <mergeCell ref="V1651:V1652"/>
    <mergeCell ref="V1653:V1654"/>
    <mergeCell ref="V1655:V1656"/>
    <mergeCell ref="V1657:V1658"/>
    <mergeCell ref="V1659:V1660"/>
    <mergeCell ref="V1661:V1662"/>
    <mergeCell ref="V1663:V1664"/>
    <mergeCell ref="V1665:V1668"/>
    <mergeCell ref="V1669:V1671"/>
    <mergeCell ref="V1672:V1678"/>
    <mergeCell ref="V1679:V1680"/>
    <mergeCell ref="V1681:V1684"/>
    <mergeCell ref="V1685:V1687"/>
    <mergeCell ref="V1688:V1689"/>
    <mergeCell ref="V1690:V1697"/>
    <mergeCell ref="V1698:V1700"/>
    <mergeCell ref="V1701:V1706"/>
    <mergeCell ref="V1708:V1709"/>
    <mergeCell ref="V1710:V1714"/>
    <mergeCell ref="V1716:V1719"/>
    <mergeCell ref="V1720:V1723"/>
    <mergeCell ref="V1731:V1733"/>
    <mergeCell ref="V1736:V1738"/>
    <mergeCell ref="V1743:V1745"/>
    <mergeCell ref="V1746:V1748"/>
    <mergeCell ref="V1749:V1750"/>
    <mergeCell ref="V1751:V1757"/>
    <mergeCell ref="V1758:V1762"/>
    <mergeCell ref="V1763:V1765"/>
    <mergeCell ref="V1766:V1770"/>
    <mergeCell ref="V1771:V1772"/>
    <mergeCell ref="V1773:V1775"/>
    <mergeCell ref="V1777:V1780"/>
    <mergeCell ref="V1781:V1784"/>
    <mergeCell ref="V1785:V1787"/>
    <mergeCell ref="V1788:V1790"/>
    <mergeCell ref="V1791:V1792"/>
    <mergeCell ref="V1793:V1795"/>
    <mergeCell ref="V1803:V1808"/>
    <mergeCell ref="V1809:V1813"/>
    <mergeCell ref="V1814:V1815"/>
    <mergeCell ref="V1816:V1819"/>
    <mergeCell ref="V1821:V1823"/>
    <mergeCell ref="V1825:V1828"/>
    <mergeCell ref="V1829:V1832"/>
    <mergeCell ref="V1833:V1838"/>
    <mergeCell ref="V1839:V1849"/>
    <mergeCell ref="V1850:V1856"/>
    <mergeCell ref="V1857:V1859"/>
    <mergeCell ref="V1860:V1862"/>
    <mergeCell ref="V1863:V1865"/>
    <mergeCell ref="V1867:V1872"/>
    <mergeCell ref="V1873:V1880"/>
    <mergeCell ref="V1881:V1886"/>
    <mergeCell ref="V1888:V1893"/>
    <mergeCell ref="V1894:V1901"/>
    <mergeCell ref="V1902:V1907"/>
    <mergeCell ref="V1908:V1911"/>
    <mergeCell ref="V1912:V1915"/>
    <mergeCell ref="V1916:V1919"/>
    <mergeCell ref="V1920:V1922"/>
    <mergeCell ref="V1923:V1925"/>
    <mergeCell ref="V1926:V1928"/>
    <mergeCell ref="V1929:V1931"/>
    <mergeCell ref="V1932:V1934"/>
    <mergeCell ref="V1938:V1940"/>
    <mergeCell ref="V1941:V1943"/>
    <mergeCell ref="V1944:V1946"/>
    <mergeCell ref="V1947:V1950"/>
    <mergeCell ref="V1951:V1954"/>
    <mergeCell ref="V1955:V1957"/>
    <mergeCell ref="V1958:V1960"/>
    <mergeCell ref="V1961:V1964"/>
    <mergeCell ref="V1965:V1967"/>
    <mergeCell ref="V1968:V1970"/>
    <mergeCell ref="V1971:V1973"/>
    <mergeCell ref="V1974:V1976"/>
    <mergeCell ref="V1977:V1979"/>
    <mergeCell ref="V1980:V1982"/>
    <mergeCell ref="V1983:V1986"/>
    <mergeCell ref="V1987:V1990"/>
    <mergeCell ref="V1991:V1995"/>
    <mergeCell ref="V1996:V1998"/>
    <mergeCell ref="V1999:V2002"/>
    <mergeCell ref="V2003:V2005"/>
    <mergeCell ref="V2006:V2008"/>
    <mergeCell ref="V2009:V2011"/>
    <mergeCell ref="V2012:V2015"/>
    <mergeCell ref="V2016:V2019"/>
    <mergeCell ref="V2020:V2023"/>
    <mergeCell ref="V2026:V2028"/>
    <mergeCell ref="V2029:V2034"/>
    <mergeCell ref="V2035:V2046"/>
    <mergeCell ref="V2047:V2064"/>
    <mergeCell ref="V2065:V2073"/>
    <mergeCell ref="V2074:V2076"/>
    <mergeCell ref="V2078:V2081"/>
    <mergeCell ref="V2082:V2086"/>
    <mergeCell ref="V2087:V2091"/>
    <mergeCell ref="V2092:V2096"/>
    <mergeCell ref="V2097:V2101"/>
    <mergeCell ref="V2102:V2105"/>
    <mergeCell ref="V2106:V2113"/>
    <mergeCell ref="V2114:V2116"/>
    <mergeCell ref="V2145:V2153"/>
    <mergeCell ref="V2154:V2161"/>
    <mergeCell ref="V2170:V2177"/>
    <mergeCell ref="V2178:V2180"/>
    <mergeCell ref="V2181:V2184"/>
    <mergeCell ref="V2185:V2192"/>
    <mergeCell ref="V2194:V2236"/>
    <mergeCell ref="V2237:V2241"/>
    <mergeCell ref="V2242:V2296"/>
    <mergeCell ref="V2297:V2303"/>
    <mergeCell ref="V2305:V2308"/>
    <mergeCell ref="V2309:V2311"/>
    <mergeCell ref="V2312:V2315"/>
    <mergeCell ref="V2316:V2318"/>
    <mergeCell ref="V2319:V2321"/>
    <mergeCell ref="V2325:V2328"/>
    <mergeCell ref="V2329:V2335"/>
    <mergeCell ref="V2336:V2344"/>
    <mergeCell ref="V2345:V2347"/>
    <mergeCell ref="V2348:V2351"/>
    <mergeCell ref="V2352:V2359"/>
    <mergeCell ref="V2360:V2363"/>
    <mergeCell ref="V2364:V2370"/>
    <mergeCell ref="V2371:V2374"/>
    <mergeCell ref="V2375:V2378"/>
    <mergeCell ref="V2380:V2383"/>
    <mergeCell ref="V2385:V2395"/>
    <mergeCell ref="V2396:V2397"/>
    <mergeCell ref="V2399:V2413"/>
    <mergeCell ref="V2415:V2421"/>
    <mergeCell ref="V2435:V2440"/>
    <mergeCell ref="V2441:V2445"/>
    <mergeCell ref="V2446:V2447"/>
    <mergeCell ref="V2448:V2449"/>
    <mergeCell ref="V2456:V2469"/>
    <mergeCell ref="V2478:V2482"/>
    <mergeCell ref="V2483:V2489"/>
    <mergeCell ref="V2490:V2494"/>
    <mergeCell ref="V2495:V2499"/>
    <mergeCell ref="V2500:V2504"/>
    <mergeCell ref="V2505:V2508"/>
    <mergeCell ref="V2520:V2523"/>
    <mergeCell ref="V2524:V2527"/>
    <mergeCell ref="V2528:V2530"/>
    <mergeCell ref="V2531:V2533"/>
    <mergeCell ref="V2534:V2536"/>
    <mergeCell ref="V2537:V2539"/>
    <mergeCell ref="V2540:V2542"/>
    <mergeCell ref="V2543:V2545"/>
    <mergeCell ref="V2546:V2548"/>
    <mergeCell ref="V2549:V2551"/>
    <mergeCell ref="V2552:V2554"/>
    <mergeCell ref="V2558:V2562"/>
    <mergeCell ref="V2563:V2566"/>
    <mergeCell ref="V2567:V2569"/>
    <mergeCell ref="V2570:V2574"/>
    <mergeCell ref="V2590:V2593"/>
    <mergeCell ref="V2594:V2597"/>
    <mergeCell ref="V2619:V2621"/>
    <mergeCell ref="V2622:V2629"/>
    <mergeCell ref="V2630:V2636"/>
    <mergeCell ref="V2637:V2643"/>
    <mergeCell ref="V2644:V2650"/>
    <mergeCell ref="V2651:V2658"/>
    <mergeCell ref="V2663:V2668"/>
    <mergeCell ref="V2669:V2670"/>
    <mergeCell ref="V2671:V2676"/>
    <mergeCell ref="V2678:V2681"/>
    <mergeCell ref="V2682:V2684"/>
    <mergeCell ref="V2689:V2697"/>
    <mergeCell ref="V2698:V2702"/>
    <mergeCell ref="V2703:V2705"/>
    <mergeCell ref="V2709:V2712"/>
    <mergeCell ref="V2713:V2718"/>
    <mergeCell ref="V2719:V2721"/>
    <mergeCell ref="W5:W29"/>
    <mergeCell ref="W30:W34"/>
    <mergeCell ref="W35:W38"/>
    <mergeCell ref="W39:W40"/>
    <mergeCell ref="W41:W44"/>
    <mergeCell ref="W45:W48"/>
    <mergeCell ref="W49:W51"/>
    <mergeCell ref="W52:W55"/>
    <mergeCell ref="W56:W59"/>
    <mergeCell ref="W60:W65"/>
    <mergeCell ref="W66:W77"/>
    <mergeCell ref="W78:W80"/>
    <mergeCell ref="W81:W84"/>
    <mergeCell ref="W86:W87"/>
    <mergeCell ref="W90:W96"/>
    <mergeCell ref="W97:W103"/>
    <mergeCell ref="W104:W108"/>
    <mergeCell ref="W109:W112"/>
    <mergeCell ref="W113:W117"/>
    <mergeCell ref="W118:W122"/>
    <mergeCell ref="W123:W126"/>
    <mergeCell ref="W127:W130"/>
    <mergeCell ref="W131:W134"/>
    <mergeCell ref="W135:W137"/>
    <mergeCell ref="W138:W143"/>
    <mergeCell ref="W144:W149"/>
    <mergeCell ref="W150:W153"/>
    <mergeCell ref="W154:W159"/>
    <mergeCell ref="W160:W164"/>
    <mergeCell ref="W168:W170"/>
    <mergeCell ref="W172:W174"/>
    <mergeCell ref="W175:W177"/>
    <mergeCell ref="W178:W181"/>
    <mergeCell ref="W182:W188"/>
    <mergeCell ref="W189:W190"/>
    <mergeCell ref="W191:W194"/>
    <mergeCell ref="W195:W199"/>
    <mergeCell ref="W203:W206"/>
    <mergeCell ref="W209:W210"/>
    <mergeCell ref="W213:W216"/>
    <mergeCell ref="W218:W221"/>
    <mergeCell ref="W222:W223"/>
    <mergeCell ref="W224:W227"/>
    <mergeCell ref="W228:W230"/>
    <mergeCell ref="W231:W234"/>
    <mergeCell ref="W235:W239"/>
    <mergeCell ref="W240:W247"/>
    <mergeCell ref="W248:W249"/>
    <mergeCell ref="W258:W259"/>
    <mergeCell ref="W260:W261"/>
    <mergeCell ref="W262:W267"/>
    <mergeCell ref="W271:W273"/>
    <mergeCell ref="W274:W276"/>
    <mergeCell ref="W278:W282"/>
    <mergeCell ref="W283:W286"/>
    <mergeCell ref="W293:W297"/>
    <mergeCell ref="W298:W301"/>
    <mergeCell ref="W302:W303"/>
    <mergeCell ref="W304:W307"/>
    <mergeCell ref="W308:W313"/>
    <mergeCell ref="W314:W317"/>
    <mergeCell ref="W318:W321"/>
    <mergeCell ref="W322:W324"/>
    <mergeCell ref="W325:W330"/>
    <mergeCell ref="W332:W336"/>
    <mergeCell ref="W337:W339"/>
    <mergeCell ref="W340:W343"/>
    <mergeCell ref="W344:W349"/>
    <mergeCell ref="W350:W355"/>
    <mergeCell ref="W356:W365"/>
    <mergeCell ref="W366:W371"/>
    <mergeCell ref="W372:W377"/>
    <mergeCell ref="W378:W383"/>
    <mergeCell ref="W384:W389"/>
    <mergeCell ref="W390:W396"/>
    <mergeCell ref="W397:W402"/>
    <mergeCell ref="W403:W408"/>
    <mergeCell ref="W409:W414"/>
    <mergeCell ref="W415:W420"/>
    <mergeCell ref="W421:W426"/>
    <mergeCell ref="W427:W429"/>
    <mergeCell ref="W431:W433"/>
    <mergeCell ref="W434:W436"/>
    <mergeCell ref="W437:W440"/>
    <mergeCell ref="W445:W449"/>
    <mergeCell ref="W450:W451"/>
    <mergeCell ref="W452:W453"/>
    <mergeCell ref="W454:W455"/>
    <mergeCell ref="W456:W457"/>
    <mergeCell ref="W458:W460"/>
    <mergeCell ref="W461:W467"/>
    <mergeCell ref="W469:W472"/>
    <mergeCell ref="W473:W476"/>
    <mergeCell ref="W477:W480"/>
    <mergeCell ref="W481:W484"/>
    <mergeCell ref="W485:W488"/>
    <mergeCell ref="W489:W491"/>
    <mergeCell ref="W492:W497"/>
    <mergeCell ref="W500:W502"/>
    <mergeCell ref="W503:W505"/>
    <mergeCell ref="W506:W508"/>
    <mergeCell ref="W509:W524"/>
    <mergeCell ref="W525:W528"/>
    <mergeCell ref="W532:W535"/>
    <mergeCell ref="W538:W540"/>
    <mergeCell ref="W541:W547"/>
    <mergeCell ref="W548:W550"/>
    <mergeCell ref="W551:W554"/>
    <mergeCell ref="W555:W559"/>
    <mergeCell ref="W561:W563"/>
    <mergeCell ref="W566:W588"/>
    <mergeCell ref="W589:W592"/>
    <mergeCell ref="W593:W594"/>
    <mergeCell ref="W595:W598"/>
    <mergeCell ref="W600:W602"/>
    <mergeCell ref="W604:W613"/>
    <mergeCell ref="W614:W615"/>
    <mergeCell ref="W616:W618"/>
    <mergeCell ref="W621:W624"/>
    <mergeCell ref="W625:W628"/>
    <mergeCell ref="W629:W630"/>
    <mergeCell ref="W631:W639"/>
    <mergeCell ref="W640:W642"/>
    <mergeCell ref="W643:W646"/>
    <mergeCell ref="W647:W650"/>
    <mergeCell ref="W652:W657"/>
    <mergeCell ref="W658:W674"/>
    <mergeCell ref="W675:W680"/>
    <mergeCell ref="W681:W685"/>
    <mergeCell ref="W686:W688"/>
    <mergeCell ref="W689:W694"/>
    <mergeCell ref="W695:W704"/>
    <mergeCell ref="W705:W711"/>
    <mergeCell ref="W712:W794"/>
    <mergeCell ref="W795:W815"/>
    <mergeCell ref="W816:W836"/>
    <mergeCell ref="W837:W867"/>
    <mergeCell ref="W868:W871"/>
    <mergeCell ref="W872:W874"/>
    <mergeCell ref="W875:W877"/>
    <mergeCell ref="W878:W880"/>
    <mergeCell ref="W881:W941"/>
    <mergeCell ref="W942:W947"/>
    <mergeCell ref="W948:W950"/>
    <mergeCell ref="W951:W957"/>
    <mergeCell ref="W959:W964"/>
    <mergeCell ref="W965:W967"/>
    <mergeCell ref="W968:W970"/>
    <mergeCell ref="W971:W973"/>
    <mergeCell ref="W974:W976"/>
    <mergeCell ref="W977:W981"/>
    <mergeCell ref="W982:W986"/>
    <mergeCell ref="W987:W992"/>
    <mergeCell ref="W993:W998"/>
    <mergeCell ref="W999:W1027"/>
    <mergeCell ref="W1028:W1031"/>
    <mergeCell ref="W1032:W1064"/>
    <mergeCell ref="W1065:W1092"/>
    <mergeCell ref="W1093:W1120"/>
    <mergeCell ref="W1121:W1126"/>
    <mergeCell ref="W1127:W1128"/>
    <mergeCell ref="W1129:W1132"/>
    <mergeCell ref="W1133:W1134"/>
    <mergeCell ref="W1135:W1136"/>
    <mergeCell ref="W1137:W1138"/>
    <mergeCell ref="W1139:W1144"/>
    <mergeCell ref="W1145:W1149"/>
    <mergeCell ref="W1150:W1159"/>
    <mergeCell ref="W1160:W1164"/>
    <mergeCell ref="W1165:W1167"/>
    <mergeCell ref="W1168:W1171"/>
    <mergeCell ref="W1172:W1174"/>
    <mergeCell ref="W1175:W1179"/>
    <mergeCell ref="W1180:W1189"/>
    <mergeCell ref="W1190:W1200"/>
    <mergeCell ref="W1201:W1205"/>
    <mergeCell ref="W1206:W1210"/>
    <mergeCell ref="W1211:W1213"/>
    <mergeCell ref="W1214:W1218"/>
    <mergeCell ref="W1219:W1226"/>
    <mergeCell ref="W1227:W1239"/>
    <mergeCell ref="W1240:W1245"/>
    <mergeCell ref="W1246:W1249"/>
    <mergeCell ref="W1250:W1252"/>
    <mergeCell ref="W1253:W1257"/>
    <mergeCell ref="W1258:W1262"/>
    <mergeCell ref="W1263:W1268"/>
    <mergeCell ref="W1269:W1273"/>
    <mergeCell ref="W1274:W1278"/>
    <mergeCell ref="W1279:W1282"/>
    <mergeCell ref="W1283:W1285"/>
    <mergeCell ref="W1286:W1291"/>
    <mergeCell ref="W1292:W1299"/>
    <mergeCell ref="W1300:W1308"/>
    <mergeCell ref="W1309:W1313"/>
    <mergeCell ref="W1314:W1317"/>
    <mergeCell ref="W1318:W1320"/>
    <mergeCell ref="W1321:W1325"/>
    <mergeCell ref="W1326:W1330"/>
    <mergeCell ref="W1331:W1336"/>
    <mergeCell ref="W1337:W1340"/>
    <mergeCell ref="W1341:W1343"/>
    <mergeCell ref="W1344:W1347"/>
    <mergeCell ref="W1348:W1354"/>
    <mergeCell ref="W1355:W1363"/>
    <mergeCell ref="W1364:W1369"/>
    <mergeCell ref="W1370:W1373"/>
    <mergeCell ref="W1374:W1376"/>
    <mergeCell ref="W1377:W1381"/>
    <mergeCell ref="W1382:W1384"/>
    <mergeCell ref="W1385:W1389"/>
    <mergeCell ref="W1390:W1394"/>
    <mergeCell ref="W1395:W1399"/>
    <mergeCell ref="W1400:W1404"/>
    <mergeCell ref="W1405:W1408"/>
    <mergeCell ref="W1409:W1411"/>
    <mergeCell ref="W1412:W1416"/>
    <mergeCell ref="W1417:W1424"/>
    <mergeCell ref="W1425:W1429"/>
    <mergeCell ref="W1430:W1434"/>
    <mergeCell ref="W1435:W1438"/>
    <mergeCell ref="W1439:W1441"/>
    <mergeCell ref="W1442:W1445"/>
    <mergeCell ref="W1446:W1450"/>
    <mergeCell ref="W1451:W1456"/>
    <mergeCell ref="W1457:W1459"/>
    <mergeCell ref="W1460:W1463"/>
    <mergeCell ref="W1464:W1466"/>
    <mergeCell ref="W1467:W1469"/>
    <mergeCell ref="W1470:W1475"/>
    <mergeCell ref="W1476:W1478"/>
    <mergeCell ref="W1479:W1482"/>
    <mergeCell ref="W1483:W1486"/>
    <mergeCell ref="W1487:W1491"/>
    <mergeCell ref="W1492:W1497"/>
    <mergeCell ref="W1498:W1500"/>
    <mergeCell ref="W1501:W1504"/>
    <mergeCell ref="W1505:W1508"/>
    <mergeCell ref="W1509:W1513"/>
    <mergeCell ref="W1514:W1519"/>
    <mergeCell ref="W1524:W1525"/>
    <mergeCell ref="W1526:W1528"/>
    <mergeCell ref="W1529:W1530"/>
    <mergeCell ref="W1531:W1539"/>
    <mergeCell ref="W1540:W1545"/>
    <mergeCell ref="W1547:W1554"/>
    <mergeCell ref="W1555:W1558"/>
    <mergeCell ref="W1561:W1565"/>
    <mergeCell ref="W1566:W1569"/>
    <mergeCell ref="W1570:W1575"/>
    <mergeCell ref="W1577:W1581"/>
    <mergeCell ref="W1583:W1598"/>
    <mergeCell ref="W1599:W1601"/>
    <mergeCell ref="W1602:W1603"/>
    <mergeCell ref="W1604:W1606"/>
    <mergeCell ref="W1607:W1612"/>
    <mergeCell ref="W1614:W1617"/>
    <mergeCell ref="W1618:W1621"/>
    <mergeCell ref="W1623:W1624"/>
    <mergeCell ref="W1625:W1627"/>
    <mergeCell ref="W1628:W1632"/>
    <mergeCell ref="W1633:W1636"/>
    <mergeCell ref="W1637:W1645"/>
    <mergeCell ref="W1646:W1650"/>
    <mergeCell ref="W1651:W1652"/>
    <mergeCell ref="W1653:W1654"/>
    <mergeCell ref="W1655:W1656"/>
    <mergeCell ref="W1657:W1658"/>
    <mergeCell ref="W1659:W1660"/>
    <mergeCell ref="W1661:W1662"/>
    <mergeCell ref="W1663:W1664"/>
    <mergeCell ref="W1665:W1668"/>
    <mergeCell ref="W1669:W1671"/>
    <mergeCell ref="W1672:W1678"/>
    <mergeCell ref="W1679:W1680"/>
    <mergeCell ref="W1681:W1684"/>
    <mergeCell ref="W1685:W1687"/>
    <mergeCell ref="W1688:W1689"/>
    <mergeCell ref="W1690:W1697"/>
    <mergeCell ref="W1698:W1700"/>
    <mergeCell ref="W1701:W1706"/>
    <mergeCell ref="W1708:W1709"/>
    <mergeCell ref="W1710:W1714"/>
    <mergeCell ref="W1716:W1719"/>
    <mergeCell ref="W1720:W1723"/>
    <mergeCell ref="W1731:W1733"/>
    <mergeCell ref="W1736:W1738"/>
    <mergeCell ref="W1743:W1745"/>
    <mergeCell ref="W1746:W1748"/>
    <mergeCell ref="W1749:W1750"/>
    <mergeCell ref="W1751:W1757"/>
    <mergeCell ref="W1758:W1762"/>
    <mergeCell ref="W1763:W1765"/>
    <mergeCell ref="W1766:W1770"/>
    <mergeCell ref="W1771:W1772"/>
    <mergeCell ref="W1773:W1775"/>
    <mergeCell ref="W1777:W1780"/>
    <mergeCell ref="W1781:W1784"/>
    <mergeCell ref="W1785:W1787"/>
    <mergeCell ref="W1788:W1790"/>
    <mergeCell ref="W1791:W1792"/>
    <mergeCell ref="W1793:W1795"/>
    <mergeCell ref="W1803:W1808"/>
    <mergeCell ref="W1809:W1813"/>
    <mergeCell ref="W1814:W1815"/>
    <mergeCell ref="W1816:W1819"/>
    <mergeCell ref="W1821:W1823"/>
    <mergeCell ref="W1825:W1828"/>
    <mergeCell ref="W1829:W1832"/>
    <mergeCell ref="W1833:W1838"/>
    <mergeCell ref="W1839:W1849"/>
    <mergeCell ref="W1850:W1856"/>
    <mergeCell ref="W1857:W1859"/>
    <mergeCell ref="W1860:W1862"/>
    <mergeCell ref="W1863:W1865"/>
    <mergeCell ref="W1867:W1872"/>
    <mergeCell ref="W1873:W1880"/>
    <mergeCell ref="W1881:W1886"/>
    <mergeCell ref="W1888:W1893"/>
    <mergeCell ref="W1894:W1901"/>
    <mergeCell ref="W1902:W1907"/>
    <mergeCell ref="W1908:W1911"/>
    <mergeCell ref="W1912:W1915"/>
    <mergeCell ref="W1916:W1919"/>
    <mergeCell ref="W1920:W1922"/>
    <mergeCell ref="W1923:W1925"/>
    <mergeCell ref="W1926:W1928"/>
    <mergeCell ref="W1929:W1931"/>
    <mergeCell ref="W1932:W1934"/>
    <mergeCell ref="W1938:W1940"/>
    <mergeCell ref="W1941:W1943"/>
    <mergeCell ref="W1944:W1946"/>
    <mergeCell ref="W1947:W1950"/>
    <mergeCell ref="W1951:W1954"/>
    <mergeCell ref="W1955:W1957"/>
    <mergeCell ref="W1958:W1960"/>
    <mergeCell ref="W1961:W1964"/>
    <mergeCell ref="W1965:W1967"/>
    <mergeCell ref="W1968:W1970"/>
    <mergeCell ref="W1971:W1973"/>
    <mergeCell ref="W1974:W1976"/>
    <mergeCell ref="W1977:W1979"/>
    <mergeCell ref="W1980:W1982"/>
    <mergeCell ref="W1983:W1986"/>
    <mergeCell ref="W1987:W1990"/>
    <mergeCell ref="W1991:W1995"/>
    <mergeCell ref="W1996:W1998"/>
    <mergeCell ref="W1999:W2002"/>
    <mergeCell ref="W2003:W2005"/>
    <mergeCell ref="W2006:W2008"/>
    <mergeCell ref="W2009:W2011"/>
    <mergeCell ref="W2012:W2015"/>
    <mergeCell ref="W2016:W2019"/>
    <mergeCell ref="W2020:W2023"/>
    <mergeCell ref="W2026:W2028"/>
    <mergeCell ref="W2029:W2034"/>
    <mergeCell ref="W2035:W2046"/>
    <mergeCell ref="W2047:W2064"/>
    <mergeCell ref="W2065:W2073"/>
    <mergeCell ref="W2074:W2076"/>
    <mergeCell ref="W2078:W2081"/>
    <mergeCell ref="W2082:W2086"/>
    <mergeCell ref="W2087:W2091"/>
    <mergeCell ref="W2092:W2096"/>
    <mergeCell ref="W2097:W2101"/>
    <mergeCell ref="W2102:W2105"/>
    <mergeCell ref="W2106:W2113"/>
    <mergeCell ref="W2114:W2116"/>
    <mergeCell ref="W2145:W2153"/>
    <mergeCell ref="W2154:W2161"/>
    <mergeCell ref="W2170:W2177"/>
    <mergeCell ref="W2178:W2180"/>
    <mergeCell ref="W2181:W2184"/>
    <mergeCell ref="W2185:W2192"/>
    <mergeCell ref="W2194:W2236"/>
    <mergeCell ref="W2237:W2241"/>
    <mergeCell ref="W2242:W2296"/>
    <mergeCell ref="W2297:W2303"/>
    <mergeCell ref="W2305:W2308"/>
    <mergeCell ref="W2309:W2311"/>
    <mergeCell ref="W2312:W2315"/>
    <mergeCell ref="W2316:W2318"/>
    <mergeCell ref="W2319:W2321"/>
    <mergeCell ref="W2325:W2328"/>
    <mergeCell ref="W2329:W2335"/>
    <mergeCell ref="W2336:W2344"/>
    <mergeCell ref="W2345:W2347"/>
    <mergeCell ref="W2348:W2351"/>
    <mergeCell ref="W2352:W2359"/>
    <mergeCell ref="W2360:W2363"/>
    <mergeCell ref="W2364:W2370"/>
    <mergeCell ref="W2371:W2374"/>
    <mergeCell ref="W2375:W2378"/>
    <mergeCell ref="W2380:W2383"/>
    <mergeCell ref="W2385:W2395"/>
    <mergeCell ref="W2396:W2397"/>
    <mergeCell ref="W2399:W2413"/>
    <mergeCell ref="W2415:W2421"/>
    <mergeCell ref="W2435:W2440"/>
    <mergeCell ref="W2441:W2445"/>
    <mergeCell ref="W2446:W2447"/>
    <mergeCell ref="W2448:W2449"/>
    <mergeCell ref="W2456:W2469"/>
    <mergeCell ref="W2478:W2482"/>
    <mergeCell ref="W2483:W2489"/>
    <mergeCell ref="W2490:W2494"/>
    <mergeCell ref="W2495:W2499"/>
    <mergeCell ref="W2500:W2504"/>
    <mergeCell ref="W2505:W2508"/>
    <mergeCell ref="W2520:W2523"/>
    <mergeCell ref="W2524:W2527"/>
    <mergeCell ref="W2528:W2530"/>
    <mergeCell ref="W2531:W2533"/>
    <mergeCell ref="W2534:W2536"/>
    <mergeCell ref="W2537:W2539"/>
    <mergeCell ref="W2540:W2542"/>
    <mergeCell ref="W2543:W2545"/>
    <mergeCell ref="W2546:W2548"/>
    <mergeCell ref="W2549:W2551"/>
    <mergeCell ref="W2552:W2554"/>
    <mergeCell ref="W2558:W2562"/>
    <mergeCell ref="W2563:W2566"/>
    <mergeCell ref="W2570:W2574"/>
    <mergeCell ref="W2590:W2593"/>
    <mergeCell ref="W2594:W2597"/>
    <mergeCell ref="W2619:W2621"/>
    <mergeCell ref="W2630:W2636"/>
    <mergeCell ref="W2637:W2643"/>
    <mergeCell ref="W2644:W2650"/>
    <mergeCell ref="W2651:W2658"/>
    <mergeCell ref="W2663:W2668"/>
    <mergeCell ref="W2669:W2670"/>
    <mergeCell ref="W2671:W2676"/>
    <mergeCell ref="W2678:W2681"/>
    <mergeCell ref="W2682:W2684"/>
    <mergeCell ref="W2689:W2697"/>
    <mergeCell ref="W2698:W2702"/>
    <mergeCell ref="W2703:W2705"/>
    <mergeCell ref="W2709:W2712"/>
    <mergeCell ref="W2713:W2718"/>
    <mergeCell ref="W2719:W2721"/>
    <mergeCell ref="X5:X29"/>
    <mergeCell ref="X30:X34"/>
    <mergeCell ref="X35:X38"/>
    <mergeCell ref="X39:X40"/>
    <mergeCell ref="X41:X44"/>
    <mergeCell ref="X45:X48"/>
    <mergeCell ref="X49:X51"/>
    <mergeCell ref="X52:X55"/>
    <mergeCell ref="X56:X59"/>
    <mergeCell ref="X60:X65"/>
    <mergeCell ref="X66:X77"/>
    <mergeCell ref="X78:X80"/>
    <mergeCell ref="X81:X84"/>
    <mergeCell ref="X86:X87"/>
    <mergeCell ref="X90:X96"/>
    <mergeCell ref="X97:X103"/>
    <mergeCell ref="X104:X108"/>
    <mergeCell ref="X109:X112"/>
    <mergeCell ref="X113:X117"/>
    <mergeCell ref="X118:X122"/>
    <mergeCell ref="X123:X126"/>
    <mergeCell ref="X127:X130"/>
    <mergeCell ref="X131:X134"/>
    <mergeCell ref="X135:X137"/>
    <mergeCell ref="X138:X143"/>
    <mergeCell ref="X144:X149"/>
    <mergeCell ref="X150:X153"/>
    <mergeCell ref="X154:X159"/>
    <mergeCell ref="X160:X164"/>
    <mergeCell ref="X168:X170"/>
    <mergeCell ref="X172:X174"/>
    <mergeCell ref="X175:X177"/>
    <mergeCell ref="X178:X181"/>
    <mergeCell ref="X182:X188"/>
    <mergeCell ref="X189:X190"/>
    <mergeCell ref="X191:X194"/>
    <mergeCell ref="X195:X199"/>
    <mergeCell ref="X203:X206"/>
    <mergeCell ref="X209:X210"/>
    <mergeCell ref="X213:X216"/>
    <mergeCell ref="X218:X221"/>
    <mergeCell ref="X222:X223"/>
    <mergeCell ref="X224:X227"/>
    <mergeCell ref="X228:X230"/>
    <mergeCell ref="X231:X234"/>
    <mergeCell ref="X235:X239"/>
    <mergeCell ref="X240:X247"/>
    <mergeCell ref="X248:X249"/>
    <mergeCell ref="X258:X259"/>
    <mergeCell ref="X260:X261"/>
    <mergeCell ref="X262:X267"/>
    <mergeCell ref="X268:X269"/>
    <mergeCell ref="X271:X273"/>
    <mergeCell ref="X274:X276"/>
    <mergeCell ref="X283:X286"/>
    <mergeCell ref="X293:X297"/>
    <mergeCell ref="X298:X301"/>
    <mergeCell ref="X302:X303"/>
    <mergeCell ref="X304:X307"/>
    <mergeCell ref="X308:X313"/>
    <mergeCell ref="X314:X317"/>
    <mergeCell ref="X318:X321"/>
    <mergeCell ref="X322:X324"/>
    <mergeCell ref="X325:X330"/>
    <mergeCell ref="X332:X336"/>
    <mergeCell ref="X337:X339"/>
    <mergeCell ref="X340:X343"/>
    <mergeCell ref="X344:X349"/>
    <mergeCell ref="X350:X355"/>
    <mergeCell ref="X356:X365"/>
    <mergeCell ref="X366:X371"/>
    <mergeCell ref="X372:X377"/>
    <mergeCell ref="X378:X383"/>
    <mergeCell ref="X384:X389"/>
    <mergeCell ref="X390:X396"/>
    <mergeCell ref="X397:X402"/>
    <mergeCell ref="X403:X408"/>
    <mergeCell ref="X409:X414"/>
    <mergeCell ref="X415:X420"/>
    <mergeCell ref="X421:X426"/>
    <mergeCell ref="X427:X429"/>
    <mergeCell ref="X431:X433"/>
    <mergeCell ref="X434:X436"/>
    <mergeCell ref="X437:X440"/>
    <mergeCell ref="X445:X449"/>
    <mergeCell ref="X450:X451"/>
    <mergeCell ref="X452:X453"/>
    <mergeCell ref="X454:X455"/>
    <mergeCell ref="X456:X457"/>
    <mergeCell ref="X458:X460"/>
    <mergeCell ref="X461:X468"/>
    <mergeCell ref="X469:X472"/>
    <mergeCell ref="X473:X476"/>
    <mergeCell ref="X477:X480"/>
    <mergeCell ref="X481:X484"/>
    <mergeCell ref="X485:X488"/>
    <mergeCell ref="X489:X491"/>
    <mergeCell ref="X492:X497"/>
    <mergeCell ref="X500:X502"/>
    <mergeCell ref="X503:X505"/>
    <mergeCell ref="X506:X508"/>
    <mergeCell ref="X509:X524"/>
    <mergeCell ref="X525:X528"/>
    <mergeCell ref="X532:X535"/>
    <mergeCell ref="X538:X540"/>
    <mergeCell ref="X541:X547"/>
    <mergeCell ref="X548:X550"/>
    <mergeCell ref="X551:X554"/>
    <mergeCell ref="X555:X559"/>
    <mergeCell ref="X561:X563"/>
    <mergeCell ref="X566:X588"/>
    <mergeCell ref="X589:X592"/>
    <mergeCell ref="X593:X594"/>
    <mergeCell ref="X595:X598"/>
    <mergeCell ref="X600:X602"/>
    <mergeCell ref="X604:X613"/>
    <mergeCell ref="X614:X615"/>
    <mergeCell ref="X616:X618"/>
    <mergeCell ref="X621:X624"/>
    <mergeCell ref="X625:X628"/>
    <mergeCell ref="X629:X630"/>
    <mergeCell ref="X631:X639"/>
    <mergeCell ref="X640:X642"/>
    <mergeCell ref="X643:X646"/>
    <mergeCell ref="X647:X650"/>
    <mergeCell ref="X652:X657"/>
    <mergeCell ref="X658:X674"/>
    <mergeCell ref="X675:X680"/>
    <mergeCell ref="X681:X685"/>
    <mergeCell ref="X686:X688"/>
    <mergeCell ref="X689:X694"/>
    <mergeCell ref="X695:X704"/>
    <mergeCell ref="X705:X711"/>
    <mergeCell ref="X712:X794"/>
    <mergeCell ref="X795:X815"/>
    <mergeCell ref="X816:X836"/>
    <mergeCell ref="X837:X867"/>
    <mergeCell ref="X868:X871"/>
    <mergeCell ref="X872:X874"/>
    <mergeCell ref="X875:X877"/>
    <mergeCell ref="X878:X880"/>
    <mergeCell ref="X881:X941"/>
    <mergeCell ref="X942:X947"/>
    <mergeCell ref="X948:X950"/>
    <mergeCell ref="X951:X957"/>
    <mergeCell ref="X959:X964"/>
    <mergeCell ref="X965:X967"/>
    <mergeCell ref="X968:X970"/>
    <mergeCell ref="X971:X973"/>
    <mergeCell ref="X974:X976"/>
    <mergeCell ref="X977:X981"/>
    <mergeCell ref="X982:X986"/>
    <mergeCell ref="X987:X992"/>
    <mergeCell ref="X993:X998"/>
    <mergeCell ref="X999:X1027"/>
    <mergeCell ref="X1028:X1031"/>
    <mergeCell ref="X1032:X1064"/>
    <mergeCell ref="X1065:X1092"/>
    <mergeCell ref="X1093:X1120"/>
    <mergeCell ref="X1121:X1126"/>
    <mergeCell ref="X1129:X1132"/>
    <mergeCell ref="X1133:X1134"/>
    <mergeCell ref="X1135:X1136"/>
    <mergeCell ref="X1139:X1144"/>
    <mergeCell ref="X1145:X1149"/>
    <mergeCell ref="X1150:X1159"/>
    <mergeCell ref="X1160:X1164"/>
    <mergeCell ref="X1165:X1167"/>
    <mergeCell ref="X1168:X1171"/>
    <mergeCell ref="X1172:X1174"/>
    <mergeCell ref="X1175:X1179"/>
    <mergeCell ref="X1180:X1189"/>
    <mergeCell ref="X1190:X1200"/>
    <mergeCell ref="X1201:X1205"/>
    <mergeCell ref="X1206:X1210"/>
    <mergeCell ref="X1211:X1213"/>
    <mergeCell ref="X1214:X1218"/>
    <mergeCell ref="X1219:X1226"/>
    <mergeCell ref="X1227:X1239"/>
    <mergeCell ref="X1240:X1245"/>
    <mergeCell ref="X1246:X1249"/>
    <mergeCell ref="X1250:X1252"/>
    <mergeCell ref="X1253:X1257"/>
    <mergeCell ref="X1258:X1262"/>
    <mergeCell ref="X1263:X1268"/>
    <mergeCell ref="X1269:X1273"/>
    <mergeCell ref="X1274:X1278"/>
    <mergeCell ref="X1279:X1282"/>
    <mergeCell ref="X1283:X1285"/>
    <mergeCell ref="X1286:X1291"/>
    <mergeCell ref="X1292:X1299"/>
    <mergeCell ref="X1300:X1308"/>
    <mergeCell ref="X1309:X1313"/>
    <mergeCell ref="X1314:X1317"/>
    <mergeCell ref="X1318:X1320"/>
    <mergeCell ref="X1321:X1325"/>
    <mergeCell ref="X1326:X1330"/>
    <mergeCell ref="X1331:X1336"/>
    <mergeCell ref="X1337:X1340"/>
    <mergeCell ref="X1341:X1343"/>
    <mergeCell ref="X1344:X1347"/>
    <mergeCell ref="X1348:X1354"/>
    <mergeCell ref="X1355:X1363"/>
    <mergeCell ref="X1364:X1369"/>
    <mergeCell ref="X1370:X1373"/>
    <mergeCell ref="X1374:X1376"/>
    <mergeCell ref="X1377:X1381"/>
    <mergeCell ref="X1382:X1384"/>
    <mergeCell ref="X1385:X1389"/>
    <mergeCell ref="X1390:X1394"/>
    <mergeCell ref="X1395:X1399"/>
    <mergeCell ref="X1400:X1404"/>
    <mergeCell ref="X1405:X1408"/>
    <mergeCell ref="X1409:X1411"/>
    <mergeCell ref="X1412:X1416"/>
    <mergeCell ref="X1417:X1424"/>
    <mergeCell ref="X1425:X1429"/>
    <mergeCell ref="X1430:X1434"/>
    <mergeCell ref="X1435:X1438"/>
    <mergeCell ref="X1439:X1441"/>
    <mergeCell ref="X1442:X1445"/>
    <mergeCell ref="X1446:X1450"/>
    <mergeCell ref="X1451:X1456"/>
    <mergeCell ref="X1457:X1459"/>
    <mergeCell ref="X1460:X1463"/>
    <mergeCell ref="X1464:X1466"/>
    <mergeCell ref="X1467:X1469"/>
    <mergeCell ref="X1470:X1475"/>
    <mergeCell ref="X1487:X1491"/>
    <mergeCell ref="X1498:X1500"/>
    <mergeCell ref="X1540:X1545"/>
    <mergeCell ref="X1547:X1554"/>
    <mergeCell ref="X1669:X1671"/>
    <mergeCell ref="X1672:X1678"/>
    <mergeCell ref="X1688:X1689"/>
    <mergeCell ref="X1690:X1697"/>
    <mergeCell ref="X1698:X1700"/>
    <mergeCell ref="X1701:X1706"/>
    <mergeCell ref="X1708:X1709"/>
    <mergeCell ref="X1710:X1714"/>
    <mergeCell ref="X1716:X1719"/>
    <mergeCell ref="X1720:X1723"/>
    <mergeCell ref="X1749:X1750"/>
    <mergeCell ref="X1751:X1757"/>
    <mergeCell ref="X1758:X1762"/>
    <mergeCell ref="X1763:X1765"/>
    <mergeCell ref="X1766:X1770"/>
    <mergeCell ref="X1785:X1787"/>
    <mergeCell ref="X1803:X1808"/>
    <mergeCell ref="X1821:X1823"/>
    <mergeCell ref="X1829:X1832"/>
    <mergeCell ref="X1833:X1838"/>
    <mergeCell ref="X1839:X1849"/>
    <mergeCell ref="X1850:X1856"/>
    <mergeCell ref="X1857:X1859"/>
    <mergeCell ref="X1860:X1862"/>
    <mergeCell ref="X1863:X1865"/>
    <mergeCell ref="X1908:X1911"/>
    <mergeCell ref="X1912:X1915"/>
    <mergeCell ref="X1916:X1919"/>
    <mergeCell ref="X1938:X1940"/>
    <mergeCell ref="X1941:X1943"/>
    <mergeCell ref="X1944:X1946"/>
    <mergeCell ref="X1961:X1964"/>
    <mergeCell ref="X1974:X1976"/>
    <mergeCell ref="X1977:X1979"/>
    <mergeCell ref="X1980:X1982"/>
    <mergeCell ref="X1983:X1986"/>
    <mergeCell ref="X1987:X1990"/>
    <mergeCell ref="X1991:X1995"/>
    <mergeCell ref="X1996:X1998"/>
    <mergeCell ref="X1999:X2002"/>
    <mergeCell ref="X2003:X2005"/>
    <mergeCell ref="X2006:X2008"/>
    <mergeCell ref="X2009:X2011"/>
    <mergeCell ref="X2012:X2015"/>
    <mergeCell ref="X2016:X2019"/>
    <mergeCell ref="X2020:X2023"/>
    <mergeCell ref="X2026:X2028"/>
    <mergeCell ref="X2029:X2034"/>
    <mergeCell ref="X2035:X2046"/>
    <mergeCell ref="X2047:X2064"/>
    <mergeCell ref="X2065:X2073"/>
    <mergeCell ref="X2074:X2076"/>
    <mergeCell ref="X2078:X2081"/>
    <mergeCell ref="X2082:X2086"/>
    <mergeCell ref="X2087:X2091"/>
    <mergeCell ref="X2092:X2096"/>
    <mergeCell ref="X2097:X2101"/>
    <mergeCell ref="X2102:X2105"/>
    <mergeCell ref="X2106:X2113"/>
    <mergeCell ref="X2114:X2116"/>
    <mergeCell ref="X2145:X2153"/>
    <mergeCell ref="X2154:X2161"/>
    <mergeCell ref="X2170:X2177"/>
    <mergeCell ref="X2178:X2180"/>
    <mergeCell ref="X2181:X2184"/>
    <mergeCell ref="X2185:X2192"/>
    <mergeCell ref="X2194:X2236"/>
    <mergeCell ref="X2237:X2241"/>
    <mergeCell ref="X2242:X2296"/>
    <mergeCell ref="X2297:X2303"/>
    <mergeCell ref="X2305:X2308"/>
    <mergeCell ref="X2309:X2311"/>
    <mergeCell ref="X2312:X2315"/>
    <mergeCell ref="X2316:X2318"/>
    <mergeCell ref="X2319:X2321"/>
    <mergeCell ref="X2325:X2328"/>
    <mergeCell ref="X2329:X2335"/>
    <mergeCell ref="X2336:X2344"/>
    <mergeCell ref="X2345:X2347"/>
    <mergeCell ref="X2348:X2351"/>
    <mergeCell ref="X2352:X2359"/>
    <mergeCell ref="X2360:X2363"/>
    <mergeCell ref="X2364:X2370"/>
    <mergeCell ref="X2371:X2374"/>
    <mergeCell ref="X2375:X2378"/>
    <mergeCell ref="X2380:X2383"/>
    <mergeCell ref="X2385:X2395"/>
    <mergeCell ref="X2396:X2397"/>
    <mergeCell ref="X2399:X2413"/>
    <mergeCell ref="X2415:X2421"/>
    <mergeCell ref="X2435:X2440"/>
    <mergeCell ref="X2441:X2445"/>
    <mergeCell ref="X2446:X2447"/>
    <mergeCell ref="X2448:X2449"/>
    <mergeCell ref="X2456:X2469"/>
    <mergeCell ref="X2478:X2482"/>
    <mergeCell ref="X2483:X2489"/>
    <mergeCell ref="X2490:X2494"/>
    <mergeCell ref="X2495:X2499"/>
    <mergeCell ref="X2500:X2504"/>
    <mergeCell ref="X2505:X2508"/>
    <mergeCell ref="X2520:X2523"/>
    <mergeCell ref="X2524:X2527"/>
    <mergeCell ref="X2528:X2530"/>
    <mergeCell ref="X2531:X2533"/>
    <mergeCell ref="X2534:X2536"/>
    <mergeCell ref="X2537:X2539"/>
    <mergeCell ref="X2540:X2542"/>
    <mergeCell ref="X2543:X2545"/>
    <mergeCell ref="X2546:X2548"/>
    <mergeCell ref="X2549:X2551"/>
    <mergeCell ref="X2552:X2554"/>
    <mergeCell ref="X2558:X2562"/>
    <mergeCell ref="X2563:X2566"/>
    <mergeCell ref="X2570:X2574"/>
    <mergeCell ref="X2590:X2593"/>
    <mergeCell ref="X2594:X2597"/>
    <mergeCell ref="X2619:X2621"/>
    <mergeCell ref="X2630:X2636"/>
    <mergeCell ref="X2637:X2643"/>
    <mergeCell ref="X2644:X2650"/>
    <mergeCell ref="X2651:X2658"/>
    <mergeCell ref="X2663:X2668"/>
    <mergeCell ref="X2669:X2670"/>
    <mergeCell ref="X2671:X2676"/>
    <mergeCell ref="X2678:X2681"/>
    <mergeCell ref="X2682:X2684"/>
    <mergeCell ref="X2689:X2697"/>
    <mergeCell ref="X2698:X2702"/>
    <mergeCell ref="X2703:X2705"/>
    <mergeCell ref="X2709:X2712"/>
    <mergeCell ref="X2713:X2718"/>
    <mergeCell ref="X2719:X2721"/>
    <mergeCell ref="Y66:Y77"/>
    <mergeCell ref="Y104:Y108"/>
    <mergeCell ref="Y109:Y112"/>
    <mergeCell ref="Y113:Y117"/>
    <mergeCell ref="Y118:Y122"/>
    <mergeCell ref="Y123:Y126"/>
    <mergeCell ref="Y127:Y130"/>
    <mergeCell ref="Y304:Y307"/>
    <mergeCell ref="Y308:Y313"/>
    <mergeCell ref="Y314:Y317"/>
    <mergeCell ref="Y318:Y321"/>
    <mergeCell ref="Y322:Y324"/>
    <mergeCell ref="Y325:Y330"/>
    <mergeCell ref="Y337:Y339"/>
    <mergeCell ref="Y340:Y343"/>
    <mergeCell ref="Y344:Y349"/>
    <mergeCell ref="Y350:Y355"/>
    <mergeCell ref="Y356:Y365"/>
    <mergeCell ref="Y366:Y371"/>
    <mergeCell ref="Y372:Y377"/>
    <mergeCell ref="Y378:Y383"/>
    <mergeCell ref="Y384:Y389"/>
    <mergeCell ref="Y390:Y396"/>
    <mergeCell ref="Y397:Y402"/>
    <mergeCell ref="Y403:Y408"/>
    <mergeCell ref="Y409:Y414"/>
    <mergeCell ref="Y415:Y420"/>
    <mergeCell ref="Y421:Y426"/>
    <mergeCell ref="Y427:Y429"/>
    <mergeCell ref="Y492:Y497"/>
    <mergeCell ref="Y503:Y505"/>
    <mergeCell ref="Y506:Y508"/>
    <mergeCell ref="Y509:Y524"/>
    <mergeCell ref="Y541:Y547"/>
    <mergeCell ref="Y566:Y588"/>
    <mergeCell ref="Y589:Y592"/>
    <mergeCell ref="Y600:Y602"/>
    <mergeCell ref="Y658:Y674"/>
    <mergeCell ref="Y689:Y694"/>
    <mergeCell ref="Y695:Y704"/>
    <mergeCell ref="Y705:Y711"/>
    <mergeCell ref="Y712:Y794"/>
    <mergeCell ref="Y881:Y941"/>
    <mergeCell ref="Y977:Y981"/>
    <mergeCell ref="Y982:Y986"/>
    <mergeCell ref="Y987:Y992"/>
    <mergeCell ref="Y993:Y998"/>
    <mergeCell ref="Y999:Y1027"/>
    <mergeCell ref="Y1028:Y1031"/>
    <mergeCell ref="Y1032:Y1064"/>
    <mergeCell ref="Y1065:Y1092"/>
    <mergeCell ref="Y1093:Y1120"/>
    <mergeCell ref="Y1145:Y1149"/>
    <mergeCell ref="Y1150:Y1159"/>
    <mergeCell ref="Y1160:Y1164"/>
    <mergeCell ref="Y1165:Y1167"/>
    <mergeCell ref="Y1168:Y1171"/>
    <mergeCell ref="Y1172:Y1174"/>
    <mergeCell ref="Y1175:Y1179"/>
    <mergeCell ref="Y1180:Y1189"/>
    <mergeCell ref="Y1190:Y1200"/>
    <mergeCell ref="Y1201:Y1205"/>
    <mergeCell ref="Y1206:Y1210"/>
    <mergeCell ref="Y1211:Y1213"/>
    <mergeCell ref="Y1214:Y1218"/>
    <mergeCell ref="Y1219:Y1226"/>
    <mergeCell ref="Y1227:Y1239"/>
    <mergeCell ref="Y1240:Y1245"/>
    <mergeCell ref="Y1246:Y1249"/>
    <mergeCell ref="Y1250:Y1252"/>
    <mergeCell ref="Y1253:Y1257"/>
    <mergeCell ref="Y1258:Y1262"/>
    <mergeCell ref="Y1263:Y1268"/>
    <mergeCell ref="Y1269:Y1273"/>
    <mergeCell ref="Y1274:Y1278"/>
    <mergeCell ref="Y1279:Y1282"/>
    <mergeCell ref="Y1283:Y1285"/>
    <mergeCell ref="Y1286:Y1291"/>
    <mergeCell ref="Y1292:Y1299"/>
    <mergeCell ref="Y1300:Y1308"/>
    <mergeCell ref="Y1309:Y1313"/>
    <mergeCell ref="Y1314:Y1317"/>
    <mergeCell ref="Y1318:Y1320"/>
    <mergeCell ref="Y1321:Y1325"/>
    <mergeCell ref="Y1326:Y1330"/>
    <mergeCell ref="Y1331:Y1336"/>
    <mergeCell ref="Y1337:Y1340"/>
    <mergeCell ref="Y1341:Y1343"/>
    <mergeCell ref="Y1344:Y1347"/>
    <mergeCell ref="Y1348:Y1354"/>
    <mergeCell ref="Y1355:Y1363"/>
    <mergeCell ref="Y1364:Y1369"/>
    <mergeCell ref="Y1370:Y1373"/>
    <mergeCell ref="Y1374:Y1376"/>
    <mergeCell ref="Y1377:Y1381"/>
    <mergeCell ref="Y1382:Y1384"/>
    <mergeCell ref="Y1385:Y1389"/>
    <mergeCell ref="Y1390:Y1394"/>
    <mergeCell ref="Y1395:Y1399"/>
    <mergeCell ref="Y1400:Y1404"/>
    <mergeCell ref="Y1405:Y1408"/>
    <mergeCell ref="Y1409:Y1411"/>
    <mergeCell ref="Y1412:Y1416"/>
    <mergeCell ref="Y1417:Y1424"/>
    <mergeCell ref="Y1425:Y1429"/>
    <mergeCell ref="Y1430:Y1434"/>
    <mergeCell ref="Y1435:Y1438"/>
    <mergeCell ref="Y1439:Y1441"/>
    <mergeCell ref="Y1442:Y1445"/>
    <mergeCell ref="Y1446:Y1450"/>
    <mergeCell ref="Y1470:Y1475"/>
    <mergeCell ref="Y1498:Y1500"/>
    <mergeCell ref="Y1540:Y1545"/>
    <mergeCell ref="Y1547:Y1554"/>
    <mergeCell ref="Y1672:Y1678"/>
    <mergeCell ref="Y1690:Y1697"/>
    <mergeCell ref="Y1698:Y1700"/>
    <mergeCell ref="Y1701:Y1706"/>
    <mergeCell ref="Y1708:Y1709"/>
    <mergeCell ref="Y1716:Y1719"/>
    <mergeCell ref="Y1720:Y1723"/>
    <mergeCell ref="Y1749:Y1750"/>
    <mergeCell ref="Y1751:Y1757"/>
    <mergeCell ref="Y1758:Y1762"/>
    <mergeCell ref="Y1763:Y1765"/>
    <mergeCell ref="Y1785:Y1787"/>
    <mergeCell ref="Y1821:Y1823"/>
    <mergeCell ref="Y1833:Y1838"/>
    <mergeCell ref="Y1839:Y1849"/>
    <mergeCell ref="Y1850:Y1856"/>
    <mergeCell ref="Y1857:Y1859"/>
    <mergeCell ref="Y1860:Y1862"/>
    <mergeCell ref="Y1863:Y1865"/>
    <mergeCell ref="Y1961:Y1964"/>
    <mergeCell ref="Y1983:Y1986"/>
    <mergeCell ref="Y1987:Y1990"/>
    <mergeCell ref="Y1991:Y1995"/>
    <mergeCell ref="Y1996:Y1998"/>
    <mergeCell ref="Y1999:Y2002"/>
    <mergeCell ref="Y2003:Y2005"/>
    <mergeCell ref="Y2006:Y2008"/>
    <mergeCell ref="Y2009:Y2011"/>
    <mergeCell ref="Y2012:Y2015"/>
    <mergeCell ref="Y2016:Y2019"/>
    <mergeCell ref="Y2020:Y2023"/>
    <mergeCell ref="Y2026:Y2028"/>
    <mergeCell ref="Y2029:Y2034"/>
    <mergeCell ref="Y2035:Y2046"/>
    <mergeCell ref="Y2047:Y2064"/>
    <mergeCell ref="Y2065:Y2073"/>
    <mergeCell ref="Y2074:Y2076"/>
    <mergeCell ref="Y2078:Y2081"/>
    <mergeCell ref="Y2082:Y2086"/>
    <mergeCell ref="Y2087:Y2091"/>
    <mergeCell ref="Y2092:Y2096"/>
    <mergeCell ref="Y2097:Y2101"/>
    <mergeCell ref="Y2102:Y2105"/>
    <mergeCell ref="Y2106:Y2113"/>
    <mergeCell ref="Y2114:Y2116"/>
    <mergeCell ref="Y2135:Y2140"/>
    <mergeCell ref="Y2154:Y2161"/>
    <mergeCell ref="Y2170:Y2177"/>
    <mergeCell ref="Y2194:Y2236"/>
    <mergeCell ref="Y2237:Y2241"/>
    <mergeCell ref="Y2242:Y2296"/>
    <mergeCell ref="Y2297:Y2303"/>
    <mergeCell ref="Y2305:Y2308"/>
    <mergeCell ref="Y2336:Y2344"/>
    <mergeCell ref="Y2352:Y2359"/>
    <mergeCell ref="Y2360:Y2363"/>
    <mergeCell ref="Y2364:Y2370"/>
    <mergeCell ref="Y2371:Y2374"/>
    <mergeCell ref="Y2375:Y2378"/>
    <mergeCell ref="Y2380:Y2383"/>
    <mergeCell ref="Y2399:Y2413"/>
    <mergeCell ref="Y2415:Y2421"/>
    <mergeCell ref="Y2456:Y2469"/>
    <mergeCell ref="Y2500:Y2504"/>
    <mergeCell ref="Y2630:Y2636"/>
    <mergeCell ref="Y2663:Y2668"/>
    <mergeCell ref="Y2669:Y2670"/>
    <mergeCell ref="Y2689:Y2697"/>
    <mergeCell ref="Y2703:Y2705"/>
    <mergeCell ref="Y2709:Y2712"/>
    <mergeCell ref="Y2713:Y2718"/>
    <mergeCell ref="Y2719:Y2721"/>
    <mergeCell ref="Z881:Z941"/>
    <mergeCell ref="Z1065:Z1092"/>
    <mergeCell ref="Z1093:Z1120"/>
    <mergeCell ref="Z1214:Z1218"/>
    <mergeCell ref="Z1348:Z1354"/>
    <mergeCell ref="Z1355:Z1363"/>
    <mergeCell ref="Z1364:Z1369"/>
    <mergeCell ref="Z1370:Z1373"/>
    <mergeCell ref="Z1374:Z1376"/>
    <mergeCell ref="Z1377:Z1381"/>
    <mergeCell ref="Z1382:Z1384"/>
    <mergeCell ref="Z1385:Z1389"/>
    <mergeCell ref="Z1390:Z1394"/>
    <mergeCell ref="Z1395:Z1399"/>
    <mergeCell ref="Z1400:Z1404"/>
    <mergeCell ref="Z1405:Z1408"/>
    <mergeCell ref="Z1409:Z1411"/>
    <mergeCell ref="Z1412:Z1416"/>
    <mergeCell ref="Z1417:Z1424"/>
    <mergeCell ref="Z1425:Z1429"/>
    <mergeCell ref="Z1430:Z1434"/>
    <mergeCell ref="Z2689:Z2697"/>
    <mergeCell ref="AA5:AA29"/>
    <mergeCell ref="AA30:AA34"/>
    <mergeCell ref="AA35:AA38"/>
    <mergeCell ref="AA39:AA40"/>
    <mergeCell ref="AA41:AA44"/>
    <mergeCell ref="AA45:AA48"/>
    <mergeCell ref="AA49:AA51"/>
    <mergeCell ref="AA52:AA55"/>
    <mergeCell ref="AA56:AA59"/>
    <mergeCell ref="AA60:AA65"/>
    <mergeCell ref="AA66:AA77"/>
    <mergeCell ref="AA78:AA80"/>
    <mergeCell ref="AA81:AA84"/>
    <mergeCell ref="AA86:AA87"/>
    <mergeCell ref="AA90:AA96"/>
    <mergeCell ref="AA97:AA103"/>
    <mergeCell ref="AA104:AA108"/>
    <mergeCell ref="AA109:AA112"/>
    <mergeCell ref="AA113:AA117"/>
    <mergeCell ref="AA118:AA122"/>
    <mergeCell ref="AA123:AA126"/>
    <mergeCell ref="AA127:AA130"/>
    <mergeCell ref="AA131:AA134"/>
    <mergeCell ref="AA135:AA137"/>
    <mergeCell ref="AA138:AA143"/>
    <mergeCell ref="AA144:AA149"/>
    <mergeCell ref="AA150:AA153"/>
    <mergeCell ref="AA154:AA159"/>
    <mergeCell ref="AA160:AA164"/>
    <mergeCell ref="AA168:AA170"/>
    <mergeCell ref="AA172:AA174"/>
    <mergeCell ref="AA175:AA177"/>
    <mergeCell ref="AA178:AA181"/>
    <mergeCell ref="AA182:AA188"/>
    <mergeCell ref="AA189:AA190"/>
    <mergeCell ref="AA191:AA194"/>
    <mergeCell ref="AA195:AA199"/>
    <mergeCell ref="AA203:AA206"/>
    <mergeCell ref="AA209:AA210"/>
    <mergeCell ref="AA213:AA216"/>
    <mergeCell ref="AA218:AA221"/>
    <mergeCell ref="AA222:AA223"/>
    <mergeCell ref="AA224:AA227"/>
    <mergeCell ref="AA228:AA230"/>
    <mergeCell ref="AA231:AA234"/>
    <mergeCell ref="AA235:AA239"/>
    <mergeCell ref="AA240:AA247"/>
    <mergeCell ref="AA248:AA249"/>
    <mergeCell ref="AA258:AA259"/>
    <mergeCell ref="AA260:AA261"/>
    <mergeCell ref="AA262:AA267"/>
    <mergeCell ref="AA271:AA273"/>
    <mergeCell ref="AA274:AA276"/>
    <mergeCell ref="AA283:AA286"/>
    <mergeCell ref="AA293:AA297"/>
    <mergeCell ref="AA298:AA301"/>
    <mergeCell ref="AA302:AA303"/>
    <mergeCell ref="AA304:AA307"/>
    <mergeCell ref="AA308:AA313"/>
    <mergeCell ref="AA314:AA317"/>
    <mergeCell ref="AA318:AA321"/>
    <mergeCell ref="AA322:AA324"/>
    <mergeCell ref="AA325:AA330"/>
    <mergeCell ref="AA332:AA336"/>
    <mergeCell ref="AA337:AA339"/>
    <mergeCell ref="AA340:AA343"/>
    <mergeCell ref="AA344:AA349"/>
    <mergeCell ref="AA350:AA355"/>
    <mergeCell ref="AA356:AA365"/>
    <mergeCell ref="AA366:AA371"/>
    <mergeCell ref="AA372:AA377"/>
    <mergeCell ref="AA378:AA383"/>
    <mergeCell ref="AA384:AA389"/>
    <mergeCell ref="AA390:AA396"/>
    <mergeCell ref="AA397:AA402"/>
    <mergeCell ref="AA403:AA408"/>
    <mergeCell ref="AA409:AA414"/>
    <mergeCell ref="AA415:AA420"/>
    <mergeCell ref="AA421:AA426"/>
    <mergeCell ref="AA427:AA429"/>
    <mergeCell ref="AA431:AA433"/>
    <mergeCell ref="AA434:AA436"/>
    <mergeCell ref="AA437:AA440"/>
    <mergeCell ref="AA445:AA449"/>
    <mergeCell ref="AA450:AA451"/>
    <mergeCell ref="AA452:AA453"/>
    <mergeCell ref="AA454:AA455"/>
    <mergeCell ref="AA456:AA457"/>
    <mergeCell ref="AA458:AA460"/>
    <mergeCell ref="AA461:AA467"/>
    <mergeCell ref="AA469:AA472"/>
    <mergeCell ref="AA473:AA476"/>
    <mergeCell ref="AA477:AA480"/>
    <mergeCell ref="AA481:AA484"/>
    <mergeCell ref="AA485:AA488"/>
    <mergeCell ref="AA489:AA491"/>
    <mergeCell ref="AA492:AA497"/>
    <mergeCell ref="AA500:AA502"/>
    <mergeCell ref="AA503:AA505"/>
    <mergeCell ref="AA506:AA508"/>
    <mergeCell ref="AA509:AA524"/>
    <mergeCell ref="AA525:AA528"/>
    <mergeCell ref="AA532:AA535"/>
    <mergeCell ref="AA538:AA540"/>
    <mergeCell ref="AA541:AA547"/>
    <mergeCell ref="AA548:AA550"/>
    <mergeCell ref="AA551:AA554"/>
    <mergeCell ref="AA555:AA559"/>
    <mergeCell ref="AA561:AA563"/>
    <mergeCell ref="AA566:AA588"/>
    <mergeCell ref="AA589:AA592"/>
    <mergeCell ref="AA593:AA594"/>
    <mergeCell ref="AA595:AA598"/>
    <mergeCell ref="AA600:AA602"/>
    <mergeCell ref="AA604:AA613"/>
    <mergeCell ref="AA614:AA615"/>
    <mergeCell ref="AA616:AA618"/>
    <mergeCell ref="AA621:AA624"/>
    <mergeCell ref="AA625:AA628"/>
    <mergeCell ref="AA629:AA630"/>
    <mergeCell ref="AA631:AA639"/>
    <mergeCell ref="AA640:AA642"/>
    <mergeCell ref="AA643:AA646"/>
    <mergeCell ref="AA647:AA650"/>
    <mergeCell ref="AA652:AA657"/>
    <mergeCell ref="AA658:AA674"/>
    <mergeCell ref="AA675:AA680"/>
    <mergeCell ref="AA681:AA685"/>
    <mergeCell ref="AA686:AA688"/>
    <mergeCell ref="AA689:AA694"/>
    <mergeCell ref="AA695:AA704"/>
    <mergeCell ref="AA705:AA711"/>
    <mergeCell ref="AA712:AA794"/>
    <mergeCell ref="AA795:AA815"/>
    <mergeCell ref="AA816:AA836"/>
    <mergeCell ref="AA837:AA867"/>
    <mergeCell ref="AA868:AA871"/>
    <mergeCell ref="AA872:AA874"/>
    <mergeCell ref="AA875:AA877"/>
    <mergeCell ref="AA878:AA880"/>
    <mergeCell ref="AA881:AA941"/>
    <mergeCell ref="AA942:AA947"/>
    <mergeCell ref="AA948:AA950"/>
    <mergeCell ref="AA951:AA957"/>
    <mergeCell ref="AA959:AA964"/>
    <mergeCell ref="AA965:AA967"/>
    <mergeCell ref="AA968:AA970"/>
    <mergeCell ref="AA971:AA973"/>
    <mergeCell ref="AA974:AA976"/>
    <mergeCell ref="AA977:AA981"/>
    <mergeCell ref="AA982:AA986"/>
    <mergeCell ref="AA987:AA992"/>
    <mergeCell ref="AA993:AA998"/>
    <mergeCell ref="AA999:AA1027"/>
    <mergeCell ref="AA1028:AA1031"/>
    <mergeCell ref="AA1032:AA1064"/>
    <mergeCell ref="AA1065:AA1092"/>
    <mergeCell ref="AA1093:AA1120"/>
    <mergeCell ref="AA1121:AA1126"/>
    <mergeCell ref="AA1127:AA1128"/>
    <mergeCell ref="AA1129:AA1132"/>
    <mergeCell ref="AA1133:AA1134"/>
    <mergeCell ref="AA1135:AA1136"/>
    <mergeCell ref="AA1137:AA1138"/>
    <mergeCell ref="AA1139:AA1144"/>
    <mergeCell ref="AA1145:AA1149"/>
    <mergeCell ref="AA1150:AA1159"/>
    <mergeCell ref="AA1160:AA1164"/>
    <mergeCell ref="AA1165:AA1167"/>
    <mergeCell ref="AA1168:AA1171"/>
    <mergeCell ref="AA1172:AA1174"/>
    <mergeCell ref="AA1175:AA1179"/>
    <mergeCell ref="AA1180:AA1189"/>
    <mergeCell ref="AA1190:AA1200"/>
    <mergeCell ref="AA1201:AA1205"/>
    <mergeCell ref="AA1206:AA1210"/>
    <mergeCell ref="AA1211:AA1213"/>
    <mergeCell ref="AA1214:AA1218"/>
    <mergeCell ref="AA1219:AA1226"/>
    <mergeCell ref="AA1227:AA1239"/>
    <mergeCell ref="AA1240:AA1245"/>
    <mergeCell ref="AA1246:AA1249"/>
    <mergeCell ref="AA1250:AA1252"/>
    <mergeCell ref="AA1253:AA1257"/>
    <mergeCell ref="AA1258:AA1262"/>
    <mergeCell ref="AA1263:AA1268"/>
    <mergeCell ref="AA1269:AA1273"/>
    <mergeCell ref="AA1274:AA1278"/>
    <mergeCell ref="AA1279:AA1282"/>
    <mergeCell ref="AA1283:AA1285"/>
    <mergeCell ref="AA1286:AA1291"/>
    <mergeCell ref="AA1292:AA1299"/>
    <mergeCell ref="AA1300:AA1308"/>
    <mergeCell ref="AA1309:AA1313"/>
    <mergeCell ref="AA1314:AA1317"/>
    <mergeCell ref="AA1318:AA1320"/>
    <mergeCell ref="AA1321:AA1325"/>
    <mergeCell ref="AA1326:AA1330"/>
    <mergeCell ref="AA1331:AA1336"/>
    <mergeCell ref="AA1337:AA1340"/>
    <mergeCell ref="AA1341:AA1343"/>
    <mergeCell ref="AA1344:AA1347"/>
    <mergeCell ref="AA1348:AA1354"/>
    <mergeCell ref="AA1355:AA1363"/>
    <mergeCell ref="AA1364:AA1369"/>
    <mergeCell ref="AA1370:AA1373"/>
    <mergeCell ref="AA1374:AA1376"/>
    <mergeCell ref="AA1377:AA1381"/>
    <mergeCell ref="AA1382:AA1384"/>
    <mergeCell ref="AA1385:AA1389"/>
    <mergeCell ref="AA1390:AA1394"/>
    <mergeCell ref="AA1395:AA1399"/>
    <mergeCell ref="AA1400:AA1404"/>
    <mergeCell ref="AA1405:AA1408"/>
    <mergeCell ref="AA1409:AA1411"/>
    <mergeCell ref="AA1412:AA1416"/>
    <mergeCell ref="AA1417:AA1424"/>
    <mergeCell ref="AA1425:AA1429"/>
    <mergeCell ref="AA1430:AA1434"/>
    <mergeCell ref="AA1435:AA1438"/>
    <mergeCell ref="AA1439:AA1441"/>
    <mergeCell ref="AA1442:AA1445"/>
    <mergeCell ref="AA1446:AA1450"/>
    <mergeCell ref="AA1451:AA1456"/>
    <mergeCell ref="AA1457:AA1459"/>
    <mergeCell ref="AA1460:AA1463"/>
    <mergeCell ref="AA1464:AA1466"/>
    <mergeCell ref="AA1467:AA1469"/>
    <mergeCell ref="AA1470:AA1475"/>
    <mergeCell ref="AA1476:AA1478"/>
    <mergeCell ref="AA1479:AA1482"/>
    <mergeCell ref="AA1483:AA1486"/>
    <mergeCell ref="AA1487:AA1491"/>
    <mergeCell ref="AA1492:AA1497"/>
    <mergeCell ref="AA1498:AA1500"/>
    <mergeCell ref="AA1501:AA1504"/>
    <mergeCell ref="AA1505:AA1508"/>
    <mergeCell ref="AA1509:AA1513"/>
    <mergeCell ref="AA1514:AA1519"/>
    <mergeCell ref="AA1524:AA1525"/>
    <mergeCell ref="AA1526:AA1528"/>
    <mergeCell ref="AA1529:AA1530"/>
    <mergeCell ref="AA1531:AA1539"/>
    <mergeCell ref="AA1540:AA1544"/>
    <mergeCell ref="AA1547:AA1554"/>
    <mergeCell ref="AA1555:AA1558"/>
    <mergeCell ref="AA1561:AA1565"/>
    <mergeCell ref="AA1566:AA1569"/>
    <mergeCell ref="AA1570:AA1575"/>
    <mergeCell ref="AA1577:AA1581"/>
    <mergeCell ref="AA1583:AA1598"/>
    <mergeCell ref="AA1599:AA1601"/>
    <mergeCell ref="AA1602:AA1603"/>
    <mergeCell ref="AA1604:AA1606"/>
    <mergeCell ref="AA1607:AA1612"/>
    <mergeCell ref="AA1614:AA1617"/>
    <mergeCell ref="AA1618:AA1621"/>
    <mergeCell ref="AA1623:AA1624"/>
    <mergeCell ref="AA1625:AA1627"/>
    <mergeCell ref="AA1628:AA1632"/>
    <mergeCell ref="AA1633:AA1636"/>
    <mergeCell ref="AA1637:AA1645"/>
    <mergeCell ref="AA1646:AA1650"/>
    <mergeCell ref="AA1651:AA1652"/>
    <mergeCell ref="AA1653:AA1654"/>
    <mergeCell ref="AA1655:AA1656"/>
    <mergeCell ref="AA1657:AA1658"/>
    <mergeCell ref="AA1659:AA1660"/>
    <mergeCell ref="AA1661:AA1662"/>
    <mergeCell ref="AA1663:AA1664"/>
    <mergeCell ref="AA1665:AA1668"/>
    <mergeCell ref="AA1669:AA1671"/>
    <mergeCell ref="AA1672:AA1678"/>
    <mergeCell ref="AA1679:AA1680"/>
    <mergeCell ref="AA1681:AA1684"/>
    <mergeCell ref="AA1685:AA1687"/>
    <mergeCell ref="AA1688:AA1689"/>
    <mergeCell ref="AA1690:AA1697"/>
    <mergeCell ref="AA1698:AA1700"/>
    <mergeCell ref="AA1701:AA1706"/>
    <mergeCell ref="AA1708:AA1709"/>
    <mergeCell ref="AA1710:AA1714"/>
    <mergeCell ref="AA1716:AA1719"/>
    <mergeCell ref="AA1720:AA1723"/>
    <mergeCell ref="AA1731:AA1733"/>
    <mergeCell ref="AA1736:AA1738"/>
    <mergeCell ref="AA1743:AA1745"/>
    <mergeCell ref="AA1746:AA1748"/>
    <mergeCell ref="AA1749:AA1750"/>
    <mergeCell ref="AA1751:AA1757"/>
    <mergeCell ref="AA1758:AA1762"/>
    <mergeCell ref="AA1763:AA1765"/>
    <mergeCell ref="AA1766:AA1770"/>
    <mergeCell ref="AA1771:AA1772"/>
    <mergeCell ref="AA1773:AA1775"/>
    <mergeCell ref="AA1777:AA1780"/>
    <mergeCell ref="AA1781:AA1784"/>
    <mergeCell ref="AA1785:AA1787"/>
    <mergeCell ref="AA1788:AA1790"/>
    <mergeCell ref="AA1791:AA1792"/>
    <mergeCell ref="AA1793:AA1795"/>
    <mergeCell ref="AA1803:AA1808"/>
    <mergeCell ref="AA1809:AA1813"/>
    <mergeCell ref="AA1814:AA1815"/>
    <mergeCell ref="AA1816:AA1819"/>
    <mergeCell ref="AA1821:AA1823"/>
    <mergeCell ref="AA1825:AA1828"/>
    <mergeCell ref="AA1829:AA1832"/>
    <mergeCell ref="AA1833:AA1838"/>
    <mergeCell ref="AA1839:AA1849"/>
    <mergeCell ref="AA1850:AA1856"/>
    <mergeCell ref="AA1857:AA1859"/>
    <mergeCell ref="AA1860:AA1862"/>
    <mergeCell ref="AA1863:AA1865"/>
    <mergeCell ref="AA1867:AA1872"/>
    <mergeCell ref="AA1873:AA1880"/>
    <mergeCell ref="AA1881:AA1886"/>
    <mergeCell ref="AA1888:AA1893"/>
    <mergeCell ref="AA1894:AA1901"/>
    <mergeCell ref="AA1902:AA1907"/>
    <mergeCell ref="AA1908:AA1911"/>
    <mergeCell ref="AA1912:AA1915"/>
    <mergeCell ref="AA1916:AA1919"/>
    <mergeCell ref="AA1920:AA1922"/>
    <mergeCell ref="AA1923:AA1925"/>
    <mergeCell ref="AA1926:AA1928"/>
    <mergeCell ref="AA1929:AA1931"/>
    <mergeCell ref="AA1932:AA1934"/>
    <mergeCell ref="AA1935:AA1937"/>
    <mergeCell ref="AA1938:AA1940"/>
    <mergeCell ref="AA1941:AA1943"/>
    <mergeCell ref="AA1944:AA1946"/>
    <mergeCell ref="AA1947:AA1950"/>
    <mergeCell ref="AA1951:AA1954"/>
    <mergeCell ref="AA1955:AA1957"/>
    <mergeCell ref="AA1958:AA1960"/>
    <mergeCell ref="AA1961:AA1964"/>
    <mergeCell ref="AA1965:AA1967"/>
    <mergeCell ref="AA1968:AA1970"/>
    <mergeCell ref="AA1971:AA1973"/>
    <mergeCell ref="AA1974:AA1976"/>
    <mergeCell ref="AA1977:AA1979"/>
    <mergeCell ref="AA1980:AA1982"/>
    <mergeCell ref="AA1983:AA1986"/>
    <mergeCell ref="AA1987:AA1990"/>
    <mergeCell ref="AA1991:AA1995"/>
    <mergeCell ref="AA1996:AA1998"/>
    <mergeCell ref="AA1999:AA2002"/>
    <mergeCell ref="AA2003:AA2005"/>
    <mergeCell ref="AA2006:AA2008"/>
    <mergeCell ref="AA2009:AA2011"/>
    <mergeCell ref="AA2012:AA2015"/>
    <mergeCell ref="AA2016:AA2019"/>
    <mergeCell ref="AA2020:AA2023"/>
    <mergeCell ref="AA2026:AA2028"/>
    <mergeCell ref="AA2029:AA2034"/>
    <mergeCell ref="AA2035:AA2046"/>
    <mergeCell ref="AA2047:AA2064"/>
    <mergeCell ref="AA2065:AA2073"/>
    <mergeCell ref="AA2074:AA2076"/>
    <mergeCell ref="AA2078:AA2081"/>
    <mergeCell ref="AA2082:AA2086"/>
    <mergeCell ref="AA2087:AA2091"/>
    <mergeCell ref="AA2092:AA2096"/>
    <mergeCell ref="AA2097:AA2101"/>
    <mergeCell ref="AA2102:AA2105"/>
    <mergeCell ref="AA2106:AA2113"/>
    <mergeCell ref="AA2114:AA2116"/>
    <mergeCell ref="AA2117:AA2122"/>
    <mergeCell ref="AA2123:AA2128"/>
    <mergeCell ref="AA2129:AA2134"/>
    <mergeCell ref="AA2141:AA2144"/>
    <mergeCell ref="AA2145:AA2153"/>
    <mergeCell ref="AA2154:AA2161"/>
    <mergeCell ref="AA2170:AA2177"/>
    <mergeCell ref="AA2178:AA2180"/>
    <mergeCell ref="AA2181:AA2184"/>
    <mergeCell ref="AA2185:AA2192"/>
    <mergeCell ref="AA2194:AA2236"/>
    <mergeCell ref="AA2237:AA2241"/>
    <mergeCell ref="AA2242:AA2296"/>
    <mergeCell ref="AA2297:AA2303"/>
    <mergeCell ref="AA2305:AA2308"/>
    <mergeCell ref="AA2309:AA2311"/>
    <mergeCell ref="AA2312:AA2315"/>
    <mergeCell ref="AA2316:AA2318"/>
    <mergeCell ref="AA2319:AA2321"/>
    <mergeCell ref="AA2325:AA2328"/>
    <mergeCell ref="AA2329:AA2335"/>
    <mergeCell ref="AA2336:AA2344"/>
    <mergeCell ref="AA2345:AA2347"/>
    <mergeCell ref="AA2348:AA2351"/>
    <mergeCell ref="AA2352:AA2359"/>
    <mergeCell ref="AA2360:AA2363"/>
    <mergeCell ref="AA2364:AA2370"/>
    <mergeCell ref="AA2371:AA2374"/>
    <mergeCell ref="AA2375:AA2378"/>
    <mergeCell ref="AA2380:AA2383"/>
    <mergeCell ref="AA2385:AA2395"/>
    <mergeCell ref="AA2396:AA2397"/>
    <mergeCell ref="AA2399:AA2413"/>
    <mergeCell ref="AA2415:AA2421"/>
    <mergeCell ref="AA2435:AA2440"/>
    <mergeCell ref="AA2441:AA2445"/>
    <mergeCell ref="AA2446:AA2447"/>
    <mergeCell ref="AA2448:AA2449"/>
    <mergeCell ref="AA2456:AA2469"/>
    <mergeCell ref="AA2478:AA2482"/>
    <mergeCell ref="AA2483:AA2489"/>
    <mergeCell ref="AA2490:AA2494"/>
    <mergeCell ref="AA2495:AA2499"/>
    <mergeCell ref="AA2500:AA2504"/>
    <mergeCell ref="AA2505:AA2508"/>
    <mergeCell ref="AA2509:AA2512"/>
    <mergeCell ref="AA2520:AA2523"/>
    <mergeCell ref="AA2524:AA2527"/>
    <mergeCell ref="AA2528:AA2530"/>
    <mergeCell ref="AA2531:AA2533"/>
    <mergeCell ref="AA2534:AA2536"/>
    <mergeCell ref="AA2537:AA2539"/>
    <mergeCell ref="AA2540:AA2542"/>
    <mergeCell ref="AA2543:AA2545"/>
    <mergeCell ref="AA2546:AA2548"/>
    <mergeCell ref="AA2549:AA2551"/>
    <mergeCell ref="AA2552:AA2554"/>
    <mergeCell ref="AA2555:AA2557"/>
    <mergeCell ref="AA2558:AA2562"/>
    <mergeCell ref="AA2563:AA2566"/>
    <mergeCell ref="AA2570:AA2574"/>
    <mergeCell ref="AA2582:AA2583"/>
    <mergeCell ref="AA2584:AA2589"/>
    <mergeCell ref="AA2590:AA2593"/>
    <mergeCell ref="AA2594:AA2597"/>
    <mergeCell ref="AA2619:AA2621"/>
    <mergeCell ref="AA2622:AA2629"/>
    <mergeCell ref="AA2630:AA2636"/>
    <mergeCell ref="AA2637:AA2643"/>
    <mergeCell ref="AA2644:AA2650"/>
    <mergeCell ref="AA2651:AA2658"/>
    <mergeCell ref="AA2663:AA2668"/>
    <mergeCell ref="AA2669:AA2670"/>
    <mergeCell ref="AA2671:AA2676"/>
    <mergeCell ref="AA2678:AA2681"/>
    <mergeCell ref="AA2682:AA2684"/>
    <mergeCell ref="AA2689:AA2697"/>
    <mergeCell ref="AA2698:AA2702"/>
    <mergeCell ref="AA2703:AA2705"/>
    <mergeCell ref="AA2709:AA2712"/>
    <mergeCell ref="AA2713:AA2718"/>
    <mergeCell ref="AA2719:AA2721"/>
    <mergeCell ref="AB5:AB29"/>
    <mergeCell ref="AB30:AB34"/>
    <mergeCell ref="AB35:AB38"/>
    <mergeCell ref="AB39:AB40"/>
    <mergeCell ref="AB41:AB44"/>
    <mergeCell ref="AB45:AB48"/>
    <mergeCell ref="AB49:AB51"/>
    <mergeCell ref="AB52:AB55"/>
    <mergeCell ref="AB56:AB59"/>
    <mergeCell ref="AB60:AB64"/>
    <mergeCell ref="AB66:AB77"/>
    <mergeCell ref="AB78:AB80"/>
    <mergeCell ref="AB81:AB84"/>
    <mergeCell ref="AB86:AB87"/>
    <mergeCell ref="AB90:AB96"/>
    <mergeCell ref="AB97:AB103"/>
    <mergeCell ref="AB104:AB108"/>
    <mergeCell ref="AB109:AB112"/>
    <mergeCell ref="AB113:AB117"/>
    <mergeCell ref="AB118:AB122"/>
    <mergeCell ref="AB123:AB126"/>
    <mergeCell ref="AB127:AB130"/>
    <mergeCell ref="AB131:AB134"/>
    <mergeCell ref="AB135:AB137"/>
    <mergeCell ref="AB138:AB143"/>
    <mergeCell ref="AB144:AB149"/>
    <mergeCell ref="AB150:AB153"/>
    <mergeCell ref="AB154:AB159"/>
    <mergeCell ref="AB160:AB164"/>
    <mergeCell ref="AB168:AB170"/>
    <mergeCell ref="AB172:AB174"/>
    <mergeCell ref="AB175:AB177"/>
    <mergeCell ref="AB178:AB181"/>
    <mergeCell ref="AB182:AB188"/>
    <mergeCell ref="AB189:AB190"/>
    <mergeCell ref="AB191:AB194"/>
    <mergeCell ref="AB195:AB199"/>
    <mergeCell ref="AB203:AB206"/>
    <mergeCell ref="AB209:AB210"/>
    <mergeCell ref="AB213:AB216"/>
    <mergeCell ref="AB218:AB221"/>
    <mergeCell ref="AB222:AB223"/>
    <mergeCell ref="AB224:AB227"/>
    <mergeCell ref="AB228:AB230"/>
    <mergeCell ref="AB231:AB234"/>
    <mergeCell ref="AB235:AB239"/>
    <mergeCell ref="AB240:AB247"/>
    <mergeCell ref="AB248:AB249"/>
    <mergeCell ref="AB258:AB259"/>
    <mergeCell ref="AB260:AB261"/>
    <mergeCell ref="AB262:AB267"/>
    <mergeCell ref="AB271:AB273"/>
    <mergeCell ref="AB274:AB276"/>
    <mergeCell ref="AB283:AB286"/>
    <mergeCell ref="AB293:AB297"/>
    <mergeCell ref="AB298:AB301"/>
    <mergeCell ref="AB302:AB303"/>
    <mergeCell ref="AB304:AB307"/>
    <mergeCell ref="AB308:AB313"/>
    <mergeCell ref="AB314:AB317"/>
    <mergeCell ref="AB318:AB321"/>
    <mergeCell ref="AB322:AB324"/>
    <mergeCell ref="AB325:AB330"/>
    <mergeCell ref="AB332:AB336"/>
    <mergeCell ref="AB337:AB339"/>
    <mergeCell ref="AB340:AB343"/>
    <mergeCell ref="AB344:AB349"/>
    <mergeCell ref="AB350:AB355"/>
    <mergeCell ref="AB356:AB365"/>
    <mergeCell ref="AB366:AB371"/>
    <mergeCell ref="AB372:AB377"/>
    <mergeCell ref="AB378:AB383"/>
    <mergeCell ref="AB384:AB389"/>
    <mergeCell ref="AB390:AB396"/>
    <mergeCell ref="AB397:AB402"/>
    <mergeCell ref="AB403:AB408"/>
    <mergeCell ref="AB409:AB414"/>
    <mergeCell ref="AB415:AB420"/>
    <mergeCell ref="AB421:AB426"/>
    <mergeCell ref="AB427:AB429"/>
    <mergeCell ref="AB431:AB433"/>
    <mergeCell ref="AB434:AB436"/>
    <mergeCell ref="AB437:AB440"/>
    <mergeCell ref="AB445:AB449"/>
    <mergeCell ref="AB450:AB451"/>
    <mergeCell ref="AB452:AB453"/>
    <mergeCell ref="AB454:AB455"/>
    <mergeCell ref="AB456:AB457"/>
    <mergeCell ref="AB458:AB460"/>
    <mergeCell ref="AB461:AB467"/>
    <mergeCell ref="AB469:AB472"/>
    <mergeCell ref="AB473:AB476"/>
    <mergeCell ref="AB477:AB480"/>
    <mergeCell ref="AB481:AB484"/>
    <mergeCell ref="AB485:AB488"/>
    <mergeCell ref="AB489:AB491"/>
    <mergeCell ref="AB492:AB497"/>
    <mergeCell ref="AB500:AB502"/>
    <mergeCell ref="AB503:AB505"/>
    <mergeCell ref="AB506:AB508"/>
    <mergeCell ref="AB509:AB524"/>
    <mergeCell ref="AB525:AB528"/>
    <mergeCell ref="AB532:AB535"/>
    <mergeCell ref="AB538:AB540"/>
    <mergeCell ref="AB541:AB547"/>
    <mergeCell ref="AB548:AB550"/>
    <mergeCell ref="AB551:AB554"/>
    <mergeCell ref="AB555:AB559"/>
    <mergeCell ref="AB561:AB563"/>
    <mergeCell ref="AB566:AB588"/>
    <mergeCell ref="AB589:AB592"/>
    <mergeCell ref="AB593:AB594"/>
    <mergeCell ref="AB595:AB598"/>
    <mergeCell ref="AB600:AB602"/>
    <mergeCell ref="AB604:AB613"/>
    <mergeCell ref="AB614:AB615"/>
    <mergeCell ref="AB616:AB618"/>
    <mergeCell ref="AB621:AB624"/>
    <mergeCell ref="AB625:AB628"/>
    <mergeCell ref="AB629:AB630"/>
    <mergeCell ref="AB631:AB639"/>
    <mergeCell ref="AB640:AB642"/>
    <mergeCell ref="AB643:AB646"/>
    <mergeCell ref="AB647:AB650"/>
    <mergeCell ref="AB652:AB657"/>
    <mergeCell ref="AB658:AB674"/>
    <mergeCell ref="AB675:AB680"/>
    <mergeCell ref="AB681:AB685"/>
    <mergeCell ref="AB686:AB688"/>
    <mergeCell ref="AB689:AB694"/>
    <mergeCell ref="AB695:AB704"/>
    <mergeCell ref="AB705:AB711"/>
    <mergeCell ref="AB712:AB794"/>
    <mergeCell ref="AB795:AB815"/>
    <mergeCell ref="AB816:AB836"/>
    <mergeCell ref="AB837:AB867"/>
    <mergeCell ref="AB868:AB871"/>
    <mergeCell ref="AB872:AB874"/>
    <mergeCell ref="AB875:AB877"/>
    <mergeCell ref="AB878:AB880"/>
    <mergeCell ref="AB881:AB941"/>
    <mergeCell ref="AB942:AB947"/>
    <mergeCell ref="AB948:AB950"/>
    <mergeCell ref="AB951:AB957"/>
    <mergeCell ref="AB959:AB964"/>
    <mergeCell ref="AB965:AB967"/>
    <mergeCell ref="AB968:AB970"/>
    <mergeCell ref="AB971:AB973"/>
    <mergeCell ref="AB974:AB976"/>
    <mergeCell ref="AB977:AB981"/>
    <mergeCell ref="AB982:AB986"/>
    <mergeCell ref="AB987:AB992"/>
    <mergeCell ref="AB993:AB998"/>
    <mergeCell ref="AB999:AB1027"/>
    <mergeCell ref="AB1028:AB1031"/>
    <mergeCell ref="AB1032:AB1064"/>
    <mergeCell ref="AB1065:AB1092"/>
    <mergeCell ref="AB1093:AB1120"/>
    <mergeCell ref="AB1121:AB1126"/>
    <mergeCell ref="AB1127:AB1128"/>
    <mergeCell ref="AB1129:AB1132"/>
    <mergeCell ref="AB1133:AB1134"/>
    <mergeCell ref="AB1135:AB1136"/>
    <mergeCell ref="AB1137:AB1138"/>
    <mergeCell ref="AB1139:AB1144"/>
    <mergeCell ref="AB1145:AB1149"/>
    <mergeCell ref="AB1150:AB1159"/>
    <mergeCell ref="AB1160:AB1164"/>
    <mergeCell ref="AB1165:AB1167"/>
    <mergeCell ref="AB1168:AB1171"/>
    <mergeCell ref="AB1172:AB1174"/>
    <mergeCell ref="AB1175:AB1179"/>
    <mergeCell ref="AB1180:AB1189"/>
    <mergeCell ref="AB1190:AB1200"/>
    <mergeCell ref="AB1201:AB1205"/>
    <mergeCell ref="AB1206:AB1210"/>
    <mergeCell ref="AB1211:AB1213"/>
    <mergeCell ref="AB1214:AB1218"/>
    <mergeCell ref="AB1219:AB1226"/>
    <mergeCell ref="AB1227:AB1239"/>
    <mergeCell ref="AB1240:AB1245"/>
    <mergeCell ref="AB1246:AB1249"/>
    <mergeCell ref="AB1250:AB1252"/>
    <mergeCell ref="AB1253:AB1257"/>
    <mergeCell ref="AB1258:AB1262"/>
    <mergeCell ref="AB1263:AB1268"/>
    <mergeCell ref="AB1269:AB1273"/>
    <mergeCell ref="AB1274:AB1278"/>
    <mergeCell ref="AB1279:AB1282"/>
    <mergeCell ref="AB1283:AB1285"/>
    <mergeCell ref="AB1286:AB1291"/>
    <mergeCell ref="AB1292:AB1299"/>
    <mergeCell ref="AB1300:AB1308"/>
    <mergeCell ref="AB1309:AB1313"/>
    <mergeCell ref="AB1314:AB1317"/>
    <mergeCell ref="AB1318:AB1320"/>
    <mergeCell ref="AB1321:AB1325"/>
    <mergeCell ref="AB1326:AB1330"/>
    <mergeCell ref="AB1331:AB1336"/>
    <mergeCell ref="AB1337:AB1340"/>
    <mergeCell ref="AB1341:AB1343"/>
    <mergeCell ref="AB1344:AB1347"/>
    <mergeCell ref="AB1348:AB1354"/>
    <mergeCell ref="AB1355:AB1363"/>
    <mergeCell ref="AB1364:AB1369"/>
    <mergeCell ref="AB1370:AB1373"/>
    <mergeCell ref="AB1374:AB1376"/>
    <mergeCell ref="AB1377:AB1381"/>
    <mergeCell ref="AB1382:AB1384"/>
    <mergeCell ref="AB1385:AB1389"/>
    <mergeCell ref="AB1390:AB1394"/>
    <mergeCell ref="AB1395:AB1399"/>
    <mergeCell ref="AB1400:AB1404"/>
    <mergeCell ref="AB1405:AB1408"/>
    <mergeCell ref="AB1409:AB1411"/>
    <mergeCell ref="AB1412:AB1416"/>
    <mergeCell ref="AB1417:AB1424"/>
    <mergeCell ref="AB1425:AB1429"/>
    <mergeCell ref="AB1430:AB1434"/>
    <mergeCell ref="AB1435:AB1438"/>
    <mergeCell ref="AB1439:AB1441"/>
    <mergeCell ref="AB1442:AB1445"/>
    <mergeCell ref="AB1446:AB1450"/>
    <mergeCell ref="AB1451:AB1456"/>
    <mergeCell ref="AB1457:AB1459"/>
    <mergeCell ref="AB1460:AB1463"/>
    <mergeCell ref="AB1464:AB1466"/>
    <mergeCell ref="AB1467:AB1469"/>
    <mergeCell ref="AB1470:AB1475"/>
    <mergeCell ref="AB1476:AB1478"/>
    <mergeCell ref="AB1479:AB1482"/>
    <mergeCell ref="AB1483:AB1486"/>
    <mergeCell ref="AB1487:AB1491"/>
    <mergeCell ref="AB1492:AB1497"/>
    <mergeCell ref="AB1498:AB1500"/>
    <mergeCell ref="AB1501:AB1504"/>
    <mergeCell ref="AB1505:AB1508"/>
    <mergeCell ref="AB1509:AB1513"/>
    <mergeCell ref="AB1514:AB1519"/>
    <mergeCell ref="AB1524:AB1525"/>
    <mergeCell ref="AB1526:AB1528"/>
    <mergeCell ref="AB1529:AB1530"/>
    <mergeCell ref="AB1531:AB1539"/>
    <mergeCell ref="AB1540:AB1544"/>
    <mergeCell ref="AB1547:AB1554"/>
    <mergeCell ref="AB1555:AB1558"/>
    <mergeCell ref="AB1561:AB1565"/>
    <mergeCell ref="AB1566:AB1569"/>
    <mergeCell ref="AB1570:AB1575"/>
    <mergeCell ref="AB1577:AB1581"/>
    <mergeCell ref="AB1583:AB1598"/>
    <mergeCell ref="AB1599:AB1601"/>
    <mergeCell ref="AB1602:AB1603"/>
    <mergeCell ref="AB1604:AB1606"/>
    <mergeCell ref="AB1607:AB1612"/>
    <mergeCell ref="AB1614:AB1617"/>
    <mergeCell ref="AB1618:AB1621"/>
    <mergeCell ref="AB1623:AB1624"/>
    <mergeCell ref="AB1625:AB1627"/>
    <mergeCell ref="AB1628:AB1632"/>
    <mergeCell ref="AB1633:AB1636"/>
    <mergeCell ref="AB1637:AB1645"/>
    <mergeCell ref="AB1646:AB1650"/>
    <mergeCell ref="AB1651:AB1652"/>
    <mergeCell ref="AB1653:AB1654"/>
    <mergeCell ref="AB1655:AB1656"/>
    <mergeCell ref="AB1657:AB1658"/>
    <mergeCell ref="AB1659:AB1660"/>
    <mergeCell ref="AB1661:AB1662"/>
    <mergeCell ref="AB1663:AB1664"/>
    <mergeCell ref="AB1665:AB1668"/>
    <mergeCell ref="AB1669:AB1671"/>
    <mergeCell ref="AB1672:AB1678"/>
    <mergeCell ref="AB1679:AB1680"/>
    <mergeCell ref="AB1681:AB1684"/>
    <mergeCell ref="AB1685:AB1687"/>
    <mergeCell ref="AB1688:AB1689"/>
    <mergeCell ref="AB1690:AB1697"/>
    <mergeCell ref="AB1698:AB1700"/>
    <mergeCell ref="AB1701:AB1706"/>
    <mergeCell ref="AB1708:AB1709"/>
    <mergeCell ref="AB1710:AB1714"/>
    <mergeCell ref="AB1716:AB1719"/>
    <mergeCell ref="AB1720:AB1723"/>
    <mergeCell ref="AB1724:AB1725"/>
    <mergeCell ref="AB1731:AB1733"/>
    <mergeCell ref="AB1736:AB1738"/>
    <mergeCell ref="AB1743:AB1745"/>
    <mergeCell ref="AB1746:AB1748"/>
    <mergeCell ref="AB1749:AB1750"/>
    <mergeCell ref="AB1751:AB1757"/>
    <mergeCell ref="AB1758:AB1762"/>
    <mergeCell ref="AB1763:AB1765"/>
    <mergeCell ref="AB1766:AB1770"/>
    <mergeCell ref="AB1771:AB1772"/>
    <mergeCell ref="AB1773:AB1775"/>
    <mergeCell ref="AB1777:AB1780"/>
    <mergeCell ref="AB1781:AB1784"/>
    <mergeCell ref="AB1785:AB1787"/>
    <mergeCell ref="AB1788:AB1790"/>
    <mergeCell ref="AB1791:AB1792"/>
    <mergeCell ref="AB1793:AB1795"/>
    <mergeCell ref="AB1803:AB1808"/>
    <mergeCell ref="AB1809:AB1813"/>
    <mergeCell ref="AB1814:AB1815"/>
    <mergeCell ref="AB1816:AB1819"/>
    <mergeCell ref="AB1821:AB1823"/>
    <mergeCell ref="AB1825:AB1828"/>
    <mergeCell ref="AB1829:AB1832"/>
    <mergeCell ref="AB1833:AB1838"/>
    <mergeCell ref="AB1839:AB1849"/>
    <mergeCell ref="AB1850:AB1856"/>
    <mergeCell ref="AB1857:AB1859"/>
    <mergeCell ref="AB1860:AB1862"/>
    <mergeCell ref="AB1863:AB1865"/>
    <mergeCell ref="AB1867:AB1872"/>
    <mergeCell ref="AB1873:AB1880"/>
    <mergeCell ref="AB1881:AB1886"/>
    <mergeCell ref="AB1888:AB1893"/>
    <mergeCell ref="AB1894:AB1901"/>
    <mergeCell ref="AB1902:AB1907"/>
    <mergeCell ref="AB1908:AB1911"/>
    <mergeCell ref="AB1912:AB1915"/>
    <mergeCell ref="AB1916:AB1919"/>
    <mergeCell ref="AB1920:AB1922"/>
    <mergeCell ref="AB1923:AB1925"/>
    <mergeCell ref="AB1926:AB1928"/>
    <mergeCell ref="AB1929:AB1931"/>
    <mergeCell ref="AB1932:AB1934"/>
    <mergeCell ref="AB1935:AB1937"/>
    <mergeCell ref="AB1938:AB1940"/>
    <mergeCell ref="AB1941:AB1943"/>
    <mergeCell ref="AB1944:AB1946"/>
    <mergeCell ref="AB1947:AB1950"/>
    <mergeCell ref="AB1951:AB1954"/>
    <mergeCell ref="AB1955:AB1957"/>
    <mergeCell ref="AB1958:AB1960"/>
    <mergeCell ref="AB1961:AB1964"/>
    <mergeCell ref="AB1965:AB1967"/>
    <mergeCell ref="AB1968:AB1970"/>
    <mergeCell ref="AB1971:AB1973"/>
    <mergeCell ref="AB1974:AB1976"/>
    <mergeCell ref="AB1977:AB1979"/>
    <mergeCell ref="AB1980:AB1982"/>
    <mergeCell ref="AB1983:AB1986"/>
    <mergeCell ref="AB1987:AB1990"/>
    <mergeCell ref="AB1991:AB1995"/>
    <mergeCell ref="AB1996:AB1998"/>
    <mergeCell ref="AB1999:AB2002"/>
    <mergeCell ref="AB2003:AB2005"/>
    <mergeCell ref="AB2006:AB2008"/>
    <mergeCell ref="AB2009:AB2011"/>
    <mergeCell ref="AB2012:AB2015"/>
    <mergeCell ref="AB2016:AB2019"/>
    <mergeCell ref="AB2020:AB2023"/>
    <mergeCell ref="AB2026:AB2028"/>
    <mergeCell ref="AB2035:AB2046"/>
    <mergeCell ref="AB2047:AB2064"/>
    <mergeCell ref="AB2065:AB2073"/>
    <mergeCell ref="AB2074:AB2076"/>
    <mergeCell ref="AB2078:AB2081"/>
    <mergeCell ref="AB2082:AB2086"/>
    <mergeCell ref="AB2087:AB2091"/>
    <mergeCell ref="AB2092:AB2096"/>
    <mergeCell ref="AB2097:AB2101"/>
    <mergeCell ref="AB2102:AB2105"/>
    <mergeCell ref="AB2106:AB2113"/>
    <mergeCell ref="AB2114:AB2116"/>
    <mergeCell ref="AB2117:AB2122"/>
    <mergeCell ref="AB2123:AB2128"/>
    <mergeCell ref="AB2129:AB2134"/>
    <mergeCell ref="AB2135:AB2140"/>
    <mergeCell ref="AB2141:AB2144"/>
    <mergeCell ref="AB2145:AB2153"/>
    <mergeCell ref="AB2154:AB2161"/>
    <mergeCell ref="AB2162:AB2169"/>
    <mergeCell ref="AB2170:AB2177"/>
    <mergeCell ref="AB2178:AB2180"/>
    <mergeCell ref="AB2181:AB2184"/>
    <mergeCell ref="AB2185:AB2192"/>
    <mergeCell ref="AB2194:AB2236"/>
    <mergeCell ref="AB2237:AB2241"/>
    <mergeCell ref="AB2242:AB2296"/>
    <mergeCell ref="AB2297:AB2303"/>
    <mergeCell ref="AB2309:AB2311"/>
    <mergeCell ref="AB2312:AB2315"/>
    <mergeCell ref="AB2316:AB2318"/>
    <mergeCell ref="AB2319:AB2321"/>
    <mergeCell ref="AB2325:AB2328"/>
    <mergeCell ref="AB2329:AB2335"/>
    <mergeCell ref="AB2336:AB2344"/>
    <mergeCell ref="AB2345:AB2347"/>
    <mergeCell ref="AB2348:AB2351"/>
    <mergeCell ref="AB2352:AB2359"/>
    <mergeCell ref="AB2360:AB2363"/>
    <mergeCell ref="AB2364:AB2370"/>
    <mergeCell ref="AB2371:AB2374"/>
    <mergeCell ref="AB2375:AB2378"/>
    <mergeCell ref="AB2380:AB2383"/>
    <mergeCell ref="AB2385:AB2395"/>
    <mergeCell ref="AB2396:AB2397"/>
    <mergeCell ref="AB2399:AB2413"/>
    <mergeCell ref="AB2415:AB2421"/>
    <mergeCell ref="AB2435:AB2440"/>
    <mergeCell ref="AB2441:AB2445"/>
    <mergeCell ref="AB2446:AB2447"/>
    <mergeCell ref="AB2448:AB2449"/>
    <mergeCell ref="AB2450:AB2453"/>
    <mergeCell ref="AB2454:AB2455"/>
    <mergeCell ref="AB2456:AB2469"/>
    <mergeCell ref="AB2470:AB2474"/>
    <mergeCell ref="AB2478:AB2482"/>
    <mergeCell ref="AB2483:AB2489"/>
    <mergeCell ref="AB2490:AB2494"/>
    <mergeCell ref="AB2495:AB2499"/>
    <mergeCell ref="AB2500:AB2504"/>
    <mergeCell ref="AB2505:AB2508"/>
    <mergeCell ref="AB2520:AB2523"/>
    <mergeCell ref="AB2524:AB2527"/>
    <mergeCell ref="AB2528:AB2530"/>
    <mergeCell ref="AB2531:AB2533"/>
    <mergeCell ref="AB2534:AB2536"/>
    <mergeCell ref="AB2537:AB2539"/>
    <mergeCell ref="AB2540:AB2542"/>
    <mergeCell ref="AB2543:AB2545"/>
    <mergeCell ref="AB2546:AB2548"/>
    <mergeCell ref="AB2549:AB2551"/>
    <mergeCell ref="AB2552:AB2554"/>
    <mergeCell ref="AB2558:AB2562"/>
    <mergeCell ref="AB2563:AB2566"/>
    <mergeCell ref="AB2570:AB2574"/>
    <mergeCell ref="AB2590:AB2593"/>
    <mergeCell ref="AB2594:AB2597"/>
    <mergeCell ref="AB2619:AB2621"/>
    <mergeCell ref="AB2622:AB2629"/>
    <mergeCell ref="AB2630:AB2636"/>
    <mergeCell ref="AB2637:AB2643"/>
    <mergeCell ref="AB2644:AB2650"/>
    <mergeCell ref="AB2651:AB2658"/>
    <mergeCell ref="AB2663:AB2668"/>
    <mergeCell ref="AB2669:AB2670"/>
    <mergeCell ref="AB2671:AB2676"/>
    <mergeCell ref="AB2678:AB2681"/>
    <mergeCell ref="AB2682:AB2684"/>
    <mergeCell ref="AB2689:AB2697"/>
    <mergeCell ref="AB2698:AB2702"/>
    <mergeCell ref="AB2703:AB2705"/>
    <mergeCell ref="AB2709:AB2712"/>
    <mergeCell ref="AB2713:AB2718"/>
    <mergeCell ref="AB2719:AB2721"/>
    <mergeCell ref="AC13:AC14"/>
    <mergeCell ref="AC31:AC32"/>
    <mergeCell ref="AC37:AC38"/>
    <mergeCell ref="AC64:AC65"/>
    <mergeCell ref="AC67:AC69"/>
    <mergeCell ref="AC70:AC71"/>
    <mergeCell ref="AC74:AC75"/>
    <mergeCell ref="AC99:AC101"/>
    <mergeCell ref="AC133:AC134"/>
    <mergeCell ref="AC135:AC136"/>
    <mergeCell ref="AC138:AC139"/>
    <mergeCell ref="AC140:AC141"/>
    <mergeCell ref="AC160:AC162"/>
    <mergeCell ref="AC170:AC171"/>
    <mergeCell ref="AC182:AC183"/>
    <mergeCell ref="AC184:AC185"/>
    <mergeCell ref="AC196:AC197"/>
    <mergeCell ref="AC198:AC199"/>
    <mergeCell ref="AC213:AC214"/>
    <mergeCell ref="AC215:AC216"/>
    <mergeCell ref="AC224:AC225"/>
    <mergeCell ref="AC232:AC233"/>
    <mergeCell ref="AC238:AC239"/>
    <mergeCell ref="AC241:AC244"/>
    <mergeCell ref="AC266:AC267"/>
    <mergeCell ref="AC294:AC295"/>
    <mergeCell ref="AC341:AC342"/>
    <mergeCell ref="AC357:AC358"/>
    <mergeCell ref="AC359:AC360"/>
    <mergeCell ref="AC361:AC363"/>
    <mergeCell ref="AC391:AC392"/>
    <mergeCell ref="AC443:AC444"/>
    <mergeCell ref="AC467:AC468"/>
    <mergeCell ref="AC509:AC510"/>
    <mergeCell ref="AC511:AC514"/>
    <mergeCell ref="AC515:AC521"/>
    <mergeCell ref="AC522:AC524"/>
    <mergeCell ref="AC539:AC540"/>
    <mergeCell ref="AC555:AC556"/>
    <mergeCell ref="AC557:AC558"/>
    <mergeCell ref="AC563:AC564"/>
    <mergeCell ref="AC566:AC567"/>
    <mergeCell ref="AC568:AC574"/>
    <mergeCell ref="AC575:AC578"/>
    <mergeCell ref="AC579:AC588"/>
    <mergeCell ref="AC598:AC599"/>
    <mergeCell ref="AC605:AC606"/>
    <mergeCell ref="AC607:AC608"/>
    <mergeCell ref="AC609:AC611"/>
    <mergeCell ref="AC612:AC613"/>
    <mergeCell ref="AC614:AC615"/>
    <mergeCell ref="AC616:AC617"/>
    <mergeCell ref="AC619:AC620"/>
    <mergeCell ref="AC626:AC628"/>
    <mergeCell ref="AC631:AC632"/>
    <mergeCell ref="AC633:AC634"/>
    <mergeCell ref="AC635:AC639"/>
    <mergeCell ref="AC649:AC650"/>
    <mergeCell ref="AC655:AC656"/>
    <mergeCell ref="AC658:AC662"/>
    <mergeCell ref="AC663:AC668"/>
    <mergeCell ref="AC669:AC673"/>
    <mergeCell ref="AC687:AC688"/>
    <mergeCell ref="AC690:AC691"/>
    <mergeCell ref="AC692:AC693"/>
    <mergeCell ref="AC695:AC696"/>
    <mergeCell ref="AC697:AC701"/>
    <mergeCell ref="AC702:AC704"/>
    <mergeCell ref="AC707:AC708"/>
    <mergeCell ref="AC712:AC722"/>
    <mergeCell ref="AC723:AC729"/>
    <mergeCell ref="AC730:AC735"/>
    <mergeCell ref="AC736:AC745"/>
    <mergeCell ref="AC746:AC764"/>
    <mergeCell ref="AC765:AC769"/>
    <mergeCell ref="AC770:AC777"/>
    <mergeCell ref="AC778:AC786"/>
    <mergeCell ref="AC787:AC794"/>
    <mergeCell ref="AC795:AC796"/>
    <mergeCell ref="AC797:AC801"/>
    <mergeCell ref="AC802:AC803"/>
    <mergeCell ref="AC804:AC805"/>
    <mergeCell ref="AC806:AC810"/>
    <mergeCell ref="AC811:AC813"/>
    <mergeCell ref="AC814:AC815"/>
    <mergeCell ref="AC816:AC817"/>
    <mergeCell ref="AC818:AC822"/>
    <mergeCell ref="AC823:AC824"/>
    <mergeCell ref="AC825:AC827"/>
    <mergeCell ref="AC828:AC831"/>
    <mergeCell ref="AC832:AC834"/>
    <mergeCell ref="AC835:AC836"/>
    <mergeCell ref="AC837:AC838"/>
    <mergeCell ref="AC839:AC843"/>
    <mergeCell ref="AC844:AC845"/>
    <mergeCell ref="AC846:AC853"/>
    <mergeCell ref="AC854:AC859"/>
    <mergeCell ref="AC860:AC862"/>
    <mergeCell ref="AC863:AC867"/>
    <mergeCell ref="AC882:AC886"/>
    <mergeCell ref="AC888:AC891"/>
    <mergeCell ref="AC892:AC894"/>
    <mergeCell ref="AC896:AC901"/>
    <mergeCell ref="AC902:AC907"/>
    <mergeCell ref="AC908:AC909"/>
    <mergeCell ref="AC911:AC913"/>
    <mergeCell ref="AC914:AC916"/>
    <mergeCell ref="AC917:AC920"/>
    <mergeCell ref="AC921:AC923"/>
    <mergeCell ref="AC931:AC932"/>
    <mergeCell ref="AC933:AC935"/>
    <mergeCell ref="AC936:AC937"/>
    <mergeCell ref="AC938:AC940"/>
    <mergeCell ref="AC944:AC946"/>
    <mergeCell ref="AC951:AC954"/>
    <mergeCell ref="AC955:AC958"/>
    <mergeCell ref="AC978:AC980"/>
    <mergeCell ref="AC983:AC985"/>
    <mergeCell ref="AC1034:AC1035"/>
    <mergeCell ref="AC1039:AC1040"/>
    <mergeCell ref="AC1046:AC1047"/>
    <mergeCell ref="AC1056:AC1057"/>
    <mergeCell ref="AC1061:AC1062"/>
    <mergeCell ref="AC1190:AC1191"/>
    <mergeCell ref="AC1192:AC1193"/>
    <mergeCell ref="AC1194:AC1195"/>
    <mergeCell ref="AC1196:AC1198"/>
    <mergeCell ref="AC1199:AC1200"/>
    <mergeCell ref="AC1209:AC1210"/>
    <mergeCell ref="AC1227:AC1229"/>
    <mergeCell ref="AC1230:AC1232"/>
    <mergeCell ref="AC1233:AC1235"/>
    <mergeCell ref="AC1236:AC1237"/>
    <mergeCell ref="AC1238:AC1239"/>
    <mergeCell ref="AC1241:AC1242"/>
    <mergeCell ref="AC1267:AC1268"/>
    <mergeCell ref="AC1286:AC1287"/>
    <mergeCell ref="AC1300:AC1301"/>
    <mergeCell ref="AC1302:AC1303"/>
    <mergeCell ref="AC1304:AC1305"/>
    <mergeCell ref="AC1306:AC1307"/>
    <mergeCell ref="AC1332:AC1333"/>
    <mergeCell ref="AC1350:AC1351"/>
    <mergeCell ref="AC1352:AC1353"/>
    <mergeCell ref="AC1355:AC1356"/>
    <mergeCell ref="AC1357:AC1358"/>
    <mergeCell ref="AC1359:AC1360"/>
    <mergeCell ref="AC1361:AC1362"/>
    <mergeCell ref="AC1365:AC1366"/>
    <mergeCell ref="AC1472:AC1473"/>
    <mergeCell ref="AC1490:AC1491"/>
    <mergeCell ref="AC1518:AC1519"/>
    <mergeCell ref="AC1544:AC1545"/>
    <mergeCell ref="AC1553:AC1554"/>
    <mergeCell ref="AC1558:AC1560"/>
    <mergeCell ref="AC1564:AC1565"/>
    <mergeCell ref="AC1581:AC1582"/>
    <mergeCell ref="AC1612:AC1613"/>
    <mergeCell ref="AC1623:AC1624"/>
    <mergeCell ref="AC1672:AC1673"/>
    <mergeCell ref="AC1674:AC1675"/>
    <mergeCell ref="AC1676:AC1677"/>
    <mergeCell ref="AC1695:AC1697"/>
    <mergeCell ref="AC1701:AC1702"/>
    <mergeCell ref="AC1703:AC1704"/>
    <mergeCell ref="AC1705:AC1706"/>
    <mergeCell ref="AC1711:AC1712"/>
    <mergeCell ref="AC1713:AC1714"/>
    <mergeCell ref="AC1718:AC1719"/>
    <mergeCell ref="AC1736:AC1738"/>
    <mergeCell ref="AC1751:AC1753"/>
    <mergeCell ref="AC1754:AC1757"/>
    <mergeCell ref="AC1760:AC1762"/>
    <mergeCell ref="AC1764:AC1765"/>
    <mergeCell ref="AC1769:AC1770"/>
    <mergeCell ref="AC1800:AC1801"/>
    <mergeCell ref="AC1807:AC1808"/>
    <mergeCell ref="AC1812:AC1813"/>
    <mergeCell ref="AC1867:AC1868"/>
    <mergeCell ref="AC1869:AC1870"/>
    <mergeCell ref="AC1871:AC1872"/>
    <mergeCell ref="AC1873:AC1874"/>
    <mergeCell ref="AC1875:AC1876"/>
    <mergeCell ref="AC1877:AC1878"/>
    <mergeCell ref="AC1879:AC1880"/>
    <mergeCell ref="AC1881:AC1882"/>
    <mergeCell ref="AC1883:AC1884"/>
    <mergeCell ref="AC1885:AC1886"/>
    <mergeCell ref="AC1888:AC1889"/>
    <mergeCell ref="AC1890:AC1891"/>
    <mergeCell ref="AC1892:AC1893"/>
    <mergeCell ref="AC1894:AC1895"/>
    <mergeCell ref="AC1896:AC1897"/>
    <mergeCell ref="AC1898:AC1899"/>
    <mergeCell ref="AC1900:AC1901"/>
    <mergeCell ref="AC1902:AC1903"/>
    <mergeCell ref="AC1904:AC1905"/>
    <mergeCell ref="AC1906:AC1907"/>
    <mergeCell ref="AC1992:AC1993"/>
    <mergeCell ref="AC2000:AC2001"/>
    <mergeCell ref="AC2012:AC2013"/>
    <mergeCell ref="AC2016:AC2017"/>
    <mergeCell ref="AC2021:AC2022"/>
    <mergeCell ref="AC2029:AC2030"/>
    <mergeCell ref="AC2038:AC2039"/>
    <mergeCell ref="AC2045:AC2046"/>
    <mergeCell ref="AC2047:AC2049"/>
    <mergeCell ref="AC2050:AC2052"/>
    <mergeCell ref="AC2053:AC2055"/>
    <mergeCell ref="AC2056:AC2058"/>
    <mergeCell ref="AC2059:AC2061"/>
    <mergeCell ref="AC2062:AC2064"/>
    <mergeCell ref="AC2065:AC2067"/>
    <mergeCell ref="AC2068:AC2069"/>
    <mergeCell ref="AC2089:AC2090"/>
    <mergeCell ref="AC2094:AC2095"/>
    <mergeCell ref="AC2099:AC2100"/>
    <mergeCell ref="AC2103:AC2104"/>
    <mergeCell ref="AC2109:AC2111"/>
    <mergeCell ref="AC2148:AC2150"/>
    <mergeCell ref="AC2151:AC2153"/>
    <mergeCell ref="AC2157:AC2158"/>
    <mergeCell ref="AC2168:AC2169"/>
    <mergeCell ref="AC2171:AC2173"/>
    <mergeCell ref="AC2174:AC2175"/>
    <mergeCell ref="AC2185:AC2186"/>
    <mergeCell ref="AC2187:AC2188"/>
    <mergeCell ref="AC2195:AC2197"/>
    <mergeCell ref="AC2199:AC2201"/>
    <mergeCell ref="AC2202:AC2203"/>
    <mergeCell ref="AC2205:AC2207"/>
    <mergeCell ref="AC2215:AC2217"/>
    <mergeCell ref="AC2224:AC2225"/>
    <mergeCell ref="AC2226:AC2228"/>
    <mergeCell ref="AC2231:AC2232"/>
    <mergeCell ref="AC2233:AC2234"/>
    <mergeCell ref="AC2245:AC2248"/>
    <mergeCell ref="AC2249:AC2250"/>
    <mergeCell ref="AC2251:AC2252"/>
    <mergeCell ref="AC2253:AC2256"/>
    <mergeCell ref="AC2257:AC2258"/>
    <mergeCell ref="AC2264:AC2267"/>
    <mergeCell ref="AC2268:AC2270"/>
    <mergeCell ref="AC2271:AC2273"/>
    <mergeCell ref="AC2274:AC2277"/>
    <mergeCell ref="AC2283:AC2284"/>
    <mergeCell ref="AC2288:AC2293"/>
    <mergeCell ref="AC2294:AC2295"/>
    <mergeCell ref="AC2297:AC2298"/>
    <mergeCell ref="AC2325:AC2326"/>
    <mergeCell ref="AC2329:AC2331"/>
    <mergeCell ref="AC2332:AC2334"/>
    <mergeCell ref="AC2336:AC2337"/>
    <mergeCell ref="AC2338:AC2339"/>
    <mergeCell ref="AC2340:AC2341"/>
    <mergeCell ref="AC2342:AC2343"/>
    <mergeCell ref="AC2352:AC2356"/>
    <mergeCell ref="AC2357:AC2358"/>
    <mergeCell ref="AC2360:AC2361"/>
    <mergeCell ref="AC2364:AC2369"/>
    <mergeCell ref="AC2371:AC2373"/>
    <mergeCell ref="AC2375:AC2377"/>
    <mergeCell ref="AC2380:AC2382"/>
    <mergeCell ref="AC2385:AC2388"/>
    <mergeCell ref="AC2399:AC2401"/>
    <mergeCell ref="AC2402:AC2407"/>
    <mergeCell ref="AC2408:AC2412"/>
    <mergeCell ref="AC2416:AC2418"/>
    <mergeCell ref="AC2419:AC2420"/>
    <mergeCell ref="AC2422:AC2434"/>
    <mergeCell ref="AC2435:AC2437"/>
    <mergeCell ref="AC2438:AC2439"/>
    <mergeCell ref="AC2456:AC2463"/>
    <mergeCell ref="AC2464:AC2465"/>
    <mergeCell ref="AC2470:AC2474"/>
    <mergeCell ref="AC2625:AC2626"/>
    <mergeCell ref="AC2628:AC2629"/>
    <mergeCell ref="AC2633:AC2634"/>
    <mergeCell ref="AC2642:AC2643"/>
    <mergeCell ref="AC2648:AC2649"/>
    <mergeCell ref="AC2654:AC2655"/>
    <mergeCell ref="AC2657:AC2658"/>
    <mergeCell ref="AC2676:AC2677"/>
    <mergeCell ref="AC2682:AC2683"/>
    <mergeCell ref="AC2684:AC2685"/>
    <mergeCell ref="AC2686:AC2688"/>
    <mergeCell ref="AD13:AD14"/>
    <mergeCell ref="AD31:AD32"/>
    <mergeCell ref="AD64:AD65"/>
    <mergeCell ref="AD67:AD69"/>
    <mergeCell ref="AD70:AD71"/>
    <mergeCell ref="AD72:AD73"/>
    <mergeCell ref="AD74:AD75"/>
    <mergeCell ref="AD76:AD77"/>
    <mergeCell ref="AD92:AD93"/>
    <mergeCell ref="AD99:AD101"/>
    <mergeCell ref="AD133:AD134"/>
    <mergeCell ref="AD135:AD136"/>
    <mergeCell ref="AD138:AD139"/>
    <mergeCell ref="AD140:AD141"/>
    <mergeCell ref="AD160:AD162"/>
    <mergeCell ref="AD182:AD183"/>
    <mergeCell ref="AD184:AD185"/>
    <mergeCell ref="AD198:AD199"/>
    <mergeCell ref="AD213:AD214"/>
    <mergeCell ref="AD215:AD216"/>
    <mergeCell ref="AD224:AD225"/>
    <mergeCell ref="AD232:AD233"/>
    <mergeCell ref="AD238:AD239"/>
    <mergeCell ref="AD241:AD244"/>
    <mergeCell ref="AD266:AD267"/>
    <mergeCell ref="AD294:AD295"/>
    <mergeCell ref="AD391:AD392"/>
    <mergeCell ref="AD443:AD444"/>
    <mergeCell ref="AD467:AD468"/>
    <mergeCell ref="AD509:AD510"/>
    <mergeCell ref="AD511:AD514"/>
    <mergeCell ref="AD515:AD521"/>
    <mergeCell ref="AD522:AD524"/>
    <mergeCell ref="AD555:AD556"/>
    <mergeCell ref="AD557:AD558"/>
    <mergeCell ref="AD563:AD564"/>
    <mergeCell ref="AD566:AD567"/>
    <mergeCell ref="AD579:AD580"/>
    <mergeCell ref="AD598:AD599"/>
    <mergeCell ref="AD605:AD606"/>
    <mergeCell ref="AD607:AD608"/>
    <mergeCell ref="AD609:AD611"/>
    <mergeCell ref="AD612:AD613"/>
    <mergeCell ref="AD614:AD615"/>
    <mergeCell ref="AD619:AD620"/>
    <mergeCell ref="AD626:AD628"/>
    <mergeCell ref="AD631:AD632"/>
    <mergeCell ref="AD633:AD634"/>
    <mergeCell ref="AD635:AD639"/>
    <mergeCell ref="AD649:AD650"/>
    <mergeCell ref="AD655:AD656"/>
    <mergeCell ref="AD658:AD662"/>
    <mergeCell ref="AD663:AD668"/>
    <mergeCell ref="AD669:AD673"/>
    <mergeCell ref="AD687:AD688"/>
    <mergeCell ref="AD690:AD691"/>
    <mergeCell ref="AD692:AD693"/>
    <mergeCell ref="AD695:AD696"/>
    <mergeCell ref="AD697:AD701"/>
    <mergeCell ref="AD702:AD704"/>
    <mergeCell ref="AD707:AD708"/>
    <mergeCell ref="AD712:AD713"/>
    <mergeCell ref="AD715:AD716"/>
    <mergeCell ref="AD717:AD720"/>
    <mergeCell ref="AD723:AD724"/>
    <mergeCell ref="AD736:AD737"/>
    <mergeCell ref="AD738:AD739"/>
    <mergeCell ref="AD740:AD741"/>
    <mergeCell ref="AD742:AD743"/>
    <mergeCell ref="AD746:AD747"/>
    <mergeCell ref="AD748:AD749"/>
    <mergeCell ref="AD750:AD751"/>
    <mergeCell ref="AD752:AD753"/>
    <mergeCell ref="AD754:AD755"/>
    <mergeCell ref="AD756:AD758"/>
    <mergeCell ref="AD759:AD762"/>
    <mergeCell ref="AD763:AD764"/>
    <mergeCell ref="AD770:AD771"/>
    <mergeCell ref="AD772:AD773"/>
    <mergeCell ref="AD774:AD775"/>
    <mergeCell ref="AD776:AD777"/>
    <mergeCell ref="AD778:AD779"/>
    <mergeCell ref="AD780:AD782"/>
    <mergeCell ref="AD783:AD784"/>
    <mergeCell ref="AD785:AD786"/>
    <mergeCell ref="AD787:AD788"/>
    <mergeCell ref="AD789:AD790"/>
    <mergeCell ref="AD791:AD792"/>
    <mergeCell ref="AD793:AD794"/>
    <mergeCell ref="AD809:AD810"/>
    <mergeCell ref="AD825:AD827"/>
    <mergeCell ref="AD846:AD849"/>
    <mergeCell ref="AD855:AD856"/>
    <mergeCell ref="AD858:AD859"/>
    <mergeCell ref="AD863:AD866"/>
    <mergeCell ref="AD882:AD886"/>
    <mergeCell ref="AD888:AD891"/>
    <mergeCell ref="AD892:AD894"/>
    <mergeCell ref="AD896:AD901"/>
    <mergeCell ref="AD902:AD907"/>
    <mergeCell ref="AD908:AD909"/>
    <mergeCell ref="AD911:AD913"/>
    <mergeCell ref="AD914:AD916"/>
    <mergeCell ref="AD917:AD920"/>
    <mergeCell ref="AD921:AD923"/>
    <mergeCell ref="AD931:AD932"/>
    <mergeCell ref="AD933:AD935"/>
    <mergeCell ref="AD936:AD937"/>
    <mergeCell ref="AD938:AD940"/>
    <mergeCell ref="AD944:AD946"/>
    <mergeCell ref="AD951:AD954"/>
    <mergeCell ref="AD955:AD958"/>
    <mergeCell ref="AD978:AD980"/>
    <mergeCell ref="AD983:AD985"/>
    <mergeCell ref="AD1034:AD1035"/>
    <mergeCell ref="AD1039:AD1040"/>
    <mergeCell ref="AD1046:AD1047"/>
    <mergeCell ref="AD1056:AD1057"/>
    <mergeCell ref="AD1061:AD1062"/>
    <mergeCell ref="AD1209:AD1210"/>
    <mergeCell ref="AD1241:AD1242"/>
    <mergeCell ref="AD1286:AD1287"/>
    <mergeCell ref="AD1332:AD1333"/>
    <mergeCell ref="AD1365:AD1366"/>
    <mergeCell ref="AD1462:AD1463"/>
    <mergeCell ref="AD1490:AD1491"/>
    <mergeCell ref="AD1518:AD1519"/>
    <mergeCell ref="AD1544:AD1545"/>
    <mergeCell ref="AD1553:AD1554"/>
    <mergeCell ref="AD1558:AD1560"/>
    <mergeCell ref="AD1564:AD1565"/>
    <mergeCell ref="AD1581:AD1582"/>
    <mergeCell ref="AD1612:AD1613"/>
    <mergeCell ref="AD1695:AD1697"/>
    <mergeCell ref="AD1701:AD1702"/>
    <mergeCell ref="AD1703:AD1704"/>
    <mergeCell ref="AD1705:AD1706"/>
    <mergeCell ref="AD1711:AD1712"/>
    <mergeCell ref="AD1713:AD1714"/>
    <mergeCell ref="AD1718:AD1719"/>
    <mergeCell ref="AD1736:AD1738"/>
    <mergeCell ref="AD1751:AD1753"/>
    <mergeCell ref="AD1754:AD1757"/>
    <mergeCell ref="AD1760:AD1762"/>
    <mergeCell ref="AD1764:AD1765"/>
    <mergeCell ref="AD1769:AD1770"/>
    <mergeCell ref="AD1800:AD1801"/>
    <mergeCell ref="AD1807:AD1808"/>
    <mergeCell ref="AD1812:AD1813"/>
    <mergeCell ref="AD1867:AD1868"/>
    <mergeCell ref="AD1869:AD1870"/>
    <mergeCell ref="AD1871:AD1872"/>
    <mergeCell ref="AD1873:AD1874"/>
    <mergeCell ref="AD1875:AD1876"/>
    <mergeCell ref="AD1877:AD1878"/>
    <mergeCell ref="AD1879:AD1880"/>
    <mergeCell ref="AD1881:AD1882"/>
    <mergeCell ref="AD1883:AD1884"/>
    <mergeCell ref="AD1885:AD1886"/>
    <mergeCell ref="AD1888:AD1889"/>
    <mergeCell ref="AD1890:AD1891"/>
    <mergeCell ref="AD1892:AD1893"/>
    <mergeCell ref="AD1894:AD1895"/>
    <mergeCell ref="AD1896:AD1897"/>
    <mergeCell ref="AD1898:AD1899"/>
    <mergeCell ref="AD1900:AD1901"/>
    <mergeCell ref="AD1902:AD1903"/>
    <mergeCell ref="AD1904:AD1905"/>
    <mergeCell ref="AD1906:AD1907"/>
    <mergeCell ref="AD1992:AD1993"/>
    <mergeCell ref="AD2000:AD2001"/>
    <mergeCell ref="AD2012:AD2013"/>
    <mergeCell ref="AD2016:AD2017"/>
    <mergeCell ref="AD2021:AD2022"/>
    <mergeCell ref="AD2029:AD2030"/>
    <mergeCell ref="AD2038:AD2039"/>
    <mergeCell ref="AD2045:AD2046"/>
    <mergeCell ref="AD2065:AD2067"/>
    <mergeCell ref="AD2068:AD2069"/>
    <mergeCell ref="AD2089:AD2090"/>
    <mergeCell ref="AD2094:AD2095"/>
    <mergeCell ref="AD2099:AD2100"/>
    <mergeCell ref="AD2103:AD2104"/>
    <mergeCell ref="AD2109:AD2111"/>
    <mergeCell ref="AD2148:AD2149"/>
    <mergeCell ref="AD2157:AD2158"/>
    <mergeCell ref="AD2168:AD2169"/>
    <mergeCell ref="AD2171:AD2173"/>
    <mergeCell ref="AD2174:AD2175"/>
    <mergeCell ref="AD2185:AD2186"/>
    <mergeCell ref="AD2187:AD2188"/>
    <mergeCell ref="AD2195:AD2197"/>
    <mergeCell ref="AD2199:AD2201"/>
    <mergeCell ref="AD2202:AD2203"/>
    <mergeCell ref="AD2205:AD2207"/>
    <mergeCell ref="AD2215:AD2217"/>
    <mergeCell ref="AD2224:AD2225"/>
    <mergeCell ref="AD2226:AD2228"/>
    <mergeCell ref="AD2231:AD2232"/>
    <mergeCell ref="AD2233:AD2234"/>
    <mergeCell ref="AD2245:AD2248"/>
    <mergeCell ref="AD2249:AD2250"/>
    <mergeCell ref="AD2251:AD2252"/>
    <mergeCell ref="AD2253:AD2256"/>
    <mergeCell ref="AD2257:AD2258"/>
    <mergeCell ref="AD2264:AD2267"/>
    <mergeCell ref="AD2268:AD2270"/>
    <mergeCell ref="AD2271:AD2273"/>
    <mergeCell ref="AD2274:AD2277"/>
    <mergeCell ref="AD2283:AD2284"/>
    <mergeCell ref="AD2288:AD2293"/>
    <mergeCell ref="AD2294:AD2295"/>
    <mergeCell ref="AD2297:AD2298"/>
    <mergeCell ref="AD2325:AD2326"/>
    <mergeCell ref="AD2329:AD2331"/>
    <mergeCell ref="AD2332:AD2334"/>
    <mergeCell ref="AD2336:AD2337"/>
    <mergeCell ref="AD2338:AD2339"/>
    <mergeCell ref="AD2340:AD2341"/>
    <mergeCell ref="AD2342:AD2343"/>
    <mergeCell ref="AD2352:AD2356"/>
    <mergeCell ref="AD2360:AD2361"/>
    <mergeCell ref="AD2364:AD2369"/>
    <mergeCell ref="AD2371:AD2373"/>
    <mergeCell ref="AD2375:AD2377"/>
    <mergeCell ref="AD2380:AD2382"/>
    <mergeCell ref="AD2385:AD2386"/>
    <mergeCell ref="AD2399:AD2401"/>
    <mergeCell ref="AD2402:AD2407"/>
    <mergeCell ref="AD2408:AD2412"/>
    <mergeCell ref="AD2416:AD2418"/>
    <mergeCell ref="AD2419:AD2420"/>
    <mergeCell ref="AD2422:AD2434"/>
    <mergeCell ref="AD2435:AD2437"/>
    <mergeCell ref="AD2438:AD2439"/>
    <mergeCell ref="AD2625:AD2626"/>
    <mergeCell ref="AD2628:AD2629"/>
    <mergeCell ref="AD2633:AD2634"/>
    <mergeCell ref="AD2642:AD2643"/>
    <mergeCell ref="AD2648:AD2649"/>
    <mergeCell ref="AD2654:AD2655"/>
    <mergeCell ref="AD2657:AD2658"/>
    <mergeCell ref="AD2676:AD2677"/>
    <mergeCell ref="AD2682:AD2683"/>
    <mergeCell ref="AD2684:AD2685"/>
    <mergeCell ref="AD2686:AD2688"/>
    <mergeCell ref="AE13:AE14"/>
    <mergeCell ref="AE64:AE65"/>
    <mergeCell ref="AE67:AE69"/>
    <mergeCell ref="AE70:AE71"/>
    <mergeCell ref="AE74:AE75"/>
    <mergeCell ref="AE92:AE93"/>
    <mergeCell ref="AE99:AE101"/>
    <mergeCell ref="AE133:AE134"/>
    <mergeCell ref="AE135:AE136"/>
    <mergeCell ref="AE138:AE139"/>
    <mergeCell ref="AE140:AE141"/>
    <mergeCell ref="AE160:AE162"/>
    <mergeCell ref="AE182:AE183"/>
    <mergeCell ref="AE184:AE185"/>
    <mergeCell ref="AE193:AE194"/>
    <mergeCell ref="AE196:AE197"/>
    <mergeCell ref="AE198:AE199"/>
    <mergeCell ref="AE215:AE216"/>
    <mergeCell ref="AE224:AE225"/>
    <mergeCell ref="AE232:AE233"/>
    <mergeCell ref="AE238:AE239"/>
    <mergeCell ref="AE241:AE244"/>
    <mergeCell ref="AE266:AE267"/>
    <mergeCell ref="AE294:AE295"/>
    <mergeCell ref="AE341:AE342"/>
    <mergeCell ref="AE357:AE358"/>
    <mergeCell ref="AE359:AE360"/>
    <mergeCell ref="AE361:AE363"/>
    <mergeCell ref="AE391:AE392"/>
    <mergeCell ref="AE467:AE468"/>
    <mergeCell ref="AE509:AE510"/>
    <mergeCell ref="AE511:AE514"/>
    <mergeCell ref="AE515:AE521"/>
    <mergeCell ref="AE522:AE524"/>
    <mergeCell ref="AE555:AE556"/>
    <mergeCell ref="AE557:AE558"/>
    <mergeCell ref="AE563:AE564"/>
    <mergeCell ref="AE566:AE567"/>
    <mergeCell ref="AE579:AE580"/>
    <mergeCell ref="AE581:AE582"/>
    <mergeCell ref="AE598:AE599"/>
    <mergeCell ref="AE605:AE606"/>
    <mergeCell ref="AE607:AE608"/>
    <mergeCell ref="AE609:AE611"/>
    <mergeCell ref="AE612:AE613"/>
    <mergeCell ref="AE614:AE615"/>
    <mergeCell ref="AE619:AE620"/>
    <mergeCell ref="AE626:AE628"/>
    <mergeCell ref="AE631:AE632"/>
    <mergeCell ref="AE633:AE634"/>
    <mergeCell ref="AE635:AE639"/>
    <mergeCell ref="AE649:AE650"/>
    <mergeCell ref="AE655:AE656"/>
    <mergeCell ref="AE658:AE662"/>
    <mergeCell ref="AE663:AE668"/>
    <mergeCell ref="AE669:AE673"/>
    <mergeCell ref="AE687:AE688"/>
    <mergeCell ref="AE690:AE691"/>
    <mergeCell ref="AE692:AE693"/>
    <mergeCell ref="AE695:AE696"/>
    <mergeCell ref="AE697:AE701"/>
    <mergeCell ref="AE702:AE704"/>
    <mergeCell ref="AE707:AE708"/>
    <mergeCell ref="AE712:AE713"/>
    <mergeCell ref="AE715:AE716"/>
    <mergeCell ref="AE717:AE720"/>
    <mergeCell ref="AE723:AE724"/>
    <mergeCell ref="AE736:AE737"/>
    <mergeCell ref="AE738:AE739"/>
    <mergeCell ref="AE740:AE741"/>
    <mergeCell ref="AE742:AE743"/>
    <mergeCell ref="AE746:AE747"/>
    <mergeCell ref="AE748:AE749"/>
    <mergeCell ref="AE750:AE751"/>
    <mergeCell ref="AE752:AE753"/>
    <mergeCell ref="AE754:AE755"/>
    <mergeCell ref="AE756:AE758"/>
    <mergeCell ref="AE759:AE762"/>
    <mergeCell ref="AE763:AE764"/>
    <mergeCell ref="AE770:AE771"/>
    <mergeCell ref="AE772:AE773"/>
    <mergeCell ref="AE774:AE775"/>
    <mergeCell ref="AE776:AE777"/>
    <mergeCell ref="AE778:AE779"/>
    <mergeCell ref="AE780:AE782"/>
    <mergeCell ref="AE783:AE784"/>
    <mergeCell ref="AE785:AE786"/>
    <mergeCell ref="AE787:AE788"/>
    <mergeCell ref="AE789:AE790"/>
    <mergeCell ref="AE791:AE792"/>
    <mergeCell ref="AE793:AE794"/>
    <mergeCell ref="AE809:AE810"/>
    <mergeCell ref="AE825:AE827"/>
    <mergeCell ref="AE846:AE849"/>
    <mergeCell ref="AE855:AE856"/>
    <mergeCell ref="AE858:AE859"/>
    <mergeCell ref="AE863:AE866"/>
    <mergeCell ref="AE882:AE886"/>
    <mergeCell ref="AE888:AE891"/>
    <mergeCell ref="AE892:AE894"/>
    <mergeCell ref="AE896:AE901"/>
    <mergeCell ref="AE902:AE907"/>
    <mergeCell ref="AE908:AE909"/>
    <mergeCell ref="AE911:AE913"/>
    <mergeCell ref="AE914:AE916"/>
    <mergeCell ref="AE917:AE920"/>
    <mergeCell ref="AE921:AE923"/>
    <mergeCell ref="AE931:AE932"/>
    <mergeCell ref="AE933:AE935"/>
    <mergeCell ref="AE936:AE937"/>
    <mergeCell ref="AE938:AE940"/>
    <mergeCell ref="AE944:AE946"/>
    <mergeCell ref="AE951:AE954"/>
    <mergeCell ref="AE955:AE958"/>
    <mergeCell ref="AE978:AE980"/>
    <mergeCell ref="AE983:AE985"/>
    <mergeCell ref="AE1034:AE1035"/>
    <mergeCell ref="AE1039:AE1040"/>
    <mergeCell ref="AE1046:AE1047"/>
    <mergeCell ref="AE1056:AE1057"/>
    <mergeCell ref="AE1061:AE1062"/>
    <mergeCell ref="AE1133:AE1134"/>
    <mergeCell ref="AE1190:AE1191"/>
    <mergeCell ref="AE1192:AE1193"/>
    <mergeCell ref="AE1194:AE1195"/>
    <mergeCell ref="AE1196:AE1198"/>
    <mergeCell ref="AE1199:AE1200"/>
    <mergeCell ref="AE1209:AE1210"/>
    <mergeCell ref="AE1227:AE1229"/>
    <mergeCell ref="AE1230:AE1232"/>
    <mergeCell ref="AE1233:AE1235"/>
    <mergeCell ref="AE1236:AE1237"/>
    <mergeCell ref="AE1238:AE1239"/>
    <mergeCell ref="AE1241:AE1242"/>
    <mergeCell ref="AE1267:AE1268"/>
    <mergeCell ref="AE1286:AE1287"/>
    <mergeCell ref="AE1300:AE1301"/>
    <mergeCell ref="AE1302:AE1303"/>
    <mergeCell ref="AE1304:AE1305"/>
    <mergeCell ref="AE1306:AE1307"/>
    <mergeCell ref="AE1332:AE1333"/>
    <mergeCell ref="AE1350:AE1351"/>
    <mergeCell ref="AE1352:AE1353"/>
    <mergeCell ref="AE1355:AE1356"/>
    <mergeCell ref="AE1357:AE1358"/>
    <mergeCell ref="AE1359:AE1360"/>
    <mergeCell ref="AE1361:AE1362"/>
    <mergeCell ref="AE1365:AE1366"/>
    <mergeCell ref="AE1462:AE1463"/>
    <mergeCell ref="AE1472:AE1473"/>
    <mergeCell ref="AE1490:AE1491"/>
    <mergeCell ref="AE1518:AE1519"/>
    <mergeCell ref="AE1544:AE1545"/>
    <mergeCell ref="AE1553:AE1554"/>
    <mergeCell ref="AE1558:AE1560"/>
    <mergeCell ref="AE1581:AE1582"/>
    <mergeCell ref="AE1612:AE1613"/>
    <mergeCell ref="AE1695:AE1697"/>
    <mergeCell ref="AE1701:AE1702"/>
    <mergeCell ref="AE1703:AE1704"/>
    <mergeCell ref="AE1705:AE1706"/>
    <mergeCell ref="AE1711:AE1712"/>
    <mergeCell ref="AE1713:AE1714"/>
    <mergeCell ref="AE1718:AE1719"/>
    <mergeCell ref="AE1736:AE1738"/>
    <mergeCell ref="AE1751:AE1753"/>
    <mergeCell ref="AE1754:AE1757"/>
    <mergeCell ref="AE1760:AE1762"/>
    <mergeCell ref="AE1764:AE1765"/>
    <mergeCell ref="AE1769:AE1770"/>
    <mergeCell ref="AE1800:AE1801"/>
    <mergeCell ref="AE1807:AE1808"/>
    <mergeCell ref="AE1812:AE1813"/>
    <mergeCell ref="AE1867:AE1868"/>
    <mergeCell ref="AE1869:AE1870"/>
    <mergeCell ref="AE1871:AE1872"/>
    <mergeCell ref="AE1873:AE1874"/>
    <mergeCell ref="AE1875:AE1876"/>
    <mergeCell ref="AE1877:AE1878"/>
    <mergeCell ref="AE1879:AE1880"/>
    <mergeCell ref="AE1881:AE1882"/>
    <mergeCell ref="AE1883:AE1884"/>
    <mergeCell ref="AE1885:AE1886"/>
    <mergeCell ref="AE1888:AE1889"/>
    <mergeCell ref="AE1890:AE1891"/>
    <mergeCell ref="AE1892:AE1893"/>
    <mergeCell ref="AE1894:AE1895"/>
    <mergeCell ref="AE1896:AE1897"/>
    <mergeCell ref="AE1898:AE1899"/>
    <mergeCell ref="AE1900:AE1901"/>
    <mergeCell ref="AE1902:AE1903"/>
    <mergeCell ref="AE1904:AE1905"/>
    <mergeCell ref="AE1906:AE1907"/>
    <mergeCell ref="AE1985:AE1986"/>
    <mergeCell ref="AE1992:AE1993"/>
    <mergeCell ref="AE2000:AE2001"/>
    <mergeCell ref="AE2012:AE2013"/>
    <mergeCell ref="AE2016:AE2017"/>
    <mergeCell ref="AE2021:AE2022"/>
    <mergeCell ref="AE2029:AE2030"/>
    <mergeCell ref="AE2038:AE2039"/>
    <mergeCell ref="AE2045:AE2046"/>
    <mergeCell ref="AE2047:AE2049"/>
    <mergeCell ref="AE2050:AE2052"/>
    <mergeCell ref="AE2053:AE2055"/>
    <mergeCell ref="AE2056:AE2058"/>
    <mergeCell ref="AE2059:AE2061"/>
    <mergeCell ref="AE2062:AE2064"/>
    <mergeCell ref="AE2065:AE2067"/>
    <mergeCell ref="AE2068:AE2069"/>
    <mergeCell ref="AE2089:AE2090"/>
    <mergeCell ref="AE2094:AE2095"/>
    <mergeCell ref="AE2099:AE2100"/>
    <mergeCell ref="AE2103:AE2104"/>
    <mergeCell ref="AE2109:AE2111"/>
    <mergeCell ref="AE2157:AE2158"/>
    <mergeCell ref="AE2168:AE2169"/>
    <mergeCell ref="AE2171:AE2173"/>
    <mergeCell ref="AE2174:AE2175"/>
    <mergeCell ref="AE2185:AE2186"/>
    <mergeCell ref="AE2187:AE2188"/>
    <mergeCell ref="AE2195:AE2197"/>
    <mergeCell ref="AE2199:AE2201"/>
    <mergeCell ref="AE2202:AE2203"/>
    <mergeCell ref="AE2205:AE2207"/>
    <mergeCell ref="AE2215:AE2217"/>
    <mergeCell ref="AE2224:AE2225"/>
    <mergeCell ref="AE2226:AE2228"/>
    <mergeCell ref="AE2231:AE2232"/>
    <mergeCell ref="AE2233:AE2234"/>
    <mergeCell ref="AE2245:AE2248"/>
    <mergeCell ref="AE2249:AE2250"/>
    <mergeCell ref="AE2251:AE2252"/>
    <mergeCell ref="AE2253:AE2256"/>
    <mergeCell ref="AE2257:AE2258"/>
    <mergeCell ref="AE2264:AE2267"/>
    <mergeCell ref="AE2268:AE2270"/>
    <mergeCell ref="AE2271:AE2273"/>
    <mergeCell ref="AE2274:AE2277"/>
    <mergeCell ref="AE2283:AE2284"/>
    <mergeCell ref="AE2288:AE2293"/>
    <mergeCell ref="AE2294:AE2295"/>
    <mergeCell ref="AE2325:AE2326"/>
    <mergeCell ref="AE2329:AE2331"/>
    <mergeCell ref="AE2332:AE2334"/>
    <mergeCell ref="AE2336:AE2337"/>
    <mergeCell ref="AE2338:AE2339"/>
    <mergeCell ref="AE2340:AE2341"/>
    <mergeCell ref="AE2342:AE2343"/>
    <mergeCell ref="AE2352:AE2356"/>
    <mergeCell ref="AE2357:AE2358"/>
    <mergeCell ref="AE2360:AE2361"/>
    <mergeCell ref="AE2364:AE2369"/>
    <mergeCell ref="AE2371:AE2373"/>
    <mergeCell ref="AE2375:AE2377"/>
    <mergeCell ref="AE2380:AE2382"/>
    <mergeCell ref="AE2385:AE2388"/>
    <mergeCell ref="AE2399:AE2401"/>
    <mergeCell ref="AE2402:AE2407"/>
    <mergeCell ref="AE2408:AE2412"/>
    <mergeCell ref="AE2416:AE2418"/>
    <mergeCell ref="AE2419:AE2420"/>
    <mergeCell ref="AE2422:AE2434"/>
    <mergeCell ref="AE2435:AE2437"/>
    <mergeCell ref="AE2438:AE2439"/>
    <mergeCell ref="AE2625:AE2626"/>
    <mergeCell ref="AE2628:AE2629"/>
    <mergeCell ref="AE2633:AE2634"/>
    <mergeCell ref="AE2642:AE2643"/>
    <mergeCell ref="AE2648:AE2649"/>
    <mergeCell ref="AE2654:AE2655"/>
    <mergeCell ref="AE2657:AE2658"/>
    <mergeCell ref="AE2676:AE2677"/>
    <mergeCell ref="AE2682:AE2683"/>
    <mergeCell ref="AE2684:AE2685"/>
    <mergeCell ref="AE2686:AE2688"/>
    <mergeCell ref="AF13:AF14"/>
    <mergeCell ref="AF64:AF65"/>
    <mergeCell ref="AF67:AF71"/>
    <mergeCell ref="AF72:AF73"/>
    <mergeCell ref="AF74:AF75"/>
    <mergeCell ref="AF76:AF77"/>
    <mergeCell ref="AF92:AF93"/>
    <mergeCell ref="AF99:AF101"/>
    <mergeCell ref="AF133:AF134"/>
    <mergeCell ref="AF135:AF136"/>
    <mergeCell ref="AF138:AF139"/>
    <mergeCell ref="AF140:AF141"/>
    <mergeCell ref="AF160:AF162"/>
    <mergeCell ref="AF182:AF183"/>
    <mergeCell ref="AF184:AF185"/>
    <mergeCell ref="AF193:AF194"/>
    <mergeCell ref="AF196:AF197"/>
    <mergeCell ref="AF198:AF199"/>
    <mergeCell ref="AF215:AF216"/>
    <mergeCell ref="AF224:AF225"/>
    <mergeCell ref="AF232:AF233"/>
    <mergeCell ref="AF238:AF239"/>
    <mergeCell ref="AF241:AF244"/>
    <mergeCell ref="AF294:AF295"/>
    <mergeCell ref="AF341:AF342"/>
    <mergeCell ref="AF361:AF363"/>
    <mergeCell ref="AF391:AF392"/>
    <mergeCell ref="AF467:AF468"/>
    <mergeCell ref="AF509:AF510"/>
    <mergeCell ref="AF511:AF514"/>
    <mergeCell ref="AF515:AF521"/>
    <mergeCell ref="AF522:AF524"/>
    <mergeCell ref="AF555:AF556"/>
    <mergeCell ref="AF557:AF558"/>
    <mergeCell ref="AF563:AF564"/>
    <mergeCell ref="AF566:AF567"/>
    <mergeCell ref="AF598:AF599"/>
    <mergeCell ref="AF605:AF606"/>
    <mergeCell ref="AF607:AF608"/>
    <mergeCell ref="AF609:AF611"/>
    <mergeCell ref="AF612:AF613"/>
    <mergeCell ref="AF614:AF615"/>
    <mergeCell ref="AF619:AF620"/>
    <mergeCell ref="AF626:AF628"/>
    <mergeCell ref="AF631:AF632"/>
    <mergeCell ref="AF633:AF634"/>
    <mergeCell ref="AF635:AF639"/>
    <mergeCell ref="AF649:AF650"/>
    <mergeCell ref="AF655:AF656"/>
    <mergeCell ref="AF658:AF662"/>
    <mergeCell ref="AF663:AF668"/>
    <mergeCell ref="AF669:AF673"/>
    <mergeCell ref="AF687:AF688"/>
    <mergeCell ref="AF690:AF691"/>
    <mergeCell ref="AF692:AF693"/>
    <mergeCell ref="AF695:AF696"/>
    <mergeCell ref="AF697:AF701"/>
    <mergeCell ref="AF702:AF704"/>
    <mergeCell ref="AF707:AF708"/>
    <mergeCell ref="AF712:AF713"/>
    <mergeCell ref="AF715:AF716"/>
    <mergeCell ref="AF717:AF720"/>
    <mergeCell ref="AF723:AF724"/>
    <mergeCell ref="AF736:AF737"/>
    <mergeCell ref="AF738:AF739"/>
    <mergeCell ref="AF740:AF741"/>
    <mergeCell ref="AF742:AF743"/>
    <mergeCell ref="AF746:AF747"/>
    <mergeCell ref="AF748:AF749"/>
    <mergeCell ref="AF750:AF751"/>
    <mergeCell ref="AF752:AF753"/>
    <mergeCell ref="AF754:AF755"/>
    <mergeCell ref="AF756:AF758"/>
    <mergeCell ref="AF759:AF762"/>
    <mergeCell ref="AF763:AF764"/>
    <mergeCell ref="AF770:AF771"/>
    <mergeCell ref="AF772:AF773"/>
    <mergeCell ref="AF774:AF775"/>
    <mergeCell ref="AF776:AF777"/>
    <mergeCell ref="AF778:AF779"/>
    <mergeCell ref="AF780:AF782"/>
    <mergeCell ref="AF783:AF784"/>
    <mergeCell ref="AF785:AF786"/>
    <mergeCell ref="AF787:AF788"/>
    <mergeCell ref="AF789:AF790"/>
    <mergeCell ref="AF791:AF792"/>
    <mergeCell ref="AF793:AF794"/>
    <mergeCell ref="AF809:AF810"/>
    <mergeCell ref="AF825:AF827"/>
    <mergeCell ref="AF846:AF849"/>
    <mergeCell ref="AF855:AF856"/>
    <mergeCell ref="AF858:AF859"/>
    <mergeCell ref="AF863:AF866"/>
    <mergeCell ref="AF882:AF886"/>
    <mergeCell ref="AF888:AF891"/>
    <mergeCell ref="AF892:AF894"/>
    <mergeCell ref="AF896:AF901"/>
    <mergeCell ref="AF902:AF907"/>
    <mergeCell ref="AF908:AF909"/>
    <mergeCell ref="AF911:AF913"/>
    <mergeCell ref="AF914:AF916"/>
    <mergeCell ref="AF917:AF920"/>
    <mergeCell ref="AF921:AF923"/>
    <mergeCell ref="AF931:AF932"/>
    <mergeCell ref="AF933:AF935"/>
    <mergeCell ref="AF936:AF937"/>
    <mergeCell ref="AF938:AF940"/>
    <mergeCell ref="AF944:AF946"/>
    <mergeCell ref="AF951:AF954"/>
    <mergeCell ref="AF955:AF958"/>
    <mergeCell ref="AF978:AF980"/>
    <mergeCell ref="AF983:AF985"/>
    <mergeCell ref="AF1034:AF1035"/>
    <mergeCell ref="AF1039:AF1040"/>
    <mergeCell ref="AF1046:AF1047"/>
    <mergeCell ref="AF1056:AF1057"/>
    <mergeCell ref="AF1061:AF1062"/>
    <mergeCell ref="AF1190:AF1191"/>
    <mergeCell ref="AF1192:AF1193"/>
    <mergeCell ref="AF1194:AF1195"/>
    <mergeCell ref="AF1196:AF1198"/>
    <mergeCell ref="AF1199:AF1200"/>
    <mergeCell ref="AF1209:AF1210"/>
    <mergeCell ref="AF1227:AF1229"/>
    <mergeCell ref="AF1230:AF1232"/>
    <mergeCell ref="AF1233:AF1235"/>
    <mergeCell ref="AF1236:AF1237"/>
    <mergeCell ref="AF1238:AF1239"/>
    <mergeCell ref="AF1241:AF1242"/>
    <mergeCell ref="AF1267:AF1268"/>
    <mergeCell ref="AF1286:AF1287"/>
    <mergeCell ref="AF1300:AF1301"/>
    <mergeCell ref="AF1302:AF1303"/>
    <mergeCell ref="AF1304:AF1305"/>
    <mergeCell ref="AF1306:AF1307"/>
    <mergeCell ref="AF1332:AF1333"/>
    <mergeCell ref="AF1350:AF1351"/>
    <mergeCell ref="AF1352:AF1353"/>
    <mergeCell ref="AF1355:AF1356"/>
    <mergeCell ref="AF1357:AF1358"/>
    <mergeCell ref="AF1359:AF1360"/>
    <mergeCell ref="AF1361:AF1362"/>
    <mergeCell ref="AF1365:AF1366"/>
    <mergeCell ref="AF1462:AF1463"/>
    <mergeCell ref="AF1472:AF1473"/>
    <mergeCell ref="AF1490:AF1491"/>
    <mergeCell ref="AF1518:AF1519"/>
    <mergeCell ref="AF1544:AF1545"/>
    <mergeCell ref="AF1553:AF1554"/>
    <mergeCell ref="AF1558:AF1560"/>
    <mergeCell ref="AF1581:AF1582"/>
    <mergeCell ref="AF1612:AF1613"/>
    <mergeCell ref="AF1695:AF1697"/>
    <mergeCell ref="AF1701:AF1702"/>
    <mergeCell ref="AF1703:AF1704"/>
    <mergeCell ref="AF1705:AF1706"/>
    <mergeCell ref="AF1711:AF1712"/>
    <mergeCell ref="AF1713:AF1714"/>
    <mergeCell ref="AF1718:AF1719"/>
    <mergeCell ref="AF1736:AF1738"/>
    <mergeCell ref="AF1751:AF1753"/>
    <mergeCell ref="AF1754:AF1757"/>
    <mergeCell ref="AF1760:AF1762"/>
    <mergeCell ref="AF1764:AF1765"/>
    <mergeCell ref="AF1769:AF1770"/>
    <mergeCell ref="AF1800:AF1801"/>
    <mergeCell ref="AF1812:AF1813"/>
    <mergeCell ref="AF1867:AF1868"/>
    <mergeCell ref="AF1869:AF1870"/>
    <mergeCell ref="AF1871:AF1872"/>
    <mergeCell ref="AF1873:AF1874"/>
    <mergeCell ref="AF1875:AF1876"/>
    <mergeCell ref="AF1877:AF1878"/>
    <mergeCell ref="AF1879:AF1880"/>
    <mergeCell ref="AF1881:AF1882"/>
    <mergeCell ref="AF1883:AF1884"/>
    <mergeCell ref="AF1885:AF1886"/>
    <mergeCell ref="AF1888:AF1889"/>
    <mergeCell ref="AF1890:AF1891"/>
    <mergeCell ref="AF1892:AF1893"/>
    <mergeCell ref="AF1894:AF1895"/>
    <mergeCell ref="AF1896:AF1897"/>
    <mergeCell ref="AF1898:AF1899"/>
    <mergeCell ref="AF1900:AF1901"/>
    <mergeCell ref="AF1902:AF1903"/>
    <mergeCell ref="AF1904:AF1905"/>
    <mergeCell ref="AF1906:AF1907"/>
    <mergeCell ref="AF1985:AF1986"/>
    <mergeCell ref="AF1992:AF1993"/>
    <mergeCell ref="AF2000:AF2001"/>
    <mergeCell ref="AF2012:AF2013"/>
    <mergeCell ref="AF2016:AF2017"/>
    <mergeCell ref="AF2021:AF2022"/>
    <mergeCell ref="AF2029:AF2030"/>
    <mergeCell ref="AF2038:AF2039"/>
    <mergeCell ref="AF2045:AF2046"/>
    <mergeCell ref="AF2065:AF2067"/>
    <mergeCell ref="AF2068:AF2069"/>
    <mergeCell ref="AF2089:AF2090"/>
    <mergeCell ref="AF2094:AF2095"/>
    <mergeCell ref="AF2099:AF2100"/>
    <mergeCell ref="AF2103:AF2104"/>
    <mergeCell ref="AF2109:AF2111"/>
    <mergeCell ref="AF2157:AF2158"/>
    <mergeCell ref="AF2168:AF2169"/>
    <mergeCell ref="AF2171:AF2173"/>
    <mergeCell ref="AF2174:AF2175"/>
    <mergeCell ref="AF2185:AF2186"/>
    <mergeCell ref="AF2187:AF2188"/>
    <mergeCell ref="AF2195:AF2197"/>
    <mergeCell ref="AF2199:AF2201"/>
    <mergeCell ref="AF2202:AF2203"/>
    <mergeCell ref="AF2205:AF2207"/>
    <mergeCell ref="AF2215:AF2217"/>
    <mergeCell ref="AF2224:AF2225"/>
    <mergeCell ref="AF2226:AF2228"/>
    <mergeCell ref="AF2231:AF2232"/>
    <mergeCell ref="AF2233:AF2234"/>
    <mergeCell ref="AF2245:AF2248"/>
    <mergeCell ref="AF2249:AF2250"/>
    <mergeCell ref="AF2251:AF2252"/>
    <mergeCell ref="AF2253:AF2256"/>
    <mergeCell ref="AF2257:AF2258"/>
    <mergeCell ref="AF2264:AF2267"/>
    <mergeCell ref="AF2268:AF2270"/>
    <mergeCell ref="AF2271:AF2273"/>
    <mergeCell ref="AF2274:AF2277"/>
    <mergeCell ref="AF2283:AF2284"/>
    <mergeCell ref="AF2288:AF2293"/>
    <mergeCell ref="AF2294:AF2295"/>
    <mergeCell ref="AF2325:AF2326"/>
    <mergeCell ref="AF2329:AF2331"/>
    <mergeCell ref="AF2332:AF2334"/>
    <mergeCell ref="AF2336:AF2337"/>
    <mergeCell ref="AF2338:AF2339"/>
    <mergeCell ref="AF2340:AF2341"/>
    <mergeCell ref="AF2342:AF2343"/>
    <mergeCell ref="AF2352:AF2356"/>
    <mergeCell ref="AF2357:AF2358"/>
    <mergeCell ref="AF2360:AF2361"/>
    <mergeCell ref="AF2364:AF2369"/>
    <mergeCell ref="AF2371:AF2373"/>
    <mergeCell ref="AF2375:AF2377"/>
    <mergeCell ref="AF2380:AF2382"/>
    <mergeCell ref="AF2385:AF2386"/>
    <mergeCell ref="AF2399:AF2401"/>
    <mergeCell ref="AF2402:AF2407"/>
    <mergeCell ref="AF2408:AF2412"/>
    <mergeCell ref="AF2416:AF2418"/>
    <mergeCell ref="AF2419:AF2420"/>
    <mergeCell ref="AF2422:AF2434"/>
    <mergeCell ref="AF2435:AF2437"/>
    <mergeCell ref="AF2438:AF2439"/>
    <mergeCell ref="AF2625:AF2626"/>
    <mergeCell ref="AF2628:AF2629"/>
    <mergeCell ref="AF2633:AF2634"/>
    <mergeCell ref="AF2642:AF2643"/>
    <mergeCell ref="AF2648:AF2649"/>
    <mergeCell ref="AF2654:AF2655"/>
    <mergeCell ref="AF2657:AF2658"/>
    <mergeCell ref="AF2682:AF2683"/>
    <mergeCell ref="AF2684:AF2685"/>
    <mergeCell ref="AF2686:AF2688"/>
    <mergeCell ref="AG13:AG14"/>
    <mergeCell ref="AG67:AG69"/>
    <mergeCell ref="AG70:AG71"/>
    <mergeCell ref="AG74:AG75"/>
    <mergeCell ref="AG92:AG93"/>
    <mergeCell ref="AG99:AG101"/>
    <mergeCell ref="AG102:AG103"/>
    <mergeCell ref="AG138:AG139"/>
    <mergeCell ref="AG140:AG141"/>
    <mergeCell ref="AG182:AG183"/>
    <mergeCell ref="AG184:AG185"/>
    <mergeCell ref="AG197:AG198"/>
    <mergeCell ref="AG215:AG216"/>
    <mergeCell ref="AG219:AG220"/>
    <mergeCell ref="AG224:AG225"/>
    <mergeCell ref="AG232:AG233"/>
    <mergeCell ref="AG241:AG244"/>
    <mergeCell ref="AG285:AG286"/>
    <mergeCell ref="AG298:AG299"/>
    <mergeCell ref="AG300:AG301"/>
    <mergeCell ref="AG391:AG392"/>
    <mergeCell ref="AG511:AG512"/>
    <mergeCell ref="AG513:AG514"/>
    <mergeCell ref="AG515:AG517"/>
    <mergeCell ref="AG518:AG521"/>
    <mergeCell ref="AG522:AG523"/>
    <mergeCell ref="AG525:AG527"/>
    <mergeCell ref="AG555:AG556"/>
    <mergeCell ref="AG595:AG596"/>
    <mergeCell ref="AG610:AG611"/>
    <mergeCell ref="AG614:AG615"/>
    <mergeCell ref="AG619:AG620"/>
    <mergeCell ref="AG622:AG623"/>
    <mergeCell ref="AG636:AG637"/>
    <mergeCell ref="AG652:AG653"/>
    <mergeCell ref="AG655:AG656"/>
    <mergeCell ref="AG658:AG659"/>
    <mergeCell ref="AG663:AG664"/>
    <mergeCell ref="AG665:AG666"/>
    <mergeCell ref="AG669:AG670"/>
    <mergeCell ref="AG675:AG676"/>
    <mergeCell ref="AG695:AG696"/>
    <mergeCell ref="AG697:AG701"/>
    <mergeCell ref="AG702:AG703"/>
    <mergeCell ref="AG712:AG713"/>
    <mergeCell ref="AG715:AG716"/>
    <mergeCell ref="AG717:AG720"/>
    <mergeCell ref="AG723:AG724"/>
    <mergeCell ref="AG736:AG737"/>
    <mergeCell ref="AG738:AG739"/>
    <mergeCell ref="AG740:AG741"/>
    <mergeCell ref="AG756:AG757"/>
    <mergeCell ref="AG759:AG761"/>
    <mergeCell ref="AG780:AG781"/>
    <mergeCell ref="AG809:AG810"/>
    <mergeCell ref="AG825:AG827"/>
    <mergeCell ref="AG846:AG849"/>
    <mergeCell ref="AG855:AG856"/>
    <mergeCell ref="AG858:AG859"/>
    <mergeCell ref="AG863:AG866"/>
    <mergeCell ref="AG872:AG873"/>
    <mergeCell ref="AG882:AG886"/>
    <mergeCell ref="AG898:AG899"/>
    <mergeCell ref="AG902:AG903"/>
    <mergeCell ref="AG904:AG905"/>
    <mergeCell ref="AG908:AG909"/>
    <mergeCell ref="AG911:AG913"/>
    <mergeCell ref="AG914:AG916"/>
    <mergeCell ref="AG917:AG920"/>
    <mergeCell ref="AG921:AG923"/>
    <mergeCell ref="AG931:AG932"/>
    <mergeCell ref="AG933:AG935"/>
    <mergeCell ref="AG936:AG937"/>
    <mergeCell ref="AG938:AG940"/>
    <mergeCell ref="AG965:AG966"/>
    <mergeCell ref="AG978:AG980"/>
    <mergeCell ref="AG1034:AG1035"/>
    <mergeCell ref="AG1039:AG1040"/>
    <mergeCell ref="AG1046:AG1047"/>
    <mergeCell ref="AG1056:AG1057"/>
    <mergeCell ref="AG1061:AG1062"/>
    <mergeCell ref="AG1129:AG1131"/>
    <mergeCell ref="AG1241:AG1242"/>
    <mergeCell ref="AG1286:AG1287"/>
    <mergeCell ref="AG1467:AG1469"/>
    <mergeCell ref="AG1493:AG1495"/>
    <mergeCell ref="AG1572:AG1574"/>
    <mergeCell ref="AG1577:AG1579"/>
    <mergeCell ref="AG1692:AG1693"/>
    <mergeCell ref="AG1701:AG1702"/>
    <mergeCell ref="AG1703:AG1704"/>
    <mergeCell ref="AG1705:AG1706"/>
    <mergeCell ref="AG1711:AG1712"/>
    <mergeCell ref="AG1724:AG1725"/>
    <mergeCell ref="AG1752:AG1753"/>
    <mergeCell ref="AG1755:AG1757"/>
    <mergeCell ref="AG1773:AG1774"/>
    <mergeCell ref="AG1803:AG1805"/>
    <mergeCell ref="AG1888:AG1889"/>
    <mergeCell ref="AG1902:AG1903"/>
    <mergeCell ref="AG1913:AG1914"/>
    <mergeCell ref="AG1965:AG1966"/>
    <mergeCell ref="AG1992:AG1993"/>
    <mergeCell ref="AG2000:AG2001"/>
    <mergeCell ref="AG2012:AG2013"/>
    <mergeCell ref="AG2016:AG2017"/>
    <mergeCell ref="AG2021:AG2022"/>
    <mergeCell ref="AG2068:AG2069"/>
    <mergeCell ref="AG2089:AG2090"/>
    <mergeCell ref="AG2103:AG2104"/>
    <mergeCell ref="AG2109:AG2110"/>
    <mergeCell ref="AG2154:AG2155"/>
    <mergeCell ref="AG2160:AG2161"/>
    <mergeCell ref="AG2185:AG2186"/>
    <mergeCell ref="AG2187:AG2188"/>
    <mergeCell ref="AG2195:AG2197"/>
    <mergeCell ref="AG2199:AG2201"/>
    <mergeCell ref="AG2215:AG2217"/>
    <mergeCell ref="AG2224:AG2225"/>
    <mergeCell ref="AG2226:AG2228"/>
    <mergeCell ref="AG2231:AG2232"/>
    <mergeCell ref="AG2233:AG2234"/>
    <mergeCell ref="AG2245:AG2246"/>
    <mergeCell ref="AG2283:AG2284"/>
    <mergeCell ref="AG2325:AG2326"/>
    <mergeCell ref="AG2330:AG2331"/>
    <mergeCell ref="AG2333:AG2334"/>
    <mergeCell ref="AG2352:AG2353"/>
    <mergeCell ref="AG2354:AG2356"/>
    <mergeCell ref="AG2365:AG2367"/>
    <mergeCell ref="AG2368:AG2369"/>
    <mergeCell ref="AG2385:AG2386"/>
    <mergeCell ref="AG2399:AG2400"/>
    <mergeCell ref="AG2402:AG2404"/>
    <mergeCell ref="AG2419:AG2420"/>
    <mergeCell ref="AG2422:AG2426"/>
    <mergeCell ref="AG2528:AG2529"/>
    <mergeCell ref="AG2558:AG2560"/>
    <mergeCell ref="AG2575:AG2577"/>
    <mergeCell ref="AG2622:AG2626"/>
    <mergeCell ref="AG2630:AG2634"/>
    <mergeCell ref="AG2637:AG2640"/>
    <mergeCell ref="AG2644:AG2646"/>
    <mergeCell ref="AG2651:AG2654"/>
    <mergeCell ref="AG2671:AG2673"/>
    <mergeCell ref="AG2674:AG2675"/>
    <mergeCell ref="AG2684:AG2685"/>
    <mergeCell ref="AH13:AH14"/>
    <mergeCell ref="AH67:AH69"/>
    <mergeCell ref="AH70:AH71"/>
    <mergeCell ref="AH74:AH75"/>
    <mergeCell ref="AH92:AH93"/>
    <mergeCell ref="AH99:AH101"/>
    <mergeCell ref="AH102:AH103"/>
    <mergeCell ref="AH138:AH139"/>
    <mergeCell ref="AH140:AH141"/>
    <mergeCell ref="AH160:AH162"/>
    <mergeCell ref="AH182:AH183"/>
    <mergeCell ref="AH184:AH185"/>
    <mergeCell ref="AH197:AH198"/>
    <mergeCell ref="AH215:AH216"/>
    <mergeCell ref="AH224:AH225"/>
    <mergeCell ref="AH232:AH233"/>
    <mergeCell ref="AH241:AH244"/>
    <mergeCell ref="AH285:AH286"/>
    <mergeCell ref="AH293:AH295"/>
    <mergeCell ref="AH298:AH299"/>
    <mergeCell ref="AH300:AH301"/>
    <mergeCell ref="AH391:AH392"/>
    <mergeCell ref="AH511:AH512"/>
    <mergeCell ref="AH513:AH514"/>
    <mergeCell ref="AH515:AH517"/>
    <mergeCell ref="AH518:AH521"/>
    <mergeCell ref="AH522:AH523"/>
    <mergeCell ref="AH525:AH527"/>
    <mergeCell ref="AH555:AH556"/>
    <mergeCell ref="AH595:AH596"/>
    <mergeCell ref="AH610:AH611"/>
    <mergeCell ref="AH614:AH615"/>
    <mergeCell ref="AH619:AH620"/>
    <mergeCell ref="AH636:AH637"/>
    <mergeCell ref="AH652:AH653"/>
    <mergeCell ref="AH655:AH656"/>
    <mergeCell ref="AH658:AH659"/>
    <mergeCell ref="AH663:AH664"/>
    <mergeCell ref="AH665:AH666"/>
    <mergeCell ref="AH669:AH670"/>
    <mergeCell ref="AH675:AH676"/>
    <mergeCell ref="AH695:AH696"/>
    <mergeCell ref="AH697:AH701"/>
    <mergeCell ref="AH702:AH703"/>
    <mergeCell ref="AH712:AH713"/>
    <mergeCell ref="AH715:AH716"/>
    <mergeCell ref="AH717:AH720"/>
    <mergeCell ref="AH723:AH724"/>
    <mergeCell ref="AH736:AH737"/>
    <mergeCell ref="AH738:AH739"/>
    <mergeCell ref="AH740:AH741"/>
    <mergeCell ref="AH756:AH757"/>
    <mergeCell ref="AH759:AH761"/>
    <mergeCell ref="AH780:AH781"/>
    <mergeCell ref="AH809:AH810"/>
    <mergeCell ref="AH825:AH827"/>
    <mergeCell ref="AH846:AH849"/>
    <mergeCell ref="AH855:AH856"/>
    <mergeCell ref="AH858:AH859"/>
    <mergeCell ref="AH863:AH866"/>
    <mergeCell ref="AH872:AH873"/>
    <mergeCell ref="AH875:AH876"/>
    <mergeCell ref="AH882:AH886"/>
    <mergeCell ref="AH898:AH899"/>
    <mergeCell ref="AH902:AH903"/>
    <mergeCell ref="AH904:AH905"/>
    <mergeCell ref="AH908:AH909"/>
    <mergeCell ref="AH911:AH913"/>
    <mergeCell ref="AH914:AH916"/>
    <mergeCell ref="AH917:AH920"/>
    <mergeCell ref="AH921:AH923"/>
    <mergeCell ref="AH931:AH932"/>
    <mergeCell ref="AH933:AH935"/>
    <mergeCell ref="AH936:AH937"/>
    <mergeCell ref="AH938:AH940"/>
    <mergeCell ref="AH965:AH966"/>
    <mergeCell ref="AH978:AH980"/>
    <mergeCell ref="AH987:AH992"/>
    <mergeCell ref="AH1034:AH1035"/>
    <mergeCell ref="AH1039:AH1040"/>
    <mergeCell ref="AH1046:AH1047"/>
    <mergeCell ref="AH1056:AH1057"/>
    <mergeCell ref="AH1061:AH1062"/>
    <mergeCell ref="AH1129:AH1131"/>
    <mergeCell ref="AH1241:AH1242"/>
    <mergeCell ref="AH1286:AH1287"/>
    <mergeCell ref="AH1467:AH1469"/>
    <mergeCell ref="AH1493:AH1495"/>
    <mergeCell ref="AH1572:AH1574"/>
    <mergeCell ref="AH1577:AH1579"/>
    <mergeCell ref="AH1692:AH1693"/>
    <mergeCell ref="AH1701:AH1702"/>
    <mergeCell ref="AH1703:AH1704"/>
    <mergeCell ref="AH1705:AH1706"/>
    <mergeCell ref="AH1711:AH1712"/>
    <mergeCell ref="AH1724:AH1725"/>
    <mergeCell ref="AH1752:AH1753"/>
    <mergeCell ref="AH1755:AH1757"/>
    <mergeCell ref="AH1761:AH1762"/>
    <mergeCell ref="AH1803:AH1805"/>
    <mergeCell ref="AH1867:AH1868"/>
    <mergeCell ref="AH1873:AH1874"/>
    <mergeCell ref="AH1881:AH1882"/>
    <mergeCell ref="AH1888:AH1889"/>
    <mergeCell ref="AH1902:AH1903"/>
    <mergeCell ref="AH1913:AH1914"/>
    <mergeCell ref="AH1965:AH1966"/>
    <mergeCell ref="AH1992:AH1993"/>
    <mergeCell ref="AH2000:AH2001"/>
    <mergeCell ref="AH2012:AH2013"/>
    <mergeCell ref="AH2016:AH2017"/>
    <mergeCell ref="AH2021:AH2022"/>
    <mergeCell ref="AH2068:AH2069"/>
    <mergeCell ref="AH2089:AH2090"/>
    <mergeCell ref="AH2103:AH2104"/>
    <mergeCell ref="AH2109:AH2110"/>
    <mergeCell ref="AH2154:AH2155"/>
    <mergeCell ref="AH2160:AH2161"/>
    <mergeCell ref="AH2185:AH2186"/>
    <mergeCell ref="AH2187:AH2188"/>
    <mergeCell ref="AH2195:AH2197"/>
    <mergeCell ref="AH2199:AH2201"/>
    <mergeCell ref="AH2215:AH2217"/>
    <mergeCell ref="AH2224:AH2225"/>
    <mergeCell ref="AH2226:AH2228"/>
    <mergeCell ref="AH2231:AH2232"/>
    <mergeCell ref="AH2233:AH2234"/>
    <mergeCell ref="AH2245:AH2246"/>
    <mergeCell ref="AH2283:AH2284"/>
    <mergeCell ref="AH2325:AH2326"/>
    <mergeCell ref="AH2330:AH2331"/>
    <mergeCell ref="AH2333:AH2334"/>
    <mergeCell ref="AH2352:AH2353"/>
    <mergeCell ref="AH2354:AH2356"/>
    <mergeCell ref="AH2365:AH2367"/>
    <mergeCell ref="AH2368:AH2369"/>
    <mergeCell ref="AH2385:AH2386"/>
    <mergeCell ref="AH2399:AH2400"/>
    <mergeCell ref="AH2402:AH2404"/>
    <mergeCell ref="AH2419:AH2420"/>
    <mergeCell ref="AH2422:AH2426"/>
    <mergeCell ref="AH2513:AH2515"/>
    <mergeCell ref="AH2528:AH2529"/>
    <mergeCell ref="AH2558:AH2560"/>
    <mergeCell ref="AH2575:AH2577"/>
    <mergeCell ref="AH2622:AH2626"/>
    <mergeCell ref="AH2630:AH2634"/>
    <mergeCell ref="AH2637:AH2640"/>
    <mergeCell ref="AH2644:AH2646"/>
    <mergeCell ref="AH2651:AH2654"/>
    <mergeCell ref="AH2671:AH2673"/>
    <mergeCell ref="AH2674:AH2675"/>
    <mergeCell ref="AH2684:AH2685"/>
    <mergeCell ref="AI13:AI14"/>
    <mergeCell ref="AI35:AI37"/>
    <mergeCell ref="AI67:AI69"/>
    <mergeCell ref="AI70:AI71"/>
    <mergeCell ref="AI74:AI75"/>
    <mergeCell ref="AI92:AI93"/>
    <mergeCell ref="AI99:AI101"/>
    <mergeCell ref="AI102:AI103"/>
    <mergeCell ref="AI138:AI139"/>
    <mergeCell ref="AI140:AI141"/>
    <mergeCell ref="AI160:AI162"/>
    <mergeCell ref="AI182:AI183"/>
    <mergeCell ref="AI184:AI185"/>
    <mergeCell ref="AI197:AI198"/>
    <mergeCell ref="AI215:AI216"/>
    <mergeCell ref="AI224:AI225"/>
    <mergeCell ref="AI232:AI233"/>
    <mergeCell ref="AI241:AI244"/>
    <mergeCell ref="AI285:AI286"/>
    <mergeCell ref="AI293:AI295"/>
    <mergeCell ref="AI298:AI299"/>
    <mergeCell ref="AI300:AI301"/>
    <mergeCell ref="AI391:AI392"/>
    <mergeCell ref="AI511:AI512"/>
    <mergeCell ref="AI513:AI514"/>
    <mergeCell ref="AI515:AI517"/>
    <mergeCell ref="AI518:AI521"/>
    <mergeCell ref="AI525:AI527"/>
    <mergeCell ref="AI555:AI556"/>
    <mergeCell ref="AI595:AI596"/>
    <mergeCell ref="AI610:AI611"/>
    <mergeCell ref="AI614:AI615"/>
    <mergeCell ref="AI619:AI620"/>
    <mergeCell ref="AI622:AI623"/>
    <mergeCell ref="AI636:AI637"/>
    <mergeCell ref="AI652:AI653"/>
    <mergeCell ref="AI655:AI656"/>
    <mergeCell ref="AI658:AI659"/>
    <mergeCell ref="AI663:AI664"/>
    <mergeCell ref="AI665:AI666"/>
    <mergeCell ref="AI669:AI670"/>
    <mergeCell ref="AI675:AI676"/>
    <mergeCell ref="AI695:AI696"/>
    <mergeCell ref="AI697:AI701"/>
    <mergeCell ref="AI702:AI703"/>
    <mergeCell ref="AI712:AI713"/>
    <mergeCell ref="AI715:AI716"/>
    <mergeCell ref="AI717:AI720"/>
    <mergeCell ref="AI723:AI724"/>
    <mergeCell ref="AI736:AI737"/>
    <mergeCell ref="AI738:AI739"/>
    <mergeCell ref="AI740:AI741"/>
    <mergeCell ref="AI756:AI757"/>
    <mergeCell ref="AI759:AI761"/>
    <mergeCell ref="AI780:AI781"/>
    <mergeCell ref="AI809:AI810"/>
    <mergeCell ref="AI825:AI827"/>
    <mergeCell ref="AI846:AI849"/>
    <mergeCell ref="AI855:AI856"/>
    <mergeCell ref="AI858:AI859"/>
    <mergeCell ref="AI863:AI866"/>
    <mergeCell ref="AI872:AI873"/>
    <mergeCell ref="AI882:AI886"/>
    <mergeCell ref="AI898:AI899"/>
    <mergeCell ref="AI902:AI903"/>
    <mergeCell ref="AI904:AI905"/>
    <mergeCell ref="AI908:AI909"/>
    <mergeCell ref="AI911:AI913"/>
    <mergeCell ref="AI914:AI916"/>
    <mergeCell ref="AI917:AI920"/>
    <mergeCell ref="AI921:AI923"/>
    <mergeCell ref="AI931:AI932"/>
    <mergeCell ref="AI933:AI935"/>
    <mergeCell ref="AI936:AI937"/>
    <mergeCell ref="AI938:AI940"/>
    <mergeCell ref="AI965:AI966"/>
    <mergeCell ref="AI978:AI980"/>
    <mergeCell ref="AI1034:AI1035"/>
    <mergeCell ref="AI1039:AI1040"/>
    <mergeCell ref="AI1046:AI1047"/>
    <mergeCell ref="AI1056:AI1057"/>
    <mergeCell ref="AI1061:AI1062"/>
    <mergeCell ref="AI1129:AI1131"/>
    <mergeCell ref="AI1241:AI1242"/>
    <mergeCell ref="AI1286:AI1287"/>
    <mergeCell ref="AI1467:AI1469"/>
    <mergeCell ref="AI1493:AI1495"/>
    <mergeCell ref="AI1572:AI1574"/>
    <mergeCell ref="AI1577:AI1579"/>
    <mergeCell ref="AI1692:AI1693"/>
    <mergeCell ref="AI1701:AI1702"/>
    <mergeCell ref="AI1703:AI1704"/>
    <mergeCell ref="AI1705:AI1706"/>
    <mergeCell ref="AI1711:AI1712"/>
    <mergeCell ref="AI1724:AI1725"/>
    <mergeCell ref="AI1752:AI1753"/>
    <mergeCell ref="AI1755:AI1757"/>
    <mergeCell ref="AI1803:AI1805"/>
    <mergeCell ref="AI1867:AI1868"/>
    <mergeCell ref="AI1873:AI1874"/>
    <mergeCell ref="AI1881:AI1882"/>
    <mergeCell ref="AI1888:AI1889"/>
    <mergeCell ref="AI1902:AI1903"/>
    <mergeCell ref="AI1913:AI1914"/>
    <mergeCell ref="AI1965:AI1966"/>
    <mergeCell ref="AI1992:AI1993"/>
    <mergeCell ref="AI2000:AI2001"/>
    <mergeCell ref="AI2012:AI2013"/>
    <mergeCell ref="AI2016:AI2017"/>
    <mergeCell ref="AI2021:AI2022"/>
    <mergeCell ref="AI2068:AI2069"/>
    <mergeCell ref="AI2089:AI2090"/>
    <mergeCell ref="AI2103:AI2104"/>
    <mergeCell ref="AI2109:AI2110"/>
    <mergeCell ref="AI2154:AI2155"/>
    <mergeCell ref="AI2160:AI2161"/>
    <mergeCell ref="AI2185:AI2186"/>
    <mergeCell ref="AI2187:AI2188"/>
    <mergeCell ref="AI2195:AI2197"/>
    <mergeCell ref="AI2199:AI2201"/>
    <mergeCell ref="AI2215:AI2217"/>
    <mergeCell ref="AI2224:AI2225"/>
    <mergeCell ref="AI2226:AI2228"/>
    <mergeCell ref="AI2231:AI2232"/>
    <mergeCell ref="AI2233:AI2234"/>
    <mergeCell ref="AI2245:AI2246"/>
    <mergeCell ref="AI2283:AI2284"/>
    <mergeCell ref="AI2325:AI2326"/>
    <mergeCell ref="AI2330:AI2331"/>
    <mergeCell ref="AI2333:AI2334"/>
    <mergeCell ref="AI2352:AI2353"/>
    <mergeCell ref="AI2354:AI2356"/>
    <mergeCell ref="AI2368:AI2369"/>
    <mergeCell ref="AI2385:AI2386"/>
    <mergeCell ref="AI2399:AI2400"/>
    <mergeCell ref="AI2402:AI2404"/>
    <mergeCell ref="AI2419:AI2420"/>
    <mergeCell ref="AI2422:AI2426"/>
    <mergeCell ref="AI2513:AI2515"/>
    <mergeCell ref="AI2528:AI2529"/>
    <mergeCell ref="AI2558:AI2560"/>
    <mergeCell ref="AI2575:AI2577"/>
    <mergeCell ref="AI2622:AI2626"/>
    <mergeCell ref="AI2630:AI2634"/>
    <mergeCell ref="AI2637:AI2640"/>
    <mergeCell ref="AI2644:AI2646"/>
    <mergeCell ref="AI2651:AI2654"/>
    <mergeCell ref="AI2671:AI2673"/>
    <mergeCell ref="AI2674:AI2675"/>
    <mergeCell ref="AI2684:AI2685"/>
    <mergeCell ref="AJ13:AJ14"/>
    <mergeCell ref="AJ67:AJ69"/>
    <mergeCell ref="AJ70:AJ71"/>
    <mergeCell ref="AJ74:AJ75"/>
    <mergeCell ref="AJ92:AJ93"/>
    <mergeCell ref="AJ99:AJ101"/>
    <mergeCell ref="AJ102:AJ103"/>
    <mergeCell ref="AJ138:AJ139"/>
    <mergeCell ref="AJ140:AJ141"/>
    <mergeCell ref="AJ182:AJ183"/>
    <mergeCell ref="AJ184:AJ185"/>
    <mergeCell ref="AJ197:AJ198"/>
    <mergeCell ref="AJ215:AJ216"/>
    <mergeCell ref="AJ232:AJ233"/>
    <mergeCell ref="AJ241:AJ244"/>
    <mergeCell ref="AJ285:AJ286"/>
    <mergeCell ref="AJ293:AJ295"/>
    <mergeCell ref="AJ298:AJ299"/>
    <mergeCell ref="AJ300:AJ301"/>
    <mergeCell ref="AJ391:AJ392"/>
    <mergeCell ref="AJ511:AJ512"/>
    <mergeCell ref="AJ513:AJ514"/>
    <mergeCell ref="AJ515:AJ517"/>
    <mergeCell ref="AJ518:AJ521"/>
    <mergeCell ref="AJ522:AJ523"/>
    <mergeCell ref="AJ525:AJ527"/>
    <mergeCell ref="AJ555:AJ556"/>
    <mergeCell ref="AJ595:AJ596"/>
    <mergeCell ref="AJ610:AJ611"/>
    <mergeCell ref="AJ614:AJ615"/>
    <mergeCell ref="AJ619:AJ620"/>
    <mergeCell ref="AJ636:AJ637"/>
    <mergeCell ref="AJ652:AJ653"/>
    <mergeCell ref="AJ655:AJ656"/>
    <mergeCell ref="AJ658:AJ659"/>
    <mergeCell ref="AJ663:AJ664"/>
    <mergeCell ref="AJ665:AJ666"/>
    <mergeCell ref="AJ669:AJ670"/>
    <mergeCell ref="AJ675:AJ676"/>
    <mergeCell ref="AJ695:AJ696"/>
    <mergeCell ref="AJ697:AJ701"/>
    <mergeCell ref="AJ702:AJ703"/>
    <mergeCell ref="AJ712:AJ713"/>
    <mergeCell ref="AJ715:AJ716"/>
    <mergeCell ref="AJ717:AJ720"/>
    <mergeCell ref="AJ723:AJ724"/>
    <mergeCell ref="AJ736:AJ737"/>
    <mergeCell ref="AJ738:AJ739"/>
    <mergeCell ref="AJ740:AJ741"/>
    <mergeCell ref="AJ756:AJ757"/>
    <mergeCell ref="AJ759:AJ761"/>
    <mergeCell ref="AJ780:AJ781"/>
    <mergeCell ref="AJ809:AJ810"/>
    <mergeCell ref="AJ825:AJ827"/>
    <mergeCell ref="AJ846:AJ849"/>
    <mergeCell ref="AJ855:AJ856"/>
    <mergeCell ref="AJ858:AJ859"/>
    <mergeCell ref="AJ863:AJ866"/>
    <mergeCell ref="AJ872:AJ873"/>
    <mergeCell ref="AJ882:AJ886"/>
    <mergeCell ref="AJ898:AJ899"/>
    <mergeCell ref="AJ902:AJ903"/>
    <mergeCell ref="AJ904:AJ905"/>
    <mergeCell ref="AJ908:AJ909"/>
    <mergeCell ref="AJ911:AJ913"/>
    <mergeCell ref="AJ914:AJ916"/>
    <mergeCell ref="AJ917:AJ920"/>
    <mergeCell ref="AJ921:AJ923"/>
    <mergeCell ref="AJ931:AJ932"/>
    <mergeCell ref="AJ933:AJ935"/>
    <mergeCell ref="AJ936:AJ937"/>
    <mergeCell ref="AJ938:AJ940"/>
    <mergeCell ref="AJ965:AJ966"/>
    <mergeCell ref="AJ978:AJ980"/>
    <mergeCell ref="AJ1034:AJ1035"/>
    <mergeCell ref="AJ1039:AJ1040"/>
    <mergeCell ref="AJ1046:AJ1047"/>
    <mergeCell ref="AJ1056:AJ1057"/>
    <mergeCell ref="AJ1061:AJ1062"/>
    <mergeCell ref="AJ1129:AJ1131"/>
    <mergeCell ref="AJ1241:AJ1242"/>
    <mergeCell ref="AJ1286:AJ1287"/>
    <mergeCell ref="AJ1467:AJ1469"/>
    <mergeCell ref="AJ1493:AJ1495"/>
    <mergeCell ref="AJ1498:AJ1500"/>
    <mergeCell ref="AJ1572:AJ1574"/>
    <mergeCell ref="AJ1577:AJ1579"/>
    <mergeCell ref="AJ1593:AJ1594"/>
    <mergeCell ref="AJ1595:AJ1596"/>
    <mergeCell ref="AJ1692:AJ1693"/>
    <mergeCell ref="AJ1711:AJ1712"/>
    <mergeCell ref="AJ1724:AJ1725"/>
    <mergeCell ref="AJ1752:AJ1753"/>
    <mergeCell ref="AJ1755:AJ1757"/>
    <mergeCell ref="AJ1803:AJ1805"/>
    <mergeCell ref="AJ1867:AJ1868"/>
    <mergeCell ref="AJ1873:AJ1874"/>
    <mergeCell ref="AJ1881:AJ1882"/>
    <mergeCell ref="AJ1888:AJ1889"/>
    <mergeCell ref="AJ1902:AJ1903"/>
    <mergeCell ref="AJ1913:AJ1914"/>
    <mergeCell ref="AJ1965:AJ1966"/>
    <mergeCell ref="AJ1992:AJ1993"/>
    <mergeCell ref="AJ2000:AJ2001"/>
    <mergeCell ref="AJ2012:AJ2013"/>
    <mergeCell ref="AJ2016:AJ2017"/>
    <mergeCell ref="AJ2021:AJ2022"/>
    <mergeCell ref="AJ2068:AJ2069"/>
    <mergeCell ref="AJ2089:AJ2090"/>
    <mergeCell ref="AJ2103:AJ2104"/>
    <mergeCell ref="AJ2109:AJ2110"/>
    <mergeCell ref="AJ2154:AJ2155"/>
    <mergeCell ref="AJ2160:AJ2161"/>
    <mergeCell ref="AJ2185:AJ2186"/>
    <mergeCell ref="AJ2187:AJ2188"/>
    <mergeCell ref="AJ2195:AJ2197"/>
    <mergeCell ref="AJ2199:AJ2201"/>
    <mergeCell ref="AJ2215:AJ2217"/>
    <mergeCell ref="AJ2224:AJ2225"/>
    <mergeCell ref="AJ2226:AJ2228"/>
    <mergeCell ref="AJ2231:AJ2232"/>
    <mergeCell ref="AJ2233:AJ2234"/>
    <mergeCell ref="AJ2237:AJ2240"/>
    <mergeCell ref="AJ2245:AJ2246"/>
    <mergeCell ref="AJ2283:AJ2284"/>
    <mergeCell ref="AJ2325:AJ2326"/>
    <mergeCell ref="AJ2330:AJ2331"/>
    <mergeCell ref="AJ2333:AJ2334"/>
    <mergeCell ref="AJ2348:AJ2349"/>
    <mergeCell ref="AJ2352:AJ2353"/>
    <mergeCell ref="AJ2354:AJ2356"/>
    <mergeCell ref="AJ2365:AJ2367"/>
    <mergeCell ref="AJ2368:AJ2369"/>
    <mergeCell ref="AJ2385:AJ2386"/>
    <mergeCell ref="AJ2399:AJ2400"/>
    <mergeCell ref="AJ2402:AJ2404"/>
    <mergeCell ref="AJ2419:AJ2420"/>
    <mergeCell ref="AJ2422:AJ2426"/>
    <mergeCell ref="AJ2509:AJ2510"/>
    <mergeCell ref="AJ2513:AJ2515"/>
    <mergeCell ref="AJ2528:AJ2529"/>
    <mergeCell ref="AJ2558:AJ2560"/>
    <mergeCell ref="AJ2575:AJ2577"/>
    <mergeCell ref="AJ2622:AJ2626"/>
    <mergeCell ref="AJ2630:AJ2634"/>
    <mergeCell ref="AJ2637:AJ2640"/>
    <mergeCell ref="AJ2644:AJ2646"/>
    <mergeCell ref="AJ2651:AJ2654"/>
    <mergeCell ref="AJ2671:AJ2673"/>
    <mergeCell ref="AJ2674:AJ2675"/>
    <mergeCell ref="AJ2684:AJ2685"/>
    <mergeCell ref="AK13:AK14"/>
    <mergeCell ref="AK67:AK69"/>
    <mergeCell ref="AK70:AK71"/>
    <mergeCell ref="AK74:AK75"/>
    <mergeCell ref="AK92:AK93"/>
    <mergeCell ref="AK99:AK101"/>
    <mergeCell ref="AK102:AK103"/>
    <mergeCell ref="AK138:AK139"/>
    <mergeCell ref="AK140:AK141"/>
    <mergeCell ref="AK160:AK162"/>
    <mergeCell ref="AK182:AK183"/>
    <mergeCell ref="AK184:AK185"/>
    <mergeCell ref="AK197:AK198"/>
    <mergeCell ref="AK215:AK216"/>
    <mergeCell ref="AK232:AK233"/>
    <mergeCell ref="AK241:AK244"/>
    <mergeCell ref="AK285:AK286"/>
    <mergeCell ref="AK293:AK295"/>
    <mergeCell ref="AK298:AK299"/>
    <mergeCell ref="AK300:AK301"/>
    <mergeCell ref="AK391:AK392"/>
    <mergeCell ref="AK511:AK512"/>
    <mergeCell ref="AK513:AK514"/>
    <mergeCell ref="AK515:AK517"/>
    <mergeCell ref="AK518:AK521"/>
    <mergeCell ref="AK522:AK523"/>
    <mergeCell ref="AK525:AK527"/>
    <mergeCell ref="AK555:AK556"/>
    <mergeCell ref="AK595:AK596"/>
    <mergeCell ref="AK610:AK611"/>
    <mergeCell ref="AK614:AK615"/>
    <mergeCell ref="AK619:AK620"/>
    <mergeCell ref="AK636:AK637"/>
    <mergeCell ref="AK652:AK653"/>
    <mergeCell ref="AK655:AK656"/>
    <mergeCell ref="AK658:AK659"/>
    <mergeCell ref="AK663:AK664"/>
    <mergeCell ref="AK665:AK666"/>
    <mergeCell ref="AK669:AK670"/>
    <mergeCell ref="AK675:AK676"/>
    <mergeCell ref="AK695:AK696"/>
    <mergeCell ref="AK697:AK701"/>
    <mergeCell ref="AK702:AK703"/>
    <mergeCell ref="AK712:AK713"/>
    <mergeCell ref="AK715:AK716"/>
    <mergeCell ref="AK717:AK720"/>
    <mergeCell ref="AK723:AK724"/>
    <mergeCell ref="AK736:AK737"/>
    <mergeCell ref="AK738:AK739"/>
    <mergeCell ref="AK740:AK741"/>
    <mergeCell ref="AK756:AK757"/>
    <mergeCell ref="AK759:AK761"/>
    <mergeCell ref="AK780:AK781"/>
    <mergeCell ref="AK809:AK810"/>
    <mergeCell ref="AK825:AK827"/>
    <mergeCell ref="AK846:AK849"/>
    <mergeCell ref="AK855:AK856"/>
    <mergeCell ref="AK858:AK859"/>
    <mergeCell ref="AK863:AK866"/>
    <mergeCell ref="AK872:AK873"/>
    <mergeCell ref="AK882:AK886"/>
    <mergeCell ref="AK898:AK899"/>
    <mergeCell ref="AK902:AK903"/>
    <mergeCell ref="AK904:AK905"/>
    <mergeCell ref="AK908:AK909"/>
    <mergeCell ref="AK911:AK913"/>
    <mergeCell ref="AK914:AK916"/>
    <mergeCell ref="AK917:AK920"/>
    <mergeCell ref="AK921:AK923"/>
    <mergeCell ref="AK931:AK932"/>
    <mergeCell ref="AK933:AK935"/>
    <mergeCell ref="AK936:AK937"/>
    <mergeCell ref="AK938:AK940"/>
    <mergeCell ref="AK965:AK966"/>
    <mergeCell ref="AK978:AK980"/>
    <mergeCell ref="AK1034:AK1035"/>
    <mergeCell ref="AK1039:AK1040"/>
    <mergeCell ref="AK1046:AK1047"/>
    <mergeCell ref="AK1056:AK1057"/>
    <mergeCell ref="AK1061:AK1062"/>
    <mergeCell ref="AK1129:AK1131"/>
    <mergeCell ref="AK1241:AK1242"/>
    <mergeCell ref="AK1286:AK1287"/>
    <mergeCell ref="AK1467:AK1469"/>
    <mergeCell ref="AK1493:AK1495"/>
    <mergeCell ref="AK1498:AK1500"/>
    <mergeCell ref="AK1572:AK1574"/>
    <mergeCell ref="AK1577:AK1579"/>
    <mergeCell ref="AK1593:AK1594"/>
    <mergeCell ref="AK1595:AK1596"/>
    <mergeCell ref="AK1685:AK1686"/>
    <mergeCell ref="AK1692:AK1693"/>
    <mergeCell ref="AK1701:AK1702"/>
    <mergeCell ref="AK1703:AK1704"/>
    <mergeCell ref="AK1705:AK1706"/>
    <mergeCell ref="AK1711:AK1712"/>
    <mergeCell ref="AK1724:AK1725"/>
    <mergeCell ref="AK1752:AK1753"/>
    <mergeCell ref="AK1755:AK1757"/>
    <mergeCell ref="AK1803:AK1805"/>
    <mergeCell ref="AK1867:AK1868"/>
    <mergeCell ref="AK1873:AK1874"/>
    <mergeCell ref="AK1881:AK1882"/>
    <mergeCell ref="AK1888:AK1889"/>
    <mergeCell ref="AK1902:AK1903"/>
    <mergeCell ref="AK1913:AK1914"/>
    <mergeCell ref="AK1965:AK1966"/>
    <mergeCell ref="AK1992:AK1993"/>
    <mergeCell ref="AK2000:AK2001"/>
    <mergeCell ref="AK2012:AK2013"/>
    <mergeCell ref="AK2016:AK2017"/>
    <mergeCell ref="AK2021:AK2022"/>
    <mergeCell ref="AK2068:AK2069"/>
    <mergeCell ref="AK2089:AK2090"/>
    <mergeCell ref="AK2103:AK2104"/>
    <mergeCell ref="AK2109:AK2110"/>
    <mergeCell ref="AK2154:AK2155"/>
    <mergeCell ref="AK2160:AK2161"/>
    <mergeCell ref="AK2185:AK2186"/>
    <mergeCell ref="AK2187:AK2188"/>
    <mergeCell ref="AK2195:AK2197"/>
    <mergeCell ref="AK2199:AK2201"/>
    <mergeCell ref="AK2215:AK2217"/>
    <mergeCell ref="AK2224:AK2225"/>
    <mergeCell ref="AK2226:AK2228"/>
    <mergeCell ref="AK2231:AK2232"/>
    <mergeCell ref="AK2233:AK2234"/>
    <mergeCell ref="AK2237:AK2240"/>
    <mergeCell ref="AK2245:AK2246"/>
    <mergeCell ref="AK2283:AK2284"/>
    <mergeCell ref="AK2325:AK2326"/>
    <mergeCell ref="AK2330:AK2331"/>
    <mergeCell ref="AK2333:AK2334"/>
    <mergeCell ref="AK2348:AK2349"/>
    <mergeCell ref="AK2352:AK2353"/>
    <mergeCell ref="AK2354:AK2356"/>
    <mergeCell ref="AK2365:AK2367"/>
    <mergeCell ref="AK2368:AK2369"/>
    <mergeCell ref="AK2385:AK2386"/>
    <mergeCell ref="AK2399:AK2400"/>
    <mergeCell ref="AK2402:AK2404"/>
    <mergeCell ref="AK2419:AK2420"/>
    <mergeCell ref="AK2422:AK2426"/>
    <mergeCell ref="AK2509:AK2510"/>
    <mergeCell ref="AK2513:AK2515"/>
    <mergeCell ref="AK2528:AK2529"/>
    <mergeCell ref="AK2558:AK2560"/>
    <mergeCell ref="AK2575:AK2577"/>
    <mergeCell ref="AK2622:AK2626"/>
    <mergeCell ref="AK2630:AK2634"/>
    <mergeCell ref="AK2637:AK2640"/>
    <mergeCell ref="AK2644:AK2646"/>
    <mergeCell ref="AK2651:AK2654"/>
    <mergeCell ref="AK2671:AK2673"/>
    <mergeCell ref="AK2674:AK2675"/>
    <mergeCell ref="AK2684:AK2685"/>
    <mergeCell ref="AL8:AL12"/>
    <mergeCell ref="AL67:AL69"/>
    <mergeCell ref="AL70:AL71"/>
    <mergeCell ref="AL74:AL75"/>
    <mergeCell ref="AL76:AL77"/>
    <mergeCell ref="AL92:AL93"/>
    <mergeCell ref="AL99:AL101"/>
    <mergeCell ref="AL138:AL139"/>
    <mergeCell ref="AL140:AL141"/>
    <mergeCell ref="AL144:AL149"/>
    <mergeCell ref="AL182:AL183"/>
    <mergeCell ref="AL184:AL185"/>
    <mergeCell ref="AL193:AL194"/>
    <mergeCell ref="AL195:AL199"/>
    <mergeCell ref="AL215:AL216"/>
    <mergeCell ref="AL219:AL220"/>
    <mergeCell ref="AL224:AL227"/>
    <mergeCell ref="AL241:AL244"/>
    <mergeCell ref="AL285:AL286"/>
    <mergeCell ref="AL293:AL295"/>
    <mergeCell ref="AL298:AL299"/>
    <mergeCell ref="AL300:AL301"/>
    <mergeCell ref="AL391:AL392"/>
    <mergeCell ref="AL509:AL521"/>
    <mergeCell ref="AL522:AL523"/>
    <mergeCell ref="AL525:AL527"/>
    <mergeCell ref="AL532:AL533"/>
    <mergeCell ref="AL555:AL556"/>
    <mergeCell ref="AL566:AL567"/>
    <mergeCell ref="AL595:AL596"/>
    <mergeCell ref="AL598:AL599"/>
    <mergeCell ref="AL622:AL623"/>
    <mergeCell ref="AL636:AL637"/>
    <mergeCell ref="AL652:AL653"/>
    <mergeCell ref="AL687:AL688"/>
    <mergeCell ref="AL695:AL696"/>
    <mergeCell ref="AL697:AL699"/>
    <mergeCell ref="AL712:AL713"/>
    <mergeCell ref="AL715:AL716"/>
    <mergeCell ref="AL717:AL720"/>
    <mergeCell ref="AL736:AL737"/>
    <mergeCell ref="AL738:AL739"/>
    <mergeCell ref="AL740:AL741"/>
    <mergeCell ref="AL756:AL757"/>
    <mergeCell ref="AL759:AL761"/>
    <mergeCell ref="AL780:AL781"/>
    <mergeCell ref="AL809:AL810"/>
    <mergeCell ref="AL825:AL827"/>
    <mergeCell ref="AL846:AL849"/>
    <mergeCell ref="AL855:AL856"/>
    <mergeCell ref="AL858:AL859"/>
    <mergeCell ref="AL863:AL866"/>
    <mergeCell ref="AL872:AL873"/>
    <mergeCell ref="AL882:AL884"/>
    <mergeCell ref="AL885:AL886"/>
    <mergeCell ref="AL902:AL903"/>
    <mergeCell ref="AL904:AL905"/>
    <mergeCell ref="AL908:AL909"/>
    <mergeCell ref="AL926:AL929"/>
    <mergeCell ref="AL933:AL934"/>
    <mergeCell ref="AL938:AL939"/>
    <mergeCell ref="AL945:AL946"/>
    <mergeCell ref="AL965:AL966"/>
    <mergeCell ref="AL977:AL978"/>
    <mergeCell ref="AL982:AL983"/>
    <mergeCell ref="AL1034:AL1035"/>
    <mergeCell ref="AL1039:AL1040"/>
    <mergeCell ref="AL1046:AL1047"/>
    <mergeCell ref="AL1056:AL1057"/>
    <mergeCell ref="AL1061:AL1062"/>
    <mergeCell ref="AL1129:AL1131"/>
    <mergeCell ref="AL1209:AL1210"/>
    <mergeCell ref="AL1241:AL1242"/>
    <mergeCell ref="AL1286:AL1287"/>
    <mergeCell ref="AL1467:AL1468"/>
    <mergeCell ref="AL1470:AL1472"/>
    <mergeCell ref="AL1518:AL1519"/>
    <mergeCell ref="AL1558:AL1560"/>
    <mergeCell ref="AL1572:AL1574"/>
    <mergeCell ref="AL1575:AL1576"/>
    <mergeCell ref="AL1577:AL1579"/>
    <mergeCell ref="AL1608:AL1611"/>
    <mergeCell ref="AL1692:AL1693"/>
    <mergeCell ref="AL1724:AL1725"/>
    <mergeCell ref="AL1752:AL1753"/>
    <mergeCell ref="AL1755:AL1757"/>
    <mergeCell ref="AL1761:AL1762"/>
    <mergeCell ref="AL1769:AL1770"/>
    <mergeCell ref="AL1803:AL1805"/>
    <mergeCell ref="AL1807:AL1808"/>
    <mergeCell ref="AL1812:AL1813"/>
    <mergeCell ref="AL1867:AL1868"/>
    <mergeCell ref="AL1873:AL1874"/>
    <mergeCell ref="AL1881:AL1882"/>
    <mergeCell ref="AL1888:AL1889"/>
    <mergeCell ref="AL1902:AL1903"/>
    <mergeCell ref="AL1913:AL1914"/>
    <mergeCell ref="AL1965:AL1966"/>
    <mergeCell ref="AL1992:AL1993"/>
    <mergeCell ref="AL2000:AL2001"/>
    <mergeCell ref="AL2012:AL2013"/>
    <mergeCell ref="AL2016:AL2017"/>
    <mergeCell ref="AL2021:AL2022"/>
    <mergeCell ref="AL2068:AL2069"/>
    <mergeCell ref="AL2089:AL2090"/>
    <mergeCell ref="AL2103:AL2104"/>
    <mergeCell ref="AL2109:AL2110"/>
    <mergeCell ref="AL2154:AL2155"/>
    <mergeCell ref="AL2157:AL2158"/>
    <mergeCell ref="AL2160:AL2161"/>
    <mergeCell ref="AL2181:AL2183"/>
    <mergeCell ref="AL2185:AL2186"/>
    <mergeCell ref="AL2195:AL2197"/>
    <mergeCell ref="AL2215:AL2217"/>
    <mergeCell ref="AL2224:AL2225"/>
    <mergeCell ref="AL2226:AL2228"/>
    <mergeCell ref="AL2231:AL2234"/>
    <mergeCell ref="AL2237:AL2240"/>
    <mergeCell ref="AL2245:AL2246"/>
    <mergeCell ref="AL2325:AL2326"/>
    <mergeCell ref="AL2348:AL2349"/>
    <mergeCell ref="AL2352:AL2353"/>
    <mergeCell ref="AL2355:AL2356"/>
    <mergeCell ref="AL2368:AL2369"/>
    <mergeCell ref="AL2405:AL2406"/>
    <mergeCell ref="AL2415:AL2417"/>
    <mergeCell ref="AL2509:AL2510"/>
    <mergeCell ref="AL2513:AL2515"/>
    <mergeCell ref="AL2528:AL2529"/>
    <mergeCell ref="AL2558:AL2560"/>
    <mergeCell ref="AL2575:AL2577"/>
    <mergeCell ref="AL2622:AL2626"/>
    <mergeCell ref="AL2630:AL2634"/>
    <mergeCell ref="AL2637:AL2640"/>
    <mergeCell ref="AL2641:AL2643"/>
    <mergeCell ref="AL2644:AL2646"/>
    <mergeCell ref="AL2651:AL2654"/>
    <mergeCell ref="AL2671:AL2673"/>
    <mergeCell ref="AL2674:AL2675"/>
    <mergeCell ref="AL2684:AL2685"/>
    <mergeCell ref="AL2686:AL2687"/>
    <mergeCell ref="AM8:AM12"/>
    <mergeCell ref="AM67:AM69"/>
    <mergeCell ref="AM70:AM71"/>
    <mergeCell ref="AM74:AM75"/>
    <mergeCell ref="AM76:AM77"/>
    <mergeCell ref="AM92:AM93"/>
    <mergeCell ref="AM99:AM101"/>
    <mergeCell ref="AM138:AM139"/>
    <mergeCell ref="AM140:AM141"/>
    <mergeCell ref="AM144:AM149"/>
    <mergeCell ref="AM182:AM183"/>
    <mergeCell ref="AM184:AM185"/>
    <mergeCell ref="AM193:AM194"/>
    <mergeCell ref="AM195:AM199"/>
    <mergeCell ref="AM215:AM216"/>
    <mergeCell ref="AM219:AM220"/>
    <mergeCell ref="AM241:AM244"/>
    <mergeCell ref="AM285:AM286"/>
    <mergeCell ref="AM293:AM295"/>
    <mergeCell ref="AM298:AM299"/>
    <mergeCell ref="AM300:AM301"/>
    <mergeCell ref="AM391:AM392"/>
    <mergeCell ref="AM509:AM521"/>
    <mergeCell ref="AM522:AM523"/>
    <mergeCell ref="AM525:AM527"/>
    <mergeCell ref="AM532:AM533"/>
    <mergeCell ref="AM555:AM556"/>
    <mergeCell ref="AM557:AM558"/>
    <mergeCell ref="AM566:AM567"/>
    <mergeCell ref="AM595:AM596"/>
    <mergeCell ref="AM598:AM599"/>
    <mergeCell ref="AM622:AM623"/>
    <mergeCell ref="AM636:AM637"/>
    <mergeCell ref="AM652:AM653"/>
    <mergeCell ref="AM687:AM688"/>
    <mergeCell ref="AM695:AM699"/>
    <mergeCell ref="AM701:AM702"/>
    <mergeCell ref="AM712:AM713"/>
    <mergeCell ref="AM715:AM716"/>
    <mergeCell ref="AM717:AM720"/>
    <mergeCell ref="AM736:AM737"/>
    <mergeCell ref="AM738:AM739"/>
    <mergeCell ref="AM740:AM741"/>
    <mergeCell ref="AM756:AM757"/>
    <mergeCell ref="AM759:AM761"/>
    <mergeCell ref="AM780:AM781"/>
    <mergeCell ref="AM809:AM810"/>
    <mergeCell ref="AM825:AM827"/>
    <mergeCell ref="AM846:AM849"/>
    <mergeCell ref="AM855:AM856"/>
    <mergeCell ref="AM858:AM859"/>
    <mergeCell ref="AM863:AM866"/>
    <mergeCell ref="AM872:AM873"/>
    <mergeCell ref="AM882:AM884"/>
    <mergeCell ref="AM885:AM886"/>
    <mergeCell ref="AM902:AM903"/>
    <mergeCell ref="AM904:AM905"/>
    <mergeCell ref="AM908:AM909"/>
    <mergeCell ref="AM926:AM929"/>
    <mergeCell ref="AM933:AM934"/>
    <mergeCell ref="AM938:AM939"/>
    <mergeCell ref="AM945:AM946"/>
    <mergeCell ref="AM965:AM966"/>
    <mergeCell ref="AM977:AM978"/>
    <mergeCell ref="AM982:AM983"/>
    <mergeCell ref="AM1034:AM1035"/>
    <mergeCell ref="AM1039:AM1040"/>
    <mergeCell ref="AM1046:AM1047"/>
    <mergeCell ref="AM1056:AM1057"/>
    <mergeCell ref="AM1061:AM1062"/>
    <mergeCell ref="AM1129:AM1131"/>
    <mergeCell ref="AM1209:AM1210"/>
    <mergeCell ref="AM1241:AM1242"/>
    <mergeCell ref="AM1286:AM1287"/>
    <mergeCell ref="AM1467:AM1468"/>
    <mergeCell ref="AM1470:AM1472"/>
    <mergeCell ref="AM1518:AM1519"/>
    <mergeCell ref="AM1558:AM1560"/>
    <mergeCell ref="AM1572:AM1574"/>
    <mergeCell ref="AM1575:AM1576"/>
    <mergeCell ref="AM1577:AM1579"/>
    <mergeCell ref="AM1608:AM1611"/>
    <mergeCell ref="AM1685:AM1686"/>
    <mergeCell ref="AM1692:AM1693"/>
    <mergeCell ref="AM1701:AM1702"/>
    <mergeCell ref="AM1703:AM1704"/>
    <mergeCell ref="AM1724:AM1725"/>
    <mergeCell ref="AM1752:AM1753"/>
    <mergeCell ref="AM1755:AM1757"/>
    <mergeCell ref="AM1761:AM1762"/>
    <mergeCell ref="AM1769:AM1770"/>
    <mergeCell ref="AM1803:AM1805"/>
    <mergeCell ref="AM1807:AM1808"/>
    <mergeCell ref="AM1812:AM1813"/>
    <mergeCell ref="AM1867:AM1868"/>
    <mergeCell ref="AM1873:AM1874"/>
    <mergeCell ref="AM1881:AM1882"/>
    <mergeCell ref="AM1888:AM1889"/>
    <mergeCell ref="AM1902:AM1903"/>
    <mergeCell ref="AM1913:AM1914"/>
    <mergeCell ref="AM1965:AM1966"/>
    <mergeCell ref="AM1992:AM1993"/>
    <mergeCell ref="AM2000:AM2001"/>
    <mergeCell ref="AM2012:AM2013"/>
    <mergeCell ref="AM2016:AM2017"/>
    <mergeCell ref="AM2021:AM2022"/>
    <mergeCell ref="AM2068:AM2069"/>
    <mergeCell ref="AM2103:AM2104"/>
    <mergeCell ref="AM2109:AM2110"/>
    <mergeCell ref="AM2154:AM2155"/>
    <mergeCell ref="AM2157:AM2158"/>
    <mergeCell ref="AM2160:AM2161"/>
    <mergeCell ref="AM2178:AM2179"/>
    <mergeCell ref="AM2185:AM2186"/>
    <mergeCell ref="AM2195:AM2197"/>
    <mergeCell ref="AM2200:AM2201"/>
    <mergeCell ref="AM2215:AM2217"/>
    <mergeCell ref="AM2224:AM2225"/>
    <mergeCell ref="AM2226:AM2228"/>
    <mergeCell ref="AM2231:AM2234"/>
    <mergeCell ref="AM2237:AM2240"/>
    <mergeCell ref="AM2245:AM2246"/>
    <mergeCell ref="AM2325:AM2326"/>
    <mergeCell ref="AM2348:AM2349"/>
    <mergeCell ref="AM2352:AM2353"/>
    <mergeCell ref="AM2355:AM2356"/>
    <mergeCell ref="AM2368:AM2369"/>
    <mergeCell ref="AM2405:AM2406"/>
    <mergeCell ref="AM2415:AM2417"/>
    <mergeCell ref="AM2509:AM2510"/>
    <mergeCell ref="AM2513:AM2515"/>
    <mergeCell ref="AM2528:AM2529"/>
    <mergeCell ref="AM2558:AM2560"/>
    <mergeCell ref="AM2575:AM2577"/>
    <mergeCell ref="AM2622:AM2626"/>
    <mergeCell ref="AM2630:AM2634"/>
    <mergeCell ref="AM2637:AM2640"/>
    <mergeCell ref="AM2641:AM2643"/>
    <mergeCell ref="AM2644:AM2646"/>
    <mergeCell ref="AM2651:AM2654"/>
    <mergeCell ref="AM2671:AM2673"/>
    <mergeCell ref="AM2674:AM2675"/>
    <mergeCell ref="AM2684:AM2685"/>
    <mergeCell ref="AM2686:AM2687"/>
    <mergeCell ref="AN8:AN12"/>
    <mergeCell ref="AN76:AN77"/>
    <mergeCell ref="AN197:AN198"/>
    <mergeCell ref="AN219:AN220"/>
    <mergeCell ref="AN285:AN286"/>
    <mergeCell ref="AN298:AN299"/>
    <mergeCell ref="AN300:AN301"/>
    <mergeCell ref="AN525:AN527"/>
    <mergeCell ref="AN566:AN567"/>
    <mergeCell ref="AN595:AN596"/>
    <mergeCell ref="AN598:AN599"/>
    <mergeCell ref="AN622:AN623"/>
    <mergeCell ref="AN652:AN653"/>
    <mergeCell ref="AN687:AN688"/>
    <mergeCell ref="AN695:AN696"/>
    <mergeCell ref="AN872:AN873"/>
    <mergeCell ref="AN945:AN946"/>
    <mergeCell ref="AN965:AN966"/>
    <mergeCell ref="AN977:AN978"/>
    <mergeCell ref="AN982:AN983"/>
    <mergeCell ref="AN1129:AN1131"/>
    <mergeCell ref="AN1209:AN1210"/>
    <mergeCell ref="AN1467:AN1468"/>
    <mergeCell ref="AN1470:AN1472"/>
    <mergeCell ref="AN1518:AN1519"/>
    <mergeCell ref="AN1558:AN1560"/>
    <mergeCell ref="AN1572:AN1574"/>
    <mergeCell ref="AN1575:AN1576"/>
    <mergeCell ref="AN1577:AN1579"/>
    <mergeCell ref="AN1692:AN1693"/>
    <mergeCell ref="AN1724:AN1725"/>
    <mergeCell ref="AN1761:AN1762"/>
    <mergeCell ref="AN1769:AN1770"/>
    <mergeCell ref="AN1773:AN1774"/>
    <mergeCell ref="AN1803:AN1805"/>
    <mergeCell ref="AN1807:AN1808"/>
    <mergeCell ref="AN1812:AN1813"/>
    <mergeCell ref="AN1888:AN1889"/>
    <mergeCell ref="AN1902:AN1903"/>
    <mergeCell ref="AN1913:AN1914"/>
    <mergeCell ref="AN1965:AN1966"/>
    <mergeCell ref="AN2154:AN2155"/>
    <mergeCell ref="AN2157:AN2158"/>
    <mergeCell ref="AN2160:AN2161"/>
    <mergeCell ref="AN2237:AN2240"/>
    <mergeCell ref="AN2405:AN2406"/>
    <mergeCell ref="AN2415:AN2417"/>
    <mergeCell ref="AN2513:AN2515"/>
    <mergeCell ref="AN2528:AN2529"/>
    <mergeCell ref="AN2558:AN2560"/>
    <mergeCell ref="AN2575:AN2577"/>
    <mergeCell ref="AN2622:AN2625"/>
    <mergeCell ref="AN2630:AN2633"/>
    <mergeCell ref="AN2637:AN2640"/>
    <mergeCell ref="AN2644:AN2646"/>
    <mergeCell ref="AN2651:AN2654"/>
    <mergeCell ref="AN2671:AN2673"/>
    <mergeCell ref="AN2674:AN2675"/>
    <mergeCell ref="AN2686:AN2687"/>
    <mergeCell ref="AO8:AO12"/>
    <mergeCell ref="AO76:AO77"/>
    <mergeCell ref="AO82:AO84"/>
    <mergeCell ref="AO144:AO149"/>
    <mergeCell ref="AO195:AO199"/>
    <mergeCell ref="AO219:AO220"/>
    <mergeCell ref="AO285:AO286"/>
    <mergeCell ref="AO298:AO299"/>
    <mergeCell ref="AO300:AO301"/>
    <mergeCell ref="AO525:AO527"/>
    <mergeCell ref="AO595:AO596"/>
    <mergeCell ref="AO598:AO599"/>
    <mergeCell ref="AO622:AO623"/>
    <mergeCell ref="AO652:AO653"/>
    <mergeCell ref="AO687:AO688"/>
    <mergeCell ref="AO695:AO696"/>
    <mergeCell ref="AO701:AO702"/>
    <mergeCell ref="AO872:AO873"/>
    <mergeCell ref="AO945:AO946"/>
    <mergeCell ref="AO965:AO966"/>
    <mergeCell ref="AO977:AO978"/>
    <mergeCell ref="AO982:AO983"/>
    <mergeCell ref="AO1129:AO1131"/>
    <mergeCell ref="AO1209:AO1210"/>
    <mergeCell ref="AO1467:AO1468"/>
    <mergeCell ref="AO1470:AO1472"/>
    <mergeCell ref="AO1518:AO1519"/>
    <mergeCell ref="AO1558:AO1560"/>
    <mergeCell ref="AO1572:AO1574"/>
    <mergeCell ref="AO1577:AO1579"/>
    <mergeCell ref="AO1685:AO1686"/>
    <mergeCell ref="AO1692:AO1693"/>
    <mergeCell ref="AO1724:AO1725"/>
    <mergeCell ref="AO1761:AO1762"/>
    <mergeCell ref="AO1803:AO1805"/>
    <mergeCell ref="AO1807:AO1808"/>
    <mergeCell ref="AO1812:AO1813"/>
    <mergeCell ref="AO1888:AO1889"/>
    <mergeCell ref="AO1902:AO1903"/>
    <mergeCell ref="AO1913:AO1914"/>
    <mergeCell ref="AO1965:AO1966"/>
    <mergeCell ref="AO2154:AO2155"/>
    <mergeCell ref="AO2157:AO2158"/>
    <mergeCell ref="AO2160:AO2161"/>
    <mergeCell ref="AO2237:AO2240"/>
    <mergeCell ref="AO2415:AO2417"/>
    <mergeCell ref="AO2513:AO2515"/>
    <mergeCell ref="AO2528:AO2529"/>
    <mergeCell ref="AO2558:AO2560"/>
    <mergeCell ref="AO2575:AO2577"/>
    <mergeCell ref="AO2622:AO2625"/>
    <mergeCell ref="AO2630:AO2633"/>
    <mergeCell ref="AO2637:AO2640"/>
    <mergeCell ref="AO2644:AO2646"/>
    <mergeCell ref="AO2651:AO2654"/>
    <mergeCell ref="AO2671:AO2673"/>
    <mergeCell ref="AO2674:AO2675"/>
    <mergeCell ref="AO2686:AO2687"/>
    <mergeCell ref="AP5:AP12"/>
    <mergeCell ref="AP67:AP68"/>
    <mergeCell ref="AP74:AP75"/>
    <mergeCell ref="AP76:AP77"/>
    <mergeCell ref="AP99:AP100"/>
    <mergeCell ref="AP138:AP139"/>
    <mergeCell ref="AP140:AP141"/>
    <mergeCell ref="AP197:AP199"/>
    <mergeCell ref="AP241:AP244"/>
    <mergeCell ref="AP285:AP286"/>
    <mergeCell ref="AP298:AP299"/>
    <mergeCell ref="AP300:AP301"/>
    <mergeCell ref="AP566:AP567"/>
    <mergeCell ref="AP595:AP596"/>
    <mergeCell ref="AP598:AP599"/>
    <mergeCell ref="AP687:AP688"/>
    <mergeCell ref="AP695:AP696"/>
    <mergeCell ref="AP697:AP701"/>
    <mergeCell ref="AP715:AP716"/>
    <mergeCell ref="AP717:AP720"/>
    <mergeCell ref="AP825:AP827"/>
    <mergeCell ref="AP846:AP849"/>
    <mergeCell ref="AP945:AP946"/>
    <mergeCell ref="AP1209:AP1210"/>
    <mergeCell ref="AP1467:AP1468"/>
    <mergeCell ref="AP1470:AP1472"/>
    <mergeCell ref="AP1518:AP1519"/>
    <mergeCell ref="AP1558:AP1560"/>
    <mergeCell ref="AP1572:AP1574"/>
    <mergeCell ref="AP1577:AP1579"/>
    <mergeCell ref="AP1692:AP1693"/>
    <mergeCell ref="AP1716:AP1717"/>
    <mergeCell ref="AP1724:AP1725"/>
    <mergeCell ref="AP1752:AP1753"/>
    <mergeCell ref="AP1755:AP1757"/>
    <mergeCell ref="AP1761:AP1762"/>
    <mergeCell ref="AP1769:AP1770"/>
    <mergeCell ref="AP1773:AP1774"/>
    <mergeCell ref="AP1803:AP1805"/>
    <mergeCell ref="AP1807:AP1808"/>
    <mergeCell ref="AP1812:AP1813"/>
    <mergeCell ref="AP1888:AP1889"/>
    <mergeCell ref="AP1902:AP1903"/>
    <mergeCell ref="AP1965:AP1966"/>
    <mergeCell ref="AP1992:AP1993"/>
    <mergeCell ref="AP2154:AP2155"/>
    <mergeCell ref="AP2170:AP2174"/>
    <mergeCell ref="AP2405:AP2406"/>
    <mergeCell ref="AP2415:AP2417"/>
    <mergeCell ref="AP2422:AP2426"/>
    <mergeCell ref="AP2528:AP2529"/>
    <mergeCell ref="AP2558:AP2560"/>
    <mergeCell ref="AP2575:AP2577"/>
    <mergeCell ref="AP2622:AP2625"/>
    <mergeCell ref="AP2630:AP2634"/>
    <mergeCell ref="AP2644:AP2646"/>
    <mergeCell ref="AP2651:AP2654"/>
    <mergeCell ref="AP2671:AP2673"/>
    <mergeCell ref="AQ31:AQ32"/>
    <mergeCell ref="AQ135:AQ136"/>
    <mergeCell ref="AQ195:AQ199"/>
    <mergeCell ref="AQ213:AQ214"/>
    <mergeCell ref="AQ215:AQ216"/>
    <mergeCell ref="AQ219:AQ220"/>
    <mergeCell ref="AQ229:AQ230"/>
    <mergeCell ref="AQ260:AQ261"/>
    <mergeCell ref="AQ334:AQ335"/>
    <mergeCell ref="AQ461:AQ468"/>
    <mergeCell ref="AQ475:AQ476"/>
    <mergeCell ref="AQ492:AQ497"/>
    <mergeCell ref="AQ506:AQ507"/>
    <mergeCell ref="AQ541:AQ543"/>
    <mergeCell ref="AQ566:AQ567"/>
    <mergeCell ref="AQ598:AQ599"/>
    <mergeCell ref="AQ640:AQ642"/>
    <mergeCell ref="AQ652:AQ653"/>
    <mergeCell ref="AQ681:AQ682"/>
    <mergeCell ref="AQ687:AQ688"/>
    <mergeCell ref="AQ695:AQ697"/>
    <mergeCell ref="AQ702:AQ703"/>
    <mergeCell ref="AQ712:AQ713"/>
    <mergeCell ref="AQ806:AQ809"/>
    <mergeCell ref="AQ828:AQ831"/>
    <mergeCell ref="AQ854:AQ855"/>
    <mergeCell ref="AQ856:AQ857"/>
    <mergeCell ref="AQ872:AQ874"/>
    <mergeCell ref="AQ875:AQ877"/>
    <mergeCell ref="AQ878:AQ880"/>
    <mergeCell ref="AQ896:AQ897"/>
    <mergeCell ref="AQ904:AQ905"/>
    <mergeCell ref="AQ910:AQ914"/>
    <mergeCell ref="AQ917:AQ918"/>
    <mergeCell ref="AQ945:AQ946"/>
    <mergeCell ref="AQ965:AQ966"/>
    <mergeCell ref="AQ1004:AQ1005"/>
    <mergeCell ref="AQ1457:AQ1459"/>
    <mergeCell ref="AQ1461:AQ1463"/>
    <mergeCell ref="AQ1464:AQ1466"/>
    <mergeCell ref="AQ1467:AQ1469"/>
    <mergeCell ref="AQ1470:AQ1471"/>
    <mergeCell ref="AQ1476:AQ1478"/>
    <mergeCell ref="AQ1479:AQ1482"/>
    <mergeCell ref="AQ1503:AQ1504"/>
    <mergeCell ref="AQ1514:AQ1516"/>
    <mergeCell ref="AQ1518:AQ1519"/>
    <mergeCell ref="AQ1526:AQ1527"/>
    <mergeCell ref="AQ1533:AQ1534"/>
    <mergeCell ref="AQ1541:AQ1542"/>
    <mergeCell ref="AQ1558:AQ1560"/>
    <mergeCell ref="AQ1572:AQ1574"/>
    <mergeCell ref="AQ1577:AQ1579"/>
    <mergeCell ref="AQ1588:AQ1589"/>
    <mergeCell ref="AQ1593:AQ1594"/>
    <mergeCell ref="AQ1595:AQ1596"/>
    <mergeCell ref="AQ1600:AQ1601"/>
    <mergeCell ref="AQ1604:AQ1605"/>
    <mergeCell ref="AQ1607:AQ1608"/>
    <mergeCell ref="AQ1609:AQ1610"/>
    <mergeCell ref="AQ1614:AQ1615"/>
    <mergeCell ref="AQ1618:AQ1620"/>
    <mergeCell ref="AQ1625:AQ1627"/>
    <mergeCell ref="AQ1692:AQ1693"/>
    <mergeCell ref="AQ1724:AQ1728"/>
    <mergeCell ref="AQ1749:AQ1750"/>
    <mergeCell ref="AQ1751:AQ1757"/>
    <mergeCell ref="AQ1758:AQ1762"/>
    <mergeCell ref="AQ1771:AQ1772"/>
    <mergeCell ref="AQ1773:AQ1775"/>
    <mergeCell ref="AQ1777:AQ1780"/>
    <mergeCell ref="AQ1803:AQ1808"/>
    <mergeCell ref="AQ1809:AQ1813"/>
    <mergeCell ref="AQ1825:AQ1828"/>
    <mergeCell ref="AQ1829:AQ1832"/>
    <mergeCell ref="AQ1863:AQ1865"/>
    <mergeCell ref="AQ1867:AQ1868"/>
    <mergeCell ref="AQ1873:AQ1874"/>
    <mergeCell ref="AQ1881:AQ1882"/>
    <mergeCell ref="AQ1888:AQ1889"/>
    <mergeCell ref="AQ1902:AQ1903"/>
    <mergeCell ref="AQ1972:AQ1973"/>
    <mergeCell ref="AQ2000:AQ2001"/>
    <mergeCell ref="AQ2016:AQ2017"/>
    <mergeCell ref="AQ2029:AQ2034"/>
    <mergeCell ref="AQ2035:AQ2046"/>
    <mergeCell ref="AQ2065:AQ2073"/>
    <mergeCell ref="AQ2154:AQ2155"/>
    <mergeCell ref="AQ2187:AQ2188"/>
    <mergeCell ref="AQ2231:AQ2233"/>
    <mergeCell ref="AQ2242:AQ2244"/>
    <mergeCell ref="AQ2251:AQ2252"/>
    <mergeCell ref="AQ2260:AQ2262"/>
    <mergeCell ref="AQ2264:AQ2265"/>
    <mergeCell ref="AQ2280:AQ2282"/>
    <mergeCell ref="AQ2348:AQ2349"/>
    <mergeCell ref="AQ2352:AQ2359"/>
    <mergeCell ref="AQ2528:AQ2529"/>
    <mergeCell ref="AQ2575:AQ2577"/>
    <mergeCell ref="AQ2602:AQ2613"/>
    <mergeCell ref="AQ2651:AQ2654"/>
    <mergeCell ref="AQ2671:AQ2673"/>
    <mergeCell ref="AQ2703:AQ2705"/>
    <mergeCell ref="AQ2707:AQ2708"/>
    <mergeCell ref="AQ2709:AQ2712"/>
    <mergeCell ref="AR30:AR34"/>
    <mergeCell ref="AR39:AR40"/>
    <mergeCell ref="AR41:AR44"/>
    <mergeCell ref="AR52:AR55"/>
    <mergeCell ref="AR56:AR59"/>
    <mergeCell ref="AR60:AR65"/>
    <mergeCell ref="AR78:AR80"/>
    <mergeCell ref="AR81:AR84"/>
    <mergeCell ref="AR168:AR171"/>
    <mergeCell ref="AR203:AR206"/>
    <mergeCell ref="AR218:AR221"/>
    <mergeCell ref="AR222:AR223"/>
    <mergeCell ref="AR228:AR230"/>
    <mergeCell ref="AR248:AR249"/>
    <mergeCell ref="AR258:AR259"/>
    <mergeCell ref="AR260:AR261"/>
    <mergeCell ref="AR271:AR273"/>
    <mergeCell ref="AR274:AR276"/>
    <mergeCell ref="AR283:AR286"/>
    <mergeCell ref="AR298:AR301"/>
    <mergeCell ref="AR302:AR303"/>
    <mergeCell ref="AR431:AR433"/>
    <mergeCell ref="AR434:AR436"/>
    <mergeCell ref="AR461:AR468"/>
    <mergeCell ref="AR477:AR480"/>
    <mergeCell ref="AR481:AR484"/>
    <mergeCell ref="AR485:AR488"/>
    <mergeCell ref="AR538:AR540"/>
    <mergeCell ref="AR598:AR599"/>
    <mergeCell ref="AR629:AR630"/>
    <mergeCell ref="AR640:AR642"/>
    <mergeCell ref="AR687:AR688"/>
    <mergeCell ref="AR872:AR874"/>
    <mergeCell ref="AR875:AR877"/>
    <mergeCell ref="AR948:AR950"/>
    <mergeCell ref="AR1467:AR1469"/>
    <mergeCell ref="AR1470:AR1475"/>
    <mergeCell ref="AR1501:AR1504"/>
    <mergeCell ref="AR1505:AR1508"/>
    <mergeCell ref="AR1524:AR1525"/>
    <mergeCell ref="AR1531:AR1539"/>
    <mergeCell ref="AR1566:AR1569"/>
    <mergeCell ref="AR1599:AR1601"/>
    <mergeCell ref="AR1602:AR1603"/>
    <mergeCell ref="AR1604:AR1606"/>
    <mergeCell ref="AR1614:AR1617"/>
    <mergeCell ref="AR1618:AR1621"/>
    <mergeCell ref="AR1669:AR1671"/>
    <mergeCell ref="AR1679:AR1680"/>
    <mergeCell ref="AR1685:AR1687"/>
    <mergeCell ref="AR1724:AR1725"/>
    <mergeCell ref="AR2204:AR2206"/>
    <mergeCell ref="AR2399:AR2401"/>
    <mergeCell ref="AR2528:AR2529"/>
    <mergeCell ref="AR2651:AR2654"/>
    <mergeCell ref="AS5:AS12"/>
    <mergeCell ref="AS66:AS77"/>
    <mergeCell ref="AS131:AS134"/>
    <mergeCell ref="AS135:AS137"/>
    <mergeCell ref="AS509:AS514"/>
    <mergeCell ref="AS522:AS524"/>
    <mergeCell ref="AS598:AS599"/>
    <mergeCell ref="AS625:AS628"/>
    <mergeCell ref="AS633:AS634"/>
    <mergeCell ref="AS635:AS639"/>
    <mergeCell ref="AS645:AS646"/>
    <mergeCell ref="AS687:AS688"/>
    <mergeCell ref="AS806:AS809"/>
    <mergeCell ref="AS828:AS831"/>
    <mergeCell ref="AS847:AS848"/>
    <mergeCell ref="AS854:AS855"/>
    <mergeCell ref="AS872:AS873"/>
    <mergeCell ref="AS881:AS941"/>
    <mergeCell ref="AS946:AS947"/>
    <mergeCell ref="AS959:AS964"/>
    <mergeCell ref="AS965:AS966"/>
    <mergeCell ref="AS1127:AS1128"/>
    <mergeCell ref="AS1129:AS1131"/>
    <mergeCell ref="AS1133:AS1134"/>
    <mergeCell ref="AS1464:AS1466"/>
    <mergeCell ref="AS1467:AS1469"/>
    <mergeCell ref="AS1470:AS1475"/>
    <mergeCell ref="AS1669:AS1671"/>
    <mergeCell ref="AS1724:AS1725"/>
    <mergeCell ref="AS1803:AS1808"/>
    <mergeCell ref="AS1825:AS1827"/>
    <mergeCell ref="AS1830:AS1831"/>
    <mergeCell ref="AS2160:AS2161"/>
    <mergeCell ref="AS2242:AS2244"/>
    <mergeCell ref="AS2251:AS2258"/>
    <mergeCell ref="AS2399:AS2401"/>
    <mergeCell ref="AS2402:AS2407"/>
    <mergeCell ref="AS2408:AS2409"/>
    <mergeCell ref="AS2528:AS2529"/>
    <mergeCell ref="AS2651:AS2654"/>
    <mergeCell ref="AT598:AT599"/>
    <mergeCell ref="AT687:AT688"/>
    <mergeCell ref="AT1214:AT1216"/>
    <mergeCell ref="AT1467:AT1469"/>
    <mergeCell ref="AT1470:AT1475"/>
    <mergeCell ref="AT1669:AT1671"/>
    <mergeCell ref="AT2528:AT2529"/>
    <mergeCell ref="AT2651:AT2654"/>
    <mergeCell ref="AU5:AU29"/>
    <mergeCell ref="AU30:AU34"/>
    <mergeCell ref="AU35:AU38"/>
    <mergeCell ref="AU39:AU40"/>
    <mergeCell ref="AU41:AU44"/>
    <mergeCell ref="AU45:AU48"/>
    <mergeCell ref="AU49:AU51"/>
    <mergeCell ref="AU52:AU55"/>
    <mergeCell ref="AU56:AU59"/>
    <mergeCell ref="AU60:AU65"/>
    <mergeCell ref="AU66:AU77"/>
    <mergeCell ref="AU78:AU80"/>
    <mergeCell ref="AU81:AU84"/>
    <mergeCell ref="AU86:AU87"/>
    <mergeCell ref="AU90:AU96"/>
    <mergeCell ref="AU97:AU103"/>
    <mergeCell ref="AU104:AU130"/>
    <mergeCell ref="AU131:AU134"/>
    <mergeCell ref="AU135:AU137"/>
    <mergeCell ref="AU138:AU143"/>
    <mergeCell ref="AU144:AU149"/>
    <mergeCell ref="AU150:AU153"/>
    <mergeCell ref="AU154:AU159"/>
    <mergeCell ref="AU160:AU164"/>
    <mergeCell ref="AU168:AU171"/>
    <mergeCell ref="AU172:AU174"/>
    <mergeCell ref="AU175:AU177"/>
    <mergeCell ref="AU178:AU181"/>
    <mergeCell ref="AU182:AU188"/>
    <mergeCell ref="AU189:AU190"/>
    <mergeCell ref="AU191:AU194"/>
    <mergeCell ref="AU195:AU199"/>
    <mergeCell ref="AU203:AU206"/>
    <mergeCell ref="AU209:AU210"/>
    <mergeCell ref="AU213:AU216"/>
    <mergeCell ref="AU218:AU221"/>
    <mergeCell ref="AU222:AU223"/>
    <mergeCell ref="AU224:AU227"/>
    <mergeCell ref="AU228:AU230"/>
    <mergeCell ref="AU231:AU234"/>
    <mergeCell ref="AU235:AU239"/>
    <mergeCell ref="AU240:AU247"/>
    <mergeCell ref="AU248:AU249"/>
    <mergeCell ref="AU258:AU259"/>
    <mergeCell ref="AU260:AU261"/>
    <mergeCell ref="AU262:AU267"/>
    <mergeCell ref="AU268:AU269"/>
    <mergeCell ref="AU271:AU273"/>
    <mergeCell ref="AU274:AU276"/>
    <mergeCell ref="AU283:AU286"/>
    <mergeCell ref="AU293:AU297"/>
    <mergeCell ref="AU298:AU301"/>
    <mergeCell ref="AU302:AU303"/>
    <mergeCell ref="AU332:AU336"/>
    <mergeCell ref="AU431:AU433"/>
    <mergeCell ref="AU434:AU436"/>
    <mergeCell ref="AU437:AU440"/>
    <mergeCell ref="AU445:AU449"/>
    <mergeCell ref="AU450:AU451"/>
    <mergeCell ref="AU452:AU453"/>
    <mergeCell ref="AU454:AU455"/>
    <mergeCell ref="AU456:AU457"/>
    <mergeCell ref="AU458:AU460"/>
    <mergeCell ref="AU461:AU468"/>
    <mergeCell ref="AU469:AU472"/>
    <mergeCell ref="AU473:AU476"/>
    <mergeCell ref="AU477:AU480"/>
    <mergeCell ref="AU481:AU484"/>
    <mergeCell ref="AU485:AU488"/>
    <mergeCell ref="AU489:AU491"/>
    <mergeCell ref="AU492:AU497"/>
    <mergeCell ref="AU500:AU502"/>
    <mergeCell ref="AU503:AU505"/>
    <mergeCell ref="AU506:AU508"/>
    <mergeCell ref="AU525:AU528"/>
    <mergeCell ref="AU532:AU535"/>
    <mergeCell ref="AU538:AU540"/>
    <mergeCell ref="AU541:AU547"/>
    <mergeCell ref="AU548:AU550"/>
    <mergeCell ref="AU551:AU554"/>
    <mergeCell ref="AU555:AU559"/>
    <mergeCell ref="AU561:AU563"/>
    <mergeCell ref="AU566:AU588"/>
    <mergeCell ref="AU593:AU594"/>
    <mergeCell ref="AU595:AU599"/>
    <mergeCell ref="AU600:AU602"/>
    <mergeCell ref="AU604:AU613"/>
    <mergeCell ref="AU614:AU615"/>
    <mergeCell ref="AU616:AU618"/>
    <mergeCell ref="AU621:AU624"/>
    <mergeCell ref="AU625:AU628"/>
    <mergeCell ref="AU629:AU630"/>
    <mergeCell ref="AU631:AU639"/>
    <mergeCell ref="AU640:AU642"/>
    <mergeCell ref="AU643:AU646"/>
    <mergeCell ref="AU647:AU650"/>
    <mergeCell ref="AU652:AU657"/>
    <mergeCell ref="AU658:AU674"/>
    <mergeCell ref="AU675:AU680"/>
    <mergeCell ref="AU681:AU685"/>
    <mergeCell ref="AU686:AU687"/>
    <mergeCell ref="AU689:AU694"/>
    <mergeCell ref="AU695:AU704"/>
    <mergeCell ref="AU705:AU711"/>
    <mergeCell ref="AU712:AU794"/>
    <mergeCell ref="AU795:AU815"/>
    <mergeCell ref="AU816:AU836"/>
    <mergeCell ref="AU837:AU867"/>
    <mergeCell ref="AU868:AU871"/>
    <mergeCell ref="AU872:AU874"/>
    <mergeCell ref="AU875:AU877"/>
    <mergeCell ref="AU878:AU880"/>
    <mergeCell ref="AU881:AU941"/>
    <mergeCell ref="AU942:AU947"/>
    <mergeCell ref="AU948:AU950"/>
    <mergeCell ref="AU951:AU957"/>
    <mergeCell ref="AU959:AU964"/>
    <mergeCell ref="AU965:AU967"/>
    <mergeCell ref="AU968:AU970"/>
    <mergeCell ref="AU971:AU973"/>
    <mergeCell ref="AU974:AU976"/>
    <mergeCell ref="AU999:AU1027"/>
    <mergeCell ref="AU1032:AU1064"/>
    <mergeCell ref="AU1065:AU1092"/>
    <mergeCell ref="AU1093:AU1120"/>
    <mergeCell ref="AU1121:AU1126"/>
    <mergeCell ref="AU1127:AU1128"/>
    <mergeCell ref="AU1129:AU1132"/>
    <mergeCell ref="AU1133:AU1134"/>
    <mergeCell ref="AU1135:AU1136"/>
    <mergeCell ref="AU1137:AU1138"/>
    <mergeCell ref="AU1139:AU1144"/>
    <mergeCell ref="AU1451:AU1456"/>
    <mergeCell ref="AU1457:AU1459"/>
    <mergeCell ref="AU1460:AU1463"/>
    <mergeCell ref="AU1464:AU1466"/>
    <mergeCell ref="AU1467:AU1469"/>
    <mergeCell ref="AU1470:AU1475"/>
    <mergeCell ref="AU1476:AU1478"/>
    <mergeCell ref="AU1479:AU1482"/>
    <mergeCell ref="AU1483:AU1486"/>
    <mergeCell ref="AU1487:AU1491"/>
    <mergeCell ref="AU1492:AU1497"/>
    <mergeCell ref="AU1501:AU1504"/>
    <mergeCell ref="AU1505:AU1508"/>
    <mergeCell ref="AU1509:AU1513"/>
    <mergeCell ref="AU1514:AU1518"/>
    <mergeCell ref="AU1524:AU1525"/>
    <mergeCell ref="AU1526:AU1528"/>
    <mergeCell ref="AU1529:AU1530"/>
    <mergeCell ref="AU1531:AU1539"/>
    <mergeCell ref="AU1540:AU1544"/>
    <mergeCell ref="AU1547:AU1553"/>
    <mergeCell ref="AU1555:AU1558"/>
    <mergeCell ref="AU1561:AU1565"/>
    <mergeCell ref="AU1566:AU1569"/>
    <mergeCell ref="AU1570:AU1575"/>
    <mergeCell ref="AU1577:AU1581"/>
    <mergeCell ref="AU1583:AU1598"/>
    <mergeCell ref="AU1599:AU1601"/>
    <mergeCell ref="AU1602:AU1603"/>
    <mergeCell ref="AU1604:AU1606"/>
    <mergeCell ref="AU1607:AU1612"/>
    <mergeCell ref="AU1614:AU1617"/>
    <mergeCell ref="AU1618:AU1621"/>
    <mergeCell ref="AU1623:AU1624"/>
    <mergeCell ref="AU1625:AU1627"/>
    <mergeCell ref="AU1628:AU1632"/>
    <mergeCell ref="AU1633:AU1636"/>
    <mergeCell ref="AU1637:AU1645"/>
    <mergeCell ref="AU1646:AU1650"/>
    <mergeCell ref="AU1651:AU1652"/>
    <mergeCell ref="AU1653:AU1654"/>
    <mergeCell ref="AU1655:AU1656"/>
    <mergeCell ref="AU1657:AU1658"/>
    <mergeCell ref="AU1659:AU1660"/>
    <mergeCell ref="AU1661:AU1662"/>
    <mergeCell ref="AU1663:AU1664"/>
    <mergeCell ref="AU1665:AU1668"/>
    <mergeCell ref="AU1669:AU1671"/>
    <mergeCell ref="AU1679:AU1680"/>
    <mergeCell ref="AU1681:AU1684"/>
    <mergeCell ref="AU1685:AU1687"/>
    <mergeCell ref="AU1688:AU1689"/>
    <mergeCell ref="AU1710:AU1714"/>
    <mergeCell ref="AU1716:AU1719"/>
    <mergeCell ref="AU1720:AU1723"/>
    <mergeCell ref="AU1731:AU1733"/>
    <mergeCell ref="AU1736:AU1738"/>
    <mergeCell ref="AU1743:AU1745"/>
    <mergeCell ref="AU1746:AU1748"/>
    <mergeCell ref="AU1749:AU1750"/>
    <mergeCell ref="AU1751:AU1757"/>
    <mergeCell ref="AU1758:AU1762"/>
    <mergeCell ref="AU1763:AU1765"/>
    <mergeCell ref="AU1766:AU1770"/>
    <mergeCell ref="AU1771:AU1772"/>
    <mergeCell ref="AU1773:AU1775"/>
    <mergeCell ref="AU1777:AU1780"/>
    <mergeCell ref="AU1781:AU1784"/>
    <mergeCell ref="AU1785:AU1786"/>
    <mergeCell ref="AU1788:AU1790"/>
    <mergeCell ref="AU1791:AU1792"/>
    <mergeCell ref="AU1793:AU1795"/>
    <mergeCell ref="AU1803:AU1808"/>
    <mergeCell ref="AU1809:AU1813"/>
    <mergeCell ref="AU1814:AU1815"/>
    <mergeCell ref="AU1816:AU1819"/>
    <mergeCell ref="AU1825:AU1828"/>
    <mergeCell ref="AU1829:AU1832"/>
    <mergeCell ref="AU1867:AU1872"/>
    <mergeCell ref="AU1873:AU1880"/>
    <mergeCell ref="AU1881:AU1886"/>
    <mergeCell ref="AU1888:AU1893"/>
    <mergeCell ref="AU1894:AU1901"/>
    <mergeCell ref="AU1902:AU1907"/>
    <mergeCell ref="AU1912:AU1915"/>
    <mergeCell ref="AU1916:AU1919"/>
    <mergeCell ref="AU1920:AU1922"/>
    <mergeCell ref="AU1923:AU1925"/>
    <mergeCell ref="AU1926:AU1928"/>
    <mergeCell ref="AU1929:AU1931"/>
    <mergeCell ref="AU1932:AU1934"/>
    <mergeCell ref="AU1947:AU1950"/>
    <mergeCell ref="AU1951:AU1954"/>
    <mergeCell ref="AU1955:AU1957"/>
    <mergeCell ref="AU1958:AU1960"/>
    <mergeCell ref="AU1965:AU1967"/>
    <mergeCell ref="AU1968:AU1970"/>
    <mergeCell ref="AU1971:AU1973"/>
    <mergeCell ref="AU1974:AU1976"/>
    <mergeCell ref="AU1977:AU1979"/>
    <mergeCell ref="AU1987:AU1990"/>
    <mergeCell ref="AU1991:AU1995"/>
    <mergeCell ref="AU2154:AU2161"/>
    <mergeCell ref="AU2162:AU2169"/>
    <mergeCell ref="AU2170:AU2177"/>
    <mergeCell ref="AU2178:AU2180"/>
    <mergeCell ref="AU2181:AU2184"/>
    <mergeCell ref="AU2185:AU2192"/>
    <mergeCell ref="AU2194:AU2236"/>
    <mergeCell ref="AU2237:AU2241"/>
    <mergeCell ref="AU2242:AU2296"/>
    <mergeCell ref="AU2297:AU2303"/>
    <mergeCell ref="AU2325:AU2328"/>
    <mergeCell ref="AU2329:AU2335"/>
    <mergeCell ref="AU2336:AU2344"/>
    <mergeCell ref="AU2345:AU2347"/>
    <mergeCell ref="AU2348:AU2351"/>
    <mergeCell ref="AU2352:AU2359"/>
    <mergeCell ref="AU2360:AU2363"/>
    <mergeCell ref="AU2364:AU2370"/>
    <mergeCell ref="AU2371:AU2374"/>
    <mergeCell ref="AU2375:AU2378"/>
    <mergeCell ref="AU2380:AU2383"/>
    <mergeCell ref="AU2396:AU2397"/>
    <mergeCell ref="AU2399:AU2413"/>
    <mergeCell ref="AU2415:AU2421"/>
    <mergeCell ref="AU2435:AU2440"/>
    <mergeCell ref="AU2441:AU2445"/>
    <mergeCell ref="AU2651:AU2654"/>
    <mergeCell ref="AV5:AV29"/>
    <mergeCell ref="AV30:AV34"/>
    <mergeCell ref="AV35:AV38"/>
    <mergeCell ref="AV39:AV40"/>
    <mergeCell ref="AV41:AV44"/>
    <mergeCell ref="AV45:AV48"/>
    <mergeCell ref="AV49:AV51"/>
    <mergeCell ref="AV52:AV55"/>
    <mergeCell ref="AV56:AV59"/>
    <mergeCell ref="AV60:AV65"/>
    <mergeCell ref="AV66:AV77"/>
    <mergeCell ref="AV78:AV80"/>
    <mergeCell ref="AV81:AV84"/>
    <mergeCell ref="AV86:AV87"/>
    <mergeCell ref="AV90:AV96"/>
    <mergeCell ref="AV97:AV103"/>
    <mergeCell ref="AV104:AV130"/>
    <mergeCell ref="AV131:AV134"/>
    <mergeCell ref="AV135:AV137"/>
    <mergeCell ref="AV138:AV143"/>
    <mergeCell ref="AV144:AV149"/>
    <mergeCell ref="AV150:AV153"/>
    <mergeCell ref="AV154:AV159"/>
    <mergeCell ref="AV160:AV164"/>
    <mergeCell ref="AV168:AV171"/>
    <mergeCell ref="AV172:AV174"/>
    <mergeCell ref="AV175:AV177"/>
    <mergeCell ref="AV178:AV181"/>
    <mergeCell ref="AV182:AV188"/>
    <mergeCell ref="AV189:AV190"/>
    <mergeCell ref="AV191:AV194"/>
    <mergeCell ref="AV195:AV199"/>
    <mergeCell ref="AV203:AV206"/>
    <mergeCell ref="AV209:AV210"/>
    <mergeCell ref="AV213:AV216"/>
    <mergeCell ref="AV218:AV221"/>
    <mergeCell ref="AV222:AV223"/>
    <mergeCell ref="AV224:AV227"/>
    <mergeCell ref="AV228:AV230"/>
    <mergeCell ref="AV231:AV234"/>
    <mergeCell ref="AV235:AV239"/>
    <mergeCell ref="AV240:AV247"/>
    <mergeCell ref="AV248:AV249"/>
    <mergeCell ref="AV258:AV259"/>
    <mergeCell ref="AV260:AV261"/>
    <mergeCell ref="AV262:AV267"/>
    <mergeCell ref="AV268:AV269"/>
    <mergeCell ref="AV271:AV273"/>
    <mergeCell ref="AV274:AV276"/>
    <mergeCell ref="AV283:AV286"/>
    <mergeCell ref="AV293:AV297"/>
    <mergeCell ref="AV298:AV301"/>
    <mergeCell ref="AV302:AV303"/>
    <mergeCell ref="AV332:AV336"/>
    <mergeCell ref="AV431:AV433"/>
    <mergeCell ref="AV434:AV436"/>
    <mergeCell ref="AV437:AV440"/>
    <mergeCell ref="AV445:AV449"/>
    <mergeCell ref="AV450:AV451"/>
    <mergeCell ref="AV452:AV453"/>
    <mergeCell ref="AV454:AV455"/>
    <mergeCell ref="AV456:AV457"/>
    <mergeCell ref="AV458:AV460"/>
    <mergeCell ref="AV461:AV468"/>
    <mergeCell ref="AV469:AV472"/>
    <mergeCell ref="AV473:AV476"/>
    <mergeCell ref="AV477:AV480"/>
    <mergeCell ref="AV481:AV484"/>
    <mergeCell ref="AV485:AV488"/>
    <mergeCell ref="AV489:AV491"/>
    <mergeCell ref="AV492:AV497"/>
    <mergeCell ref="AV500:AV502"/>
    <mergeCell ref="AV503:AV505"/>
    <mergeCell ref="AV506:AV508"/>
    <mergeCell ref="AV525:AV528"/>
    <mergeCell ref="AV532:AV535"/>
    <mergeCell ref="AV538:AV540"/>
    <mergeCell ref="AV541:AV547"/>
    <mergeCell ref="AV548:AV550"/>
    <mergeCell ref="AV551:AV554"/>
    <mergeCell ref="AV555:AV559"/>
    <mergeCell ref="AV561:AV563"/>
    <mergeCell ref="AV566:AV588"/>
    <mergeCell ref="AV593:AV594"/>
    <mergeCell ref="AV595:AV599"/>
    <mergeCell ref="AV600:AV602"/>
    <mergeCell ref="AV604:AV613"/>
    <mergeCell ref="AV614:AV615"/>
    <mergeCell ref="AV616:AV618"/>
    <mergeCell ref="AV621:AV624"/>
    <mergeCell ref="AV625:AV628"/>
    <mergeCell ref="AV629:AV630"/>
    <mergeCell ref="AV631:AV639"/>
    <mergeCell ref="AV640:AV642"/>
    <mergeCell ref="AV643:AV646"/>
    <mergeCell ref="AV647:AV650"/>
    <mergeCell ref="AV652:AV657"/>
    <mergeCell ref="AV658:AV674"/>
    <mergeCell ref="AV675:AV680"/>
    <mergeCell ref="AV681:AV685"/>
    <mergeCell ref="AV686:AV687"/>
    <mergeCell ref="AV689:AV694"/>
    <mergeCell ref="AV695:AV704"/>
    <mergeCell ref="AV705:AV711"/>
    <mergeCell ref="AV712:AV794"/>
    <mergeCell ref="AV795:AV815"/>
    <mergeCell ref="AV816:AV836"/>
    <mergeCell ref="AV837:AV867"/>
    <mergeCell ref="AV868:AV871"/>
    <mergeCell ref="AV872:AV874"/>
    <mergeCell ref="AV875:AV877"/>
    <mergeCell ref="AV878:AV880"/>
    <mergeCell ref="AV881:AV941"/>
    <mergeCell ref="AV942:AV947"/>
    <mergeCell ref="AV948:AV950"/>
    <mergeCell ref="AV951:AV957"/>
    <mergeCell ref="AV959:AV964"/>
    <mergeCell ref="AV965:AV967"/>
    <mergeCell ref="AV968:AV970"/>
    <mergeCell ref="AV971:AV973"/>
    <mergeCell ref="AV974:AV976"/>
    <mergeCell ref="AV999:AV1027"/>
    <mergeCell ref="AV1032:AV1064"/>
    <mergeCell ref="AV1065:AV1092"/>
    <mergeCell ref="AV1093:AV1120"/>
    <mergeCell ref="AV1121:AV1126"/>
    <mergeCell ref="AV1127:AV1128"/>
    <mergeCell ref="AV1129:AV1132"/>
    <mergeCell ref="AV1133:AV1134"/>
    <mergeCell ref="AV1135:AV1136"/>
    <mergeCell ref="AV1137:AV1138"/>
    <mergeCell ref="AV1139:AV1144"/>
    <mergeCell ref="AV1451:AV1456"/>
    <mergeCell ref="AV1457:AV1459"/>
    <mergeCell ref="AV1460:AV1463"/>
    <mergeCell ref="AV1464:AV1466"/>
    <mergeCell ref="AV1467:AV1469"/>
    <mergeCell ref="AV1470:AV1475"/>
    <mergeCell ref="AV1476:AV1478"/>
    <mergeCell ref="AV1479:AV1482"/>
    <mergeCell ref="AV1483:AV1486"/>
    <mergeCell ref="AV1487:AV1491"/>
    <mergeCell ref="AV1492:AV1497"/>
    <mergeCell ref="AV1501:AV1504"/>
    <mergeCell ref="AV1505:AV1508"/>
    <mergeCell ref="AV1509:AV1513"/>
    <mergeCell ref="AV1514:AV1518"/>
    <mergeCell ref="AV1524:AV1525"/>
    <mergeCell ref="AV1526:AV1528"/>
    <mergeCell ref="AV1529:AV1530"/>
    <mergeCell ref="AV1531:AV1539"/>
    <mergeCell ref="AV1540:AV1544"/>
    <mergeCell ref="AV1547:AV1553"/>
    <mergeCell ref="AV1555:AV1558"/>
    <mergeCell ref="AV1561:AV1565"/>
    <mergeCell ref="AV1566:AV1569"/>
    <mergeCell ref="AV1570:AV1575"/>
    <mergeCell ref="AV1577:AV1581"/>
    <mergeCell ref="AV1583:AV1598"/>
    <mergeCell ref="AV1599:AV1601"/>
    <mergeCell ref="AV1602:AV1603"/>
    <mergeCell ref="AV1604:AV1606"/>
    <mergeCell ref="AV1607:AV1612"/>
    <mergeCell ref="AV1614:AV1617"/>
    <mergeCell ref="AV1618:AV1621"/>
    <mergeCell ref="AV1623:AV1624"/>
    <mergeCell ref="AV1625:AV1627"/>
    <mergeCell ref="AV1628:AV1632"/>
    <mergeCell ref="AV1633:AV1636"/>
    <mergeCell ref="AV1637:AV1645"/>
    <mergeCell ref="AV1646:AV1650"/>
    <mergeCell ref="AV1651:AV1652"/>
    <mergeCell ref="AV1653:AV1654"/>
    <mergeCell ref="AV1655:AV1656"/>
    <mergeCell ref="AV1657:AV1658"/>
    <mergeCell ref="AV1659:AV1660"/>
    <mergeCell ref="AV1661:AV1662"/>
    <mergeCell ref="AV1663:AV1664"/>
    <mergeCell ref="AV1665:AV1668"/>
    <mergeCell ref="AV1669:AV1671"/>
    <mergeCell ref="AV1679:AV1680"/>
    <mergeCell ref="AV1681:AV1684"/>
    <mergeCell ref="AV1685:AV1687"/>
    <mergeCell ref="AV1688:AV1689"/>
    <mergeCell ref="AV1710:AV1714"/>
    <mergeCell ref="AV1716:AV1719"/>
    <mergeCell ref="AV1720:AV1723"/>
    <mergeCell ref="AV1731:AV1733"/>
    <mergeCell ref="AV1736:AV1738"/>
    <mergeCell ref="AV1743:AV1745"/>
    <mergeCell ref="AV1746:AV1748"/>
    <mergeCell ref="AV1749:AV1750"/>
    <mergeCell ref="AV1751:AV1757"/>
    <mergeCell ref="AV1758:AV1762"/>
    <mergeCell ref="AV1763:AV1765"/>
    <mergeCell ref="AV1766:AV1770"/>
    <mergeCell ref="AV1771:AV1772"/>
    <mergeCell ref="AV1773:AV1775"/>
    <mergeCell ref="AV1777:AV1780"/>
    <mergeCell ref="AV1781:AV1784"/>
    <mergeCell ref="AV1785:AV1786"/>
    <mergeCell ref="AV1788:AV1790"/>
    <mergeCell ref="AV1791:AV1792"/>
    <mergeCell ref="AV1793:AV1795"/>
    <mergeCell ref="AV1803:AV1808"/>
    <mergeCell ref="AV1809:AV1813"/>
    <mergeCell ref="AV1814:AV1815"/>
    <mergeCell ref="AV1816:AV1819"/>
    <mergeCell ref="AV1825:AV1828"/>
    <mergeCell ref="AV1829:AV1832"/>
    <mergeCell ref="AV1867:AV1872"/>
    <mergeCell ref="AV1873:AV1880"/>
    <mergeCell ref="AV1881:AV1886"/>
    <mergeCell ref="AV1888:AV1893"/>
    <mergeCell ref="AV1894:AV1901"/>
    <mergeCell ref="AV1902:AV1907"/>
    <mergeCell ref="AV1912:AV1915"/>
    <mergeCell ref="AV1916:AV1919"/>
    <mergeCell ref="AV1920:AV1922"/>
    <mergeCell ref="AV1923:AV1925"/>
    <mergeCell ref="AV1926:AV1928"/>
    <mergeCell ref="AV1929:AV1931"/>
    <mergeCell ref="AV1932:AV1934"/>
    <mergeCell ref="AV1947:AV1950"/>
    <mergeCell ref="AV1951:AV1954"/>
    <mergeCell ref="AV1955:AV1957"/>
    <mergeCell ref="AV1958:AV1960"/>
    <mergeCell ref="AV1965:AV1967"/>
    <mergeCell ref="AV1968:AV1970"/>
    <mergeCell ref="AV1971:AV1973"/>
    <mergeCell ref="AV1974:AV1976"/>
    <mergeCell ref="AV1977:AV1979"/>
    <mergeCell ref="AV1987:AV1990"/>
    <mergeCell ref="AV1991:AV1995"/>
    <mergeCell ref="AV2154:AV2161"/>
    <mergeCell ref="AV2162:AV2169"/>
    <mergeCell ref="AV2170:AV2177"/>
    <mergeCell ref="AV2178:AV2180"/>
    <mergeCell ref="AV2181:AV2184"/>
    <mergeCell ref="AV2185:AV2192"/>
    <mergeCell ref="AV2194:AV2236"/>
    <mergeCell ref="AV2237:AV2241"/>
    <mergeCell ref="AV2242:AV2296"/>
    <mergeCell ref="AV2297:AV2303"/>
    <mergeCell ref="AV2325:AV2328"/>
    <mergeCell ref="AV2329:AV2335"/>
    <mergeCell ref="AV2336:AV2344"/>
    <mergeCell ref="AV2345:AV2347"/>
    <mergeCell ref="AV2348:AV2351"/>
    <mergeCell ref="AV2352:AV2359"/>
    <mergeCell ref="AV2360:AV2363"/>
    <mergeCell ref="AV2364:AV2370"/>
    <mergeCell ref="AV2371:AV2374"/>
    <mergeCell ref="AV2375:AV2378"/>
    <mergeCell ref="AV2380:AV2383"/>
    <mergeCell ref="AV2396:AV2397"/>
    <mergeCell ref="AV2399:AV2413"/>
    <mergeCell ref="AV2415:AV2421"/>
    <mergeCell ref="AV2435:AV2440"/>
    <mergeCell ref="AV2441:AV2445"/>
    <mergeCell ref="AV2651:AV2654"/>
    <mergeCell ref="AW5:AW29"/>
    <mergeCell ref="AW30:AW34"/>
    <mergeCell ref="AW35:AW38"/>
    <mergeCell ref="AW39:AW40"/>
    <mergeCell ref="AW41:AW44"/>
    <mergeCell ref="AW45:AW48"/>
    <mergeCell ref="AW49:AW51"/>
    <mergeCell ref="AW52:AW55"/>
    <mergeCell ref="AW56:AW59"/>
    <mergeCell ref="AW60:AW65"/>
    <mergeCell ref="AW66:AW77"/>
    <mergeCell ref="AW78:AW80"/>
    <mergeCell ref="AW81:AW84"/>
    <mergeCell ref="AW86:AW87"/>
    <mergeCell ref="AW90:AW96"/>
    <mergeCell ref="AW97:AW103"/>
    <mergeCell ref="AW104:AW130"/>
    <mergeCell ref="AW131:AW134"/>
    <mergeCell ref="AW135:AW137"/>
    <mergeCell ref="AW138:AW143"/>
    <mergeCell ref="AW144:AW149"/>
    <mergeCell ref="AW150:AW153"/>
    <mergeCell ref="AW154:AW159"/>
    <mergeCell ref="AW160:AW164"/>
    <mergeCell ref="AW168:AW171"/>
    <mergeCell ref="AW172:AW174"/>
    <mergeCell ref="AW175:AW177"/>
    <mergeCell ref="AW178:AW181"/>
    <mergeCell ref="AW182:AW188"/>
    <mergeCell ref="AW189:AW190"/>
    <mergeCell ref="AW191:AW194"/>
    <mergeCell ref="AW195:AW199"/>
    <mergeCell ref="AW203:AW206"/>
    <mergeCell ref="AW209:AW210"/>
    <mergeCell ref="AW213:AW216"/>
    <mergeCell ref="AW218:AW221"/>
    <mergeCell ref="AW222:AW223"/>
    <mergeCell ref="AW224:AW227"/>
    <mergeCell ref="AW228:AW230"/>
    <mergeCell ref="AW231:AW234"/>
    <mergeCell ref="AW235:AW239"/>
    <mergeCell ref="AW240:AW247"/>
    <mergeCell ref="AW248:AW249"/>
    <mergeCell ref="AW258:AW259"/>
    <mergeCell ref="AW260:AW261"/>
    <mergeCell ref="AW262:AW267"/>
    <mergeCell ref="AW268:AW269"/>
    <mergeCell ref="AW271:AW273"/>
    <mergeCell ref="AW274:AW276"/>
    <mergeCell ref="AW283:AW286"/>
    <mergeCell ref="AW293:AW297"/>
    <mergeCell ref="AW298:AW301"/>
    <mergeCell ref="AW302:AW303"/>
    <mergeCell ref="AW332:AW336"/>
    <mergeCell ref="AW431:AW433"/>
    <mergeCell ref="AW434:AW436"/>
    <mergeCell ref="AW437:AW440"/>
    <mergeCell ref="AW445:AW449"/>
    <mergeCell ref="AW450:AW451"/>
    <mergeCell ref="AW452:AW453"/>
    <mergeCell ref="AW454:AW455"/>
    <mergeCell ref="AW456:AW457"/>
    <mergeCell ref="AW458:AW460"/>
    <mergeCell ref="AW461:AW468"/>
    <mergeCell ref="AW469:AW472"/>
    <mergeCell ref="AW473:AW476"/>
    <mergeCell ref="AW477:AW480"/>
    <mergeCell ref="AW481:AW484"/>
    <mergeCell ref="AW485:AW488"/>
    <mergeCell ref="AW489:AW491"/>
    <mergeCell ref="AW492:AW497"/>
    <mergeCell ref="AW500:AW502"/>
    <mergeCell ref="AW503:AW505"/>
    <mergeCell ref="AW506:AW508"/>
    <mergeCell ref="AW525:AW528"/>
    <mergeCell ref="AW532:AW535"/>
    <mergeCell ref="AW538:AW540"/>
    <mergeCell ref="AW541:AW547"/>
    <mergeCell ref="AW548:AW550"/>
    <mergeCell ref="AW551:AW554"/>
    <mergeCell ref="AW555:AW559"/>
    <mergeCell ref="AW561:AW563"/>
    <mergeCell ref="AW566:AW588"/>
    <mergeCell ref="AW593:AW594"/>
    <mergeCell ref="AW595:AW599"/>
    <mergeCell ref="AW600:AW602"/>
    <mergeCell ref="AW604:AW613"/>
    <mergeCell ref="AW614:AW615"/>
    <mergeCell ref="AW616:AW618"/>
    <mergeCell ref="AW621:AW624"/>
    <mergeCell ref="AW625:AW628"/>
    <mergeCell ref="AW629:AW630"/>
    <mergeCell ref="AW631:AW639"/>
    <mergeCell ref="AW640:AW642"/>
    <mergeCell ref="AW643:AW646"/>
    <mergeCell ref="AW647:AW650"/>
    <mergeCell ref="AW652:AW657"/>
    <mergeCell ref="AW658:AW674"/>
    <mergeCell ref="AW675:AW680"/>
    <mergeCell ref="AW681:AW685"/>
    <mergeCell ref="AW686:AW687"/>
    <mergeCell ref="AW689:AW694"/>
    <mergeCell ref="AW695:AW704"/>
    <mergeCell ref="AW705:AW711"/>
    <mergeCell ref="AW712:AW794"/>
    <mergeCell ref="AW795:AW815"/>
    <mergeCell ref="AW816:AW836"/>
    <mergeCell ref="AW837:AW867"/>
    <mergeCell ref="AW868:AW871"/>
    <mergeCell ref="AW872:AW874"/>
    <mergeCell ref="AW875:AW877"/>
    <mergeCell ref="AW878:AW880"/>
    <mergeCell ref="AW881:AW941"/>
    <mergeCell ref="AW942:AW947"/>
    <mergeCell ref="AW948:AW950"/>
    <mergeCell ref="AW951:AW957"/>
    <mergeCell ref="AW959:AW964"/>
    <mergeCell ref="AW965:AW967"/>
    <mergeCell ref="AW968:AW970"/>
    <mergeCell ref="AW971:AW973"/>
    <mergeCell ref="AW974:AW976"/>
    <mergeCell ref="AW999:AW1027"/>
    <mergeCell ref="AW1032:AW1064"/>
    <mergeCell ref="AW1065:AW1092"/>
    <mergeCell ref="AW1093:AW1120"/>
    <mergeCell ref="AW1121:AW1126"/>
    <mergeCell ref="AW1127:AW1128"/>
    <mergeCell ref="AW1129:AW1132"/>
    <mergeCell ref="AW1133:AW1134"/>
    <mergeCell ref="AW1135:AW1136"/>
    <mergeCell ref="AW1137:AW1138"/>
    <mergeCell ref="AW1139:AW1144"/>
    <mergeCell ref="AW1451:AW1456"/>
    <mergeCell ref="AW1457:AW1459"/>
    <mergeCell ref="AW1460:AW1463"/>
    <mergeCell ref="AW1464:AW1466"/>
    <mergeCell ref="AW1467:AW1469"/>
    <mergeCell ref="AW1470:AW1475"/>
    <mergeCell ref="AW1476:AW1478"/>
    <mergeCell ref="AW1479:AW1482"/>
    <mergeCell ref="AW1483:AW1486"/>
    <mergeCell ref="AW1487:AW1491"/>
    <mergeCell ref="AW1492:AW1497"/>
    <mergeCell ref="AW1501:AW1504"/>
    <mergeCell ref="AW1505:AW1508"/>
    <mergeCell ref="AW1509:AW1513"/>
    <mergeCell ref="AW1514:AW1518"/>
    <mergeCell ref="AW1524:AW1525"/>
    <mergeCell ref="AW1526:AW1528"/>
    <mergeCell ref="AW1529:AW1530"/>
    <mergeCell ref="AW1531:AW1539"/>
    <mergeCell ref="AW1540:AW1544"/>
    <mergeCell ref="AW1547:AW1553"/>
    <mergeCell ref="AW1555:AW1558"/>
    <mergeCell ref="AW1561:AW1565"/>
    <mergeCell ref="AW1566:AW1569"/>
    <mergeCell ref="AW1570:AW1575"/>
    <mergeCell ref="AW1577:AW1581"/>
    <mergeCell ref="AW1583:AW1598"/>
    <mergeCell ref="AW1599:AW1601"/>
    <mergeCell ref="AW1602:AW1603"/>
    <mergeCell ref="AW1604:AW1606"/>
    <mergeCell ref="AW1607:AW1612"/>
    <mergeCell ref="AW1614:AW1617"/>
    <mergeCell ref="AW1618:AW1621"/>
    <mergeCell ref="AW1623:AW1624"/>
    <mergeCell ref="AW1625:AW1627"/>
    <mergeCell ref="AW1628:AW1632"/>
    <mergeCell ref="AW1633:AW1636"/>
    <mergeCell ref="AW1637:AW1645"/>
    <mergeCell ref="AW1646:AW1650"/>
    <mergeCell ref="AW1651:AW1652"/>
    <mergeCell ref="AW1653:AW1654"/>
    <mergeCell ref="AW1655:AW1656"/>
    <mergeCell ref="AW1657:AW1658"/>
    <mergeCell ref="AW1659:AW1660"/>
    <mergeCell ref="AW1661:AW1662"/>
    <mergeCell ref="AW1663:AW1664"/>
    <mergeCell ref="AW1665:AW1668"/>
    <mergeCell ref="AW1669:AW1671"/>
    <mergeCell ref="AW1679:AW1680"/>
    <mergeCell ref="AW1681:AW1684"/>
    <mergeCell ref="AW1685:AW1687"/>
    <mergeCell ref="AW1688:AW1689"/>
    <mergeCell ref="AW1710:AW1714"/>
    <mergeCell ref="AW1716:AW1719"/>
    <mergeCell ref="AW1720:AW1723"/>
    <mergeCell ref="AW1731:AW1733"/>
    <mergeCell ref="AW1736:AW1738"/>
    <mergeCell ref="AW1743:AW1745"/>
    <mergeCell ref="AW1746:AW1748"/>
    <mergeCell ref="AW1749:AW1750"/>
    <mergeCell ref="AW1751:AW1757"/>
    <mergeCell ref="AW1758:AW1762"/>
    <mergeCell ref="AW1763:AW1765"/>
    <mergeCell ref="AW1766:AW1770"/>
    <mergeCell ref="AW1771:AW1772"/>
    <mergeCell ref="AW1773:AW1775"/>
    <mergeCell ref="AW1777:AW1780"/>
    <mergeCell ref="AW1781:AW1784"/>
    <mergeCell ref="AW1785:AW1786"/>
    <mergeCell ref="AW1788:AW1790"/>
    <mergeCell ref="AW1791:AW1792"/>
    <mergeCell ref="AW1793:AW1795"/>
    <mergeCell ref="AW1803:AW1808"/>
    <mergeCell ref="AW1809:AW1813"/>
    <mergeCell ref="AW1814:AW1815"/>
    <mergeCell ref="AW1816:AW1819"/>
    <mergeCell ref="AW1825:AW1828"/>
    <mergeCell ref="AW1829:AW1832"/>
    <mergeCell ref="AW1867:AW1872"/>
    <mergeCell ref="AW1873:AW1880"/>
    <mergeCell ref="AW1881:AW1886"/>
    <mergeCell ref="AW1888:AW1893"/>
    <mergeCell ref="AW1894:AW1901"/>
    <mergeCell ref="AW1902:AW1907"/>
    <mergeCell ref="AW1912:AW1915"/>
    <mergeCell ref="AW1916:AW1919"/>
    <mergeCell ref="AW1920:AW1922"/>
    <mergeCell ref="AW1923:AW1925"/>
    <mergeCell ref="AW1926:AW1928"/>
    <mergeCell ref="AW1929:AW1931"/>
    <mergeCell ref="AW1932:AW1934"/>
    <mergeCell ref="AW1947:AW1950"/>
    <mergeCell ref="AW1951:AW1954"/>
    <mergeCell ref="AW1955:AW1957"/>
    <mergeCell ref="AW1958:AW1960"/>
    <mergeCell ref="AW1965:AW1967"/>
    <mergeCell ref="AW1968:AW1970"/>
    <mergeCell ref="AW1971:AW1973"/>
    <mergeCell ref="AW1974:AW1976"/>
    <mergeCell ref="AW1977:AW1979"/>
    <mergeCell ref="AW1987:AW1990"/>
    <mergeCell ref="AW1991:AW1995"/>
    <mergeCell ref="AW2154:AW2161"/>
    <mergeCell ref="AW2162:AW2169"/>
    <mergeCell ref="AW2170:AW2177"/>
    <mergeCell ref="AW2178:AW2180"/>
    <mergeCell ref="AW2181:AW2184"/>
    <mergeCell ref="AW2185:AW2192"/>
    <mergeCell ref="AW2194:AW2236"/>
    <mergeCell ref="AW2237:AW2241"/>
    <mergeCell ref="AW2242:AW2296"/>
    <mergeCell ref="AW2297:AW2303"/>
    <mergeCell ref="AW2325:AW2328"/>
    <mergeCell ref="AW2329:AW2335"/>
    <mergeCell ref="AW2336:AW2344"/>
    <mergeCell ref="AW2345:AW2347"/>
    <mergeCell ref="AW2348:AW2351"/>
    <mergeCell ref="AW2352:AW2359"/>
    <mergeCell ref="AW2360:AW2363"/>
    <mergeCell ref="AW2364:AW2370"/>
    <mergeCell ref="AW2371:AW2374"/>
    <mergeCell ref="AW2375:AW2378"/>
    <mergeCell ref="AW2380:AW2383"/>
    <mergeCell ref="AW2396:AW2397"/>
    <mergeCell ref="AW2399:AW2413"/>
    <mergeCell ref="AW2415:AW2421"/>
    <mergeCell ref="AW2435:AW2440"/>
    <mergeCell ref="AW2441:AW2445"/>
    <mergeCell ref="AW2651:AW2654"/>
    <mergeCell ref="AX5:AX29"/>
    <mergeCell ref="AX30:AX34"/>
    <mergeCell ref="AX35:AX38"/>
    <mergeCell ref="AX39:AX40"/>
    <mergeCell ref="AX41:AX44"/>
    <mergeCell ref="AX45:AX48"/>
    <mergeCell ref="AX49:AX51"/>
    <mergeCell ref="AX52:AX55"/>
    <mergeCell ref="AX56:AX59"/>
    <mergeCell ref="AX60:AX65"/>
    <mergeCell ref="AX66:AX77"/>
    <mergeCell ref="AX78:AX80"/>
    <mergeCell ref="AX81:AX84"/>
    <mergeCell ref="AX86:AX87"/>
    <mergeCell ref="AX90:AX96"/>
    <mergeCell ref="AX97:AX103"/>
    <mergeCell ref="AX104:AX130"/>
    <mergeCell ref="AX131:AX134"/>
    <mergeCell ref="AX135:AX137"/>
    <mergeCell ref="AX138:AX143"/>
    <mergeCell ref="AX144:AX149"/>
    <mergeCell ref="AX150:AX153"/>
    <mergeCell ref="AX154:AX159"/>
    <mergeCell ref="AX160:AX164"/>
    <mergeCell ref="AX168:AX171"/>
    <mergeCell ref="AX172:AX174"/>
    <mergeCell ref="AX175:AX177"/>
    <mergeCell ref="AX178:AX181"/>
    <mergeCell ref="AX182:AX188"/>
    <mergeCell ref="AX189:AX190"/>
    <mergeCell ref="AX191:AX194"/>
    <mergeCell ref="AX195:AX199"/>
    <mergeCell ref="AX203:AX206"/>
    <mergeCell ref="AX209:AX210"/>
    <mergeCell ref="AX213:AX216"/>
    <mergeCell ref="AX218:AX221"/>
    <mergeCell ref="AX222:AX223"/>
    <mergeCell ref="AX224:AX227"/>
    <mergeCell ref="AX228:AX230"/>
    <mergeCell ref="AX231:AX234"/>
    <mergeCell ref="AX235:AX239"/>
    <mergeCell ref="AX240:AX247"/>
    <mergeCell ref="AX248:AX249"/>
    <mergeCell ref="AX258:AX259"/>
    <mergeCell ref="AX260:AX261"/>
    <mergeCell ref="AX262:AX267"/>
    <mergeCell ref="AX268:AX269"/>
    <mergeCell ref="AX271:AX273"/>
    <mergeCell ref="AX274:AX276"/>
    <mergeCell ref="AX283:AX286"/>
    <mergeCell ref="AX293:AX297"/>
    <mergeCell ref="AX298:AX301"/>
    <mergeCell ref="AX302:AX303"/>
    <mergeCell ref="AX332:AX336"/>
    <mergeCell ref="AX431:AX433"/>
    <mergeCell ref="AX434:AX436"/>
    <mergeCell ref="AX437:AX440"/>
    <mergeCell ref="AX445:AX449"/>
    <mergeCell ref="AX450:AX451"/>
    <mergeCell ref="AX452:AX453"/>
    <mergeCell ref="AX454:AX455"/>
    <mergeCell ref="AX456:AX457"/>
    <mergeCell ref="AX458:AX460"/>
    <mergeCell ref="AX461:AX468"/>
    <mergeCell ref="AX469:AX472"/>
    <mergeCell ref="AX473:AX476"/>
    <mergeCell ref="AX477:AX480"/>
    <mergeCell ref="AX481:AX484"/>
    <mergeCell ref="AX485:AX488"/>
    <mergeCell ref="AX489:AX491"/>
    <mergeCell ref="AX492:AX497"/>
    <mergeCell ref="AX500:AX502"/>
    <mergeCell ref="AX503:AX505"/>
    <mergeCell ref="AX506:AX508"/>
    <mergeCell ref="AX525:AX528"/>
    <mergeCell ref="AX532:AX535"/>
    <mergeCell ref="AX538:AX540"/>
    <mergeCell ref="AX541:AX547"/>
    <mergeCell ref="AX548:AX550"/>
    <mergeCell ref="AX551:AX554"/>
    <mergeCell ref="AX555:AX559"/>
    <mergeCell ref="AX561:AX563"/>
    <mergeCell ref="AX566:AX588"/>
    <mergeCell ref="AX593:AX594"/>
    <mergeCell ref="AX595:AX599"/>
    <mergeCell ref="AX600:AX602"/>
    <mergeCell ref="AX604:AX613"/>
    <mergeCell ref="AX614:AX615"/>
    <mergeCell ref="AX616:AX618"/>
    <mergeCell ref="AX621:AX624"/>
    <mergeCell ref="AX625:AX628"/>
    <mergeCell ref="AX629:AX630"/>
    <mergeCell ref="AX631:AX639"/>
    <mergeCell ref="AX640:AX642"/>
    <mergeCell ref="AX643:AX646"/>
    <mergeCell ref="AX647:AX650"/>
    <mergeCell ref="AX652:AX657"/>
    <mergeCell ref="AX658:AX674"/>
    <mergeCell ref="AX675:AX680"/>
    <mergeCell ref="AX681:AX685"/>
    <mergeCell ref="AX686:AX687"/>
    <mergeCell ref="AX689:AX694"/>
    <mergeCell ref="AX695:AX704"/>
    <mergeCell ref="AX705:AX711"/>
    <mergeCell ref="AX712:AX794"/>
    <mergeCell ref="AX795:AX815"/>
    <mergeCell ref="AX816:AX836"/>
    <mergeCell ref="AX837:AX867"/>
    <mergeCell ref="AX868:AX871"/>
    <mergeCell ref="AX872:AX874"/>
    <mergeCell ref="AX875:AX877"/>
    <mergeCell ref="AX878:AX880"/>
    <mergeCell ref="AX881:AX941"/>
    <mergeCell ref="AX942:AX947"/>
    <mergeCell ref="AX948:AX950"/>
    <mergeCell ref="AX951:AX957"/>
    <mergeCell ref="AX959:AX964"/>
    <mergeCell ref="AX965:AX967"/>
    <mergeCell ref="AX968:AX970"/>
    <mergeCell ref="AX971:AX973"/>
    <mergeCell ref="AX974:AX976"/>
    <mergeCell ref="AX999:AX1027"/>
    <mergeCell ref="AX1032:AX1064"/>
    <mergeCell ref="AX1065:AX1092"/>
    <mergeCell ref="AX1093:AX1120"/>
    <mergeCell ref="AX1121:AX1126"/>
    <mergeCell ref="AX1127:AX1128"/>
    <mergeCell ref="AX1129:AX1132"/>
    <mergeCell ref="AX1133:AX1134"/>
    <mergeCell ref="AX1135:AX1136"/>
    <mergeCell ref="AX1137:AX1138"/>
    <mergeCell ref="AX1139:AX1144"/>
    <mergeCell ref="AX1451:AX1456"/>
    <mergeCell ref="AX1457:AX1459"/>
    <mergeCell ref="AX1460:AX1463"/>
    <mergeCell ref="AX1464:AX1466"/>
    <mergeCell ref="AX1467:AX1469"/>
    <mergeCell ref="AX1470:AX1475"/>
    <mergeCell ref="AX1476:AX1478"/>
    <mergeCell ref="AX1479:AX1482"/>
    <mergeCell ref="AX1483:AX1486"/>
    <mergeCell ref="AX1487:AX1491"/>
    <mergeCell ref="AX1492:AX1497"/>
    <mergeCell ref="AX1501:AX1504"/>
    <mergeCell ref="AX1505:AX1508"/>
    <mergeCell ref="AX1509:AX1513"/>
    <mergeCell ref="AX1514:AX1518"/>
    <mergeCell ref="AX1524:AX1525"/>
    <mergeCell ref="AX1526:AX1528"/>
    <mergeCell ref="AX1529:AX1530"/>
    <mergeCell ref="AX1531:AX1539"/>
    <mergeCell ref="AX1540:AX1544"/>
    <mergeCell ref="AX1547:AX1553"/>
    <mergeCell ref="AX1555:AX1558"/>
    <mergeCell ref="AX1561:AX1565"/>
    <mergeCell ref="AX1566:AX1569"/>
    <mergeCell ref="AX1570:AX1575"/>
    <mergeCell ref="AX1577:AX1581"/>
    <mergeCell ref="AX1583:AX1598"/>
    <mergeCell ref="AX1599:AX1601"/>
    <mergeCell ref="AX1602:AX1603"/>
    <mergeCell ref="AX1604:AX1606"/>
    <mergeCell ref="AX1607:AX1612"/>
    <mergeCell ref="AX1614:AX1617"/>
    <mergeCell ref="AX1618:AX1621"/>
    <mergeCell ref="AX1623:AX1624"/>
    <mergeCell ref="AX1625:AX1627"/>
    <mergeCell ref="AX1628:AX1632"/>
    <mergeCell ref="AX1633:AX1636"/>
    <mergeCell ref="AX1637:AX1645"/>
    <mergeCell ref="AX1646:AX1650"/>
    <mergeCell ref="AX1651:AX1652"/>
    <mergeCell ref="AX1653:AX1654"/>
    <mergeCell ref="AX1655:AX1656"/>
    <mergeCell ref="AX1657:AX1658"/>
    <mergeCell ref="AX1659:AX1660"/>
    <mergeCell ref="AX1661:AX1662"/>
    <mergeCell ref="AX1663:AX1664"/>
    <mergeCell ref="AX1665:AX1668"/>
    <mergeCell ref="AX1669:AX1671"/>
    <mergeCell ref="AX1679:AX1680"/>
    <mergeCell ref="AX1681:AX1684"/>
    <mergeCell ref="AX1685:AX1687"/>
    <mergeCell ref="AX1688:AX1689"/>
    <mergeCell ref="AX1710:AX1714"/>
    <mergeCell ref="AX1716:AX1719"/>
    <mergeCell ref="AX1720:AX1723"/>
    <mergeCell ref="AX1731:AX1733"/>
    <mergeCell ref="AX1736:AX1738"/>
    <mergeCell ref="AX1743:AX1745"/>
    <mergeCell ref="AX1746:AX1748"/>
    <mergeCell ref="AX1749:AX1750"/>
    <mergeCell ref="AX1751:AX1757"/>
    <mergeCell ref="AX1758:AX1762"/>
    <mergeCell ref="AX1763:AX1765"/>
    <mergeCell ref="AX1766:AX1770"/>
    <mergeCell ref="AX1771:AX1772"/>
    <mergeCell ref="AX1773:AX1775"/>
    <mergeCell ref="AX1777:AX1780"/>
    <mergeCell ref="AX1781:AX1784"/>
    <mergeCell ref="AX1785:AX1786"/>
    <mergeCell ref="AX1788:AX1790"/>
    <mergeCell ref="AX1791:AX1792"/>
    <mergeCell ref="AX1793:AX1795"/>
    <mergeCell ref="AX1803:AX1808"/>
    <mergeCell ref="AX1809:AX1813"/>
    <mergeCell ref="AX1814:AX1815"/>
    <mergeCell ref="AX1816:AX1819"/>
    <mergeCell ref="AX1825:AX1828"/>
    <mergeCell ref="AX1829:AX1832"/>
    <mergeCell ref="AX1867:AX1872"/>
    <mergeCell ref="AX1873:AX1880"/>
    <mergeCell ref="AX1881:AX1886"/>
    <mergeCell ref="AX1888:AX1893"/>
    <mergeCell ref="AX1894:AX1901"/>
    <mergeCell ref="AX1902:AX1907"/>
    <mergeCell ref="AX1912:AX1915"/>
    <mergeCell ref="AX1916:AX1919"/>
    <mergeCell ref="AX1920:AX1922"/>
    <mergeCell ref="AX1923:AX1925"/>
    <mergeCell ref="AX1926:AX1928"/>
    <mergeCell ref="AX1929:AX1931"/>
    <mergeCell ref="AX1932:AX1934"/>
    <mergeCell ref="AX1947:AX1950"/>
    <mergeCell ref="AX1951:AX1954"/>
    <mergeCell ref="AX1955:AX1957"/>
    <mergeCell ref="AX1958:AX1960"/>
    <mergeCell ref="AX1965:AX1967"/>
    <mergeCell ref="AX1968:AX1970"/>
    <mergeCell ref="AX1971:AX1973"/>
    <mergeCell ref="AX1974:AX1976"/>
    <mergeCell ref="AX1977:AX1979"/>
    <mergeCell ref="AX1987:AX1990"/>
    <mergeCell ref="AX1991:AX1995"/>
    <mergeCell ref="AX2154:AX2161"/>
    <mergeCell ref="AX2162:AX2169"/>
    <mergeCell ref="AX2170:AX2177"/>
    <mergeCell ref="AX2178:AX2180"/>
    <mergeCell ref="AX2181:AX2184"/>
    <mergeCell ref="AX2185:AX2192"/>
    <mergeCell ref="AX2194:AX2236"/>
    <mergeCell ref="AX2237:AX2241"/>
    <mergeCell ref="AX2242:AX2296"/>
    <mergeCell ref="AX2297:AX2303"/>
    <mergeCell ref="AX2325:AX2328"/>
    <mergeCell ref="AX2329:AX2335"/>
    <mergeCell ref="AX2336:AX2344"/>
    <mergeCell ref="AX2345:AX2347"/>
    <mergeCell ref="AX2348:AX2351"/>
    <mergeCell ref="AX2352:AX2359"/>
    <mergeCell ref="AX2360:AX2363"/>
    <mergeCell ref="AX2364:AX2370"/>
    <mergeCell ref="AX2371:AX2374"/>
    <mergeCell ref="AX2375:AX2378"/>
    <mergeCell ref="AX2380:AX2383"/>
    <mergeCell ref="AX2396:AX2397"/>
    <mergeCell ref="AX2399:AX2413"/>
    <mergeCell ref="AX2415:AX2421"/>
    <mergeCell ref="AX2435:AX2440"/>
    <mergeCell ref="AX2441:AX2445"/>
    <mergeCell ref="AX2651:AX2654"/>
    <mergeCell ref="AY5:AY29"/>
    <mergeCell ref="AY30:AY34"/>
    <mergeCell ref="AY35:AY38"/>
    <mergeCell ref="AY39:AY40"/>
    <mergeCell ref="AY41:AY44"/>
    <mergeCell ref="AY45:AY48"/>
    <mergeCell ref="AY49:AY51"/>
    <mergeCell ref="AY52:AY55"/>
    <mergeCell ref="AY56:AY59"/>
    <mergeCell ref="AY60:AY65"/>
    <mergeCell ref="AY66:AY77"/>
    <mergeCell ref="AY78:AY80"/>
    <mergeCell ref="AY81:AY84"/>
    <mergeCell ref="AY86:AY87"/>
    <mergeCell ref="AY90:AY96"/>
    <mergeCell ref="AY97:AY103"/>
    <mergeCell ref="AY104:AY130"/>
    <mergeCell ref="AY131:AY134"/>
    <mergeCell ref="AY135:AY137"/>
    <mergeCell ref="AY138:AY143"/>
    <mergeCell ref="AY144:AY149"/>
    <mergeCell ref="AY150:AY153"/>
    <mergeCell ref="AY154:AY159"/>
    <mergeCell ref="AY160:AY164"/>
    <mergeCell ref="AY168:AY171"/>
    <mergeCell ref="AY172:AY174"/>
    <mergeCell ref="AY175:AY177"/>
    <mergeCell ref="AY178:AY181"/>
    <mergeCell ref="AY182:AY188"/>
    <mergeCell ref="AY189:AY190"/>
    <mergeCell ref="AY191:AY194"/>
    <mergeCell ref="AY195:AY199"/>
    <mergeCell ref="AY203:AY206"/>
    <mergeCell ref="AY209:AY210"/>
    <mergeCell ref="AY213:AY216"/>
    <mergeCell ref="AY218:AY221"/>
    <mergeCell ref="AY222:AY223"/>
    <mergeCell ref="AY224:AY227"/>
    <mergeCell ref="AY228:AY230"/>
    <mergeCell ref="AY231:AY234"/>
    <mergeCell ref="AY235:AY239"/>
    <mergeCell ref="AY240:AY247"/>
    <mergeCell ref="AY248:AY249"/>
    <mergeCell ref="AY258:AY259"/>
    <mergeCell ref="AY260:AY261"/>
    <mergeCell ref="AY262:AY267"/>
    <mergeCell ref="AY268:AY269"/>
    <mergeCell ref="AY271:AY273"/>
    <mergeCell ref="AY274:AY276"/>
    <mergeCell ref="AY283:AY286"/>
    <mergeCell ref="AY293:AY297"/>
    <mergeCell ref="AY298:AY301"/>
    <mergeCell ref="AY302:AY303"/>
    <mergeCell ref="AY332:AY336"/>
    <mergeCell ref="AY431:AY433"/>
    <mergeCell ref="AY434:AY436"/>
    <mergeCell ref="AY437:AY440"/>
    <mergeCell ref="AY445:AY449"/>
    <mergeCell ref="AY450:AY451"/>
    <mergeCell ref="AY452:AY453"/>
    <mergeCell ref="AY454:AY455"/>
    <mergeCell ref="AY456:AY457"/>
    <mergeCell ref="AY458:AY460"/>
    <mergeCell ref="AY461:AY468"/>
    <mergeCell ref="AY469:AY472"/>
    <mergeCell ref="AY473:AY476"/>
    <mergeCell ref="AY477:AY480"/>
    <mergeCell ref="AY481:AY484"/>
    <mergeCell ref="AY485:AY488"/>
    <mergeCell ref="AY489:AY491"/>
    <mergeCell ref="AY492:AY497"/>
    <mergeCell ref="AY500:AY502"/>
    <mergeCell ref="AY503:AY505"/>
    <mergeCell ref="AY506:AY508"/>
    <mergeCell ref="AY525:AY528"/>
    <mergeCell ref="AY532:AY535"/>
    <mergeCell ref="AY538:AY540"/>
    <mergeCell ref="AY541:AY547"/>
    <mergeCell ref="AY548:AY550"/>
    <mergeCell ref="AY551:AY554"/>
    <mergeCell ref="AY555:AY559"/>
    <mergeCell ref="AY561:AY563"/>
    <mergeCell ref="AY566:AY588"/>
    <mergeCell ref="AY593:AY594"/>
    <mergeCell ref="AY595:AY599"/>
    <mergeCell ref="AY600:AY602"/>
    <mergeCell ref="AY604:AY613"/>
    <mergeCell ref="AY614:AY615"/>
    <mergeCell ref="AY616:AY618"/>
    <mergeCell ref="AY621:AY624"/>
    <mergeCell ref="AY625:AY628"/>
    <mergeCell ref="AY629:AY630"/>
    <mergeCell ref="AY631:AY639"/>
    <mergeCell ref="AY640:AY642"/>
    <mergeCell ref="AY643:AY646"/>
    <mergeCell ref="AY647:AY650"/>
    <mergeCell ref="AY652:AY657"/>
    <mergeCell ref="AY658:AY674"/>
    <mergeCell ref="AY675:AY680"/>
    <mergeCell ref="AY681:AY685"/>
    <mergeCell ref="AY686:AY687"/>
    <mergeCell ref="AY689:AY694"/>
    <mergeCell ref="AY695:AY704"/>
    <mergeCell ref="AY705:AY711"/>
    <mergeCell ref="AY712:AY794"/>
    <mergeCell ref="AY795:AY815"/>
    <mergeCell ref="AY816:AY836"/>
    <mergeCell ref="AY837:AY867"/>
    <mergeCell ref="AY868:AY871"/>
    <mergeCell ref="AY872:AY874"/>
    <mergeCell ref="AY875:AY877"/>
    <mergeCell ref="AY878:AY880"/>
    <mergeCell ref="AY881:AY941"/>
    <mergeCell ref="AY942:AY947"/>
    <mergeCell ref="AY948:AY950"/>
    <mergeCell ref="AY951:AY957"/>
    <mergeCell ref="AY959:AY964"/>
    <mergeCell ref="AY965:AY967"/>
    <mergeCell ref="AY968:AY970"/>
    <mergeCell ref="AY971:AY973"/>
    <mergeCell ref="AY974:AY976"/>
    <mergeCell ref="AY999:AY1027"/>
    <mergeCell ref="AY1032:AY1064"/>
    <mergeCell ref="AY1065:AY1092"/>
    <mergeCell ref="AY1093:AY1120"/>
    <mergeCell ref="AY1121:AY1126"/>
    <mergeCell ref="AY1127:AY1128"/>
    <mergeCell ref="AY1129:AY1132"/>
    <mergeCell ref="AY1133:AY1134"/>
    <mergeCell ref="AY1135:AY1136"/>
    <mergeCell ref="AY1137:AY1138"/>
    <mergeCell ref="AY1139:AY1144"/>
    <mergeCell ref="AY1451:AY1456"/>
    <mergeCell ref="AY1457:AY1459"/>
    <mergeCell ref="AY1460:AY1463"/>
    <mergeCell ref="AY1464:AY1466"/>
    <mergeCell ref="AY1467:AY1469"/>
    <mergeCell ref="AY1470:AY1475"/>
    <mergeCell ref="AY1476:AY1478"/>
    <mergeCell ref="AY1479:AY1482"/>
    <mergeCell ref="AY1483:AY1486"/>
    <mergeCell ref="AY1487:AY1491"/>
    <mergeCell ref="AY1492:AY1497"/>
    <mergeCell ref="AY1501:AY1504"/>
    <mergeCell ref="AY1505:AY1508"/>
    <mergeCell ref="AY1509:AY1513"/>
    <mergeCell ref="AY1514:AY1518"/>
    <mergeCell ref="AY1524:AY1525"/>
    <mergeCell ref="AY1526:AY1528"/>
    <mergeCell ref="AY1529:AY1530"/>
    <mergeCell ref="AY1531:AY1539"/>
    <mergeCell ref="AY1540:AY1544"/>
    <mergeCell ref="AY1547:AY1553"/>
    <mergeCell ref="AY1555:AY1558"/>
    <mergeCell ref="AY1561:AY1565"/>
    <mergeCell ref="AY1566:AY1569"/>
    <mergeCell ref="AY1570:AY1575"/>
    <mergeCell ref="AY1577:AY1581"/>
    <mergeCell ref="AY1583:AY1598"/>
    <mergeCell ref="AY1599:AY1601"/>
    <mergeCell ref="AY1602:AY1603"/>
    <mergeCell ref="AY1604:AY1606"/>
    <mergeCell ref="AY1607:AY1612"/>
    <mergeCell ref="AY1614:AY1617"/>
    <mergeCell ref="AY1618:AY1621"/>
    <mergeCell ref="AY1623:AY1624"/>
    <mergeCell ref="AY1625:AY1627"/>
    <mergeCell ref="AY1628:AY1632"/>
    <mergeCell ref="AY1633:AY1636"/>
    <mergeCell ref="AY1637:AY1645"/>
    <mergeCell ref="AY1646:AY1650"/>
    <mergeCell ref="AY1651:AY1652"/>
    <mergeCell ref="AY1653:AY1654"/>
    <mergeCell ref="AY1655:AY1656"/>
    <mergeCell ref="AY1657:AY1658"/>
    <mergeCell ref="AY1659:AY1660"/>
    <mergeCell ref="AY1661:AY1662"/>
    <mergeCell ref="AY1663:AY1664"/>
    <mergeCell ref="AY1665:AY1668"/>
    <mergeCell ref="AY1669:AY1671"/>
    <mergeCell ref="AY1679:AY1680"/>
    <mergeCell ref="AY1681:AY1684"/>
    <mergeCell ref="AY1685:AY1687"/>
    <mergeCell ref="AY1688:AY1689"/>
    <mergeCell ref="AY1710:AY1714"/>
    <mergeCell ref="AY1716:AY1719"/>
    <mergeCell ref="AY1720:AY1723"/>
    <mergeCell ref="AY1731:AY1733"/>
    <mergeCell ref="AY1736:AY1738"/>
    <mergeCell ref="AY1743:AY1745"/>
    <mergeCell ref="AY1746:AY1748"/>
    <mergeCell ref="AY1749:AY1750"/>
    <mergeCell ref="AY1751:AY1757"/>
    <mergeCell ref="AY1758:AY1762"/>
    <mergeCell ref="AY1763:AY1765"/>
    <mergeCell ref="AY1766:AY1770"/>
    <mergeCell ref="AY1771:AY1772"/>
    <mergeCell ref="AY1773:AY1775"/>
    <mergeCell ref="AY1777:AY1780"/>
    <mergeCell ref="AY1781:AY1784"/>
    <mergeCell ref="AY1785:AY1786"/>
    <mergeCell ref="AY1788:AY1790"/>
    <mergeCell ref="AY1791:AY1792"/>
    <mergeCell ref="AY1793:AY1795"/>
    <mergeCell ref="AY1803:AY1808"/>
    <mergeCell ref="AY1809:AY1813"/>
    <mergeCell ref="AY1814:AY1815"/>
    <mergeCell ref="AY1816:AY1819"/>
    <mergeCell ref="AY1825:AY1828"/>
    <mergeCell ref="AY1829:AY1832"/>
    <mergeCell ref="AY1867:AY1872"/>
    <mergeCell ref="AY1873:AY1880"/>
    <mergeCell ref="AY1881:AY1886"/>
    <mergeCell ref="AY1888:AY1893"/>
    <mergeCell ref="AY1894:AY1901"/>
    <mergeCell ref="AY1902:AY1907"/>
    <mergeCell ref="AY1912:AY1915"/>
    <mergeCell ref="AY1916:AY1919"/>
    <mergeCell ref="AY1920:AY1922"/>
    <mergeCell ref="AY1923:AY1925"/>
    <mergeCell ref="AY1926:AY1928"/>
    <mergeCell ref="AY1929:AY1931"/>
    <mergeCell ref="AY1932:AY1934"/>
    <mergeCell ref="AY1947:AY1950"/>
    <mergeCell ref="AY1951:AY1954"/>
    <mergeCell ref="AY1955:AY1957"/>
    <mergeCell ref="AY1958:AY1960"/>
    <mergeCell ref="AY1965:AY1967"/>
    <mergeCell ref="AY1968:AY1970"/>
    <mergeCell ref="AY1971:AY1973"/>
    <mergeCell ref="AY1974:AY1976"/>
    <mergeCell ref="AY1977:AY1979"/>
    <mergeCell ref="AY1987:AY1990"/>
    <mergeCell ref="AY1991:AY1995"/>
    <mergeCell ref="AY2154:AY2161"/>
    <mergeCell ref="AY2162:AY2169"/>
    <mergeCell ref="AY2170:AY2177"/>
    <mergeCell ref="AY2178:AY2180"/>
    <mergeCell ref="AY2181:AY2184"/>
    <mergeCell ref="AY2185:AY2192"/>
    <mergeCell ref="AY2194:AY2236"/>
    <mergeCell ref="AY2237:AY2241"/>
    <mergeCell ref="AY2242:AY2296"/>
    <mergeCell ref="AY2297:AY2303"/>
    <mergeCell ref="AY2325:AY2328"/>
    <mergeCell ref="AY2329:AY2335"/>
    <mergeCell ref="AY2336:AY2344"/>
    <mergeCell ref="AY2345:AY2347"/>
    <mergeCell ref="AY2348:AY2351"/>
    <mergeCell ref="AY2352:AY2359"/>
    <mergeCell ref="AY2360:AY2363"/>
    <mergeCell ref="AY2364:AY2370"/>
    <mergeCell ref="AY2371:AY2374"/>
    <mergeCell ref="AY2375:AY2378"/>
    <mergeCell ref="AY2380:AY2383"/>
    <mergeCell ref="AY2396:AY2397"/>
    <mergeCell ref="AY2399:AY2413"/>
    <mergeCell ref="AY2415:AY2421"/>
    <mergeCell ref="AY2435:AY2440"/>
    <mergeCell ref="AY2441:AY2445"/>
    <mergeCell ref="AY2651:AY2654"/>
    <mergeCell ref="AZ5:AZ29"/>
    <mergeCell ref="AZ30:AZ34"/>
    <mergeCell ref="AZ35:AZ38"/>
    <mergeCell ref="AZ39:AZ40"/>
    <mergeCell ref="AZ41:AZ44"/>
    <mergeCell ref="AZ45:AZ48"/>
    <mergeCell ref="AZ49:AZ51"/>
    <mergeCell ref="AZ52:AZ55"/>
    <mergeCell ref="AZ56:AZ59"/>
    <mergeCell ref="AZ60:AZ65"/>
    <mergeCell ref="AZ66:AZ77"/>
    <mergeCell ref="AZ78:AZ80"/>
    <mergeCell ref="AZ81:AZ84"/>
    <mergeCell ref="AZ86:AZ87"/>
    <mergeCell ref="AZ90:AZ96"/>
    <mergeCell ref="AZ97:AZ103"/>
    <mergeCell ref="AZ104:AZ130"/>
    <mergeCell ref="AZ131:AZ134"/>
    <mergeCell ref="AZ135:AZ137"/>
    <mergeCell ref="AZ138:AZ143"/>
    <mergeCell ref="AZ144:AZ149"/>
    <mergeCell ref="AZ150:AZ153"/>
    <mergeCell ref="AZ154:AZ159"/>
    <mergeCell ref="AZ160:AZ164"/>
    <mergeCell ref="AZ168:AZ171"/>
    <mergeCell ref="AZ172:AZ174"/>
    <mergeCell ref="AZ175:AZ177"/>
    <mergeCell ref="AZ178:AZ181"/>
    <mergeCell ref="AZ182:AZ188"/>
    <mergeCell ref="AZ189:AZ190"/>
    <mergeCell ref="AZ191:AZ194"/>
    <mergeCell ref="AZ195:AZ199"/>
    <mergeCell ref="AZ203:AZ206"/>
    <mergeCell ref="AZ209:AZ210"/>
    <mergeCell ref="AZ213:AZ216"/>
    <mergeCell ref="AZ218:AZ221"/>
    <mergeCell ref="AZ222:AZ223"/>
    <mergeCell ref="AZ224:AZ227"/>
    <mergeCell ref="AZ228:AZ230"/>
    <mergeCell ref="AZ231:AZ234"/>
    <mergeCell ref="AZ235:AZ239"/>
    <mergeCell ref="AZ240:AZ247"/>
    <mergeCell ref="AZ248:AZ249"/>
    <mergeCell ref="AZ258:AZ259"/>
    <mergeCell ref="AZ260:AZ261"/>
    <mergeCell ref="AZ262:AZ267"/>
    <mergeCell ref="AZ268:AZ269"/>
    <mergeCell ref="AZ271:AZ273"/>
    <mergeCell ref="AZ274:AZ276"/>
    <mergeCell ref="AZ283:AZ286"/>
    <mergeCell ref="AZ293:AZ297"/>
    <mergeCell ref="AZ298:AZ301"/>
    <mergeCell ref="AZ302:AZ303"/>
    <mergeCell ref="AZ332:AZ336"/>
    <mergeCell ref="AZ431:AZ433"/>
    <mergeCell ref="AZ434:AZ436"/>
    <mergeCell ref="AZ437:AZ440"/>
    <mergeCell ref="AZ445:AZ449"/>
    <mergeCell ref="AZ450:AZ451"/>
    <mergeCell ref="AZ452:AZ453"/>
    <mergeCell ref="AZ454:AZ455"/>
    <mergeCell ref="AZ456:AZ457"/>
    <mergeCell ref="AZ458:AZ460"/>
    <mergeCell ref="AZ461:AZ468"/>
    <mergeCell ref="AZ469:AZ472"/>
    <mergeCell ref="AZ473:AZ476"/>
    <mergeCell ref="AZ477:AZ480"/>
    <mergeCell ref="AZ481:AZ484"/>
    <mergeCell ref="AZ485:AZ488"/>
    <mergeCell ref="AZ489:AZ491"/>
    <mergeCell ref="AZ492:AZ497"/>
    <mergeCell ref="AZ500:AZ502"/>
    <mergeCell ref="AZ503:AZ505"/>
    <mergeCell ref="AZ506:AZ508"/>
    <mergeCell ref="AZ525:AZ528"/>
    <mergeCell ref="AZ532:AZ535"/>
    <mergeCell ref="AZ538:AZ540"/>
    <mergeCell ref="AZ541:AZ547"/>
    <mergeCell ref="AZ548:AZ550"/>
    <mergeCell ref="AZ551:AZ554"/>
    <mergeCell ref="AZ555:AZ559"/>
    <mergeCell ref="AZ561:AZ563"/>
    <mergeCell ref="AZ566:AZ588"/>
    <mergeCell ref="AZ593:AZ594"/>
    <mergeCell ref="AZ595:AZ599"/>
    <mergeCell ref="AZ600:AZ602"/>
    <mergeCell ref="AZ604:AZ613"/>
    <mergeCell ref="AZ614:AZ615"/>
    <mergeCell ref="AZ616:AZ618"/>
    <mergeCell ref="AZ621:AZ624"/>
    <mergeCell ref="AZ625:AZ628"/>
    <mergeCell ref="AZ629:AZ630"/>
    <mergeCell ref="AZ631:AZ639"/>
    <mergeCell ref="AZ640:AZ642"/>
    <mergeCell ref="AZ643:AZ646"/>
    <mergeCell ref="AZ647:AZ650"/>
    <mergeCell ref="AZ652:AZ657"/>
    <mergeCell ref="AZ658:AZ674"/>
    <mergeCell ref="AZ675:AZ680"/>
    <mergeCell ref="AZ681:AZ685"/>
    <mergeCell ref="AZ686:AZ687"/>
    <mergeCell ref="AZ689:AZ694"/>
    <mergeCell ref="AZ695:AZ704"/>
    <mergeCell ref="AZ705:AZ711"/>
    <mergeCell ref="AZ712:AZ794"/>
    <mergeCell ref="AZ795:AZ815"/>
    <mergeCell ref="AZ816:AZ836"/>
    <mergeCell ref="AZ837:AZ867"/>
    <mergeCell ref="AZ868:AZ871"/>
    <mergeCell ref="AZ872:AZ874"/>
    <mergeCell ref="AZ875:AZ877"/>
    <mergeCell ref="AZ878:AZ880"/>
    <mergeCell ref="AZ881:AZ941"/>
    <mergeCell ref="AZ942:AZ947"/>
    <mergeCell ref="AZ948:AZ950"/>
    <mergeCell ref="AZ951:AZ957"/>
    <mergeCell ref="AZ959:AZ964"/>
    <mergeCell ref="AZ965:AZ967"/>
    <mergeCell ref="AZ968:AZ970"/>
    <mergeCell ref="AZ971:AZ973"/>
    <mergeCell ref="AZ974:AZ976"/>
    <mergeCell ref="AZ999:AZ1027"/>
    <mergeCell ref="AZ1032:AZ1064"/>
    <mergeCell ref="AZ1065:AZ1092"/>
    <mergeCell ref="AZ1093:AZ1120"/>
    <mergeCell ref="AZ1121:AZ1126"/>
    <mergeCell ref="AZ1127:AZ1128"/>
    <mergeCell ref="AZ1129:AZ1132"/>
    <mergeCell ref="AZ1133:AZ1134"/>
    <mergeCell ref="AZ1135:AZ1136"/>
    <mergeCell ref="AZ1137:AZ1138"/>
    <mergeCell ref="AZ1139:AZ1144"/>
    <mergeCell ref="AZ1451:AZ1456"/>
    <mergeCell ref="AZ1457:AZ1459"/>
    <mergeCell ref="AZ1460:AZ1463"/>
    <mergeCell ref="AZ1464:AZ1466"/>
    <mergeCell ref="AZ1467:AZ1469"/>
    <mergeCell ref="AZ1470:AZ1475"/>
    <mergeCell ref="AZ1476:AZ1478"/>
    <mergeCell ref="AZ1479:AZ1482"/>
    <mergeCell ref="AZ1483:AZ1486"/>
    <mergeCell ref="AZ1487:AZ1491"/>
    <mergeCell ref="AZ1492:AZ1497"/>
    <mergeCell ref="AZ1501:AZ1504"/>
    <mergeCell ref="AZ1505:AZ1508"/>
    <mergeCell ref="AZ1509:AZ1513"/>
    <mergeCell ref="AZ1514:AZ1518"/>
    <mergeCell ref="AZ1524:AZ1525"/>
    <mergeCell ref="AZ1526:AZ1528"/>
    <mergeCell ref="AZ1529:AZ1530"/>
    <mergeCell ref="AZ1531:AZ1539"/>
    <mergeCell ref="AZ1540:AZ1544"/>
    <mergeCell ref="AZ1547:AZ1553"/>
    <mergeCell ref="AZ1555:AZ1558"/>
    <mergeCell ref="AZ1561:AZ1565"/>
    <mergeCell ref="AZ1566:AZ1569"/>
    <mergeCell ref="AZ1570:AZ1575"/>
    <mergeCell ref="AZ1577:AZ1581"/>
    <mergeCell ref="AZ1583:AZ1598"/>
    <mergeCell ref="AZ1599:AZ1601"/>
    <mergeCell ref="AZ1602:AZ1603"/>
    <mergeCell ref="AZ1604:AZ1606"/>
    <mergeCell ref="AZ1607:AZ1612"/>
    <mergeCell ref="AZ1614:AZ1617"/>
    <mergeCell ref="AZ1618:AZ1621"/>
    <mergeCell ref="AZ1623:AZ1624"/>
    <mergeCell ref="AZ1625:AZ1627"/>
    <mergeCell ref="AZ1628:AZ1632"/>
    <mergeCell ref="AZ1633:AZ1636"/>
    <mergeCell ref="AZ1637:AZ1645"/>
    <mergeCell ref="AZ1646:AZ1650"/>
    <mergeCell ref="AZ1651:AZ1652"/>
    <mergeCell ref="AZ1653:AZ1654"/>
    <mergeCell ref="AZ1655:AZ1656"/>
    <mergeCell ref="AZ1657:AZ1658"/>
    <mergeCell ref="AZ1659:AZ1660"/>
    <mergeCell ref="AZ1661:AZ1662"/>
    <mergeCell ref="AZ1663:AZ1664"/>
    <mergeCell ref="AZ1665:AZ1668"/>
    <mergeCell ref="AZ1669:AZ1671"/>
    <mergeCell ref="AZ1679:AZ1680"/>
    <mergeCell ref="AZ1681:AZ1684"/>
    <mergeCell ref="AZ1685:AZ1687"/>
    <mergeCell ref="AZ1688:AZ1689"/>
    <mergeCell ref="AZ1710:AZ1714"/>
    <mergeCell ref="AZ1716:AZ1719"/>
    <mergeCell ref="AZ1720:AZ1723"/>
    <mergeCell ref="AZ1731:AZ1733"/>
    <mergeCell ref="AZ1736:AZ1738"/>
    <mergeCell ref="AZ1743:AZ1745"/>
    <mergeCell ref="AZ1746:AZ1748"/>
    <mergeCell ref="AZ1749:AZ1750"/>
    <mergeCell ref="AZ1751:AZ1757"/>
    <mergeCell ref="AZ1758:AZ1762"/>
    <mergeCell ref="AZ1763:AZ1765"/>
    <mergeCell ref="AZ1766:AZ1770"/>
    <mergeCell ref="AZ1771:AZ1772"/>
    <mergeCell ref="AZ1773:AZ1775"/>
    <mergeCell ref="AZ1777:AZ1780"/>
    <mergeCell ref="AZ1781:AZ1784"/>
    <mergeCell ref="AZ1785:AZ1786"/>
    <mergeCell ref="AZ1788:AZ1790"/>
    <mergeCell ref="AZ1791:AZ1792"/>
    <mergeCell ref="AZ1793:AZ1795"/>
    <mergeCell ref="AZ1803:AZ1808"/>
    <mergeCell ref="AZ1809:AZ1813"/>
    <mergeCell ref="AZ1814:AZ1815"/>
    <mergeCell ref="AZ1816:AZ1819"/>
    <mergeCell ref="AZ1825:AZ1828"/>
    <mergeCell ref="AZ1829:AZ1832"/>
    <mergeCell ref="AZ1867:AZ1872"/>
    <mergeCell ref="AZ1873:AZ1880"/>
    <mergeCell ref="AZ1881:AZ1886"/>
    <mergeCell ref="AZ1888:AZ1893"/>
    <mergeCell ref="AZ1894:AZ1901"/>
    <mergeCell ref="AZ1902:AZ1907"/>
    <mergeCell ref="AZ1912:AZ1915"/>
    <mergeCell ref="AZ1916:AZ1919"/>
    <mergeCell ref="AZ1920:AZ1922"/>
    <mergeCell ref="AZ1923:AZ1925"/>
    <mergeCell ref="AZ1926:AZ1928"/>
    <mergeCell ref="AZ1929:AZ1931"/>
    <mergeCell ref="AZ1932:AZ1934"/>
    <mergeCell ref="AZ1947:AZ1950"/>
    <mergeCell ref="AZ1951:AZ1954"/>
    <mergeCell ref="AZ1955:AZ1957"/>
    <mergeCell ref="AZ1958:AZ1960"/>
    <mergeCell ref="AZ1965:AZ1967"/>
    <mergeCell ref="AZ1968:AZ1970"/>
    <mergeCell ref="AZ1971:AZ1973"/>
    <mergeCell ref="AZ1974:AZ1976"/>
    <mergeCell ref="AZ1977:AZ1979"/>
    <mergeCell ref="AZ1987:AZ1990"/>
    <mergeCell ref="AZ1991:AZ1995"/>
    <mergeCell ref="AZ2154:AZ2161"/>
    <mergeCell ref="AZ2162:AZ2169"/>
    <mergeCell ref="AZ2170:AZ2177"/>
    <mergeCell ref="AZ2178:AZ2180"/>
    <mergeCell ref="AZ2181:AZ2184"/>
    <mergeCell ref="AZ2185:AZ2192"/>
    <mergeCell ref="AZ2194:AZ2236"/>
    <mergeCell ref="AZ2237:AZ2241"/>
    <mergeCell ref="AZ2242:AZ2296"/>
    <mergeCell ref="AZ2297:AZ2303"/>
    <mergeCell ref="AZ2325:AZ2328"/>
    <mergeCell ref="AZ2329:AZ2335"/>
    <mergeCell ref="AZ2336:AZ2344"/>
    <mergeCell ref="AZ2345:AZ2347"/>
    <mergeCell ref="AZ2348:AZ2351"/>
    <mergeCell ref="AZ2352:AZ2359"/>
    <mergeCell ref="AZ2360:AZ2363"/>
    <mergeCell ref="AZ2364:AZ2370"/>
    <mergeCell ref="AZ2371:AZ2374"/>
    <mergeCell ref="AZ2375:AZ2378"/>
    <mergeCell ref="AZ2380:AZ2383"/>
    <mergeCell ref="AZ2396:AZ2397"/>
    <mergeCell ref="AZ2399:AZ2413"/>
    <mergeCell ref="AZ2415:AZ2421"/>
    <mergeCell ref="AZ2435:AZ2440"/>
    <mergeCell ref="AZ2441:AZ2445"/>
    <mergeCell ref="AZ2651:AZ2654"/>
    <mergeCell ref="BA215:BA216"/>
    <mergeCell ref="BA598:BA599"/>
    <mergeCell ref="BA675:BA676"/>
    <mergeCell ref="BA712:BA713"/>
    <mergeCell ref="BA1467:BA1469"/>
    <mergeCell ref="BA1888:BA1889"/>
    <mergeCell ref="BA1902:BA1903"/>
    <mergeCell ref="BA1913:BA1914"/>
    <mergeCell ref="BA1992:BA1993"/>
    <mergeCell ref="BA2089:BA2090"/>
    <mergeCell ref="BA2154:BA2155"/>
    <mergeCell ref="BA2245:BA2246"/>
    <mergeCell ref="BA2385:BA2386"/>
    <mergeCell ref="BA2528:BA2529"/>
    <mergeCell ref="BA2558:BA2560"/>
    <mergeCell ref="BA2575:BA2577"/>
    <mergeCell ref="BA2644:BA2646"/>
    <mergeCell ref="BA2651:BA2654"/>
    <mergeCell ref="BB598:BB599"/>
    <mergeCell ref="BB675:BB676"/>
    <mergeCell ref="BB1467:BB1469"/>
    <mergeCell ref="BB1888:BB1889"/>
    <mergeCell ref="BB1902:BB1903"/>
    <mergeCell ref="BB1913:BB1914"/>
    <mergeCell ref="BB1992:BB1993"/>
    <mergeCell ref="BB2089:BB2090"/>
    <mergeCell ref="BB2154:BB2155"/>
    <mergeCell ref="BB2245:BB2246"/>
    <mergeCell ref="BB2385:BB2386"/>
    <mergeCell ref="BB2528:BB2529"/>
    <mergeCell ref="BB2558:BB2560"/>
    <mergeCell ref="BB2575:BB2577"/>
    <mergeCell ref="BB2644:BB2646"/>
    <mergeCell ref="BB2651:BB2654"/>
    <mergeCell ref="BC67:BC69"/>
    <mergeCell ref="BC92:BC93"/>
    <mergeCell ref="BC140:BC141"/>
    <mergeCell ref="BC219:BC220"/>
    <mergeCell ref="BC595:BC596"/>
    <mergeCell ref="BC675:BC676"/>
    <mergeCell ref="BC882:BC886"/>
    <mergeCell ref="BC898:BC899"/>
    <mergeCell ref="BC902:BC903"/>
    <mergeCell ref="BC904:BC905"/>
    <mergeCell ref="BC1467:BC1469"/>
    <mergeCell ref="BC1493:BC1495"/>
    <mergeCell ref="BC1888:BC1889"/>
    <mergeCell ref="BC1902:BC1903"/>
    <mergeCell ref="BC1913:BC1914"/>
    <mergeCell ref="BC1992:BC1993"/>
    <mergeCell ref="BC2089:BC2090"/>
    <mergeCell ref="BC2154:BC2155"/>
    <mergeCell ref="BC2245:BC2246"/>
    <mergeCell ref="BC2385:BC2386"/>
    <mergeCell ref="BC2422:BC2426"/>
    <mergeCell ref="BC2528:BC2529"/>
    <mergeCell ref="BC2558:BC2560"/>
    <mergeCell ref="BC2575:BC2577"/>
    <mergeCell ref="BC2622:BC2625"/>
    <mergeCell ref="BC2630:BC2633"/>
    <mergeCell ref="BC2637:BC2640"/>
    <mergeCell ref="BC2644:BC2646"/>
    <mergeCell ref="BC2651:BC2654"/>
    <mergeCell ref="BC2671:BC2673"/>
    <mergeCell ref="BD5:BD8"/>
    <mergeCell ref="BD13:BD14"/>
    <mergeCell ref="BD99:BD101"/>
    <mergeCell ref="BD102:BD103"/>
    <mergeCell ref="BD285:BD286"/>
    <mergeCell ref="BD595:BD596"/>
    <mergeCell ref="BD610:BD611"/>
    <mergeCell ref="BD614:BD615"/>
    <mergeCell ref="BD619:BD620"/>
    <mergeCell ref="BD622:BD623"/>
    <mergeCell ref="BD675:BD676"/>
    <mergeCell ref="BD695:BD696"/>
    <mergeCell ref="BD697:BD701"/>
    <mergeCell ref="BD712:BD713"/>
    <mergeCell ref="BD715:BD716"/>
    <mergeCell ref="BD718:BD720"/>
    <mergeCell ref="BD1467:BD1469"/>
    <mergeCell ref="BD1724:BD1725"/>
    <mergeCell ref="BD1888:BD1889"/>
    <mergeCell ref="BD1902:BD1903"/>
    <mergeCell ref="BD1913:BD1914"/>
    <mergeCell ref="BD1992:BD1993"/>
    <mergeCell ref="BD2089:BD2090"/>
    <mergeCell ref="BD2154:BD2155"/>
    <mergeCell ref="BD2195:BD2197"/>
    <mergeCell ref="BD2199:BD2201"/>
    <mergeCell ref="BD2245:BD2246"/>
    <mergeCell ref="BD2385:BD2386"/>
    <mergeCell ref="BD2422:BD2426"/>
    <mergeCell ref="BD2528:BD2529"/>
    <mergeCell ref="BD2558:BD2560"/>
    <mergeCell ref="BD2575:BD2577"/>
    <mergeCell ref="BD2622:BD2625"/>
    <mergeCell ref="BD2644:BD2646"/>
    <mergeCell ref="BD2651:BD2654"/>
    <mergeCell ref="BE595:BE596"/>
    <mergeCell ref="BE598:BE599"/>
    <mergeCell ref="BE675:BE676"/>
    <mergeCell ref="BE1467:BE1469"/>
    <mergeCell ref="BE1888:BE1889"/>
    <mergeCell ref="BE1902:BE1903"/>
    <mergeCell ref="BE1913:BE1914"/>
    <mergeCell ref="BE1992:BE1993"/>
    <mergeCell ref="BE2089:BE2090"/>
    <mergeCell ref="BE2154:BE2155"/>
    <mergeCell ref="BE2245:BE2246"/>
    <mergeCell ref="BE2385:BE2386"/>
    <mergeCell ref="BE2528:BE2529"/>
    <mergeCell ref="BE2558:BE2560"/>
    <mergeCell ref="BE2575:BE2577"/>
    <mergeCell ref="BE2644:BE2646"/>
    <mergeCell ref="BE2651:BE2654"/>
    <mergeCell ref="BF5:BF8"/>
    <mergeCell ref="BF182:BF183"/>
    <mergeCell ref="BF184:BF185"/>
    <mergeCell ref="BF197:BF198"/>
    <mergeCell ref="BF298:BF299"/>
    <mergeCell ref="BF300:BF301"/>
    <mergeCell ref="BF525:BF527"/>
    <mergeCell ref="BF595:BF596"/>
    <mergeCell ref="BF598:BF599"/>
    <mergeCell ref="BF675:BF676"/>
    <mergeCell ref="BF1467:BF1469"/>
    <mergeCell ref="BF1493:BF1495"/>
    <mergeCell ref="BF1773:BF1774"/>
    <mergeCell ref="BF1888:BF1889"/>
    <mergeCell ref="BF1902:BF1903"/>
    <mergeCell ref="BF1913:BF1914"/>
    <mergeCell ref="BF1992:BF1993"/>
    <mergeCell ref="BF2089:BF2090"/>
    <mergeCell ref="BF2154:BF2155"/>
    <mergeCell ref="BF2245:BF2246"/>
    <mergeCell ref="BF2385:BF2386"/>
    <mergeCell ref="BF2528:BF2529"/>
    <mergeCell ref="BF2558:BF2560"/>
    <mergeCell ref="BF2575:BF2577"/>
    <mergeCell ref="BF2644:BF2646"/>
    <mergeCell ref="BF2651:BF2654"/>
    <mergeCell ref="BG525:BG527"/>
    <mergeCell ref="BG595:BG596"/>
    <mergeCell ref="BG598:BG599"/>
    <mergeCell ref="BG675:BG676"/>
    <mergeCell ref="BG1467:BG1469"/>
    <mergeCell ref="BG1902:BG1903"/>
    <mergeCell ref="BG1913:BG1914"/>
    <mergeCell ref="BG1992:BG1993"/>
    <mergeCell ref="BG2089:BG2090"/>
    <mergeCell ref="BG2154:BG2155"/>
    <mergeCell ref="BG2245:BG2246"/>
    <mergeCell ref="BG2385:BG2386"/>
    <mergeCell ref="BG2528:BG2529"/>
    <mergeCell ref="BG2558:BG2560"/>
    <mergeCell ref="BG2575:BG2577"/>
    <mergeCell ref="BG2630:BG2633"/>
    <mergeCell ref="BG2644:BG2646"/>
    <mergeCell ref="BG2651:BG2654"/>
    <mergeCell ref="BH232:BH233"/>
    <mergeCell ref="BH285:BH286"/>
    <mergeCell ref="BH511:BH512"/>
    <mergeCell ref="BH515:BH517"/>
    <mergeCell ref="BH555:BH556"/>
    <mergeCell ref="BH595:BH596"/>
    <mergeCell ref="BH622:BH623"/>
    <mergeCell ref="BH636:BH637"/>
    <mergeCell ref="BH658:BH659"/>
    <mergeCell ref="BH663:BH664"/>
    <mergeCell ref="BH665:BH666"/>
    <mergeCell ref="BH669:BH670"/>
    <mergeCell ref="BH675:BH676"/>
    <mergeCell ref="BH695:BH696"/>
    <mergeCell ref="BH702:BH703"/>
    <mergeCell ref="BH882:BH886"/>
    <mergeCell ref="BH898:BH899"/>
    <mergeCell ref="BH902:BH903"/>
    <mergeCell ref="BH904:BH905"/>
    <mergeCell ref="BH978:BH980"/>
    <mergeCell ref="BH1467:BH1469"/>
    <mergeCell ref="BH1493:BH1495"/>
    <mergeCell ref="BH1692:BH1693"/>
    <mergeCell ref="BH1752:BH1753"/>
    <mergeCell ref="BH1755:BH1757"/>
    <mergeCell ref="BH1773:BH1774"/>
    <mergeCell ref="BH1803:BH1805"/>
    <mergeCell ref="BH1888:BH1889"/>
    <mergeCell ref="BH1902:BH1903"/>
    <mergeCell ref="BH1913:BH1914"/>
    <mergeCell ref="BH1992:BH1993"/>
    <mergeCell ref="BH2089:BH2090"/>
    <mergeCell ref="BH2154:BH2155"/>
    <mergeCell ref="BH2160:BH2161"/>
    <mergeCell ref="BH2195:BH2197"/>
    <mergeCell ref="BH2199:BH2201"/>
    <mergeCell ref="BH2385:BH2386"/>
    <mergeCell ref="BH2399:BH2400"/>
    <mergeCell ref="BH2402:BH2404"/>
    <mergeCell ref="BH2528:BH2529"/>
    <mergeCell ref="BH2558:BH2560"/>
    <mergeCell ref="BH2575:BH2577"/>
    <mergeCell ref="BH2622:BH2625"/>
    <mergeCell ref="BH2630:BH2633"/>
    <mergeCell ref="BH2644:BH2646"/>
    <mergeCell ref="BH2651:BH2654"/>
    <mergeCell ref="BH2671:BH2673"/>
    <mergeCell ref="BI197:BI198"/>
    <mergeCell ref="BI224:BI225"/>
    <mergeCell ref="BI285:BI286"/>
    <mergeCell ref="BI652:BI653"/>
    <mergeCell ref="BI655:BI656"/>
    <mergeCell ref="BI675:BI676"/>
    <mergeCell ref="BI908:BI909"/>
    <mergeCell ref="BI1039:BI1040"/>
    <mergeCell ref="BI1129:BI1131"/>
    <mergeCell ref="BI1467:BI1469"/>
    <mergeCell ref="BI1692:BI1693"/>
    <mergeCell ref="BI1711:BI1712"/>
    <mergeCell ref="BI1888:BI1889"/>
    <mergeCell ref="BI1902:BI1903"/>
    <mergeCell ref="BI1913:BI1914"/>
    <mergeCell ref="BI1992:BI1993"/>
    <mergeCell ref="BI2089:BI2090"/>
    <mergeCell ref="BI2154:BI2155"/>
    <mergeCell ref="BI2330:BI2331"/>
    <mergeCell ref="BI2333:BI2334"/>
    <mergeCell ref="BI2385:BI2386"/>
    <mergeCell ref="BI2528:BI2529"/>
    <mergeCell ref="BI2558:BI2560"/>
    <mergeCell ref="BI2575:BI2577"/>
    <mergeCell ref="BI2622:BI2625"/>
    <mergeCell ref="BI2630:BI2633"/>
    <mergeCell ref="BI2644:BI2646"/>
    <mergeCell ref="BI2651:BI2654"/>
    <mergeCell ref="BI2671:BI2673"/>
    <mergeCell ref="BI2674:BI2675"/>
    <mergeCell ref="BJ675:BJ676"/>
    <mergeCell ref="BJ1467:BJ1469"/>
    <mergeCell ref="BJ1888:BJ1889"/>
    <mergeCell ref="BJ1902:BJ1903"/>
    <mergeCell ref="BJ1913:BJ1914"/>
    <mergeCell ref="BJ1992:BJ1993"/>
    <mergeCell ref="BJ2089:BJ2090"/>
    <mergeCell ref="BJ2154:BJ2155"/>
    <mergeCell ref="BJ2325:BJ2326"/>
    <mergeCell ref="BJ2352:BJ2353"/>
    <mergeCell ref="BJ2354:BJ2356"/>
    <mergeCell ref="BJ2368:BJ2369"/>
    <mergeCell ref="BJ2385:BJ2386"/>
    <mergeCell ref="BJ2528:BJ2529"/>
    <mergeCell ref="BJ2558:BJ2560"/>
    <mergeCell ref="BJ2575:BJ2577"/>
    <mergeCell ref="BJ2644:BJ2646"/>
    <mergeCell ref="BJ2651:BJ2654"/>
    <mergeCell ref="BJ2684:BJ2685"/>
    <mergeCell ref="BK675:BK676"/>
    <mergeCell ref="BK1467:BK1469"/>
    <mergeCell ref="BK1992:BK1993"/>
    <mergeCell ref="BK2089:BK2090"/>
    <mergeCell ref="BK2154:BK2155"/>
    <mergeCell ref="BK2185:BK2186"/>
    <mergeCell ref="BK2385:BK2386"/>
    <mergeCell ref="BK2528:BK2529"/>
    <mergeCell ref="BK2558:BK2560"/>
    <mergeCell ref="BK2575:BK2577"/>
    <mergeCell ref="BK2644:BK2646"/>
    <mergeCell ref="BK2651:BK2654"/>
    <mergeCell ref="BL1467:BL1469"/>
    <mergeCell ref="BL1992:BL1993"/>
    <mergeCell ref="BL2089:BL2090"/>
    <mergeCell ref="BL2154:BL2155"/>
    <mergeCell ref="BL2385:BL2386"/>
    <mergeCell ref="BL2644:BL2646"/>
    <mergeCell ref="BL2651:BL2654"/>
    <mergeCell ref="BN67:BN69"/>
    <mergeCell ref="BN74:BN75"/>
    <mergeCell ref="BN513:BN514"/>
    <mergeCell ref="BN518:BN521"/>
    <mergeCell ref="BN675:BN676"/>
    <mergeCell ref="BN717:BN720"/>
    <mergeCell ref="BN756:BN757"/>
    <mergeCell ref="BN759:BN761"/>
    <mergeCell ref="BN780:BN781"/>
    <mergeCell ref="BN809:BN810"/>
    <mergeCell ref="BN825:BN827"/>
    <mergeCell ref="BN846:BN849"/>
    <mergeCell ref="BN855:BN856"/>
    <mergeCell ref="BN858:BN859"/>
    <mergeCell ref="BN864:BN866"/>
    <mergeCell ref="BN882:BN886"/>
    <mergeCell ref="BN898:BN899"/>
    <mergeCell ref="BN902:BN903"/>
    <mergeCell ref="BN904:BN905"/>
    <mergeCell ref="BN908:BN909"/>
    <mergeCell ref="BN911:BN913"/>
    <mergeCell ref="BN914:BN916"/>
    <mergeCell ref="BN917:BN920"/>
    <mergeCell ref="BN921:BN923"/>
    <mergeCell ref="BN931:BN932"/>
    <mergeCell ref="BN933:BN935"/>
    <mergeCell ref="BN936:BN937"/>
    <mergeCell ref="BN938:BN940"/>
    <mergeCell ref="BN1034:BN1035"/>
    <mergeCell ref="BN1039:BN1040"/>
    <mergeCell ref="BN1046:BN1047"/>
    <mergeCell ref="BN1056:BN1057"/>
    <mergeCell ref="BN1061:BN1062"/>
    <mergeCell ref="BN1467:BN1469"/>
    <mergeCell ref="BN1493:BN1495"/>
    <mergeCell ref="BN1692:BN1693"/>
    <mergeCell ref="BN1888:BN1889"/>
    <mergeCell ref="BN1902:BN1903"/>
    <mergeCell ref="BN1913:BN1914"/>
    <mergeCell ref="BN1965:BN1966"/>
    <mergeCell ref="BN1992:BN1993"/>
    <mergeCell ref="BN2000:BN2001"/>
    <mergeCell ref="BN2012:BN2013"/>
    <mergeCell ref="BN2016:BN2017"/>
    <mergeCell ref="BN2021:BN2022"/>
    <mergeCell ref="BN2089:BN2090"/>
    <mergeCell ref="BN2154:BN2155"/>
    <mergeCell ref="BN2195:BN2197"/>
    <mergeCell ref="BN2199:BN2201"/>
    <mergeCell ref="BN2215:BN2217"/>
    <mergeCell ref="BN2224:BN2225"/>
    <mergeCell ref="BN2226:BN2228"/>
    <mergeCell ref="BN2231:BN2232"/>
    <mergeCell ref="BN2233:BN2234"/>
    <mergeCell ref="BN2283:BN2284"/>
    <mergeCell ref="BN2385:BN2386"/>
    <mergeCell ref="BN2528:BN2529"/>
    <mergeCell ref="BN2558:BN2560"/>
    <mergeCell ref="BN2575:BN2577"/>
    <mergeCell ref="BN2622:BN2625"/>
    <mergeCell ref="BN2630:BN2633"/>
    <mergeCell ref="BN2637:BN2640"/>
    <mergeCell ref="BN2644:BN2646"/>
    <mergeCell ref="BN2651:BN2654"/>
    <mergeCell ref="BN2671:BN2673"/>
    <mergeCell ref="BN2674:BN2675"/>
    <mergeCell ref="BO712:BO713"/>
    <mergeCell ref="BO1467:BO1469"/>
    <mergeCell ref="BO1692:BO1693"/>
    <mergeCell ref="BO1888:BO1889"/>
    <mergeCell ref="BO1902:BO1903"/>
    <mergeCell ref="BO1913:BO1914"/>
    <mergeCell ref="BO2154:BO2155"/>
    <mergeCell ref="BO2528:BO2529"/>
    <mergeCell ref="BO2558:BO2560"/>
    <mergeCell ref="BO2575:BO2577"/>
    <mergeCell ref="BO2644:BO2646"/>
    <mergeCell ref="BO2651:BO2654"/>
    <mergeCell ref="BP1467:BP1469"/>
    <mergeCell ref="BP1692:BP1693"/>
    <mergeCell ref="BP1888:BP1889"/>
    <mergeCell ref="BP1902:BP1903"/>
    <mergeCell ref="BP1913:BP1914"/>
    <mergeCell ref="BP2154:BP2155"/>
    <mergeCell ref="BP2528:BP2529"/>
    <mergeCell ref="BP2558:BP2560"/>
    <mergeCell ref="BP2575:BP2577"/>
    <mergeCell ref="BP2644:BP2646"/>
    <mergeCell ref="BP2651:BP2654"/>
    <mergeCell ref="BQ70:BQ71"/>
    <mergeCell ref="BQ76:BQ77"/>
    <mergeCell ref="BQ219:BQ220"/>
    <mergeCell ref="BQ595:BQ596"/>
    <mergeCell ref="BQ1467:BQ1469"/>
    <mergeCell ref="BQ1692:BQ1693"/>
    <mergeCell ref="BQ1888:BQ1889"/>
    <mergeCell ref="BQ1902:BQ1903"/>
    <mergeCell ref="BQ1913:BQ1914"/>
    <mergeCell ref="BQ2154:BQ2155"/>
    <mergeCell ref="BQ2528:BQ2529"/>
    <mergeCell ref="BQ2558:BQ2560"/>
    <mergeCell ref="BQ2575:BQ2577"/>
    <mergeCell ref="BQ2622:BQ2625"/>
    <mergeCell ref="BQ2630:BQ2633"/>
    <mergeCell ref="BQ2637:BQ2640"/>
    <mergeCell ref="BQ2644:BQ2646"/>
    <mergeCell ref="BQ2651:BQ2654"/>
    <mergeCell ref="BQ2671:BQ2673"/>
    <mergeCell ref="BR8:BR12"/>
    <mergeCell ref="BR285:BR286"/>
    <mergeCell ref="BR595:BR596"/>
    <mergeCell ref="BR622:BR623"/>
    <mergeCell ref="BR695:BR696"/>
    <mergeCell ref="BR1467:BR1468"/>
    <mergeCell ref="BR1692:BR1693"/>
    <mergeCell ref="BR1724:BR1725"/>
    <mergeCell ref="BR1888:BR1889"/>
    <mergeCell ref="BR1902:BR1903"/>
    <mergeCell ref="BR1913:BR1914"/>
    <mergeCell ref="BR2154:BR2155"/>
    <mergeCell ref="BR2157:BR2158"/>
    <mergeCell ref="BR2528:BR2529"/>
    <mergeCell ref="BR2558:BR2560"/>
    <mergeCell ref="BR2575:BR2577"/>
    <mergeCell ref="BR2622:BR2625"/>
    <mergeCell ref="BR2630:BR2633"/>
    <mergeCell ref="BR2644:BR2646"/>
    <mergeCell ref="BR2651:BR2654"/>
    <mergeCell ref="BS598:BS599"/>
    <mergeCell ref="BS1467:BS1469"/>
    <mergeCell ref="BS1692:BS1693"/>
    <mergeCell ref="BS1888:BS1889"/>
    <mergeCell ref="BS1902:BS1903"/>
    <mergeCell ref="BS1913:BS1914"/>
    <mergeCell ref="BS2154:BS2155"/>
    <mergeCell ref="BS2528:BS2529"/>
    <mergeCell ref="BS2558:BS2560"/>
    <mergeCell ref="BS2575:BS2577"/>
    <mergeCell ref="BS2644:BS2646"/>
    <mergeCell ref="BS2651:BS2654"/>
    <mergeCell ref="BT8:BT12"/>
    <mergeCell ref="BT197:BT198"/>
    <mergeCell ref="BT298:BT299"/>
    <mergeCell ref="BT300:BT301"/>
    <mergeCell ref="BT525:BT527"/>
    <mergeCell ref="BT598:BT599"/>
    <mergeCell ref="BT1467:BT1469"/>
    <mergeCell ref="BT1692:BT1693"/>
    <mergeCell ref="BT1773:BT1774"/>
    <mergeCell ref="BT1888:BT1889"/>
    <mergeCell ref="BT1902:BT1903"/>
    <mergeCell ref="BT1913:BT1914"/>
    <mergeCell ref="BT2154:BT2155"/>
    <mergeCell ref="BT2528:BT2529"/>
    <mergeCell ref="BT2558:BT2560"/>
    <mergeCell ref="BT2575:BT2577"/>
    <mergeCell ref="BT2644:BT2646"/>
    <mergeCell ref="BT2651:BT2654"/>
    <mergeCell ref="BU525:BU527"/>
    <mergeCell ref="BU598:BU599"/>
    <mergeCell ref="BU1467:BU1469"/>
    <mergeCell ref="BU1692:BU1693"/>
    <mergeCell ref="BU1913:BU1914"/>
    <mergeCell ref="BU2154:BU2155"/>
    <mergeCell ref="BU2528:BU2529"/>
    <mergeCell ref="BU2558:BU2560"/>
    <mergeCell ref="BU2575:BU2577"/>
    <mergeCell ref="BU2644:BU2646"/>
    <mergeCell ref="BU2651:BU2654"/>
    <mergeCell ref="BV285:BV286"/>
    <mergeCell ref="BV595:BV596"/>
    <mergeCell ref="BV622:BV623"/>
    <mergeCell ref="BV695:BV696"/>
    <mergeCell ref="BV872:BV873"/>
    <mergeCell ref="BV945:BV946"/>
    <mergeCell ref="BV965:BV966"/>
    <mergeCell ref="BV977:BV978"/>
    <mergeCell ref="BV982:BV983"/>
    <mergeCell ref="BV1467:BV1469"/>
    <mergeCell ref="BV1692:BV1693"/>
    <mergeCell ref="BV1773:BV1774"/>
    <mergeCell ref="BV1803:BV1805"/>
    <mergeCell ref="BV1888:BV1889"/>
    <mergeCell ref="BV1902:BV1903"/>
    <mergeCell ref="BV1913:BV1914"/>
    <mergeCell ref="BV2154:BV2155"/>
    <mergeCell ref="BV2157:BV2158"/>
    <mergeCell ref="BV2160:BV2161"/>
    <mergeCell ref="BV2528:BV2529"/>
    <mergeCell ref="BV2558:BV2560"/>
    <mergeCell ref="BV2575:BV2577"/>
    <mergeCell ref="BV2622:BV2625"/>
    <mergeCell ref="BV2630:BV2633"/>
    <mergeCell ref="BV2644:BV2646"/>
    <mergeCell ref="BV2651:BV2654"/>
    <mergeCell ref="BV2671:BV2673"/>
    <mergeCell ref="BW197:BW198"/>
    <mergeCell ref="BW285:BW286"/>
    <mergeCell ref="BW598:BW599"/>
    <mergeCell ref="BW652:BW653"/>
    <mergeCell ref="BW1129:BW1131"/>
    <mergeCell ref="BW1467:BW1469"/>
    <mergeCell ref="BW1692:BW1693"/>
    <mergeCell ref="BW1888:BW1889"/>
    <mergeCell ref="BW1902:BW1903"/>
    <mergeCell ref="BW1913:BW1914"/>
    <mergeCell ref="BW2154:BW2155"/>
    <mergeCell ref="BW2415:BW2417"/>
    <mergeCell ref="BW2528:BW2529"/>
    <mergeCell ref="BW2558:BW2560"/>
    <mergeCell ref="BW2575:BW2577"/>
    <mergeCell ref="BW2622:BW2625"/>
    <mergeCell ref="BW2630:BW2633"/>
    <mergeCell ref="BW2644:BW2646"/>
    <mergeCell ref="BW2651:BW2654"/>
    <mergeCell ref="BW2671:BW2673"/>
    <mergeCell ref="BW2674:BW2675"/>
    <mergeCell ref="BX598:BX599"/>
    <mergeCell ref="BX1467:BX1469"/>
    <mergeCell ref="BX1692:BX1693"/>
    <mergeCell ref="BX1888:BX1889"/>
    <mergeCell ref="BX1902:BX1903"/>
    <mergeCell ref="BX1913:BX1914"/>
    <mergeCell ref="BX2154:BX2155"/>
    <mergeCell ref="BX2528:BX2529"/>
    <mergeCell ref="BX2558:BX2560"/>
    <mergeCell ref="BX2575:BX2577"/>
    <mergeCell ref="BX2644:BX2646"/>
    <mergeCell ref="BX2651:BX2654"/>
    <mergeCell ref="BY598:BY599"/>
    <mergeCell ref="BY1467:BY1469"/>
    <mergeCell ref="BY1692:BY1693"/>
    <mergeCell ref="BY2528:BY2529"/>
    <mergeCell ref="BY2558:BY2560"/>
    <mergeCell ref="BY2575:BY2577"/>
    <mergeCell ref="BY2644:BY2646"/>
    <mergeCell ref="BY2651:BY2654"/>
    <mergeCell ref="BZ598:BZ599"/>
    <mergeCell ref="BZ1467:BZ1469"/>
    <mergeCell ref="BZ2630:BZ2633"/>
    <mergeCell ref="BZ2644:BZ2646"/>
    <mergeCell ref="BZ2651:BZ2654"/>
    <mergeCell ref="CB76:CB77"/>
    <mergeCell ref="CB598:CB599"/>
    <mergeCell ref="CB1467:CB1469"/>
    <mergeCell ref="CB1470:CB1472"/>
    <mergeCell ref="CB1692:CB1693"/>
    <mergeCell ref="CB1888:CB1889"/>
    <mergeCell ref="CB1902:CB1903"/>
    <mergeCell ref="CB1913:CB1914"/>
    <mergeCell ref="CB1965:CB1966"/>
    <mergeCell ref="CB2154:CB2155"/>
    <mergeCell ref="CB2157:CB2158"/>
    <mergeCell ref="CB2237:CB2240"/>
    <mergeCell ref="CB2528:CB2529"/>
    <mergeCell ref="CB2558:CB2560"/>
    <mergeCell ref="CB2575:CB2577"/>
    <mergeCell ref="CB2622:CB2625"/>
    <mergeCell ref="CB2630:CB2633"/>
    <mergeCell ref="CB2637:CB2640"/>
    <mergeCell ref="CB2644:CB2646"/>
    <mergeCell ref="CB2651:CB2654"/>
    <mergeCell ref="CB2671:CB2673"/>
    <mergeCell ref="CB2674:CB2675"/>
    <mergeCell ref="CC5:CC29"/>
    <mergeCell ref="CC30:CC34"/>
    <mergeCell ref="CC35:CC37"/>
    <mergeCell ref="CC39:CC40"/>
    <mergeCell ref="CC41:CC44"/>
    <mergeCell ref="CC45:CC48"/>
    <mergeCell ref="CC49:CC51"/>
    <mergeCell ref="CC52:CC55"/>
    <mergeCell ref="CC56:CC59"/>
    <mergeCell ref="CC60:CC65"/>
    <mergeCell ref="CC66:CC77"/>
    <mergeCell ref="CC78:CC80"/>
    <mergeCell ref="CC81:CC84"/>
    <mergeCell ref="CC86:CC87"/>
    <mergeCell ref="CC90:CC96"/>
    <mergeCell ref="CC97:CC103"/>
    <mergeCell ref="CC104:CC130"/>
    <mergeCell ref="CC131:CC134"/>
    <mergeCell ref="CC135:CC137"/>
    <mergeCell ref="CC138:CC143"/>
    <mergeCell ref="CC144:CC149"/>
    <mergeCell ref="CC150:CC153"/>
    <mergeCell ref="CC154:CC159"/>
    <mergeCell ref="CC160:CC164"/>
    <mergeCell ref="CC168:CC170"/>
    <mergeCell ref="CC172:CC174"/>
    <mergeCell ref="CC175:CC177"/>
    <mergeCell ref="CC178:CC181"/>
    <mergeCell ref="CC182:CC188"/>
    <mergeCell ref="CC189:CC190"/>
    <mergeCell ref="CC191:CC194"/>
    <mergeCell ref="CC195:CC199"/>
    <mergeCell ref="CC203:CC206"/>
    <mergeCell ref="CC209:CC210"/>
    <mergeCell ref="CC213:CC216"/>
    <mergeCell ref="CC218:CC221"/>
    <mergeCell ref="CC222:CC223"/>
    <mergeCell ref="CC224:CC227"/>
    <mergeCell ref="CC228:CC230"/>
    <mergeCell ref="CC231:CC234"/>
    <mergeCell ref="CC235:CC239"/>
    <mergeCell ref="CC240:CC247"/>
    <mergeCell ref="CC248:CC249"/>
    <mergeCell ref="CC258:CC259"/>
    <mergeCell ref="CC260:CC261"/>
    <mergeCell ref="CC262:CC267"/>
    <mergeCell ref="CC271:CC273"/>
    <mergeCell ref="CC274:CC276"/>
    <mergeCell ref="CC283:CC286"/>
    <mergeCell ref="CC293:CC297"/>
    <mergeCell ref="CC298:CC301"/>
    <mergeCell ref="CC302:CC303"/>
    <mergeCell ref="CC332:CC336"/>
    <mergeCell ref="CC337:CC339"/>
    <mergeCell ref="CC431:CC433"/>
    <mergeCell ref="CC434:CC436"/>
    <mergeCell ref="CC437:CC440"/>
    <mergeCell ref="CC441:CC442"/>
    <mergeCell ref="CC445:CC449"/>
    <mergeCell ref="CC450:CC451"/>
    <mergeCell ref="CC452:CC453"/>
    <mergeCell ref="CC454:CC455"/>
    <mergeCell ref="CC456:CC457"/>
    <mergeCell ref="CC458:CC460"/>
    <mergeCell ref="CC461:CC464"/>
    <mergeCell ref="CC465:CC468"/>
    <mergeCell ref="CC469:CC472"/>
    <mergeCell ref="CC473:CC476"/>
    <mergeCell ref="CC477:CC480"/>
    <mergeCell ref="CC481:CC484"/>
    <mergeCell ref="CC485:CC488"/>
    <mergeCell ref="CC489:CC491"/>
    <mergeCell ref="CC492:CC497"/>
    <mergeCell ref="CC500:CC502"/>
    <mergeCell ref="CC503:CC505"/>
    <mergeCell ref="CC506:CC508"/>
    <mergeCell ref="CC525:CC528"/>
    <mergeCell ref="CC532:CC535"/>
    <mergeCell ref="CC538:CC540"/>
    <mergeCell ref="CC541:CC547"/>
    <mergeCell ref="CC548:CC550"/>
    <mergeCell ref="CC551:CC554"/>
    <mergeCell ref="CC555:CC559"/>
    <mergeCell ref="CC561:CC563"/>
    <mergeCell ref="CC570:CC588"/>
    <mergeCell ref="CC589:CC592"/>
    <mergeCell ref="CC593:CC594"/>
    <mergeCell ref="CC595:CC599"/>
    <mergeCell ref="CC600:CC602"/>
    <mergeCell ref="CC604:CC613"/>
    <mergeCell ref="CC614:CC615"/>
    <mergeCell ref="CC616:CC618"/>
    <mergeCell ref="CC621:CC624"/>
    <mergeCell ref="CC625:CC628"/>
    <mergeCell ref="CC629:CC630"/>
    <mergeCell ref="CC640:CC642"/>
    <mergeCell ref="CC647:CC650"/>
    <mergeCell ref="CC658:CC674"/>
    <mergeCell ref="CC675:CC680"/>
    <mergeCell ref="CC681:CC685"/>
    <mergeCell ref="CC686:CC687"/>
    <mergeCell ref="CC689:CC694"/>
    <mergeCell ref="CC695:CC704"/>
    <mergeCell ref="CC705:CC711"/>
    <mergeCell ref="CC712:CC794"/>
    <mergeCell ref="CC795:CC815"/>
    <mergeCell ref="CC816:CC836"/>
    <mergeCell ref="CC837:CC867"/>
    <mergeCell ref="CC868:CC871"/>
    <mergeCell ref="CC872:CC874"/>
    <mergeCell ref="CC875:CC877"/>
    <mergeCell ref="CC878:CC880"/>
    <mergeCell ref="CC881:CC941"/>
    <mergeCell ref="CC942:CC947"/>
    <mergeCell ref="CC948:CC950"/>
    <mergeCell ref="CC999:CC1027"/>
    <mergeCell ref="CC1032:CC1064"/>
    <mergeCell ref="CC1065:CC1092"/>
    <mergeCell ref="CC1093:CC1120"/>
    <mergeCell ref="CC1625:CC1668"/>
    <mergeCell ref="CC1681:CC1684"/>
    <mergeCell ref="CC1685:CC1687"/>
    <mergeCell ref="CC1688:CC1689"/>
    <mergeCell ref="CC1708:CC1709"/>
    <mergeCell ref="CC1731:CC1733"/>
    <mergeCell ref="CC1736:CC1738"/>
    <mergeCell ref="CC1743:CC1745"/>
    <mergeCell ref="CC1746:CC1748"/>
    <mergeCell ref="CC1749:CC1750"/>
    <mergeCell ref="CC1751:CC1757"/>
    <mergeCell ref="CC1758:CC1762"/>
    <mergeCell ref="CC1763:CC1765"/>
    <mergeCell ref="CC1766:CC1770"/>
    <mergeCell ref="CC1771:CC1772"/>
    <mergeCell ref="CC1773:CC1775"/>
    <mergeCell ref="CC1777:CC1780"/>
    <mergeCell ref="CC1781:CC1784"/>
    <mergeCell ref="CC1785:CC1786"/>
    <mergeCell ref="CC1788:CC1790"/>
    <mergeCell ref="CC1791:CC1797"/>
    <mergeCell ref="CC1803:CC1808"/>
    <mergeCell ref="CC1809:CC1813"/>
    <mergeCell ref="CC1814:CC1815"/>
    <mergeCell ref="CC1816:CC1819"/>
    <mergeCell ref="CC1825:CC1828"/>
    <mergeCell ref="CC1829:CC1832"/>
    <mergeCell ref="CC1867:CC1886"/>
    <mergeCell ref="CC1888:CC1893"/>
    <mergeCell ref="CC1894:CC1901"/>
    <mergeCell ref="CC1902:CC1907"/>
    <mergeCell ref="CC1983:CC1986"/>
    <mergeCell ref="CC1987:CC1990"/>
    <mergeCell ref="CC1991:CC1995"/>
    <mergeCell ref="CC1996:CC1998"/>
    <mergeCell ref="CC1999:CC2002"/>
    <mergeCell ref="CC2003:CC2005"/>
    <mergeCell ref="CC2009:CC2011"/>
    <mergeCell ref="CC2012:CC2015"/>
    <mergeCell ref="CC2154:CC2161"/>
    <mergeCell ref="CC2162:CC2169"/>
    <mergeCell ref="CC2170:CC2177"/>
    <mergeCell ref="CC2178:CC2180"/>
    <mergeCell ref="CC2181:CC2184"/>
    <mergeCell ref="CC2185:CC2192"/>
    <mergeCell ref="CC2194:CC2236"/>
    <mergeCell ref="CC2237:CC2241"/>
    <mergeCell ref="CC2242:CC2296"/>
    <mergeCell ref="CC2297:CC2303"/>
    <mergeCell ref="CC2396:CC2397"/>
    <mergeCell ref="CC2528:CC2529"/>
    <mergeCell ref="CC2644:CC2650"/>
    <mergeCell ref="CC2651:CC2654"/>
    <mergeCell ref="CC2709:CC2712"/>
    <mergeCell ref="CC2719:CC2721"/>
    <mergeCell ref="CD5:CD29"/>
    <mergeCell ref="CD30:CD34"/>
    <mergeCell ref="CD35:CD37"/>
    <mergeCell ref="CD39:CD40"/>
    <mergeCell ref="CD41:CD44"/>
    <mergeCell ref="CD45:CD48"/>
    <mergeCell ref="CD49:CD51"/>
    <mergeCell ref="CD52:CD55"/>
    <mergeCell ref="CD56:CD59"/>
    <mergeCell ref="CD60:CD65"/>
    <mergeCell ref="CD66:CD77"/>
    <mergeCell ref="CD78:CD80"/>
    <mergeCell ref="CD81:CD84"/>
    <mergeCell ref="CD86:CD87"/>
    <mergeCell ref="CD90:CD96"/>
    <mergeCell ref="CD97:CD103"/>
    <mergeCell ref="CD104:CD130"/>
    <mergeCell ref="CD131:CD134"/>
    <mergeCell ref="CD135:CD137"/>
    <mergeCell ref="CD138:CD143"/>
    <mergeCell ref="CD144:CD149"/>
    <mergeCell ref="CD150:CD153"/>
    <mergeCell ref="CD154:CD159"/>
    <mergeCell ref="CD160:CD164"/>
    <mergeCell ref="CD168:CD170"/>
    <mergeCell ref="CD172:CD174"/>
    <mergeCell ref="CD175:CD177"/>
    <mergeCell ref="CD178:CD181"/>
    <mergeCell ref="CD182:CD188"/>
    <mergeCell ref="CD189:CD190"/>
    <mergeCell ref="CD191:CD194"/>
    <mergeCell ref="CD195:CD199"/>
    <mergeCell ref="CD203:CD206"/>
    <mergeCell ref="CD209:CD210"/>
    <mergeCell ref="CD213:CD216"/>
    <mergeCell ref="CD218:CD221"/>
    <mergeCell ref="CD222:CD223"/>
    <mergeCell ref="CD224:CD227"/>
    <mergeCell ref="CD228:CD230"/>
    <mergeCell ref="CD231:CD234"/>
    <mergeCell ref="CD235:CD239"/>
    <mergeCell ref="CD240:CD247"/>
    <mergeCell ref="CD248:CD249"/>
    <mergeCell ref="CD258:CD259"/>
    <mergeCell ref="CD260:CD261"/>
    <mergeCell ref="CD262:CD267"/>
    <mergeCell ref="CD271:CD273"/>
    <mergeCell ref="CD274:CD276"/>
    <mergeCell ref="CD283:CD286"/>
    <mergeCell ref="CD293:CD297"/>
    <mergeCell ref="CD298:CD301"/>
    <mergeCell ref="CD302:CD303"/>
    <mergeCell ref="CD332:CD336"/>
    <mergeCell ref="CD337:CD339"/>
    <mergeCell ref="CD431:CD433"/>
    <mergeCell ref="CD434:CD436"/>
    <mergeCell ref="CD437:CD440"/>
    <mergeCell ref="CD441:CD442"/>
    <mergeCell ref="CD445:CD449"/>
    <mergeCell ref="CD450:CD451"/>
    <mergeCell ref="CD452:CD453"/>
    <mergeCell ref="CD454:CD455"/>
    <mergeCell ref="CD456:CD457"/>
    <mergeCell ref="CD458:CD460"/>
    <mergeCell ref="CD461:CD464"/>
    <mergeCell ref="CD465:CD468"/>
    <mergeCell ref="CD469:CD472"/>
    <mergeCell ref="CD473:CD476"/>
    <mergeCell ref="CD477:CD480"/>
    <mergeCell ref="CD481:CD484"/>
    <mergeCell ref="CD485:CD488"/>
    <mergeCell ref="CD489:CD491"/>
    <mergeCell ref="CD492:CD497"/>
    <mergeCell ref="CD500:CD502"/>
    <mergeCell ref="CD503:CD505"/>
    <mergeCell ref="CD506:CD508"/>
    <mergeCell ref="CD525:CD528"/>
    <mergeCell ref="CD532:CD535"/>
    <mergeCell ref="CD538:CD540"/>
    <mergeCell ref="CD541:CD547"/>
    <mergeCell ref="CD548:CD550"/>
    <mergeCell ref="CD551:CD554"/>
    <mergeCell ref="CD555:CD559"/>
    <mergeCell ref="CD561:CD563"/>
    <mergeCell ref="CD566:CD588"/>
    <mergeCell ref="CD589:CD592"/>
    <mergeCell ref="CD593:CD594"/>
    <mergeCell ref="CD595:CD599"/>
    <mergeCell ref="CD600:CD602"/>
    <mergeCell ref="CD604:CD613"/>
    <mergeCell ref="CD614:CD615"/>
    <mergeCell ref="CD616:CD618"/>
    <mergeCell ref="CD621:CD624"/>
    <mergeCell ref="CD625:CD628"/>
    <mergeCell ref="CD629:CD630"/>
    <mergeCell ref="CD640:CD642"/>
    <mergeCell ref="CD647:CD650"/>
    <mergeCell ref="CD658:CD674"/>
    <mergeCell ref="CD675:CD680"/>
    <mergeCell ref="CD681:CD685"/>
    <mergeCell ref="CD686:CD687"/>
    <mergeCell ref="CD689:CD694"/>
    <mergeCell ref="CD695:CD704"/>
    <mergeCell ref="CD705:CD711"/>
    <mergeCell ref="CD712:CD794"/>
    <mergeCell ref="CD795:CD815"/>
    <mergeCell ref="CD816:CD836"/>
    <mergeCell ref="CD837:CD867"/>
    <mergeCell ref="CD868:CD871"/>
    <mergeCell ref="CD872:CD874"/>
    <mergeCell ref="CD875:CD877"/>
    <mergeCell ref="CD878:CD880"/>
    <mergeCell ref="CD881:CD941"/>
    <mergeCell ref="CD942:CD947"/>
    <mergeCell ref="CD948:CD950"/>
    <mergeCell ref="CD999:CD1027"/>
    <mergeCell ref="CD1032:CD1064"/>
    <mergeCell ref="CD1065:CD1092"/>
    <mergeCell ref="CD1093:CD1120"/>
    <mergeCell ref="CD1625:CD1668"/>
    <mergeCell ref="CD1681:CD1684"/>
    <mergeCell ref="CD1685:CD1687"/>
    <mergeCell ref="CD1688:CD1689"/>
    <mergeCell ref="CD1708:CD1709"/>
    <mergeCell ref="CD1731:CD1733"/>
    <mergeCell ref="CD1736:CD1738"/>
    <mergeCell ref="CD1743:CD1745"/>
    <mergeCell ref="CD1746:CD1748"/>
    <mergeCell ref="CD1749:CD1750"/>
    <mergeCell ref="CD1751:CD1757"/>
    <mergeCell ref="CD1758:CD1762"/>
    <mergeCell ref="CD1763:CD1765"/>
    <mergeCell ref="CD1766:CD1770"/>
    <mergeCell ref="CD1771:CD1772"/>
    <mergeCell ref="CD1773:CD1775"/>
    <mergeCell ref="CD1777:CD1780"/>
    <mergeCell ref="CD1781:CD1784"/>
    <mergeCell ref="CD1785:CD1786"/>
    <mergeCell ref="CD1788:CD1790"/>
    <mergeCell ref="CD1791:CD1797"/>
    <mergeCell ref="CD1803:CD1808"/>
    <mergeCell ref="CD1809:CD1813"/>
    <mergeCell ref="CD1814:CD1815"/>
    <mergeCell ref="CD1816:CD1819"/>
    <mergeCell ref="CD1825:CD1828"/>
    <mergeCell ref="CD1829:CD1832"/>
    <mergeCell ref="CD1867:CD1886"/>
    <mergeCell ref="CD1888:CD1893"/>
    <mergeCell ref="CD1894:CD1901"/>
    <mergeCell ref="CD1902:CD1907"/>
    <mergeCell ref="CD1983:CD1986"/>
    <mergeCell ref="CD1987:CD1990"/>
    <mergeCell ref="CD1991:CD1995"/>
    <mergeCell ref="CD1996:CD1998"/>
    <mergeCell ref="CD1999:CD2002"/>
    <mergeCell ref="CD2003:CD2005"/>
    <mergeCell ref="CD2009:CD2011"/>
    <mergeCell ref="CD2012:CD2015"/>
    <mergeCell ref="CD2154:CD2161"/>
    <mergeCell ref="CD2162:CD2169"/>
    <mergeCell ref="CD2170:CD2177"/>
    <mergeCell ref="CD2178:CD2180"/>
    <mergeCell ref="CD2181:CD2184"/>
    <mergeCell ref="CD2185:CD2192"/>
    <mergeCell ref="CD2194:CD2236"/>
    <mergeCell ref="CD2237:CD2241"/>
    <mergeCell ref="CD2242:CD2296"/>
    <mergeCell ref="CD2297:CD2303"/>
    <mergeCell ref="CD2396:CD2397"/>
    <mergeCell ref="CD2528:CD2529"/>
    <mergeCell ref="CD2644:CD2650"/>
    <mergeCell ref="CD2651:CD2654"/>
    <mergeCell ref="CD2709:CD2712"/>
    <mergeCell ref="CD2719:CD2721"/>
  </mergeCells>
  <conditionalFormatting sqref="BR$1:BR$1048576">
    <cfRule type="cellIs" dxfId="0" priority="1" operator="greaterThan">
      <formula>400000</formula>
    </cfRule>
  </conditionalFormatting>
  <conditionalFormatting sqref="BA2:BB2 BE2:BN2">
    <cfRule type="dataBar" priority="4">
      <dataBar>
        <cfvo type="min"/>
        <cfvo type="max"/>
        <color rgb="FF008AEF"/>
      </dataBar>
      <extLst>
        <ext xmlns:x14="http://schemas.microsoft.com/office/spreadsheetml/2009/9/main" uri="{B025F937-C7B1-47D3-B67F-A62EFF666E3E}">
          <x14:id>{f01b9f06-c69c-43c4-8b53-11f35676f373}</x14:id>
        </ext>
      </extLst>
    </cfRule>
  </conditionalFormatting>
  <dataValidations count="1">
    <dataValidation type="custom" allowBlank="1" showErrorMessage="1" errorTitle="输入内容有误" error="请输入正确的电子邮箱" sqref="T2:T108 T131:T2105 T2145:T2379 T2384:T2688 T2698:T1048576" errorStyle="information">
      <formula1>IF(TRUE,TRUE,"Email")</formula1>
    </dataValidation>
  </dataValidations>
  <hyperlinks>
    <hyperlink ref="T5" r:id="rId3" display="0"/>
    <hyperlink ref="T30" r:id="rId3" display="0"/>
    <hyperlink ref="T35" r:id="rId3" display="0"/>
    <hyperlink ref="T39" r:id="rId3" display="0"/>
    <hyperlink ref="T41" r:id="rId3" display="0"/>
    <hyperlink ref="T45" r:id="rId3" display="0"/>
    <hyperlink ref="T49" r:id="rId3" display="0"/>
    <hyperlink ref="T525" r:id="rId4" display="201650"/>
    <hyperlink ref="T614" r:id="rId3" display="0"/>
    <hyperlink ref="T616" r:id="rId3" display="0"/>
    <hyperlink ref="T620" r:id="rId3" display="0"/>
    <hyperlink ref="T621" r:id="rId3" display="0"/>
    <hyperlink ref="T625" r:id="rId3" display="0"/>
    <hyperlink ref="T629" r:id="rId3" display="0"/>
    <hyperlink ref="T658" r:id="rId3" display="0"/>
    <hyperlink ref="T675" r:id="rId3" display="0"/>
    <hyperlink ref="T681" r:id="rId3" display="0"/>
    <hyperlink ref="T686" r:id="rId3" display="0"/>
    <hyperlink ref="T689" r:id="rId3" display="0"/>
    <hyperlink ref="T695" r:id="rId3" display="0"/>
    <hyperlink ref="T705" r:id="rId3" display="0"/>
    <hyperlink ref="T712" r:id="rId3" display="0"/>
    <hyperlink ref="T795" r:id="rId3" display="0"/>
    <hyperlink ref="T816" r:id="rId3" display="0"/>
    <hyperlink ref="T837" r:id="rId3" display="0"/>
    <hyperlink ref="T872" r:id="rId3" display="0"/>
    <hyperlink ref="T875" r:id="rId3" display="0"/>
    <hyperlink ref="T878" r:id="rId3" display="0"/>
    <hyperlink ref="T881" r:id="rId3" display="0"/>
    <hyperlink ref="T942" r:id="rId3" display="0"/>
    <hyperlink ref="T951" r:id="rId3" display="0"/>
    <hyperlink ref="T959" r:id="rId3" display="0"/>
    <hyperlink ref="T965" r:id="rId3" display="0"/>
    <hyperlink ref="T968" r:id="rId3" display="0"/>
    <hyperlink ref="T971" r:id="rId3" display="0"/>
    <hyperlink ref="T974" r:id="rId3" display="0"/>
    <hyperlink ref="T999" r:id="rId3" display="0"/>
    <hyperlink ref="T1032" r:id="rId3" display="0"/>
    <hyperlink ref="T1093" r:id="rId3" display="0"/>
    <hyperlink ref="T1121" r:id="rId3" display="0"/>
    <hyperlink ref="T1127" r:id="rId3" display="0"/>
    <hyperlink ref="T1129" r:id="rId3" display="0"/>
    <hyperlink ref="T1133" r:id="rId3" display="0"/>
    <hyperlink ref="T1139" r:id="rId3" display="0"/>
    <hyperlink ref="T1451" r:id="rId3" display="0"/>
    <hyperlink ref="T1457" r:id="rId3" display="0"/>
    <hyperlink ref="T1460" r:id="rId3" display="0"/>
    <hyperlink ref="T1464" r:id="rId3" display="0"/>
    <hyperlink ref="T1467" r:id="rId3" display="0"/>
    <hyperlink ref="T1470" r:id="rId3" display="0"/>
    <hyperlink ref="T1476" r:id="rId3" display="0"/>
    <hyperlink ref="T1479" r:id="rId3" display="0"/>
    <hyperlink ref="T1483" r:id="rId3" display="0"/>
    <hyperlink ref="T1487" r:id="rId5" display="608000"/>
    <hyperlink ref="T1492" r:id="rId3" display="0"/>
    <hyperlink ref="T1531" r:id="rId3" display="0"/>
    <hyperlink ref="T1540" r:id="rId3" display="0"/>
    <hyperlink ref="T1546" r:id="rId3" display="0"/>
    <hyperlink ref="T1547" r:id="rId3" display="0"/>
    <hyperlink ref="T1555" r:id="rId3" display="0"/>
    <hyperlink ref="T1669" r:id="rId3" display="0"/>
    <hyperlink ref="T1672" r:id="rId3" display="0"/>
    <hyperlink ref="T1710" r:id="rId3" display="0"/>
    <hyperlink ref="T1715" r:id="rId3" display="0"/>
    <hyperlink ref="T1716" r:id="rId3" display="0"/>
    <hyperlink ref="T1720" r:id="rId3" display="0"/>
    <hyperlink ref="T1724" r:id="rId3" display="0"/>
    <hyperlink ref="T1725" r:id="rId3" display="0"/>
    <hyperlink ref="T1726" r:id="rId3" display="0"/>
    <hyperlink ref="T1727" r:id="rId3" display="0"/>
    <hyperlink ref="T1728" r:id="rId3" display="0"/>
    <hyperlink ref="T1729" r:id="rId3" display="0"/>
    <hyperlink ref="T1736" r:id="rId3" display="0"/>
    <hyperlink ref="T1739" r:id="rId3" display="0"/>
    <hyperlink ref="T1741" r:id="rId3" display="0"/>
    <hyperlink ref="T1742" r:id="rId3" display="0"/>
    <hyperlink ref="T1749" r:id="rId3" display="0"/>
    <hyperlink ref="T1751" r:id="rId3" display="0"/>
    <hyperlink ref="T1758" r:id="rId3" display="0"/>
    <hyperlink ref="T1763" r:id="rId3" display="0"/>
    <hyperlink ref="T1766" r:id="rId3" display="0"/>
    <hyperlink ref="T1771" r:id="rId3" display="0"/>
    <hyperlink ref="T1773" r:id="rId3" display="0"/>
    <hyperlink ref="T1776" r:id="rId3" display="0"/>
    <hyperlink ref="T1777" r:id="rId3" display="0"/>
    <hyperlink ref="T1785" r:id="rId3" display="0"/>
    <hyperlink ref="T1799" r:id="rId3" display="0"/>
    <hyperlink ref="T1803" r:id="rId3" display="0"/>
    <hyperlink ref="T1809" r:id="rId3" display="0"/>
    <hyperlink ref="T1821" r:id="rId3" display="0"/>
    <hyperlink ref="T1824" r:id="rId3" display="0"/>
    <hyperlink ref="T1825" r:id="rId3" display="0"/>
    <hyperlink ref="T1829" r:id="rId3" display="0"/>
    <hyperlink ref="T2154" r:id="rId3" display="0"/>
    <hyperlink ref="T2162" r:id="rId3" display="0"/>
    <hyperlink ref="T2163" r:id="rId3" display="0"/>
    <hyperlink ref="T2164" r:id="rId3" display="0"/>
    <hyperlink ref="T2165" r:id="rId3" display="0"/>
    <hyperlink ref="T2166" r:id="rId3" display="0"/>
    <hyperlink ref="T2167" r:id="rId3" display="0"/>
    <hyperlink ref="T2169" r:id="rId3" display="0"/>
    <hyperlink ref="T2170" r:id="rId3" display="0"/>
    <hyperlink ref="T2178" r:id="rId3" display="0"/>
    <hyperlink ref="T2181" r:id="rId3" display="0"/>
    <hyperlink ref="T2185" r:id="rId3" display="0"/>
    <hyperlink ref="T2193" r:id="rId3" display="0"/>
    <hyperlink ref="T2194" r:id="rId3" display="0"/>
    <hyperlink ref="T2237" r:id="rId3" display="0"/>
    <hyperlink ref="T2242" r:id="rId3" display="0"/>
    <hyperlink ref="T2322" r:id="rId3" display="0"/>
    <hyperlink ref="T2323" r:id="rId3" display="0"/>
    <hyperlink ref="T2325" r:id="rId3" display="0"/>
    <hyperlink ref="T2329" r:id="rId3" display="0"/>
    <hyperlink ref="T2336" r:id="rId3" display="0"/>
    <hyperlink ref="T2345" r:id="rId3" display="0"/>
    <hyperlink ref="T2348" r:id="rId3" display="0"/>
    <hyperlink ref="T2352" r:id="rId3" display="0"/>
    <hyperlink ref="T2360" r:id="rId3" display="0"/>
    <hyperlink ref="T2364" r:id="rId3" display="0"/>
    <hyperlink ref="T2371" r:id="rId3" display="0"/>
    <hyperlink ref="T2375" r:id="rId3" display="0"/>
    <hyperlink ref="T2398" r:id="rId3" display="0"/>
    <hyperlink ref="T2399" r:id="rId3" display="0"/>
    <hyperlink ref="T2415" r:id="rId3" display="0"/>
    <hyperlink ref="T2422" r:id="rId3" display="0"/>
    <hyperlink ref="T2435" r:id="rId3" display="0"/>
    <hyperlink ref="T2297" r:id="rId3" display="0"/>
    <hyperlink ref="T104" r:id="rId3" display="0"/>
    <hyperlink ref="T2380" r:id="rId3" display="0"/>
    <hyperlink ref="T1065" r:id="rId3" display="0"/>
  </hyperlinks>
  <pageMargins left="0.75" right="0.75" top="1" bottom="1" header="0.5" footer="0.5"/>
  <pageSetup paperSize="9" orientation="portrait"/>
  <headerFooter/>
  <ignoredErrors>
    <ignoredError sqref="AF2690 AF1421 AF2041:AF2043 AG1214 AF1223 AP810 AP512:AP515 AF190 AF262 AF2397 M89 AF1155:AF1156 AG959 AF1269 AF1296 AF1185:AF1186 AN2643" formula="1"/>
  </ignoredErrors>
  <legacyDrawing r:id="rId2"/>
  <extLst>
    <ext xmlns:x14="http://schemas.microsoft.com/office/spreadsheetml/2009/9/main" uri="{78C0D931-6437-407d-A8EE-F0AAD7539E65}">
      <x14:conditionalFormattings>
        <x14:conditionalFormatting xmlns:xm="http://schemas.microsoft.com/office/excel/2006/main">
          <x14:cfRule type="dataBar" id="{f01b9f06-c69c-43c4-8b53-11f35676f373}">
            <x14:dataBar minLength="0" maxLength="100" border="1" negativeBarBorderColorSameAsPositive="0">
              <x14:cfvo type="autoMin"/>
              <x14:cfvo type="autoMax"/>
              <x14:borderColor rgb="FF008AEF"/>
              <x14:negativeFillColor rgb="FFFF0000"/>
              <x14:negativeBorderColor rgb="FFFF0000"/>
              <x14:axisColor rgb="FF000000"/>
            </x14:dataBar>
          </x14:cfRule>
          <xm:sqref>BA2:BB2 BE2:BN2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2643"/>
  <sheetViews>
    <sheetView zoomScale="70" zoomScaleNormal="70" topLeftCell="Y3" workbookViewId="0">
      <pane ySplit="1" topLeftCell="A1756" activePane="bottomLeft" state="frozen"/>
      <selection/>
      <selection pane="bottomLeft" activeCell="CB1847" sqref="CB1847:CB1848"/>
    </sheetView>
  </sheetViews>
  <sheetFormatPr defaultColWidth="9" defaultRowHeight="15.2"/>
  <cols>
    <col min="1" max="1" width="7.75" style="63" customWidth="1"/>
    <col min="2" max="2" width="10.625" style="63" customWidth="1"/>
    <col min="3" max="3" width="10.625" style="64" customWidth="1"/>
    <col min="4" max="4" width="10.625" style="6" hidden="1" customWidth="1"/>
    <col min="5" max="5" width="17.25" style="63" customWidth="1"/>
    <col min="6" max="6" width="18.375" style="63" customWidth="1"/>
    <col min="7" max="7" width="10.625" style="63" customWidth="1"/>
    <col min="8" max="8" width="17.25" style="63" customWidth="1"/>
    <col min="9" max="9" width="12.5" style="63" customWidth="1"/>
    <col min="10" max="10" width="10.625" style="63" customWidth="1"/>
    <col min="11" max="11" width="13.125" style="65" customWidth="1"/>
    <col min="12" max="12" width="14.375" style="63" customWidth="1"/>
    <col min="13" max="13" width="6.375" style="66" customWidth="1"/>
    <col min="14" max="14" width="29.125" style="63" customWidth="1"/>
    <col min="15" max="15" width="11.375" style="67" customWidth="1"/>
    <col min="16" max="16" width="12.125" style="68" customWidth="1"/>
    <col min="17" max="17" width="11.5" style="68" customWidth="1"/>
    <col min="18" max="19" width="10.9230769230769" style="67" customWidth="1"/>
    <col min="20" max="20" width="10.9230769230769" style="68" customWidth="1"/>
    <col min="21" max="21" width="10.9230769230769" style="67" customWidth="1"/>
    <col min="22" max="22" width="12.9711538461538" style="68" customWidth="1"/>
    <col min="23" max="23" width="10.4711538461538" style="67" customWidth="1"/>
    <col min="24" max="24" width="12.625" style="69" customWidth="1"/>
    <col min="25" max="25" width="10.9230769230769" style="70" customWidth="1"/>
    <col min="26" max="26" width="10.9230769230769" style="65" customWidth="1"/>
    <col min="27" max="27" width="13.5" style="67" customWidth="1"/>
    <col min="28" max="35" width="10.9230769230769" style="63" customWidth="1"/>
    <col min="36" max="16384" width="9" style="63"/>
  </cols>
  <sheetData>
    <row r="1" s="1" customFormat="1" ht="48" hidden="1" customHeight="1" spans="1:35">
      <c r="A1" s="71" t="s">
        <v>4557</v>
      </c>
      <c r="B1" s="72"/>
      <c r="C1" s="73"/>
      <c r="D1" s="72"/>
      <c r="E1" s="72"/>
      <c r="F1" s="72"/>
      <c r="G1" s="72"/>
      <c r="H1" s="72"/>
      <c r="I1" s="72"/>
      <c r="J1" s="72"/>
      <c r="K1" s="142"/>
      <c r="L1" s="72"/>
      <c r="M1" s="162"/>
      <c r="N1" s="72" t="s">
        <v>4558</v>
      </c>
      <c r="O1" s="72"/>
      <c r="P1" s="142">
        <v>58000</v>
      </c>
      <c r="Q1" s="225"/>
      <c r="R1" s="72"/>
      <c r="S1" s="72"/>
      <c r="T1" s="142"/>
      <c r="U1" s="72"/>
      <c r="V1" s="142"/>
      <c r="W1" s="72"/>
      <c r="X1" s="225"/>
      <c r="Y1" s="33"/>
      <c r="Z1" s="142"/>
      <c r="AA1" s="72"/>
      <c r="AB1" s="72"/>
      <c r="AC1" s="72"/>
      <c r="AD1" s="72"/>
      <c r="AE1" s="72"/>
      <c r="AF1" s="72"/>
      <c r="AG1" s="72"/>
      <c r="AH1" s="72"/>
      <c r="AI1" s="72"/>
    </row>
    <row r="2" s="1" customFormat="1" ht="39.75" hidden="1" customHeight="1" spans="1:35">
      <c r="A2" s="74" t="s">
        <v>1</v>
      </c>
      <c r="B2" s="75"/>
      <c r="C2" s="76"/>
      <c r="D2" s="77"/>
      <c r="E2" s="122"/>
      <c r="F2" s="77"/>
      <c r="G2" s="77"/>
      <c r="H2" s="77"/>
      <c r="I2" s="77"/>
      <c r="J2" s="77"/>
      <c r="K2" s="143"/>
      <c r="L2" s="77"/>
      <c r="M2" s="122" t="s">
        <v>4559</v>
      </c>
      <c r="N2" s="163"/>
      <c r="O2" s="77"/>
      <c r="P2" s="143"/>
      <c r="Q2" s="226" t="s">
        <v>4</v>
      </c>
      <c r="R2" s="77"/>
      <c r="S2" s="75"/>
      <c r="T2" s="143"/>
      <c r="U2" s="77"/>
      <c r="V2" s="143"/>
      <c r="W2" s="75"/>
      <c r="X2" s="226"/>
      <c r="Y2" s="96"/>
      <c r="Z2" s="143"/>
      <c r="AA2" s="122"/>
      <c r="AB2" s="77" t="s">
        <v>4560</v>
      </c>
      <c r="AC2" s="77"/>
      <c r="AD2" s="77" t="s">
        <v>6</v>
      </c>
      <c r="AE2" s="77"/>
      <c r="AF2" s="77"/>
      <c r="AG2" s="77"/>
      <c r="AH2" s="77" t="s">
        <v>9</v>
      </c>
      <c r="AI2" s="77"/>
    </row>
    <row r="3" s="2" customFormat="1" ht="27" customHeight="1" spans="1:35">
      <c r="A3" s="77" t="s">
        <v>12</v>
      </c>
      <c r="B3" s="75" t="s">
        <v>13</v>
      </c>
      <c r="C3" s="78" t="s">
        <v>14</v>
      </c>
      <c r="D3" s="74" t="s">
        <v>15</v>
      </c>
      <c r="E3" s="122" t="s">
        <v>4561</v>
      </c>
      <c r="F3" s="77" t="s">
        <v>17</v>
      </c>
      <c r="G3" s="77" t="s">
        <v>4562</v>
      </c>
      <c r="H3" s="77" t="s">
        <v>4563</v>
      </c>
      <c r="I3" s="77" t="s">
        <v>21</v>
      </c>
      <c r="J3" s="77" t="s">
        <v>22</v>
      </c>
      <c r="K3" s="143" t="s">
        <v>4564</v>
      </c>
      <c r="L3" s="77" t="s">
        <v>38</v>
      </c>
      <c r="M3" s="122" t="s">
        <v>39</v>
      </c>
      <c r="N3" s="77" t="s">
        <v>40</v>
      </c>
      <c r="O3" s="77" t="s">
        <v>41</v>
      </c>
      <c r="P3" s="143" t="s">
        <v>42</v>
      </c>
      <c r="Q3" s="143" t="s">
        <v>4565</v>
      </c>
      <c r="R3" s="77" t="s">
        <v>44</v>
      </c>
      <c r="S3" s="227" t="s">
        <v>4566</v>
      </c>
      <c r="T3" s="143" t="s">
        <v>4567</v>
      </c>
      <c r="U3" s="77" t="s">
        <v>4568</v>
      </c>
      <c r="V3" s="143" t="s">
        <v>4569</v>
      </c>
      <c r="W3" s="75" t="s">
        <v>4570</v>
      </c>
      <c r="X3" s="271" t="s">
        <v>4571</v>
      </c>
      <c r="Y3" s="74" t="s">
        <v>4572</v>
      </c>
      <c r="Z3" s="143" t="s">
        <v>4573</v>
      </c>
      <c r="AA3" s="122" t="s">
        <v>53</v>
      </c>
      <c r="AB3" s="74" t="s">
        <v>4574</v>
      </c>
      <c r="AC3" s="347" t="s">
        <v>4306</v>
      </c>
      <c r="AD3" s="77" t="s">
        <v>4575</v>
      </c>
      <c r="AE3" s="77" t="s">
        <v>4576</v>
      </c>
      <c r="AF3" s="77" t="s">
        <v>4577</v>
      </c>
      <c r="AG3" s="77" t="s">
        <v>4578</v>
      </c>
      <c r="AH3" s="77" t="s">
        <v>64</v>
      </c>
      <c r="AI3" s="77" t="s">
        <v>4579</v>
      </c>
    </row>
    <row r="4" s="1" customFormat="1" ht="55.85" customHeight="1" spans="1:35">
      <c r="A4" s="79"/>
      <c r="B4" s="80" t="s">
        <v>69</v>
      </c>
      <c r="C4" s="81" t="s">
        <v>4580</v>
      </c>
      <c r="D4" s="82" t="s">
        <v>4581</v>
      </c>
      <c r="E4" s="82" t="s">
        <v>72</v>
      </c>
      <c r="F4" s="82" t="s">
        <v>73</v>
      </c>
      <c r="G4" s="82" t="s">
        <v>4582</v>
      </c>
      <c r="H4" s="102" t="s">
        <v>4583</v>
      </c>
      <c r="I4" s="102" t="s">
        <v>4584</v>
      </c>
      <c r="J4" s="102" t="s">
        <v>77</v>
      </c>
      <c r="K4" s="144" t="s">
        <v>4585</v>
      </c>
      <c r="L4" s="145"/>
      <c r="M4" s="164" t="s">
        <v>82</v>
      </c>
      <c r="N4" s="130" t="s">
        <v>83</v>
      </c>
      <c r="O4" s="165" t="s">
        <v>84</v>
      </c>
      <c r="P4" s="166" t="s">
        <v>85</v>
      </c>
      <c r="Q4" s="228" t="s">
        <v>4586</v>
      </c>
      <c r="R4" s="229" t="s">
        <v>4587</v>
      </c>
      <c r="S4" s="230" t="s">
        <v>4588</v>
      </c>
      <c r="T4" s="231" t="s">
        <v>4589</v>
      </c>
      <c r="U4" s="82" t="s">
        <v>4590</v>
      </c>
      <c r="V4" s="82" t="s">
        <v>89</v>
      </c>
      <c r="W4" s="234" t="s">
        <v>91</v>
      </c>
      <c r="X4" s="102" t="s">
        <v>89</v>
      </c>
      <c r="Y4" s="307" t="s">
        <v>4591</v>
      </c>
      <c r="Z4" s="308" t="s">
        <v>4592</v>
      </c>
      <c r="AA4" s="308"/>
      <c r="AB4" s="309"/>
      <c r="AC4" s="348"/>
      <c r="AD4" s="349" t="s">
        <v>4593</v>
      </c>
      <c r="AE4" s="218" t="s">
        <v>4594</v>
      </c>
      <c r="AF4" s="218" t="s">
        <v>4595</v>
      </c>
      <c r="AG4" s="352" t="s">
        <v>4596</v>
      </c>
      <c r="AH4" s="353" t="s">
        <v>4597</v>
      </c>
      <c r="AI4" s="316" t="s">
        <v>107</v>
      </c>
    </row>
    <row r="5" s="1" customFormat="1" ht="57" customHeight="1" spans="1:35">
      <c r="A5" s="83" t="s">
        <v>173</v>
      </c>
      <c r="B5" s="84">
        <v>43499</v>
      </c>
      <c r="C5" s="85" t="s">
        <v>4598</v>
      </c>
      <c r="D5" s="86" t="s">
        <v>113</v>
      </c>
      <c r="E5" s="86" t="s">
        <v>4599</v>
      </c>
      <c r="F5" s="86" t="s">
        <v>4600</v>
      </c>
      <c r="G5" s="86" t="s">
        <v>658</v>
      </c>
      <c r="H5" s="86" t="s">
        <v>4601</v>
      </c>
      <c r="I5" s="83">
        <v>146121.75</v>
      </c>
      <c r="J5" s="86" t="s">
        <v>4602</v>
      </c>
      <c r="K5" s="146">
        <v>2557130.63</v>
      </c>
      <c r="L5" s="83" t="s">
        <v>26</v>
      </c>
      <c r="M5" s="83">
        <v>1</v>
      </c>
      <c r="N5" s="83" t="s">
        <v>2913</v>
      </c>
      <c r="O5" s="167">
        <v>0.2</v>
      </c>
      <c r="P5" s="83">
        <v>511426.13</v>
      </c>
      <c r="Q5" s="86">
        <v>511426.13</v>
      </c>
      <c r="R5" s="86" t="s">
        <v>4603</v>
      </c>
      <c r="S5" s="84">
        <v>43633</v>
      </c>
      <c r="T5" s="86">
        <v>511426.13</v>
      </c>
      <c r="U5" s="272">
        <v>43633</v>
      </c>
      <c r="V5" s="86">
        <v>511426.13</v>
      </c>
      <c r="W5" s="84">
        <v>43761</v>
      </c>
      <c r="X5" s="83">
        <v>300000</v>
      </c>
      <c r="Y5" s="245">
        <v>43804</v>
      </c>
      <c r="Z5" s="310">
        <v>0</v>
      </c>
      <c r="AA5" s="83" t="s">
        <v>4604</v>
      </c>
      <c r="AB5" s="311"/>
      <c r="AC5" s="311"/>
      <c r="AD5" s="83">
        <f>SUM(Q5:Q14)</f>
        <v>2557130.63</v>
      </c>
      <c r="AE5" s="83">
        <f>SUM(V5:V14)</f>
        <v>2301417.57</v>
      </c>
      <c r="AF5" s="83">
        <f>SUM(X5:X14)</f>
        <v>2301417.57</v>
      </c>
      <c r="AG5" s="83">
        <f>K5-AD5</f>
        <v>0</v>
      </c>
      <c r="AH5" s="102"/>
      <c r="AI5" s="102"/>
    </row>
    <row r="6" s="1" customFormat="1" ht="24" customHeight="1" spans="1:35">
      <c r="A6" s="83"/>
      <c r="B6" s="84"/>
      <c r="C6" s="85"/>
      <c r="D6" s="86"/>
      <c r="E6" s="86"/>
      <c r="F6" s="86"/>
      <c r="G6" s="86"/>
      <c r="H6" s="86"/>
      <c r="I6" s="83"/>
      <c r="J6" s="86"/>
      <c r="K6" s="146"/>
      <c r="L6" s="83"/>
      <c r="M6" s="83"/>
      <c r="N6" s="83"/>
      <c r="O6" s="167"/>
      <c r="P6" s="83"/>
      <c r="Q6" s="86"/>
      <c r="R6" s="86"/>
      <c r="S6" s="84"/>
      <c r="T6" s="86"/>
      <c r="U6" s="272"/>
      <c r="V6" s="86"/>
      <c r="W6" s="84"/>
      <c r="X6" s="83">
        <v>211426.13</v>
      </c>
      <c r="Y6" s="245">
        <v>43847</v>
      </c>
      <c r="Z6" s="310">
        <v>0</v>
      </c>
      <c r="AA6" s="83" t="s">
        <v>4605</v>
      </c>
      <c r="AB6" s="311"/>
      <c r="AC6" s="311"/>
      <c r="AD6" s="83"/>
      <c r="AE6" s="83"/>
      <c r="AF6" s="83"/>
      <c r="AG6" s="83"/>
      <c r="AH6" s="83"/>
      <c r="AI6" s="83"/>
    </row>
    <row r="7" s="1" customFormat="1" ht="25.5" customHeight="1" spans="1:35">
      <c r="A7" s="83"/>
      <c r="B7" s="84"/>
      <c r="C7" s="85"/>
      <c r="D7" s="86"/>
      <c r="E7" s="86"/>
      <c r="F7" s="86"/>
      <c r="G7" s="86"/>
      <c r="H7" s="86"/>
      <c r="I7" s="83"/>
      <c r="J7" s="86"/>
      <c r="K7" s="146"/>
      <c r="L7" s="83"/>
      <c r="M7" s="83">
        <v>2</v>
      </c>
      <c r="N7" s="168" t="s">
        <v>317</v>
      </c>
      <c r="O7" s="167">
        <v>0.1</v>
      </c>
      <c r="P7" s="83">
        <v>255713.06</v>
      </c>
      <c r="Q7" s="86">
        <v>255713.06</v>
      </c>
      <c r="R7" s="86" t="s">
        <v>4603</v>
      </c>
      <c r="S7" s="84">
        <v>43679</v>
      </c>
      <c r="T7" s="86">
        <v>255713.06</v>
      </c>
      <c r="U7" s="272">
        <v>43678</v>
      </c>
      <c r="V7" s="86">
        <v>255713.06</v>
      </c>
      <c r="W7" s="84">
        <v>44001</v>
      </c>
      <c r="X7" s="83">
        <v>255713.06</v>
      </c>
      <c r="Y7" s="245">
        <v>44010</v>
      </c>
      <c r="Z7" s="83">
        <f>Q7-X7</f>
        <v>0</v>
      </c>
      <c r="AA7" s="311"/>
      <c r="AB7" s="311"/>
      <c r="AC7" s="311"/>
      <c r="AD7" s="83"/>
      <c r="AE7" s="83"/>
      <c r="AF7" s="83"/>
      <c r="AG7" s="83"/>
      <c r="AH7" s="83"/>
      <c r="AI7" s="83"/>
    </row>
    <row r="8" s="1" customFormat="1" ht="15.75" customHeight="1" spans="1:35">
      <c r="A8" s="83"/>
      <c r="B8" s="84"/>
      <c r="C8" s="85"/>
      <c r="D8" s="86"/>
      <c r="E8" s="86"/>
      <c r="F8" s="86"/>
      <c r="G8" s="86"/>
      <c r="H8" s="86"/>
      <c r="I8" s="83"/>
      <c r="J8" s="86"/>
      <c r="K8" s="146"/>
      <c r="L8" s="83"/>
      <c r="M8" s="87">
        <v>3</v>
      </c>
      <c r="N8" s="169" t="s">
        <v>319</v>
      </c>
      <c r="O8" s="167">
        <v>0.3</v>
      </c>
      <c r="P8" s="87">
        <v>767139.19</v>
      </c>
      <c r="Q8" s="232">
        <v>767139.19</v>
      </c>
      <c r="R8" s="169" t="s">
        <v>4603</v>
      </c>
      <c r="S8" s="233">
        <v>43746</v>
      </c>
      <c r="T8" s="169">
        <v>767139.19</v>
      </c>
      <c r="U8" s="273">
        <v>43745</v>
      </c>
      <c r="V8" s="86">
        <v>255713.06</v>
      </c>
      <c r="W8" s="84">
        <v>44053</v>
      </c>
      <c r="X8" s="83">
        <v>255713.06</v>
      </c>
      <c r="Y8" s="245">
        <v>44101</v>
      </c>
      <c r="Z8" s="146"/>
      <c r="AA8" s="311"/>
      <c r="AB8" s="311"/>
      <c r="AC8" s="311"/>
      <c r="AD8" s="83"/>
      <c r="AE8" s="83"/>
      <c r="AF8" s="83"/>
      <c r="AG8" s="83"/>
      <c r="AH8" s="83"/>
      <c r="AI8" s="83"/>
    </row>
    <row r="9" s="1" customFormat="1" ht="28.5" customHeight="1" spans="1:35">
      <c r="A9" s="83"/>
      <c r="B9" s="84"/>
      <c r="C9" s="85"/>
      <c r="D9" s="86"/>
      <c r="E9" s="86"/>
      <c r="F9" s="86"/>
      <c r="G9" s="86"/>
      <c r="H9" s="86"/>
      <c r="I9" s="83"/>
      <c r="J9" s="86"/>
      <c r="K9" s="146"/>
      <c r="L9" s="83"/>
      <c r="M9" s="102"/>
      <c r="N9" s="82"/>
      <c r="O9" s="167"/>
      <c r="P9" s="102"/>
      <c r="Q9" s="144"/>
      <c r="R9" s="82"/>
      <c r="S9" s="234"/>
      <c r="T9" s="82"/>
      <c r="U9" s="274"/>
      <c r="V9" s="86">
        <v>511426.13</v>
      </c>
      <c r="W9" s="84">
        <v>44182</v>
      </c>
      <c r="X9" s="83">
        <v>511426.13</v>
      </c>
      <c r="Y9" s="245">
        <v>44190</v>
      </c>
      <c r="Z9" s="146"/>
      <c r="AA9" s="311"/>
      <c r="AB9" s="311"/>
      <c r="AC9" s="311"/>
      <c r="AD9" s="83"/>
      <c r="AE9" s="83"/>
      <c r="AF9" s="83"/>
      <c r="AG9" s="83"/>
      <c r="AH9" s="83"/>
      <c r="AI9" s="83"/>
    </row>
    <row r="10" s="1" customFormat="1" ht="27.75" customHeight="1" spans="1:35">
      <c r="A10" s="83"/>
      <c r="B10" s="84"/>
      <c r="C10" s="85"/>
      <c r="D10" s="86"/>
      <c r="E10" s="86"/>
      <c r="F10" s="86"/>
      <c r="G10" s="86"/>
      <c r="H10" s="86"/>
      <c r="I10" s="83"/>
      <c r="J10" s="86"/>
      <c r="K10" s="146"/>
      <c r="L10" s="83"/>
      <c r="M10" s="87">
        <v>4</v>
      </c>
      <c r="N10" s="169" t="s">
        <v>320</v>
      </c>
      <c r="O10" s="167">
        <v>0.2</v>
      </c>
      <c r="P10" s="87">
        <v>511426.13</v>
      </c>
      <c r="Q10" s="169">
        <v>511426.13</v>
      </c>
      <c r="R10" s="169" t="s">
        <v>4603</v>
      </c>
      <c r="S10" s="88">
        <v>43771</v>
      </c>
      <c r="T10" s="169">
        <v>511426.13</v>
      </c>
      <c r="U10" s="273">
        <v>43770</v>
      </c>
      <c r="V10" s="86">
        <v>255000</v>
      </c>
      <c r="W10" s="84">
        <v>44387</v>
      </c>
      <c r="X10" s="132">
        <v>255000</v>
      </c>
      <c r="Y10" s="241">
        <v>44402</v>
      </c>
      <c r="Z10" s="83"/>
      <c r="AA10" s="311"/>
      <c r="AB10" s="311"/>
      <c r="AC10" s="311"/>
      <c r="AD10" s="83"/>
      <c r="AE10" s="83"/>
      <c r="AF10" s="83"/>
      <c r="AG10" s="83"/>
      <c r="AH10" s="83"/>
      <c r="AI10" s="83"/>
    </row>
    <row r="11" s="1" customFormat="1" ht="27.75" customHeight="1" spans="1:35">
      <c r="A11" s="83"/>
      <c r="B11" s="84"/>
      <c r="C11" s="85"/>
      <c r="D11" s="86"/>
      <c r="E11" s="86"/>
      <c r="F11" s="86"/>
      <c r="G11" s="86"/>
      <c r="H11" s="86"/>
      <c r="I11" s="83"/>
      <c r="J11" s="86"/>
      <c r="K11" s="146"/>
      <c r="L11" s="83"/>
      <c r="M11" s="102"/>
      <c r="N11" s="82"/>
      <c r="O11" s="167"/>
      <c r="P11" s="102"/>
      <c r="Q11" s="82"/>
      <c r="R11" s="82"/>
      <c r="S11" s="98"/>
      <c r="T11" s="82"/>
      <c r="U11" s="274"/>
      <c r="V11" s="86">
        <v>256426.13</v>
      </c>
      <c r="W11" s="84">
        <v>44586.13</v>
      </c>
      <c r="X11" s="86">
        <v>256426.13</v>
      </c>
      <c r="Y11" s="241">
        <v>44617</v>
      </c>
      <c r="Z11" s="83"/>
      <c r="AA11" s="311"/>
      <c r="AB11" s="311"/>
      <c r="AC11" s="311"/>
      <c r="AD11" s="83"/>
      <c r="AE11" s="83"/>
      <c r="AF11" s="83"/>
      <c r="AG11" s="83"/>
      <c r="AH11" s="83"/>
      <c r="AI11" s="83"/>
    </row>
    <row r="12" s="1" customFormat="1" ht="25.5" customHeight="1" spans="1:35">
      <c r="A12" s="83"/>
      <c r="B12" s="84"/>
      <c r="C12" s="85"/>
      <c r="D12" s="86"/>
      <c r="E12" s="86"/>
      <c r="F12" s="86"/>
      <c r="G12" s="86"/>
      <c r="H12" s="86"/>
      <c r="I12" s="83"/>
      <c r="J12" s="86"/>
      <c r="K12" s="146"/>
      <c r="L12" s="83"/>
      <c r="M12" s="83">
        <v>5</v>
      </c>
      <c r="N12" s="168" t="s">
        <v>322</v>
      </c>
      <c r="O12" s="167">
        <v>0.1</v>
      </c>
      <c r="P12" s="83">
        <v>255713.06</v>
      </c>
      <c r="Q12" s="131">
        <v>255713.06</v>
      </c>
      <c r="R12" s="131" t="s">
        <v>4603</v>
      </c>
      <c r="S12" s="235">
        <v>44552</v>
      </c>
      <c r="T12" s="86">
        <v>255713.06</v>
      </c>
      <c r="U12" s="272">
        <v>44552</v>
      </c>
      <c r="V12" s="86">
        <v>255713.06</v>
      </c>
      <c r="W12" s="84">
        <v>44652</v>
      </c>
      <c r="X12" s="132">
        <v>255713.06</v>
      </c>
      <c r="Y12" s="241">
        <v>44663</v>
      </c>
      <c r="Z12" s="83">
        <f>Q12-X12</f>
        <v>0</v>
      </c>
      <c r="AA12" s="311"/>
      <c r="AB12" s="311"/>
      <c r="AC12" s="311"/>
      <c r="AD12" s="83"/>
      <c r="AE12" s="83"/>
      <c r="AF12" s="83"/>
      <c r="AG12" s="83"/>
      <c r="AH12" s="83"/>
      <c r="AI12" s="83"/>
    </row>
    <row r="13" s="1" customFormat="1" ht="25.5" customHeight="1" spans="1:35">
      <c r="A13" s="83"/>
      <c r="B13" s="84"/>
      <c r="C13" s="85"/>
      <c r="D13" s="86"/>
      <c r="E13" s="86"/>
      <c r="F13" s="86"/>
      <c r="G13" s="86"/>
      <c r="H13" s="86"/>
      <c r="I13" s="83"/>
      <c r="J13" s="86"/>
      <c r="K13" s="146"/>
      <c r="L13" s="83"/>
      <c r="M13" s="87">
        <v>6</v>
      </c>
      <c r="N13" s="169" t="s">
        <v>323</v>
      </c>
      <c r="O13" s="167">
        <v>0.1</v>
      </c>
      <c r="P13" s="87">
        <v>255713.06</v>
      </c>
      <c r="Q13" s="131">
        <v>204570.45</v>
      </c>
      <c r="R13" s="131" t="s">
        <v>4603</v>
      </c>
      <c r="S13" s="235">
        <v>44915</v>
      </c>
      <c r="T13" s="86">
        <v>204570.45</v>
      </c>
      <c r="U13" s="272">
        <v>44904</v>
      </c>
      <c r="V13" s="86"/>
      <c r="W13" s="84"/>
      <c r="X13" s="132"/>
      <c r="Y13" s="241"/>
      <c r="Z13" s="83"/>
      <c r="AA13" s="311"/>
      <c r="AB13" s="311"/>
      <c r="AC13" s="311"/>
      <c r="AD13" s="83"/>
      <c r="AE13" s="83"/>
      <c r="AF13" s="83"/>
      <c r="AG13" s="83"/>
      <c r="AH13" s="83"/>
      <c r="AI13" s="83"/>
    </row>
    <row r="14" s="1" customFormat="1" ht="24" customHeight="1" spans="1:35">
      <c r="A14" s="83"/>
      <c r="B14" s="84"/>
      <c r="C14" s="85"/>
      <c r="D14" s="86"/>
      <c r="E14" s="86"/>
      <c r="F14" s="86"/>
      <c r="G14" s="86"/>
      <c r="H14" s="86"/>
      <c r="I14" s="83"/>
      <c r="J14" s="86"/>
      <c r="K14" s="146"/>
      <c r="L14" s="87"/>
      <c r="M14" s="102"/>
      <c r="N14" s="170"/>
      <c r="O14" s="167"/>
      <c r="P14" s="102"/>
      <c r="Q14" s="131">
        <v>51142.61</v>
      </c>
      <c r="R14" s="131"/>
      <c r="S14" s="235"/>
      <c r="T14" s="86"/>
      <c r="U14" s="86"/>
      <c r="V14" s="169"/>
      <c r="W14" s="233"/>
      <c r="X14" s="87"/>
      <c r="Y14" s="312"/>
      <c r="Z14" s="87">
        <f>Q14-X14</f>
        <v>51142.61</v>
      </c>
      <c r="AA14" s="311"/>
      <c r="AB14" s="311"/>
      <c r="AC14" s="311"/>
      <c r="AD14" s="83"/>
      <c r="AE14" s="83"/>
      <c r="AF14" s="83"/>
      <c r="AG14" s="83"/>
      <c r="AH14" s="83"/>
      <c r="AI14" s="83"/>
    </row>
    <row r="15" s="1" customFormat="1" ht="30" customHeight="1" spans="1:35">
      <c r="A15" s="87" t="s">
        <v>173</v>
      </c>
      <c r="B15" s="88">
        <v>45659</v>
      </c>
      <c r="C15" s="89" t="s">
        <v>4123</v>
      </c>
      <c r="D15" s="87"/>
      <c r="E15" s="123" t="s">
        <v>4606</v>
      </c>
      <c r="F15" s="123" t="s">
        <v>4607</v>
      </c>
      <c r="G15" s="124" t="s">
        <v>286</v>
      </c>
      <c r="H15" s="123" t="s">
        <v>4608</v>
      </c>
      <c r="I15" s="87"/>
      <c r="J15" s="124" t="s">
        <v>4609</v>
      </c>
      <c r="K15" s="147">
        <v>736000</v>
      </c>
      <c r="L15" s="128" t="s">
        <v>26</v>
      </c>
      <c r="M15" s="171">
        <v>7</v>
      </c>
      <c r="N15" s="172" t="s">
        <v>4610</v>
      </c>
      <c r="O15" s="173">
        <v>1</v>
      </c>
      <c r="P15" s="174">
        <v>565000</v>
      </c>
      <c r="Q15" s="194">
        <v>565000</v>
      </c>
      <c r="R15" s="124" t="s">
        <v>122</v>
      </c>
      <c r="S15" s="236">
        <v>45663</v>
      </c>
      <c r="T15" s="237">
        <v>565000</v>
      </c>
      <c r="U15" s="275">
        <v>45663</v>
      </c>
      <c r="V15" s="128">
        <v>105000</v>
      </c>
      <c r="W15" s="276">
        <v>45666</v>
      </c>
      <c r="X15" s="128">
        <v>105000</v>
      </c>
      <c r="Y15" s="313">
        <v>45684</v>
      </c>
      <c r="Z15" s="96"/>
      <c r="AA15" s="314"/>
      <c r="AB15" s="311"/>
      <c r="AC15" s="311"/>
      <c r="AD15" s="83">
        <f>SUM(Q15:Q22)</f>
        <v>1167000</v>
      </c>
      <c r="AE15" s="83">
        <f>SUM(V15:V22)</f>
        <v>1167000</v>
      </c>
      <c r="AF15" s="83">
        <f>SUM(X15:X22)</f>
        <v>1629000</v>
      </c>
      <c r="AG15" s="83">
        <f>K15-AD15</f>
        <v>-431000</v>
      </c>
      <c r="AH15" s="83" t="s">
        <v>197</v>
      </c>
      <c r="AI15" s="83" t="s">
        <v>4611</v>
      </c>
    </row>
    <row r="16" s="1" customFormat="1" ht="30" customHeight="1" spans="1:35">
      <c r="A16" s="90"/>
      <c r="B16" s="91"/>
      <c r="C16" s="92"/>
      <c r="D16" s="90"/>
      <c r="E16" s="125"/>
      <c r="F16" s="125"/>
      <c r="G16" s="126"/>
      <c r="H16" s="125"/>
      <c r="I16" s="90"/>
      <c r="J16" s="126"/>
      <c r="K16" s="148"/>
      <c r="L16" s="128"/>
      <c r="M16" s="175"/>
      <c r="N16" s="176"/>
      <c r="O16" s="173"/>
      <c r="P16" s="177"/>
      <c r="Q16" s="238"/>
      <c r="R16" s="126"/>
      <c r="S16" s="239"/>
      <c r="T16" s="237"/>
      <c r="U16" s="277"/>
      <c r="V16" s="128">
        <v>125000</v>
      </c>
      <c r="W16" s="276">
        <v>45666</v>
      </c>
      <c r="X16" s="128">
        <v>125000</v>
      </c>
      <c r="Y16" s="313">
        <v>45684</v>
      </c>
      <c r="Z16" s="96"/>
      <c r="AA16" s="314"/>
      <c r="AB16" s="311"/>
      <c r="AC16" s="311"/>
      <c r="AD16" s="83"/>
      <c r="AE16" s="83"/>
      <c r="AF16" s="83"/>
      <c r="AG16" s="83"/>
      <c r="AH16" s="83"/>
      <c r="AI16" s="83"/>
    </row>
    <row r="17" s="1" customFormat="1" ht="30" customHeight="1" spans="1:35">
      <c r="A17" s="90"/>
      <c r="B17" s="91"/>
      <c r="C17" s="92"/>
      <c r="D17" s="90"/>
      <c r="E17" s="125"/>
      <c r="F17" s="125"/>
      <c r="G17" s="126"/>
      <c r="H17" s="125"/>
      <c r="I17" s="90"/>
      <c r="J17" s="126"/>
      <c r="K17" s="148"/>
      <c r="L17" s="128"/>
      <c r="M17" s="175"/>
      <c r="N17" s="176"/>
      <c r="O17" s="173"/>
      <c r="P17" s="177"/>
      <c r="Q17" s="238"/>
      <c r="R17" s="126"/>
      <c r="S17" s="239"/>
      <c r="T17" s="237"/>
      <c r="U17" s="277"/>
      <c r="V17" s="128">
        <v>135000</v>
      </c>
      <c r="W17" s="276">
        <v>45706</v>
      </c>
      <c r="X17" s="128">
        <v>135000</v>
      </c>
      <c r="Y17" s="276">
        <v>45715</v>
      </c>
      <c r="Z17" s="96"/>
      <c r="AA17" s="314"/>
      <c r="AB17" s="311"/>
      <c r="AC17" s="311"/>
      <c r="AD17" s="83"/>
      <c r="AE17" s="83"/>
      <c r="AF17" s="83"/>
      <c r="AG17" s="83"/>
      <c r="AH17" s="83"/>
      <c r="AI17" s="83"/>
    </row>
    <row r="18" s="1" customFormat="1" ht="30" customHeight="1" spans="1:35">
      <c r="A18" s="90"/>
      <c r="B18" s="91"/>
      <c r="C18" s="92"/>
      <c r="D18" s="90"/>
      <c r="E18" s="125"/>
      <c r="F18" s="125"/>
      <c r="G18" s="126"/>
      <c r="H18" s="125"/>
      <c r="I18" s="90"/>
      <c r="J18" s="126"/>
      <c r="K18" s="148"/>
      <c r="L18" s="128"/>
      <c r="M18" s="178"/>
      <c r="N18" s="179"/>
      <c r="O18" s="173"/>
      <c r="P18" s="180"/>
      <c r="Q18" s="196"/>
      <c r="R18" s="130"/>
      <c r="S18" s="240"/>
      <c r="T18" s="237"/>
      <c r="U18" s="278"/>
      <c r="V18" s="128">
        <f>T15-V15-V16-V17</f>
        <v>200000</v>
      </c>
      <c r="W18" s="276">
        <v>45722</v>
      </c>
      <c r="X18" s="128">
        <v>200000</v>
      </c>
      <c r="Y18" s="276">
        <v>45744</v>
      </c>
      <c r="Z18" s="96"/>
      <c r="AA18" s="314"/>
      <c r="AB18" s="311"/>
      <c r="AC18" s="311"/>
      <c r="AD18" s="83"/>
      <c r="AE18" s="83"/>
      <c r="AF18" s="83"/>
      <c r="AG18" s="83"/>
      <c r="AH18" s="83"/>
      <c r="AI18" s="83"/>
    </row>
    <row r="19" s="1" customFormat="1" ht="30" customHeight="1" spans="1:35">
      <c r="A19" s="90"/>
      <c r="B19" s="91"/>
      <c r="C19" s="92"/>
      <c r="D19" s="90"/>
      <c r="E19" s="125"/>
      <c r="F19" s="125"/>
      <c r="G19" s="126"/>
      <c r="H19" s="125"/>
      <c r="I19" s="90"/>
      <c r="J19" s="126"/>
      <c r="K19" s="148"/>
      <c r="L19" s="149" t="s">
        <v>27</v>
      </c>
      <c r="M19" s="181">
        <v>2</v>
      </c>
      <c r="N19" s="172" t="s">
        <v>4612</v>
      </c>
      <c r="O19" s="182">
        <v>1</v>
      </c>
      <c r="P19" s="183">
        <v>70000</v>
      </c>
      <c r="Q19" s="190">
        <v>70000</v>
      </c>
      <c r="R19" s="132" t="s">
        <v>122</v>
      </c>
      <c r="S19" s="241">
        <v>45663</v>
      </c>
      <c r="T19" s="190">
        <v>70000</v>
      </c>
      <c r="U19" s="279">
        <v>45663</v>
      </c>
      <c r="V19" s="128">
        <v>70000</v>
      </c>
      <c r="W19" s="276">
        <v>45666</v>
      </c>
      <c r="X19" s="128"/>
      <c r="Y19" s="276"/>
      <c r="Z19" s="96"/>
      <c r="AA19" s="314"/>
      <c r="AB19" s="311"/>
      <c r="AC19" s="311"/>
      <c r="AD19" s="83"/>
      <c r="AE19" s="83"/>
      <c r="AF19" s="83"/>
      <c r="AG19" s="83"/>
      <c r="AH19" s="83"/>
      <c r="AI19" s="83"/>
    </row>
    <row r="20" s="1" customFormat="1" ht="85.5" customHeight="1" spans="1:35">
      <c r="A20" s="93"/>
      <c r="B20" s="94">
        <v>45868</v>
      </c>
      <c r="C20" s="95" t="s">
        <v>4123</v>
      </c>
      <c r="D20" s="96"/>
      <c r="E20" s="127" t="s">
        <v>4613</v>
      </c>
      <c r="F20" s="127" t="s">
        <v>4614</v>
      </c>
      <c r="G20" s="128" t="s">
        <v>286</v>
      </c>
      <c r="H20" s="127" t="s">
        <v>4608</v>
      </c>
      <c r="I20" s="96"/>
      <c r="J20" s="149"/>
      <c r="K20" s="150">
        <v>2000000</v>
      </c>
      <c r="L20" s="149" t="s">
        <v>26</v>
      </c>
      <c r="M20" s="149">
        <v>14</v>
      </c>
      <c r="N20" s="172" t="s">
        <v>4615</v>
      </c>
      <c r="O20" s="184">
        <v>1</v>
      </c>
      <c r="P20" s="183">
        <v>280600</v>
      </c>
      <c r="Q20" s="190">
        <v>280600</v>
      </c>
      <c r="R20" s="132" t="s">
        <v>122</v>
      </c>
      <c r="S20" s="241">
        <v>45966</v>
      </c>
      <c r="T20" s="190">
        <v>280600</v>
      </c>
      <c r="U20" s="241">
        <v>45966</v>
      </c>
      <c r="V20" s="128">
        <v>280600</v>
      </c>
      <c r="W20" s="276">
        <v>45967</v>
      </c>
      <c r="X20" s="128">
        <v>280600</v>
      </c>
      <c r="Y20" s="313">
        <v>45989</v>
      </c>
      <c r="Z20" s="96"/>
      <c r="AA20" s="314"/>
      <c r="AB20" s="311"/>
      <c r="AC20" s="311"/>
      <c r="AD20" s="83"/>
      <c r="AE20" s="83"/>
      <c r="AF20" s="83"/>
      <c r="AG20" s="83"/>
      <c r="AH20" s="83"/>
      <c r="AI20" s="83"/>
    </row>
    <row r="21" s="1" customFormat="1" ht="85.5" customHeight="1" spans="1:35">
      <c r="A21" s="93"/>
      <c r="B21" s="94"/>
      <c r="C21" s="95"/>
      <c r="D21" s="96"/>
      <c r="E21" s="127"/>
      <c r="F21" s="127"/>
      <c r="G21" s="128"/>
      <c r="H21" s="127"/>
      <c r="I21" s="96"/>
      <c r="J21" s="151"/>
      <c r="K21" s="150"/>
      <c r="L21" s="152"/>
      <c r="M21" s="152"/>
      <c r="N21" s="179"/>
      <c r="O21" s="184"/>
      <c r="P21" s="183">
        <v>251400</v>
      </c>
      <c r="Q21" s="190">
        <v>251400</v>
      </c>
      <c r="R21" s="132" t="s">
        <v>122</v>
      </c>
      <c r="S21" s="241">
        <v>45966</v>
      </c>
      <c r="T21" s="190">
        <v>251400</v>
      </c>
      <c r="U21" s="241">
        <v>45966</v>
      </c>
      <c r="V21" s="128">
        <v>251400</v>
      </c>
      <c r="W21" s="276">
        <v>45967</v>
      </c>
      <c r="X21" s="280">
        <v>251400</v>
      </c>
      <c r="Y21" s="315">
        <v>46052</v>
      </c>
      <c r="Z21" s="96"/>
      <c r="AA21" s="314"/>
      <c r="AB21" s="311"/>
      <c r="AC21" s="311"/>
      <c r="AD21" s="83"/>
      <c r="AE21" s="83"/>
      <c r="AF21" s="83"/>
      <c r="AG21" s="83"/>
      <c r="AH21" s="83"/>
      <c r="AI21" s="83"/>
    </row>
    <row r="22" s="1" customFormat="1" ht="49.5" customHeight="1" spans="1:35">
      <c r="A22" s="97"/>
      <c r="B22" s="94"/>
      <c r="C22" s="95"/>
      <c r="D22" s="96"/>
      <c r="E22" s="127"/>
      <c r="F22" s="127"/>
      <c r="G22" s="128"/>
      <c r="H22" s="127"/>
      <c r="I22" s="96"/>
      <c r="J22" s="152"/>
      <c r="K22" s="150"/>
      <c r="L22" s="128"/>
      <c r="M22" s="128"/>
      <c r="N22" s="185"/>
      <c r="O22" s="184"/>
      <c r="P22" s="186">
        <f>K20-P20</f>
        <v>1719400</v>
      </c>
      <c r="Q22" s="242"/>
      <c r="R22" s="243"/>
      <c r="S22" s="244"/>
      <c r="T22" s="242"/>
      <c r="U22" s="281"/>
      <c r="V22" s="280"/>
      <c r="W22" s="282"/>
      <c r="X22" s="280">
        <v>532000</v>
      </c>
      <c r="Y22" s="315"/>
      <c r="Z22" s="96"/>
      <c r="AA22" s="314"/>
      <c r="AB22" s="311"/>
      <c r="AC22" s="311"/>
      <c r="AD22" s="83"/>
      <c r="AE22" s="83"/>
      <c r="AF22" s="83"/>
      <c r="AG22" s="83"/>
      <c r="AH22" s="83"/>
      <c r="AI22" s="83"/>
    </row>
    <row r="23" s="1" customFormat="1" ht="60.75" customHeight="1" spans="1:35">
      <c r="A23" s="83" t="s">
        <v>173</v>
      </c>
      <c r="B23" s="98">
        <v>45609</v>
      </c>
      <c r="C23" s="99" t="s">
        <v>4123</v>
      </c>
      <c r="D23" s="90"/>
      <c r="E23" s="129" t="s">
        <v>4616</v>
      </c>
      <c r="F23" s="129" t="s">
        <v>4617</v>
      </c>
      <c r="G23" s="130" t="s">
        <v>286</v>
      </c>
      <c r="H23" s="129" t="s">
        <v>4618</v>
      </c>
      <c r="I23" s="102"/>
      <c r="J23" s="130" t="s">
        <v>4619</v>
      </c>
      <c r="K23" s="153">
        <v>70000</v>
      </c>
      <c r="L23" s="152" t="s">
        <v>26</v>
      </c>
      <c r="M23" s="187">
        <v>1</v>
      </c>
      <c r="N23" s="188" t="s">
        <v>4620</v>
      </c>
      <c r="O23" s="189">
        <v>1</v>
      </c>
      <c r="P23" s="190">
        <v>70000</v>
      </c>
      <c r="Q23" s="190">
        <v>70000</v>
      </c>
      <c r="R23" s="132" t="s">
        <v>122</v>
      </c>
      <c r="S23" s="241">
        <v>45964</v>
      </c>
      <c r="T23" s="132">
        <v>70000</v>
      </c>
      <c r="U23" s="241">
        <v>45964</v>
      </c>
      <c r="V23" s="243">
        <v>70000</v>
      </c>
      <c r="W23" s="244"/>
      <c r="X23" s="243">
        <v>70000</v>
      </c>
      <c r="Y23" s="315">
        <v>46081</v>
      </c>
      <c r="Z23" s="316">
        <f t="shared" ref="Z23:Z25" si="0">Q23-X23</f>
        <v>0</v>
      </c>
      <c r="AA23" s="311"/>
      <c r="AB23" s="311"/>
      <c r="AC23" s="311"/>
      <c r="AD23" s="83">
        <f t="shared" ref="AD23:AD25" si="1">SUM(Q23:Q23)</f>
        <v>70000</v>
      </c>
      <c r="AE23" s="83">
        <f t="shared" ref="AE23:AE25" si="2">SUM(V23:V23)</f>
        <v>70000</v>
      </c>
      <c r="AF23" s="83">
        <f t="shared" ref="AF23:AF25" si="3">SUM(X23:X23)</f>
        <v>70000</v>
      </c>
      <c r="AG23" s="83">
        <f t="shared" ref="AG23:AG25" si="4">K23-AD23</f>
        <v>0</v>
      </c>
      <c r="AH23" s="83" t="s">
        <v>197</v>
      </c>
      <c r="AI23" s="83" t="s">
        <v>4611</v>
      </c>
    </row>
    <row r="24" s="1" customFormat="1" ht="60.75" customHeight="1" spans="1:35">
      <c r="A24" s="83" t="s">
        <v>173</v>
      </c>
      <c r="B24" s="100">
        <v>45604</v>
      </c>
      <c r="C24" s="101" t="s">
        <v>4123</v>
      </c>
      <c r="D24" s="87"/>
      <c r="E24" s="131" t="s">
        <v>4616</v>
      </c>
      <c r="F24" s="131" t="s">
        <v>4621</v>
      </c>
      <c r="G24" s="132" t="s">
        <v>286</v>
      </c>
      <c r="H24" s="131" t="s">
        <v>4622</v>
      </c>
      <c r="I24" s="83"/>
      <c r="J24" s="132" t="s">
        <v>1983</v>
      </c>
      <c r="K24" s="154">
        <v>1205000</v>
      </c>
      <c r="L24" s="128" t="s">
        <v>27</v>
      </c>
      <c r="M24" s="191">
        <v>1</v>
      </c>
      <c r="N24" s="188" t="s">
        <v>4623</v>
      </c>
      <c r="O24" s="192">
        <v>1</v>
      </c>
      <c r="P24" s="190">
        <v>620000</v>
      </c>
      <c r="Q24" s="190">
        <v>620000</v>
      </c>
      <c r="R24" s="132" t="s">
        <v>122</v>
      </c>
      <c r="S24" s="241">
        <v>45964</v>
      </c>
      <c r="T24" s="132">
        <v>620000</v>
      </c>
      <c r="U24" s="241">
        <v>45964</v>
      </c>
      <c r="V24" s="130">
        <v>620000</v>
      </c>
      <c r="W24" s="241">
        <v>45975</v>
      </c>
      <c r="X24" s="130">
        <v>620000</v>
      </c>
      <c r="Y24" s="313">
        <v>45989</v>
      </c>
      <c r="Z24" s="316">
        <f t="shared" si="0"/>
        <v>0</v>
      </c>
      <c r="AA24" s="311"/>
      <c r="AB24" s="311"/>
      <c r="AC24" s="311"/>
      <c r="AD24" s="83">
        <f t="shared" si="1"/>
        <v>620000</v>
      </c>
      <c r="AE24" s="83">
        <f t="shared" si="2"/>
        <v>620000</v>
      </c>
      <c r="AF24" s="83">
        <f t="shared" si="3"/>
        <v>620000</v>
      </c>
      <c r="AG24" s="83">
        <f t="shared" si="4"/>
        <v>585000</v>
      </c>
      <c r="AH24" s="83" t="s">
        <v>197</v>
      </c>
      <c r="AI24" s="83" t="s">
        <v>4611</v>
      </c>
    </row>
    <row r="25" s="1" customFormat="1" ht="34.5" customHeight="1" spans="1:35">
      <c r="A25" s="87" t="s">
        <v>173</v>
      </c>
      <c r="B25" s="88">
        <v>45603</v>
      </c>
      <c r="C25" s="89" t="s">
        <v>4123</v>
      </c>
      <c r="D25" s="87"/>
      <c r="E25" s="123" t="s">
        <v>4624</v>
      </c>
      <c r="F25" s="123" t="s">
        <v>4625</v>
      </c>
      <c r="G25" s="124" t="s">
        <v>286</v>
      </c>
      <c r="H25" s="123" t="s">
        <v>4626</v>
      </c>
      <c r="I25" s="83"/>
      <c r="J25" s="83" t="s">
        <v>4627</v>
      </c>
      <c r="K25" s="147">
        <v>1267500</v>
      </c>
      <c r="L25" s="128" t="s">
        <v>27</v>
      </c>
      <c r="M25" s="191">
        <v>1</v>
      </c>
      <c r="N25" s="193" t="s">
        <v>4628</v>
      </c>
      <c r="O25" s="192">
        <v>1</v>
      </c>
      <c r="P25" s="190">
        <v>19500</v>
      </c>
      <c r="Q25" s="190">
        <v>19500</v>
      </c>
      <c r="R25" s="132" t="s">
        <v>122</v>
      </c>
      <c r="S25" s="241">
        <v>45670</v>
      </c>
      <c r="T25" s="132">
        <v>19500</v>
      </c>
      <c r="U25" s="276">
        <v>45670</v>
      </c>
      <c r="V25" s="132">
        <v>19500</v>
      </c>
      <c r="W25" s="276">
        <v>45674</v>
      </c>
      <c r="X25" s="132">
        <v>19500</v>
      </c>
      <c r="Y25" s="317">
        <v>45681</v>
      </c>
      <c r="Z25" s="96">
        <f t="shared" si="0"/>
        <v>0</v>
      </c>
      <c r="AA25" s="311"/>
      <c r="AB25" s="311"/>
      <c r="AC25" s="311"/>
      <c r="AD25" s="83">
        <f t="shared" si="1"/>
        <v>19500</v>
      </c>
      <c r="AE25" s="83">
        <f t="shared" si="2"/>
        <v>19500</v>
      </c>
      <c r="AF25" s="83">
        <f t="shared" si="3"/>
        <v>19500</v>
      </c>
      <c r="AG25" s="83">
        <f t="shared" si="4"/>
        <v>1248000</v>
      </c>
      <c r="AH25" s="83" t="s">
        <v>197</v>
      </c>
      <c r="AI25" s="83" t="s">
        <v>4611</v>
      </c>
    </row>
    <row r="26" s="1" customFormat="1" ht="24.75" customHeight="1" spans="1:35">
      <c r="A26" s="90"/>
      <c r="B26" s="91"/>
      <c r="C26" s="92"/>
      <c r="D26" s="90"/>
      <c r="E26" s="125"/>
      <c r="F26" s="125"/>
      <c r="G26" s="126"/>
      <c r="H26" s="125"/>
      <c r="I26" s="87"/>
      <c r="J26" s="123" t="s">
        <v>4629</v>
      </c>
      <c r="K26" s="148"/>
      <c r="L26" s="124" t="s">
        <v>26</v>
      </c>
      <c r="M26" s="181">
        <v>2</v>
      </c>
      <c r="N26" s="185" t="s">
        <v>4630</v>
      </c>
      <c r="O26" s="173">
        <v>1</v>
      </c>
      <c r="P26" s="194">
        <v>19500</v>
      </c>
      <c r="Q26" s="194">
        <v>19500</v>
      </c>
      <c r="R26" s="124" t="s">
        <v>122</v>
      </c>
      <c r="S26" s="236">
        <v>45968</v>
      </c>
      <c r="T26" s="194">
        <v>19500</v>
      </c>
      <c r="U26" s="236">
        <v>45968</v>
      </c>
      <c r="V26" s="194">
        <v>19500</v>
      </c>
      <c r="W26" s="283">
        <v>45968</v>
      </c>
      <c r="X26" s="190">
        <v>1500</v>
      </c>
      <c r="Y26" s="313">
        <v>45989</v>
      </c>
      <c r="Z26" s="83"/>
      <c r="AA26" s="311"/>
      <c r="AB26" s="311"/>
      <c r="AC26" s="311"/>
      <c r="AD26" s="83"/>
      <c r="AE26" s="83"/>
      <c r="AF26" s="83"/>
      <c r="AG26" s="83"/>
      <c r="AH26" s="83"/>
      <c r="AI26" s="83"/>
    </row>
    <row r="27" s="1" customFormat="1" ht="21" customHeight="1" spans="1:35">
      <c r="A27" s="90"/>
      <c r="B27" s="91"/>
      <c r="C27" s="92"/>
      <c r="D27" s="90"/>
      <c r="E27" s="125"/>
      <c r="F27" s="125"/>
      <c r="G27" s="126"/>
      <c r="H27" s="125"/>
      <c r="I27" s="90"/>
      <c r="J27" s="125"/>
      <c r="K27" s="148"/>
      <c r="L27" s="130"/>
      <c r="M27" s="195"/>
      <c r="N27" s="185"/>
      <c r="O27" s="173"/>
      <c r="P27" s="196"/>
      <c r="Q27" s="196"/>
      <c r="R27" s="130"/>
      <c r="S27" s="240"/>
      <c r="T27" s="196"/>
      <c r="U27" s="240"/>
      <c r="V27" s="196"/>
      <c r="W27" s="284"/>
      <c r="X27" s="242">
        <v>18000</v>
      </c>
      <c r="Y27" s="315">
        <v>46081</v>
      </c>
      <c r="Z27" s="83"/>
      <c r="AA27" s="311"/>
      <c r="AB27" s="311"/>
      <c r="AC27" s="311"/>
      <c r="AD27" s="83"/>
      <c r="AE27" s="83"/>
      <c r="AF27" s="83"/>
      <c r="AG27" s="86"/>
      <c r="AH27" s="83"/>
      <c r="AI27" s="83"/>
    </row>
    <row r="28" s="1" customFormat="1" ht="107" spans="1:35">
      <c r="A28" s="102"/>
      <c r="B28" s="98"/>
      <c r="C28" s="99"/>
      <c r="D28" s="90"/>
      <c r="E28" s="129"/>
      <c r="F28" s="129"/>
      <c r="G28" s="130"/>
      <c r="H28" s="129"/>
      <c r="I28" s="102"/>
      <c r="J28" s="129"/>
      <c r="K28" s="153"/>
      <c r="L28" s="132" t="s">
        <v>27</v>
      </c>
      <c r="M28" s="197">
        <v>3</v>
      </c>
      <c r="N28" s="198" t="s">
        <v>4631</v>
      </c>
      <c r="O28" s="199">
        <v>1</v>
      </c>
      <c r="P28" s="190">
        <v>274500</v>
      </c>
      <c r="Q28" s="190">
        <v>274500</v>
      </c>
      <c r="R28" s="132" t="s">
        <v>122</v>
      </c>
      <c r="S28" s="241">
        <v>45968</v>
      </c>
      <c r="T28" s="190">
        <v>274500</v>
      </c>
      <c r="U28" s="241">
        <v>45968</v>
      </c>
      <c r="V28" s="190">
        <v>274500</v>
      </c>
      <c r="W28" s="276">
        <v>45968</v>
      </c>
      <c r="X28" s="190">
        <v>274500</v>
      </c>
      <c r="Y28" s="313">
        <v>45989</v>
      </c>
      <c r="Z28" s="83"/>
      <c r="AA28" s="311"/>
      <c r="AB28" s="311"/>
      <c r="AC28" s="311"/>
      <c r="AD28" s="83"/>
      <c r="AE28" s="83"/>
      <c r="AF28" s="83"/>
      <c r="AG28" s="86"/>
      <c r="AH28" s="83"/>
      <c r="AI28" s="83"/>
    </row>
    <row r="29" s="1" customFormat="1" ht="60.75" customHeight="1" spans="1:35">
      <c r="A29" s="83" t="s">
        <v>173</v>
      </c>
      <c r="B29" s="100">
        <v>45741</v>
      </c>
      <c r="C29" s="101" t="s">
        <v>4123</v>
      </c>
      <c r="D29" s="87"/>
      <c r="E29" s="131" t="s">
        <v>4632</v>
      </c>
      <c r="F29" s="131" t="s">
        <v>4633</v>
      </c>
      <c r="G29" s="132" t="s">
        <v>286</v>
      </c>
      <c r="H29" s="131" t="s">
        <v>4634</v>
      </c>
      <c r="I29" s="83"/>
      <c r="J29" s="83" t="s">
        <v>4627</v>
      </c>
      <c r="K29" s="154">
        <v>67900</v>
      </c>
      <c r="L29" s="128" t="s">
        <v>27</v>
      </c>
      <c r="M29" s="191">
        <v>1</v>
      </c>
      <c r="N29" s="200" t="s">
        <v>4635</v>
      </c>
      <c r="O29" s="192">
        <v>1</v>
      </c>
      <c r="P29" s="183">
        <v>19400</v>
      </c>
      <c r="Q29" s="190">
        <v>19400</v>
      </c>
      <c r="R29" s="132" t="s">
        <v>4603</v>
      </c>
      <c r="S29" s="241">
        <v>45765</v>
      </c>
      <c r="T29" s="190">
        <v>19400</v>
      </c>
      <c r="U29" s="241">
        <v>45765</v>
      </c>
      <c r="V29" s="130"/>
      <c r="W29" s="285"/>
      <c r="X29" s="130"/>
      <c r="Y29" s="315">
        <v>46081</v>
      </c>
      <c r="Z29" s="316">
        <f>Q29-X29</f>
        <v>19400</v>
      </c>
      <c r="AA29" s="311"/>
      <c r="AB29" s="311"/>
      <c r="AC29" s="311"/>
      <c r="AD29" s="83">
        <f>SUM(Q29:Q29)</f>
        <v>19400</v>
      </c>
      <c r="AE29" s="83">
        <f>SUM(V29:V29)</f>
        <v>0</v>
      </c>
      <c r="AF29" s="83">
        <f>SUM(X29:X29)</f>
        <v>0</v>
      </c>
      <c r="AG29" s="83">
        <f>K29-AD29</f>
        <v>48500</v>
      </c>
      <c r="AH29" s="83" t="s">
        <v>197</v>
      </c>
      <c r="AI29" s="83" t="s">
        <v>4611</v>
      </c>
    </row>
    <row r="30" s="1" customFormat="1" ht="60.75" customHeight="1" spans="1:35">
      <c r="A30" s="83" t="s">
        <v>173</v>
      </c>
      <c r="B30" s="100">
        <v>45731</v>
      </c>
      <c r="C30" s="101" t="s">
        <v>4123</v>
      </c>
      <c r="D30" s="87"/>
      <c r="E30" s="131" t="s">
        <v>4636</v>
      </c>
      <c r="F30" s="131" t="s">
        <v>4637</v>
      </c>
      <c r="G30" s="132" t="s">
        <v>286</v>
      </c>
      <c r="H30" s="131" t="s">
        <v>4638</v>
      </c>
      <c r="I30" s="83"/>
      <c r="J30" s="132" t="s">
        <v>4627</v>
      </c>
      <c r="K30" s="154">
        <v>50000</v>
      </c>
      <c r="L30" s="128" t="s">
        <v>27</v>
      </c>
      <c r="M30" s="191">
        <v>1</v>
      </c>
      <c r="N30" s="188" t="s">
        <v>4635</v>
      </c>
      <c r="O30" s="192">
        <v>1</v>
      </c>
      <c r="P30" s="183">
        <v>50000</v>
      </c>
      <c r="Q30" s="190">
        <v>50000</v>
      </c>
      <c r="R30" s="132" t="s">
        <v>122</v>
      </c>
      <c r="S30" s="241">
        <v>45768</v>
      </c>
      <c r="T30" s="132">
        <f>Q30</f>
        <v>50000</v>
      </c>
      <c r="U30" s="241">
        <v>45768</v>
      </c>
      <c r="V30" s="130">
        <f>X30</f>
        <v>50000</v>
      </c>
      <c r="W30" s="241">
        <v>45768</v>
      </c>
      <c r="X30" s="130">
        <v>50000</v>
      </c>
      <c r="Y30" s="241">
        <v>45772</v>
      </c>
      <c r="Z30" s="316">
        <f>Q30-X30</f>
        <v>0</v>
      </c>
      <c r="AA30" s="311"/>
      <c r="AB30" s="311"/>
      <c r="AC30" s="311"/>
      <c r="AD30" s="83">
        <f>SUM(Q30:Q30)</f>
        <v>50000</v>
      </c>
      <c r="AE30" s="83">
        <f>SUM(V30:V30)</f>
        <v>50000</v>
      </c>
      <c r="AF30" s="83">
        <f>SUM(X30:X30)</f>
        <v>50000</v>
      </c>
      <c r="AG30" s="83">
        <f>K30-AD30</f>
        <v>0</v>
      </c>
      <c r="AH30" s="83" t="s">
        <v>197</v>
      </c>
      <c r="AI30" s="83" t="s">
        <v>4611</v>
      </c>
    </row>
    <row r="31" s="1" customFormat="1" ht="17.25" customHeight="1" spans="1:35">
      <c r="A31" s="83" t="s">
        <v>173</v>
      </c>
      <c r="B31" s="100">
        <v>43230</v>
      </c>
      <c r="C31" s="85" t="s">
        <v>645</v>
      </c>
      <c r="D31" s="83" t="s">
        <v>113</v>
      </c>
      <c r="E31" s="86" t="s">
        <v>4639</v>
      </c>
      <c r="F31" s="86" t="s">
        <v>455</v>
      </c>
      <c r="G31" s="83" t="s">
        <v>658</v>
      </c>
      <c r="H31" s="86" t="s">
        <v>1001</v>
      </c>
      <c r="I31" s="83">
        <v>259842</v>
      </c>
      <c r="J31" s="86"/>
      <c r="K31" s="146">
        <v>7535418</v>
      </c>
      <c r="L31" s="83" t="s">
        <v>27</v>
      </c>
      <c r="M31" s="86">
        <v>1</v>
      </c>
      <c r="N31" s="168" t="s">
        <v>4640</v>
      </c>
      <c r="O31" s="201">
        <v>0.2</v>
      </c>
      <c r="P31" s="83">
        <v>1403146.8</v>
      </c>
      <c r="Q31" s="83">
        <v>1403146.8</v>
      </c>
      <c r="R31" s="86" t="s">
        <v>206</v>
      </c>
      <c r="S31" s="100">
        <v>43393</v>
      </c>
      <c r="T31" s="132" t="s">
        <v>171</v>
      </c>
      <c r="U31" s="83" t="s">
        <v>171</v>
      </c>
      <c r="V31" s="83">
        <v>1403146.8</v>
      </c>
      <c r="W31" s="286">
        <v>43393</v>
      </c>
      <c r="X31" s="83">
        <v>1403146.8</v>
      </c>
      <c r="Y31" s="245">
        <v>43444</v>
      </c>
      <c r="Z31" s="83">
        <f t="shared" ref="Z31:Z36" si="5">Q31-X31</f>
        <v>0</v>
      </c>
      <c r="AA31" s="311"/>
      <c r="AB31" s="311"/>
      <c r="AC31" s="311"/>
      <c r="AD31" s="83">
        <f>SUM(Q31:Q35)</f>
        <v>7327271.3</v>
      </c>
      <c r="AE31" s="83">
        <f>SUM(V31:V35)</f>
        <v>5490953.47</v>
      </c>
      <c r="AF31" s="83">
        <f>SUM(X31:X35)</f>
        <v>6960907.74</v>
      </c>
      <c r="AG31" s="86">
        <f>K31-AD31</f>
        <v>208146.7</v>
      </c>
      <c r="AH31" s="83"/>
      <c r="AI31" s="83"/>
    </row>
    <row r="32" s="1" customFormat="1" ht="27" customHeight="1" spans="1:35">
      <c r="A32" s="83"/>
      <c r="B32" s="100"/>
      <c r="C32" s="85"/>
      <c r="D32" s="83"/>
      <c r="E32" s="86"/>
      <c r="F32" s="86"/>
      <c r="G32" s="83"/>
      <c r="H32" s="86"/>
      <c r="I32" s="83"/>
      <c r="J32" s="86"/>
      <c r="K32" s="146"/>
      <c r="L32" s="83"/>
      <c r="M32" s="86">
        <v>2</v>
      </c>
      <c r="N32" s="168" t="s">
        <v>4641</v>
      </c>
      <c r="O32" s="201">
        <v>0.1</v>
      </c>
      <c r="P32" s="83">
        <v>701573.4</v>
      </c>
      <c r="Q32" s="83">
        <v>795034.59</v>
      </c>
      <c r="R32" s="86" t="s">
        <v>206</v>
      </c>
      <c r="S32" s="245">
        <v>43460</v>
      </c>
      <c r="T32" s="83" t="s">
        <v>171</v>
      </c>
      <c r="U32" s="83" t="s">
        <v>171</v>
      </c>
      <c r="V32" s="83">
        <v>790534.59</v>
      </c>
      <c r="W32" s="286">
        <v>43460</v>
      </c>
      <c r="X32" s="83">
        <v>795034.59</v>
      </c>
      <c r="Y32" s="245">
        <v>43656</v>
      </c>
      <c r="Z32" s="83">
        <f t="shared" si="5"/>
        <v>0</v>
      </c>
      <c r="AA32" s="311"/>
      <c r="AB32" s="311"/>
      <c r="AC32" s="311"/>
      <c r="AD32" s="83"/>
      <c r="AE32" s="83"/>
      <c r="AF32" s="83"/>
      <c r="AG32" s="86"/>
      <c r="AH32" s="83"/>
      <c r="AI32" s="83"/>
    </row>
    <row r="33" s="1" customFormat="1" ht="23.25" customHeight="1" spans="1:35">
      <c r="A33" s="83"/>
      <c r="B33" s="100"/>
      <c r="C33" s="85"/>
      <c r="D33" s="83"/>
      <c r="E33" s="86"/>
      <c r="F33" s="86"/>
      <c r="G33" s="83"/>
      <c r="H33" s="86"/>
      <c r="I33" s="83"/>
      <c r="J33" s="86"/>
      <c r="K33" s="146"/>
      <c r="L33" s="83"/>
      <c r="M33" s="86">
        <v>3</v>
      </c>
      <c r="N33" s="168" t="s">
        <v>4642</v>
      </c>
      <c r="O33" s="201">
        <v>0.45</v>
      </c>
      <c r="P33" s="83">
        <v>3157080.3</v>
      </c>
      <c r="Q33" s="83">
        <v>3297272.08</v>
      </c>
      <c r="R33" s="86" t="s">
        <v>206</v>
      </c>
      <c r="S33" s="100">
        <v>43495</v>
      </c>
      <c r="T33" s="83" t="s">
        <v>171</v>
      </c>
      <c r="U33" s="83" t="s">
        <v>171</v>
      </c>
      <c r="V33" s="83">
        <v>3297272.08</v>
      </c>
      <c r="W33" s="286">
        <v>43495</v>
      </c>
      <c r="X33" s="83">
        <v>3297272.08</v>
      </c>
      <c r="Y33" s="245">
        <v>43585</v>
      </c>
      <c r="Z33" s="83">
        <f t="shared" si="5"/>
        <v>0</v>
      </c>
      <c r="AA33" s="311"/>
      <c r="AB33" s="311"/>
      <c r="AC33" s="311"/>
      <c r="AD33" s="83"/>
      <c r="AE33" s="83"/>
      <c r="AF33" s="83"/>
      <c r="AG33" s="86"/>
      <c r="AH33" s="83"/>
      <c r="AI33" s="83"/>
    </row>
    <row r="34" s="1" customFormat="1" ht="24" customHeight="1" spans="1:35">
      <c r="A34" s="83"/>
      <c r="B34" s="100"/>
      <c r="C34" s="85"/>
      <c r="D34" s="83"/>
      <c r="E34" s="86"/>
      <c r="F34" s="86"/>
      <c r="G34" s="83"/>
      <c r="H34" s="86"/>
      <c r="I34" s="83"/>
      <c r="J34" s="86"/>
      <c r="K34" s="146"/>
      <c r="L34" s="83"/>
      <c r="M34" s="86">
        <v>4</v>
      </c>
      <c r="N34" s="168" t="s">
        <v>4643</v>
      </c>
      <c r="O34" s="201">
        <v>0.2</v>
      </c>
      <c r="P34" s="83">
        <v>1403146.8</v>
      </c>
      <c r="Q34" s="132">
        <v>1465454.27</v>
      </c>
      <c r="R34" s="132" t="s">
        <v>4603</v>
      </c>
      <c r="S34" s="246">
        <v>44552</v>
      </c>
      <c r="T34" s="83"/>
      <c r="U34" s="83"/>
      <c r="V34" s="83"/>
      <c r="W34" s="287"/>
      <c r="X34" s="243">
        <v>1465454.27</v>
      </c>
      <c r="Y34" s="244"/>
      <c r="Z34" s="83">
        <f t="shared" si="5"/>
        <v>0</v>
      </c>
      <c r="AA34" s="311"/>
      <c r="AB34" s="311"/>
      <c r="AC34" s="311"/>
      <c r="AD34" s="83"/>
      <c r="AE34" s="83"/>
      <c r="AF34" s="83"/>
      <c r="AG34" s="86"/>
      <c r="AH34" s="83"/>
      <c r="AI34" s="83"/>
    </row>
    <row r="35" s="1" customFormat="1" ht="18" customHeight="1" spans="1:35">
      <c r="A35" s="83"/>
      <c r="B35" s="100"/>
      <c r="C35" s="85"/>
      <c r="D35" s="83"/>
      <c r="E35" s="86"/>
      <c r="F35" s="86"/>
      <c r="G35" s="83"/>
      <c r="H35" s="86"/>
      <c r="I35" s="83"/>
      <c r="J35" s="86"/>
      <c r="K35" s="146"/>
      <c r="L35" s="83"/>
      <c r="M35" s="86">
        <v>5</v>
      </c>
      <c r="N35" s="168" t="s">
        <v>466</v>
      </c>
      <c r="O35" s="201">
        <v>0.05</v>
      </c>
      <c r="P35" s="83">
        <v>350786.7</v>
      </c>
      <c r="Q35" s="243">
        <v>366363.56</v>
      </c>
      <c r="R35" s="243"/>
      <c r="S35" s="247"/>
      <c r="T35" s="83"/>
      <c r="U35" s="83"/>
      <c r="V35" s="83"/>
      <c r="W35" s="287"/>
      <c r="X35" s="83"/>
      <c r="Y35" s="83"/>
      <c r="Z35" s="83">
        <f t="shared" si="5"/>
        <v>366363.56</v>
      </c>
      <c r="AA35" s="311"/>
      <c r="AB35" s="311"/>
      <c r="AC35" s="311"/>
      <c r="AD35" s="83"/>
      <c r="AE35" s="83"/>
      <c r="AF35" s="83"/>
      <c r="AG35" s="86"/>
      <c r="AH35" s="83"/>
      <c r="AI35" s="83"/>
    </row>
    <row r="36" s="3" customFormat="1" ht="24.15" customHeight="1" spans="1:35">
      <c r="A36" s="103" t="s">
        <v>173</v>
      </c>
      <c r="B36" s="104">
        <v>43784</v>
      </c>
      <c r="C36" s="105" t="s">
        <v>4644</v>
      </c>
      <c r="D36" s="83" t="s">
        <v>113</v>
      </c>
      <c r="E36" s="133" t="s">
        <v>4645</v>
      </c>
      <c r="F36" s="133" t="s">
        <v>4646</v>
      </c>
      <c r="G36" s="103" t="s">
        <v>658</v>
      </c>
      <c r="H36" s="133" t="s">
        <v>1001</v>
      </c>
      <c r="I36" s="103"/>
      <c r="J36" s="133" t="s">
        <v>4647</v>
      </c>
      <c r="K36" s="155">
        <v>2700000</v>
      </c>
      <c r="L36" s="103" t="s">
        <v>27</v>
      </c>
      <c r="M36" s="202">
        <v>1</v>
      </c>
      <c r="N36" s="202" t="s">
        <v>472</v>
      </c>
      <c r="O36" s="203">
        <v>0.1</v>
      </c>
      <c r="P36" s="204">
        <v>1900000</v>
      </c>
      <c r="Q36" s="248">
        <v>700000</v>
      </c>
      <c r="R36" s="248" t="s">
        <v>4603</v>
      </c>
      <c r="S36" s="249">
        <v>44127</v>
      </c>
      <c r="T36" s="248">
        <v>700000</v>
      </c>
      <c r="U36" s="249">
        <v>44127</v>
      </c>
      <c r="V36" s="103">
        <v>700000</v>
      </c>
      <c r="W36" s="288">
        <v>44178</v>
      </c>
      <c r="X36" s="103">
        <v>700000</v>
      </c>
      <c r="Y36" s="318">
        <v>44189</v>
      </c>
      <c r="Z36" s="103">
        <f t="shared" si="5"/>
        <v>0</v>
      </c>
      <c r="AA36" s="319"/>
      <c r="AB36" s="319"/>
      <c r="AC36" s="319"/>
      <c r="AD36" s="103">
        <f>SUM(Q36:Q40)</f>
        <v>2700000</v>
      </c>
      <c r="AE36" s="103">
        <f>SUM(V36:V40)</f>
        <v>2700000</v>
      </c>
      <c r="AF36" s="103">
        <f>SUM(X36:X40)</f>
        <v>2700000</v>
      </c>
      <c r="AG36" s="103">
        <f>K36-AD36</f>
        <v>0</v>
      </c>
      <c r="AH36" s="103"/>
      <c r="AI36" s="103"/>
    </row>
    <row r="37" s="3" customFormat="1" ht="24" customHeight="1" spans="1:35">
      <c r="A37" s="103"/>
      <c r="B37" s="104"/>
      <c r="C37" s="106"/>
      <c r="D37" s="83"/>
      <c r="E37" s="133"/>
      <c r="F37" s="133"/>
      <c r="G37" s="103"/>
      <c r="H37" s="133"/>
      <c r="I37" s="103"/>
      <c r="J37" s="133"/>
      <c r="K37" s="155"/>
      <c r="L37" s="103"/>
      <c r="M37" s="205"/>
      <c r="N37" s="205"/>
      <c r="O37" s="203"/>
      <c r="P37" s="206"/>
      <c r="Q37" s="250">
        <v>1200000</v>
      </c>
      <c r="R37" s="250" t="s">
        <v>4603</v>
      </c>
      <c r="S37" s="251">
        <v>44185</v>
      </c>
      <c r="T37" s="250">
        <v>1200000</v>
      </c>
      <c r="U37" s="251">
        <v>44185</v>
      </c>
      <c r="V37" s="103">
        <v>600000</v>
      </c>
      <c r="W37" s="288">
        <v>44355</v>
      </c>
      <c r="X37" s="248">
        <v>600000</v>
      </c>
      <c r="Y37" s="320">
        <v>44372</v>
      </c>
      <c r="Z37" s="103"/>
      <c r="AA37" s="319"/>
      <c r="AB37" s="319"/>
      <c r="AC37" s="319"/>
      <c r="AD37" s="103"/>
      <c r="AE37" s="103"/>
      <c r="AF37" s="103"/>
      <c r="AG37" s="103"/>
      <c r="AH37" s="103"/>
      <c r="AI37" s="103"/>
    </row>
    <row r="38" s="3" customFormat="1" ht="24" customHeight="1" spans="1:35">
      <c r="A38" s="103"/>
      <c r="B38" s="104"/>
      <c r="C38" s="106"/>
      <c r="D38" s="83"/>
      <c r="E38" s="133"/>
      <c r="F38" s="133"/>
      <c r="G38" s="103"/>
      <c r="H38" s="133"/>
      <c r="I38" s="103"/>
      <c r="J38" s="133"/>
      <c r="K38" s="155"/>
      <c r="L38" s="103"/>
      <c r="M38" s="207"/>
      <c r="N38" s="207"/>
      <c r="O38" s="203"/>
      <c r="P38" s="208"/>
      <c r="Q38" s="252"/>
      <c r="R38" s="252"/>
      <c r="S38" s="253"/>
      <c r="T38" s="252"/>
      <c r="U38" s="253"/>
      <c r="V38" s="248">
        <v>600000</v>
      </c>
      <c r="W38" s="288">
        <v>44517</v>
      </c>
      <c r="X38" s="248">
        <v>600000</v>
      </c>
      <c r="Y38" s="320">
        <v>44525</v>
      </c>
      <c r="Z38" s="103"/>
      <c r="AA38" s="319"/>
      <c r="AB38" s="319"/>
      <c r="AC38" s="319"/>
      <c r="AD38" s="103"/>
      <c r="AE38" s="103"/>
      <c r="AF38" s="103"/>
      <c r="AG38" s="103"/>
      <c r="AH38" s="103"/>
      <c r="AI38" s="103"/>
    </row>
    <row r="39" s="3" customFormat="1" ht="60" customHeight="1" spans="1:35">
      <c r="A39" s="103"/>
      <c r="B39" s="104"/>
      <c r="C39" s="106"/>
      <c r="D39" s="83"/>
      <c r="E39" s="133"/>
      <c r="F39" s="133"/>
      <c r="G39" s="103"/>
      <c r="H39" s="133"/>
      <c r="I39" s="103"/>
      <c r="J39" s="133"/>
      <c r="K39" s="155"/>
      <c r="L39" s="103"/>
      <c r="M39" s="133">
        <v>2</v>
      </c>
      <c r="N39" s="209" t="s">
        <v>474</v>
      </c>
      <c r="O39" s="203">
        <v>0.4</v>
      </c>
      <c r="P39" s="103">
        <v>400000</v>
      </c>
      <c r="Q39" s="248">
        <v>400000</v>
      </c>
      <c r="R39" s="248" t="s">
        <v>4603</v>
      </c>
      <c r="S39" s="249">
        <v>44185</v>
      </c>
      <c r="T39" s="248">
        <v>400000</v>
      </c>
      <c r="U39" s="249">
        <v>44185</v>
      </c>
      <c r="V39" s="248">
        <v>400000</v>
      </c>
      <c r="W39" s="288">
        <v>44517</v>
      </c>
      <c r="X39" s="248">
        <v>400000</v>
      </c>
      <c r="Y39" s="320">
        <v>44525</v>
      </c>
      <c r="Z39" s="103">
        <f>Q39-X39</f>
        <v>0</v>
      </c>
      <c r="AA39" s="319"/>
      <c r="AB39" s="319"/>
      <c r="AC39" s="319"/>
      <c r="AD39" s="103"/>
      <c r="AE39" s="103"/>
      <c r="AF39" s="103"/>
      <c r="AG39" s="103"/>
      <c r="AH39" s="103"/>
      <c r="AI39" s="103"/>
    </row>
    <row r="40" s="3" customFormat="1" ht="48" customHeight="1" spans="1:35">
      <c r="A40" s="103"/>
      <c r="B40" s="104"/>
      <c r="C40" s="106"/>
      <c r="D40" s="83"/>
      <c r="E40" s="133"/>
      <c r="F40" s="133"/>
      <c r="G40" s="103"/>
      <c r="H40" s="133"/>
      <c r="I40" s="103"/>
      <c r="J40" s="133"/>
      <c r="K40" s="155"/>
      <c r="L40" s="103"/>
      <c r="M40" s="133">
        <v>3</v>
      </c>
      <c r="N40" s="209" t="s">
        <v>4648</v>
      </c>
      <c r="O40" s="203">
        <v>0.25</v>
      </c>
      <c r="P40" s="103">
        <v>400000</v>
      </c>
      <c r="Q40" s="248">
        <v>400000</v>
      </c>
      <c r="R40" s="248" t="s">
        <v>4603</v>
      </c>
      <c r="S40" s="249">
        <v>44185</v>
      </c>
      <c r="T40" s="248">
        <v>400000</v>
      </c>
      <c r="U40" s="249">
        <v>44185</v>
      </c>
      <c r="V40" s="248">
        <v>400000</v>
      </c>
      <c r="W40" s="288">
        <v>44517</v>
      </c>
      <c r="X40" s="248">
        <v>400000</v>
      </c>
      <c r="Y40" s="320">
        <v>44525</v>
      </c>
      <c r="Z40" s="103">
        <f>Q40-X40</f>
        <v>0</v>
      </c>
      <c r="AA40" s="319"/>
      <c r="AB40" s="319"/>
      <c r="AC40" s="319"/>
      <c r="AD40" s="103"/>
      <c r="AE40" s="103"/>
      <c r="AF40" s="103"/>
      <c r="AG40" s="103"/>
      <c r="AH40" s="103"/>
      <c r="AI40" s="103"/>
    </row>
    <row r="41" s="4" customFormat="1" ht="46.5" customHeight="1" spans="1:35">
      <c r="A41" s="107" t="s">
        <v>173</v>
      </c>
      <c r="B41" s="108">
        <v>43373</v>
      </c>
      <c r="C41" s="109" t="s">
        <v>4649</v>
      </c>
      <c r="D41" s="83" t="s">
        <v>113</v>
      </c>
      <c r="E41" s="134" t="s">
        <v>4650</v>
      </c>
      <c r="F41" s="134" t="s">
        <v>4651</v>
      </c>
      <c r="G41" s="107" t="s">
        <v>240</v>
      </c>
      <c r="H41" s="134" t="s">
        <v>4652</v>
      </c>
      <c r="I41" s="107">
        <v>130997</v>
      </c>
      <c r="J41" s="134" t="s">
        <v>4653</v>
      </c>
      <c r="K41" s="156">
        <v>1702961</v>
      </c>
      <c r="L41" s="120" t="s">
        <v>138</v>
      </c>
      <c r="M41" s="135">
        <v>1</v>
      </c>
      <c r="N41" s="135" t="s">
        <v>4654</v>
      </c>
      <c r="O41" s="210">
        <v>0.3</v>
      </c>
      <c r="P41" s="211">
        <f>K41*O41</f>
        <v>510888.3</v>
      </c>
      <c r="Q41" s="211">
        <v>510888.3</v>
      </c>
      <c r="R41" s="254" t="s">
        <v>4603</v>
      </c>
      <c r="S41" s="255">
        <v>43824</v>
      </c>
      <c r="T41" s="211">
        <v>510888.3</v>
      </c>
      <c r="U41" s="289">
        <v>43824</v>
      </c>
      <c r="V41" s="211">
        <v>510888.3</v>
      </c>
      <c r="W41" s="255">
        <v>43840</v>
      </c>
      <c r="X41" s="107">
        <v>400000</v>
      </c>
      <c r="Y41" s="291">
        <v>43850</v>
      </c>
      <c r="Z41" s="107">
        <v>0</v>
      </c>
      <c r="AA41" s="213"/>
      <c r="AB41" s="321"/>
      <c r="AC41" s="321"/>
      <c r="AD41" s="107">
        <f>SUM(Q41:Q45)</f>
        <v>1702961</v>
      </c>
      <c r="AE41" s="107">
        <f>SUM(V41:V45)</f>
        <v>1702961</v>
      </c>
      <c r="AF41" s="107">
        <f>SUM(X41:X45)</f>
        <v>1702961</v>
      </c>
      <c r="AG41" s="107">
        <f>K41-AD41</f>
        <v>0</v>
      </c>
      <c r="AH41" s="107" t="s">
        <v>247</v>
      </c>
      <c r="AI41" s="107" t="s">
        <v>125</v>
      </c>
    </row>
    <row r="42" s="4" customFormat="1" ht="53.25" customHeight="1" spans="1:35">
      <c r="A42" s="107"/>
      <c r="B42" s="108"/>
      <c r="C42" s="110"/>
      <c r="D42" s="83"/>
      <c r="E42" s="134"/>
      <c r="F42" s="134"/>
      <c r="G42" s="107"/>
      <c r="H42" s="134"/>
      <c r="I42" s="107"/>
      <c r="J42" s="134"/>
      <c r="K42" s="157"/>
      <c r="L42" s="107"/>
      <c r="M42" s="137"/>
      <c r="N42" s="137"/>
      <c r="O42" s="210"/>
      <c r="P42" s="212"/>
      <c r="Q42" s="212"/>
      <c r="R42" s="212"/>
      <c r="S42" s="256"/>
      <c r="T42" s="212"/>
      <c r="U42" s="290"/>
      <c r="V42" s="212"/>
      <c r="W42" s="256"/>
      <c r="X42" s="107">
        <v>110888.3</v>
      </c>
      <c r="Y42" s="291">
        <v>44006</v>
      </c>
      <c r="Z42" s="107">
        <v>0</v>
      </c>
      <c r="AA42" s="213"/>
      <c r="AB42" s="321"/>
      <c r="AC42" s="321"/>
      <c r="AD42" s="107"/>
      <c r="AE42" s="107"/>
      <c r="AF42" s="107"/>
      <c r="AG42" s="107"/>
      <c r="AH42" s="107"/>
      <c r="AI42" s="107"/>
    </row>
    <row r="43" s="4" customFormat="1" ht="48" customHeight="1" spans="1:35">
      <c r="A43" s="107"/>
      <c r="B43" s="108"/>
      <c r="C43" s="110"/>
      <c r="D43" s="83"/>
      <c r="E43" s="134"/>
      <c r="F43" s="134"/>
      <c r="G43" s="107"/>
      <c r="H43" s="134"/>
      <c r="I43" s="107"/>
      <c r="J43" s="134"/>
      <c r="K43" s="157"/>
      <c r="L43" s="107"/>
      <c r="M43" s="134">
        <v>2</v>
      </c>
      <c r="N43" s="213" t="s">
        <v>4655</v>
      </c>
      <c r="O43" s="210">
        <v>0.4</v>
      </c>
      <c r="P43" s="107">
        <f>K41*O43</f>
        <v>681184.4</v>
      </c>
      <c r="Q43" s="107">
        <v>681184.4</v>
      </c>
      <c r="R43" s="120" t="s">
        <v>4603</v>
      </c>
      <c r="S43" s="108">
        <v>43824</v>
      </c>
      <c r="T43" s="107">
        <v>681184.4</v>
      </c>
      <c r="U43" s="291">
        <v>43824</v>
      </c>
      <c r="V43" s="211">
        <v>681184.4</v>
      </c>
      <c r="W43" s="292">
        <v>44040</v>
      </c>
      <c r="X43" s="107">
        <v>681184.4</v>
      </c>
      <c r="Y43" s="291">
        <v>44053</v>
      </c>
      <c r="Z43" s="107">
        <f>Q43-X43</f>
        <v>0</v>
      </c>
      <c r="AA43" s="213"/>
      <c r="AB43" s="321"/>
      <c r="AC43" s="321"/>
      <c r="AD43" s="107"/>
      <c r="AE43" s="107"/>
      <c r="AF43" s="107"/>
      <c r="AG43" s="107"/>
      <c r="AH43" s="107"/>
      <c r="AI43" s="107"/>
    </row>
    <row r="44" s="4" customFormat="1" ht="66" customHeight="1" spans="1:35">
      <c r="A44" s="107"/>
      <c r="B44" s="108"/>
      <c r="C44" s="110"/>
      <c r="D44" s="83"/>
      <c r="E44" s="134"/>
      <c r="F44" s="134"/>
      <c r="G44" s="107"/>
      <c r="H44" s="134"/>
      <c r="I44" s="107"/>
      <c r="J44" s="134"/>
      <c r="K44" s="157"/>
      <c r="L44" s="107"/>
      <c r="M44" s="107">
        <v>3</v>
      </c>
      <c r="N44" s="213" t="s">
        <v>4656</v>
      </c>
      <c r="O44" s="214">
        <v>0.1</v>
      </c>
      <c r="P44" s="107">
        <f>K41*O44</f>
        <v>170296.1</v>
      </c>
      <c r="Q44" s="120">
        <v>170296.1</v>
      </c>
      <c r="R44" s="120" t="s">
        <v>4603</v>
      </c>
      <c r="S44" s="121">
        <v>44130</v>
      </c>
      <c r="T44" s="120">
        <v>170296.1</v>
      </c>
      <c r="U44" s="293">
        <v>44130</v>
      </c>
      <c r="V44" s="294">
        <v>170296.1</v>
      </c>
      <c r="W44" s="295">
        <v>44228</v>
      </c>
      <c r="X44" s="120">
        <v>170296.1</v>
      </c>
      <c r="Y44" s="322">
        <v>44461</v>
      </c>
      <c r="Z44" s="107">
        <f>Q44-X44</f>
        <v>0</v>
      </c>
      <c r="AA44" s="321"/>
      <c r="AB44" s="321"/>
      <c r="AC44" s="321"/>
      <c r="AD44" s="107"/>
      <c r="AE44" s="107"/>
      <c r="AF44" s="107"/>
      <c r="AG44" s="107"/>
      <c r="AH44" s="107"/>
      <c r="AI44" s="107"/>
    </row>
    <row r="45" s="4" customFormat="1" ht="77.25" customHeight="1" spans="1:35">
      <c r="A45" s="107"/>
      <c r="B45" s="108"/>
      <c r="C45" s="110"/>
      <c r="D45" s="83"/>
      <c r="E45" s="134"/>
      <c r="F45" s="134"/>
      <c r="G45" s="107"/>
      <c r="H45" s="134"/>
      <c r="I45" s="107"/>
      <c r="J45" s="134"/>
      <c r="K45" s="157"/>
      <c r="L45" s="107"/>
      <c r="M45" s="107">
        <v>4</v>
      </c>
      <c r="N45" s="213" t="s">
        <v>4657</v>
      </c>
      <c r="O45" s="214">
        <v>0.2</v>
      </c>
      <c r="P45" s="107">
        <f>K41*O45</f>
        <v>340592.2</v>
      </c>
      <c r="Q45" s="120">
        <v>340592.2</v>
      </c>
      <c r="R45" s="120" t="s">
        <v>4603</v>
      </c>
      <c r="S45" s="121">
        <v>44550</v>
      </c>
      <c r="T45" s="107">
        <v>340592.2</v>
      </c>
      <c r="U45" s="291">
        <v>44550</v>
      </c>
      <c r="V45" s="296">
        <v>340592.2</v>
      </c>
      <c r="W45" s="108">
        <v>45660</v>
      </c>
      <c r="X45" s="120">
        <v>340592.2</v>
      </c>
      <c r="Y45" s="108">
        <v>45681</v>
      </c>
      <c r="Z45" s="107">
        <f>Q45-X45</f>
        <v>0</v>
      </c>
      <c r="AA45" s="323"/>
      <c r="AB45" s="321"/>
      <c r="AC45" s="321"/>
      <c r="AD45" s="107"/>
      <c r="AE45" s="107"/>
      <c r="AF45" s="107"/>
      <c r="AG45" s="107"/>
      <c r="AH45" s="107"/>
      <c r="AI45" s="107"/>
    </row>
    <row r="46" s="4" customFormat="1" ht="43.5" customHeight="1" spans="1:35">
      <c r="A46" s="107" t="s">
        <v>173</v>
      </c>
      <c r="B46" s="108">
        <v>43434</v>
      </c>
      <c r="C46" s="109" t="s">
        <v>4649</v>
      </c>
      <c r="D46" s="83" t="s">
        <v>113</v>
      </c>
      <c r="E46" s="134" t="s">
        <v>514</v>
      </c>
      <c r="F46" s="134" t="s">
        <v>4658</v>
      </c>
      <c r="G46" s="107" t="s">
        <v>432</v>
      </c>
      <c r="H46" s="135" t="s">
        <v>4659</v>
      </c>
      <c r="I46" s="107"/>
      <c r="J46" s="134"/>
      <c r="K46" s="157">
        <v>150000</v>
      </c>
      <c r="L46" s="120" t="s">
        <v>138</v>
      </c>
      <c r="M46" s="107">
        <v>1</v>
      </c>
      <c r="N46" s="213" t="s">
        <v>437</v>
      </c>
      <c r="O46" s="215">
        <v>0.35</v>
      </c>
      <c r="P46" s="107">
        <f>O46*K46</f>
        <v>52500</v>
      </c>
      <c r="Q46" s="107">
        <v>52500</v>
      </c>
      <c r="R46" s="120" t="s">
        <v>4603</v>
      </c>
      <c r="S46" s="108">
        <v>43824</v>
      </c>
      <c r="T46" s="107">
        <v>52500</v>
      </c>
      <c r="U46" s="291">
        <v>43824</v>
      </c>
      <c r="V46" s="107">
        <v>52500</v>
      </c>
      <c r="W46" s="292">
        <v>44114</v>
      </c>
      <c r="X46" s="107">
        <v>52500</v>
      </c>
      <c r="Y46" s="291">
        <v>44124</v>
      </c>
      <c r="Z46" s="107">
        <f>Q46-X46</f>
        <v>0</v>
      </c>
      <c r="AA46" s="324" t="s">
        <v>4660</v>
      </c>
      <c r="AB46" s="321"/>
      <c r="AC46" s="321"/>
      <c r="AD46" s="107">
        <f>SUM(Q46:Q49)</f>
        <v>112500</v>
      </c>
      <c r="AE46" s="107">
        <f>SUM(V46:V49)</f>
        <v>112500</v>
      </c>
      <c r="AF46" s="107">
        <f>SUM(X46:X49)</f>
        <v>112500</v>
      </c>
      <c r="AG46" s="107">
        <f>K46-AD46</f>
        <v>37500</v>
      </c>
      <c r="AH46" s="107" t="s">
        <v>197</v>
      </c>
      <c r="AI46" s="107" t="s">
        <v>125</v>
      </c>
    </row>
    <row r="47" s="4" customFormat="1" ht="66.75" customHeight="1" spans="1:35">
      <c r="A47" s="107"/>
      <c r="B47" s="108"/>
      <c r="C47" s="110"/>
      <c r="D47" s="83"/>
      <c r="E47" s="134"/>
      <c r="F47" s="134"/>
      <c r="G47" s="107"/>
      <c r="H47" s="136"/>
      <c r="I47" s="107"/>
      <c r="J47" s="134"/>
      <c r="K47" s="157"/>
      <c r="L47" s="107"/>
      <c r="M47" s="107">
        <v>2</v>
      </c>
      <c r="N47" s="213" t="s">
        <v>439</v>
      </c>
      <c r="O47" s="216">
        <v>0.4</v>
      </c>
      <c r="P47" s="107">
        <f>O47*K46</f>
        <v>60000</v>
      </c>
      <c r="Q47" s="107">
        <v>60000</v>
      </c>
      <c r="R47" s="120" t="s">
        <v>4603</v>
      </c>
      <c r="S47" s="108">
        <v>43825</v>
      </c>
      <c r="T47" s="107">
        <v>60000</v>
      </c>
      <c r="U47" s="291">
        <v>43825</v>
      </c>
      <c r="V47" s="107">
        <v>60000</v>
      </c>
      <c r="W47" s="292">
        <v>44114</v>
      </c>
      <c r="X47" s="107">
        <v>60000</v>
      </c>
      <c r="Y47" s="291">
        <v>44124</v>
      </c>
      <c r="Z47" s="107">
        <f>Q47-X47</f>
        <v>0</v>
      </c>
      <c r="AA47" s="325"/>
      <c r="AB47" s="321"/>
      <c r="AC47" s="321"/>
      <c r="AD47" s="107"/>
      <c r="AE47" s="107"/>
      <c r="AF47" s="107"/>
      <c r="AG47" s="107"/>
      <c r="AH47" s="107"/>
      <c r="AI47" s="107"/>
    </row>
    <row r="48" s="4" customFormat="1" ht="66.75" customHeight="1" spans="1:35">
      <c r="A48" s="107"/>
      <c r="B48" s="108"/>
      <c r="C48" s="110"/>
      <c r="D48" s="83"/>
      <c r="E48" s="134"/>
      <c r="F48" s="134"/>
      <c r="G48" s="107"/>
      <c r="H48" s="136"/>
      <c r="I48" s="107"/>
      <c r="J48" s="134"/>
      <c r="K48" s="157"/>
      <c r="L48" s="107"/>
      <c r="M48" s="211">
        <v>3</v>
      </c>
      <c r="N48" s="135" t="s">
        <v>441</v>
      </c>
      <c r="O48" s="216">
        <v>0.25</v>
      </c>
      <c r="P48" s="107">
        <v>34500</v>
      </c>
      <c r="Q48" s="107">
        <v>34500</v>
      </c>
      <c r="R48" s="120" t="s">
        <v>4603</v>
      </c>
      <c r="S48" s="108">
        <v>44911</v>
      </c>
      <c r="T48" s="107">
        <v>34500</v>
      </c>
      <c r="U48" s="108">
        <v>44911</v>
      </c>
      <c r="V48" s="107"/>
      <c r="W48" s="292"/>
      <c r="X48" s="107"/>
      <c r="Y48" s="291"/>
      <c r="Z48" s="107"/>
      <c r="AA48" s="325"/>
      <c r="AB48" s="321"/>
      <c r="AC48" s="321"/>
      <c r="AD48" s="107"/>
      <c r="AE48" s="107"/>
      <c r="AF48" s="107"/>
      <c r="AG48" s="107"/>
      <c r="AH48" s="107"/>
      <c r="AI48" s="107"/>
    </row>
    <row r="49" s="4" customFormat="1" ht="54" customHeight="1" spans="1:35">
      <c r="A49" s="107"/>
      <c r="B49" s="108"/>
      <c r="C49" s="110"/>
      <c r="D49" s="83"/>
      <c r="E49" s="134"/>
      <c r="F49" s="134"/>
      <c r="G49" s="107"/>
      <c r="H49" s="137"/>
      <c r="I49" s="107"/>
      <c r="J49" s="134"/>
      <c r="K49" s="157"/>
      <c r="L49" s="107"/>
      <c r="M49" s="212"/>
      <c r="N49" s="217"/>
      <c r="O49" s="216"/>
      <c r="P49" s="120">
        <v>-34500</v>
      </c>
      <c r="Q49" s="257">
        <v>-34500</v>
      </c>
      <c r="R49" s="120" t="s">
        <v>4661</v>
      </c>
      <c r="S49" s="121">
        <v>45667</v>
      </c>
      <c r="T49" s="120">
        <v>-34500</v>
      </c>
      <c r="U49" s="121">
        <v>45667</v>
      </c>
      <c r="V49" s="107"/>
      <c r="W49" s="292"/>
      <c r="X49" s="107"/>
      <c r="Y49" s="107"/>
      <c r="Z49" s="107">
        <f>Q49-X49</f>
        <v>-34500</v>
      </c>
      <c r="AA49" s="325"/>
      <c r="AB49" s="321"/>
      <c r="AC49" s="321"/>
      <c r="AD49" s="107"/>
      <c r="AE49" s="107"/>
      <c r="AF49" s="107"/>
      <c r="AG49" s="107"/>
      <c r="AH49" s="107"/>
      <c r="AI49" s="107"/>
    </row>
    <row r="50" s="1" customFormat="1" ht="43.5" customHeight="1" spans="1:35">
      <c r="A50" s="83" t="s">
        <v>173</v>
      </c>
      <c r="B50" s="100">
        <v>43847</v>
      </c>
      <c r="C50" s="101" t="s">
        <v>4662</v>
      </c>
      <c r="D50" s="83" t="s">
        <v>113</v>
      </c>
      <c r="E50" s="86" t="s">
        <v>4650</v>
      </c>
      <c r="F50" s="86" t="s">
        <v>4663</v>
      </c>
      <c r="G50" s="83" t="s">
        <v>240</v>
      </c>
      <c r="H50" s="86" t="s">
        <v>4652</v>
      </c>
      <c r="I50" s="132">
        <v>133156</v>
      </c>
      <c r="J50" s="86" t="s">
        <v>4653</v>
      </c>
      <c r="K50" s="146">
        <v>1698580</v>
      </c>
      <c r="L50" s="132" t="s">
        <v>138</v>
      </c>
      <c r="M50" s="87">
        <v>1</v>
      </c>
      <c r="N50" s="169" t="s">
        <v>4654</v>
      </c>
      <c r="O50" s="201">
        <v>0.3</v>
      </c>
      <c r="P50" s="87">
        <f>O50*K50</f>
        <v>509574</v>
      </c>
      <c r="Q50" s="83">
        <v>349412</v>
      </c>
      <c r="R50" s="83" t="s">
        <v>206</v>
      </c>
      <c r="S50" s="100">
        <v>43997</v>
      </c>
      <c r="T50" s="83" t="s">
        <v>171</v>
      </c>
      <c r="U50" s="83" t="s">
        <v>171</v>
      </c>
      <c r="V50" s="83">
        <v>349412</v>
      </c>
      <c r="W50" s="100">
        <v>43978</v>
      </c>
      <c r="X50" s="83">
        <v>349412</v>
      </c>
      <c r="Y50" s="326">
        <v>44006</v>
      </c>
      <c r="Z50" s="327">
        <f>Q50-X50</f>
        <v>0</v>
      </c>
      <c r="AA50" s="127" t="s">
        <v>4664</v>
      </c>
      <c r="AB50" s="314"/>
      <c r="AC50" s="311"/>
      <c r="AD50" s="87">
        <f>SUM(Q50:Q56)</f>
        <v>1698580</v>
      </c>
      <c r="AE50" s="83">
        <f>SUM(V50:V56)</f>
        <v>1698580</v>
      </c>
      <c r="AF50" s="83">
        <f>SUM(X50:X56)</f>
        <v>1737038.42</v>
      </c>
      <c r="AG50" s="83">
        <f>K50-AD50</f>
        <v>0</v>
      </c>
      <c r="AH50" s="83" t="s">
        <v>247</v>
      </c>
      <c r="AI50" s="83" t="s">
        <v>4611</v>
      </c>
    </row>
    <row r="51" s="1" customFormat="1" ht="43.5" customHeight="1" spans="1:35">
      <c r="A51" s="83"/>
      <c r="B51" s="100"/>
      <c r="C51" s="85"/>
      <c r="D51" s="83"/>
      <c r="E51" s="86"/>
      <c r="F51" s="86"/>
      <c r="G51" s="83"/>
      <c r="H51" s="86"/>
      <c r="I51" s="83"/>
      <c r="J51" s="86"/>
      <c r="K51" s="146"/>
      <c r="L51" s="83"/>
      <c r="M51" s="102"/>
      <c r="N51" s="82"/>
      <c r="O51" s="201"/>
      <c r="P51" s="102"/>
      <c r="Q51" s="83">
        <f>P50-Q50</f>
        <v>160162</v>
      </c>
      <c r="R51" s="83" t="s">
        <v>206</v>
      </c>
      <c r="S51" s="100">
        <v>44022</v>
      </c>
      <c r="T51" s="83" t="s">
        <v>171</v>
      </c>
      <c r="U51" s="83" t="s">
        <v>171</v>
      </c>
      <c r="V51" s="83">
        <f>Q51</f>
        <v>160162</v>
      </c>
      <c r="W51" s="100">
        <v>44022</v>
      </c>
      <c r="X51" s="83">
        <v>160162</v>
      </c>
      <c r="Y51" s="245">
        <v>44189</v>
      </c>
      <c r="Z51" s="327">
        <f>Q51-X51</f>
        <v>0</v>
      </c>
      <c r="AA51" s="328"/>
      <c r="AB51" s="314"/>
      <c r="AC51" s="311"/>
      <c r="AD51" s="90"/>
      <c r="AE51" s="83"/>
      <c r="AF51" s="83"/>
      <c r="AG51" s="83"/>
      <c r="AH51" s="83"/>
      <c r="AI51" s="83"/>
    </row>
    <row r="52" s="1" customFormat="1" ht="26.25" customHeight="1" spans="1:35">
      <c r="A52" s="83"/>
      <c r="B52" s="100"/>
      <c r="C52" s="85"/>
      <c r="D52" s="83"/>
      <c r="E52" s="86"/>
      <c r="F52" s="86"/>
      <c r="G52" s="83"/>
      <c r="H52" s="86"/>
      <c r="I52" s="83"/>
      <c r="J52" s="86"/>
      <c r="K52" s="146"/>
      <c r="L52" s="83"/>
      <c r="M52" s="87">
        <v>2</v>
      </c>
      <c r="N52" s="169" t="s">
        <v>4655</v>
      </c>
      <c r="O52" s="201">
        <v>0.4</v>
      </c>
      <c r="P52" s="87">
        <f>O52*K50</f>
        <v>679432</v>
      </c>
      <c r="Q52" s="124">
        <v>679432</v>
      </c>
      <c r="R52" s="124" t="s">
        <v>4603</v>
      </c>
      <c r="S52" s="258">
        <v>44130</v>
      </c>
      <c r="T52" s="124">
        <v>679432</v>
      </c>
      <c r="U52" s="236">
        <v>44130</v>
      </c>
      <c r="V52" s="87">
        <v>640973.58</v>
      </c>
      <c r="W52" s="258">
        <v>44201</v>
      </c>
      <c r="X52" s="132">
        <v>228587</v>
      </c>
      <c r="Y52" s="241">
        <v>44645</v>
      </c>
      <c r="Z52" s="329"/>
      <c r="AA52" s="328"/>
      <c r="AB52" s="314"/>
      <c r="AC52" s="311"/>
      <c r="AD52" s="90"/>
      <c r="AE52" s="83"/>
      <c r="AF52" s="83"/>
      <c r="AG52" s="83"/>
      <c r="AH52" s="83"/>
      <c r="AI52" s="83"/>
    </row>
    <row r="53" s="1" customFormat="1" ht="30" customHeight="1" spans="1:35">
      <c r="A53" s="83"/>
      <c r="B53" s="100"/>
      <c r="C53" s="85"/>
      <c r="D53" s="83"/>
      <c r="E53" s="86"/>
      <c r="F53" s="86"/>
      <c r="G53" s="83"/>
      <c r="H53" s="86"/>
      <c r="I53" s="83"/>
      <c r="J53" s="86"/>
      <c r="K53" s="146"/>
      <c r="L53" s="83"/>
      <c r="M53" s="102"/>
      <c r="N53" s="82"/>
      <c r="O53" s="201"/>
      <c r="P53" s="102"/>
      <c r="Q53" s="130"/>
      <c r="R53" s="130"/>
      <c r="S53" s="259"/>
      <c r="T53" s="130"/>
      <c r="U53" s="240"/>
      <c r="V53" s="102"/>
      <c r="W53" s="259"/>
      <c r="X53" s="132">
        <v>450845</v>
      </c>
      <c r="Y53" s="241">
        <v>44461</v>
      </c>
      <c r="Z53" s="329"/>
      <c r="AA53" s="328"/>
      <c r="AB53" s="314"/>
      <c r="AC53" s="311"/>
      <c r="AD53" s="90"/>
      <c r="AE53" s="83"/>
      <c r="AF53" s="83"/>
      <c r="AG53" s="83"/>
      <c r="AH53" s="83"/>
      <c r="AI53" s="83"/>
    </row>
    <row r="54" s="1" customFormat="1" ht="61" spans="1:35">
      <c r="A54" s="83"/>
      <c r="B54" s="100"/>
      <c r="C54" s="85"/>
      <c r="D54" s="83"/>
      <c r="E54" s="86"/>
      <c r="F54" s="86"/>
      <c r="G54" s="83"/>
      <c r="H54" s="86"/>
      <c r="I54" s="83"/>
      <c r="J54" s="86"/>
      <c r="K54" s="146"/>
      <c r="L54" s="83"/>
      <c r="M54" s="83">
        <v>3</v>
      </c>
      <c r="N54" s="168" t="s">
        <v>4656</v>
      </c>
      <c r="O54" s="167">
        <v>0.1</v>
      </c>
      <c r="P54" s="83">
        <f>K50*O54</f>
        <v>169858</v>
      </c>
      <c r="Q54" s="132">
        <v>169858</v>
      </c>
      <c r="R54" s="132" t="s">
        <v>4603</v>
      </c>
      <c r="S54" s="246">
        <v>44550</v>
      </c>
      <c r="T54" s="83">
        <v>169858</v>
      </c>
      <c r="U54" s="245">
        <v>44550</v>
      </c>
      <c r="V54" s="87">
        <v>548032.42</v>
      </c>
      <c r="W54" s="88"/>
      <c r="X54" s="297">
        <v>548032.42</v>
      </c>
      <c r="Y54" s="330">
        <v>46081</v>
      </c>
      <c r="Z54" s="327">
        <f>Q54-X54</f>
        <v>-378174.42</v>
      </c>
      <c r="AA54" s="328"/>
      <c r="AB54" s="314"/>
      <c r="AC54" s="311"/>
      <c r="AD54" s="90"/>
      <c r="AE54" s="83"/>
      <c r="AF54" s="83"/>
      <c r="AG54" s="83"/>
      <c r="AH54" s="83"/>
      <c r="AI54" s="83"/>
    </row>
    <row r="55" s="1" customFormat="1" ht="30.75" customHeight="1" spans="1:35">
      <c r="A55" s="83"/>
      <c r="B55" s="100"/>
      <c r="C55" s="85"/>
      <c r="D55" s="83"/>
      <c r="E55" s="86"/>
      <c r="F55" s="86"/>
      <c r="G55" s="83"/>
      <c r="H55" s="86"/>
      <c r="I55" s="83"/>
      <c r="J55" s="86"/>
      <c r="K55" s="146"/>
      <c r="L55" s="83"/>
      <c r="M55" s="87">
        <v>4</v>
      </c>
      <c r="N55" s="169" t="s">
        <v>4657</v>
      </c>
      <c r="O55" s="167">
        <v>0.2</v>
      </c>
      <c r="P55" s="87">
        <f>O55*K50</f>
        <v>339716</v>
      </c>
      <c r="Q55" s="132">
        <v>305744.4</v>
      </c>
      <c r="R55" s="132" t="s">
        <v>4603</v>
      </c>
      <c r="S55" s="246">
        <v>44915</v>
      </c>
      <c r="T55" s="132">
        <v>305744.4</v>
      </c>
      <c r="U55" s="245">
        <v>44915</v>
      </c>
      <c r="V55" s="90"/>
      <c r="W55" s="91"/>
      <c r="X55" s="298"/>
      <c r="Y55" s="331"/>
      <c r="Z55" s="327"/>
      <c r="AA55" s="328"/>
      <c r="AB55" s="314"/>
      <c r="AC55" s="311"/>
      <c r="AD55" s="90"/>
      <c r="AE55" s="83"/>
      <c r="AF55" s="83"/>
      <c r="AG55" s="83"/>
      <c r="AH55" s="83"/>
      <c r="AI55" s="83"/>
    </row>
    <row r="56" s="1" customFormat="1" ht="30.75" customHeight="1" spans="1:35">
      <c r="A56" s="83"/>
      <c r="B56" s="100"/>
      <c r="C56" s="85"/>
      <c r="D56" s="83"/>
      <c r="E56" s="86"/>
      <c r="F56" s="86"/>
      <c r="G56" s="83"/>
      <c r="H56" s="86"/>
      <c r="I56" s="83"/>
      <c r="J56" s="86"/>
      <c r="K56" s="146"/>
      <c r="L56" s="83"/>
      <c r="M56" s="102"/>
      <c r="N56" s="218"/>
      <c r="O56" s="167"/>
      <c r="P56" s="102"/>
      <c r="Q56" s="132">
        <f>P55-Q55</f>
        <v>33971.6</v>
      </c>
      <c r="R56" s="243" t="s">
        <v>349</v>
      </c>
      <c r="S56" s="247">
        <v>46052</v>
      </c>
      <c r="T56" s="83"/>
      <c r="U56" s="83"/>
      <c r="V56" s="102"/>
      <c r="W56" s="98"/>
      <c r="X56" s="299"/>
      <c r="Y56" s="332"/>
      <c r="Z56" s="327">
        <f>Q56-X56</f>
        <v>33971.6</v>
      </c>
      <c r="AA56" s="328"/>
      <c r="AB56" s="314"/>
      <c r="AC56" s="311"/>
      <c r="AD56" s="102"/>
      <c r="AE56" s="83"/>
      <c r="AF56" s="83"/>
      <c r="AG56" s="83"/>
      <c r="AH56" s="83"/>
      <c r="AI56" s="83"/>
    </row>
    <row r="57" s="4" customFormat="1" ht="46" spans="1:35">
      <c r="A57" s="107" t="s">
        <v>173</v>
      </c>
      <c r="B57" s="108">
        <v>43943</v>
      </c>
      <c r="C57" s="109" t="s">
        <v>4665</v>
      </c>
      <c r="D57" s="83" t="s">
        <v>113</v>
      </c>
      <c r="E57" s="134" t="s">
        <v>4666</v>
      </c>
      <c r="F57" s="134" t="s">
        <v>4667</v>
      </c>
      <c r="G57" s="107" t="s">
        <v>432</v>
      </c>
      <c r="H57" s="134" t="s">
        <v>4659</v>
      </c>
      <c r="I57" s="107"/>
      <c r="J57" s="134"/>
      <c r="K57" s="157">
        <v>200000</v>
      </c>
      <c r="L57" s="120" t="s">
        <v>138</v>
      </c>
      <c r="M57" s="107">
        <v>1</v>
      </c>
      <c r="N57" s="213" t="s">
        <v>437</v>
      </c>
      <c r="O57" s="216">
        <v>0.35</v>
      </c>
      <c r="P57" s="107">
        <f>O57*K57</f>
        <v>70000</v>
      </c>
      <c r="Q57" s="120">
        <v>70000</v>
      </c>
      <c r="R57" s="120" t="s">
        <v>4603</v>
      </c>
      <c r="S57" s="121">
        <v>44132</v>
      </c>
      <c r="T57" s="120">
        <v>70000</v>
      </c>
      <c r="U57" s="121">
        <v>44132</v>
      </c>
      <c r="V57" s="211">
        <v>150000</v>
      </c>
      <c r="W57" s="255">
        <v>45155</v>
      </c>
      <c r="X57" s="254">
        <v>150000</v>
      </c>
      <c r="Y57" s="305">
        <v>45684</v>
      </c>
      <c r="Z57" s="333">
        <f>Q57+Q58-X57</f>
        <v>0</v>
      </c>
      <c r="AA57" s="334" t="s">
        <v>4668</v>
      </c>
      <c r="AB57" s="321"/>
      <c r="AC57" s="321"/>
      <c r="AD57" s="107">
        <f>SUM(Q57:Q60)</f>
        <v>150000</v>
      </c>
      <c r="AE57" s="107">
        <f>SUM(V57:V60)</f>
        <v>150000</v>
      </c>
      <c r="AF57" s="134">
        <f>SUM(X57:X60)</f>
        <v>150000</v>
      </c>
      <c r="AG57" s="107">
        <f>K57-AD57</f>
        <v>50000</v>
      </c>
      <c r="AH57" s="107" t="s">
        <v>197</v>
      </c>
      <c r="AI57" s="107" t="s">
        <v>4611</v>
      </c>
    </row>
    <row r="58" s="4" customFormat="1" ht="32.25" customHeight="1" spans="1:35">
      <c r="A58" s="107"/>
      <c r="B58" s="108"/>
      <c r="C58" s="111"/>
      <c r="D58" s="83"/>
      <c r="E58" s="134"/>
      <c r="F58" s="134"/>
      <c r="G58" s="107"/>
      <c r="H58" s="134"/>
      <c r="I58" s="107"/>
      <c r="J58" s="134"/>
      <c r="K58" s="157"/>
      <c r="L58" s="107"/>
      <c r="M58" s="107">
        <v>2</v>
      </c>
      <c r="N58" s="213" t="s">
        <v>439</v>
      </c>
      <c r="O58" s="216">
        <v>0.4</v>
      </c>
      <c r="P58" s="107">
        <f>O58*K57</f>
        <v>80000</v>
      </c>
      <c r="Q58" s="120">
        <v>80000</v>
      </c>
      <c r="R58" s="120" t="s">
        <v>4603</v>
      </c>
      <c r="S58" s="121">
        <v>44132</v>
      </c>
      <c r="T58" s="120">
        <v>80000</v>
      </c>
      <c r="U58" s="121">
        <v>44132</v>
      </c>
      <c r="V58" s="212"/>
      <c r="W58" s="256"/>
      <c r="X58" s="296"/>
      <c r="Y58" s="335"/>
      <c r="Z58" s="336"/>
      <c r="AA58" s="212"/>
      <c r="AB58" s="321"/>
      <c r="AC58" s="321"/>
      <c r="AD58" s="107"/>
      <c r="AE58" s="107"/>
      <c r="AF58" s="134"/>
      <c r="AG58" s="107"/>
      <c r="AH58" s="107"/>
      <c r="AI58" s="107"/>
    </row>
    <row r="59" s="4" customFormat="1" ht="32.25" customHeight="1" spans="1:35">
      <c r="A59" s="107"/>
      <c r="B59" s="108"/>
      <c r="C59" s="111"/>
      <c r="D59" s="83"/>
      <c r="E59" s="134"/>
      <c r="F59" s="134"/>
      <c r="G59" s="107"/>
      <c r="H59" s="134"/>
      <c r="I59" s="107"/>
      <c r="J59" s="134"/>
      <c r="K59" s="157"/>
      <c r="L59" s="107"/>
      <c r="M59" s="211">
        <v>3</v>
      </c>
      <c r="N59" s="219" t="s">
        <v>441</v>
      </c>
      <c r="O59" s="216">
        <v>0.25</v>
      </c>
      <c r="P59" s="211">
        <v>50000</v>
      </c>
      <c r="Q59" s="120">
        <v>50000</v>
      </c>
      <c r="R59" s="120" t="s">
        <v>4603</v>
      </c>
      <c r="S59" s="121">
        <v>44900</v>
      </c>
      <c r="T59" s="120">
        <v>50000</v>
      </c>
      <c r="U59" s="121">
        <v>44896</v>
      </c>
      <c r="V59" s="212"/>
      <c r="W59" s="256"/>
      <c r="X59" s="300"/>
      <c r="Y59" s="337"/>
      <c r="Z59" s="336"/>
      <c r="AA59" s="334" t="s">
        <v>4669</v>
      </c>
      <c r="AB59" s="321"/>
      <c r="AC59" s="321"/>
      <c r="AD59" s="107"/>
      <c r="AE59" s="107"/>
      <c r="AF59" s="134"/>
      <c r="AG59" s="107"/>
      <c r="AH59" s="107"/>
      <c r="AI59" s="107"/>
    </row>
    <row r="60" s="4" customFormat="1" ht="32.25" customHeight="1" spans="1:35">
      <c r="A60" s="107"/>
      <c r="B60" s="108"/>
      <c r="C60" s="111"/>
      <c r="D60" s="83"/>
      <c r="E60" s="134"/>
      <c r="F60" s="134"/>
      <c r="G60" s="107"/>
      <c r="H60" s="134"/>
      <c r="I60" s="107"/>
      <c r="J60" s="134"/>
      <c r="K60" s="157"/>
      <c r="L60" s="107"/>
      <c r="M60" s="220"/>
      <c r="N60" s="221"/>
      <c r="O60" s="216"/>
      <c r="P60" s="211">
        <v>-50000</v>
      </c>
      <c r="Q60" s="260">
        <v>-50000</v>
      </c>
      <c r="R60" s="120" t="s">
        <v>4603</v>
      </c>
      <c r="S60" s="121">
        <v>45667</v>
      </c>
      <c r="T60" s="260">
        <v>-50000</v>
      </c>
      <c r="U60" s="260">
        <v>45652</v>
      </c>
      <c r="V60" s="107"/>
      <c r="W60" s="292"/>
      <c r="X60" s="301"/>
      <c r="Y60" s="338"/>
      <c r="Z60" s="339"/>
      <c r="AA60" s="340"/>
      <c r="AB60" s="321"/>
      <c r="AC60" s="321"/>
      <c r="AD60" s="107"/>
      <c r="AE60" s="107"/>
      <c r="AF60" s="134"/>
      <c r="AG60" s="107"/>
      <c r="AH60" s="107"/>
      <c r="AI60" s="107"/>
    </row>
    <row r="61" s="1" customFormat="1" ht="32.25" customHeight="1" spans="1:35">
      <c r="A61" s="112" t="s">
        <v>4528</v>
      </c>
      <c r="B61" s="113">
        <v>45484</v>
      </c>
      <c r="C61" s="114" t="s">
        <v>4529</v>
      </c>
      <c r="D61" s="83"/>
      <c r="E61" s="138" t="s">
        <v>4670</v>
      </c>
      <c r="F61" s="138" t="s">
        <v>4671</v>
      </c>
      <c r="G61" s="112" t="s">
        <v>813</v>
      </c>
      <c r="H61" s="138" t="s">
        <v>4672</v>
      </c>
      <c r="I61" s="158">
        <v>2756</v>
      </c>
      <c r="J61" s="138" t="s">
        <v>2303</v>
      </c>
      <c r="K61" s="159">
        <v>165360</v>
      </c>
      <c r="L61" s="112" t="s">
        <v>35</v>
      </c>
      <c r="M61" s="158">
        <v>1</v>
      </c>
      <c r="N61" s="138" t="s">
        <v>4673</v>
      </c>
      <c r="O61" s="222">
        <v>0.7</v>
      </c>
      <c r="P61" s="158">
        <f>K61*O61</f>
        <v>115752</v>
      </c>
      <c r="Q61" s="261">
        <v>115752</v>
      </c>
      <c r="R61" s="262" t="s">
        <v>4603</v>
      </c>
      <c r="S61" s="263">
        <v>45642</v>
      </c>
      <c r="T61" s="264">
        <v>115752</v>
      </c>
      <c r="U61" s="263">
        <v>45642</v>
      </c>
      <c r="V61" s="158">
        <v>82680</v>
      </c>
      <c r="W61" s="302">
        <v>45639</v>
      </c>
      <c r="X61" s="303">
        <v>82680</v>
      </c>
      <c r="Y61" s="341">
        <v>45681</v>
      </c>
      <c r="Z61" s="342">
        <f>Q61-X61</f>
        <v>33072</v>
      </c>
      <c r="AA61" s="343"/>
      <c r="AB61" s="344"/>
      <c r="AC61" s="344"/>
      <c r="AD61" s="350"/>
      <c r="AE61" s="350"/>
      <c r="AF61" s="351"/>
      <c r="AG61" s="350"/>
      <c r="AH61" s="350"/>
      <c r="AI61" s="350"/>
    </row>
    <row r="62" s="1" customFormat="1" ht="32.25" customHeight="1" spans="1:35">
      <c r="A62" s="115"/>
      <c r="B62" s="116"/>
      <c r="C62" s="117"/>
      <c r="D62" s="83"/>
      <c r="E62" s="139"/>
      <c r="F62" s="139"/>
      <c r="G62" s="115"/>
      <c r="H62" s="139"/>
      <c r="I62" s="118"/>
      <c r="J62" s="139"/>
      <c r="K62" s="160"/>
      <c r="L62" s="115"/>
      <c r="M62" s="118"/>
      <c r="N62" s="139"/>
      <c r="O62" s="222"/>
      <c r="P62" s="118"/>
      <c r="Q62" s="265"/>
      <c r="R62" s="266"/>
      <c r="S62" s="267"/>
      <c r="T62" s="268"/>
      <c r="U62" s="267"/>
      <c r="V62" s="158"/>
      <c r="W62" s="302"/>
      <c r="X62" s="304">
        <v>33072</v>
      </c>
      <c r="Y62" s="345">
        <v>45925</v>
      </c>
      <c r="Z62" s="342"/>
      <c r="AA62" s="343"/>
      <c r="AB62" s="344"/>
      <c r="AC62" s="344"/>
      <c r="AD62" s="350"/>
      <c r="AE62" s="350"/>
      <c r="AF62" s="351"/>
      <c r="AG62" s="350"/>
      <c r="AH62" s="350"/>
      <c r="AI62" s="350"/>
    </row>
    <row r="63" s="1" customFormat="1" ht="32.25" customHeight="1" spans="1:35">
      <c r="A63" s="118"/>
      <c r="B63" s="116"/>
      <c r="C63" s="119"/>
      <c r="D63" s="83"/>
      <c r="E63" s="140"/>
      <c r="F63" s="140"/>
      <c r="G63" s="118"/>
      <c r="H63" s="140"/>
      <c r="I63" s="118"/>
      <c r="J63" s="140"/>
      <c r="K63" s="160"/>
      <c r="L63" s="118"/>
      <c r="M63" s="158">
        <v>2</v>
      </c>
      <c r="N63" s="138" t="s">
        <v>4674</v>
      </c>
      <c r="O63" s="222">
        <v>0.3</v>
      </c>
      <c r="P63" s="158">
        <f>K61*O63</f>
        <v>49608</v>
      </c>
      <c r="Q63" s="112"/>
      <c r="R63" s="112"/>
      <c r="S63" s="113"/>
      <c r="T63" s="112"/>
      <c r="U63" s="113"/>
      <c r="V63" s="158"/>
      <c r="W63" s="302"/>
      <c r="X63" s="304">
        <v>49608</v>
      </c>
      <c r="Y63" s="345">
        <v>45955</v>
      </c>
      <c r="Z63" s="346"/>
      <c r="AA63" s="343"/>
      <c r="AB63" s="344"/>
      <c r="AC63" s="344"/>
      <c r="AD63" s="350"/>
      <c r="AE63" s="350"/>
      <c r="AF63" s="351"/>
      <c r="AG63" s="350"/>
      <c r="AH63" s="350"/>
      <c r="AI63" s="350"/>
    </row>
    <row r="64" s="5" customFormat="1" ht="30" customHeight="1" spans="1:35">
      <c r="A64" s="120" t="s">
        <v>173</v>
      </c>
      <c r="B64" s="121">
        <v>43910</v>
      </c>
      <c r="C64" s="109" t="s">
        <v>190</v>
      </c>
      <c r="D64" s="83" t="s">
        <v>113</v>
      </c>
      <c r="E64" s="141" t="s">
        <v>191</v>
      </c>
      <c r="F64" s="141" t="s">
        <v>4675</v>
      </c>
      <c r="G64" s="120" t="s">
        <v>4676</v>
      </c>
      <c r="H64" s="141" t="s">
        <v>4677</v>
      </c>
      <c r="I64" s="120">
        <v>29423</v>
      </c>
      <c r="J64" s="141" t="s">
        <v>4678</v>
      </c>
      <c r="K64" s="161">
        <v>117692</v>
      </c>
      <c r="L64" s="120" t="s">
        <v>32</v>
      </c>
      <c r="M64" s="120">
        <v>1</v>
      </c>
      <c r="N64" s="223" t="s">
        <v>2452</v>
      </c>
      <c r="O64" s="224">
        <v>0.2</v>
      </c>
      <c r="P64" s="120">
        <f>O64*K64</f>
        <v>23538.4</v>
      </c>
      <c r="Q64" s="269">
        <v>103866.03</v>
      </c>
      <c r="R64" s="254" t="s">
        <v>4603</v>
      </c>
      <c r="S64" s="270">
        <v>44113</v>
      </c>
      <c r="T64" s="269">
        <v>103866.03</v>
      </c>
      <c r="U64" s="305">
        <v>44113</v>
      </c>
      <c r="V64" s="306">
        <v>103866.03</v>
      </c>
      <c r="W64" s="270">
        <v>44090</v>
      </c>
      <c r="X64" s="120">
        <v>78461.33</v>
      </c>
      <c r="Y64" s="322">
        <v>44124</v>
      </c>
      <c r="Z64" s="294"/>
      <c r="AA64" s="223"/>
      <c r="AB64" s="223"/>
      <c r="AC64" s="223"/>
      <c r="AD64" s="120">
        <f>SUM(Q64:Q66)</f>
        <v>103866.03</v>
      </c>
      <c r="AE64" s="120">
        <f>SUM(V64:V66)</f>
        <v>103866.03</v>
      </c>
      <c r="AF64" s="141">
        <f>SUM(X64:X66)</f>
        <v>103866.03</v>
      </c>
      <c r="AG64" s="120">
        <f>K64-AD64</f>
        <v>13825.97</v>
      </c>
      <c r="AH64" s="120"/>
      <c r="AI64" s="120"/>
    </row>
    <row r="65" s="5" customFormat="1" ht="52.5" customHeight="1" spans="1:35">
      <c r="A65" s="120"/>
      <c r="B65" s="121"/>
      <c r="C65" s="354"/>
      <c r="D65" s="83"/>
      <c r="E65" s="141"/>
      <c r="F65" s="141"/>
      <c r="G65" s="120"/>
      <c r="H65" s="141"/>
      <c r="I65" s="120"/>
      <c r="J65" s="141"/>
      <c r="K65" s="161"/>
      <c r="L65" s="120"/>
      <c r="M65" s="120">
        <v>2</v>
      </c>
      <c r="N65" s="323" t="s">
        <v>2453</v>
      </c>
      <c r="O65" s="224">
        <v>0.4</v>
      </c>
      <c r="P65" s="120">
        <f>O65*K64</f>
        <v>47076.8</v>
      </c>
      <c r="Q65" s="334"/>
      <c r="R65" s="334"/>
      <c r="S65" s="487"/>
      <c r="T65" s="334"/>
      <c r="U65" s="521"/>
      <c r="V65" s="522"/>
      <c r="W65" s="487"/>
      <c r="X65" s="254">
        <f>Q64-X64</f>
        <v>25404.7</v>
      </c>
      <c r="Y65" s="305">
        <v>45464</v>
      </c>
      <c r="Z65" s="294"/>
      <c r="AA65" s="223"/>
      <c r="AB65" s="223"/>
      <c r="AC65" s="223"/>
      <c r="AD65" s="120"/>
      <c r="AE65" s="120"/>
      <c r="AF65" s="141"/>
      <c r="AG65" s="120"/>
      <c r="AH65" s="120"/>
      <c r="AI65" s="120"/>
    </row>
    <row r="66" s="5" customFormat="1" ht="54.15" customHeight="1" spans="1:35">
      <c r="A66" s="120"/>
      <c r="B66" s="121"/>
      <c r="C66" s="354"/>
      <c r="D66" s="83"/>
      <c r="E66" s="141"/>
      <c r="F66" s="141"/>
      <c r="G66" s="120"/>
      <c r="H66" s="141"/>
      <c r="I66" s="120"/>
      <c r="J66" s="141"/>
      <c r="K66" s="161"/>
      <c r="L66" s="120"/>
      <c r="M66" s="120">
        <v>3</v>
      </c>
      <c r="N66" s="323" t="s">
        <v>1978</v>
      </c>
      <c r="O66" s="224">
        <v>0.3</v>
      </c>
      <c r="P66" s="120">
        <f>O66*K64</f>
        <v>35307.6</v>
      </c>
      <c r="Q66" s="296"/>
      <c r="R66" s="296"/>
      <c r="S66" s="488"/>
      <c r="T66" s="296"/>
      <c r="U66" s="335"/>
      <c r="V66" s="523"/>
      <c r="W66" s="488"/>
      <c r="X66" s="296"/>
      <c r="Y66" s="521"/>
      <c r="Z66" s="294">
        <f>Q66-X66</f>
        <v>0</v>
      </c>
      <c r="AA66" s="223"/>
      <c r="AB66" s="223"/>
      <c r="AC66" s="223"/>
      <c r="AD66" s="120"/>
      <c r="AE66" s="120"/>
      <c r="AF66" s="141"/>
      <c r="AG66" s="120"/>
      <c r="AH66" s="120"/>
      <c r="AI66" s="120"/>
    </row>
    <row r="67" s="5" customFormat="1" ht="71.25" customHeight="1" spans="1:35">
      <c r="A67" s="120"/>
      <c r="B67" s="121"/>
      <c r="C67" s="354"/>
      <c r="D67" s="83"/>
      <c r="E67" s="141"/>
      <c r="F67" s="141"/>
      <c r="G67" s="120"/>
      <c r="H67" s="141"/>
      <c r="I67" s="120"/>
      <c r="J67" s="141"/>
      <c r="K67" s="161"/>
      <c r="L67" s="120"/>
      <c r="M67" s="120">
        <v>4</v>
      </c>
      <c r="N67" s="323" t="s">
        <v>4679</v>
      </c>
      <c r="O67" s="224">
        <v>0.1</v>
      </c>
      <c r="P67" s="120">
        <f>O67*K64</f>
        <v>11769.2</v>
      </c>
      <c r="Q67" s="120">
        <v>11540.69</v>
      </c>
      <c r="R67" s="120" t="s">
        <v>4603</v>
      </c>
      <c r="S67" s="121">
        <v>44550</v>
      </c>
      <c r="T67" s="120">
        <v>11540.69</v>
      </c>
      <c r="U67" s="322">
        <v>44550</v>
      </c>
      <c r="V67" s="120">
        <v>11540.69</v>
      </c>
      <c r="W67" s="121">
        <v>45467</v>
      </c>
      <c r="X67" s="120">
        <v>11540.69</v>
      </c>
      <c r="Y67" s="335"/>
      <c r="Z67" s="294">
        <f>Q67-X67</f>
        <v>0</v>
      </c>
      <c r="AA67" s="223"/>
      <c r="AB67" s="223"/>
      <c r="AC67" s="223"/>
      <c r="AD67" s="120"/>
      <c r="AE67" s="120"/>
      <c r="AF67" s="141"/>
      <c r="AG67" s="120"/>
      <c r="AH67" s="120"/>
      <c r="AI67" s="120"/>
    </row>
    <row r="68" s="3" customFormat="1" ht="27" customHeight="1" spans="1:35">
      <c r="A68" s="103" t="s">
        <v>173</v>
      </c>
      <c r="B68" s="104">
        <v>44044</v>
      </c>
      <c r="C68" s="105" t="s">
        <v>4680</v>
      </c>
      <c r="D68" s="103"/>
      <c r="E68" s="133" t="s">
        <v>4681</v>
      </c>
      <c r="F68" s="133" t="s">
        <v>4682</v>
      </c>
      <c r="G68" s="103" t="s">
        <v>658</v>
      </c>
      <c r="H68" s="133" t="s">
        <v>1001</v>
      </c>
      <c r="I68" s="103"/>
      <c r="J68" s="133"/>
      <c r="K68" s="155">
        <v>550000</v>
      </c>
      <c r="L68" s="103" t="s">
        <v>27</v>
      </c>
      <c r="M68" s="103">
        <v>1</v>
      </c>
      <c r="N68" s="209" t="s">
        <v>4683</v>
      </c>
      <c r="O68" s="444">
        <v>1</v>
      </c>
      <c r="P68" s="103">
        <v>550000</v>
      </c>
      <c r="Q68" s="103">
        <v>550000</v>
      </c>
      <c r="R68" s="248" t="s">
        <v>4603</v>
      </c>
      <c r="S68" s="104">
        <v>44127</v>
      </c>
      <c r="T68" s="103">
        <v>550000</v>
      </c>
      <c r="U68" s="104">
        <v>44127</v>
      </c>
      <c r="V68" s="103">
        <v>550000</v>
      </c>
      <c r="W68" s="288">
        <v>44178</v>
      </c>
      <c r="X68" s="103">
        <v>550000</v>
      </c>
      <c r="Y68" s="576">
        <v>44189</v>
      </c>
      <c r="Z68" s="406"/>
      <c r="AA68" s="319"/>
      <c r="AB68" s="319"/>
      <c r="AC68" s="319"/>
      <c r="AD68" s="103"/>
      <c r="AE68" s="103"/>
      <c r="AF68" s="133"/>
      <c r="AG68" s="103"/>
      <c r="AH68" s="103"/>
      <c r="AI68" s="103"/>
    </row>
    <row r="69" s="6" customFormat="1" ht="23.25" customHeight="1" spans="1:35">
      <c r="A69" s="355" t="s">
        <v>146</v>
      </c>
      <c r="B69" s="356">
        <v>43822</v>
      </c>
      <c r="C69" s="357" t="s">
        <v>4684</v>
      </c>
      <c r="D69" s="355" t="s">
        <v>113</v>
      </c>
      <c r="E69" s="403" t="s">
        <v>4685</v>
      </c>
      <c r="F69" s="403" t="s">
        <v>4686</v>
      </c>
      <c r="G69" s="355" t="s">
        <v>658</v>
      </c>
      <c r="H69" s="403" t="s">
        <v>1001</v>
      </c>
      <c r="I69" s="355">
        <v>107155.9</v>
      </c>
      <c r="J69" s="403" t="s">
        <v>4687</v>
      </c>
      <c r="K69" s="421">
        <v>2340639</v>
      </c>
      <c r="L69" s="422" t="s">
        <v>138</v>
      </c>
      <c r="M69" s="355">
        <v>1</v>
      </c>
      <c r="N69" s="445" t="s">
        <v>1552</v>
      </c>
      <c r="O69" s="446">
        <v>0.2</v>
      </c>
      <c r="P69" s="355">
        <f>O69*K69</f>
        <v>468127.8</v>
      </c>
      <c r="Q69" s="355">
        <v>468127.8</v>
      </c>
      <c r="R69" s="355" t="s">
        <v>206</v>
      </c>
      <c r="S69" s="356">
        <v>43823</v>
      </c>
      <c r="T69" s="355" t="s">
        <v>171</v>
      </c>
      <c r="U69" s="355" t="s">
        <v>171</v>
      </c>
      <c r="V69" s="355">
        <v>468127.8</v>
      </c>
      <c r="W69" s="524">
        <v>43823</v>
      </c>
      <c r="X69" s="355">
        <v>468127.8</v>
      </c>
      <c r="Y69" s="524">
        <v>43824</v>
      </c>
      <c r="Z69" s="339">
        <f>Q69-X69</f>
        <v>0</v>
      </c>
      <c r="AA69" s="445"/>
      <c r="AB69" s="445"/>
      <c r="AC69" s="445"/>
      <c r="AD69" s="355">
        <f>SUM(Q69:Q71)</f>
        <v>1989543.15</v>
      </c>
      <c r="AE69" s="355">
        <f>SUM(V69:V71)</f>
        <v>1637351.45</v>
      </c>
      <c r="AF69" s="403">
        <f>SUM(X69:X71)</f>
        <v>1637351.45</v>
      </c>
      <c r="AG69" s="355">
        <f>K69-AD69</f>
        <v>351095.85</v>
      </c>
      <c r="AH69" s="614"/>
      <c r="AI69" s="614"/>
    </row>
    <row r="70" s="6" customFormat="1" ht="23.25" customHeight="1" spans="1:35">
      <c r="A70" s="355"/>
      <c r="B70" s="356"/>
      <c r="C70" s="358"/>
      <c r="D70" s="355"/>
      <c r="E70" s="403"/>
      <c r="F70" s="403"/>
      <c r="G70" s="355"/>
      <c r="H70" s="403"/>
      <c r="I70" s="355"/>
      <c r="J70" s="403"/>
      <c r="K70" s="421"/>
      <c r="L70" s="355"/>
      <c r="M70" s="355">
        <v>2</v>
      </c>
      <c r="N70" s="445" t="s">
        <v>4688</v>
      </c>
      <c r="O70" s="446">
        <v>0.35</v>
      </c>
      <c r="P70" s="355">
        <f>O70*K69</f>
        <v>819223.65</v>
      </c>
      <c r="Q70" s="355">
        <v>819223.65</v>
      </c>
      <c r="R70" s="355" t="s">
        <v>206</v>
      </c>
      <c r="S70" s="356">
        <v>43823</v>
      </c>
      <c r="T70" s="355" t="s">
        <v>171</v>
      </c>
      <c r="U70" s="355" t="s">
        <v>171</v>
      </c>
      <c r="V70" s="355">
        <v>819223.65</v>
      </c>
      <c r="W70" s="524">
        <v>43823</v>
      </c>
      <c r="X70" s="355">
        <v>819223.65</v>
      </c>
      <c r="Y70" s="524">
        <v>43824</v>
      </c>
      <c r="Z70" s="339">
        <f>Q70-X70</f>
        <v>0</v>
      </c>
      <c r="AA70" s="445"/>
      <c r="AB70" s="445"/>
      <c r="AC70" s="445"/>
      <c r="AD70" s="355"/>
      <c r="AE70" s="355"/>
      <c r="AF70" s="403"/>
      <c r="AG70" s="355"/>
      <c r="AH70" s="614"/>
      <c r="AI70" s="614"/>
    </row>
    <row r="71" s="6" customFormat="1" ht="23.25" customHeight="1" spans="1:35">
      <c r="A71" s="355"/>
      <c r="B71" s="356"/>
      <c r="C71" s="358"/>
      <c r="D71" s="355"/>
      <c r="E71" s="403"/>
      <c r="F71" s="403"/>
      <c r="G71" s="355"/>
      <c r="H71" s="403"/>
      <c r="I71" s="355"/>
      <c r="J71" s="403"/>
      <c r="K71" s="421"/>
      <c r="L71" s="355"/>
      <c r="M71" s="447">
        <v>3</v>
      </c>
      <c r="N71" s="447" t="s">
        <v>4689</v>
      </c>
      <c r="O71" s="446">
        <v>0.3</v>
      </c>
      <c r="P71" s="447">
        <f>O71*K69</f>
        <v>702191.7</v>
      </c>
      <c r="Q71" s="489">
        <v>702191.7</v>
      </c>
      <c r="R71" s="489" t="s">
        <v>4603</v>
      </c>
      <c r="S71" s="490">
        <v>44148</v>
      </c>
      <c r="T71" s="489">
        <v>702191.7</v>
      </c>
      <c r="U71" s="525">
        <v>44148</v>
      </c>
      <c r="V71" s="422">
        <v>350000</v>
      </c>
      <c r="W71" s="526">
        <v>44147</v>
      </c>
      <c r="X71" s="422">
        <v>350000</v>
      </c>
      <c r="Y71" s="577">
        <v>44185</v>
      </c>
      <c r="Z71" s="333">
        <v>0</v>
      </c>
      <c r="AA71" s="445"/>
      <c r="AB71" s="445"/>
      <c r="AC71" s="445"/>
      <c r="AD71" s="355"/>
      <c r="AE71" s="355"/>
      <c r="AF71" s="403"/>
      <c r="AG71" s="355"/>
      <c r="AH71" s="614"/>
      <c r="AI71" s="614"/>
    </row>
    <row r="72" s="6" customFormat="1" ht="23.25" customHeight="1" spans="1:35">
      <c r="A72" s="355"/>
      <c r="B72" s="356"/>
      <c r="C72" s="358"/>
      <c r="D72" s="355"/>
      <c r="E72" s="403"/>
      <c r="F72" s="403"/>
      <c r="G72" s="355"/>
      <c r="H72" s="403"/>
      <c r="I72" s="355"/>
      <c r="J72" s="403"/>
      <c r="K72" s="421"/>
      <c r="L72" s="355"/>
      <c r="M72" s="448"/>
      <c r="N72" s="448"/>
      <c r="O72" s="446"/>
      <c r="P72" s="448"/>
      <c r="Q72" s="491"/>
      <c r="R72" s="491"/>
      <c r="S72" s="492"/>
      <c r="T72" s="491"/>
      <c r="U72" s="527"/>
      <c r="V72" s="422">
        <f>Q71-V71</f>
        <v>352191.7</v>
      </c>
      <c r="W72" s="526">
        <v>44332</v>
      </c>
      <c r="X72" s="422">
        <f>V72</f>
        <v>352191.7</v>
      </c>
      <c r="Y72" s="577">
        <v>44355</v>
      </c>
      <c r="Z72" s="336"/>
      <c r="AA72" s="445"/>
      <c r="AB72" s="445"/>
      <c r="AC72" s="445"/>
      <c r="AD72" s="355"/>
      <c r="AE72" s="355"/>
      <c r="AF72" s="403"/>
      <c r="AG72" s="355"/>
      <c r="AH72" s="614"/>
      <c r="AI72" s="614"/>
    </row>
    <row r="73" s="6" customFormat="1" ht="23.25" customHeight="1" spans="1:35">
      <c r="A73" s="355"/>
      <c r="B73" s="356"/>
      <c r="C73" s="358"/>
      <c r="D73" s="355"/>
      <c r="E73" s="403"/>
      <c r="F73" s="403"/>
      <c r="G73" s="355"/>
      <c r="H73" s="403"/>
      <c r="I73" s="355"/>
      <c r="J73" s="403"/>
      <c r="K73" s="421"/>
      <c r="L73" s="355"/>
      <c r="M73" s="355">
        <v>4</v>
      </c>
      <c r="N73" s="445" t="s">
        <v>4690</v>
      </c>
      <c r="O73" s="446">
        <v>0.15</v>
      </c>
      <c r="P73" s="355">
        <f>O73*K69</f>
        <v>351095.85</v>
      </c>
      <c r="Q73" s="355">
        <v>351095.85</v>
      </c>
      <c r="R73" s="422" t="s">
        <v>4603</v>
      </c>
      <c r="S73" s="356">
        <v>44148</v>
      </c>
      <c r="T73" s="355">
        <v>351095.85</v>
      </c>
      <c r="U73" s="528">
        <v>44148</v>
      </c>
      <c r="V73" s="355">
        <v>351095.85</v>
      </c>
      <c r="W73" s="529">
        <v>44630</v>
      </c>
      <c r="X73" s="422">
        <v>351095.85</v>
      </c>
      <c r="Y73" s="578">
        <v>44641</v>
      </c>
      <c r="Z73" s="339">
        <f>Q73-X73</f>
        <v>0</v>
      </c>
      <c r="AA73" s="445"/>
      <c r="AB73" s="445"/>
      <c r="AC73" s="445"/>
      <c r="AD73" s="355"/>
      <c r="AE73" s="355"/>
      <c r="AF73" s="403"/>
      <c r="AG73" s="355"/>
      <c r="AH73" s="614"/>
      <c r="AI73" s="614"/>
    </row>
    <row r="74" s="1" customFormat="1" ht="61" spans="1:35">
      <c r="A74" s="83" t="s">
        <v>173</v>
      </c>
      <c r="B74" s="100">
        <v>43950</v>
      </c>
      <c r="C74" s="101" t="s">
        <v>236</v>
      </c>
      <c r="D74" s="131" t="s">
        <v>4691</v>
      </c>
      <c r="E74" s="131" t="s">
        <v>4692</v>
      </c>
      <c r="F74" s="131" t="s">
        <v>4691</v>
      </c>
      <c r="G74" s="83" t="s">
        <v>240</v>
      </c>
      <c r="H74" s="131" t="s">
        <v>802</v>
      </c>
      <c r="I74" s="83">
        <v>246348</v>
      </c>
      <c r="J74" s="86" t="s">
        <v>4693</v>
      </c>
      <c r="K74" s="146">
        <v>3171057.37</v>
      </c>
      <c r="L74" s="83" t="s">
        <v>126</v>
      </c>
      <c r="M74" s="83">
        <v>1</v>
      </c>
      <c r="N74" s="168" t="s">
        <v>245</v>
      </c>
      <c r="O74" s="192">
        <v>0.1</v>
      </c>
      <c r="P74" s="183">
        <f>O74*K74</f>
        <v>317105.737</v>
      </c>
      <c r="Q74" s="83">
        <v>313502.7</v>
      </c>
      <c r="R74" s="83" t="s">
        <v>206</v>
      </c>
      <c r="S74" s="246">
        <v>44010</v>
      </c>
      <c r="T74" s="83" t="s">
        <v>171</v>
      </c>
      <c r="U74" s="83" t="s">
        <v>171</v>
      </c>
      <c r="V74" s="87">
        <v>313502.7</v>
      </c>
      <c r="W74" s="530">
        <v>44010</v>
      </c>
      <c r="X74" s="83">
        <v>313502.7</v>
      </c>
      <c r="Y74" s="245">
        <v>44006</v>
      </c>
      <c r="Z74" s="96">
        <f>Q74-X74</f>
        <v>0</v>
      </c>
      <c r="AA74" s="311"/>
      <c r="AB74" s="311"/>
      <c r="AC74" s="311"/>
      <c r="AD74" s="83">
        <f>SUM(Q74:Q85)</f>
        <v>3168099.431</v>
      </c>
      <c r="AE74" s="83">
        <f>SUM(V74:V85)</f>
        <v>2856909.57</v>
      </c>
      <c r="AF74" s="86">
        <f>SUM(X74:X85)</f>
        <v>3171057.366</v>
      </c>
      <c r="AG74" s="83">
        <f>K74-AD74</f>
        <v>2957.93900000025</v>
      </c>
      <c r="AH74" s="83"/>
      <c r="AI74" s="83"/>
    </row>
    <row r="75" s="1" customFormat="1" spans="1:35">
      <c r="A75" s="83"/>
      <c r="B75" s="100"/>
      <c r="C75" s="85"/>
      <c r="D75" s="86"/>
      <c r="E75" s="86"/>
      <c r="F75" s="86"/>
      <c r="G75" s="83"/>
      <c r="H75" s="86"/>
      <c r="I75" s="83"/>
      <c r="J75" s="86"/>
      <c r="K75" s="146"/>
      <c r="L75" s="83"/>
      <c r="M75" s="87" t="s">
        <v>248</v>
      </c>
      <c r="N75" s="169" t="s">
        <v>4694</v>
      </c>
      <c r="O75" s="192">
        <v>0.5</v>
      </c>
      <c r="P75" s="174">
        <f>93683.57*15*0.5+42387.69*7*0.5</f>
        <v>850983.69</v>
      </c>
      <c r="Q75" s="124">
        <v>850983.69</v>
      </c>
      <c r="R75" s="124" t="s">
        <v>4603</v>
      </c>
      <c r="S75" s="258">
        <v>44158</v>
      </c>
      <c r="T75" s="124">
        <v>850983.69</v>
      </c>
      <c r="U75" s="275">
        <v>44158</v>
      </c>
      <c r="V75" s="128">
        <v>716100</v>
      </c>
      <c r="W75" s="283">
        <v>44425</v>
      </c>
      <c r="X75" s="531">
        <v>350000</v>
      </c>
      <c r="Y75" s="246">
        <v>44433</v>
      </c>
      <c r="Z75" s="96"/>
      <c r="AA75" s="311"/>
      <c r="AB75" s="311"/>
      <c r="AC75" s="311"/>
      <c r="AD75" s="83"/>
      <c r="AE75" s="83"/>
      <c r="AF75" s="86"/>
      <c r="AG75" s="83"/>
      <c r="AH75" s="83"/>
      <c r="AI75" s="83"/>
    </row>
    <row r="76" s="1" customFormat="1" spans="1:35">
      <c r="A76" s="83"/>
      <c r="B76" s="100"/>
      <c r="C76" s="85"/>
      <c r="D76" s="86"/>
      <c r="E76" s="86"/>
      <c r="F76" s="86"/>
      <c r="G76" s="83"/>
      <c r="H76" s="86"/>
      <c r="I76" s="83"/>
      <c r="J76" s="86"/>
      <c r="K76" s="146"/>
      <c r="L76" s="83"/>
      <c r="M76" s="90"/>
      <c r="N76" s="449"/>
      <c r="O76" s="192"/>
      <c r="P76" s="177"/>
      <c r="Q76" s="126"/>
      <c r="R76" s="126"/>
      <c r="S76" s="493"/>
      <c r="T76" s="126"/>
      <c r="U76" s="277"/>
      <c r="V76" s="128"/>
      <c r="W76" s="284"/>
      <c r="X76" s="531">
        <v>366100</v>
      </c>
      <c r="Y76" s="246">
        <v>44490</v>
      </c>
      <c r="Z76" s="96"/>
      <c r="AA76" s="311"/>
      <c r="AB76" s="311"/>
      <c r="AC76" s="311"/>
      <c r="AD76" s="83"/>
      <c r="AE76" s="83"/>
      <c r="AF76" s="86"/>
      <c r="AG76" s="83"/>
      <c r="AH76" s="83"/>
      <c r="AI76" s="83"/>
    </row>
    <row r="77" s="1" customFormat="1" spans="1:35">
      <c r="A77" s="83"/>
      <c r="B77" s="100"/>
      <c r="C77" s="85"/>
      <c r="D77" s="86"/>
      <c r="E77" s="86"/>
      <c r="F77" s="86"/>
      <c r="G77" s="83"/>
      <c r="H77" s="86"/>
      <c r="I77" s="83"/>
      <c r="J77" s="86"/>
      <c r="K77" s="146"/>
      <c r="L77" s="83"/>
      <c r="M77" s="102"/>
      <c r="N77" s="82"/>
      <c r="O77" s="192"/>
      <c r="P77" s="180"/>
      <c r="Q77" s="130"/>
      <c r="R77" s="130"/>
      <c r="S77" s="259"/>
      <c r="T77" s="130"/>
      <c r="U77" s="278"/>
      <c r="V77" s="128">
        <v>134883.69</v>
      </c>
      <c r="W77" s="276">
        <v>44630</v>
      </c>
      <c r="X77" s="531">
        <f>Q75-X75-X76</f>
        <v>134883.69</v>
      </c>
      <c r="Y77" s="246">
        <v>44636</v>
      </c>
      <c r="Z77" s="96"/>
      <c r="AA77" s="311"/>
      <c r="AB77" s="311"/>
      <c r="AC77" s="311"/>
      <c r="AD77" s="83"/>
      <c r="AE77" s="83"/>
      <c r="AF77" s="86"/>
      <c r="AG77" s="83"/>
      <c r="AH77" s="83"/>
      <c r="AI77" s="83"/>
    </row>
    <row r="78" s="1" customFormat="1" spans="1:35">
      <c r="A78" s="83"/>
      <c r="B78" s="100"/>
      <c r="C78" s="85"/>
      <c r="D78" s="86"/>
      <c r="E78" s="86"/>
      <c r="F78" s="86"/>
      <c r="G78" s="83"/>
      <c r="H78" s="86"/>
      <c r="I78" s="83"/>
      <c r="J78" s="86"/>
      <c r="K78" s="146"/>
      <c r="L78" s="83"/>
      <c r="M78" s="87" t="s">
        <v>251</v>
      </c>
      <c r="N78" s="169" t="s">
        <v>4694</v>
      </c>
      <c r="O78" s="192">
        <v>0.5</v>
      </c>
      <c r="P78" s="174">
        <v>716529.81</v>
      </c>
      <c r="Q78" s="494">
        <f>81069.49*15*0.5+33112.9*0.5*7</f>
        <v>723916.325</v>
      </c>
      <c r="R78" s="124" t="s">
        <v>4603</v>
      </c>
      <c r="S78" s="258">
        <v>44185</v>
      </c>
      <c r="T78" s="494">
        <f>Q78</f>
        <v>723916.325</v>
      </c>
      <c r="U78" s="236">
        <v>44185</v>
      </c>
      <c r="V78" s="102">
        <v>124722.83</v>
      </c>
      <c r="W78" s="532">
        <v>44630</v>
      </c>
      <c r="X78" s="533">
        <v>124722.83</v>
      </c>
      <c r="Y78" s="241">
        <v>44636</v>
      </c>
      <c r="Z78" s="579"/>
      <c r="AA78" s="311"/>
      <c r="AB78" s="311"/>
      <c r="AC78" s="311"/>
      <c r="AD78" s="83"/>
      <c r="AE78" s="83"/>
      <c r="AF78" s="86"/>
      <c r="AG78" s="83"/>
      <c r="AH78" s="83"/>
      <c r="AI78" s="83"/>
    </row>
    <row r="79" s="1" customFormat="1" spans="1:35">
      <c r="A79" s="83"/>
      <c r="B79" s="100"/>
      <c r="C79" s="85"/>
      <c r="D79" s="86"/>
      <c r="E79" s="86"/>
      <c r="F79" s="86"/>
      <c r="G79" s="83"/>
      <c r="H79" s="86"/>
      <c r="I79" s="83"/>
      <c r="J79" s="86"/>
      <c r="K79" s="146"/>
      <c r="L79" s="83"/>
      <c r="M79" s="102"/>
      <c r="N79" s="82"/>
      <c r="O79" s="192"/>
      <c r="P79" s="180"/>
      <c r="Q79" s="495"/>
      <c r="R79" s="130"/>
      <c r="S79" s="259"/>
      <c r="T79" s="495"/>
      <c r="U79" s="240"/>
      <c r="V79" s="533">
        <v>599193.5</v>
      </c>
      <c r="W79" s="287">
        <v>44693</v>
      </c>
      <c r="X79" s="533">
        <v>599193.5</v>
      </c>
      <c r="Y79" s="241">
        <v>44704</v>
      </c>
      <c r="Z79" s="96"/>
      <c r="AA79" s="311"/>
      <c r="AB79" s="311"/>
      <c r="AC79" s="311"/>
      <c r="AD79" s="83"/>
      <c r="AE79" s="83"/>
      <c r="AF79" s="86"/>
      <c r="AG79" s="83"/>
      <c r="AH79" s="83"/>
      <c r="AI79" s="83"/>
    </row>
    <row r="80" s="1" customFormat="1" ht="122" spans="1:35">
      <c r="A80" s="83"/>
      <c r="B80" s="100"/>
      <c r="C80" s="85"/>
      <c r="D80" s="86"/>
      <c r="E80" s="86"/>
      <c r="F80" s="86"/>
      <c r="G80" s="83"/>
      <c r="H80" s="86"/>
      <c r="I80" s="83"/>
      <c r="J80" s="86"/>
      <c r="K80" s="146"/>
      <c r="L80" s="83"/>
      <c r="M80" s="100" t="s">
        <v>252</v>
      </c>
      <c r="N80" s="168" t="s">
        <v>4695</v>
      </c>
      <c r="O80" s="192">
        <v>0.2</v>
      </c>
      <c r="P80" s="183">
        <f>93683.57*15*0.2+42387.69*7*0.2</f>
        <v>340393.476</v>
      </c>
      <c r="Q80" s="496">
        <f>93683.57*15*0.2+42387.69*7*0.2</f>
        <v>340393.476</v>
      </c>
      <c r="R80" s="132" t="s">
        <v>4603</v>
      </c>
      <c r="S80" s="246">
        <v>44158</v>
      </c>
      <c r="T80" s="132">
        <v>340393.48</v>
      </c>
      <c r="U80" s="241">
        <v>44158</v>
      </c>
      <c r="V80" s="132">
        <v>340393.48</v>
      </c>
      <c r="W80" s="534">
        <v>44630</v>
      </c>
      <c r="X80" s="533">
        <f>Q80</f>
        <v>340393.476</v>
      </c>
      <c r="Y80" s="246">
        <v>44636</v>
      </c>
      <c r="Z80" s="96">
        <f>Q80-X80</f>
        <v>0</v>
      </c>
      <c r="AA80" s="311"/>
      <c r="AB80" s="311"/>
      <c r="AC80" s="311"/>
      <c r="AD80" s="83"/>
      <c r="AE80" s="83"/>
      <c r="AF80" s="86"/>
      <c r="AG80" s="83"/>
      <c r="AH80" s="83"/>
      <c r="AI80" s="83"/>
    </row>
    <row r="81" s="1" customFormat="1" ht="26.65" customHeight="1" spans="1:35">
      <c r="A81" s="83"/>
      <c r="B81" s="100"/>
      <c r="C81" s="85"/>
      <c r="D81" s="86"/>
      <c r="E81" s="86"/>
      <c r="F81" s="86"/>
      <c r="G81" s="83"/>
      <c r="H81" s="86"/>
      <c r="I81" s="83"/>
      <c r="J81" s="86"/>
      <c r="K81" s="146"/>
      <c r="L81" s="83"/>
      <c r="M81" s="87" t="s">
        <v>254</v>
      </c>
      <c r="N81" s="123" t="s">
        <v>4696</v>
      </c>
      <c r="O81" s="192">
        <v>0.2</v>
      </c>
      <c r="P81" s="194">
        <v>286611.92</v>
      </c>
      <c r="Q81" s="132">
        <f>81069.49*15*0.2+33112.9*0.2*7</f>
        <v>289566.53</v>
      </c>
      <c r="R81" s="124" t="s">
        <v>4603</v>
      </c>
      <c r="S81" s="246">
        <v>44185</v>
      </c>
      <c r="T81" s="132">
        <f>Q81</f>
        <v>289566.53</v>
      </c>
      <c r="U81" s="241">
        <v>44185</v>
      </c>
      <c r="V81" s="83">
        <v>289566.53</v>
      </c>
      <c r="W81" s="88">
        <v>44693</v>
      </c>
      <c r="X81" s="132">
        <v>222728.6</v>
      </c>
      <c r="Y81" s="241">
        <v>44742</v>
      </c>
      <c r="Z81" s="96">
        <f>(Q81+Q82)-(X81+X82)</f>
        <v>0</v>
      </c>
      <c r="AA81" s="311"/>
      <c r="AB81" s="311"/>
      <c r="AC81" s="311"/>
      <c r="AD81" s="83"/>
      <c r="AE81" s="83"/>
      <c r="AF81" s="86"/>
      <c r="AG81" s="83"/>
      <c r="AH81" s="83"/>
      <c r="AI81" s="83"/>
    </row>
    <row r="82" s="1" customFormat="1" ht="26.65" customHeight="1" spans="1:35">
      <c r="A82" s="83"/>
      <c r="B82" s="100"/>
      <c r="C82" s="85"/>
      <c r="D82" s="86"/>
      <c r="E82" s="86"/>
      <c r="F82" s="86"/>
      <c r="G82" s="83"/>
      <c r="H82" s="86"/>
      <c r="I82" s="83"/>
      <c r="J82" s="86"/>
      <c r="K82" s="146"/>
      <c r="L82" s="83"/>
      <c r="M82" s="102"/>
      <c r="N82" s="82"/>
      <c r="O82" s="192"/>
      <c r="P82" s="196"/>
      <c r="Q82" s="132">
        <v>18483.17</v>
      </c>
      <c r="R82" s="130"/>
      <c r="S82" s="246">
        <v>44693</v>
      </c>
      <c r="T82" s="132">
        <v>18483.17</v>
      </c>
      <c r="U82" s="241">
        <v>44693</v>
      </c>
      <c r="V82" s="83">
        <v>18483.17</v>
      </c>
      <c r="W82" s="98"/>
      <c r="X82" s="494">
        <v>85321.1</v>
      </c>
      <c r="Y82" s="241">
        <v>44704</v>
      </c>
      <c r="Z82" s="96"/>
      <c r="AA82" s="311"/>
      <c r="AB82" s="311"/>
      <c r="AC82" s="311"/>
      <c r="AD82" s="83"/>
      <c r="AE82" s="83"/>
      <c r="AF82" s="86"/>
      <c r="AG82" s="83"/>
      <c r="AH82" s="83"/>
      <c r="AI82" s="83"/>
    </row>
    <row r="83" s="1" customFormat="1" ht="39" customHeight="1" spans="1:35">
      <c r="A83" s="83"/>
      <c r="B83" s="100"/>
      <c r="C83" s="85"/>
      <c r="D83" s="86"/>
      <c r="E83" s="86"/>
      <c r="F83" s="86"/>
      <c r="G83" s="83"/>
      <c r="H83" s="86"/>
      <c r="I83" s="83"/>
      <c r="J83" s="86"/>
      <c r="K83" s="146"/>
      <c r="L83" s="83"/>
      <c r="M83" s="87">
        <v>4</v>
      </c>
      <c r="N83" s="450" t="s">
        <v>4697</v>
      </c>
      <c r="O83" s="192">
        <v>0.1</v>
      </c>
      <c r="P83" s="174">
        <f>O83*K74</f>
        <v>317105.737</v>
      </c>
      <c r="Q83" s="124">
        <v>317105.74</v>
      </c>
      <c r="R83" s="124" t="s">
        <v>4603</v>
      </c>
      <c r="S83" s="258">
        <v>44822</v>
      </c>
      <c r="T83" s="87">
        <v>317105.74</v>
      </c>
      <c r="U83" s="535">
        <v>44822</v>
      </c>
      <c r="V83" s="132">
        <v>143157.17</v>
      </c>
      <c r="W83" s="536">
        <v>45232</v>
      </c>
      <c r="X83" s="128">
        <v>143157.17</v>
      </c>
      <c r="Y83" s="317">
        <v>45440</v>
      </c>
      <c r="Z83" s="96">
        <f>Q83-X83</f>
        <v>173948.57</v>
      </c>
      <c r="AA83" s="311"/>
      <c r="AB83" s="311"/>
      <c r="AC83" s="311"/>
      <c r="AD83" s="83"/>
      <c r="AE83" s="83"/>
      <c r="AF83" s="86"/>
      <c r="AG83" s="83"/>
      <c r="AH83" s="83"/>
      <c r="AI83" s="83"/>
    </row>
    <row r="84" s="1" customFormat="1" ht="36.75" customHeight="1" spans="1:35">
      <c r="A84" s="83"/>
      <c r="B84" s="100"/>
      <c r="C84" s="85"/>
      <c r="D84" s="86"/>
      <c r="E84" s="86"/>
      <c r="F84" s="86"/>
      <c r="G84" s="83"/>
      <c r="H84" s="86"/>
      <c r="I84" s="83"/>
      <c r="J84" s="86"/>
      <c r="K84" s="146"/>
      <c r="L84" s="83"/>
      <c r="M84" s="102"/>
      <c r="N84" s="451"/>
      <c r="O84" s="192"/>
      <c r="P84" s="180"/>
      <c r="Q84" s="130"/>
      <c r="R84" s="130"/>
      <c r="S84" s="259"/>
      <c r="T84" s="102"/>
      <c r="U84" s="537"/>
      <c r="V84" s="183">
        <v>176906.5</v>
      </c>
      <c r="W84" s="538">
        <v>45407</v>
      </c>
      <c r="X84" s="128">
        <v>176906.5</v>
      </c>
      <c r="Y84" s="317">
        <v>45440</v>
      </c>
      <c r="Z84" s="96"/>
      <c r="AA84" s="311"/>
      <c r="AB84" s="311"/>
      <c r="AC84" s="311"/>
      <c r="AD84" s="83"/>
      <c r="AE84" s="83"/>
      <c r="AF84" s="86"/>
      <c r="AG84" s="83"/>
      <c r="AH84" s="83"/>
      <c r="AI84" s="83"/>
    </row>
    <row r="85" s="1" customFormat="1" ht="61" spans="1:35">
      <c r="A85" s="83"/>
      <c r="B85" s="100"/>
      <c r="C85" s="85"/>
      <c r="D85" s="86"/>
      <c r="E85" s="86"/>
      <c r="F85" s="86"/>
      <c r="G85" s="83"/>
      <c r="H85" s="86"/>
      <c r="I85" s="83"/>
      <c r="J85" s="86"/>
      <c r="K85" s="146"/>
      <c r="L85" s="83"/>
      <c r="M85" s="83">
        <v>5</v>
      </c>
      <c r="N85" s="168" t="s">
        <v>4698</v>
      </c>
      <c r="O85" s="192">
        <v>0.1</v>
      </c>
      <c r="P85" s="183">
        <f>O85*K74</f>
        <v>317105.737</v>
      </c>
      <c r="Q85" s="132">
        <v>314147.8</v>
      </c>
      <c r="R85" s="132"/>
      <c r="S85" s="246"/>
      <c r="T85" s="83"/>
      <c r="U85" s="245"/>
      <c r="V85" s="83"/>
      <c r="W85" s="287"/>
      <c r="X85" s="539">
        <v>314147.8</v>
      </c>
      <c r="Y85" s="580">
        <v>46081</v>
      </c>
      <c r="Z85" s="96">
        <f t="shared" ref="Z85:Z91" si="6">Q85-X85</f>
        <v>0</v>
      </c>
      <c r="AA85" s="311"/>
      <c r="AB85" s="311"/>
      <c r="AC85" s="311"/>
      <c r="AD85" s="83"/>
      <c r="AE85" s="83"/>
      <c r="AF85" s="86"/>
      <c r="AG85" s="83"/>
      <c r="AH85" s="83"/>
      <c r="AI85" s="83"/>
    </row>
    <row r="86" s="4" customFormat="1" ht="24.75" customHeight="1" spans="1:35">
      <c r="A86" s="107" t="s">
        <v>173</v>
      </c>
      <c r="B86" s="108">
        <v>43993</v>
      </c>
      <c r="C86" s="109" t="s">
        <v>4699</v>
      </c>
      <c r="D86" s="211"/>
      <c r="E86" s="134" t="s">
        <v>4700</v>
      </c>
      <c r="F86" s="134" t="s">
        <v>4701</v>
      </c>
      <c r="G86" s="107" t="s">
        <v>240</v>
      </c>
      <c r="H86" s="134" t="s">
        <v>802</v>
      </c>
      <c r="I86" s="107">
        <v>321380</v>
      </c>
      <c r="J86" s="134" t="s">
        <v>4702</v>
      </c>
      <c r="K86" s="157">
        <v>4183243</v>
      </c>
      <c r="L86" s="107" t="s">
        <v>126</v>
      </c>
      <c r="M86" s="107">
        <v>1</v>
      </c>
      <c r="N86" s="213" t="s">
        <v>245</v>
      </c>
      <c r="O86" s="216">
        <v>0.1</v>
      </c>
      <c r="P86" s="107">
        <f>O86*K86</f>
        <v>418324.3</v>
      </c>
      <c r="Q86" s="107">
        <v>418324.3</v>
      </c>
      <c r="R86" s="107" t="s">
        <v>206</v>
      </c>
      <c r="S86" s="108">
        <v>44071</v>
      </c>
      <c r="T86" s="107" t="s">
        <v>171</v>
      </c>
      <c r="U86" s="107" t="s">
        <v>171</v>
      </c>
      <c r="V86" s="107">
        <f>Q86</f>
        <v>418324.3</v>
      </c>
      <c r="W86" s="292">
        <v>44071</v>
      </c>
      <c r="X86" s="120">
        <v>418324.3</v>
      </c>
      <c r="Y86" s="322">
        <v>44166</v>
      </c>
      <c r="Z86" s="339">
        <f t="shared" si="6"/>
        <v>0</v>
      </c>
      <c r="AA86" s="321"/>
      <c r="AB86" s="321"/>
      <c r="AC86" s="321"/>
      <c r="AD86" s="107">
        <f>SUM(Q86:Q90)</f>
        <v>418324.3</v>
      </c>
      <c r="AE86" s="107">
        <f>SUM(V86:V90)</f>
        <v>418324.3</v>
      </c>
      <c r="AF86" s="134">
        <f>SUM(X86:X90)</f>
        <v>418324.3</v>
      </c>
      <c r="AG86" s="107">
        <f>K86-AD86</f>
        <v>3764918.7</v>
      </c>
      <c r="AH86" s="107"/>
      <c r="AI86" s="107"/>
    </row>
    <row r="87" s="4" customFormat="1" ht="24.75" customHeight="1" spans="1:35">
      <c r="A87" s="107"/>
      <c r="B87" s="108"/>
      <c r="C87" s="110"/>
      <c r="D87" s="220"/>
      <c r="E87" s="134"/>
      <c r="F87" s="134"/>
      <c r="G87" s="107"/>
      <c r="H87" s="134"/>
      <c r="I87" s="107"/>
      <c r="J87" s="134"/>
      <c r="K87" s="157"/>
      <c r="L87" s="107"/>
      <c r="M87" s="107">
        <v>2</v>
      </c>
      <c r="N87" s="213" t="s">
        <v>4694</v>
      </c>
      <c r="O87" s="216">
        <v>0.5</v>
      </c>
      <c r="P87" s="107">
        <f>O87*K86</f>
        <v>2091621.5</v>
      </c>
      <c r="Q87" s="301"/>
      <c r="R87" s="301"/>
      <c r="S87" s="497"/>
      <c r="T87" s="301"/>
      <c r="U87" s="338"/>
      <c r="V87" s="107"/>
      <c r="W87" s="292"/>
      <c r="X87" s="107"/>
      <c r="Y87" s="107"/>
      <c r="Z87" s="339">
        <f t="shared" si="6"/>
        <v>0</v>
      </c>
      <c r="AA87" s="321"/>
      <c r="AB87" s="321"/>
      <c r="AC87" s="321"/>
      <c r="AD87" s="107"/>
      <c r="AE87" s="107"/>
      <c r="AF87" s="134"/>
      <c r="AG87" s="107"/>
      <c r="AH87" s="107"/>
      <c r="AI87" s="107"/>
    </row>
    <row r="88" s="4" customFormat="1" ht="24.75" customHeight="1" spans="1:35">
      <c r="A88" s="107"/>
      <c r="B88" s="108"/>
      <c r="C88" s="110"/>
      <c r="D88" s="220"/>
      <c r="E88" s="134"/>
      <c r="F88" s="134"/>
      <c r="G88" s="107"/>
      <c r="H88" s="134"/>
      <c r="I88" s="107"/>
      <c r="J88" s="134"/>
      <c r="K88" s="157"/>
      <c r="L88" s="107"/>
      <c r="M88" s="107">
        <v>3</v>
      </c>
      <c r="N88" s="213" t="s">
        <v>4695</v>
      </c>
      <c r="O88" s="216">
        <v>0.2</v>
      </c>
      <c r="P88" s="107">
        <f>O88*K86</f>
        <v>836648.6</v>
      </c>
      <c r="Q88" s="107"/>
      <c r="R88" s="107"/>
      <c r="S88" s="108"/>
      <c r="T88" s="107"/>
      <c r="U88" s="107"/>
      <c r="V88" s="107"/>
      <c r="W88" s="292"/>
      <c r="X88" s="107"/>
      <c r="Y88" s="107"/>
      <c r="Z88" s="339">
        <f t="shared" si="6"/>
        <v>0</v>
      </c>
      <c r="AA88" s="321"/>
      <c r="AB88" s="321"/>
      <c r="AC88" s="321"/>
      <c r="AD88" s="107"/>
      <c r="AE88" s="107"/>
      <c r="AF88" s="134"/>
      <c r="AG88" s="107"/>
      <c r="AH88" s="107"/>
      <c r="AI88" s="107"/>
    </row>
    <row r="89" s="4" customFormat="1" ht="24.75" customHeight="1" spans="1:35">
      <c r="A89" s="107"/>
      <c r="B89" s="108"/>
      <c r="C89" s="110"/>
      <c r="D89" s="220"/>
      <c r="E89" s="134"/>
      <c r="F89" s="134"/>
      <c r="G89" s="107"/>
      <c r="H89" s="134"/>
      <c r="I89" s="107"/>
      <c r="J89" s="134"/>
      <c r="K89" s="157"/>
      <c r="L89" s="107"/>
      <c r="M89" s="107">
        <v>4</v>
      </c>
      <c r="N89" s="213" t="s">
        <v>4697</v>
      </c>
      <c r="O89" s="216">
        <v>0.1</v>
      </c>
      <c r="P89" s="107">
        <f>O89*K86</f>
        <v>418324.3</v>
      </c>
      <c r="Q89" s="107"/>
      <c r="R89" s="107"/>
      <c r="S89" s="108"/>
      <c r="T89" s="107"/>
      <c r="U89" s="107"/>
      <c r="V89" s="107"/>
      <c r="W89" s="292"/>
      <c r="X89" s="107"/>
      <c r="Y89" s="107"/>
      <c r="Z89" s="339">
        <f t="shared" si="6"/>
        <v>0</v>
      </c>
      <c r="AA89" s="321"/>
      <c r="AB89" s="321"/>
      <c r="AC89" s="321"/>
      <c r="AD89" s="107"/>
      <c r="AE89" s="107"/>
      <c r="AF89" s="134"/>
      <c r="AG89" s="107"/>
      <c r="AH89" s="107"/>
      <c r="AI89" s="107"/>
    </row>
    <row r="90" s="4" customFormat="1" ht="24.75" customHeight="1" spans="1:35">
      <c r="A90" s="107"/>
      <c r="B90" s="108"/>
      <c r="C90" s="110"/>
      <c r="D90" s="212"/>
      <c r="E90" s="134"/>
      <c r="F90" s="134"/>
      <c r="G90" s="107"/>
      <c r="H90" s="134"/>
      <c r="I90" s="107"/>
      <c r="J90" s="134"/>
      <c r="K90" s="157"/>
      <c r="L90" s="107"/>
      <c r="M90" s="107">
        <v>5</v>
      </c>
      <c r="N90" s="213" t="s">
        <v>4698</v>
      </c>
      <c r="O90" s="216">
        <v>0.1</v>
      </c>
      <c r="P90" s="107">
        <f>O90*K86</f>
        <v>418324.3</v>
      </c>
      <c r="Q90" s="107"/>
      <c r="R90" s="107"/>
      <c r="S90" s="108"/>
      <c r="T90" s="107"/>
      <c r="U90" s="107"/>
      <c r="V90" s="107"/>
      <c r="W90" s="292"/>
      <c r="X90" s="107"/>
      <c r="Y90" s="107"/>
      <c r="Z90" s="339">
        <f t="shared" si="6"/>
        <v>0</v>
      </c>
      <c r="AA90" s="321"/>
      <c r="AB90" s="321"/>
      <c r="AC90" s="321"/>
      <c r="AD90" s="107"/>
      <c r="AE90" s="107"/>
      <c r="AF90" s="134"/>
      <c r="AG90" s="107"/>
      <c r="AH90" s="107"/>
      <c r="AI90" s="107"/>
    </row>
    <row r="91" s="4" customFormat="1" ht="23.25" customHeight="1" spans="1:35">
      <c r="A91" s="254" t="s">
        <v>173</v>
      </c>
      <c r="B91" s="255">
        <v>44285</v>
      </c>
      <c r="C91" s="359" t="s">
        <v>4699</v>
      </c>
      <c r="D91" s="325" t="s">
        <v>4703</v>
      </c>
      <c r="E91" s="324" t="s">
        <v>4704</v>
      </c>
      <c r="F91" s="324" t="s">
        <v>4703</v>
      </c>
      <c r="G91" s="254" t="s">
        <v>240</v>
      </c>
      <c r="H91" s="324" t="s">
        <v>802</v>
      </c>
      <c r="I91" s="211"/>
      <c r="J91" s="135"/>
      <c r="K91" s="423">
        <v>977675.7</v>
      </c>
      <c r="L91" s="254" t="s">
        <v>126</v>
      </c>
      <c r="M91" s="211">
        <v>1</v>
      </c>
      <c r="N91" s="324" t="s">
        <v>4705</v>
      </c>
      <c r="O91" s="216">
        <v>1</v>
      </c>
      <c r="P91" s="211">
        <v>977675.7</v>
      </c>
      <c r="Q91" s="254">
        <v>977675.7</v>
      </c>
      <c r="R91" s="254" t="s">
        <v>4603</v>
      </c>
      <c r="S91" s="270">
        <v>44555</v>
      </c>
      <c r="T91" s="211">
        <v>977675.7</v>
      </c>
      <c r="U91" s="289">
        <v>44555</v>
      </c>
      <c r="V91" s="107">
        <v>500000</v>
      </c>
      <c r="W91" s="322">
        <v>44872</v>
      </c>
      <c r="X91" s="120">
        <v>500000</v>
      </c>
      <c r="Y91" s="322">
        <v>44882</v>
      </c>
      <c r="Z91" s="339">
        <f t="shared" si="6"/>
        <v>477675.7</v>
      </c>
      <c r="AA91" s="323" t="s">
        <v>4706</v>
      </c>
      <c r="AB91" s="321"/>
      <c r="AC91" s="321"/>
      <c r="AD91" s="107">
        <f>SUM(Q91)</f>
        <v>977675.7</v>
      </c>
      <c r="AE91" s="107">
        <f>SUM(V91)</f>
        <v>500000</v>
      </c>
      <c r="AF91" s="134">
        <f>SUM(X91)</f>
        <v>500000</v>
      </c>
      <c r="AG91" s="107">
        <f>K91-AD91</f>
        <v>0</v>
      </c>
      <c r="AH91" s="107"/>
      <c r="AI91" s="107"/>
    </row>
    <row r="92" s="4" customFormat="1" ht="23.25" customHeight="1" spans="1:35">
      <c r="A92" s="334"/>
      <c r="B92" s="360"/>
      <c r="C92" s="361"/>
      <c r="D92" s="325"/>
      <c r="E92" s="325"/>
      <c r="F92" s="325"/>
      <c r="G92" s="334"/>
      <c r="H92" s="325"/>
      <c r="I92" s="220"/>
      <c r="J92" s="136"/>
      <c r="K92" s="424"/>
      <c r="L92" s="334"/>
      <c r="M92" s="220"/>
      <c r="N92" s="325"/>
      <c r="O92" s="216"/>
      <c r="P92" s="220"/>
      <c r="Q92" s="334"/>
      <c r="R92" s="334"/>
      <c r="S92" s="487"/>
      <c r="T92" s="220"/>
      <c r="U92" s="540"/>
      <c r="V92" s="107">
        <v>200000</v>
      </c>
      <c r="W92" s="322">
        <v>44929</v>
      </c>
      <c r="X92" s="120">
        <v>200000</v>
      </c>
      <c r="Y92" s="322">
        <v>44939</v>
      </c>
      <c r="Z92" s="339">
        <f>Q91-X91-X92</f>
        <v>277675.7</v>
      </c>
      <c r="AA92" s="323" t="s">
        <v>4707</v>
      </c>
      <c r="AB92" s="321"/>
      <c r="AC92" s="321"/>
      <c r="AD92" s="107"/>
      <c r="AE92" s="107"/>
      <c r="AF92" s="134"/>
      <c r="AG92" s="107"/>
      <c r="AH92" s="107"/>
      <c r="AI92" s="107"/>
    </row>
    <row r="93" s="4" customFormat="1" ht="23.25" customHeight="1" spans="1:35">
      <c r="A93" s="334"/>
      <c r="B93" s="360"/>
      <c r="C93" s="361"/>
      <c r="D93" s="136"/>
      <c r="E93" s="325"/>
      <c r="F93" s="325"/>
      <c r="G93" s="334"/>
      <c r="H93" s="325"/>
      <c r="I93" s="220"/>
      <c r="J93" s="136"/>
      <c r="K93" s="424"/>
      <c r="L93" s="334"/>
      <c r="M93" s="212"/>
      <c r="N93" s="452"/>
      <c r="O93" s="216"/>
      <c r="P93" s="212"/>
      <c r="Q93" s="296"/>
      <c r="R93" s="296"/>
      <c r="S93" s="488"/>
      <c r="T93" s="212"/>
      <c r="U93" s="212"/>
      <c r="V93" s="120">
        <v>277675.7</v>
      </c>
      <c r="W93" s="322">
        <v>45028</v>
      </c>
      <c r="X93" s="120">
        <v>277675.7</v>
      </c>
      <c r="Y93" s="322">
        <v>45056</v>
      </c>
      <c r="Z93" s="339">
        <f>P91-X91-X92-X93</f>
        <v>0</v>
      </c>
      <c r="AA93" s="323" t="s">
        <v>4708</v>
      </c>
      <c r="AB93" s="321"/>
      <c r="AC93" s="321"/>
      <c r="AD93" s="107"/>
      <c r="AE93" s="107"/>
      <c r="AF93" s="107"/>
      <c r="AG93" s="107"/>
      <c r="AH93" s="107"/>
      <c r="AI93" s="107"/>
    </row>
    <row r="94" s="4" customFormat="1" ht="61" spans="1:35">
      <c r="A94" s="339" t="s">
        <v>173</v>
      </c>
      <c r="B94" s="362">
        <v>44013</v>
      </c>
      <c r="C94" s="363" t="s">
        <v>4709</v>
      </c>
      <c r="D94" s="171"/>
      <c r="E94" s="404" t="s">
        <v>4666</v>
      </c>
      <c r="F94" s="404" t="s">
        <v>4710</v>
      </c>
      <c r="G94" s="339" t="s">
        <v>432</v>
      </c>
      <c r="H94" s="404" t="s">
        <v>4659</v>
      </c>
      <c r="I94" s="339"/>
      <c r="J94" s="339"/>
      <c r="K94" s="425">
        <v>100000</v>
      </c>
      <c r="L94" s="294" t="s">
        <v>138</v>
      </c>
      <c r="M94" s="453">
        <v>1</v>
      </c>
      <c r="N94" s="213" t="s">
        <v>4711</v>
      </c>
      <c r="O94" s="216">
        <v>0.8</v>
      </c>
      <c r="P94" s="107">
        <v>80000</v>
      </c>
      <c r="Q94" s="254">
        <v>80000</v>
      </c>
      <c r="R94" s="254" t="s">
        <v>4603</v>
      </c>
      <c r="S94" s="270">
        <v>44120</v>
      </c>
      <c r="T94" s="254">
        <v>80000</v>
      </c>
      <c r="U94" s="305">
        <v>44120</v>
      </c>
      <c r="V94" s="254">
        <v>80000</v>
      </c>
      <c r="W94" s="541">
        <v>44166</v>
      </c>
      <c r="X94" s="254">
        <v>80000</v>
      </c>
      <c r="Y94" s="305">
        <v>44189</v>
      </c>
      <c r="Z94" s="339">
        <f>Q94-X94</f>
        <v>0</v>
      </c>
      <c r="AA94" s="321"/>
      <c r="AB94" s="321"/>
      <c r="AC94" s="321"/>
      <c r="AD94" s="107">
        <f>SUM(Q94:Q95)</f>
        <v>80000</v>
      </c>
      <c r="AE94" s="107">
        <f>SUM(V94:V95)</f>
        <v>80000</v>
      </c>
      <c r="AF94" s="107">
        <f>SUM(X94:X95)</f>
        <v>80000</v>
      </c>
      <c r="AG94" s="107">
        <f>K94-AD94</f>
        <v>20000</v>
      </c>
      <c r="AH94" s="107" t="s">
        <v>197</v>
      </c>
      <c r="AI94" s="107" t="s">
        <v>4611</v>
      </c>
    </row>
    <row r="95" s="4" customFormat="1" ht="36.75" customHeight="1" spans="1:35">
      <c r="A95" s="339"/>
      <c r="B95" s="362"/>
      <c r="C95" s="364"/>
      <c r="D95" s="178"/>
      <c r="E95" s="404"/>
      <c r="F95" s="404"/>
      <c r="G95" s="339"/>
      <c r="H95" s="404"/>
      <c r="I95" s="339"/>
      <c r="J95" s="339"/>
      <c r="K95" s="425"/>
      <c r="L95" s="339"/>
      <c r="M95" s="453">
        <v>2</v>
      </c>
      <c r="N95" s="213" t="s">
        <v>4712</v>
      </c>
      <c r="O95" s="216">
        <v>0.2</v>
      </c>
      <c r="P95" s="454">
        <v>20000</v>
      </c>
      <c r="Q95" s="339"/>
      <c r="R95" s="339"/>
      <c r="S95" s="362"/>
      <c r="T95" s="339"/>
      <c r="U95" s="339"/>
      <c r="V95" s="339"/>
      <c r="W95" s="542"/>
      <c r="X95" s="339"/>
      <c r="Y95" s="339"/>
      <c r="Z95" s="339">
        <f>Q95-X95</f>
        <v>0</v>
      </c>
      <c r="AA95" s="321"/>
      <c r="AB95" s="321"/>
      <c r="AC95" s="321"/>
      <c r="AD95" s="107"/>
      <c r="AE95" s="107"/>
      <c r="AF95" s="107"/>
      <c r="AG95" s="107"/>
      <c r="AH95" s="107"/>
      <c r="AI95" s="107"/>
    </row>
    <row r="96" s="3" customFormat="1" ht="21.75" customHeight="1" spans="1:35">
      <c r="A96" s="205" t="s">
        <v>173</v>
      </c>
      <c r="B96" s="365">
        <v>44002</v>
      </c>
      <c r="C96" s="366" t="s">
        <v>4713</v>
      </c>
      <c r="D96" s="202"/>
      <c r="E96" s="205" t="s">
        <v>4714</v>
      </c>
      <c r="F96" s="205" t="s">
        <v>4715</v>
      </c>
      <c r="G96" s="205" t="s">
        <v>193</v>
      </c>
      <c r="H96" s="205" t="s">
        <v>4716</v>
      </c>
      <c r="I96" s="205"/>
      <c r="J96" s="205"/>
      <c r="K96" s="205">
        <v>320000</v>
      </c>
      <c r="L96" s="206" t="s">
        <v>32</v>
      </c>
      <c r="M96" s="103">
        <v>1</v>
      </c>
      <c r="N96" s="209" t="s">
        <v>650</v>
      </c>
      <c r="O96" s="444">
        <v>0.4</v>
      </c>
      <c r="P96" s="103">
        <f>O96*K96</f>
        <v>128000</v>
      </c>
      <c r="Q96" s="498">
        <v>313786.41</v>
      </c>
      <c r="R96" s="252" t="s">
        <v>4603</v>
      </c>
      <c r="S96" s="499">
        <v>44144</v>
      </c>
      <c r="T96" s="498">
        <v>313786.41</v>
      </c>
      <c r="U96" s="543">
        <v>44144</v>
      </c>
      <c r="V96" s="498">
        <v>80000</v>
      </c>
      <c r="W96" s="499">
        <v>44136</v>
      </c>
      <c r="X96" s="252">
        <v>80000</v>
      </c>
      <c r="Y96" s="581">
        <v>44160</v>
      </c>
      <c r="Z96" s="406"/>
      <c r="AA96" s="319"/>
      <c r="AB96" s="319"/>
      <c r="AC96" s="319"/>
      <c r="AD96" s="204">
        <f>SUM(Q96:Q98)</f>
        <v>313786.41</v>
      </c>
      <c r="AE96" s="204">
        <f>SUM(V96:V98)</f>
        <v>313786.41</v>
      </c>
      <c r="AF96" s="204">
        <f>SUM(X96:X98)</f>
        <v>200000</v>
      </c>
      <c r="AG96" s="204">
        <f>K96-AD96</f>
        <v>6213.59000000003</v>
      </c>
      <c r="AH96" s="204"/>
      <c r="AI96" s="204"/>
    </row>
    <row r="97" s="3" customFormat="1" ht="21.75" customHeight="1" spans="1:35">
      <c r="A97" s="205"/>
      <c r="B97" s="365"/>
      <c r="C97" s="205"/>
      <c r="D97" s="205"/>
      <c r="E97" s="205"/>
      <c r="F97" s="205"/>
      <c r="G97" s="205"/>
      <c r="H97" s="205"/>
      <c r="I97" s="205"/>
      <c r="J97" s="205"/>
      <c r="K97" s="205"/>
      <c r="L97" s="206"/>
      <c r="M97" s="103">
        <v>2</v>
      </c>
      <c r="N97" s="209" t="s">
        <v>651</v>
      </c>
      <c r="O97" s="444">
        <v>0.4</v>
      </c>
      <c r="P97" s="103">
        <f>O97*K96</f>
        <v>128000</v>
      </c>
      <c r="Q97" s="498"/>
      <c r="R97" s="248" t="s">
        <v>4603</v>
      </c>
      <c r="S97" s="499"/>
      <c r="T97" s="498"/>
      <c r="U97" s="544"/>
      <c r="V97" s="545">
        <f>Q96-V96</f>
        <v>233786.41</v>
      </c>
      <c r="W97" s="546">
        <v>44216</v>
      </c>
      <c r="X97" s="547">
        <v>60000</v>
      </c>
      <c r="Y97" s="576">
        <v>44222</v>
      </c>
      <c r="Z97" s="406"/>
      <c r="AA97" s="319"/>
      <c r="AB97" s="319"/>
      <c r="AC97" s="319"/>
      <c r="AD97" s="206"/>
      <c r="AE97" s="206"/>
      <c r="AF97" s="206"/>
      <c r="AG97" s="206"/>
      <c r="AH97" s="206"/>
      <c r="AI97" s="206"/>
    </row>
    <row r="98" s="3" customFormat="1" ht="21.75" customHeight="1" spans="1:35">
      <c r="A98" s="205"/>
      <c r="B98" s="365"/>
      <c r="C98" s="205"/>
      <c r="D98" s="205"/>
      <c r="E98" s="205"/>
      <c r="F98" s="205"/>
      <c r="G98" s="205"/>
      <c r="H98" s="205"/>
      <c r="I98" s="205"/>
      <c r="J98" s="205"/>
      <c r="K98" s="205"/>
      <c r="L98" s="206"/>
      <c r="M98" s="204">
        <v>3</v>
      </c>
      <c r="N98" s="202" t="s">
        <v>653</v>
      </c>
      <c r="O98" s="455">
        <v>0.2</v>
      </c>
      <c r="P98" s="204">
        <f>O98*K96</f>
        <v>64000</v>
      </c>
      <c r="Q98" s="498"/>
      <c r="R98" s="250" t="s">
        <v>4603</v>
      </c>
      <c r="S98" s="499"/>
      <c r="T98" s="498"/>
      <c r="U98" s="544"/>
      <c r="V98" s="498"/>
      <c r="W98" s="548"/>
      <c r="X98" s="549">
        <v>60000</v>
      </c>
      <c r="Y98" s="582">
        <v>44392</v>
      </c>
      <c r="Z98" s="406"/>
      <c r="AA98" s="583"/>
      <c r="AB98" s="583"/>
      <c r="AC98" s="583"/>
      <c r="AD98" s="206"/>
      <c r="AE98" s="206"/>
      <c r="AF98" s="206"/>
      <c r="AG98" s="206"/>
      <c r="AH98" s="206"/>
      <c r="AI98" s="206"/>
    </row>
    <row r="99" s="3" customFormat="1" ht="21.75" customHeight="1" spans="1:35">
      <c r="A99" s="205"/>
      <c r="B99" s="367"/>
      <c r="C99" s="205"/>
      <c r="D99" s="205"/>
      <c r="E99" s="205"/>
      <c r="F99" s="205"/>
      <c r="G99" s="205"/>
      <c r="H99" s="205"/>
      <c r="I99" s="205"/>
      <c r="J99" s="205"/>
      <c r="K99" s="205"/>
      <c r="L99" s="206"/>
      <c r="M99" s="206"/>
      <c r="N99" s="205"/>
      <c r="O99" s="455"/>
      <c r="P99" s="206"/>
      <c r="Q99" s="498"/>
      <c r="R99" s="498"/>
      <c r="S99" s="253"/>
      <c r="T99" s="498"/>
      <c r="U99" s="544"/>
      <c r="V99" s="498"/>
      <c r="W99" s="548"/>
      <c r="X99" s="550">
        <v>113786.41</v>
      </c>
      <c r="Y99" s="582">
        <v>44586</v>
      </c>
      <c r="Z99" s="406"/>
      <c r="AA99" s="583"/>
      <c r="AB99" s="583"/>
      <c r="AC99" s="583"/>
      <c r="AD99" s="206"/>
      <c r="AE99" s="206"/>
      <c r="AF99" s="206"/>
      <c r="AG99" s="206"/>
      <c r="AH99" s="206"/>
      <c r="AI99" s="206"/>
    </row>
    <row r="100" s="3" customFormat="1" ht="20.25" customHeight="1" spans="1:35">
      <c r="A100" s="368" t="s">
        <v>159</v>
      </c>
      <c r="B100" s="369">
        <v>44072</v>
      </c>
      <c r="C100" s="370" t="s">
        <v>4717</v>
      </c>
      <c r="D100" s="371"/>
      <c r="E100" s="371" t="s">
        <v>4718</v>
      </c>
      <c r="F100" s="405" t="s">
        <v>4719</v>
      </c>
      <c r="G100" s="406" t="s">
        <v>193</v>
      </c>
      <c r="H100" s="371" t="s">
        <v>4720</v>
      </c>
      <c r="I100" s="405" t="s">
        <v>4721</v>
      </c>
      <c r="J100" s="371" t="s">
        <v>4722</v>
      </c>
      <c r="K100" s="426">
        <v>99303</v>
      </c>
      <c r="L100" s="406" t="s">
        <v>32</v>
      </c>
      <c r="M100" s="406">
        <v>1</v>
      </c>
      <c r="N100" s="456" t="s">
        <v>4723</v>
      </c>
      <c r="O100" s="457">
        <v>0.5</v>
      </c>
      <c r="P100" s="406">
        <f>O100*K100</f>
        <v>49651.5</v>
      </c>
      <c r="Q100" s="406">
        <v>48687.39</v>
      </c>
      <c r="R100" s="406" t="s">
        <v>206</v>
      </c>
      <c r="S100" s="500">
        <v>44079</v>
      </c>
      <c r="T100" s="406">
        <v>48687.39</v>
      </c>
      <c r="U100" s="406" t="s">
        <v>171</v>
      </c>
      <c r="V100" s="406">
        <v>48687.39</v>
      </c>
      <c r="W100" s="551">
        <v>44079</v>
      </c>
      <c r="X100" s="406">
        <v>48687.39</v>
      </c>
      <c r="Y100" s="500">
        <v>44101</v>
      </c>
      <c r="Z100" s="406">
        <f t="shared" ref="Z100:Z106" si="7">Q100-X100</f>
        <v>0</v>
      </c>
      <c r="AA100" s="584"/>
      <c r="AB100" s="585"/>
      <c r="AC100" s="585"/>
      <c r="AD100" s="406">
        <f>SUM(Q100:Q102)</f>
        <v>97374.79</v>
      </c>
      <c r="AE100" s="406">
        <f>SUM(V100:V102)</f>
        <v>97374.79</v>
      </c>
      <c r="AF100" s="406">
        <f>SUM(X100:X102)</f>
        <v>97374.79</v>
      </c>
      <c r="AG100" s="406">
        <f>K100-AD100</f>
        <v>1928.20999999999</v>
      </c>
      <c r="AH100" s="371" t="s">
        <v>197</v>
      </c>
      <c r="AI100" s="406" t="s">
        <v>4611</v>
      </c>
    </row>
    <row r="101" s="3" customFormat="1" ht="20.25" customHeight="1" spans="1:35">
      <c r="A101" s="368"/>
      <c r="B101" s="369"/>
      <c r="C101" s="372"/>
      <c r="D101" s="371"/>
      <c r="E101" s="371"/>
      <c r="F101" s="405"/>
      <c r="G101" s="406"/>
      <c r="H101" s="371"/>
      <c r="I101" s="405"/>
      <c r="J101" s="371"/>
      <c r="K101" s="426"/>
      <c r="L101" s="406"/>
      <c r="M101" s="406">
        <v>2</v>
      </c>
      <c r="N101" s="456" t="s">
        <v>4724</v>
      </c>
      <c r="O101" s="457">
        <v>0.4</v>
      </c>
      <c r="P101" s="406">
        <f>O101*K100</f>
        <v>39721.2</v>
      </c>
      <c r="Q101" s="501">
        <v>48687.4</v>
      </c>
      <c r="R101" s="428" t="s">
        <v>4603</v>
      </c>
      <c r="S101" s="502">
        <v>44176</v>
      </c>
      <c r="T101" s="501">
        <v>48687.4</v>
      </c>
      <c r="U101" s="552">
        <v>44176</v>
      </c>
      <c r="V101" s="501">
        <v>48687.4</v>
      </c>
      <c r="W101" s="553">
        <v>44322</v>
      </c>
      <c r="X101" s="501">
        <v>48687.4</v>
      </c>
      <c r="Y101" s="504">
        <v>44357</v>
      </c>
      <c r="Z101" s="406">
        <f t="shared" si="7"/>
        <v>0</v>
      </c>
      <c r="AA101" s="584"/>
      <c r="AB101" s="585"/>
      <c r="AC101" s="585"/>
      <c r="AD101" s="406"/>
      <c r="AE101" s="406"/>
      <c r="AF101" s="406"/>
      <c r="AG101" s="406"/>
      <c r="AH101" s="371"/>
      <c r="AI101" s="406"/>
    </row>
    <row r="102" s="3" customFormat="1" ht="20.25" customHeight="1" spans="1:35">
      <c r="A102" s="368"/>
      <c r="B102" s="369"/>
      <c r="C102" s="372"/>
      <c r="D102" s="371"/>
      <c r="E102" s="371"/>
      <c r="F102" s="405"/>
      <c r="G102" s="406"/>
      <c r="H102" s="371"/>
      <c r="I102" s="405"/>
      <c r="J102" s="371"/>
      <c r="K102" s="426"/>
      <c r="L102" s="406"/>
      <c r="M102" s="406">
        <v>3</v>
      </c>
      <c r="N102" s="456" t="s">
        <v>4725</v>
      </c>
      <c r="O102" s="457">
        <v>0.1</v>
      </c>
      <c r="P102" s="406">
        <f>O102*K100</f>
        <v>9930.3</v>
      </c>
      <c r="Q102" s="503"/>
      <c r="R102" s="428" t="s">
        <v>4603</v>
      </c>
      <c r="S102" s="502">
        <v>44176</v>
      </c>
      <c r="T102" s="503"/>
      <c r="U102" s="552">
        <v>44176</v>
      </c>
      <c r="V102" s="503"/>
      <c r="W102" s="554"/>
      <c r="X102" s="503"/>
      <c r="Y102" s="505"/>
      <c r="Z102" s="406">
        <f t="shared" si="7"/>
        <v>0</v>
      </c>
      <c r="AA102" s="584"/>
      <c r="AB102" s="585"/>
      <c r="AC102" s="585"/>
      <c r="AD102" s="406"/>
      <c r="AE102" s="406"/>
      <c r="AF102" s="406"/>
      <c r="AG102" s="406"/>
      <c r="AH102" s="371"/>
      <c r="AI102" s="406"/>
    </row>
    <row r="103" s="3" customFormat="1" ht="20.25" customHeight="1" spans="1:35">
      <c r="A103" s="368" t="s">
        <v>159</v>
      </c>
      <c r="B103" s="369">
        <v>44072</v>
      </c>
      <c r="C103" s="370" t="s">
        <v>4717</v>
      </c>
      <c r="D103" s="373"/>
      <c r="E103" s="371" t="s">
        <v>274</v>
      </c>
      <c r="F103" s="405" t="s">
        <v>4726</v>
      </c>
      <c r="G103" s="406" t="s">
        <v>193</v>
      </c>
      <c r="H103" s="371" t="s">
        <v>4677</v>
      </c>
      <c r="I103" s="427" t="s">
        <v>4727</v>
      </c>
      <c r="J103" s="373" t="s">
        <v>4728</v>
      </c>
      <c r="K103" s="426">
        <v>150000</v>
      </c>
      <c r="L103" s="428" t="s">
        <v>32</v>
      </c>
      <c r="M103" s="406">
        <v>1</v>
      </c>
      <c r="N103" s="456" t="s">
        <v>4729</v>
      </c>
      <c r="O103" s="457">
        <v>0.2</v>
      </c>
      <c r="P103" s="406">
        <f>O103*K103</f>
        <v>30000</v>
      </c>
      <c r="Q103" s="408">
        <v>147087.38</v>
      </c>
      <c r="R103" s="408" t="s">
        <v>4603</v>
      </c>
      <c r="S103" s="500">
        <v>44180</v>
      </c>
      <c r="T103" s="408">
        <v>147087.38</v>
      </c>
      <c r="U103" s="551">
        <v>44180</v>
      </c>
      <c r="V103" s="408">
        <v>147087.38</v>
      </c>
      <c r="W103" s="555">
        <v>44222</v>
      </c>
      <c r="X103" s="501">
        <v>147087.38</v>
      </c>
      <c r="Y103" s="504">
        <v>44523</v>
      </c>
      <c r="Z103" s="406">
        <f t="shared" si="7"/>
        <v>0</v>
      </c>
      <c r="AA103" s="584"/>
      <c r="AB103" s="585"/>
      <c r="AC103" s="585"/>
      <c r="AD103" s="408">
        <f>SUM(Q103:Q106)</f>
        <v>147087.38</v>
      </c>
      <c r="AE103" s="408">
        <f>SUM(V103:V106)</f>
        <v>147087.38</v>
      </c>
      <c r="AF103" s="408">
        <f>SUM(X103:X106)</f>
        <v>147087.38</v>
      </c>
      <c r="AG103" s="408">
        <f>K103-AD103</f>
        <v>2912.62</v>
      </c>
      <c r="AH103" s="373" t="s">
        <v>197</v>
      </c>
      <c r="AI103" s="408" t="s">
        <v>4611</v>
      </c>
    </row>
    <row r="104" s="3" customFormat="1" ht="20.25" customHeight="1" spans="1:35">
      <c r="A104" s="368"/>
      <c r="B104" s="369"/>
      <c r="C104" s="372"/>
      <c r="D104" s="374"/>
      <c r="E104" s="371"/>
      <c r="F104" s="405"/>
      <c r="G104" s="406"/>
      <c r="H104" s="371"/>
      <c r="I104" s="429"/>
      <c r="J104" s="374"/>
      <c r="K104" s="426"/>
      <c r="L104" s="406"/>
      <c r="M104" s="406">
        <v>2</v>
      </c>
      <c r="N104" s="456" t="s">
        <v>4730</v>
      </c>
      <c r="O104" s="457">
        <v>0.4</v>
      </c>
      <c r="P104" s="406">
        <f>O104*K103</f>
        <v>60000</v>
      </c>
      <c r="Q104" s="410"/>
      <c r="R104" s="410"/>
      <c r="S104" s="502">
        <v>44180</v>
      </c>
      <c r="T104" s="410"/>
      <c r="U104" s="552">
        <v>44180</v>
      </c>
      <c r="V104" s="410"/>
      <c r="W104" s="410"/>
      <c r="X104" s="433"/>
      <c r="Y104" s="506"/>
      <c r="Z104" s="406">
        <f t="shared" si="7"/>
        <v>0</v>
      </c>
      <c r="AA104" s="584"/>
      <c r="AB104" s="585"/>
      <c r="AC104" s="585"/>
      <c r="AD104" s="410"/>
      <c r="AE104" s="410"/>
      <c r="AF104" s="410"/>
      <c r="AG104" s="410"/>
      <c r="AH104" s="374"/>
      <c r="AI104" s="410"/>
    </row>
    <row r="105" s="3" customFormat="1" ht="20.25" customHeight="1" spans="1:35">
      <c r="A105" s="368"/>
      <c r="B105" s="369"/>
      <c r="C105" s="372"/>
      <c r="D105" s="374"/>
      <c r="E105" s="371"/>
      <c r="F105" s="405"/>
      <c r="G105" s="406"/>
      <c r="H105" s="371"/>
      <c r="I105" s="429"/>
      <c r="J105" s="374"/>
      <c r="K105" s="426"/>
      <c r="L105" s="406"/>
      <c r="M105" s="406">
        <v>3</v>
      </c>
      <c r="N105" s="456" t="s">
        <v>4731</v>
      </c>
      <c r="O105" s="457">
        <v>0.3</v>
      </c>
      <c r="P105" s="406">
        <f>O105*K103</f>
        <v>45000</v>
      </c>
      <c r="Q105" s="410"/>
      <c r="R105" s="410"/>
      <c r="S105" s="502">
        <v>44180</v>
      </c>
      <c r="T105" s="410"/>
      <c r="U105" s="552">
        <v>44180</v>
      </c>
      <c r="V105" s="410"/>
      <c r="W105" s="410"/>
      <c r="X105" s="433"/>
      <c r="Y105" s="506"/>
      <c r="Z105" s="406">
        <f t="shared" si="7"/>
        <v>0</v>
      </c>
      <c r="AA105" s="584"/>
      <c r="AB105" s="585"/>
      <c r="AC105" s="585"/>
      <c r="AD105" s="410"/>
      <c r="AE105" s="410"/>
      <c r="AF105" s="410"/>
      <c r="AG105" s="410"/>
      <c r="AH105" s="374"/>
      <c r="AI105" s="410"/>
    </row>
    <row r="106" s="3" customFormat="1" ht="20.25" customHeight="1" spans="1:35">
      <c r="A106" s="368"/>
      <c r="B106" s="369"/>
      <c r="C106" s="372"/>
      <c r="D106" s="375"/>
      <c r="E106" s="371"/>
      <c r="F106" s="405"/>
      <c r="G106" s="406"/>
      <c r="H106" s="371"/>
      <c r="I106" s="430"/>
      <c r="J106" s="375"/>
      <c r="K106" s="426"/>
      <c r="L106" s="406"/>
      <c r="M106" s="406">
        <v>4</v>
      </c>
      <c r="N106" s="456" t="s">
        <v>4679</v>
      </c>
      <c r="O106" s="457">
        <v>0.1</v>
      </c>
      <c r="P106" s="406">
        <f>O106*K103</f>
        <v>15000</v>
      </c>
      <c r="Q106" s="412"/>
      <c r="R106" s="412"/>
      <c r="S106" s="502">
        <v>44180</v>
      </c>
      <c r="T106" s="412"/>
      <c r="U106" s="552">
        <v>44180</v>
      </c>
      <c r="V106" s="412"/>
      <c r="W106" s="412"/>
      <c r="X106" s="503"/>
      <c r="Y106" s="505"/>
      <c r="Z106" s="406">
        <f t="shared" si="7"/>
        <v>0</v>
      </c>
      <c r="AA106" s="584"/>
      <c r="AB106" s="585"/>
      <c r="AC106" s="585"/>
      <c r="AD106" s="412"/>
      <c r="AE106" s="412"/>
      <c r="AF106" s="412"/>
      <c r="AG106" s="412"/>
      <c r="AH106" s="375"/>
      <c r="AI106" s="412"/>
    </row>
    <row r="107" s="3" customFormat="1" ht="31" spans="1:35">
      <c r="A107" s="368" t="s">
        <v>173</v>
      </c>
      <c r="B107" s="369">
        <v>44140</v>
      </c>
      <c r="C107" s="370" t="s">
        <v>4732</v>
      </c>
      <c r="D107" s="371"/>
      <c r="E107" s="371" t="s">
        <v>4733</v>
      </c>
      <c r="F107" s="405" t="s">
        <v>4734</v>
      </c>
      <c r="G107" s="406" t="s">
        <v>193</v>
      </c>
      <c r="H107" s="371" t="s">
        <v>4716</v>
      </c>
      <c r="I107" s="405"/>
      <c r="J107" s="371"/>
      <c r="K107" s="426">
        <v>176504.85</v>
      </c>
      <c r="L107" s="428" t="s">
        <v>32</v>
      </c>
      <c r="M107" s="458">
        <v>1</v>
      </c>
      <c r="N107" s="459" t="s">
        <v>4735</v>
      </c>
      <c r="O107" s="460">
        <v>0.2</v>
      </c>
      <c r="P107" s="208">
        <f>O107*K107</f>
        <v>35300.97</v>
      </c>
      <c r="Q107" s="498">
        <v>88252.43</v>
      </c>
      <c r="R107" s="501" t="s">
        <v>4603</v>
      </c>
      <c r="S107" s="504">
        <v>44179</v>
      </c>
      <c r="T107" s="498">
        <v>88252.43</v>
      </c>
      <c r="U107" s="543">
        <v>44179</v>
      </c>
      <c r="V107" s="206">
        <v>172974.76</v>
      </c>
      <c r="W107" s="556">
        <v>44536</v>
      </c>
      <c r="X107" s="498">
        <v>172974.76</v>
      </c>
      <c r="Y107" s="499">
        <v>44572</v>
      </c>
      <c r="Z107" s="406"/>
      <c r="AA107" s="586"/>
      <c r="AB107" s="587"/>
      <c r="AC107" s="587"/>
      <c r="AD107" s="206">
        <f>SUM(Q107:Q111)</f>
        <v>176504.85</v>
      </c>
      <c r="AE107" s="607">
        <f>SUM(V107:V111)</f>
        <v>176504.85</v>
      </c>
      <c r="AF107" s="607">
        <f>SUM(X107:X111)</f>
        <v>176504.85</v>
      </c>
      <c r="AG107" s="607">
        <f>K107-AD107</f>
        <v>0</v>
      </c>
      <c r="AH107" s="205" t="s">
        <v>197</v>
      </c>
      <c r="AI107" s="206" t="s">
        <v>154</v>
      </c>
    </row>
    <row r="108" s="3" customFormat="1" ht="61" spans="1:35">
      <c r="A108" s="368"/>
      <c r="B108" s="369"/>
      <c r="C108" s="372"/>
      <c r="D108" s="371"/>
      <c r="E108" s="371"/>
      <c r="F108" s="405"/>
      <c r="G108" s="406"/>
      <c r="H108" s="371"/>
      <c r="I108" s="405"/>
      <c r="J108" s="371"/>
      <c r="K108" s="426"/>
      <c r="L108" s="406"/>
      <c r="M108" s="458">
        <v>2</v>
      </c>
      <c r="N108" s="459" t="s">
        <v>4736</v>
      </c>
      <c r="O108" s="460">
        <v>0.3</v>
      </c>
      <c r="P108" s="208">
        <f>O108*K107</f>
        <v>52951.455</v>
      </c>
      <c r="Q108" s="252"/>
      <c r="R108" s="503"/>
      <c r="S108" s="505"/>
      <c r="T108" s="252"/>
      <c r="U108" s="557"/>
      <c r="V108" s="206"/>
      <c r="W108" s="206"/>
      <c r="X108" s="498"/>
      <c r="Y108" s="499"/>
      <c r="Z108" s="406">
        <f>Q108-X108</f>
        <v>0</v>
      </c>
      <c r="AA108" s="586"/>
      <c r="AB108" s="587"/>
      <c r="AC108" s="587"/>
      <c r="AD108" s="206"/>
      <c r="AE108" s="206"/>
      <c r="AF108" s="206"/>
      <c r="AG108" s="206"/>
      <c r="AH108" s="205"/>
      <c r="AI108" s="206"/>
    </row>
    <row r="109" s="3" customFormat="1" ht="61" spans="1:35">
      <c r="A109" s="368"/>
      <c r="B109" s="369"/>
      <c r="C109" s="372"/>
      <c r="D109" s="371"/>
      <c r="E109" s="371"/>
      <c r="F109" s="405"/>
      <c r="G109" s="406"/>
      <c r="H109" s="371"/>
      <c r="I109" s="405"/>
      <c r="J109" s="371"/>
      <c r="K109" s="426"/>
      <c r="L109" s="406"/>
      <c r="M109" s="458">
        <v>3</v>
      </c>
      <c r="N109" s="459" t="s">
        <v>4737</v>
      </c>
      <c r="O109" s="460">
        <v>0.3</v>
      </c>
      <c r="P109" s="208">
        <f>K107*O109</f>
        <v>52951.455</v>
      </c>
      <c r="Q109" s="498">
        <v>84722.33</v>
      </c>
      <c r="R109" s="501" t="s">
        <v>4603</v>
      </c>
      <c r="S109" s="499">
        <v>44481</v>
      </c>
      <c r="T109" s="498">
        <v>84722.33</v>
      </c>
      <c r="U109" s="543">
        <v>44481</v>
      </c>
      <c r="V109" s="206"/>
      <c r="W109" s="206"/>
      <c r="X109" s="498"/>
      <c r="Y109" s="499"/>
      <c r="Z109" s="406"/>
      <c r="AA109" s="586"/>
      <c r="AB109" s="587"/>
      <c r="AC109" s="587"/>
      <c r="AD109" s="206"/>
      <c r="AE109" s="206"/>
      <c r="AF109" s="206"/>
      <c r="AG109" s="206"/>
      <c r="AH109" s="205"/>
      <c r="AI109" s="206"/>
    </row>
    <row r="110" s="3" customFormat="1" ht="76" spans="1:35">
      <c r="A110" s="368"/>
      <c r="B110" s="369"/>
      <c r="C110" s="372"/>
      <c r="D110" s="371"/>
      <c r="E110" s="371"/>
      <c r="F110" s="405"/>
      <c r="G110" s="406"/>
      <c r="H110" s="371"/>
      <c r="I110" s="405"/>
      <c r="J110" s="371"/>
      <c r="K110" s="431"/>
      <c r="L110" s="408"/>
      <c r="M110" s="461">
        <v>4</v>
      </c>
      <c r="N110" s="462" t="s">
        <v>4738</v>
      </c>
      <c r="O110" s="463">
        <v>0.18</v>
      </c>
      <c r="P110" s="206">
        <f>O110*K107</f>
        <v>31770.873</v>
      </c>
      <c r="Q110" s="498"/>
      <c r="R110" s="433"/>
      <c r="S110" s="499"/>
      <c r="T110" s="498"/>
      <c r="U110" s="543"/>
      <c r="V110" s="206"/>
      <c r="W110" s="206"/>
      <c r="X110" s="498"/>
      <c r="Y110" s="499"/>
      <c r="Z110" s="408">
        <f>Q110-X110</f>
        <v>0</v>
      </c>
      <c r="AA110" s="588"/>
      <c r="AB110" s="589"/>
      <c r="AC110" s="589"/>
      <c r="AD110" s="206"/>
      <c r="AE110" s="206"/>
      <c r="AF110" s="206"/>
      <c r="AG110" s="206"/>
      <c r="AH110" s="205"/>
      <c r="AI110" s="206"/>
    </row>
    <row r="111" s="7" customFormat="1" ht="61" spans="1:35">
      <c r="A111" s="368"/>
      <c r="B111" s="369"/>
      <c r="C111" s="372"/>
      <c r="D111" s="371"/>
      <c r="E111" s="371"/>
      <c r="F111" s="405"/>
      <c r="G111" s="406"/>
      <c r="H111" s="371"/>
      <c r="I111" s="405"/>
      <c r="J111" s="371"/>
      <c r="K111" s="426"/>
      <c r="L111" s="406"/>
      <c r="M111" s="406">
        <v>5</v>
      </c>
      <c r="N111" s="456" t="s">
        <v>4739</v>
      </c>
      <c r="O111" s="457">
        <v>0.02</v>
      </c>
      <c r="P111" s="406">
        <f>O111*K107</f>
        <v>3530.097</v>
      </c>
      <c r="Q111" s="428">
        <v>3530.09</v>
      </c>
      <c r="R111" s="428" t="s">
        <v>4603</v>
      </c>
      <c r="S111" s="502">
        <v>45232</v>
      </c>
      <c r="T111" s="428">
        <v>3530.09</v>
      </c>
      <c r="U111" s="552">
        <v>45232</v>
      </c>
      <c r="V111" s="406">
        <v>3530.09</v>
      </c>
      <c r="W111" s="551">
        <v>45232</v>
      </c>
      <c r="X111" s="428">
        <v>3530.09</v>
      </c>
      <c r="Y111" s="502">
        <v>45247</v>
      </c>
      <c r="Z111" s="406">
        <f>Q111-X111</f>
        <v>0</v>
      </c>
      <c r="AA111" s="584"/>
      <c r="AB111" s="585"/>
      <c r="AC111" s="585"/>
      <c r="AD111" s="406"/>
      <c r="AE111" s="406"/>
      <c r="AF111" s="406"/>
      <c r="AG111" s="406"/>
      <c r="AH111" s="371"/>
      <c r="AI111" s="406"/>
    </row>
    <row r="112" s="3" customFormat="1" ht="24.75" customHeight="1" spans="1:35">
      <c r="A112" s="376" t="s">
        <v>159</v>
      </c>
      <c r="B112" s="377">
        <v>44186</v>
      </c>
      <c r="C112" s="378" t="s">
        <v>4740</v>
      </c>
      <c r="D112" s="373" t="s">
        <v>769</v>
      </c>
      <c r="E112" s="373" t="s">
        <v>4741</v>
      </c>
      <c r="F112" s="407" t="s">
        <v>4742</v>
      </c>
      <c r="G112" s="408" t="s">
        <v>193</v>
      </c>
      <c r="H112" s="373" t="s">
        <v>4677</v>
      </c>
      <c r="I112" s="427">
        <v>31523.18</v>
      </c>
      <c r="J112" s="373" t="s">
        <v>4743</v>
      </c>
      <c r="K112" s="432">
        <v>94569.54</v>
      </c>
      <c r="L112" s="433" t="s">
        <v>32</v>
      </c>
      <c r="M112" s="412">
        <v>1</v>
      </c>
      <c r="N112" s="464" t="s">
        <v>2452</v>
      </c>
      <c r="O112" s="465">
        <v>0.2</v>
      </c>
      <c r="P112" s="466">
        <f>O112*K112</f>
        <v>18913.908</v>
      </c>
      <c r="Q112" s="433">
        <v>92733.24</v>
      </c>
      <c r="R112" s="433" t="s">
        <v>4603</v>
      </c>
      <c r="S112" s="506">
        <v>44187</v>
      </c>
      <c r="T112" s="433">
        <v>92733.24</v>
      </c>
      <c r="U112" s="558">
        <v>44187</v>
      </c>
      <c r="V112" s="410">
        <v>92733.24</v>
      </c>
      <c r="W112" s="559">
        <v>44509</v>
      </c>
      <c r="X112" s="433">
        <v>92733.24</v>
      </c>
      <c r="Y112" s="506">
        <v>44616</v>
      </c>
      <c r="Z112" s="433">
        <v>56741.72</v>
      </c>
      <c r="AA112" s="590"/>
      <c r="AB112" s="591"/>
      <c r="AC112" s="591"/>
      <c r="AD112" s="410">
        <f>SUM(Q112)</f>
        <v>92733.24</v>
      </c>
      <c r="AE112" s="410">
        <f>SUM(V112:V114)</f>
        <v>92733.24</v>
      </c>
      <c r="AF112" s="410">
        <f>SUM(X112:X114)</f>
        <v>92733.24</v>
      </c>
      <c r="AG112" s="410">
        <f>K112-AD112</f>
        <v>1836.29999999999</v>
      </c>
      <c r="AH112" s="374" t="s">
        <v>197</v>
      </c>
      <c r="AI112" s="410" t="s">
        <v>154</v>
      </c>
    </row>
    <row r="113" s="3" customFormat="1" ht="24.75" customHeight="1" spans="1:35">
      <c r="A113" s="379"/>
      <c r="B113" s="380"/>
      <c r="C113" s="381"/>
      <c r="D113" s="374"/>
      <c r="E113" s="374"/>
      <c r="F113" s="409"/>
      <c r="G113" s="410"/>
      <c r="H113" s="374"/>
      <c r="I113" s="429"/>
      <c r="J113" s="374"/>
      <c r="K113" s="432"/>
      <c r="L113" s="410"/>
      <c r="M113" s="406">
        <v>2</v>
      </c>
      <c r="N113" s="456" t="s">
        <v>4744</v>
      </c>
      <c r="O113" s="457">
        <v>0.4</v>
      </c>
      <c r="P113" s="467">
        <f>O113*K112</f>
        <v>37827.816</v>
      </c>
      <c r="Q113" s="433"/>
      <c r="R113" s="433"/>
      <c r="S113" s="506"/>
      <c r="T113" s="433"/>
      <c r="U113" s="558"/>
      <c r="V113" s="410"/>
      <c r="W113" s="410"/>
      <c r="X113" s="433"/>
      <c r="Y113" s="505"/>
      <c r="Z113" s="503"/>
      <c r="AA113" s="592"/>
      <c r="AB113" s="585"/>
      <c r="AC113" s="585"/>
      <c r="AD113" s="410"/>
      <c r="AE113" s="410"/>
      <c r="AF113" s="410"/>
      <c r="AG113" s="410"/>
      <c r="AH113" s="374"/>
      <c r="AI113" s="410"/>
    </row>
    <row r="114" s="3" customFormat="1" ht="24.75" customHeight="1" spans="1:35">
      <c r="A114" s="382"/>
      <c r="B114" s="383"/>
      <c r="C114" s="384"/>
      <c r="D114" s="375"/>
      <c r="E114" s="375"/>
      <c r="F114" s="411"/>
      <c r="G114" s="412"/>
      <c r="H114" s="375"/>
      <c r="I114" s="430"/>
      <c r="J114" s="375"/>
      <c r="K114" s="434"/>
      <c r="L114" s="412"/>
      <c r="M114" s="406">
        <v>3</v>
      </c>
      <c r="N114" s="456" t="s">
        <v>4745</v>
      </c>
      <c r="O114" s="457">
        <v>0.4</v>
      </c>
      <c r="P114" s="467">
        <f>O114*K112</f>
        <v>37827.816</v>
      </c>
      <c r="Q114" s="503"/>
      <c r="R114" s="503"/>
      <c r="S114" s="505"/>
      <c r="T114" s="503"/>
      <c r="U114" s="554"/>
      <c r="V114" s="412"/>
      <c r="W114" s="412"/>
      <c r="X114" s="503"/>
      <c r="Y114" s="502">
        <v>44616</v>
      </c>
      <c r="Z114" s="428">
        <f>T112-Z112</f>
        <v>35991.52</v>
      </c>
      <c r="AA114" s="584"/>
      <c r="AB114" s="585"/>
      <c r="AC114" s="585"/>
      <c r="AD114" s="412"/>
      <c r="AE114" s="412"/>
      <c r="AF114" s="412"/>
      <c r="AG114" s="412"/>
      <c r="AH114" s="375"/>
      <c r="AI114" s="412"/>
    </row>
    <row r="115" s="3" customFormat="1" ht="24.75" customHeight="1" spans="1:35">
      <c r="A115" s="368" t="s">
        <v>690</v>
      </c>
      <c r="B115" s="369">
        <v>44324</v>
      </c>
      <c r="C115" s="370" t="s">
        <v>4746</v>
      </c>
      <c r="D115" s="371" t="s">
        <v>779</v>
      </c>
      <c r="E115" s="371" t="s">
        <v>4747</v>
      </c>
      <c r="F115" s="413" t="s">
        <v>4748</v>
      </c>
      <c r="G115" s="406" t="s">
        <v>193</v>
      </c>
      <c r="H115" s="371" t="s">
        <v>4749</v>
      </c>
      <c r="I115" s="405">
        <v>80000</v>
      </c>
      <c r="J115" s="371" t="s">
        <v>4750</v>
      </c>
      <c r="K115" s="426">
        <v>208000</v>
      </c>
      <c r="L115" s="413" t="s">
        <v>33</v>
      </c>
      <c r="M115" s="406">
        <v>1</v>
      </c>
      <c r="N115" s="456" t="s">
        <v>4751</v>
      </c>
      <c r="O115" s="457">
        <v>1</v>
      </c>
      <c r="P115" s="467">
        <f>O115*K115</f>
        <v>208000</v>
      </c>
      <c r="Q115" s="428">
        <v>173344.06</v>
      </c>
      <c r="R115" s="428" t="s">
        <v>4603</v>
      </c>
      <c r="S115" s="502">
        <v>44546</v>
      </c>
      <c r="T115" s="428">
        <v>173344.06</v>
      </c>
      <c r="U115" s="552">
        <v>44546</v>
      </c>
      <c r="V115" s="406">
        <v>173344.06</v>
      </c>
      <c r="W115" s="551">
        <v>44550</v>
      </c>
      <c r="X115" s="428">
        <v>173344.06</v>
      </c>
      <c r="Y115" s="502">
        <v>44617</v>
      </c>
      <c r="Z115" s="593"/>
      <c r="AA115" s="584"/>
      <c r="AB115" s="585"/>
      <c r="AC115" s="585"/>
      <c r="AD115" s="406">
        <f>SUM(Q115)</f>
        <v>173344.06</v>
      </c>
      <c r="AE115" s="406">
        <f>SUM(V115)</f>
        <v>173344.06</v>
      </c>
      <c r="AF115" s="406">
        <f>SUM(X115)</f>
        <v>173344.06</v>
      </c>
      <c r="AG115" s="406">
        <f>K115-AD115</f>
        <v>34655.94</v>
      </c>
      <c r="AH115" s="371" t="s">
        <v>197</v>
      </c>
      <c r="AI115" s="406" t="s">
        <v>154</v>
      </c>
    </row>
    <row r="116" s="6" customFormat="1" ht="46.5" customHeight="1" spans="1:35">
      <c r="A116" s="385" t="s">
        <v>1003</v>
      </c>
      <c r="B116" s="386">
        <v>44407</v>
      </c>
      <c r="C116" s="387" t="s">
        <v>4752</v>
      </c>
      <c r="D116" s="388"/>
      <c r="E116" s="388" t="s">
        <v>4753</v>
      </c>
      <c r="F116" s="414" t="s">
        <v>4754</v>
      </c>
      <c r="G116" s="415" t="s">
        <v>240</v>
      </c>
      <c r="H116" s="388" t="s">
        <v>4755</v>
      </c>
      <c r="I116" s="435">
        <v>52019</v>
      </c>
      <c r="J116" s="388"/>
      <c r="K116" s="436">
        <v>1547784.2</v>
      </c>
      <c r="L116" s="414" t="s">
        <v>126</v>
      </c>
      <c r="M116" s="468">
        <v>1</v>
      </c>
      <c r="N116" s="469" t="s">
        <v>4756</v>
      </c>
      <c r="O116" s="470">
        <v>0.2</v>
      </c>
      <c r="P116" s="471">
        <f>K116*O116</f>
        <v>309556.84</v>
      </c>
      <c r="Q116" s="507">
        <f>P116</f>
        <v>309556.84</v>
      </c>
      <c r="R116" s="508" t="s">
        <v>4603</v>
      </c>
      <c r="S116" s="509">
        <v>44508</v>
      </c>
      <c r="T116" s="507">
        <f>Q116</f>
        <v>309556.84</v>
      </c>
      <c r="U116" s="560">
        <v>44508</v>
      </c>
      <c r="V116" s="561">
        <v>309556.84</v>
      </c>
      <c r="W116" s="562">
        <v>44520</v>
      </c>
      <c r="X116" s="561">
        <v>309556.84</v>
      </c>
      <c r="Y116" s="509">
        <v>44555</v>
      </c>
      <c r="Z116" s="594">
        <f>Q116-X116</f>
        <v>0</v>
      </c>
      <c r="AA116" s="595"/>
      <c r="AB116" s="596"/>
      <c r="AC116" s="608"/>
      <c r="AD116" s="417">
        <f>SUM(Q116:Q120)</f>
        <v>1393005.78</v>
      </c>
      <c r="AE116" s="472">
        <f>SUM(V116:V120)</f>
        <v>1393005.78</v>
      </c>
      <c r="AF116" s="566">
        <f>SUM(X116:X120)</f>
        <v>1393005.78</v>
      </c>
      <c r="AG116" s="566">
        <f>K116-AD116</f>
        <v>154778.42</v>
      </c>
      <c r="AH116" s="615" t="s">
        <v>247</v>
      </c>
      <c r="AI116" s="566" t="s">
        <v>154</v>
      </c>
    </row>
    <row r="117" s="6" customFormat="1" ht="57" customHeight="1" spans="1:35">
      <c r="A117" s="385"/>
      <c r="B117" s="386"/>
      <c r="C117" s="389"/>
      <c r="D117" s="388"/>
      <c r="E117" s="388"/>
      <c r="F117" s="414"/>
      <c r="G117" s="415"/>
      <c r="H117" s="388"/>
      <c r="I117" s="435"/>
      <c r="J117" s="388"/>
      <c r="K117" s="436"/>
      <c r="L117" s="414"/>
      <c r="M117" s="472">
        <v>2</v>
      </c>
      <c r="N117" s="473" t="s">
        <v>4757</v>
      </c>
      <c r="O117" s="474">
        <v>0.5</v>
      </c>
      <c r="P117" s="475">
        <f>K116*O117</f>
        <v>773892.1</v>
      </c>
      <c r="Q117" s="510">
        <v>773892.1</v>
      </c>
      <c r="R117" s="511" t="s">
        <v>4603</v>
      </c>
      <c r="S117" s="512">
        <v>44714</v>
      </c>
      <c r="T117" s="510">
        <v>773892.1</v>
      </c>
      <c r="U117" s="563">
        <v>44714</v>
      </c>
      <c r="V117" s="561">
        <v>630000</v>
      </c>
      <c r="W117" s="562">
        <v>44718</v>
      </c>
      <c r="X117" s="507">
        <v>630000</v>
      </c>
      <c r="Y117" s="509">
        <v>44796</v>
      </c>
      <c r="Z117" s="597">
        <f>Q117-X117-X118</f>
        <v>0</v>
      </c>
      <c r="AA117" s="595"/>
      <c r="AB117" s="596"/>
      <c r="AC117" s="608"/>
      <c r="AD117" s="609"/>
      <c r="AE117" s="472"/>
      <c r="AF117" s="566"/>
      <c r="AG117" s="566"/>
      <c r="AH117" s="615"/>
      <c r="AI117" s="566"/>
    </row>
    <row r="118" s="6" customFormat="1" ht="51" customHeight="1" spans="1:35">
      <c r="A118" s="385"/>
      <c r="B118" s="386"/>
      <c r="C118" s="389"/>
      <c r="D118" s="388"/>
      <c r="E118" s="388"/>
      <c r="F118" s="414"/>
      <c r="G118" s="415"/>
      <c r="H118" s="388"/>
      <c r="I118" s="435"/>
      <c r="J118" s="388"/>
      <c r="K118" s="436"/>
      <c r="L118" s="414"/>
      <c r="M118" s="468"/>
      <c r="N118" s="476"/>
      <c r="O118" s="470"/>
      <c r="P118" s="477"/>
      <c r="Q118" s="507"/>
      <c r="R118" s="508"/>
      <c r="S118" s="509"/>
      <c r="T118" s="507"/>
      <c r="U118" s="560"/>
      <c r="V118" s="561">
        <v>143892.1</v>
      </c>
      <c r="W118" s="562">
        <v>45020</v>
      </c>
      <c r="X118" s="561">
        <v>143892.1</v>
      </c>
      <c r="Y118" s="509">
        <v>45040</v>
      </c>
      <c r="Z118" s="594"/>
      <c r="AA118" s="595" t="s">
        <v>250</v>
      </c>
      <c r="AB118" s="596"/>
      <c r="AC118" s="608"/>
      <c r="AD118" s="609"/>
      <c r="AE118" s="472"/>
      <c r="AF118" s="566"/>
      <c r="AG118" s="566"/>
      <c r="AH118" s="615"/>
      <c r="AI118" s="566"/>
    </row>
    <row r="119" s="6" customFormat="1" ht="51" customHeight="1" spans="1:35">
      <c r="A119" s="385"/>
      <c r="B119" s="386"/>
      <c r="C119" s="389"/>
      <c r="D119" s="388"/>
      <c r="E119" s="388"/>
      <c r="F119" s="414"/>
      <c r="G119" s="415"/>
      <c r="H119" s="388"/>
      <c r="I119" s="435"/>
      <c r="J119" s="388"/>
      <c r="K119" s="436"/>
      <c r="L119" s="414"/>
      <c r="M119" s="468">
        <v>3</v>
      </c>
      <c r="N119" s="469" t="s">
        <v>3385</v>
      </c>
      <c r="O119" s="470">
        <v>0.2</v>
      </c>
      <c r="P119" s="477">
        <f>K116*O119</f>
        <v>309556.84</v>
      </c>
      <c r="Q119" s="507">
        <v>309556.84</v>
      </c>
      <c r="R119" s="508" t="s">
        <v>4603</v>
      </c>
      <c r="S119" s="509">
        <v>44922</v>
      </c>
      <c r="T119" s="507">
        <v>309556.84</v>
      </c>
      <c r="U119" s="560">
        <v>44922</v>
      </c>
      <c r="V119" s="561">
        <v>309556.84</v>
      </c>
      <c r="W119" s="562">
        <v>44991</v>
      </c>
      <c r="X119" s="561">
        <v>309556.84</v>
      </c>
      <c r="Y119" s="509">
        <v>45015</v>
      </c>
      <c r="Z119" s="594">
        <f t="shared" ref="Z119:Z127" si="8">Q119-X119</f>
        <v>0</v>
      </c>
      <c r="AA119" s="595"/>
      <c r="AB119" s="596"/>
      <c r="AC119" s="608"/>
      <c r="AD119" s="609"/>
      <c r="AE119" s="472"/>
      <c r="AF119" s="566"/>
      <c r="AG119" s="566"/>
      <c r="AH119" s="615"/>
      <c r="AI119" s="566"/>
    </row>
    <row r="120" s="6" customFormat="1" ht="51.75" customHeight="1" spans="1:35">
      <c r="A120" s="390"/>
      <c r="B120" s="391"/>
      <c r="C120" s="389"/>
      <c r="D120" s="392"/>
      <c r="E120" s="392"/>
      <c r="F120" s="416"/>
      <c r="G120" s="417"/>
      <c r="H120" s="392"/>
      <c r="I120" s="437"/>
      <c r="J120" s="392"/>
      <c r="K120" s="438"/>
      <c r="L120" s="416"/>
      <c r="M120" s="472">
        <v>4</v>
      </c>
      <c r="N120" s="478" t="s">
        <v>3436</v>
      </c>
      <c r="O120" s="474">
        <v>0.1</v>
      </c>
      <c r="P120" s="479"/>
      <c r="Q120" s="513"/>
      <c r="R120" s="514"/>
      <c r="S120" s="515"/>
      <c r="T120" s="513"/>
      <c r="U120" s="564"/>
      <c r="V120" s="565"/>
      <c r="W120" s="566"/>
      <c r="X120" s="565"/>
      <c r="Y120" s="515"/>
      <c r="Z120" s="597">
        <f t="shared" si="8"/>
        <v>0</v>
      </c>
      <c r="AA120" s="598"/>
      <c r="AB120" s="599"/>
      <c r="AC120" s="610"/>
      <c r="AD120" s="609"/>
      <c r="AE120" s="472"/>
      <c r="AF120" s="566"/>
      <c r="AG120" s="566"/>
      <c r="AH120" s="615"/>
      <c r="AI120" s="566"/>
    </row>
    <row r="121" s="6" customFormat="1" ht="51" customHeight="1" spans="1:35">
      <c r="A121" s="393" t="s">
        <v>1003</v>
      </c>
      <c r="B121" s="394">
        <v>44517</v>
      </c>
      <c r="C121" s="395" t="s">
        <v>4758</v>
      </c>
      <c r="D121" s="396"/>
      <c r="E121" s="418" t="s">
        <v>4759</v>
      </c>
      <c r="F121" s="418" t="s">
        <v>4760</v>
      </c>
      <c r="G121" s="393" t="s">
        <v>4761</v>
      </c>
      <c r="H121" s="418" t="s">
        <v>4762</v>
      </c>
      <c r="I121" s="439"/>
      <c r="J121" s="396"/>
      <c r="K121" s="440" t="s">
        <v>4763</v>
      </c>
      <c r="L121" s="418" t="s">
        <v>126</v>
      </c>
      <c r="M121" s="419">
        <v>1</v>
      </c>
      <c r="N121" s="480" t="s">
        <v>4764</v>
      </c>
      <c r="O121" s="481">
        <v>0.2</v>
      </c>
      <c r="P121" s="482">
        <v>32000</v>
      </c>
      <c r="Q121" s="516">
        <v>32000</v>
      </c>
      <c r="R121" s="393" t="s">
        <v>4603</v>
      </c>
      <c r="S121" s="517">
        <v>44845</v>
      </c>
      <c r="T121" s="516">
        <v>32000</v>
      </c>
      <c r="U121" s="517">
        <v>44845</v>
      </c>
      <c r="V121" s="516">
        <v>32000</v>
      </c>
      <c r="W121" s="567">
        <v>44890</v>
      </c>
      <c r="X121" s="516">
        <v>32000</v>
      </c>
      <c r="Y121" s="517">
        <v>44916</v>
      </c>
      <c r="Z121" s="519">
        <f t="shared" si="8"/>
        <v>0</v>
      </c>
      <c r="AA121" s="600" t="s">
        <v>4765</v>
      </c>
      <c r="AB121" s="601"/>
      <c r="AC121" s="601"/>
      <c r="AD121" s="611"/>
      <c r="AE121" s="611"/>
      <c r="AF121" s="611"/>
      <c r="AG121" s="611"/>
      <c r="AH121" s="616"/>
      <c r="AI121" s="611"/>
    </row>
    <row r="122" s="6" customFormat="1" ht="51" customHeight="1" spans="1:35">
      <c r="A122" s="397"/>
      <c r="B122" s="394"/>
      <c r="C122" s="398"/>
      <c r="D122" s="396"/>
      <c r="E122" s="396"/>
      <c r="F122" s="418"/>
      <c r="G122" s="419"/>
      <c r="H122" s="396"/>
      <c r="I122" s="439"/>
      <c r="J122" s="396"/>
      <c r="K122" s="441"/>
      <c r="L122" s="418"/>
      <c r="M122" s="419">
        <v>2</v>
      </c>
      <c r="N122" s="480" t="s">
        <v>4766</v>
      </c>
      <c r="O122" s="481">
        <v>0.6</v>
      </c>
      <c r="P122" s="483">
        <v>96000</v>
      </c>
      <c r="Q122" s="516">
        <v>96000</v>
      </c>
      <c r="R122" s="393" t="s">
        <v>4603</v>
      </c>
      <c r="S122" s="517">
        <v>44897</v>
      </c>
      <c r="T122" s="516">
        <v>96000</v>
      </c>
      <c r="U122" s="568">
        <v>44897</v>
      </c>
      <c r="V122" s="516">
        <v>96000</v>
      </c>
      <c r="W122" s="567">
        <v>44971</v>
      </c>
      <c r="X122" s="516">
        <v>96000</v>
      </c>
      <c r="Y122" s="517">
        <v>44980</v>
      </c>
      <c r="Z122" s="519">
        <f t="shared" si="8"/>
        <v>0</v>
      </c>
      <c r="AA122" s="600"/>
      <c r="AB122" s="601"/>
      <c r="AC122" s="601"/>
      <c r="AD122" s="612"/>
      <c r="AE122" s="612"/>
      <c r="AF122" s="612"/>
      <c r="AG122" s="612"/>
      <c r="AH122" s="617"/>
      <c r="AI122" s="612"/>
    </row>
    <row r="123" s="6" customFormat="1" ht="51" customHeight="1" spans="1:35">
      <c r="A123" s="397"/>
      <c r="B123" s="394"/>
      <c r="C123" s="398"/>
      <c r="D123" s="396"/>
      <c r="E123" s="396"/>
      <c r="F123" s="418"/>
      <c r="G123" s="419"/>
      <c r="H123" s="396"/>
      <c r="I123" s="439"/>
      <c r="J123" s="396"/>
      <c r="K123" s="441"/>
      <c r="L123" s="418"/>
      <c r="M123" s="419">
        <v>3</v>
      </c>
      <c r="N123" s="480" t="s">
        <v>4767</v>
      </c>
      <c r="O123" s="481">
        <v>0.2</v>
      </c>
      <c r="P123" s="482">
        <v>32000</v>
      </c>
      <c r="Q123" s="518"/>
      <c r="R123" s="519"/>
      <c r="S123" s="520"/>
      <c r="T123" s="518"/>
      <c r="U123" s="569"/>
      <c r="V123" s="570"/>
      <c r="W123" s="419"/>
      <c r="X123" s="570"/>
      <c r="Y123" s="520"/>
      <c r="Z123" s="519">
        <f t="shared" si="8"/>
        <v>0</v>
      </c>
      <c r="AA123" s="600"/>
      <c r="AB123" s="601"/>
      <c r="AC123" s="601"/>
      <c r="AD123" s="613"/>
      <c r="AE123" s="613"/>
      <c r="AF123" s="613"/>
      <c r="AG123" s="613"/>
      <c r="AH123" s="618"/>
      <c r="AI123" s="613"/>
    </row>
    <row r="124" s="6" customFormat="1" ht="40" customHeight="1" spans="1:35">
      <c r="A124" s="399" t="s">
        <v>1003</v>
      </c>
      <c r="B124" s="400">
        <v>44520</v>
      </c>
      <c r="C124" s="401" t="s">
        <v>4758</v>
      </c>
      <c r="D124" s="402"/>
      <c r="E124" s="420" t="s">
        <v>4768</v>
      </c>
      <c r="F124" s="420" t="s">
        <v>4769</v>
      </c>
      <c r="G124" s="399" t="s">
        <v>3465</v>
      </c>
      <c r="H124" s="420" t="s">
        <v>4770</v>
      </c>
      <c r="I124" s="442">
        <v>13680</v>
      </c>
      <c r="J124" s="420" t="s">
        <v>4771</v>
      </c>
      <c r="K124" s="443">
        <v>287280</v>
      </c>
      <c r="L124" s="416" t="s">
        <v>126</v>
      </c>
      <c r="M124" s="468">
        <v>1</v>
      </c>
      <c r="N124" s="484" t="s">
        <v>4772</v>
      </c>
      <c r="O124" s="470">
        <v>0.2</v>
      </c>
      <c r="P124" s="471">
        <v>57456</v>
      </c>
      <c r="Q124" s="507">
        <v>57456</v>
      </c>
      <c r="R124" s="508" t="s">
        <v>4603</v>
      </c>
      <c r="S124" s="509">
        <v>44845</v>
      </c>
      <c r="T124" s="507">
        <v>57456</v>
      </c>
      <c r="U124" s="509">
        <v>44845</v>
      </c>
      <c r="V124" s="507">
        <v>57456</v>
      </c>
      <c r="W124" s="571">
        <v>44902</v>
      </c>
      <c r="X124" s="507">
        <v>57456</v>
      </c>
      <c r="Y124" s="509">
        <v>44916</v>
      </c>
      <c r="Z124" s="602">
        <f t="shared" si="8"/>
        <v>0</v>
      </c>
      <c r="AA124" s="595" t="s">
        <v>4765</v>
      </c>
      <c r="AB124" s="596"/>
      <c r="AC124" s="608"/>
      <c r="AD124" s="609"/>
      <c r="AE124" s="472"/>
      <c r="AF124" s="472"/>
      <c r="AG124" s="619"/>
      <c r="AH124" s="615"/>
      <c r="AI124" s="566"/>
    </row>
    <row r="125" s="6" customFormat="1" ht="40" customHeight="1" spans="1:35">
      <c r="A125" s="399"/>
      <c r="B125" s="400"/>
      <c r="C125" s="401"/>
      <c r="D125" s="402"/>
      <c r="E125" s="420"/>
      <c r="F125" s="420"/>
      <c r="G125" s="399"/>
      <c r="H125" s="420"/>
      <c r="I125" s="442"/>
      <c r="J125" s="420"/>
      <c r="K125" s="443"/>
      <c r="L125" s="420"/>
      <c r="M125" s="472">
        <v>2</v>
      </c>
      <c r="N125" s="485" t="s">
        <v>4773</v>
      </c>
      <c r="O125" s="474">
        <v>0.6</v>
      </c>
      <c r="P125" s="479">
        <v>172368</v>
      </c>
      <c r="Q125" s="510">
        <v>172368</v>
      </c>
      <c r="R125" s="511" t="s">
        <v>4603</v>
      </c>
      <c r="S125" s="512">
        <v>45111</v>
      </c>
      <c r="T125" s="510">
        <v>172368</v>
      </c>
      <c r="U125" s="512">
        <v>45111</v>
      </c>
      <c r="V125" s="507">
        <v>86184</v>
      </c>
      <c r="W125" s="571">
        <v>45792</v>
      </c>
      <c r="X125" s="507">
        <v>86184</v>
      </c>
      <c r="Y125" s="603">
        <v>45868</v>
      </c>
      <c r="Z125" s="602">
        <f t="shared" si="8"/>
        <v>86184</v>
      </c>
      <c r="AA125" s="595"/>
      <c r="AB125" s="596"/>
      <c r="AC125" s="608"/>
      <c r="AD125" s="609"/>
      <c r="AE125" s="472"/>
      <c r="AF125" s="472"/>
      <c r="AG125" s="619"/>
      <c r="AH125" s="615"/>
      <c r="AI125" s="566"/>
    </row>
    <row r="126" s="6" customFormat="1" ht="51" customHeight="1" spans="1:35">
      <c r="A126" s="399"/>
      <c r="B126" s="400"/>
      <c r="C126" s="401"/>
      <c r="D126" s="402"/>
      <c r="E126" s="420"/>
      <c r="F126" s="420"/>
      <c r="G126" s="399"/>
      <c r="H126" s="420"/>
      <c r="I126" s="442"/>
      <c r="J126" s="420"/>
      <c r="K126" s="443"/>
      <c r="L126" s="420"/>
      <c r="M126" s="468"/>
      <c r="N126" s="484"/>
      <c r="O126" s="470"/>
      <c r="P126" s="471"/>
      <c r="Q126" s="507"/>
      <c r="R126" s="508"/>
      <c r="S126" s="509"/>
      <c r="T126" s="507"/>
      <c r="U126" s="509"/>
      <c r="V126" s="572">
        <v>86184</v>
      </c>
      <c r="W126" s="415"/>
      <c r="X126" s="573"/>
      <c r="Y126" s="604"/>
      <c r="Z126" s="602">
        <f t="shared" si="8"/>
        <v>0</v>
      </c>
      <c r="AA126" s="595"/>
      <c r="AB126" s="596"/>
      <c r="AC126" s="608"/>
      <c r="AD126" s="609"/>
      <c r="AE126" s="472"/>
      <c r="AF126" s="472"/>
      <c r="AG126" s="619"/>
      <c r="AH126" s="615"/>
      <c r="AI126" s="566"/>
    </row>
    <row r="127" s="6" customFormat="1" ht="51" customHeight="1" spans="1:35">
      <c r="A127" s="399"/>
      <c r="B127" s="400"/>
      <c r="C127" s="401"/>
      <c r="D127" s="402"/>
      <c r="E127" s="420"/>
      <c r="F127" s="420"/>
      <c r="G127" s="399"/>
      <c r="H127" s="420"/>
      <c r="I127" s="442"/>
      <c r="J127" s="420"/>
      <c r="K127" s="443"/>
      <c r="L127" s="420"/>
      <c r="M127" s="472">
        <v>3</v>
      </c>
      <c r="N127" s="486" t="s">
        <v>4774</v>
      </c>
      <c r="O127" s="474">
        <v>0.2</v>
      </c>
      <c r="P127" s="479">
        <v>57456</v>
      </c>
      <c r="Q127" s="513"/>
      <c r="R127" s="514"/>
      <c r="S127" s="515"/>
      <c r="T127" s="513"/>
      <c r="U127" s="574"/>
      <c r="V127" s="575"/>
      <c r="W127" s="417"/>
      <c r="X127" s="575"/>
      <c r="Y127" s="605"/>
      <c r="Z127" s="606">
        <f t="shared" si="8"/>
        <v>0</v>
      </c>
      <c r="AA127" s="598"/>
      <c r="AB127" s="599"/>
      <c r="AC127" s="610"/>
      <c r="AD127" s="609"/>
      <c r="AE127" s="472"/>
      <c r="AF127" s="472"/>
      <c r="AG127" s="619"/>
      <c r="AH127" s="615"/>
      <c r="AI127" s="566"/>
    </row>
    <row r="128" s="6" customFormat="1" ht="51" customHeight="1" spans="1:35">
      <c r="A128" s="393" t="s">
        <v>1003</v>
      </c>
      <c r="B128" s="394">
        <v>44653</v>
      </c>
      <c r="C128" s="395" t="s">
        <v>4758</v>
      </c>
      <c r="D128" s="396"/>
      <c r="E128" s="418" t="s">
        <v>4775</v>
      </c>
      <c r="F128" s="418" t="s">
        <v>4776</v>
      </c>
      <c r="G128" s="393" t="s">
        <v>3453</v>
      </c>
      <c r="H128" s="418" t="s">
        <v>4777</v>
      </c>
      <c r="I128" s="439"/>
      <c r="J128" s="418"/>
      <c r="K128" s="440">
        <v>27414</v>
      </c>
      <c r="L128" s="418" t="s">
        <v>126</v>
      </c>
      <c r="M128" s="419">
        <v>1</v>
      </c>
      <c r="N128" s="480" t="s">
        <v>4778</v>
      </c>
      <c r="O128" s="481">
        <v>0.2</v>
      </c>
      <c r="P128" s="393">
        <f>K128*O128</f>
        <v>5482.8</v>
      </c>
      <c r="Q128" s="516">
        <v>5482.8</v>
      </c>
      <c r="R128" s="393" t="s">
        <v>4603</v>
      </c>
      <c r="S128" s="517">
        <v>44897</v>
      </c>
      <c r="T128" s="516">
        <v>5482.8</v>
      </c>
      <c r="U128" s="568">
        <v>44897</v>
      </c>
      <c r="V128" s="516">
        <v>5482.8</v>
      </c>
      <c r="W128" s="567">
        <v>44971</v>
      </c>
      <c r="X128" s="516">
        <v>5482.8</v>
      </c>
      <c r="Y128" s="517">
        <v>44980</v>
      </c>
      <c r="Z128" s="519"/>
      <c r="AA128" s="600"/>
      <c r="AB128" s="601"/>
      <c r="AC128" s="601"/>
      <c r="AD128" s="419"/>
      <c r="AE128" s="419"/>
      <c r="AF128" s="419"/>
      <c r="AG128" s="419"/>
      <c r="AH128" s="396"/>
      <c r="AI128" s="419"/>
    </row>
    <row r="129" s="6" customFormat="1" ht="51" customHeight="1" spans="1:35">
      <c r="A129" s="397"/>
      <c r="B129" s="394"/>
      <c r="C129" s="398"/>
      <c r="D129" s="396"/>
      <c r="E129" s="396"/>
      <c r="F129" s="418"/>
      <c r="G129" s="419"/>
      <c r="H129" s="396"/>
      <c r="I129" s="439"/>
      <c r="J129" s="396"/>
      <c r="K129" s="441"/>
      <c r="L129" s="418"/>
      <c r="M129" s="419">
        <v>2</v>
      </c>
      <c r="N129" s="480" t="s">
        <v>4779</v>
      </c>
      <c r="O129" s="481">
        <v>0.6</v>
      </c>
      <c r="P129" s="393">
        <f>K128*O129</f>
        <v>16448.4</v>
      </c>
      <c r="Q129" s="516">
        <v>16448.4</v>
      </c>
      <c r="R129" s="393" t="s">
        <v>4603</v>
      </c>
      <c r="S129" s="517">
        <v>45287</v>
      </c>
      <c r="T129" s="516">
        <v>16448.4</v>
      </c>
      <c r="U129" s="517">
        <v>45287</v>
      </c>
      <c r="V129" s="570"/>
      <c r="W129" s="419"/>
      <c r="X129" s="570"/>
      <c r="Y129" s="520"/>
      <c r="Z129" s="519"/>
      <c r="AA129" s="600"/>
      <c r="AB129" s="601"/>
      <c r="AC129" s="601"/>
      <c r="AD129" s="419"/>
      <c r="AE129" s="419"/>
      <c r="AF129" s="419"/>
      <c r="AG129" s="419"/>
      <c r="AH129" s="396"/>
      <c r="AI129" s="419"/>
    </row>
    <row r="130" s="6" customFormat="1" ht="51" customHeight="1" spans="1:35">
      <c r="A130" s="397"/>
      <c r="B130" s="394"/>
      <c r="C130" s="398"/>
      <c r="D130" s="396"/>
      <c r="E130" s="396"/>
      <c r="F130" s="418"/>
      <c r="G130" s="419"/>
      <c r="H130" s="396"/>
      <c r="I130" s="439"/>
      <c r="J130" s="396"/>
      <c r="K130" s="441"/>
      <c r="L130" s="418"/>
      <c r="M130" s="419">
        <v>3</v>
      </c>
      <c r="N130" s="480" t="s">
        <v>4780</v>
      </c>
      <c r="O130" s="481">
        <v>0.2</v>
      </c>
      <c r="P130" s="393">
        <f>K128*O130</f>
        <v>5482.8</v>
      </c>
      <c r="Q130" s="518"/>
      <c r="R130" s="519"/>
      <c r="S130" s="520"/>
      <c r="T130" s="518"/>
      <c r="U130" s="569"/>
      <c r="V130" s="570"/>
      <c r="W130" s="419"/>
      <c r="X130" s="570"/>
      <c r="Y130" s="520"/>
      <c r="Z130" s="519"/>
      <c r="AA130" s="600"/>
      <c r="AB130" s="601"/>
      <c r="AC130" s="601"/>
      <c r="AD130" s="419"/>
      <c r="AE130" s="419"/>
      <c r="AF130" s="419"/>
      <c r="AG130" s="419"/>
      <c r="AH130" s="396"/>
      <c r="AI130" s="419"/>
    </row>
    <row r="131" s="6" customFormat="1" ht="51" customHeight="1" spans="1:35">
      <c r="A131" s="399" t="s">
        <v>1003</v>
      </c>
      <c r="B131" s="400">
        <v>44749</v>
      </c>
      <c r="C131" s="401" t="s">
        <v>4758</v>
      </c>
      <c r="D131" s="402"/>
      <c r="E131" s="420" t="s">
        <v>4781</v>
      </c>
      <c r="F131" s="420" t="s">
        <v>4782</v>
      </c>
      <c r="G131" s="399" t="s">
        <v>3469</v>
      </c>
      <c r="H131" s="420" t="s">
        <v>4783</v>
      </c>
      <c r="I131" s="442"/>
      <c r="J131" s="420" t="s">
        <v>997</v>
      </c>
      <c r="K131" s="443">
        <v>180000</v>
      </c>
      <c r="L131" s="420" t="s">
        <v>126</v>
      </c>
      <c r="M131" s="468">
        <v>1</v>
      </c>
      <c r="N131" s="484" t="s">
        <v>4784</v>
      </c>
      <c r="O131" s="470">
        <v>0.2</v>
      </c>
      <c r="P131" s="477">
        <f>K131*O131</f>
        <v>36000</v>
      </c>
      <c r="Q131" s="507">
        <v>36000</v>
      </c>
      <c r="R131" s="508" t="s">
        <v>4603</v>
      </c>
      <c r="S131" s="509">
        <v>44897</v>
      </c>
      <c r="T131" s="507">
        <v>36000</v>
      </c>
      <c r="U131" s="860">
        <v>44897</v>
      </c>
      <c r="V131" s="507">
        <v>36000</v>
      </c>
      <c r="W131" s="571">
        <v>44971</v>
      </c>
      <c r="X131" s="507">
        <v>36000</v>
      </c>
      <c r="Y131" s="903">
        <v>44980</v>
      </c>
      <c r="Z131" s="602"/>
      <c r="AA131" s="595"/>
      <c r="AB131" s="596"/>
      <c r="AC131" s="608"/>
      <c r="AD131" s="609"/>
      <c r="AE131" s="472"/>
      <c r="AF131" s="472"/>
      <c r="AG131" s="619"/>
      <c r="AH131" s="615"/>
      <c r="AI131" s="566"/>
    </row>
    <row r="132" s="6" customFormat="1" ht="51" customHeight="1" spans="1:35">
      <c r="A132" s="620"/>
      <c r="B132" s="400"/>
      <c r="C132" s="621"/>
      <c r="D132" s="402"/>
      <c r="E132" s="402"/>
      <c r="F132" s="420"/>
      <c r="G132" s="609"/>
      <c r="H132" s="402"/>
      <c r="I132" s="442"/>
      <c r="J132" s="402"/>
      <c r="K132" s="677"/>
      <c r="L132" s="420"/>
      <c r="M132" s="468">
        <v>2</v>
      </c>
      <c r="N132" s="484" t="s">
        <v>4785</v>
      </c>
      <c r="O132" s="470">
        <v>0.6</v>
      </c>
      <c r="P132" s="471">
        <f>K131*O132</f>
        <v>108000</v>
      </c>
      <c r="Q132" s="507">
        <v>108000</v>
      </c>
      <c r="R132" s="508" t="s">
        <v>4603</v>
      </c>
      <c r="S132" s="509">
        <v>45287</v>
      </c>
      <c r="T132" s="507">
        <v>108000</v>
      </c>
      <c r="U132" s="509">
        <v>45287</v>
      </c>
      <c r="V132" s="573"/>
      <c r="W132" s="415"/>
      <c r="X132" s="573"/>
      <c r="Y132" s="604"/>
      <c r="Z132" s="602"/>
      <c r="AA132" s="595"/>
      <c r="AB132" s="596"/>
      <c r="AC132" s="608"/>
      <c r="AD132" s="609"/>
      <c r="AE132" s="472"/>
      <c r="AF132" s="472"/>
      <c r="AG132" s="619"/>
      <c r="AH132" s="615"/>
      <c r="AI132" s="566"/>
    </row>
    <row r="133" s="6" customFormat="1" ht="51" customHeight="1" spans="1:35">
      <c r="A133" s="620"/>
      <c r="B133" s="400"/>
      <c r="C133" s="621"/>
      <c r="D133" s="402"/>
      <c r="E133" s="402"/>
      <c r="F133" s="420"/>
      <c r="G133" s="609"/>
      <c r="H133" s="402"/>
      <c r="I133" s="442"/>
      <c r="J133" s="402"/>
      <c r="K133" s="677"/>
      <c r="L133" s="420"/>
      <c r="M133" s="687">
        <v>3</v>
      </c>
      <c r="N133" s="486" t="s">
        <v>4786</v>
      </c>
      <c r="O133" s="474">
        <v>0.2</v>
      </c>
      <c r="P133" s="479">
        <f>K131*O133</f>
        <v>36000</v>
      </c>
      <c r="Q133" s="513"/>
      <c r="R133" s="514"/>
      <c r="S133" s="515"/>
      <c r="T133" s="513"/>
      <c r="U133" s="574"/>
      <c r="V133" s="575"/>
      <c r="W133" s="417"/>
      <c r="X133" s="575"/>
      <c r="Y133" s="605"/>
      <c r="Z133" s="606"/>
      <c r="AA133" s="598"/>
      <c r="AB133" s="599"/>
      <c r="AC133" s="610"/>
      <c r="AD133" s="609"/>
      <c r="AE133" s="472"/>
      <c r="AF133" s="472"/>
      <c r="AG133" s="619"/>
      <c r="AH133" s="615"/>
      <c r="AI133" s="566"/>
    </row>
    <row r="134" s="6" customFormat="1" ht="51" customHeight="1" spans="1:35">
      <c r="A134" s="393" t="s">
        <v>1003</v>
      </c>
      <c r="B134" s="517">
        <v>44743</v>
      </c>
      <c r="C134" s="395" t="s">
        <v>4758</v>
      </c>
      <c r="D134" s="418"/>
      <c r="E134" s="418" t="s">
        <v>4787</v>
      </c>
      <c r="F134" s="418" t="s">
        <v>4788</v>
      </c>
      <c r="G134" s="418" t="s">
        <v>4789</v>
      </c>
      <c r="H134" s="440" t="s">
        <v>4790</v>
      </c>
      <c r="I134" s="418"/>
      <c r="J134" s="418"/>
      <c r="K134" s="440">
        <v>200000</v>
      </c>
      <c r="L134" s="418" t="s">
        <v>126</v>
      </c>
      <c r="M134" s="419">
        <v>1</v>
      </c>
      <c r="N134" s="480" t="s">
        <v>4791</v>
      </c>
      <c r="O134" s="481">
        <v>0.2</v>
      </c>
      <c r="P134" s="483">
        <f>K134*O134</f>
        <v>40000</v>
      </c>
      <c r="Q134" s="516">
        <v>40000</v>
      </c>
      <c r="R134" s="393" t="s">
        <v>4603</v>
      </c>
      <c r="S134" s="517">
        <v>44897</v>
      </c>
      <c r="T134" s="516">
        <v>40000</v>
      </c>
      <c r="U134" s="568">
        <v>44897</v>
      </c>
      <c r="V134" s="516">
        <v>40000</v>
      </c>
      <c r="W134" s="567">
        <v>44971</v>
      </c>
      <c r="X134" s="516">
        <v>40000</v>
      </c>
      <c r="Y134" s="517">
        <v>44980</v>
      </c>
      <c r="Z134" s="519"/>
      <c r="AA134" s="600"/>
      <c r="AB134" s="601"/>
      <c r="AC134" s="601"/>
      <c r="AD134" s="419"/>
      <c r="AE134" s="419"/>
      <c r="AF134" s="419"/>
      <c r="AG134" s="419"/>
      <c r="AH134" s="396"/>
      <c r="AI134" s="419"/>
    </row>
    <row r="135" s="6" customFormat="1" ht="51" customHeight="1" spans="1:35">
      <c r="A135" s="397"/>
      <c r="B135" s="394"/>
      <c r="C135" s="398"/>
      <c r="D135" s="396"/>
      <c r="E135" s="396"/>
      <c r="F135" s="439"/>
      <c r="G135" s="396"/>
      <c r="H135" s="440"/>
      <c r="I135" s="418"/>
      <c r="J135" s="396"/>
      <c r="K135" s="441"/>
      <c r="L135" s="418"/>
      <c r="M135" s="419">
        <v>2</v>
      </c>
      <c r="N135" s="480" t="s">
        <v>4792</v>
      </c>
      <c r="O135" s="481">
        <v>0.6</v>
      </c>
      <c r="P135" s="482">
        <f>K134*O135</f>
        <v>120000</v>
      </c>
      <c r="Q135" s="516">
        <v>120000</v>
      </c>
      <c r="R135" s="393" t="s">
        <v>4603</v>
      </c>
      <c r="S135" s="517">
        <v>45287</v>
      </c>
      <c r="T135" s="516">
        <v>120000</v>
      </c>
      <c r="U135" s="517">
        <v>45287</v>
      </c>
      <c r="V135" s="570"/>
      <c r="W135" s="419"/>
      <c r="X135" s="570"/>
      <c r="Y135" s="520"/>
      <c r="Z135" s="519"/>
      <c r="AA135" s="600"/>
      <c r="AB135" s="601"/>
      <c r="AC135" s="601"/>
      <c r="AD135" s="419"/>
      <c r="AE135" s="419"/>
      <c r="AF135" s="419"/>
      <c r="AG135" s="419"/>
      <c r="AH135" s="396"/>
      <c r="AI135" s="419"/>
    </row>
    <row r="136" s="6" customFormat="1" ht="51" customHeight="1" spans="1:35">
      <c r="A136" s="397"/>
      <c r="B136" s="394"/>
      <c r="C136" s="398"/>
      <c r="D136" s="396"/>
      <c r="E136" s="396"/>
      <c r="F136" s="439"/>
      <c r="G136" s="396"/>
      <c r="H136" s="440"/>
      <c r="I136" s="418"/>
      <c r="J136" s="396"/>
      <c r="K136" s="441"/>
      <c r="L136" s="418"/>
      <c r="M136" s="393">
        <v>3</v>
      </c>
      <c r="N136" s="480" t="s">
        <v>4793</v>
      </c>
      <c r="O136" s="481">
        <v>0.2</v>
      </c>
      <c r="P136" s="482">
        <f>K134*O136</f>
        <v>40000</v>
      </c>
      <c r="Q136" s="518"/>
      <c r="R136" s="519"/>
      <c r="S136" s="520"/>
      <c r="T136" s="518"/>
      <c r="U136" s="569"/>
      <c r="V136" s="570"/>
      <c r="W136" s="419"/>
      <c r="X136" s="570"/>
      <c r="Y136" s="520"/>
      <c r="Z136" s="519"/>
      <c r="AA136" s="600"/>
      <c r="AB136" s="601"/>
      <c r="AC136" s="601"/>
      <c r="AD136" s="419"/>
      <c r="AE136" s="419"/>
      <c r="AF136" s="419"/>
      <c r="AG136" s="419"/>
      <c r="AH136" s="396"/>
      <c r="AI136" s="419"/>
    </row>
    <row r="137" s="6" customFormat="1" ht="92" spans="1:35">
      <c r="A137" s="399" t="s">
        <v>1003</v>
      </c>
      <c r="B137" s="400">
        <v>44652</v>
      </c>
      <c r="C137" s="401" t="s">
        <v>4758</v>
      </c>
      <c r="D137" s="420"/>
      <c r="E137" s="420" t="s">
        <v>4794</v>
      </c>
      <c r="F137" s="420" t="s">
        <v>4795</v>
      </c>
      <c r="G137" s="420" t="s">
        <v>4796</v>
      </c>
      <c r="H137" s="443" t="s">
        <v>4797</v>
      </c>
      <c r="I137" s="420"/>
      <c r="J137" s="687" t="s">
        <v>4798</v>
      </c>
      <c r="K137" s="443">
        <v>26105</v>
      </c>
      <c r="L137" s="443" t="s">
        <v>138</v>
      </c>
      <c r="M137" s="468">
        <v>1</v>
      </c>
      <c r="N137" s="484" t="s">
        <v>4799</v>
      </c>
      <c r="O137" s="470">
        <v>0.2</v>
      </c>
      <c r="P137" s="471">
        <v>5221</v>
      </c>
      <c r="Q137" s="507">
        <v>5221</v>
      </c>
      <c r="R137" s="508" t="s">
        <v>4603</v>
      </c>
      <c r="S137" s="509">
        <v>45002</v>
      </c>
      <c r="T137" s="507">
        <v>5221</v>
      </c>
      <c r="U137" s="509">
        <v>45002</v>
      </c>
      <c r="V137" s="507">
        <v>5221</v>
      </c>
      <c r="W137" s="809">
        <v>45005</v>
      </c>
      <c r="X137" s="507">
        <v>5221</v>
      </c>
      <c r="Y137" s="904">
        <v>45039</v>
      </c>
      <c r="Z137" s="602"/>
      <c r="AA137" s="595"/>
      <c r="AB137" s="596"/>
      <c r="AC137" s="608"/>
      <c r="AD137" s="609"/>
      <c r="AE137" s="472"/>
      <c r="AF137" s="472"/>
      <c r="AG137" s="619"/>
      <c r="AH137" s="615"/>
      <c r="AI137" s="566"/>
    </row>
    <row r="138" s="6" customFormat="1" ht="51" customHeight="1" spans="1:35">
      <c r="A138" s="620"/>
      <c r="B138" s="400"/>
      <c r="C138" s="621"/>
      <c r="D138" s="402"/>
      <c r="E138" s="402"/>
      <c r="F138" s="442"/>
      <c r="G138" s="402"/>
      <c r="H138" s="677"/>
      <c r="I138" s="420"/>
      <c r="J138" s="472"/>
      <c r="K138" s="677"/>
      <c r="L138" s="677"/>
      <c r="M138" s="468">
        <v>2</v>
      </c>
      <c r="N138" s="484" t="s">
        <v>4800</v>
      </c>
      <c r="O138" s="470">
        <v>0.6</v>
      </c>
      <c r="P138" s="471">
        <v>15663</v>
      </c>
      <c r="Q138" s="507">
        <v>15663</v>
      </c>
      <c r="R138" s="508" t="s">
        <v>4603</v>
      </c>
      <c r="S138" s="509">
        <v>45002</v>
      </c>
      <c r="T138" s="507">
        <v>15663</v>
      </c>
      <c r="U138" s="509">
        <v>45002</v>
      </c>
      <c r="V138" s="507">
        <v>15663</v>
      </c>
      <c r="W138" s="809">
        <v>45005</v>
      </c>
      <c r="X138" s="507">
        <v>15663</v>
      </c>
      <c r="Y138" s="904">
        <v>45039</v>
      </c>
      <c r="Z138" s="602"/>
      <c r="AA138" s="595"/>
      <c r="AB138" s="596"/>
      <c r="AC138" s="608"/>
      <c r="AD138" s="609"/>
      <c r="AE138" s="472"/>
      <c r="AF138" s="472"/>
      <c r="AG138" s="619"/>
      <c r="AH138" s="615"/>
      <c r="AI138" s="566"/>
    </row>
    <row r="139" s="6" customFormat="1" ht="76" spans="1:35">
      <c r="A139" s="620"/>
      <c r="B139" s="400"/>
      <c r="C139" s="621"/>
      <c r="D139" s="402"/>
      <c r="E139" s="402"/>
      <c r="F139" s="442"/>
      <c r="G139" s="402"/>
      <c r="H139" s="677"/>
      <c r="I139" s="420"/>
      <c r="J139" s="472"/>
      <c r="K139" s="677"/>
      <c r="L139" s="677"/>
      <c r="M139" s="687">
        <v>3</v>
      </c>
      <c r="N139" s="486" t="s">
        <v>4801</v>
      </c>
      <c r="O139" s="474">
        <v>0.2</v>
      </c>
      <c r="P139" s="479">
        <v>5221</v>
      </c>
      <c r="Q139" s="513"/>
      <c r="R139" s="514"/>
      <c r="S139" s="515"/>
      <c r="T139" s="513"/>
      <c r="U139" s="574"/>
      <c r="V139" s="575"/>
      <c r="W139" s="417"/>
      <c r="X139" s="575"/>
      <c r="Y139" s="605"/>
      <c r="Z139" s="606"/>
      <c r="AA139" s="598"/>
      <c r="AB139" s="599"/>
      <c r="AC139" s="610"/>
      <c r="AD139" s="609"/>
      <c r="AE139" s="472"/>
      <c r="AF139" s="472"/>
      <c r="AG139" s="619"/>
      <c r="AH139" s="615"/>
      <c r="AI139" s="566"/>
    </row>
    <row r="140" s="6" customFormat="1" ht="92" spans="1:35">
      <c r="A140" s="393" t="s">
        <v>1003</v>
      </c>
      <c r="B140" s="394">
        <v>44771</v>
      </c>
      <c r="C140" s="395" t="s">
        <v>4758</v>
      </c>
      <c r="D140" s="396"/>
      <c r="E140" s="418" t="s">
        <v>4802</v>
      </c>
      <c r="F140" s="418" t="s">
        <v>4803</v>
      </c>
      <c r="G140" s="393" t="s">
        <v>3535</v>
      </c>
      <c r="H140" s="418" t="s">
        <v>4804</v>
      </c>
      <c r="I140" s="439"/>
      <c r="J140" s="418" t="s">
        <v>2887</v>
      </c>
      <c r="K140" s="688">
        <v>580000</v>
      </c>
      <c r="L140" s="418" t="s">
        <v>126</v>
      </c>
      <c r="M140" s="419">
        <v>1</v>
      </c>
      <c r="N140" s="480" t="s">
        <v>4805</v>
      </c>
      <c r="O140" s="481">
        <v>0.2</v>
      </c>
      <c r="P140" s="482">
        <f>K140*O140</f>
        <v>116000</v>
      </c>
      <c r="Q140" s="516">
        <v>116000</v>
      </c>
      <c r="R140" s="393" t="s">
        <v>4603</v>
      </c>
      <c r="S140" s="517">
        <v>44845</v>
      </c>
      <c r="T140" s="516">
        <v>116000</v>
      </c>
      <c r="U140" s="517">
        <v>44845</v>
      </c>
      <c r="V140" s="516">
        <v>116000</v>
      </c>
      <c r="W140" s="567">
        <v>44887</v>
      </c>
      <c r="X140" s="516">
        <v>116000</v>
      </c>
      <c r="Y140" s="517">
        <v>44916</v>
      </c>
      <c r="Z140" s="519"/>
      <c r="AA140" s="905" t="s">
        <v>4806</v>
      </c>
      <c r="AB140" s="601"/>
      <c r="AC140" s="601"/>
      <c r="AD140" s="419"/>
      <c r="AE140" s="419"/>
      <c r="AF140" s="419"/>
      <c r="AG140" s="419"/>
      <c r="AH140" s="396"/>
      <c r="AI140" s="419"/>
    </row>
    <row r="141" s="6" customFormat="1" ht="67.5" customHeight="1" spans="1:35">
      <c r="A141" s="393"/>
      <c r="B141" s="394"/>
      <c r="C141" s="395"/>
      <c r="D141" s="396"/>
      <c r="E141" s="418"/>
      <c r="F141" s="418"/>
      <c r="G141" s="393"/>
      <c r="H141" s="418"/>
      <c r="I141" s="439"/>
      <c r="J141" s="418"/>
      <c r="K141" s="688"/>
      <c r="L141" s="418"/>
      <c r="M141" s="611">
        <v>2</v>
      </c>
      <c r="N141" s="728" t="s">
        <v>4807</v>
      </c>
      <c r="O141" s="481">
        <v>0.3</v>
      </c>
      <c r="P141" s="482">
        <v>174000</v>
      </c>
      <c r="Q141" s="797">
        <v>348000</v>
      </c>
      <c r="R141" s="798" t="s">
        <v>4603</v>
      </c>
      <c r="S141" s="799">
        <v>45111</v>
      </c>
      <c r="T141" s="797">
        <v>348000</v>
      </c>
      <c r="U141" s="799">
        <v>45111</v>
      </c>
      <c r="V141" s="516">
        <v>174000</v>
      </c>
      <c r="W141" s="567">
        <v>45208</v>
      </c>
      <c r="X141" s="516">
        <v>174000</v>
      </c>
      <c r="Y141" s="517">
        <v>45212</v>
      </c>
      <c r="Z141" s="519"/>
      <c r="AA141" s="906"/>
      <c r="AB141" s="601"/>
      <c r="AC141" s="601"/>
      <c r="AD141" s="419"/>
      <c r="AE141" s="419"/>
      <c r="AF141" s="419"/>
      <c r="AG141" s="419"/>
      <c r="AH141" s="396"/>
      <c r="AI141" s="419"/>
    </row>
    <row r="142" s="6" customFormat="1" ht="47.25" customHeight="1" spans="1:35">
      <c r="A142" s="393"/>
      <c r="B142" s="394"/>
      <c r="C142" s="395"/>
      <c r="D142" s="396"/>
      <c r="E142" s="418"/>
      <c r="F142" s="418"/>
      <c r="G142" s="393"/>
      <c r="H142" s="418"/>
      <c r="I142" s="439"/>
      <c r="J142" s="418"/>
      <c r="K142" s="688"/>
      <c r="L142" s="418"/>
      <c r="M142" s="613"/>
      <c r="N142" s="729"/>
      <c r="O142" s="481">
        <v>0.3</v>
      </c>
      <c r="P142" s="482">
        <f>K140*O142</f>
        <v>174000</v>
      </c>
      <c r="Q142" s="800"/>
      <c r="R142" s="801"/>
      <c r="S142" s="802"/>
      <c r="T142" s="800"/>
      <c r="U142" s="802"/>
      <c r="V142" s="516">
        <v>174000</v>
      </c>
      <c r="W142" s="567">
        <v>45439</v>
      </c>
      <c r="X142" s="516">
        <v>174000</v>
      </c>
      <c r="Y142" s="567">
        <v>45442</v>
      </c>
      <c r="Z142" s="519"/>
      <c r="AA142" s="907"/>
      <c r="AB142" s="601"/>
      <c r="AC142" s="601"/>
      <c r="AD142" s="419"/>
      <c r="AE142" s="419"/>
      <c r="AF142" s="419"/>
      <c r="AG142" s="419"/>
      <c r="AH142" s="396"/>
      <c r="AI142" s="419"/>
    </row>
    <row r="143" s="6" customFormat="1" ht="92" spans="1:35">
      <c r="A143" s="393"/>
      <c r="B143" s="394"/>
      <c r="C143" s="395"/>
      <c r="D143" s="396"/>
      <c r="E143" s="418"/>
      <c r="F143" s="418"/>
      <c r="G143" s="393"/>
      <c r="H143" s="418"/>
      <c r="I143" s="439"/>
      <c r="J143" s="418"/>
      <c r="K143" s="688"/>
      <c r="L143" s="418"/>
      <c r="M143" s="419">
        <v>3</v>
      </c>
      <c r="N143" s="480" t="s">
        <v>4808</v>
      </c>
      <c r="O143" s="481">
        <v>0.2</v>
      </c>
      <c r="P143" s="482">
        <f>K140*O143</f>
        <v>116000</v>
      </c>
      <c r="Q143" s="570"/>
      <c r="R143" s="393"/>
      <c r="S143" s="517"/>
      <c r="T143" s="570"/>
      <c r="U143" s="517"/>
      <c r="V143" s="570"/>
      <c r="W143" s="567"/>
      <c r="X143" s="516"/>
      <c r="Y143" s="517"/>
      <c r="Z143" s="519"/>
      <c r="AA143" s="600"/>
      <c r="AB143" s="601"/>
      <c r="AC143" s="601"/>
      <c r="AD143" s="419"/>
      <c r="AE143" s="419"/>
      <c r="AF143" s="419"/>
      <c r="AG143" s="419"/>
      <c r="AH143" s="396"/>
      <c r="AI143" s="419"/>
    </row>
    <row r="144" s="6" customFormat="1" ht="82.5" customHeight="1" spans="1:35">
      <c r="A144" s="393" t="s">
        <v>1003</v>
      </c>
      <c r="B144" s="394">
        <v>45033</v>
      </c>
      <c r="C144" s="395" t="s">
        <v>4758</v>
      </c>
      <c r="D144" s="393"/>
      <c r="E144" s="418" t="s">
        <v>4809</v>
      </c>
      <c r="F144" s="418" t="s">
        <v>4810</v>
      </c>
      <c r="G144" s="393" t="s">
        <v>3531</v>
      </c>
      <c r="H144" s="418" t="s">
        <v>4811</v>
      </c>
      <c r="I144" s="393"/>
      <c r="J144" s="689" t="s">
        <v>2887</v>
      </c>
      <c r="K144" s="690">
        <v>600000</v>
      </c>
      <c r="L144" s="689" t="s">
        <v>126</v>
      </c>
      <c r="M144" s="730">
        <v>1</v>
      </c>
      <c r="N144" s="731" t="s">
        <v>4812</v>
      </c>
      <c r="O144" s="481">
        <v>0.2</v>
      </c>
      <c r="P144" s="732">
        <v>120000</v>
      </c>
      <c r="Q144" s="803">
        <v>120000</v>
      </c>
      <c r="R144" s="393" t="s">
        <v>4603</v>
      </c>
      <c r="S144" s="804">
        <v>45111</v>
      </c>
      <c r="T144" s="803">
        <v>120000</v>
      </c>
      <c r="U144" s="804">
        <v>45111</v>
      </c>
      <c r="V144" s="861"/>
      <c r="W144" s="862"/>
      <c r="X144" s="518">
        <v>120000</v>
      </c>
      <c r="Y144" s="908"/>
      <c r="Z144" s="909"/>
      <c r="AA144" s="910"/>
      <c r="AB144" s="911"/>
      <c r="AC144" s="954"/>
      <c r="AD144" s="612"/>
      <c r="AE144" s="612"/>
      <c r="AF144" s="612"/>
      <c r="AG144" s="612"/>
      <c r="AH144" s="617"/>
      <c r="AI144" s="612"/>
    </row>
    <row r="145" s="6" customFormat="1" ht="83.25" customHeight="1" spans="1:35">
      <c r="A145" s="393"/>
      <c r="B145" s="394"/>
      <c r="C145" s="395"/>
      <c r="D145" s="393"/>
      <c r="E145" s="418"/>
      <c r="F145" s="418"/>
      <c r="G145" s="393"/>
      <c r="H145" s="418"/>
      <c r="I145" s="393"/>
      <c r="J145" s="689"/>
      <c r="K145" s="690"/>
      <c r="L145" s="689"/>
      <c r="M145" s="730">
        <v>2</v>
      </c>
      <c r="N145" s="731" t="s">
        <v>4813</v>
      </c>
      <c r="O145" s="481">
        <v>0.6</v>
      </c>
      <c r="P145" s="732">
        <v>360000</v>
      </c>
      <c r="Q145" s="805">
        <v>360000</v>
      </c>
      <c r="R145" s="806" t="s">
        <v>4603</v>
      </c>
      <c r="S145" s="804">
        <v>45287</v>
      </c>
      <c r="T145" s="803">
        <v>360000</v>
      </c>
      <c r="U145" s="804">
        <v>45287</v>
      </c>
      <c r="V145" s="861"/>
      <c r="W145" s="862"/>
      <c r="X145" s="803"/>
      <c r="Y145" s="804"/>
      <c r="Z145" s="909"/>
      <c r="AA145" s="910"/>
      <c r="AB145" s="911"/>
      <c r="AC145" s="954"/>
      <c r="AD145" s="612"/>
      <c r="AE145" s="612"/>
      <c r="AF145" s="612"/>
      <c r="AG145" s="612"/>
      <c r="AH145" s="617"/>
      <c r="AI145" s="612"/>
    </row>
    <row r="146" s="6" customFormat="1" ht="75" customHeight="1" spans="1:35">
      <c r="A146" s="393"/>
      <c r="B146" s="394"/>
      <c r="C146" s="395"/>
      <c r="D146" s="393"/>
      <c r="E146" s="418"/>
      <c r="F146" s="418"/>
      <c r="G146" s="393"/>
      <c r="H146" s="418"/>
      <c r="I146" s="393"/>
      <c r="J146" s="691"/>
      <c r="K146" s="692"/>
      <c r="L146" s="691"/>
      <c r="M146" s="730">
        <v>3</v>
      </c>
      <c r="N146" s="731" t="s">
        <v>4814</v>
      </c>
      <c r="O146" s="481">
        <v>0.2</v>
      </c>
      <c r="P146" s="732">
        <v>120000</v>
      </c>
      <c r="Q146" s="807"/>
      <c r="R146" s="806"/>
      <c r="S146" s="804"/>
      <c r="T146" s="807"/>
      <c r="U146" s="863"/>
      <c r="V146" s="861"/>
      <c r="W146" s="862"/>
      <c r="X146" s="803"/>
      <c r="Y146" s="804"/>
      <c r="Z146" s="909"/>
      <c r="AA146" s="910"/>
      <c r="AB146" s="911"/>
      <c r="AC146" s="954"/>
      <c r="AD146" s="612"/>
      <c r="AE146" s="612"/>
      <c r="AF146" s="612"/>
      <c r="AG146" s="612"/>
      <c r="AH146" s="617"/>
      <c r="AI146" s="612"/>
    </row>
    <row r="147" s="6" customFormat="1" ht="37.3" customHeight="1" spans="1:35">
      <c r="A147" s="622" t="s">
        <v>1003</v>
      </c>
      <c r="B147" s="386">
        <v>44824</v>
      </c>
      <c r="C147" s="623" t="s">
        <v>4758</v>
      </c>
      <c r="D147" s="388"/>
      <c r="E147" s="414" t="s">
        <v>4815</v>
      </c>
      <c r="F147" s="414" t="s">
        <v>4816</v>
      </c>
      <c r="G147" s="622" t="s">
        <v>3482</v>
      </c>
      <c r="H147" s="414" t="s">
        <v>4817</v>
      </c>
      <c r="I147" s="435"/>
      <c r="J147" s="693" t="s">
        <v>2887</v>
      </c>
      <c r="K147" s="694">
        <v>100000</v>
      </c>
      <c r="L147" s="693" t="s">
        <v>126</v>
      </c>
      <c r="M147" s="468">
        <v>1</v>
      </c>
      <c r="N147" s="484" t="s">
        <v>4818</v>
      </c>
      <c r="O147" s="470">
        <v>0.2</v>
      </c>
      <c r="P147" s="471">
        <f>K147*O147</f>
        <v>20000</v>
      </c>
      <c r="Q147" s="507">
        <v>20000</v>
      </c>
      <c r="R147" s="808" t="s">
        <v>4603</v>
      </c>
      <c r="S147" s="809">
        <v>45111</v>
      </c>
      <c r="T147" s="810">
        <v>20000</v>
      </c>
      <c r="U147" s="809">
        <v>45111</v>
      </c>
      <c r="V147" s="810"/>
      <c r="W147" s="809"/>
      <c r="X147" s="864">
        <v>20000</v>
      </c>
      <c r="Y147" s="603"/>
      <c r="Z147" s="602"/>
      <c r="AA147" s="595"/>
      <c r="AB147" s="596"/>
      <c r="AC147" s="608"/>
      <c r="AD147" s="609"/>
      <c r="AE147" s="609"/>
      <c r="AF147" s="609"/>
      <c r="AG147" s="609"/>
      <c r="AH147" s="402"/>
      <c r="AI147" s="609"/>
    </row>
    <row r="148" s="6" customFormat="1" ht="37.3" customHeight="1" spans="1:35">
      <c r="A148" s="622"/>
      <c r="B148" s="386"/>
      <c r="C148" s="623"/>
      <c r="D148" s="388"/>
      <c r="E148" s="414"/>
      <c r="F148" s="414"/>
      <c r="G148" s="622"/>
      <c r="H148" s="414"/>
      <c r="I148" s="435"/>
      <c r="J148" s="414"/>
      <c r="K148" s="436"/>
      <c r="L148" s="414"/>
      <c r="M148" s="468">
        <v>2</v>
      </c>
      <c r="N148" s="484" t="s">
        <v>4819</v>
      </c>
      <c r="O148" s="470">
        <v>0.6</v>
      </c>
      <c r="P148" s="471">
        <f>K147*O148</f>
        <v>60000</v>
      </c>
      <c r="Q148" s="477">
        <v>60000</v>
      </c>
      <c r="R148" s="508" t="s">
        <v>4603</v>
      </c>
      <c r="S148" s="509">
        <v>45287</v>
      </c>
      <c r="T148" s="561"/>
      <c r="U148" s="808"/>
      <c r="V148" s="573"/>
      <c r="W148" s="571"/>
      <c r="X148" s="507"/>
      <c r="Y148" s="509"/>
      <c r="Z148" s="602"/>
      <c r="AA148" s="595"/>
      <c r="AB148" s="596"/>
      <c r="AC148" s="608"/>
      <c r="AD148" s="609"/>
      <c r="AE148" s="609"/>
      <c r="AF148" s="609"/>
      <c r="AG148" s="609"/>
      <c r="AH148" s="402"/>
      <c r="AI148" s="609"/>
    </row>
    <row r="149" s="6" customFormat="1" ht="37.3" customHeight="1" spans="1:35">
      <c r="A149" s="622"/>
      <c r="B149" s="386"/>
      <c r="C149" s="623"/>
      <c r="D149" s="388"/>
      <c r="E149" s="414"/>
      <c r="F149" s="414"/>
      <c r="G149" s="622"/>
      <c r="H149" s="414"/>
      <c r="I149" s="435"/>
      <c r="J149" s="414"/>
      <c r="K149" s="436"/>
      <c r="L149" s="414"/>
      <c r="M149" s="468">
        <v>3</v>
      </c>
      <c r="N149" s="484" t="s">
        <v>4820</v>
      </c>
      <c r="O149" s="470">
        <v>0.2</v>
      </c>
      <c r="P149" s="471">
        <f>K147*O149</f>
        <v>20000</v>
      </c>
      <c r="Q149" s="811"/>
      <c r="R149" s="508"/>
      <c r="S149" s="509"/>
      <c r="T149" s="561"/>
      <c r="U149" s="808"/>
      <c r="V149" s="573"/>
      <c r="W149" s="571"/>
      <c r="X149" s="507"/>
      <c r="Y149" s="509"/>
      <c r="Z149" s="602"/>
      <c r="AA149" s="595"/>
      <c r="AB149" s="596"/>
      <c r="AC149" s="608"/>
      <c r="AD149" s="609"/>
      <c r="AE149" s="609"/>
      <c r="AF149" s="609"/>
      <c r="AG149" s="609"/>
      <c r="AH149" s="402"/>
      <c r="AI149" s="609"/>
    </row>
    <row r="150" s="6" customFormat="1" ht="27" customHeight="1" spans="1:35">
      <c r="A150" s="624" t="s">
        <v>1003</v>
      </c>
      <c r="B150" s="625">
        <v>44440</v>
      </c>
      <c r="C150" s="626" t="s">
        <v>4821</v>
      </c>
      <c r="D150" s="627"/>
      <c r="E150" s="627" t="s">
        <v>4822</v>
      </c>
      <c r="F150" s="678" t="s">
        <v>4823</v>
      </c>
      <c r="G150" s="679" t="s">
        <v>240</v>
      </c>
      <c r="H150" s="627" t="s">
        <v>4824</v>
      </c>
      <c r="I150" s="695"/>
      <c r="J150" s="627"/>
      <c r="K150" s="696">
        <v>250000</v>
      </c>
      <c r="L150" s="627" t="s">
        <v>28</v>
      </c>
      <c r="M150" s="733">
        <v>1</v>
      </c>
      <c r="N150" s="734" t="s">
        <v>4825</v>
      </c>
      <c r="O150" s="735">
        <v>0.2</v>
      </c>
      <c r="P150" s="736">
        <v>50000</v>
      </c>
      <c r="Q150" s="812">
        <v>50000</v>
      </c>
      <c r="R150" s="813" t="s">
        <v>4603</v>
      </c>
      <c r="S150" s="814">
        <v>44482</v>
      </c>
      <c r="T150" s="736">
        <v>50000</v>
      </c>
      <c r="U150" s="814">
        <v>44482</v>
      </c>
      <c r="V150" s="782">
        <v>250000</v>
      </c>
      <c r="W150" s="865">
        <v>44481</v>
      </c>
      <c r="X150" s="815">
        <v>250000</v>
      </c>
      <c r="Y150" s="817">
        <v>44521</v>
      </c>
      <c r="Z150" s="912"/>
      <c r="AA150" s="913"/>
      <c r="AB150" s="914"/>
      <c r="AC150" s="955"/>
      <c r="AD150" s="956">
        <f>SUM(Q150:Q152)</f>
        <v>250000</v>
      </c>
      <c r="AE150" s="956">
        <f>SUM(V150)</f>
        <v>250000</v>
      </c>
      <c r="AF150" s="737">
        <f>SUM(X150:X152)</f>
        <v>250000</v>
      </c>
      <c r="AG150" s="968">
        <f>K150-AD150</f>
        <v>0</v>
      </c>
      <c r="AH150" s="969" t="s">
        <v>197</v>
      </c>
      <c r="AI150" s="970" t="s">
        <v>154</v>
      </c>
    </row>
    <row r="151" s="6" customFormat="1" ht="27" customHeight="1" spans="1:35">
      <c r="A151" s="624"/>
      <c r="B151" s="625"/>
      <c r="C151" s="628"/>
      <c r="D151" s="627"/>
      <c r="E151" s="627"/>
      <c r="F151" s="678"/>
      <c r="G151" s="679"/>
      <c r="H151" s="627"/>
      <c r="I151" s="695"/>
      <c r="J151" s="627"/>
      <c r="K151" s="696"/>
      <c r="L151" s="627"/>
      <c r="M151" s="733">
        <v>2</v>
      </c>
      <c r="N151" s="734" t="s">
        <v>4826</v>
      </c>
      <c r="O151" s="735">
        <v>0.7</v>
      </c>
      <c r="P151" s="736">
        <v>175000</v>
      </c>
      <c r="Q151" s="812">
        <v>175000</v>
      </c>
      <c r="R151" s="813" t="s">
        <v>4603</v>
      </c>
      <c r="S151" s="814">
        <v>44482</v>
      </c>
      <c r="T151" s="736">
        <v>175000</v>
      </c>
      <c r="U151" s="814">
        <v>44482</v>
      </c>
      <c r="V151" s="782"/>
      <c r="W151" s="782"/>
      <c r="X151" s="815"/>
      <c r="Y151" s="817"/>
      <c r="Z151" s="912"/>
      <c r="AA151" s="913"/>
      <c r="AB151" s="914"/>
      <c r="AC151" s="955"/>
      <c r="AD151" s="679"/>
      <c r="AE151" s="679"/>
      <c r="AF151" s="737"/>
      <c r="AG151" s="968"/>
      <c r="AH151" s="969"/>
      <c r="AI151" s="970"/>
    </row>
    <row r="152" s="6" customFormat="1" ht="27" customHeight="1" spans="1:35">
      <c r="A152" s="629"/>
      <c r="B152" s="630"/>
      <c r="C152" s="631"/>
      <c r="D152" s="632"/>
      <c r="E152" s="632"/>
      <c r="F152" s="680"/>
      <c r="G152" s="681"/>
      <c r="H152" s="632"/>
      <c r="I152" s="697"/>
      <c r="J152" s="632"/>
      <c r="K152" s="698"/>
      <c r="L152" s="632"/>
      <c r="M152" s="737">
        <v>3</v>
      </c>
      <c r="N152" s="738" t="s">
        <v>4827</v>
      </c>
      <c r="O152" s="739">
        <v>0.1</v>
      </c>
      <c r="P152" s="740">
        <v>25000</v>
      </c>
      <c r="Q152" s="815">
        <v>25000</v>
      </c>
      <c r="R152" s="816" t="s">
        <v>4603</v>
      </c>
      <c r="S152" s="817">
        <v>44482</v>
      </c>
      <c r="T152" s="740">
        <v>25000</v>
      </c>
      <c r="U152" s="817">
        <v>44482</v>
      </c>
      <c r="V152" s="782"/>
      <c r="W152" s="782"/>
      <c r="X152" s="815"/>
      <c r="Y152" s="817"/>
      <c r="Z152" s="915"/>
      <c r="AA152" s="916"/>
      <c r="AB152" s="917"/>
      <c r="AC152" s="957"/>
      <c r="AD152" s="681"/>
      <c r="AE152" s="681"/>
      <c r="AF152" s="737"/>
      <c r="AG152" s="968"/>
      <c r="AH152" s="969"/>
      <c r="AI152" s="970"/>
    </row>
    <row r="153" s="6" customFormat="1" ht="73.5" customHeight="1" spans="1:35">
      <c r="A153" s="633" t="s">
        <v>1003</v>
      </c>
      <c r="B153" s="634">
        <v>44494</v>
      </c>
      <c r="C153" s="635" t="s">
        <v>4828</v>
      </c>
      <c r="D153" s="636"/>
      <c r="E153" s="636" t="s">
        <v>4829</v>
      </c>
      <c r="F153" s="636" t="s">
        <v>4830</v>
      </c>
      <c r="G153" s="636" t="s">
        <v>4831</v>
      </c>
      <c r="H153" s="636" t="s">
        <v>4832</v>
      </c>
      <c r="I153" s="699"/>
      <c r="J153" s="638"/>
      <c r="K153" s="700">
        <v>2000000</v>
      </c>
      <c r="L153" s="636" t="s">
        <v>34</v>
      </c>
      <c r="M153" s="741">
        <v>1</v>
      </c>
      <c r="N153" s="742" t="s">
        <v>4833</v>
      </c>
      <c r="O153" s="743">
        <v>0.4</v>
      </c>
      <c r="P153" s="744">
        <v>800000</v>
      </c>
      <c r="Q153" s="818">
        <f>P153</f>
        <v>800000</v>
      </c>
      <c r="R153" s="745" t="s">
        <v>4603</v>
      </c>
      <c r="S153" s="819">
        <v>44504</v>
      </c>
      <c r="T153" s="745">
        <f>Q153</f>
        <v>800000</v>
      </c>
      <c r="U153" s="819">
        <v>44504</v>
      </c>
      <c r="V153" s="745">
        <f>P153</f>
        <v>800000</v>
      </c>
      <c r="W153" s="819">
        <v>44504</v>
      </c>
      <c r="X153" s="866">
        <v>800000</v>
      </c>
      <c r="Y153" s="819">
        <v>44574</v>
      </c>
      <c r="Z153" s="821">
        <f t="shared" ref="Z153:Z160" si="9">Q153-X153</f>
        <v>0</v>
      </c>
      <c r="AA153" s="918"/>
      <c r="AB153" s="919"/>
      <c r="AC153" s="919"/>
      <c r="AD153" s="741">
        <f>SUM(Q153:Q155)</f>
        <v>1600000</v>
      </c>
      <c r="AE153" s="741">
        <f>SUM(V153:V155)</f>
        <v>1600000</v>
      </c>
      <c r="AF153" s="741">
        <f>SUM(X153:X155)</f>
        <v>1600000</v>
      </c>
      <c r="AG153" s="741">
        <f>K153-AD153</f>
        <v>400000</v>
      </c>
      <c r="AH153" s="636" t="s">
        <v>247</v>
      </c>
      <c r="AI153" s="745" t="s">
        <v>154</v>
      </c>
    </row>
    <row r="154" s="6" customFormat="1" ht="84.75" customHeight="1" spans="1:35">
      <c r="A154" s="633"/>
      <c r="B154" s="634"/>
      <c r="C154" s="637"/>
      <c r="D154" s="638"/>
      <c r="E154" s="638"/>
      <c r="F154" s="636"/>
      <c r="G154" s="638"/>
      <c r="H154" s="638"/>
      <c r="I154" s="699"/>
      <c r="J154" s="638"/>
      <c r="K154" s="700"/>
      <c r="L154" s="638"/>
      <c r="M154" s="745">
        <v>2</v>
      </c>
      <c r="N154" s="742" t="s">
        <v>4834</v>
      </c>
      <c r="O154" s="743">
        <v>0.4</v>
      </c>
      <c r="P154" s="744">
        <v>800000</v>
      </c>
      <c r="Q154" s="818">
        <f>P154</f>
        <v>800000</v>
      </c>
      <c r="R154" s="745" t="s">
        <v>4603</v>
      </c>
      <c r="S154" s="819">
        <v>44504</v>
      </c>
      <c r="T154" s="745">
        <f>Q154</f>
        <v>800000</v>
      </c>
      <c r="U154" s="819">
        <v>44504</v>
      </c>
      <c r="V154" s="745">
        <f>Q154</f>
        <v>800000</v>
      </c>
      <c r="W154" s="819">
        <v>44504</v>
      </c>
      <c r="X154" s="818">
        <v>800000</v>
      </c>
      <c r="Y154" s="819">
        <v>44795</v>
      </c>
      <c r="Z154" s="821">
        <f t="shared" si="9"/>
        <v>0</v>
      </c>
      <c r="AA154" s="918"/>
      <c r="AB154" s="919"/>
      <c r="AC154" s="919"/>
      <c r="AD154" s="741"/>
      <c r="AE154" s="741"/>
      <c r="AF154" s="741"/>
      <c r="AG154" s="741"/>
      <c r="AH154" s="638"/>
      <c r="AI154" s="741"/>
    </row>
    <row r="155" s="6" customFormat="1" ht="76.5" customHeight="1" spans="1:35">
      <c r="A155" s="633"/>
      <c r="B155" s="634"/>
      <c r="C155" s="637"/>
      <c r="D155" s="638"/>
      <c r="E155" s="638"/>
      <c r="F155" s="636"/>
      <c r="G155" s="638"/>
      <c r="H155" s="638"/>
      <c r="I155" s="699"/>
      <c r="J155" s="638"/>
      <c r="K155" s="700"/>
      <c r="L155" s="638"/>
      <c r="M155" s="741">
        <v>3</v>
      </c>
      <c r="N155" s="742" t="s">
        <v>4835</v>
      </c>
      <c r="O155" s="743">
        <v>0.2</v>
      </c>
      <c r="P155" s="744">
        <v>400000</v>
      </c>
      <c r="Q155" s="820"/>
      <c r="R155" s="821"/>
      <c r="S155" s="822"/>
      <c r="T155" s="821"/>
      <c r="U155" s="867"/>
      <c r="V155" s="741"/>
      <c r="W155" s="741"/>
      <c r="X155" s="866"/>
      <c r="Y155" s="822"/>
      <c r="Z155" s="821">
        <f t="shared" si="9"/>
        <v>0</v>
      </c>
      <c r="AA155" s="918"/>
      <c r="AB155" s="919"/>
      <c r="AC155" s="919"/>
      <c r="AD155" s="741"/>
      <c r="AE155" s="741"/>
      <c r="AF155" s="741"/>
      <c r="AG155" s="741"/>
      <c r="AH155" s="638"/>
      <c r="AI155" s="741"/>
    </row>
    <row r="156" s="6" customFormat="1" ht="76.5" customHeight="1" spans="1:35">
      <c r="A156" s="639" t="s">
        <v>4836</v>
      </c>
      <c r="B156" s="640">
        <v>43566</v>
      </c>
      <c r="C156" s="641" t="s">
        <v>4837</v>
      </c>
      <c r="D156" s="642"/>
      <c r="E156" s="639" t="s">
        <v>4838</v>
      </c>
      <c r="F156" s="639" t="s">
        <v>4839</v>
      </c>
      <c r="G156" s="639" t="s">
        <v>658</v>
      </c>
      <c r="H156" s="639" t="s">
        <v>4840</v>
      </c>
      <c r="I156" s="701"/>
      <c r="J156" s="642"/>
      <c r="K156" s="702">
        <v>881181</v>
      </c>
      <c r="L156" s="639" t="s">
        <v>4841</v>
      </c>
      <c r="M156" s="746">
        <v>1</v>
      </c>
      <c r="N156" s="747" t="s">
        <v>4842</v>
      </c>
      <c r="O156" s="748">
        <v>0.2</v>
      </c>
      <c r="P156" s="749">
        <v>587454</v>
      </c>
      <c r="Q156" s="823">
        <v>587454</v>
      </c>
      <c r="R156" s="824" t="s">
        <v>4603</v>
      </c>
      <c r="S156" s="825">
        <v>44553</v>
      </c>
      <c r="T156" s="824">
        <v>587454</v>
      </c>
      <c r="U156" s="868">
        <v>44553</v>
      </c>
      <c r="V156" s="869">
        <v>587454</v>
      </c>
      <c r="W156" s="870">
        <v>44563</v>
      </c>
      <c r="X156" s="871">
        <v>587454</v>
      </c>
      <c r="Y156" s="825">
        <v>44572</v>
      </c>
      <c r="Z156" s="821">
        <f t="shared" si="9"/>
        <v>0</v>
      </c>
      <c r="AA156" s="920"/>
      <c r="AB156" s="921"/>
      <c r="AC156" s="958"/>
      <c r="AD156" s="959">
        <f>SUM(Q156:Q157)</f>
        <v>881181</v>
      </c>
      <c r="AE156" s="959">
        <f>SUM(V156:V157)</f>
        <v>587454</v>
      </c>
      <c r="AF156" s="959">
        <f>SUM(X156:X157)</f>
        <v>587454</v>
      </c>
      <c r="AG156" s="959">
        <f>K156-AD156</f>
        <v>0</v>
      </c>
      <c r="AH156" s="642"/>
      <c r="AI156" s="959"/>
    </row>
    <row r="157" s="6" customFormat="1" ht="50.85" customHeight="1" spans="1:35">
      <c r="A157" s="643"/>
      <c r="B157" s="644"/>
      <c r="C157" s="645"/>
      <c r="D157" s="646"/>
      <c r="E157" s="682"/>
      <c r="F157" s="683"/>
      <c r="G157" s="682"/>
      <c r="H157" s="682"/>
      <c r="I157" s="703"/>
      <c r="J157" s="682"/>
      <c r="K157" s="704"/>
      <c r="L157" s="682"/>
      <c r="M157" s="750">
        <v>2</v>
      </c>
      <c r="N157" s="751" t="s">
        <v>4843</v>
      </c>
      <c r="O157" s="752">
        <v>0.1</v>
      </c>
      <c r="P157" s="753">
        <v>293727</v>
      </c>
      <c r="Q157" s="826">
        <v>293727</v>
      </c>
      <c r="R157" s="827" t="s">
        <v>4603</v>
      </c>
      <c r="S157" s="828">
        <v>45768</v>
      </c>
      <c r="T157" s="826">
        <v>293727</v>
      </c>
      <c r="U157" s="828">
        <v>45768</v>
      </c>
      <c r="V157" s="872"/>
      <c r="W157" s="872"/>
      <c r="X157" s="873"/>
      <c r="Y157" s="922"/>
      <c r="Z157" s="923">
        <f t="shared" si="9"/>
        <v>293727</v>
      </c>
      <c r="AA157" s="924"/>
      <c r="AB157" s="925"/>
      <c r="AC157" s="960"/>
      <c r="AD157" s="961"/>
      <c r="AE157" s="961"/>
      <c r="AF157" s="961"/>
      <c r="AG157" s="961"/>
      <c r="AH157" s="682"/>
      <c r="AI157" s="961"/>
    </row>
    <row r="158" s="1" customFormat="1" ht="40" customHeight="1" spans="1:35">
      <c r="A158" s="647" t="s">
        <v>4836</v>
      </c>
      <c r="B158" s="648">
        <v>45617</v>
      </c>
      <c r="C158" s="649" t="s">
        <v>3548</v>
      </c>
      <c r="D158" s="650"/>
      <c r="E158" s="647" t="s">
        <v>4844</v>
      </c>
      <c r="F158" s="647" t="s">
        <v>4845</v>
      </c>
      <c r="G158" s="647" t="s">
        <v>658</v>
      </c>
      <c r="H158" s="647" t="s">
        <v>4846</v>
      </c>
      <c r="I158" s="705"/>
      <c r="J158" s="706"/>
      <c r="K158" s="707">
        <v>136090.14</v>
      </c>
      <c r="L158" s="708" t="s">
        <v>4847</v>
      </c>
      <c r="M158" s="96">
        <v>1</v>
      </c>
      <c r="N158" s="754" t="s">
        <v>4848</v>
      </c>
      <c r="O158" s="755">
        <v>1</v>
      </c>
      <c r="P158" s="756">
        <f>K158*O158</f>
        <v>136090.14</v>
      </c>
      <c r="Q158" s="829">
        <v>136090.14</v>
      </c>
      <c r="R158" s="830" t="s">
        <v>4603</v>
      </c>
      <c r="S158" s="831">
        <v>45736</v>
      </c>
      <c r="T158" s="832">
        <v>136090.14</v>
      </c>
      <c r="U158" s="874">
        <v>45736</v>
      </c>
      <c r="V158" s="875">
        <v>136090.14</v>
      </c>
      <c r="W158" s="876">
        <v>45695</v>
      </c>
      <c r="X158" s="877">
        <v>120000</v>
      </c>
      <c r="Y158" s="276">
        <v>45744</v>
      </c>
      <c r="Z158" s="926">
        <f t="shared" si="9"/>
        <v>16090.14</v>
      </c>
      <c r="AA158" s="857"/>
      <c r="AB158" s="927"/>
      <c r="AC158" s="927"/>
      <c r="AD158" s="96"/>
      <c r="AE158" s="96"/>
      <c r="AF158" s="96"/>
      <c r="AG158" s="96"/>
      <c r="AH158" s="127"/>
      <c r="AI158" s="128"/>
    </row>
    <row r="159" s="1" customFormat="1" ht="40" customHeight="1" spans="1:35">
      <c r="A159" s="651"/>
      <c r="B159" s="652"/>
      <c r="C159" s="653"/>
      <c r="D159" s="650"/>
      <c r="E159" s="651"/>
      <c r="F159" s="651"/>
      <c r="G159" s="651"/>
      <c r="H159" s="651"/>
      <c r="I159" s="709"/>
      <c r="J159" s="650"/>
      <c r="K159" s="710"/>
      <c r="L159" s="711"/>
      <c r="M159" s="96"/>
      <c r="N159" s="757"/>
      <c r="O159" s="758"/>
      <c r="P159" s="759"/>
      <c r="Q159" s="833"/>
      <c r="R159" s="834"/>
      <c r="S159" s="835"/>
      <c r="T159" s="836"/>
      <c r="U159" s="878"/>
      <c r="V159" s="879"/>
      <c r="W159" s="880"/>
      <c r="X159" s="881">
        <v>16090.14</v>
      </c>
      <c r="Y159" s="493">
        <v>45777</v>
      </c>
      <c r="Z159" s="926">
        <f t="shared" si="9"/>
        <v>-16090.14</v>
      </c>
      <c r="AA159" s="928"/>
      <c r="AB159" s="929"/>
      <c r="AC159" s="348"/>
      <c r="AD159" s="316"/>
      <c r="AE159" s="316"/>
      <c r="AF159" s="883"/>
      <c r="AG159" s="883"/>
      <c r="AH159" s="651"/>
      <c r="AI159" s="151"/>
    </row>
    <row r="160" s="1" customFormat="1" ht="40" customHeight="1" spans="1:35">
      <c r="A160" s="128" t="s">
        <v>173</v>
      </c>
      <c r="B160" s="654">
        <v>44547</v>
      </c>
      <c r="C160" s="95" t="s">
        <v>4849</v>
      </c>
      <c r="D160" s="650"/>
      <c r="E160" s="127" t="s">
        <v>4850</v>
      </c>
      <c r="F160" s="127" t="s">
        <v>4851</v>
      </c>
      <c r="G160" s="127" t="s">
        <v>4852</v>
      </c>
      <c r="H160" s="127" t="s">
        <v>4853</v>
      </c>
      <c r="I160" s="712">
        <v>46060.14</v>
      </c>
      <c r="J160" s="328">
        <v>5.15</v>
      </c>
      <c r="K160" s="150">
        <v>237209.72</v>
      </c>
      <c r="L160" s="127" t="s">
        <v>26</v>
      </c>
      <c r="M160" s="187">
        <v>1</v>
      </c>
      <c r="N160" s="198" t="s">
        <v>4854</v>
      </c>
      <c r="O160" s="760">
        <v>0.2</v>
      </c>
      <c r="P160" s="761">
        <f>K160*O160</f>
        <v>47441.944</v>
      </c>
      <c r="Q160" s="837">
        <f>P160+P161+P162</f>
        <v>225349.234</v>
      </c>
      <c r="R160" s="128" t="s">
        <v>4603</v>
      </c>
      <c r="S160" s="276">
        <v>44553</v>
      </c>
      <c r="T160" s="128">
        <v>225349.23</v>
      </c>
      <c r="U160" s="313">
        <v>44553</v>
      </c>
      <c r="V160" s="96">
        <v>225349.23</v>
      </c>
      <c r="W160" s="882">
        <v>44203</v>
      </c>
      <c r="X160" s="727">
        <v>225349.23</v>
      </c>
      <c r="Y160" s="283">
        <v>44586</v>
      </c>
      <c r="Z160" s="930">
        <f t="shared" si="9"/>
        <v>0.00399999998626299</v>
      </c>
      <c r="AA160" s="928"/>
      <c r="AB160" s="929"/>
      <c r="AC160" s="348"/>
      <c r="AD160" s="316">
        <f>SUM(Q160:Q163)</f>
        <v>237209.724</v>
      </c>
      <c r="AE160" s="316">
        <f>SUM(V160:V163)</f>
        <v>225349.23</v>
      </c>
      <c r="AF160" s="883">
        <f>SUM(X160:X163)</f>
        <v>225349.23</v>
      </c>
      <c r="AG160" s="883">
        <f>K160-AD160</f>
        <v>-0.00399999998626299</v>
      </c>
      <c r="AH160" s="651" t="s">
        <v>197</v>
      </c>
      <c r="AI160" s="151" t="s">
        <v>154</v>
      </c>
    </row>
    <row r="161" s="1" customFormat="1" ht="48.35" customHeight="1" spans="1:35">
      <c r="A161" s="655"/>
      <c r="B161" s="654"/>
      <c r="C161" s="656"/>
      <c r="D161" s="650"/>
      <c r="E161" s="328"/>
      <c r="F161" s="127"/>
      <c r="G161" s="328"/>
      <c r="H161" s="328"/>
      <c r="I161" s="712"/>
      <c r="J161" s="328"/>
      <c r="K161" s="150"/>
      <c r="L161" s="328"/>
      <c r="M161" s="187">
        <v>2</v>
      </c>
      <c r="N161" s="198" t="s">
        <v>4855</v>
      </c>
      <c r="O161" s="760">
        <v>0.4</v>
      </c>
      <c r="P161" s="761">
        <f>K160*O161</f>
        <v>94883.888</v>
      </c>
      <c r="Q161" s="837"/>
      <c r="R161" s="128"/>
      <c r="S161" s="276"/>
      <c r="T161" s="128"/>
      <c r="U161" s="313"/>
      <c r="V161" s="96"/>
      <c r="W161" s="96"/>
      <c r="X161" s="883"/>
      <c r="Y161" s="931"/>
      <c r="Z161" s="280">
        <f>Q161-V161</f>
        <v>0</v>
      </c>
      <c r="AA161" s="928"/>
      <c r="AB161" s="929"/>
      <c r="AC161" s="348"/>
      <c r="AD161" s="96"/>
      <c r="AE161" s="96"/>
      <c r="AF161" s="883"/>
      <c r="AG161" s="883"/>
      <c r="AH161" s="650"/>
      <c r="AI161" s="883"/>
    </row>
    <row r="162" s="1" customFormat="1" ht="40.85" customHeight="1" spans="1:35">
      <c r="A162" s="655"/>
      <c r="B162" s="654"/>
      <c r="C162" s="656"/>
      <c r="D162" s="650"/>
      <c r="E162" s="328"/>
      <c r="F162" s="127"/>
      <c r="G162" s="328"/>
      <c r="H162" s="328"/>
      <c r="I162" s="712"/>
      <c r="J162" s="328"/>
      <c r="K162" s="150"/>
      <c r="L162" s="328"/>
      <c r="M162" s="187">
        <v>3</v>
      </c>
      <c r="N162" s="198" t="s">
        <v>4856</v>
      </c>
      <c r="O162" s="760">
        <v>0.35</v>
      </c>
      <c r="P162" s="761">
        <f>K160*O162</f>
        <v>83023.402</v>
      </c>
      <c r="Q162" s="837"/>
      <c r="R162" s="128"/>
      <c r="S162" s="276"/>
      <c r="T162" s="128"/>
      <c r="U162" s="313"/>
      <c r="V162" s="96"/>
      <c r="W162" s="96"/>
      <c r="X162" s="316"/>
      <c r="Y162" s="284"/>
      <c r="Z162" s="280"/>
      <c r="AA162" s="928"/>
      <c r="AB162" s="929"/>
      <c r="AC162" s="348"/>
      <c r="AD162" s="96"/>
      <c r="AE162" s="96"/>
      <c r="AF162" s="883"/>
      <c r="AG162" s="883"/>
      <c r="AH162" s="650"/>
      <c r="AI162" s="883"/>
    </row>
    <row r="163" s="1" customFormat="1" ht="27.5" customHeight="1" spans="1:35">
      <c r="A163" s="655"/>
      <c r="B163" s="654"/>
      <c r="C163" s="656"/>
      <c r="D163" s="353"/>
      <c r="E163" s="328"/>
      <c r="F163" s="127"/>
      <c r="G163" s="328"/>
      <c r="H163" s="328"/>
      <c r="I163" s="712"/>
      <c r="J163" s="328"/>
      <c r="K163" s="150"/>
      <c r="L163" s="328"/>
      <c r="M163" s="187">
        <v>4</v>
      </c>
      <c r="N163" s="198" t="s">
        <v>4857</v>
      </c>
      <c r="O163" s="760">
        <v>0.05</v>
      </c>
      <c r="P163" s="762">
        <f>K160*O163</f>
        <v>11860.486</v>
      </c>
      <c r="Q163" s="299">
        <v>11860.49</v>
      </c>
      <c r="R163" s="299"/>
      <c r="S163" s="838"/>
      <c r="T163" s="299"/>
      <c r="U163" s="332"/>
      <c r="V163" s="102"/>
      <c r="W163" s="102"/>
      <c r="X163" s="102"/>
      <c r="Y163" s="838"/>
      <c r="Z163" s="280">
        <f>Q163-X163</f>
        <v>11860.49</v>
      </c>
      <c r="AA163" s="928"/>
      <c r="AB163" s="929"/>
      <c r="AC163" s="348"/>
      <c r="AD163" s="96"/>
      <c r="AE163" s="96"/>
      <c r="AF163" s="316"/>
      <c r="AG163" s="316"/>
      <c r="AH163" s="353"/>
      <c r="AI163" s="316"/>
    </row>
    <row r="164" s="3" customFormat="1" ht="52.5" customHeight="1" spans="1:35">
      <c r="A164" s="433" t="s">
        <v>173</v>
      </c>
      <c r="B164" s="380">
        <v>44630</v>
      </c>
      <c r="C164" s="657" t="s">
        <v>4858</v>
      </c>
      <c r="D164" s="650"/>
      <c r="E164" s="409" t="s">
        <v>4859</v>
      </c>
      <c r="F164" s="409" t="s">
        <v>4860</v>
      </c>
      <c r="G164" s="409" t="s">
        <v>193</v>
      </c>
      <c r="H164" s="409" t="s">
        <v>4861</v>
      </c>
      <c r="I164" s="429">
        <v>61647.53</v>
      </c>
      <c r="J164" s="374">
        <v>3</v>
      </c>
      <c r="K164" s="432">
        <v>176620.81</v>
      </c>
      <c r="L164" s="409" t="s">
        <v>32</v>
      </c>
      <c r="M164" s="458">
        <v>1</v>
      </c>
      <c r="N164" s="763" t="s">
        <v>4862</v>
      </c>
      <c r="O164" s="463">
        <v>0.3</v>
      </c>
      <c r="P164" s="764">
        <v>55484.58</v>
      </c>
      <c r="Q164" s="764">
        <v>55484.58</v>
      </c>
      <c r="R164" s="498" t="s">
        <v>4603</v>
      </c>
      <c r="S164" s="499">
        <v>44725</v>
      </c>
      <c r="T164" s="764">
        <v>55484.58</v>
      </c>
      <c r="U164" s="543">
        <v>44725</v>
      </c>
      <c r="V164" s="764">
        <v>55484.58</v>
      </c>
      <c r="W164" s="556">
        <v>44725</v>
      </c>
      <c r="X164" s="208">
        <v>55484.58</v>
      </c>
      <c r="Y164" s="499">
        <v>44737</v>
      </c>
      <c r="Z164" s="593">
        <f>Q164-X164</f>
        <v>0</v>
      </c>
      <c r="AA164" s="586"/>
      <c r="AB164" s="587"/>
      <c r="AC164" s="962"/>
      <c r="AD164" s="408">
        <f>SUM(Q164:Q167)</f>
        <v>176620.81</v>
      </c>
      <c r="AE164" s="408">
        <f>SUM(V164:V167)</f>
        <v>176620.81</v>
      </c>
      <c r="AF164" s="410">
        <f>SUM(X164:X167)</f>
        <v>176620.81</v>
      </c>
      <c r="AG164" s="410">
        <f>K164-AD164</f>
        <v>0</v>
      </c>
      <c r="AH164" s="409" t="s">
        <v>197</v>
      </c>
      <c r="AI164" s="433" t="s">
        <v>154</v>
      </c>
    </row>
    <row r="165" s="3" customFormat="1" ht="51" customHeight="1" spans="1:35">
      <c r="A165" s="379"/>
      <c r="B165" s="380"/>
      <c r="C165" s="381"/>
      <c r="D165" s="650"/>
      <c r="E165" s="374"/>
      <c r="F165" s="409"/>
      <c r="G165" s="374"/>
      <c r="H165" s="374"/>
      <c r="I165" s="429"/>
      <c r="J165" s="374"/>
      <c r="K165" s="432"/>
      <c r="L165" s="374"/>
      <c r="M165" s="461">
        <v>2</v>
      </c>
      <c r="N165" s="765" t="s">
        <v>4863</v>
      </c>
      <c r="O165" s="457">
        <v>0.4</v>
      </c>
      <c r="P165" s="766">
        <v>73979.44</v>
      </c>
      <c r="Q165" s="839">
        <v>73979.44</v>
      </c>
      <c r="R165" s="498"/>
      <c r="S165" s="499"/>
      <c r="T165" s="839">
        <v>73979.44</v>
      </c>
      <c r="U165" s="543"/>
      <c r="V165" s="839">
        <v>73979.44</v>
      </c>
      <c r="W165" s="556"/>
      <c r="X165" s="208">
        <f>100000-X164</f>
        <v>44515.42</v>
      </c>
      <c r="Y165" s="253"/>
      <c r="Z165" s="593">
        <f>Q165-X165</f>
        <v>29464.02</v>
      </c>
      <c r="AA165" s="586"/>
      <c r="AB165" s="587"/>
      <c r="AC165" s="962"/>
      <c r="AD165" s="410"/>
      <c r="AE165" s="410"/>
      <c r="AF165" s="410"/>
      <c r="AG165" s="410"/>
      <c r="AH165" s="374"/>
      <c r="AI165" s="410"/>
    </row>
    <row r="166" s="3" customFormat="1" ht="48" customHeight="1" spans="1:35">
      <c r="A166" s="379"/>
      <c r="B166" s="380"/>
      <c r="C166" s="381"/>
      <c r="D166" s="650"/>
      <c r="E166" s="374"/>
      <c r="F166" s="409"/>
      <c r="G166" s="374"/>
      <c r="H166" s="374"/>
      <c r="I166" s="429"/>
      <c r="J166" s="374"/>
      <c r="K166" s="432"/>
      <c r="L166" s="374"/>
      <c r="M166" s="458"/>
      <c r="N166" s="767"/>
      <c r="O166" s="457"/>
      <c r="P166" s="766"/>
      <c r="Q166" s="764"/>
      <c r="R166" s="252"/>
      <c r="S166" s="253"/>
      <c r="T166" s="764"/>
      <c r="U166" s="557"/>
      <c r="V166" s="764"/>
      <c r="W166" s="884"/>
      <c r="X166" s="885">
        <v>29464.02</v>
      </c>
      <c r="Y166" s="253">
        <v>45212</v>
      </c>
      <c r="Z166" s="593"/>
      <c r="AA166" s="586"/>
      <c r="AB166" s="587"/>
      <c r="AC166" s="962"/>
      <c r="AD166" s="410"/>
      <c r="AE166" s="410"/>
      <c r="AF166" s="410"/>
      <c r="AG166" s="410"/>
      <c r="AH166" s="374"/>
      <c r="AI166" s="410"/>
    </row>
    <row r="167" s="3" customFormat="1" ht="48" customHeight="1" spans="1:35">
      <c r="A167" s="382"/>
      <c r="B167" s="383"/>
      <c r="C167" s="384"/>
      <c r="D167" s="353"/>
      <c r="E167" s="375"/>
      <c r="F167" s="411"/>
      <c r="G167" s="375"/>
      <c r="H167" s="375"/>
      <c r="I167" s="430"/>
      <c r="J167" s="375"/>
      <c r="K167" s="434"/>
      <c r="L167" s="375"/>
      <c r="M167" s="458">
        <v>3</v>
      </c>
      <c r="N167" s="763" t="s">
        <v>4864</v>
      </c>
      <c r="O167" s="768">
        <v>0.3</v>
      </c>
      <c r="P167" s="769">
        <v>55484.57</v>
      </c>
      <c r="Q167" s="840">
        <f>K164-Q164-Q165</f>
        <v>47156.79</v>
      </c>
      <c r="R167" s="252" t="s">
        <v>4603</v>
      </c>
      <c r="S167" s="253">
        <v>45455</v>
      </c>
      <c r="T167" s="252">
        <v>47156.79</v>
      </c>
      <c r="U167" s="253">
        <v>45455</v>
      </c>
      <c r="V167" s="252">
        <v>47156.79</v>
      </c>
      <c r="W167" s="253">
        <v>45631</v>
      </c>
      <c r="X167" s="252">
        <v>47156.79</v>
      </c>
      <c r="Y167" s="253">
        <v>45650</v>
      </c>
      <c r="Z167" s="593">
        <f>Q167-V167</f>
        <v>0</v>
      </c>
      <c r="AA167" s="586"/>
      <c r="AB167" s="587"/>
      <c r="AC167" s="962"/>
      <c r="AD167" s="412"/>
      <c r="AE167" s="412"/>
      <c r="AF167" s="412"/>
      <c r="AG167" s="412"/>
      <c r="AH167" s="375"/>
      <c r="AI167" s="412"/>
    </row>
    <row r="168" s="6" customFormat="1" ht="24.75" customHeight="1" spans="1:35">
      <c r="A168" s="658" t="s">
        <v>1003</v>
      </c>
      <c r="B168" s="659">
        <v>44517</v>
      </c>
      <c r="C168" s="660" t="s">
        <v>4865</v>
      </c>
      <c r="D168" s="661"/>
      <c r="E168" s="684" t="s">
        <v>4866</v>
      </c>
      <c r="F168" s="684" t="s">
        <v>4867</v>
      </c>
      <c r="G168" s="684" t="s">
        <v>240</v>
      </c>
      <c r="H168" s="684" t="s">
        <v>4868</v>
      </c>
      <c r="I168" s="713"/>
      <c r="J168" s="661">
        <v>150000</v>
      </c>
      <c r="K168" s="714">
        <v>150000</v>
      </c>
      <c r="L168" s="684" t="s">
        <v>126</v>
      </c>
      <c r="M168" s="770">
        <v>1</v>
      </c>
      <c r="N168" s="771" t="s">
        <v>4869</v>
      </c>
      <c r="O168" s="772">
        <v>1</v>
      </c>
      <c r="P168" s="773">
        <v>150000</v>
      </c>
      <c r="Q168" s="841">
        <v>150000</v>
      </c>
      <c r="R168" s="842" t="s">
        <v>4603</v>
      </c>
      <c r="S168" s="843">
        <v>44532</v>
      </c>
      <c r="T168" s="841">
        <v>150000</v>
      </c>
      <c r="U168" s="886">
        <v>44532</v>
      </c>
      <c r="V168" s="887">
        <v>150000</v>
      </c>
      <c r="W168" s="888">
        <v>44540</v>
      </c>
      <c r="X168" s="841">
        <v>150000</v>
      </c>
      <c r="Y168" s="843">
        <v>44557</v>
      </c>
      <c r="Z168" s="932">
        <f>Q168-X168</f>
        <v>0</v>
      </c>
      <c r="AA168" s="933"/>
      <c r="AB168" s="934"/>
      <c r="AC168" s="963"/>
      <c r="AD168" s="346">
        <v>150000</v>
      </c>
      <c r="AE168" s="346">
        <v>150000</v>
      </c>
      <c r="AF168" s="964">
        <f>X168</f>
        <v>150000</v>
      </c>
      <c r="AG168" s="964">
        <f>K168-AD168</f>
        <v>0</v>
      </c>
      <c r="AH168" s="661"/>
      <c r="AI168" s="964"/>
    </row>
    <row r="169" s="6" customFormat="1" ht="24.75" customHeight="1" spans="1:35">
      <c r="A169" s="658" t="s">
        <v>1003</v>
      </c>
      <c r="B169" s="659">
        <v>44517</v>
      </c>
      <c r="C169" s="660" t="s">
        <v>4865</v>
      </c>
      <c r="D169" s="661"/>
      <c r="E169" s="684" t="s">
        <v>4866</v>
      </c>
      <c r="F169" s="684" t="s">
        <v>4870</v>
      </c>
      <c r="G169" s="684" t="s">
        <v>240</v>
      </c>
      <c r="H169" s="684" t="s">
        <v>4871</v>
      </c>
      <c r="I169" s="713"/>
      <c r="J169" s="661">
        <v>150000</v>
      </c>
      <c r="K169" s="714">
        <v>150000</v>
      </c>
      <c r="L169" s="684" t="s">
        <v>28</v>
      </c>
      <c r="M169" s="770">
        <v>1</v>
      </c>
      <c r="N169" s="771" t="s">
        <v>4869</v>
      </c>
      <c r="O169" s="772">
        <v>1</v>
      </c>
      <c r="P169" s="773">
        <v>150000</v>
      </c>
      <c r="Q169" s="841">
        <v>150000</v>
      </c>
      <c r="R169" s="842" t="s">
        <v>4603</v>
      </c>
      <c r="S169" s="843">
        <v>44532</v>
      </c>
      <c r="T169" s="841">
        <v>150000</v>
      </c>
      <c r="U169" s="886">
        <v>44532</v>
      </c>
      <c r="V169" s="887">
        <v>150000</v>
      </c>
      <c r="W169" s="888">
        <v>44566</v>
      </c>
      <c r="X169" s="841">
        <v>150000</v>
      </c>
      <c r="Y169" s="843">
        <v>44666</v>
      </c>
      <c r="Z169" s="932">
        <f>Q169-X169</f>
        <v>0</v>
      </c>
      <c r="AA169" s="933"/>
      <c r="AB169" s="934"/>
      <c r="AC169" s="963"/>
      <c r="AD169" s="346">
        <v>150000</v>
      </c>
      <c r="AE169" s="346">
        <v>150000</v>
      </c>
      <c r="AF169" s="964">
        <f>X169</f>
        <v>150000</v>
      </c>
      <c r="AG169" s="964">
        <f>K169-AD169</f>
        <v>0</v>
      </c>
      <c r="AH169" s="661"/>
      <c r="AI169" s="964"/>
    </row>
    <row r="170" s="8" customFormat="1" ht="31" spans="1:35">
      <c r="A170" s="627" t="s">
        <v>1951</v>
      </c>
      <c r="B170" s="662">
        <v>43903</v>
      </c>
      <c r="C170" s="626" t="s">
        <v>4872</v>
      </c>
      <c r="D170" s="627" t="s">
        <v>171</v>
      </c>
      <c r="E170" s="627" t="s">
        <v>4873</v>
      </c>
      <c r="F170" s="627" t="s">
        <v>4874</v>
      </c>
      <c r="G170" s="627" t="s">
        <v>193</v>
      </c>
      <c r="H170" s="627" t="s">
        <v>4875</v>
      </c>
      <c r="I170" s="715"/>
      <c r="J170" s="716"/>
      <c r="K170" s="717">
        <v>543480</v>
      </c>
      <c r="L170" s="679" t="s">
        <v>32</v>
      </c>
      <c r="M170" s="733">
        <v>1</v>
      </c>
      <c r="N170" s="734" t="s">
        <v>4876</v>
      </c>
      <c r="O170" s="774">
        <v>0.2</v>
      </c>
      <c r="P170" s="775">
        <v>108696</v>
      </c>
      <c r="Q170" s="812">
        <v>108696</v>
      </c>
      <c r="R170" s="844" t="s">
        <v>206</v>
      </c>
      <c r="S170" s="845">
        <v>44119</v>
      </c>
      <c r="T170" s="813">
        <v>108696</v>
      </c>
      <c r="U170" s="845">
        <v>44119</v>
      </c>
      <c r="V170" s="813">
        <v>108696</v>
      </c>
      <c r="W170" s="845">
        <v>44117</v>
      </c>
      <c r="X170" s="889">
        <v>108696</v>
      </c>
      <c r="Y170" s="935">
        <v>44180</v>
      </c>
      <c r="Z170" s="936">
        <v>0</v>
      </c>
      <c r="AA170" s="937" t="s">
        <v>1463</v>
      </c>
      <c r="AB170" s="938" t="s">
        <v>1463</v>
      </c>
      <c r="AC170" s="965"/>
      <c r="AD170" s="679">
        <f>Q170+Q171+Q175</f>
        <v>543480</v>
      </c>
      <c r="AE170" s="679">
        <f>SUM(V170:V175)</f>
        <v>543480</v>
      </c>
      <c r="AF170" s="679">
        <f>SUM(X170:X175)</f>
        <v>543480</v>
      </c>
      <c r="AG170" s="679">
        <f>K170-AD170</f>
        <v>0</v>
      </c>
      <c r="AH170" s="627" t="s">
        <v>197</v>
      </c>
      <c r="AI170" s="679" t="s">
        <v>154</v>
      </c>
    </row>
    <row r="171" s="8" customFormat="1" spans="1:35">
      <c r="A171" s="627"/>
      <c r="B171" s="627"/>
      <c r="C171" s="628"/>
      <c r="D171" s="627"/>
      <c r="E171" s="627"/>
      <c r="F171" s="627"/>
      <c r="G171" s="627"/>
      <c r="H171" s="627"/>
      <c r="I171" s="715"/>
      <c r="J171" s="716"/>
      <c r="K171" s="717"/>
      <c r="L171" s="679"/>
      <c r="M171" s="776">
        <v>2</v>
      </c>
      <c r="N171" s="777" t="s">
        <v>4877</v>
      </c>
      <c r="O171" s="778">
        <v>0.7</v>
      </c>
      <c r="P171" s="779">
        <v>380436</v>
      </c>
      <c r="Q171" s="846">
        <v>380436</v>
      </c>
      <c r="R171" s="847" t="s">
        <v>206</v>
      </c>
      <c r="S171" s="848">
        <v>44175</v>
      </c>
      <c r="T171" s="849">
        <v>380436</v>
      </c>
      <c r="U171" s="890">
        <v>44159</v>
      </c>
      <c r="V171" s="779">
        <v>380436</v>
      </c>
      <c r="W171" s="890">
        <v>44163</v>
      </c>
      <c r="X171" s="846">
        <v>380436</v>
      </c>
      <c r="Y171" s="890">
        <v>44316</v>
      </c>
      <c r="Z171" s="939"/>
      <c r="AA171" s="937"/>
      <c r="AB171" s="940" t="s">
        <v>1463</v>
      </c>
      <c r="AC171" s="966"/>
      <c r="AD171" s="679"/>
      <c r="AE171" s="679"/>
      <c r="AF171" s="679"/>
      <c r="AG171" s="679"/>
      <c r="AH171" s="627"/>
      <c r="AI171" s="679"/>
    </row>
    <row r="172" s="8" customFormat="1" spans="1:35">
      <c r="A172" s="627"/>
      <c r="B172" s="627"/>
      <c r="C172" s="628"/>
      <c r="D172" s="627"/>
      <c r="E172" s="627"/>
      <c r="F172" s="627"/>
      <c r="G172" s="627"/>
      <c r="H172" s="627"/>
      <c r="I172" s="715"/>
      <c r="J172" s="716"/>
      <c r="K172" s="717"/>
      <c r="L172" s="679"/>
      <c r="M172" s="737"/>
      <c r="N172" s="780"/>
      <c r="O172" s="781"/>
      <c r="P172" s="782"/>
      <c r="Q172" s="815"/>
      <c r="R172" s="847"/>
      <c r="S172" s="850"/>
      <c r="T172" s="816"/>
      <c r="U172" s="891"/>
      <c r="V172" s="782"/>
      <c r="W172" s="891"/>
      <c r="X172" s="815"/>
      <c r="Y172" s="891"/>
      <c r="Z172" s="941"/>
      <c r="AA172" s="937"/>
      <c r="AB172" s="942"/>
      <c r="AC172" s="967"/>
      <c r="AD172" s="679"/>
      <c r="AE172" s="679"/>
      <c r="AF172" s="679"/>
      <c r="AG172" s="679"/>
      <c r="AH172" s="627"/>
      <c r="AI172" s="679"/>
    </row>
    <row r="173" s="8" customFormat="1" spans="1:35">
      <c r="A173" s="627"/>
      <c r="B173" s="627"/>
      <c r="C173" s="628"/>
      <c r="D173" s="627"/>
      <c r="E173" s="627"/>
      <c r="F173" s="627"/>
      <c r="G173" s="627"/>
      <c r="H173" s="627"/>
      <c r="I173" s="715"/>
      <c r="J173" s="716"/>
      <c r="K173" s="717"/>
      <c r="L173" s="679"/>
      <c r="M173" s="737"/>
      <c r="N173" s="780"/>
      <c r="O173" s="781"/>
      <c r="P173" s="782"/>
      <c r="Q173" s="815"/>
      <c r="R173" s="847"/>
      <c r="S173" s="850"/>
      <c r="T173" s="816"/>
      <c r="U173" s="891"/>
      <c r="V173" s="782"/>
      <c r="W173" s="891"/>
      <c r="X173" s="815"/>
      <c r="Y173" s="891"/>
      <c r="Z173" s="941"/>
      <c r="AA173" s="937"/>
      <c r="AB173" s="942"/>
      <c r="AC173" s="967"/>
      <c r="AD173" s="679"/>
      <c r="AE173" s="679"/>
      <c r="AF173" s="679"/>
      <c r="AG173" s="679"/>
      <c r="AH173" s="627"/>
      <c r="AI173" s="679"/>
    </row>
    <row r="174" s="8" customFormat="1" spans="1:35">
      <c r="A174" s="632"/>
      <c r="B174" s="632"/>
      <c r="C174" s="631"/>
      <c r="D174" s="632"/>
      <c r="E174" s="632"/>
      <c r="F174" s="632"/>
      <c r="G174" s="632"/>
      <c r="H174" s="632"/>
      <c r="I174" s="718"/>
      <c r="J174" s="719"/>
      <c r="K174" s="720"/>
      <c r="L174" s="681"/>
      <c r="M174" s="737"/>
      <c r="N174" s="780"/>
      <c r="O174" s="781"/>
      <c r="P174" s="782"/>
      <c r="Q174" s="815"/>
      <c r="R174" s="847"/>
      <c r="S174" s="850"/>
      <c r="T174" s="816"/>
      <c r="U174" s="891"/>
      <c r="V174" s="782"/>
      <c r="W174" s="891"/>
      <c r="X174" s="815"/>
      <c r="Y174" s="891"/>
      <c r="Z174" s="941"/>
      <c r="AA174" s="937"/>
      <c r="AB174" s="942"/>
      <c r="AC174" s="967"/>
      <c r="AD174" s="681"/>
      <c r="AE174" s="681"/>
      <c r="AF174" s="681"/>
      <c r="AG174" s="681"/>
      <c r="AH174" s="632"/>
      <c r="AI174" s="681"/>
    </row>
    <row r="175" s="9" customFormat="1" ht="39" customHeight="1" spans="1:35">
      <c r="A175" s="627"/>
      <c r="B175" s="627"/>
      <c r="C175" s="628"/>
      <c r="D175" s="627"/>
      <c r="E175" s="627"/>
      <c r="F175" s="627"/>
      <c r="G175" s="627"/>
      <c r="H175" s="627"/>
      <c r="I175" s="715"/>
      <c r="J175" s="716"/>
      <c r="K175" s="717"/>
      <c r="L175" s="679"/>
      <c r="M175" s="679">
        <v>3</v>
      </c>
      <c r="N175" s="783" t="s">
        <v>4878</v>
      </c>
      <c r="O175" s="784">
        <v>0.1</v>
      </c>
      <c r="P175" s="679">
        <v>54348</v>
      </c>
      <c r="Q175" s="717">
        <v>54348</v>
      </c>
      <c r="R175" s="678" t="s">
        <v>206</v>
      </c>
      <c r="S175" s="851">
        <v>44175</v>
      </c>
      <c r="T175" s="852">
        <v>54348</v>
      </c>
      <c r="U175" s="892">
        <v>44159</v>
      </c>
      <c r="V175" s="679">
        <v>54348</v>
      </c>
      <c r="W175" s="892">
        <v>44163</v>
      </c>
      <c r="X175" s="893">
        <v>54348</v>
      </c>
      <c r="Y175" s="943">
        <v>44487</v>
      </c>
      <c r="Z175" s="944">
        <v>0</v>
      </c>
      <c r="AA175" s="945"/>
      <c r="AB175" s="946" t="s">
        <v>1463</v>
      </c>
      <c r="AC175" s="852"/>
      <c r="AD175" s="679"/>
      <c r="AE175" s="679"/>
      <c r="AF175" s="679"/>
      <c r="AG175" s="679"/>
      <c r="AH175" s="627"/>
      <c r="AI175" s="679"/>
    </row>
    <row r="176" s="6" customFormat="1" ht="31" spans="1:35">
      <c r="A176" s="663" t="s">
        <v>2466</v>
      </c>
      <c r="B176" s="664">
        <v>43031</v>
      </c>
      <c r="C176" s="665" t="s">
        <v>4879</v>
      </c>
      <c r="D176" s="666" t="s">
        <v>113</v>
      </c>
      <c r="E176" s="353" t="s">
        <v>4880</v>
      </c>
      <c r="F176" s="666" t="s">
        <v>4881</v>
      </c>
      <c r="G176" s="666" t="s">
        <v>813</v>
      </c>
      <c r="H176" s="666" t="s">
        <v>4882</v>
      </c>
      <c r="I176" s="721">
        <v>980</v>
      </c>
      <c r="J176" s="722" t="s">
        <v>4883</v>
      </c>
      <c r="K176" s="723">
        <v>350000</v>
      </c>
      <c r="L176" s="316" t="s">
        <v>27</v>
      </c>
      <c r="M176" s="663">
        <v>1</v>
      </c>
      <c r="N176" s="785" t="s">
        <v>4884</v>
      </c>
      <c r="O176" s="786">
        <v>0.5</v>
      </c>
      <c r="P176" s="723">
        <f>350000*O176</f>
        <v>175000</v>
      </c>
      <c r="Q176" s="723">
        <v>175000</v>
      </c>
      <c r="R176" s="722" t="s">
        <v>206</v>
      </c>
      <c r="S176" s="853">
        <v>44175</v>
      </c>
      <c r="T176" s="722" t="s">
        <v>171</v>
      </c>
      <c r="U176" s="894"/>
      <c r="V176" s="722">
        <v>175000</v>
      </c>
      <c r="W176" s="894"/>
      <c r="X176" s="723">
        <v>175000</v>
      </c>
      <c r="Y176" s="947">
        <v>43128</v>
      </c>
      <c r="Z176" s="663">
        <f>Q176-X176</f>
        <v>0</v>
      </c>
      <c r="AA176" s="948"/>
      <c r="AB176" s="663" t="s">
        <v>171</v>
      </c>
      <c r="AC176" s="663" t="s">
        <v>171</v>
      </c>
      <c r="AD176" s="663">
        <f>SUM(Q176:Q178)</f>
        <v>175000</v>
      </c>
      <c r="AE176" s="663">
        <f>SUM(V176:V178)</f>
        <v>175000</v>
      </c>
      <c r="AF176" s="663">
        <f>SUM(X176:X178)</f>
        <v>175000</v>
      </c>
      <c r="AG176" s="663">
        <f>K176-AD176</f>
        <v>175000</v>
      </c>
      <c r="AH176" s="971"/>
      <c r="AI176" s="971"/>
    </row>
    <row r="177" s="6" customFormat="1" ht="31" spans="1:35">
      <c r="A177" s="667"/>
      <c r="B177" s="668"/>
      <c r="C177" s="669"/>
      <c r="D177" s="670"/>
      <c r="E177" s="328"/>
      <c r="F177" s="670"/>
      <c r="G177" s="670"/>
      <c r="H177" s="670"/>
      <c r="I177" s="724"/>
      <c r="J177" s="685"/>
      <c r="K177" s="725"/>
      <c r="L177" s="96"/>
      <c r="M177" s="667">
        <v>2</v>
      </c>
      <c r="N177" s="787" t="s">
        <v>4885</v>
      </c>
      <c r="O177" s="788">
        <v>0.4</v>
      </c>
      <c r="P177" s="725"/>
      <c r="Q177" s="791"/>
      <c r="R177" s="685"/>
      <c r="S177" s="853"/>
      <c r="T177" s="685"/>
      <c r="U177" s="894"/>
      <c r="V177" s="685"/>
      <c r="W177" s="894"/>
      <c r="X177" s="667"/>
      <c r="Y177" s="949"/>
      <c r="Z177" s="949"/>
      <c r="AA177" s="950"/>
      <c r="AB177" s="951"/>
      <c r="AC177" s="951"/>
      <c r="AD177" s="667"/>
      <c r="AE177" s="667"/>
      <c r="AF177" s="667"/>
      <c r="AG177" s="667"/>
      <c r="AH177" s="951"/>
      <c r="AI177" s="951"/>
    </row>
    <row r="178" s="6" customFormat="1" ht="31" spans="1:35">
      <c r="A178" s="667"/>
      <c r="B178" s="668"/>
      <c r="C178" s="669"/>
      <c r="D178" s="670"/>
      <c r="E178" s="328"/>
      <c r="F178" s="670"/>
      <c r="G178" s="670"/>
      <c r="H178" s="670"/>
      <c r="I178" s="724"/>
      <c r="J178" s="685"/>
      <c r="K178" s="725"/>
      <c r="L178" s="96"/>
      <c r="M178" s="667">
        <v>3</v>
      </c>
      <c r="N178" s="787" t="s">
        <v>4886</v>
      </c>
      <c r="O178" s="788">
        <v>0.1</v>
      </c>
      <c r="P178" s="725"/>
      <c r="Q178" s="791"/>
      <c r="R178" s="685"/>
      <c r="S178" s="854"/>
      <c r="T178" s="685"/>
      <c r="U178" s="895"/>
      <c r="V178" s="685"/>
      <c r="W178" s="895"/>
      <c r="X178" s="667"/>
      <c r="Y178" s="949"/>
      <c r="Z178" s="949"/>
      <c r="AA178" s="950"/>
      <c r="AB178" s="951"/>
      <c r="AC178" s="951"/>
      <c r="AD178" s="667"/>
      <c r="AE178" s="667"/>
      <c r="AF178" s="667"/>
      <c r="AG178" s="667"/>
      <c r="AH178" s="951"/>
      <c r="AI178" s="951"/>
    </row>
    <row r="179" s="6" customFormat="1" ht="36" customHeight="1" spans="1:35">
      <c r="A179" s="667" t="s">
        <v>2570</v>
      </c>
      <c r="B179" s="668">
        <v>42928</v>
      </c>
      <c r="C179" s="669" t="s">
        <v>4887</v>
      </c>
      <c r="D179" s="670" t="s">
        <v>113</v>
      </c>
      <c r="E179" s="328" t="s">
        <v>4888</v>
      </c>
      <c r="F179" s="670" t="s">
        <v>4889</v>
      </c>
      <c r="G179" s="670" t="s">
        <v>240</v>
      </c>
      <c r="H179" s="670" t="s">
        <v>4890</v>
      </c>
      <c r="I179" s="724" t="s">
        <v>171</v>
      </c>
      <c r="J179" s="685" t="s">
        <v>4891</v>
      </c>
      <c r="K179" s="725">
        <v>3635680</v>
      </c>
      <c r="L179" s="128" t="s">
        <v>25</v>
      </c>
      <c r="M179" s="667">
        <v>1</v>
      </c>
      <c r="N179" s="787" t="s">
        <v>4892</v>
      </c>
      <c r="O179" s="789">
        <v>0.2</v>
      </c>
      <c r="P179" s="725">
        <f>3635680*O179</f>
        <v>727136</v>
      </c>
      <c r="Q179" s="791">
        <v>727136</v>
      </c>
      <c r="R179" s="855" t="s">
        <v>206</v>
      </c>
      <c r="S179" s="856">
        <v>42962</v>
      </c>
      <c r="T179" s="685" t="s">
        <v>171</v>
      </c>
      <c r="U179" s="685" t="s">
        <v>171</v>
      </c>
      <c r="V179" s="685">
        <v>727136</v>
      </c>
      <c r="W179" s="855">
        <v>42962</v>
      </c>
      <c r="X179" s="685">
        <v>727136</v>
      </c>
      <c r="Y179" s="855">
        <v>42991</v>
      </c>
      <c r="Z179" s="667">
        <f t="shared" ref="Z179:Z194" si="10">Q179-X179</f>
        <v>0</v>
      </c>
      <c r="AA179" s="950"/>
      <c r="AB179" s="667" t="s">
        <v>171</v>
      </c>
      <c r="AC179" s="667" t="s">
        <v>171</v>
      </c>
      <c r="AD179" s="667"/>
      <c r="AE179" s="667"/>
      <c r="AF179" s="667"/>
      <c r="AG179" s="667"/>
      <c r="AH179" s="667"/>
      <c r="AI179" s="667"/>
    </row>
    <row r="180" s="6" customFormat="1" ht="36" customHeight="1" spans="1:35">
      <c r="A180" s="667"/>
      <c r="B180" s="668"/>
      <c r="C180" s="669"/>
      <c r="D180" s="670"/>
      <c r="E180" s="328"/>
      <c r="F180" s="670"/>
      <c r="G180" s="670"/>
      <c r="H180" s="670"/>
      <c r="I180" s="724"/>
      <c r="J180" s="685"/>
      <c r="K180" s="725"/>
      <c r="L180" s="96"/>
      <c r="M180" s="667">
        <v>2</v>
      </c>
      <c r="N180" s="787" t="s">
        <v>4893</v>
      </c>
      <c r="O180" s="788">
        <v>0.3</v>
      </c>
      <c r="P180" s="725">
        <f>3635680*O180</f>
        <v>1090704</v>
      </c>
      <c r="Q180" s="791">
        <v>1090704</v>
      </c>
      <c r="R180" s="855" t="s">
        <v>206</v>
      </c>
      <c r="S180" s="856">
        <v>43025</v>
      </c>
      <c r="T180" s="685" t="s">
        <v>171</v>
      </c>
      <c r="U180" s="685" t="s">
        <v>171</v>
      </c>
      <c r="V180" s="685">
        <v>1090704</v>
      </c>
      <c r="W180" s="855">
        <v>43025</v>
      </c>
      <c r="X180" s="685">
        <v>1090704</v>
      </c>
      <c r="Y180" s="855">
        <v>43081</v>
      </c>
      <c r="Z180" s="667">
        <f t="shared" si="10"/>
        <v>0</v>
      </c>
      <c r="AA180" s="950"/>
      <c r="AB180" s="667" t="s">
        <v>171</v>
      </c>
      <c r="AC180" s="667" t="s">
        <v>171</v>
      </c>
      <c r="AD180" s="667"/>
      <c r="AE180" s="667"/>
      <c r="AF180" s="667"/>
      <c r="AG180" s="667"/>
      <c r="AH180" s="667"/>
      <c r="AI180" s="667"/>
    </row>
    <row r="181" s="6" customFormat="1" ht="36" customHeight="1" spans="1:35">
      <c r="A181" s="667"/>
      <c r="B181" s="668"/>
      <c r="C181" s="669"/>
      <c r="D181" s="670"/>
      <c r="E181" s="328"/>
      <c r="F181" s="670"/>
      <c r="G181" s="670"/>
      <c r="H181" s="670"/>
      <c r="I181" s="724"/>
      <c r="J181" s="685"/>
      <c r="K181" s="725"/>
      <c r="L181" s="96"/>
      <c r="M181" s="667">
        <v>3</v>
      </c>
      <c r="N181" s="787" t="s">
        <v>4894</v>
      </c>
      <c r="O181" s="788">
        <v>0.25</v>
      </c>
      <c r="P181" s="725">
        <f>3635680*O181</f>
        <v>908920</v>
      </c>
      <c r="Q181" s="791">
        <v>908920</v>
      </c>
      <c r="R181" s="855" t="s">
        <v>206</v>
      </c>
      <c r="S181" s="856">
        <v>43117</v>
      </c>
      <c r="T181" s="685" t="s">
        <v>171</v>
      </c>
      <c r="U181" s="685" t="s">
        <v>171</v>
      </c>
      <c r="V181" s="685">
        <v>908920</v>
      </c>
      <c r="W181" s="855">
        <v>43117</v>
      </c>
      <c r="X181" s="685">
        <v>908920</v>
      </c>
      <c r="Y181" s="855">
        <v>43152</v>
      </c>
      <c r="Z181" s="667">
        <f t="shared" si="10"/>
        <v>0</v>
      </c>
      <c r="AA181" s="950"/>
      <c r="AB181" s="667" t="s">
        <v>171</v>
      </c>
      <c r="AC181" s="667" t="s">
        <v>171</v>
      </c>
      <c r="AD181" s="667"/>
      <c r="AE181" s="667"/>
      <c r="AF181" s="667"/>
      <c r="AG181" s="667"/>
      <c r="AH181" s="667"/>
      <c r="AI181" s="667"/>
    </row>
    <row r="182" s="6" customFormat="1" ht="36" customHeight="1" spans="1:35">
      <c r="A182" s="667"/>
      <c r="B182" s="668"/>
      <c r="C182" s="669"/>
      <c r="D182" s="670"/>
      <c r="E182" s="328"/>
      <c r="F182" s="670"/>
      <c r="G182" s="670"/>
      <c r="H182" s="670"/>
      <c r="I182" s="724"/>
      <c r="J182" s="685"/>
      <c r="K182" s="725"/>
      <c r="L182" s="96"/>
      <c r="M182" s="667">
        <v>4</v>
      </c>
      <c r="N182" s="787" t="s">
        <v>4895</v>
      </c>
      <c r="O182" s="788">
        <v>0.2</v>
      </c>
      <c r="P182" s="725">
        <f>3635680*O182</f>
        <v>727136</v>
      </c>
      <c r="Q182" s="791">
        <v>727136</v>
      </c>
      <c r="R182" s="855" t="s">
        <v>206</v>
      </c>
      <c r="S182" s="856">
        <v>43182</v>
      </c>
      <c r="T182" s="685" t="s">
        <v>171</v>
      </c>
      <c r="U182" s="685" t="s">
        <v>171</v>
      </c>
      <c r="V182" s="685">
        <v>727136</v>
      </c>
      <c r="W182" s="855">
        <v>43182</v>
      </c>
      <c r="X182" s="685">
        <v>727136</v>
      </c>
      <c r="Y182" s="855">
        <v>43242</v>
      </c>
      <c r="Z182" s="667">
        <f t="shared" si="10"/>
        <v>0</v>
      </c>
      <c r="AA182" s="950"/>
      <c r="AB182" s="667" t="s">
        <v>171</v>
      </c>
      <c r="AC182" s="667" t="s">
        <v>171</v>
      </c>
      <c r="AD182" s="667"/>
      <c r="AE182" s="667"/>
      <c r="AF182" s="667"/>
      <c r="AG182" s="667"/>
      <c r="AH182" s="667"/>
      <c r="AI182" s="667"/>
    </row>
    <row r="183" s="6" customFormat="1" ht="36" customHeight="1" spans="1:35">
      <c r="A183" s="667"/>
      <c r="B183" s="668"/>
      <c r="C183" s="669"/>
      <c r="D183" s="670"/>
      <c r="E183" s="328"/>
      <c r="F183" s="670"/>
      <c r="G183" s="670"/>
      <c r="H183" s="670"/>
      <c r="I183" s="724"/>
      <c r="J183" s="685"/>
      <c r="K183" s="725"/>
      <c r="L183" s="96"/>
      <c r="M183" s="667">
        <v>5</v>
      </c>
      <c r="N183" s="787" t="s">
        <v>4896</v>
      </c>
      <c r="O183" s="788">
        <v>0.05</v>
      </c>
      <c r="P183" s="725">
        <f>3635680*O183</f>
        <v>181784</v>
      </c>
      <c r="Q183" s="857">
        <f>3635680*0.05</f>
        <v>181784</v>
      </c>
      <c r="R183" s="127" t="s">
        <v>4603</v>
      </c>
      <c r="S183" s="858">
        <v>44911</v>
      </c>
      <c r="T183" s="859">
        <v>181784</v>
      </c>
      <c r="U183" s="896">
        <v>44897</v>
      </c>
      <c r="V183" s="685"/>
      <c r="W183" s="856"/>
      <c r="X183" s="667"/>
      <c r="Y183" s="949"/>
      <c r="Z183" s="667">
        <f t="shared" si="10"/>
        <v>181784</v>
      </c>
      <c r="AA183" s="950"/>
      <c r="AB183" s="951"/>
      <c r="AC183" s="951"/>
      <c r="AD183" s="667"/>
      <c r="AE183" s="667"/>
      <c r="AF183" s="667"/>
      <c r="AG183" s="667"/>
      <c r="AH183" s="667"/>
      <c r="AI183" s="667"/>
    </row>
    <row r="184" s="6" customFormat="1" ht="36" customHeight="1" spans="1:35">
      <c r="A184" s="667" t="s">
        <v>2570</v>
      </c>
      <c r="B184" s="668">
        <v>42928</v>
      </c>
      <c r="C184" s="671" t="s">
        <v>4887</v>
      </c>
      <c r="D184" s="670" t="s">
        <v>113</v>
      </c>
      <c r="E184" s="127" t="s">
        <v>4888</v>
      </c>
      <c r="F184" s="670" t="s">
        <v>4897</v>
      </c>
      <c r="G184" s="670" t="s">
        <v>240</v>
      </c>
      <c r="H184" s="670" t="s">
        <v>4898</v>
      </c>
      <c r="I184" s="724" t="s">
        <v>171</v>
      </c>
      <c r="J184" s="685"/>
      <c r="K184" s="725">
        <v>7206756</v>
      </c>
      <c r="L184" s="128" t="s">
        <v>25</v>
      </c>
      <c r="M184" s="667">
        <v>1</v>
      </c>
      <c r="N184" s="787" t="s">
        <v>4892</v>
      </c>
      <c r="O184" s="790">
        <v>0.2</v>
      </c>
      <c r="P184" s="791">
        <f>7206756*O184</f>
        <v>1441351.2</v>
      </c>
      <c r="Q184" s="791">
        <v>1441351.2</v>
      </c>
      <c r="R184" s="855" t="s">
        <v>206</v>
      </c>
      <c r="S184" s="856">
        <v>42962</v>
      </c>
      <c r="T184" s="685" t="s">
        <v>171</v>
      </c>
      <c r="U184" s="897" t="s">
        <v>171</v>
      </c>
      <c r="V184" s="685">
        <v>1441351.2</v>
      </c>
      <c r="W184" s="855">
        <v>42962</v>
      </c>
      <c r="X184" s="667">
        <v>1441351.2</v>
      </c>
      <c r="Y184" s="855">
        <v>42991</v>
      </c>
      <c r="Z184" s="667">
        <f t="shared" si="10"/>
        <v>0</v>
      </c>
      <c r="AA184" s="950"/>
      <c r="AB184" s="667" t="s">
        <v>171</v>
      </c>
      <c r="AC184" s="667" t="s">
        <v>171</v>
      </c>
      <c r="AD184" s="667"/>
      <c r="AE184" s="667"/>
      <c r="AF184" s="667"/>
      <c r="AG184" s="667"/>
      <c r="AH184" s="667"/>
      <c r="AI184" s="667"/>
    </row>
    <row r="185" s="6" customFormat="1" ht="36" customHeight="1" spans="1:35">
      <c r="A185" s="667"/>
      <c r="B185" s="668"/>
      <c r="C185" s="669"/>
      <c r="D185" s="670"/>
      <c r="E185" s="328"/>
      <c r="F185" s="670"/>
      <c r="G185" s="670"/>
      <c r="H185" s="670"/>
      <c r="I185" s="724"/>
      <c r="J185" s="685"/>
      <c r="K185" s="725"/>
      <c r="L185" s="96"/>
      <c r="M185" s="667">
        <v>2</v>
      </c>
      <c r="N185" s="787" t="s">
        <v>4893</v>
      </c>
      <c r="O185" s="790">
        <v>0.3</v>
      </c>
      <c r="P185" s="791">
        <f>7206756*O185</f>
        <v>2162026.8</v>
      </c>
      <c r="Q185" s="791">
        <v>2162026.8</v>
      </c>
      <c r="R185" s="855" t="s">
        <v>206</v>
      </c>
      <c r="S185" s="856">
        <v>43025</v>
      </c>
      <c r="T185" s="685" t="s">
        <v>171</v>
      </c>
      <c r="U185" s="897" t="s">
        <v>171</v>
      </c>
      <c r="V185" s="685">
        <v>2162026.8</v>
      </c>
      <c r="W185" s="855">
        <v>43025</v>
      </c>
      <c r="X185" s="667">
        <v>2162026.8</v>
      </c>
      <c r="Y185" s="855">
        <v>43081</v>
      </c>
      <c r="Z185" s="667">
        <f t="shared" si="10"/>
        <v>0</v>
      </c>
      <c r="AA185" s="950"/>
      <c r="AB185" s="667" t="s">
        <v>171</v>
      </c>
      <c r="AC185" s="667" t="s">
        <v>171</v>
      </c>
      <c r="AD185" s="667"/>
      <c r="AE185" s="667"/>
      <c r="AF185" s="667"/>
      <c r="AG185" s="667"/>
      <c r="AH185" s="667"/>
      <c r="AI185" s="667"/>
    </row>
    <row r="186" s="6" customFormat="1" ht="36" customHeight="1" spans="1:35">
      <c r="A186" s="667"/>
      <c r="B186" s="668"/>
      <c r="C186" s="669"/>
      <c r="D186" s="670"/>
      <c r="E186" s="328"/>
      <c r="F186" s="670"/>
      <c r="G186" s="670"/>
      <c r="H186" s="670"/>
      <c r="I186" s="724"/>
      <c r="J186" s="685"/>
      <c r="K186" s="725"/>
      <c r="L186" s="96"/>
      <c r="M186" s="667">
        <v>3</v>
      </c>
      <c r="N186" s="787" t="s">
        <v>4894</v>
      </c>
      <c r="O186" s="790">
        <v>0.25</v>
      </c>
      <c r="P186" s="791">
        <f>7206756*O186</f>
        <v>1801689</v>
      </c>
      <c r="Q186" s="791">
        <v>1801689</v>
      </c>
      <c r="R186" s="855" t="s">
        <v>206</v>
      </c>
      <c r="S186" s="856">
        <v>43117</v>
      </c>
      <c r="T186" s="685" t="s">
        <v>171</v>
      </c>
      <c r="U186" s="685" t="s">
        <v>171</v>
      </c>
      <c r="V186" s="685">
        <v>1801689</v>
      </c>
      <c r="W186" s="855">
        <v>43117</v>
      </c>
      <c r="X186" s="667">
        <v>1801689</v>
      </c>
      <c r="Y186" s="855">
        <v>43152</v>
      </c>
      <c r="Z186" s="667">
        <f t="shared" si="10"/>
        <v>0</v>
      </c>
      <c r="AA186" s="950"/>
      <c r="AB186" s="667" t="s">
        <v>171</v>
      </c>
      <c r="AC186" s="667" t="s">
        <v>171</v>
      </c>
      <c r="AD186" s="667"/>
      <c r="AE186" s="667"/>
      <c r="AF186" s="667"/>
      <c r="AG186" s="667"/>
      <c r="AH186" s="667"/>
      <c r="AI186" s="667"/>
    </row>
    <row r="187" s="6" customFormat="1" ht="36" customHeight="1" spans="1:35">
      <c r="A187" s="667"/>
      <c r="B187" s="668"/>
      <c r="C187" s="669"/>
      <c r="D187" s="670"/>
      <c r="E187" s="328"/>
      <c r="F187" s="670"/>
      <c r="G187" s="670"/>
      <c r="H187" s="670"/>
      <c r="I187" s="724"/>
      <c r="J187" s="685"/>
      <c r="K187" s="725"/>
      <c r="L187" s="96"/>
      <c r="M187" s="667">
        <v>4</v>
      </c>
      <c r="N187" s="787" t="s">
        <v>4895</v>
      </c>
      <c r="O187" s="790">
        <v>0.2</v>
      </c>
      <c r="P187" s="791">
        <f>7206756*O187</f>
        <v>1441351.2</v>
      </c>
      <c r="Q187" s="791">
        <v>1441351.2</v>
      </c>
      <c r="R187" s="855" t="s">
        <v>206</v>
      </c>
      <c r="S187" s="856">
        <v>43182</v>
      </c>
      <c r="T187" s="685" t="s">
        <v>171</v>
      </c>
      <c r="U187" s="685" t="s">
        <v>171</v>
      </c>
      <c r="V187" s="685">
        <v>1441351.2</v>
      </c>
      <c r="W187" s="855">
        <v>43182</v>
      </c>
      <c r="X187" s="667">
        <v>1441351.2</v>
      </c>
      <c r="Y187" s="855">
        <v>43242</v>
      </c>
      <c r="Z187" s="667">
        <f t="shared" si="10"/>
        <v>0</v>
      </c>
      <c r="AA187" s="950"/>
      <c r="AB187" s="667" t="s">
        <v>171</v>
      </c>
      <c r="AC187" s="667" t="s">
        <v>171</v>
      </c>
      <c r="AD187" s="667"/>
      <c r="AE187" s="667"/>
      <c r="AF187" s="667"/>
      <c r="AG187" s="667"/>
      <c r="AH187" s="667"/>
      <c r="AI187" s="667"/>
    </row>
    <row r="188" s="6" customFormat="1" ht="36" customHeight="1" spans="1:35">
      <c r="A188" s="667"/>
      <c r="B188" s="668"/>
      <c r="C188" s="669"/>
      <c r="D188" s="670"/>
      <c r="E188" s="328"/>
      <c r="F188" s="670"/>
      <c r="G188" s="670"/>
      <c r="H188" s="670"/>
      <c r="I188" s="724"/>
      <c r="J188" s="685"/>
      <c r="K188" s="725"/>
      <c r="L188" s="96"/>
      <c r="M188" s="667">
        <v>5</v>
      </c>
      <c r="N188" s="787" t="s">
        <v>4896</v>
      </c>
      <c r="O188" s="685" t="s">
        <v>4011</v>
      </c>
      <c r="P188" s="791">
        <f>7206756*0.05</f>
        <v>360337.8</v>
      </c>
      <c r="Q188" s="857">
        <v>360337.8</v>
      </c>
      <c r="R188" s="127" t="s">
        <v>4603</v>
      </c>
      <c r="S188" s="858">
        <v>44911</v>
      </c>
      <c r="T188" s="859">
        <v>360337.8</v>
      </c>
      <c r="U188" s="896">
        <v>44897</v>
      </c>
      <c r="V188" s="685"/>
      <c r="W188" s="856"/>
      <c r="X188" s="667"/>
      <c r="Y188" s="949"/>
      <c r="Z188" s="667">
        <f t="shared" si="10"/>
        <v>360337.8</v>
      </c>
      <c r="AA188" s="950"/>
      <c r="AB188" s="951"/>
      <c r="AC188" s="951"/>
      <c r="AD188" s="667"/>
      <c r="AE188" s="667"/>
      <c r="AF188" s="667"/>
      <c r="AG188" s="667"/>
      <c r="AH188" s="667"/>
      <c r="AI188" s="667"/>
    </row>
    <row r="189" s="6" customFormat="1" ht="32" customHeight="1" spans="1:35">
      <c r="A189" s="667" t="s">
        <v>2570</v>
      </c>
      <c r="B189" s="672">
        <v>43385</v>
      </c>
      <c r="C189" s="673" t="s">
        <v>4899</v>
      </c>
      <c r="D189" s="667" t="s">
        <v>113</v>
      </c>
      <c r="E189" s="328" t="s">
        <v>4900</v>
      </c>
      <c r="F189" s="685" t="s">
        <v>4901</v>
      </c>
      <c r="G189" s="667" t="s">
        <v>240</v>
      </c>
      <c r="H189" s="685" t="s">
        <v>4898</v>
      </c>
      <c r="I189" s="667">
        <v>134806</v>
      </c>
      <c r="J189" s="685" t="s">
        <v>4902</v>
      </c>
      <c r="K189" s="725">
        <v>7657808</v>
      </c>
      <c r="L189" s="96" t="s">
        <v>25</v>
      </c>
      <c r="M189" s="685">
        <v>1</v>
      </c>
      <c r="N189" s="787" t="s">
        <v>4903</v>
      </c>
      <c r="O189" s="790">
        <v>0.2</v>
      </c>
      <c r="P189" s="725">
        <f>7657808*O189</f>
        <v>1531561.6</v>
      </c>
      <c r="Q189" s="725">
        <v>1531561.6</v>
      </c>
      <c r="R189" s="685" t="s">
        <v>206</v>
      </c>
      <c r="S189" s="672">
        <v>43430</v>
      </c>
      <c r="T189" s="667" t="s">
        <v>171</v>
      </c>
      <c r="U189" s="667" t="s">
        <v>171</v>
      </c>
      <c r="V189" s="667">
        <v>1531561.6</v>
      </c>
      <c r="W189" s="898">
        <v>43430</v>
      </c>
      <c r="X189" s="667">
        <v>1531561.6</v>
      </c>
      <c r="Y189" s="899">
        <v>43453</v>
      </c>
      <c r="Z189" s="667">
        <f t="shared" si="10"/>
        <v>0</v>
      </c>
      <c r="AA189" s="950"/>
      <c r="AB189" s="667" t="s">
        <v>171</v>
      </c>
      <c r="AC189" s="667" t="s">
        <v>171</v>
      </c>
      <c r="AD189" s="667"/>
      <c r="AE189" s="667"/>
      <c r="AF189" s="667"/>
      <c r="AG189" s="667"/>
      <c r="AH189" s="667"/>
      <c r="AI189" s="667"/>
    </row>
    <row r="190" s="6" customFormat="1" ht="56.65" customHeight="1" spans="1:35">
      <c r="A190" s="667"/>
      <c r="B190" s="672"/>
      <c r="C190" s="673"/>
      <c r="D190" s="667"/>
      <c r="E190" s="328"/>
      <c r="F190" s="685"/>
      <c r="G190" s="667"/>
      <c r="H190" s="685"/>
      <c r="I190" s="667"/>
      <c r="J190" s="667"/>
      <c r="K190" s="725"/>
      <c r="L190" s="96" t="s">
        <v>25</v>
      </c>
      <c r="M190" s="685">
        <v>2</v>
      </c>
      <c r="N190" s="787" t="s">
        <v>4904</v>
      </c>
      <c r="O190" s="790">
        <v>0.5</v>
      </c>
      <c r="P190" s="725">
        <f>7657808*O190</f>
        <v>3828904</v>
      </c>
      <c r="Q190" s="725">
        <v>3828904</v>
      </c>
      <c r="R190" s="685" t="s">
        <v>4603</v>
      </c>
      <c r="S190" s="672">
        <v>43658</v>
      </c>
      <c r="T190" s="667">
        <v>3828904</v>
      </c>
      <c r="U190" s="899">
        <v>43658</v>
      </c>
      <c r="V190" s="667">
        <v>3828904</v>
      </c>
      <c r="W190" s="899">
        <v>43682</v>
      </c>
      <c r="X190" s="667">
        <v>3828904</v>
      </c>
      <c r="Y190" s="899">
        <v>43703</v>
      </c>
      <c r="Z190" s="667">
        <f t="shared" si="10"/>
        <v>0</v>
      </c>
      <c r="AA190" s="950" t="s">
        <v>4905</v>
      </c>
      <c r="AB190" s="667" t="s">
        <v>171</v>
      </c>
      <c r="AC190" s="667" t="s">
        <v>171</v>
      </c>
      <c r="AD190" s="667"/>
      <c r="AE190" s="667"/>
      <c r="AF190" s="667"/>
      <c r="AG190" s="667"/>
      <c r="AH190" s="667"/>
      <c r="AI190" s="667"/>
    </row>
    <row r="191" s="6" customFormat="1" ht="32" customHeight="1" spans="1:35">
      <c r="A191" s="674"/>
      <c r="B191" s="675"/>
      <c r="C191" s="676"/>
      <c r="D191" s="667"/>
      <c r="E191" s="686"/>
      <c r="F191" s="686"/>
      <c r="G191" s="674"/>
      <c r="H191" s="686"/>
      <c r="I191" s="674"/>
      <c r="J191" s="674"/>
      <c r="K191" s="726"/>
      <c r="L191" s="96" t="s">
        <v>25</v>
      </c>
      <c r="M191" s="686">
        <v>3</v>
      </c>
      <c r="N191" s="792" t="s">
        <v>4906</v>
      </c>
      <c r="O191" s="793">
        <v>0.25</v>
      </c>
      <c r="P191" s="726">
        <f>7657808*O191</f>
        <v>1914452</v>
      </c>
      <c r="Q191" s="726">
        <v>1914452</v>
      </c>
      <c r="R191" s="686" t="s">
        <v>206</v>
      </c>
      <c r="S191" s="675">
        <v>43839</v>
      </c>
      <c r="T191" s="674" t="s">
        <v>171</v>
      </c>
      <c r="U191" s="674" t="s">
        <v>171</v>
      </c>
      <c r="V191" s="674">
        <v>1914452</v>
      </c>
      <c r="W191" s="900">
        <v>43839</v>
      </c>
      <c r="X191" s="674">
        <v>1914452</v>
      </c>
      <c r="Y191" s="900">
        <v>43913</v>
      </c>
      <c r="Z191" s="674">
        <f t="shared" si="10"/>
        <v>0</v>
      </c>
      <c r="AA191" s="952"/>
      <c r="AB191" s="674" t="s">
        <v>171</v>
      </c>
      <c r="AC191" s="674" t="s">
        <v>171</v>
      </c>
      <c r="AD191" s="674"/>
      <c r="AE191" s="674"/>
      <c r="AF191" s="674"/>
      <c r="AG191" s="674"/>
      <c r="AH191" s="674"/>
      <c r="AI191" s="674"/>
    </row>
    <row r="192" s="6" customFormat="1" ht="32" customHeight="1" spans="1:35">
      <c r="A192" s="674"/>
      <c r="B192" s="675"/>
      <c r="C192" s="676"/>
      <c r="D192" s="667"/>
      <c r="E192" s="686"/>
      <c r="F192" s="686"/>
      <c r="G192" s="674"/>
      <c r="H192" s="686"/>
      <c r="I192" s="674"/>
      <c r="J192" s="674"/>
      <c r="K192" s="726"/>
      <c r="L192" s="727" t="s">
        <v>25</v>
      </c>
      <c r="M192" s="794">
        <v>4</v>
      </c>
      <c r="N192" s="794" t="s">
        <v>4907</v>
      </c>
      <c r="O192" s="795">
        <v>0.05</v>
      </c>
      <c r="P192" s="796">
        <f>7657808*O192</f>
        <v>382890.4</v>
      </c>
      <c r="Q192" s="857">
        <f>7657808*0.03</f>
        <v>229734.24</v>
      </c>
      <c r="R192" s="127" t="s">
        <v>4603</v>
      </c>
      <c r="S192" s="858">
        <v>44908</v>
      </c>
      <c r="T192" s="857">
        <f>7657808*0.03</f>
        <v>229734.24</v>
      </c>
      <c r="U192" s="858">
        <v>44897</v>
      </c>
      <c r="V192" s="674">
        <v>229734.24</v>
      </c>
      <c r="W192" s="901">
        <v>45407</v>
      </c>
      <c r="X192" s="902">
        <v>229734.24</v>
      </c>
      <c r="Y192" s="858">
        <v>45410</v>
      </c>
      <c r="Z192" s="674">
        <f t="shared" si="10"/>
        <v>0</v>
      </c>
      <c r="AA192" s="953" t="s">
        <v>4908</v>
      </c>
      <c r="AB192" s="674"/>
      <c r="AC192" s="674"/>
      <c r="AD192" s="674"/>
      <c r="AE192" s="674"/>
      <c r="AF192" s="674"/>
      <c r="AG192" s="674"/>
      <c r="AH192" s="674"/>
      <c r="AI192" s="674"/>
    </row>
    <row r="193" s="6" customFormat="1" ht="55.85" customHeight="1" spans="1:35">
      <c r="A193" s="667"/>
      <c r="B193" s="672"/>
      <c r="C193" s="673"/>
      <c r="D193" s="667"/>
      <c r="E193" s="328"/>
      <c r="F193" s="685"/>
      <c r="G193" s="667"/>
      <c r="H193" s="685"/>
      <c r="I193" s="667"/>
      <c r="J193" s="667"/>
      <c r="K193" s="725"/>
      <c r="L193" s="316"/>
      <c r="M193" s="722"/>
      <c r="N193" s="785"/>
      <c r="O193" s="995"/>
      <c r="P193" s="723"/>
      <c r="Q193" s="1015">
        <f>K189*0.02</f>
        <v>153156.16</v>
      </c>
      <c r="R193" s="127" t="s">
        <v>4603</v>
      </c>
      <c r="S193" s="858">
        <v>45407</v>
      </c>
      <c r="T193" s="859">
        <v>153156.16</v>
      </c>
      <c r="U193" s="858">
        <v>45407</v>
      </c>
      <c r="V193" s="667">
        <v>153156.16</v>
      </c>
      <c r="W193" s="901">
        <v>45407</v>
      </c>
      <c r="X193" s="992">
        <v>153156.16</v>
      </c>
      <c r="Y193" s="858">
        <v>45410</v>
      </c>
      <c r="Z193" s="667">
        <f t="shared" si="10"/>
        <v>0</v>
      </c>
      <c r="AA193" s="950"/>
      <c r="AB193" s="951"/>
      <c r="AC193" s="951"/>
      <c r="AD193" s="667"/>
      <c r="AE193" s="667"/>
      <c r="AF193" s="667"/>
      <c r="AG193" s="667"/>
      <c r="AH193" s="667"/>
      <c r="AI193" s="667"/>
    </row>
    <row r="194" s="6" customFormat="1" ht="32" customHeight="1" spans="1:35">
      <c r="A194" s="972" t="s">
        <v>2570</v>
      </c>
      <c r="B194" s="973">
        <v>43413</v>
      </c>
      <c r="C194" s="974" t="s">
        <v>4899</v>
      </c>
      <c r="D194" s="667" t="s">
        <v>113</v>
      </c>
      <c r="E194" s="706" t="s">
        <v>4909</v>
      </c>
      <c r="F194" s="794" t="s">
        <v>4910</v>
      </c>
      <c r="G194" s="972" t="s">
        <v>3723</v>
      </c>
      <c r="H194" s="794" t="s">
        <v>4911</v>
      </c>
      <c r="I194" s="972"/>
      <c r="J194" s="972"/>
      <c r="K194" s="796">
        <v>3250000</v>
      </c>
      <c r="L194" s="96" t="s">
        <v>25</v>
      </c>
      <c r="M194" s="667" t="s">
        <v>2703</v>
      </c>
      <c r="N194" s="787" t="s">
        <v>123</v>
      </c>
      <c r="O194" s="996">
        <v>0.1</v>
      </c>
      <c r="P194" s="725">
        <f t="shared" ref="P194:P201" si="11">3250000*O194</f>
        <v>325000</v>
      </c>
      <c r="Q194" s="725">
        <v>325000</v>
      </c>
      <c r="R194" s="667" t="s">
        <v>206</v>
      </c>
      <c r="S194" s="672">
        <v>43433</v>
      </c>
      <c r="T194" s="667" t="s">
        <v>171</v>
      </c>
      <c r="U194" s="667" t="s">
        <v>171</v>
      </c>
      <c r="V194" s="667">
        <v>325000</v>
      </c>
      <c r="W194" s="672">
        <v>43433</v>
      </c>
      <c r="X194" s="949">
        <v>325000</v>
      </c>
      <c r="Y194" s="672">
        <v>43463</v>
      </c>
      <c r="Z194" s="667">
        <f t="shared" si="10"/>
        <v>0</v>
      </c>
      <c r="AA194" s="950"/>
      <c r="AB194" s="667" t="s">
        <v>171</v>
      </c>
      <c r="AC194" s="667" t="s">
        <v>171</v>
      </c>
      <c r="AD194" s="667">
        <f>SUM(Q194:Q203)</f>
        <v>3227912.62</v>
      </c>
      <c r="AE194" s="667">
        <f>SUM(V194:V203)</f>
        <v>3221601.94</v>
      </c>
      <c r="AF194" s="667">
        <f>SUM(X194:X203)</f>
        <v>3221601.94</v>
      </c>
      <c r="AG194" s="667">
        <f>K194-AD194</f>
        <v>22087.3799999999</v>
      </c>
      <c r="AH194" s="667" t="s">
        <v>247</v>
      </c>
      <c r="AI194" s="667" t="s">
        <v>154</v>
      </c>
    </row>
    <row r="195" s="6" customFormat="1" ht="45" customHeight="1" spans="1:35">
      <c r="A195" s="975"/>
      <c r="B195" s="976"/>
      <c r="C195" s="977"/>
      <c r="D195" s="667"/>
      <c r="E195" s="650"/>
      <c r="F195" s="987"/>
      <c r="G195" s="975"/>
      <c r="H195" s="987"/>
      <c r="I195" s="975"/>
      <c r="J195" s="975"/>
      <c r="K195" s="988"/>
      <c r="L195" s="96" t="s">
        <v>25</v>
      </c>
      <c r="M195" s="667" t="s">
        <v>2704</v>
      </c>
      <c r="N195" s="997" t="s">
        <v>4912</v>
      </c>
      <c r="O195" s="996">
        <v>0.1</v>
      </c>
      <c r="P195" s="725">
        <f t="shared" si="11"/>
        <v>325000</v>
      </c>
      <c r="Q195" s="796">
        <v>812500</v>
      </c>
      <c r="R195" s="972" t="s">
        <v>4603</v>
      </c>
      <c r="S195" s="973">
        <v>43633</v>
      </c>
      <c r="T195" s="972">
        <v>812500</v>
      </c>
      <c r="U195" s="973">
        <v>43703</v>
      </c>
      <c r="V195" s="972">
        <v>812500</v>
      </c>
      <c r="W195" s="973">
        <v>43580</v>
      </c>
      <c r="X195" s="949">
        <v>400000</v>
      </c>
      <c r="Y195" s="672">
        <v>43628</v>
      </c>
      <c r="Z195" s="667" t="s">
        <v>171</v>
      </c>
      <c r="AA195" s="950" t="s">
        <v>4913</v>
      </c>
      <c r="AB195" s="667" t="s">
        <v>171</v>
      </c>
      <c r="AC195" s="667" t="s">
        <v>171</v>
      </c>
      <c r="AD195" s="667"/>
      <c r="AE195" s="667"/>
      <c r="AF195" s="667"/>
      <c r="AG195" s="667"/>
      <c r="AH195" s="667"/>
      <c r="AI195" s="667"/>
    </row>
    <row r="196" s="6" customFormat="1" ht="44.25" customHeight="1" spans="1:35">
      <c r="A196" s="975"/>
      <c r="B196" s="976"/>
      <c r="C196" s="977"/>
      <c r="D196" s="667"/>
      <c r="E196" s="650"/>
      <c r="F196" s="987"/>
      <c r="G196" s="975"/>
      <c r="H196" s="987"/>
      <c r="I196" s="975"/>
      <c r="J196" s="975"/>
      <c r="K196" s="988"/>
      <c r="L196" s="96" t="s">
        <v>25</v>
      </c>
      <c r="M196" s="667" t="s">
        <v>2707</v>
      </c>
      <c r="N196" s="997" t="s">
        <v>2705</v>
      </c>
      <c r="O196" s="996">
        <v>0.15</v>
      </c>
      <c r="P196" s="725">
        <f t="shared" si="11"/>
        <v>487500</v>
      </c>
      <c r="Q196" s="723"/>
      <c r="R196" s="663"/>
      <c r="S196" s="980"/>
      <c r="T196" s="663"/>
      <c r="U196" s="980"/>
      <c r="V196" s="663"/>
      <c r="W196" s="980"/>
      <c r="X196" s="949">
        <v>412500</v>
      </c>
      <c r="Y196" s="672">
        <v>43664</v>
      </c>
      <c r="Z196" s="667">
        <f>Q195+Q196-X195-X196</f>
        <v>0</v>
      </c>
      <c r="AA196" s="950" t="s">
        <v>4914</v>
      </c>
      <c r="AB196" s="667" t="s">
        <v>171</v>
      </c>
      <c r="AC196" s="667" t="s">
        <v>171</v>
      </c>
      <c r="AD196" s="667"/>
      <c r="AE196" s="667"/>
      <c r="AF196" s="667"/>
      <c r="AG196" s="667"/>
      <c r="AH196" s="667"/>
      <c r="AI196" s="667"/>
    </row>
    <row r="197" s="6" customFormat="1" ht="32" customHeight="1" spans="1:35">
      <c r="A197" s="975"/>
      <c r="B197" s="976"/>
      <c r="C197" s="977"/>
      <c r="D197" s="667"/>
      <c r="E197" s="650"/>
      <c r="F197" s="987"/>
      <c r="G197" s="975"/>
      <c r="H197" s="987"/>
      <c r="I197" s="975"/>
      <c r="J197" s="975"/>
      <c r="K197" s="988"/>
      <c r="L197" s="96" t="s">
        <v>25</v>
      </c>
      <c r="M197" s="667" t="s">
        <v>2709</v>
      </c>
      <c r="N197" s="997" t="s">
        <v>2708</v>
      </c>
      <c r="O197" s="996">
        <v>0.15</v>
      </c>
      <c r="P197" s="725">
        <f t="shared" si="11"/>
        <v>487500</v>
      </c>
      <c r="Q197" s="725">
        <v>487500</v>
      </c>
      <c r="R197" s="667" t="s">
        <v>4603</v>
      </c>
      <c r="S197" s="672">
        <v>43675</v>
      </c>
      <c r="T197" s="667">
        <v>487500</v>
      </c>
      <c r="U197" s="672">
        <v>43675</v>
      </c>
      <c r="V197" s="667">
        <v>487500</v>
      </c>
      <c r="W197" s="672">
        <v>43816</v>
      </c>
      <c r="X197" s="667">
        <v>487500</v>
      </c>
      <c r="Y197" s="672">
        <v>43822</v>
      </c>
      <c r="Z197" s="667">
        <f t="shared" ref="Z197:Z202" si="12">Q197-X197</f>
        <v>0</v>
      </c>
      <c r="AA197" s="950"/>
      <c r="AB197" s="667" t="s">
        <v>171</v>
      </c>
      <c r="AC197" s="667" t="s">
        <v>171</v>
      </c>
      <c r="AD197" s="667"/>
      <c r="AE197" s="667"/>
      <c r="AF197" s="667"/>
      <c r="AG197" s="667"/>
      <c r="AH197" s="667"/>
      <c r="AI197" s="667"/>
    </row>
    <row r="198" s="6" customFormat="1" ht="32" customHeight="1" spans="1:35">
      <c r="A198" s="975"/>
      <c r="B198" s="976"/>
      <c r="C198" s="977"/>
      <c r="D198" s="667"/>
      <c r="E198" s="650"/>
      <c r="F198" s="987"/>
      <c r="G198" s="975"/>
      <c r="H198" s="987"/>
      <c r="I198" s="975"/>
      <c r="J198" s="975"/>
      <c r="K198" s="988"/>
      <c r="L198" s="96" t="s">
        <v>25</v>
      </c>
      <c r="M198" s="667" t="s">
        <v>2712</v>
      </c>
      <c r="N198" s="997" t="s">
        <v>2710</v>
      </c>
      <c r="O198" s="996">
        <v>0.05</v>
      </c>
      <c r="P198" s="725">
        <f t="shared" si="11"/>
        <v>162500</v>
      </c>
      <c r="Q198" s="725">
        <v>162500</v>
      </c>
      <c r="R198" s="667" t="s">
        <v>4603</v>
      </c>
      <c r="S198" s="672">
        <v>43675</v>
      </c>
      <c r="T198" s="667">
        <v>162500</v>
      </c>
      <c r="U198" s="672">
        <v>43675</v>
      </c>
      <c r="V198" s="667">
        <v>162500</v>
      </c>
      <c r="W198" s="672">
        <v>43847</v>
      </c>
      <c r="X198" s="949">
        <v>162500</v>
      </c>
      <c r="Y198" s="672">
        <v>43913</v>
      </c>
      <c r="Z198" s="667">
        <f t="shared" si="12"/>
        <v>0</v>
      </c>
      <c r="AA198" s="950"/>
      <c r="AB198" s="667" t="s">
        <v>171</v>
      </c>
      <c r="AC198" s="667" t="s">
        <v>171</v>
      </c>
      <c r="AD198" s="667"/>
      <c r="AE198" s="667"/>
      <c r="AF198" s="667"/>
      <c r="AG198" s="667"/>
      <c r="AH198" s="667"/>
      <c r="AI198" s="667"/>
    </row>
    <row r="199" s="6" customFormat="1" ht="32" customHeight="1" spans="1:35">
      <c r="A199" s="975"/>
      <c r="B199" s="976"/>
      <c r="C199" s="977"/>
      <c r="D199" s="667"/>
      <c r="E199" s="650"/>
      <c r="F199" s="987"/>
      <c r="G199" s="975"/>
      <c r="H199" s="987"/>
      <c r="I199" s="975"/>
      <c r="J199" s="975"/>
      <c r="K199" s="988"/>
      <c r="L199" s="96" t="s">
        <v>25</v>
      </c>
      <c r="M199" s="667" t="s">
        <v>2714</v>
      </c>
      <c r="N199" s="997" t="s">
        <v>4915</v>
      </c>
      <c r="O199" s="996">
        <v>0.1</v>
      </c>
      <c r="P199" s="725">
        <f t="shared" si="11"/>
        <v>325000</v>
      </c>
      <c r="Q199" s="1016">
        <v>325000</v>
      </c>
      <c r="R199" s="667" t="s">
        <v>4603</v>
      </c>
      <c r="S199" s="672">
        <v>43675</v>
      </c>
      <c r="T199" s="667">
        <v>325000</v>
      </c>
      <c r="U199" s="672">
        <v>43675</v>
      </c>
      <c r="V199" s="667">
        <v>318689.32</v>
      </c>
      <c r="W199" s="672">
        <v>43931</v>
      </c>
      <c r="X199" s="949">
        <v>318689.32</v>
      </c>
      <c r="Y199" s="1023">
        <v>43947</v>
      </c>
      <c r="Z199" s="667">
        <f t="shared" si="12"/>
        <v>6310.67999999999</v>
      </c>
      <c r="AA199" s="950" t="s">
        <v>4916</v>
      </c>
      <c r="AB199" s="667" t="s">
        <v>171</v>
      </c>
      <c r="AC199" s="667" t="s">
        <v>171</v>
      </c>
      <c r="AD199" s="667"/>
      <c r="AE199" s="667"/>
      <c r="AF199" s="667"/>
      <c r="AG199" s="667"/>
      <c r="AH199" s="667"/>
      <c r="AI199" s="667"/>
    </row>
    <row r="200" s="6" customFormat="1" ht="32" customHeight="1" spans="1:35">
      <c r="A200" s="883"/>
      <c r="B200" s="978"/>
      <c r="C200" s="979"/>
      <c r="D200" s="667"/>
      <c r="E200" s="650"/>
      <c r="F200" s="650"/>
      <c r="G200" s="883"/>
      <c r="H200" s="650"/>
      <c r="I200" s="883"/>
      <c r="J200" s="883"/>
      <c r="K200" s="710"/>
      <c r="L200" s="96" t="s">
        <v>25</v>
      </c>
      <c r="M200" s="674" t="s">
        <v>2716</v>
      </c>
      <c r="N200" s="998" t="s">
        <v>2713</v>
      </c>
      <c r="O200" s="999">
        <v>0.15</v>
      </c>
      <c r="P200" s="726">
        <f t="shared" si="11"/>
        <v>487500</v>
      </c>
      <c r="Q200" s="1017">
        <v>478033.98</v>
      </c>
      <c r="R200" s="674" t="s">
        <v>206</v>
      </c>
      <c r="S200" s="675">
        <v>43979</v>
      </c>
      <c r="T200" s="674" t="s">
        <v>171</v>
      </c>
      <c r="U200" s="674" t="s">
        <v>171</v>
      </c>
      <c r="V200" s="674">
        <f>Q200</f>
        <v>478033.98</v>
      </c>
      <c r="W200" s="675">
        <v>43977</v>
      </c>
      <c r="X200" s="1036">
        <v>478033.98</v>
      </c>
      <c r="Y200" s="675">
        <v>43987</v>
      </c>
      <c r="Z200" s="674">
        <f t="shared" si="12"/>
        <v>0</v>
      </c>
      <c r="AA200" s="952" t="s">
        <v>4917</v>
      </c>
      <c r="AB200" s="674" t="s">
        <v>171</v>
      </c>
      <c r="AC200" s="674" t="s">
        <v>171</v>
      </c>
      <c r="AD200" s="674"/>
      <c r="AE200" s="674"/>
      <c r="AF200" s="674"/>
      <c r="AG200" s="674"/>
      <c r="AH200" s="674"/>
      <c r="AI200" s="674"/>
    </row>
    <row r="201" s="6" customFormat="1" ht="32" customHeight="1" spans="1:35">
      <c r="A201" s="975"/>
      <c r="B201" s="976"/>
      <c r="C201" s="977"/>
      <c r="D201" s="972"/>
      <c r="E201" s="650"/>
      <c r="F201" s="987"/>
      <c r="G201" s="975"/>
      <c r="H201" s="987"/>
      <c r="I201" s="975"/>
      <c r="J201" s="975"/>
      <c r="K201" s="988"/>
      <c r="L201" s="149" t="s">
        <v>25</v>
      </c>
      <c r="M201" s="972" t="s">
        <v>2823</v>
      </c>
      <c r="N201" s="1000" t="s">
        <v>2715</v>
      </c>
      <c r="O201" s="1001">
        <v>0.15</v>
      </c>
      <c r="P201" s="796">
        <f t="shared" si="11"/>
        <v>487500</v>
      </c>
      <c r="Q201" s="1018">
        <v>478033.98</v>
      </c>
      <c r="R201" s="1019" t="s">
        <v>4603</v>
      </c>
      <c r="S201" s="1020">
        <v>44182</v>
      </c>
      <c r="T201" s="1002">
        <v>478033.98</v>
      </c>
      <c r="U201" s="1020">
        <v>44195</v>
      </c>
      <c r="V201" s="667">
        <v>318689.32</v>
      </c>
      <c r="W201" s="1020">
        <v>44182</v>
      </c>
      <c r="X201" s="949">
        <v>318689.32</v>
      </c>
      <c r="Y201" s="675">
        <v>44434</v>
      </c>
      <c r="Z201" s="674">
        <f t="shared" si="12"/>
        <v>159344.66</v>
      </c>
      <c r="AA201" s="1053" t="s">
        <v>4918</v>
      </c>
      <c r="AB201" s="951"/>
      <c r="AC201" s="951"/>
      <c r="AD201" s="667"/>
      <c r="AE201" s="667"/>
      <c r="AF201" s="667"/>
      <c r="AG201" s="667"/>
      <c r="AH201" s="667"/>
      <c r="AI201" s="667"/>
    </row>
    <row r="202" s="6" customFormat="1" ht="92.25" customHeight="1" spans="1:35">
      <c r="A202" s="975"/>
      <c r="B202" s="976"/>
      <c r="C202" s="977"/>
      <c r="D202" s="667"/>
      <c r="E202" s="650"/>
      <c r="F202" s="987"/>
      <c r="G202" s="975"/>
      <c r="H202" s="987"/>
      <c r="I202" s="975"/>
      <c r="J202" s="975"/>
      <c r="K202" s="988"/>
      <c r="L202" s="96"/>
      <c r="M202" s="663"/>
      <c r="N202" s="722"/>
      <c r="O202" s="995"/>
      <c r="P202" s="723"/>
      <c r="Q202" s="1021"/>
      <c r="R202" s="1022"/>
      <c r="S202" s="1023"/>
      <c r="T202" s="1024"/>
      <c r="U202" s="1037"/>
      <c r="V202" s="667">
        <v>159344.66</v>
      </c>
      <c r="W202" s="1020">
        <v>44182</v>
      </c>
      <c r="X202" s="859">
        <v>159344.66</v>
      </c>
      <c r="Y202" s="1023">
        <v>44666</v>
      </c>
      <c r="Z202" s="674">
        <f t="shared" si="12"/>
        <v>-159344.66</v>
      </c>
      <c r="AA202" s="1053" t="s">
        <v>4919</v>
      </c>
      <c r="AB202" s="951"/>
      <c r="AC202" s="951"/>
      <c r="AD202" s="667"/>
      <c r="AE202" s="667"/>
      <c r="AF202" s="667"/>
      <c r="AG202" s="667"/>
      <c r="AH202" s="667"/>
      <c r="AI202" s="667"/>
    </row>
    <row r="203" s="6" customFormat="1" ht="32" customHeight="1" spans="1:35">
      <c r="A203" s="975"/>
      <c r="B203" s="976"/>
      <c r="C203" s="977"/>
      <c r="D203" s="667"/>
      <c r="E203" s="650"/>
      <c r="F203" s="987"/>
      <c r="G203" s="975"/>
      <c r="H203" s="987"/>
      <c r="I203" s="975"/>
      <c r="J203" s="975"/>
      <c r="K203" s="988"/>
      <c r="L203" s="149" t="s">
        <v>25</v>
      </c>
      <c r="M203" s="972" t="s">
        <v>2826</v>
      </c>
      <c r="N203" s="1000" t="s">
        <v>2717</v>
      </c>
      <c r="O203" s="1001">
        <v>0.05</v>
      </c>
      <c r="P203" s="796">
        <f>3250000*O203</f>
        <v>162500</v>
      </c>
      <c r="Q203" s="857">
        <v>159344.66</v>
      </c>
      <c r="R203" s="127" t="s">
        <v>4603</v>
      </c>
      <c r="S203" s="858">
        <v>44897</v>
      </c>
      <c r="T203" s="859">
        <v>159344.66</v>
      </c>
      <c r="U203" s="896">
        <v>44897</v>
      </c>
      <c r="V203" s="857">
        <v>159344.66</v>
      </c>
      <c r="W203" s="1023">
        <v>45525</v>
      </c>
      <c r="X203" s="857">
        <v>159344.66</v>
      </c>
      <c r="Y203" s="897">
        <v>45565</v>
      </c>
      <c r="Z203" s="667"/>
      <c r="AA203" s="950"/>
      <c r="AB203" s="951"/>
      <c r="AC203" s="951"/>
      <c r="AD203" s="667"/>
      <c r="AE203" s="667"/>
      <c r="AF203" s="667"/>
      <c r="AG203" s="667"/>
      <c r="AH203" s="667"/>
      <c r="AI203" s="667"/>
    </row>
    <row r="204" s="6" customFormat="1" ht="32" customHeight="1" spans="1:35">
      <c r="A204" s="972" t="s">
        <v>2570</v>
      </c>
      <c r="B204" s="973">
        <v>43238</v>
      </c>
      <c r="C204" s="974" t="s">
        <v>4920</v>
      </c>
      <c r="D204" s="667" t="s">
        <v>113</v>
      </c>
      <c r="E204" s="706" t="s">
        <v>4921</v>
      </c>
      <c r="F204" s="794" t="s">
        <v>4922</v>
      </c>
      <c r="G204" s="972" t="s">
        <v>240</v>
      </c>
      <c r="H204" s="794" t="s">
        <v>4898</v>
      </c>
      <c r="I204" s="972">
        <v>196709</v>
      </c>
      <c r="J204" s="794" t="s">
        <v>2631</v>
      </c>
      <c r="K204" s="796">
        <v>4308177.2</v>
      </c>
      <c r="L204" s="667" t="s">
        <v>25</v>
      </c>
      <c r="M204" s="667">
        <v>1</v>
      </c>
      <c r="N204" s="997" t="s">
        <v>4892</v>
      </c>
      <c r="O204" s="790">
        <v>0.2</v>
      </c>
      <c r="P204" s="725">
        <f>4308177.2*O204</f>
        <v>861635.44</v>
      </c>
      <c r="Q204" s="725">
        <v>861635.44</v>
      </c>
      <c r="R204" s="667" t="s">
        <v>206</v>
      </c>
      <c r="S204" s="672">
        <v>43270</v>
      </c>
      <c r="T204" s="667"/>
      <c r="U204" s="667"/>
      <c r="V204" s="667">
        <v>861635.44</v>
      </c>
      <c r="W204" s="899">
        <v>43270</v>
      </c>
      <c r="X204" s="667">
        <v>861635.44</v>
      </c>
      <c r="Y204" s="899">
        <v>43301</v>
      </c>
      <c r="Z204" s="667">
        <f>Q204-X204</f>
        <v>0</v>
      </c>
      <c r="AA204" s="950"/>
      <c r="AB204" s="667" t="s">
        <v>171</v>
      </c>
      <c r="AC204" s="667" t="s">
        <v>171</v>
      </c>
      <c r="AD204" s="667">
        <f>SUM(Q204:Q208)</f>
        <v>4256831.44</v>
      </c>
      <c r="AE204" s="667">
        <f>SUM(V204:V208)</f>
        <v>4256831.44</v>
      </c>
      <c r="AF204" s="667">
        <f>SUM(X204:X208)</f>
        <v>4256831.44</v>
      </c>
      <c r="AG204" s="96">
        <f>4256831.44-AD204</f>
        <v>0</v>
      </c>
      <c r="AH204" s="667"/>
      <c r="AI204" s="667"/>
    </row>
    <row r="205" s="6" customFormat="1" ht="32" customHeight="1" spans="1:35">
      <c r="A205" s="975"/>
      <c r="B205" s="976"/>
      <c r="C205" s="977"/>
      <c r="D205" s="667"/>
      <c r="E205" s="650"/>
      <c r="F205" s="987"/>
      <c r="G205" s="975"/>
      <c r="H205" s="987"/>
      <c r="I205" s="975"/>
      <c r="J205" s="987"/>
      <c r="K205" s="988"/>
      <c r="L205" s="667"/>
      <c r="M205" s="667">
        <v>2</v>
      </c>
      <c r="N205" s="997" t="s">
        <v>4893</v>
      </c>
      <c r="O205" s="790">
        <v>0.3</v>
      </c>
      <c r="P205" s="725">
        <f>4308177.2*O205</f>
        <v>1292453.16</v>
      </c>
      <c r="Q205" s="725">
        <v>1292453.16</v>
      </c>
      <c r="R205" s="667" t="s">
        <v>206</v>
      </c>
      <c r="S205" s="672">
        <v>43342</v>
      </c>
      <c r="T205" s="667"/>
      <c r="U205" s="667"/>
      <c r="V205" s="667">
        <v>1292453.16</v>
      </c>
      <c r="W205" s="899">
        <v>43342</v>
      </c>
      <c r="X205" s="667">
        <v>1292453.16</v>
      </c>
      <c r="Y205" s="899">
        <v>43354</v>
      </c>
      <c r="Z205" s="667">
        <f>Q205-X205</f>
        <v>0</v>
      </c>
      <c r="AA205" s="950"/>
      <c r="AB205" s="667" t="s">
        <v>171</v>
      </c>
      <c r="AC205" s="667" t="s">
        <v>171</v>
      </c>
      <c r="AD205" s="667"/>
      <c r="AE205" s="667"/>
      <c r="AF205" s="667"/>
      <c r="AG205" s="96"/>
      <c r="AH205" s="667"/>
      <c r="AI205" s="667"/>
    </row>
    <row r="206" s="6" customFormat="1" ht="43.35" customHeight="1" spans="1:35">
      <c r="A206" s="975"/>
      <c r="B206" s="976"/>
      <c r="C206" s="977"/>
      <c r="D206" s="667"/>
      <c r="E206" s="650"/>
      <c r="F206" s="987"/>
      <c r="G206" s="975"/>
      <c r="H206" s="987"/>
      <c r="I206" s="975"/>
      <c r="J206" s="987"/>
      <c r="K206" s="988"/>
      <c r="L206" s="667"/>
      <c r="M206" s="667">
        <v>3</v>
      </c>
      <c r="N206" s="997" t="s">
        <v>4923</v>
      </c>
      <c r="O206" s="790">
        <v>0.25</v>
      </c>
      <c r="P206" s="725">
        <f>4308177.2*O206</f>
        <v>1077044.3</v>
      </c>
      <c r="Q206" s="725">
        <v>1077044.3</v>
      </c>
      <c r="R206" s="667" t="s">
        <v>4603</v>
      </c>
      <c r="S206" s="672">
        <v>43358</v>
      </c>
      <c r="T206" s="667">
        <v>1077044.3</v>
      </c>
      <c r="U206" s="899">
        <v>43358</v>
      </c>
      <c r="V206" s="667">
        <v>1077044.3</v>
      </c>
      <c r="W206" s="899">
        <v>43373</v>
      </c>
      <c r="X206" s="667">
        <v>1077044.3</v>
      </c>
      <c r="Y206" s="899">
        <v>43384</v>
      </c>
      <c r="Z206" s="667">
        <f>Q206-X206</f>
        <v>0</v>
      </c>
      <c r="AA206" s="950"/>
      <c r="AB206" s="667" t="s">
        <v>171</v>
      </c>
      <c r="AC206" s="667" t="s">
        <v>171</v>
      </c>
      <c r="AD206" s="667"/>
      <c r="AE206" s="667"/>
      <c r="AF206" s="667"/>
      <c r="AG206" s="96"/>
      <c r="AH206" s="667"/>
      <c r="AI206" s="667"/>
    </row>
    <row r="207" s="6" customFormat="1" ht="46" spans="1:35">
      <c r="A207" s="975"/>
      <c r="B207" s="976"/>
      <c r="C207" s="977"/>
      <c r="D207" s="667"/>
      <c r="E207" s="650"/>
      <c r="F207" s="987"/>
      <c r="G207" s="975"/>
      <c r="H207" s="987"/>
      <c r="I207" s="975"/>
      <c r="J207" s="987"/>
      <c r="K207" s="988"/>
      <c r="L207" s="667"/>
      <c r="M207" s="667">
        <v>4</v>
      </c>
      <c r="N207" s="997" t="s">
        <v>4906</v>
      </c>
      <c r="O207" s="790">
        <v>0.2</v>
      </c>
      <c r="P207" s="725">
        <f>4308177.2*O207</f>
        <v>861635.44</v>
      </c>
      <c r="Q207" s="725">
        <v>812856.97</v>
      </c>
      <c r="R207" s="667" t="s">
        <v>4603</v>
      </c>
      <c r="S207" s="672">
        <v>43633</v>
      </c>
      <c r="T207" s="667">
        <v>812856.97</v>
      </c>
      <c r="U207" s="899">
        <v>43633</v>
      </c>
      <c r="V207" s="667">
        <v>812856.97</v>
      </c>
      <c r="W207" s="899">
        <v>43647</v>
      </c>
      <c r="X207" s="667">
        <v>812856.97</v>
      </c>
      <c r="Y207" s="899">
        <v>43669</v>
      </c>
      <c r="Z207" s="667">
        <f>Q207-X207</f>
        <v>0</v>
      </c>
      <c r="AA207" s="950" t="s">
        <v>4924</v>
      </c>
      <c r="AB207" s="667" t="s">
        <v>171</v>
      </c>
      <c r="AC207" s="667" t="s">
        <v>171</v>
      </c>
      <c r="AD207" s="667"/>
      <c r="AE207" s="667"/>
      <c r="AF207" s="667"/>
      <c r="AG207" s="96"/>
      <c r="AH207" s="667"/>
      <c r="AI207" s="667"/>
    </row>
    <row r="208" s="6" customFormat="1" ht="46" spans="1:35">
      <c r="A208" s="975"/>
      <c r="B208" s="976"/>
      <c r="C208" s="977"/>
      <c r="D208" s="667"/>
      <c r="E208" s="650"/>
      <c r="F208" s="987"/>
      <c r="G208" s="975"/>
      <c r="H208" s="987"/>
      <c r="I208" s="975"/>
      <c r="J208" s="987"/>
      <c r="K208" s="988"/>
      <c r="L208" s="667"/>
      <c r="M208" s="972">
        <v>5</v>
      </c>
      <c r="N208" s="1000" t="s">
        <v>4925</v>
      </c>
      <c r="O208" s="795">
        <v>0.05</v>
      </c>
      <c r="P208" s="1002">
        <f>4308177.2*O208</f>
        <v>215408.86</v>
      </c>
      <c r="Q208" s="859">
        <f>4256831.44-Q204-Q205-Q206-Q207</f>
        <v>212841.570000001</v>
      </c>
      <c r="R208" s="992" t="s">
        <v>4603</v>
      </c>
      <c r="S208" s="1023">
        <v>44190</v>
      </c>
      <c r="T208" s="992">
        <f>Q208</f>
        <v>212841.570000001</v>
      </c>
      <c r="U208" s="1023">
        <v>44190</v>
      </c>
      <c r="V208" s="992">
        <v>212841.570000001</v>
      </c>
      <c r="W208" s="897">
        <v>45754</v>
      </c>
      <c r="X208" s="1038">
        <v>212841.570000001</v>
      </c>
      <c r="Y208" s="897">
        <v>45805</v>
      </c>
      <c r="Z208" s="1054"/>
      <c r="AA208" s="1055"/>
      <c r="AB208" s="951"/>
      <c r="AC208" s="951"/>
      <c r="AD208" s="667"/>
      <c r="AE208" s="667"/>
      <c r="AF208" s="667"/>
      <c r="AG208" s="96"/>
      <c r="AH208" s="667"/>
      <c r="AI208" s="667"/>
    </row>
    <row r="209" s="6" customFormat="1" ht="32" customHeight="1" spans="1:35">
      <c r="A209" s="972" t="s">
        <v>2570</v>
      </c>
      <c r="B209" s="973">
        <v>43330</v>
      </c>
      <c r="C209" s="974" t="s">
        <v>4926</v>
      </c>
      <c r="D209" s="667" t="s">
        <v>113</v>
      </c>
      <c r="E209" s="706" t="s">
        <v>4927</v>
      </c>
      <c r="F209" s="794" t="s">
        <v>4928</v>
      </c>
      <c r="G209" s="972" t="s">
        <v>240</v>
      </c>
      <c r="H209" s="794" t="s">
        <v>4929</v>
      </c>
      <c r="I209" s="972">
        <v>314055.54</v>
      </c>
      <c r="J209" s="794" t="s">
        <v>2644</v>
      </c>
      <c r="K209" s="796">
        <v>5772915.49</v>
      </c>
      <c r="L209" s="989" t="s">
        <v>25</v>
      </c>
      <c r="M209" s="972">
        <v>1</v>
      </c>
      <c r="N209" s="794" t="s">
        <v>4930</v>
      </c>
      <c r="O209" s="795">
        <v>0.2</v>
      </c>
      <c r="P209" s="796">
        <f>5772915.49*O209</f>
        <v>1154583.098</v>
      </c>
      <c r="Q209" s="796">
        <v>1154583</v>
      </c>
      <c r="R209" s="972" t="s">
        <v>4603</v>
      </c>
      <c r="S209" s="973">
        <v>43633</v>
      </c>
      <c r="T209" s="796">
        <v>1154583</v>
      </c>
      <c r="U209" s="1039">
        <v>43633</v>
      </c>
      <c r="V209" s="796">
        <v>1154583</v>
      </c>
      <c r="W209" s="1039">
        <v>43840</v>
      </c>
      <c r="X209" s="725">
        <f>V209-X210</f>
        <v>604583</v>
      </c>
      <c r="Y209" s="899">
        <v>43845</v>
      </c>
      <c r="Z209" s="1056">
        <f>Q209-X209-X210</f>
        <v>0</v>
      </c>
      <c r="AA209" s="685" t="s">
        <v>4931</v>
      </c>
      <c r="AB209" s="667" t="s">
        <v>171</v>
      </c>
      <c r="AC209" s="667" t="s">
        <v>171</v>
      </c>
      <c r="AD209" s="725">
        <f>SUM(Q209:Q217)</f>
        <v>5772915.392</v>
      </c>
      <c r="AE209" s="725">
        <f>SUM(V209:V217)</f>
        <v>6072915.4875</v>
      </c>
      <c r="AF209" s="667">
        <f>SUM(X209:X217)</f>
        <v>6072915.4905</v>
      </c>
      <c r="AG209" s="725">
        <f>K209-AD209</f>
        <v>0.098000000230968</v>
      </c>
      <c r="AH209" s="667"/>
      <c r="AI209" s="667"/>
    </row>
    <row r="210" s="6" customFormat="1" ht="32" customHeight="1" spans="1:35">
      <c r="A210" s="975"/>
      <c r="B210" s="976"/>
      <c r="C210" s="977"/>
      <c r="D210" s="667"/>
      <c r="E210" s="650"/>
      <c r="F210" s="987"/>
      <c r="G210" s="975"/>
      <c r="H210" s="987"/>
      <c r="I210" s="975"/>
      <c r="J210" s="987"/>
      <c r="K210" s="988"/>
      <c r="L210" s="990"/>
      <c r="M210" s="663"/>
      <c r="N210" s="722"/>
      <c r="O210" s="995"/>
      <c r="P210" s="723"/>
      <c r="Q210" s="723"/>
      <c r="R210" s="663"/>
      <c r="S210" s="980"/>
      <c r="T210" s="723"/>
      <c r="U210" s="1040"/>
      <c r="V210" s="723"/>
      <c r="W210" s="1040"/>
      <c r="X210" s="725">
        <v>550000</v>
      </c>
      <c r="Y210" s="899">
        <v>43947</v>
      </c>
      <c r="Z210" s="1056" t="s">
        <v>171</v>
      </c>
      <c r="AA210" s="685"/>
      <c r="AB210" s="667" t="s">
        <v>171</v>
      </c>
      <c r="AC210" s="667" t="s">
        <v>171</v>
      </c>
      <c r="AD210" s="725"/>
      <c r="AE210" s="725"/>
      <c r="AF210" s="667"/>
      <c r="AG210" s="725"/>
      <c r="AH210" s="667"/>
      <c r="AI210" s="667"/>
    </row>
    <row r="211" s="6" customFormat="1" ht="32" customHeight="1" spans="1:35">
      <c r="A211" s="975"/>
      <c r="B211" s="976"/>
      <c r="C211" s="977"/>
      <c r="D211" s="667"/>
      <c r="E211" s="650"/>
      <c r="F211" s="987"/>
      <c r="G211" s="975"/>
      <c r="H211" s="987"/>
      <c r="I211" s="975"/>
      <c r="J211" s="987"/>
      <c r="K211" s="988"/>
      <c r="L211" s="990"/>
      <c r="M211" s="667">
        <v>2</v>
      </c>
      <c r="N211" s="787" t="s">
        <v>4932</v>
      </c>
      <c r="O211" s="790">
        <v>0.2</v>
      </c>
      <c r="P211" s="725">
        <f>5772915.49*O211</f>
        <v>1154583.098</v>
      </c>
      <c r="Q211" s="725">
        <v>1154583.098</v>
      </c>
      <c r="R211" s="667" t="s">
        <v>4603</v>
      </c>
      <c r="S211" s="672">
        <v>43717</v>
      </c>
      <c r="T211" s="725">
        <v>1154583.098</v>
      </c>
      <c r="U211" s="899">
        <v>43717</v>
      </c>
      <c r="V211" s="725">
        <v>1154583.098</v>
      </c>
      <c r="W211" s="899">
        <v>43943</v>
      </c>
      <c r="X211" s="725">
        <v>1154583.098</v>
      </c>
      <c r="Y211" s="899">
        <v>43947</v>
      </c>
      <c r="Z211" s="1056">
        <f>Q211-X211</f>
        <v>0</v>
      </c>
      <c r="AA211" s="950"/>
      <c r="AB211" s="667" t="s">
        <v>171</v>
      </c>
      <c r="AC211" s="667" t="s">
        <v>171</v>
      </c>
      <c r="AD211" s="725"/>
      <c r="AE211" s="725"/>
      <c r="AF211" s="667"/>
      <c r="AG211" s="725"/>
      <c r="AH211" s="667"/>
      <c r="AI211" s="667"/>
    </row>
    <row r="212" s="6" customFormat="1" ht="49.15" customHeight="1" spans="1:35">
      <c r="A212" s="975"/>
      <c r="B212" s="976"/>
      <c r="C212" s="977"/>
      <c r="D212" s="667"/>
      <c r="E212" s="650"/>
      <c r="F212" s="987"/>
      <c r="G212" s="975"/>
      <c r="H212" s="987"/>
      <c r="I212" s="975"/>
      <c r="J212" s="987"/>
      <c r="K212" s="988"/>
      <c r="L212" s="990"/>
      <c r="M212" s="972">
        <v>3</v>
      </c>
      <c r="N212" s="794" t="s">
        <v>4933</v>
      </c>
      <c r="O212" s="795">
        <v>0.3</v>
      </c>
      <c r="P212" s="796">
        <f>5772915.49*O212</f>
        <v>1731874.647</v>
      </c>
      <c r="Q212" s="796">
        <v>1731874.647</v>
      </c>
      <c r="R212" s="972" t="s">
        <v>4603</v>
      </c>
      <c r="S212" s="973">
        <v>43717</v>
      </c>
      <c r="T212" s="796">
        <v>1731874.647</v>
      </c>
      <c r="U212" s="1039">
        <v>43717</v>
      </c>
      <c r="V212" s="796">
        <v>1731874.647</v>
      </c>
      <c r="W212" s="1039">
        <v>43943</v>
      </c>
      <c r="X212" s="667">
        <v>731874.65</v>
      </c>
      <c r="Y212" s="855">
        <v>44011</v>
      </c>
      <c r="Z212" s="1056">
        <v>0</v>
      </c>
      <c r="AA212" s="685" t="s">
        <v>4934</v>
      </c>
      <c r="AB212" s="667" t="s">
        <v>171</v>
      </c>
      <c r="AC212" s="667" t="s">
        <v>171</v>
      </c>
      <c r="AD212" s="725"/>
      <c r="AE212" s="725"/>
      <c r="AF212" s="667"/>
      <c r="AG212" s="725"/>
      <c r="AH212" s="667"/>
      <c r="AI212" s="667"/>
    </row>
    <row r="213" s="6" customFormat="1" ht="32" customHeight="1" spans="1:35">
      <c r="A213" s="975"/>
      <c r="B213" s="976"/>
      <c r="C213" s="977"/>
      <c r="D213" s="667"/>
      <c r="E213" s="650"/>
      <c r="F213" s="987"/>
      <c r="G213" s="975"/>
      <c r="H213" s="987"/>
      <c r="I213" s="975"/>
      <c r="J213" s="987"/>
      <c r="K213" s="988"/>
      <c r="L213" s="990"/>
      <c r="M213" s="663"/>
      <c r="N213" s="722"/>
      <c r="O213" s="995"/>
      <c r="P213" s="723"/>
      <c r="Q213" s="723"/>
      <c r="R213" s="663"/>
      <c r="S213" s="980"/>
      <c r="T213" s="723"/>
      <c r="U213" s="1040"/>
      <c r="V213" s="723"/>
      <c r="W213" s="1040"/>
      <c r="X213" s="667">
        <v>1000000</v>
      </c>
      <c r="Y213" s="855">
        <v>44053</v>
      </c>
      <c r="Z213" s="1056">
        <v>0</v>
      </c>
      <c r="AA213" s="685"/>
      <c r="AB213" s="667" t="s">
        <v>171</v>
      </c>
      <c r="AC213" s="667" t="s">
        <v>171</v>
      </c>
      <c r="AD213" s="725"/>
      <c r="AE213" s="725"/>
      <c r="AF213" s="667"/>
      <c r="AG213" s="725"/>
      <c r="AH213" s="667"/>
      <c r="AI213" s="667"/>
    </row>
    <row r="214" s="6" customFormat="1" ht="52.5" customHeight="1" spans="1:35">
      <c r="A214" s="975"/>
      <c r="B214" s="976"/>
      <c r="C214" s="977"/>
      <c r="D214" s="667"/>
      <c r="E214" s="650"/>
      <c r="F214" s="987"/>
      <c r="G214" s="975"/>
      <c r="H214" s="987"/>
      <c r="I214" s="975"/>
      <c r="J214" s="987"/>
      <c r="K214" s="988"/>
      <c r="L214" s="990"/>
      <c r="M214" s="972">
        <v>4</v>
      </c>
      <c r="N214" s="794" t="s">
        <v>4935</v>
      </c>
      <c r="O214" s="795">
        <v>0.25</v>
      </c>
      <c r="P214" s="796">
        <f>5772915.49*O214</f>
        <v>1443228.8725</v>
      </c>
      <c r="Q214" s="796">
        <v>1443228.8725</v>
      </c>
      <c r="R214" s="972" t="s">
        <v>4603</v>
      </c>
      <c r="S214" s="973">
        <v>43728</v>
      </c>
      <c r="T214" s="1025">
        <v>1443228.8725</v>
      </c>
      <c r="U214" s="1039">
        <v>43728</v>
      </c>
      <c r="V214" s="667">
        <v>783291.2</v>
      </c>
      <c r="W214" s="899">
        <v>44517</v>
      </c>
      <c r="X214" s="667">
        <v>783291.2</v>
      </c>
      <c r="Y214" s="897">
        <v>44526</v>
      </c>
      <c r="Z214" s="1025">
        <f>Q214-X214-X215</f>
        <v>59937.6725000001</v>
      </c>
      <c r="AA214" s="1057" t="s">
        <v>4936</v>
      </c>
      <c r="AB214" s="667" t="s">
        <v>171</v>
      </c>
      <c r="AC214" s="667" t="s">
        <v>171</v>
      </c>
      <c r="AD214" s="725"/>
      <c r="AE214" s="725"/>
      <c r="AF214" s="667"/>
      <c r="AG214" s="725"/>
      <c r="AH214" s="667"/>
      <c r="AI214" s="667"/>
    </row>
    <row r="215" s="6" customFormat="1" ht="52.5" customHeight="1" spans="1:35">
      <c r="A215" s="975"/>
      <c r="B215" s="976"/>
      <c r="C215" s="977"/>
      <c r="D215" s="667"/>
      <c r="E215" s="650"/>
      <c r="F215" s="987"/>
      <c r="G215" s="975"/>
      <c r="H215" s="987"/>
      <c r="I215" s="975"/>
      <c r="J215" s="987"/>
      <c r="K215" s="988"/>
      <c r="L215" s="990"/>
      <c r="M215" s="975"/>
      <c r="N215" s="987"/>
      <c r="O215" s="1003"/>
      <c r="P215" s="988"/>
      <c r="Q215" s="988"/>
      <c r="R215" s="975"/>
      <c r="S215" s="976"/>
      <c r="T215" s="1026"/>
      <c r="U215" s="1041"/>
      <c r="V215" s="1025">
        <f>Q214-V214</f>
        <v>659937.6725</v>
      </c>
      <c r="W215" s="1042">
        <v>44657</v>
      </c>
      <c r="X215" s="667">
        <v>600000</v>
      </c>
      <c r="Y215" s="897">
        <v>44669</v>
      </c>
      <c r="Z215" s="1026"/>
      <c r="AA215" s="1058"/>
      <c r="AB215" s="667"/>
      <c r="AC215" s="667"/>
      <c r="AD215" s="725"/>
      <c r="AE215" s="725"/>
      <c r="AF215" s="667"/>
      <c r="AG215" s="725"/>
      <c r="AH215" s="667"/>
      <c r="AI215" s="667"/>
    </row>
    <row r="216" s="6" customFormat="1" ht="52.5" customHeight="1" spans="1:35">
      <c r="A216" s="975"/>
      <c r="B216" s="976"/>
      <c r="C216" s="977"/>
      <c r="D216" s="667"/>
      <c r="E216" s="650"/>
      <c r="F216" s="987"/>
      <c r="G216" s="975"/>
      <c r="H216" s="987"/>
      <c r="I216" s="975"/>
      <c r="J216" s="987"/>
      <c r="K216" s="988"/>
      <c r="L216" s="990"/>
      <c r="M216" s="663"/>
      <c r="N216" s="722"/>
      <c r="O216" s="995"/>
      <c r="P216" s="723"/>
      <c r="Q216" s="723"/>
      <c r="R216" s="663"/>
      <c r="S216" s="980"/>
      <c r="T216" s="1027"/>
      <c r="U216" s="1040"/>
      <c r="V216" s="1027"/>
      <c r="W216" s="1043"/>
      <c r="X216" s="1031">
        <f>Q214-X214-X215</f>
        <v>59937.6725000001</v>
      </c>
      <c r="Y216" s="897">
        <v>45058</v>
      </c>
      <c r="Z216" s="1027"/>
      <c r="AA216" s="1059"/>
      <c r="AB216" s="667"/>
      <c r="AC216" s="667"/>
      <c r="AD216" s="725"/>
      <c r="AE216" s="725"/>
      <c r="AF216" s="667"/>
      <c r="AG216" s="725"/>
      <c r="AH216" s="667"/>
      <c r="AI216" s="667"/>
    </row>
    <row r="217" s="6" customFormat="1" ht="52.5" customHeight="1" spans="1:35">
      <c r="A217" s="975"/>
      <c r="B217" s="976"/>
      <c r="C217" s="977"/>
      <c r="D217" s="667"/>
      <c r="E217" s="650"/>
      <c r="F217" s="987"/>
      <c r="G217" s="975"/>
      <c r="H217" s="987"/>
      <c r="I217" s="975"/>
      <c r="J217" s="987"/>
      <c r="K217" s="988"/>
      <c r="L217" s="990"/>
      <c r="M217" s="972">
        <v>5</v>
      </c>
      <c r="N217" s="794" t="s">
        <v>4937</v>
      </c>
      <c r="O217" s="790">
        <v>0.05</v>
      </c>
      <c r="P217" s="725">
        <f>5772915.49*O217</f>
        <v>288645.7745</v>
      </c>
      <c r="Q217" s="857">
        <f>P217</f>
        <v>288645.7745</v>
      </c>
      <c r="R217" s="992" t="s">
        <v>4603</v>
      </c>
      <c r="S217" s="1023">
        <v>44190</v>
      </c>
      <c r="T217" s="1028">
        <f>Q217</f>
        <v>288645.7745</v>
      </c>
      <c r="U217" s="1023">
        <v>44190</v>
      </c>
      <c r="V217" s="725">
        <v>588645.87</v>
      </c>
      <c r="W217" s="672">
        <v>45317</v>
      </c>
      <c r="X217" s="1019">
        <v>588645.87</v>
      </c>
      <c r="Y217" s="1042">
        <v>45350</v>
      </c>
      <c r="Z217" s="1025">
        <f>Q217+Q218+Q219-X217</f>
        <v>0.00450000003911555</v>
      </c>
      <c r="AA217" s="1057" t="s">
        <v>4938</v>
      </c>
      <c r="AB217" s="951"/>
      <c r="AC217" s="951"/>
      <c r="AD217" s="725"/>
      <c r="AE217" s="725"/>
      <c r="AF217" s="667"/>
      <c r="AG217" s="725"/>
      <c r="AH217" s="667"/>
      <c r="AI217" s="667"/>
    </row>
    <row r="218" s="6" customFormat="1" ht="54.15" customHeight="1" spans="1:35">
      <c r="A218" s="975"/>
      <c r="B218" s="976"/>
      <c r="C218" s="977"/>
      <c r="D218" s="667"/>
      <c r="E218" s="650"/>
      <c r="F218" s="987"/>
      <c r="G218" s="975"/>
      <c r="H218" s="987"/>
      <c r="I218" s="975"/>
      <c r="J218" s="987"/>
      <c r="K218" s="988"/>
      <c r="L218" s="990"/>
      <c r="M218" s="975"/>
      <c r="N218" s="987"/>
      <c r="O218" s="992" t="s">
        <v>2647</v>
      </c>
      <c r="P218" s="992" t="s">
        <v>171</v>
      </c>
      <c r="Q218" s="1029">
        <v>300000</v>
      </c>
      <c r="R218" s="992" t="s">
        <v>4603</v>
      </c>
      <c r="S218" s="1023">
        <v>45286</v>
      </c>
      <c r="T218" s="1029">
        <v>300000</v>
      </c>
      <c r="U218" s="1023">
        <v>45286</v>
      </c>
      <c r="V218" s="725"/>
      <c r="W218" s="672"/>
      <c r="X218" s="1006"/>
      <c r="Y218" s="1006"/>
      <c r="Z218" s="1026"/>
      <c r="AA218" s="987"/>
      <c r="AB218" s="30"/>
      <c r="AC218" s="30"/>
      <c r="AD218" s="725"/>
      <c r="AE218" s="725"/>
      <c r="AF218" s="667"/>
      <c r="AG218" s="725"/>
      <c r="AH218" s="667"/>
      <c r="AI218" s="667"/>
    </row>
    <row r="219" s="6" customFormat="1" ht="54.15" customHeight="1" spans="1:35">
      <c r="A219" s="663"/>
      <c r="B219" s="980"/>
      <c r="C219" s="981"/>
      <c r="D219" s="667"/>
      <c r="E219" s="353"/>
      <c r="F219" s="722"/>
      <c r="G219" s="663"/>
      <c r="H219" s="722"/>
      <c r="I219" s="663"/>
      <c r="J219" s="722"/>
      <c r="K219" s="723"/>
      <c r="L219" s="991"/>
      <c r="M219" s="663"/>
      <c r="N219" s="722"/>
      <c r="O219" s="992" t="s">
        <v>2647</v>
      </c>
      <c r="P219" s="992" t="s">
        <v>171</v>
      </c>
      <c r="Q219" s="1030">
        <v>0.1</v>
      </c>
      <c r="R219" s="992" t="s">
        <v>4603</v>
      </c>
      <c r="S219" s="1023">
        <v>45320</v>
      </c>
      <c r="T219" s="34"/>
      <c r="U219" s="34"/>
      <c r="V219" s="725"/>
      <c r="W219" s="672"/>
      <c r="X219" s="1022"/>
      <c r="Y219" s="1022"/>
      <c r="Z219" s="1027"/>
      <c r="AA219" s="722"/>
      <c r="AB219" s="30"/>
      <c r="AC219" s="30"/>
      <c r="AD219" s="725"/>
      <c r="AE219" s="725"/>
      <c r="AF219" s="667"/>
      <c r="AG219" s="725"/>
      <c r="AH219" s="667"/>
      <c r="AI219" s="667"/>
    </row>
    <row r="220" s="6" customFormat="1" ht="32" customHeight="1" spans="1:35">
      <c r="A220" s="667" t="s">
        <v>2570</v>
      </c>
      <c r="B220" s="672">
        <v>43244</v>
      </c>
      <c r="C220" s="982" t="s">
        <v>4939</v>
      </c>
      <c r="D220" s="667" t="s">
        <v>113</v>
      </c>
      <c r="E220" s="328" t="s">
        <v>4940</v>
      </c>
      <c r="F220" s="685" t="s">
        <v>4941</v>
      </c>
      <c r="G220" s="667" t="s">
        <v>240</v>
      </c>
      <c r="H220" s="685" t="s">
        <v>4942</v>
      </c>
      <c r="I220" s="667">
        <v>208095</v>
      </c>
      <c r="J220" s="685" t="s">
        <v>2652</v>
      </c>
      <c r="K220" s="725">
        <v>7149415</v>
      </c>
      <c r="L220" s="667" t="s">
        <v>25</v>
      </c>
      <c r="M220" s="667">
        <v>1</v>
      </c>
      <c r="N220" s="787" t="s">
        <v>4892</v>
      </c>
      <c r="O220" s="1004">
        <v>0.2</v>
      </c>
      <c r="P220" s="725">
        <f>7149415*O220</f>
        <v>1429883</v>
      </c>
      <c r="Q220" s="725">
        <v>1429883</v>
      </c>
      <c r="R220" s="667" t="s">
        <v>206</v>
      </c>
      <c r="S220" s="672">
        <v>43271</v>
      </c>
      <c r="T220" s="667" t="s">
        <v>171</v>
      </c>
      <c r="U220" s="899" t="s">
        <v>171</v>
      </c>
      <c r="V220" s="667">
        <v>1429883</v>
      </c>
      <c r="W220" s="899">
        <v>43271</v>
      </c>
      <c r="X220" s="667">
        <v>1429883</v>
      </c>
      <c r="Y220" s="899">
        <v>43307</v>
      </c>
      <c r="Z220" s="667">
        <f t="shared" ref="Z220:Z227" si="13">Q220-X220</f>
        <v>0</v>
      </c>
      <c r="AA220" s="950"/>
      <c r="AB220" s="667" t="s">
        <v>171</v>
      </c>
      <c r="AC220" s="667" t="s">
        <v>171</v>
      </c>
      <c r="AD220" s="667">
        <f>SUM(Q220:Q224)</f>
        <v>7139405.09</v>
      </c>
      <c r="AE220" s="667">
        <f>SUM(V220:V224)</f>
        <v>7139405.09</v>
      </c>
      <c r="AF220" s="667">
        <f>SUM(X220:X224)</f>
        <v>7139405.09</v>
      </c>
      <c r="AG220" s="667">
        <f>K220-AD220</f>
        <v>10009.9100000001</v>
      </c>
      <c r="AH220" s="667"/>
      <c r="AI220" s="667"/>
    </row>
    <row r="221" s="6" customFormat="1" ht="31" spans="1:35">
      <c r="A221" s="667"/>
      <c r="B221" s="672"/>
      <c r="C221" s="673"/>
      <c r="D221" s="667"/>
      <c r="E221" s="328"/>
      <c r="F221" s="685"/>
      <c r="G221" s="667"/>
      <c r="H221" s="667"/>
      <c r="I221" s="667"/>
      <c r="J221" s="685"/>
      <c r="K221" s="725"/>
      <c r="L221" s="667" t="s">
        <v>25</v>
      </c>
      <c r="M221" s="667">
        <v>2</v>
      </c>
      <c r="N221" s="787" t="s">
        <v>4893</v>
      </c>
      <c r="O221" s="1004">
        <v>0.3</v>
      </c>
      <c r="P221" s="725">
        <f>7149415*O221</f>
        <v>2144824.5</v>
      </c>
      <c r="Q221" s="725">
        <v>2144824.5</v>
      </c>
      <c r="R221" s="667" t="s">
        <v>206</v>
      </c>
      <c r="S221" s="672">
        <v>43362</v>
      </c>
      <c r="T221" s="667" t="s">
        <v>171</v>
      </c>
      <c r="U221" s="899" t="s">
        <v>171</v>
      </c>
      <c r="V221" s="667">
        <v>2144824.5</v>
      </c>
      <c r="W221" s="899">
        <v>43362</v>
      </c>
      <c r="X221" s="667">
        <v>2144824.5</v>
      </c>
      <c r="Y221" s="899">
        <v>43369</v>
      </c>
      <c r="Z221" s="667">
        <f t="shared" si="13"/>
        <v>0</v>
      </c>
      <c r="AA221" s="950"/>
      <c r="AB221" s="667" t="s">
        <v>171</v>
      </c>
      <c r="AC221" s="667" t="s">
        <v>171</v>
      </c>
      <c r="AD221" s="667"/>
      <c r="AE221" s="667"/>
      <c r="AF221" s="667"/>
      <c r="AG221" s="667"/>
      <c r="AH221" s="667"/>
      <c r="AI221" s="667"/>
    </row>
    <row r="222" s="6" customFormat="1" ht="31" spans="1:35">
      <c r="A222" s="667"/>
      <c r="B222" s="672"/>
      <c r="C222" s="673"/>
      <c r="D222" s="667"/>
      <c r="E222" s="328"/>
      <c r="F222" s="685"/>
      <c r="G222" s="667"/>
      <c r="H222" s="667"/>
      <c r="I222" s="667"/>
      <c r="J222" s="685"/>
      <c r="K222" s="725"/>
      <c r="L222" s="667" t="s">
        <v>25</v>
      </c>
      <c r="M222" s="667">
        <v>3</v>
      </c>
      <c r="N222" s="787" t="s">
        <v>4943</v>
      </c>
      <c r="O222" s="1004">
        <v>0.25</v>
      </c>
      <c r="P222" s="725">
        <f>7149415*O222</f>
        <v>1787353.75</v>
      </c>
      <c r="Q222" s="725">
        <v>1787353.75</v>
      </c>
      <c r="R222" s="667" t="s">
        <v>206</v>
      </c>
      <c r="S222" s="672">
        <v>43373</v>
      </c>
      <c r="T222" s="667" t="s">
        <v>171</v>
      </c>
      <c r="U222" s="899" t="s">
        <v>171</v>
      </c>
      <c r="V222" s="667">
        <v>1787353.75</v>
      </c>
      <c r="W222" s="899">
        <v>43373</v>
      </c>
      <c r="X222" s="667">
        <v>1787353.75</v>
      </c>
      <c r="Y222" s="899">
        <v>43450</v>
      </c>
      <c r="Z222" s="667">
        <f t="shared" si="13"/>
        <v>0</v>
      </c>
      <c r="AA222" s="950"/>
      <c r="AB222" s="667" t="s">
        <v>171</v>
      </c>
      <c r="AC222" s="667" t="s">
        <v>171</v>
      </c>
      <c r="AD222" s="667"/>
      <c r="AE222" s="667"/>
      <c r="AF222" s="667"/>
      <c r="AG222" s="667"/>
      <c r="AH222" s="667"/>
      <c r="AI222" s="667"/>
    </row>
    <row r="223" s="6" customFormat="1" ht="40" customHeight="1" spans="1:35">
      <c r="A223" s="667"/>
      <c r="B223" s="672"/>
      <c r="C223" s="673"/>
      <c r="D223" s="667"/>
      <c r="E223" s="328"/>
      <c r="F223" s="685"/>
      <c r="G223" s="667"/>
      <c r="H223" s="667"/>
      <c r="I223" s="667"/>
      <c r="J223" s="685"/>
      <c r="K223" s="725"/>
      <c r="L223" s="667" t="s">
        <v>25</v>
      </c>
      <c r="M223" s="667">
        <v>4</v>
      </c>
      <c r="N223" s="787" t="s">
        <v>4906</v>
      </c>
      <c r="O223" s="1004">
        <v>0.2</v>
      </c>
      <c r="P223" s="725">
        <f>7149415*O223</f>
        <v>1429883</v>
      </c>
      <c r="Q223" s="725">
        <v>1429883</v>
      </c>
      <c r="R223" s="667" t="s">
        <v>4603</v>
      </c>
      <c r="S223" s="672">
        <v>43464</v>
      </c>
      <c r="T223" s="667">
        <v>1429883</v>
      </c>
      <c r="U223" s="899">
        <v>43464</v>
      </c>
      <c r="V223" s="667">
        <v>1429883</v>
      </c>
      <c r="W223" s="899">
        <v>43468</v>
      </c>
      <c r="X223" s="667">
        <v>1429883</v>
      </c>
      <c r="Y223" s="899">
        <v>43472</v>
      </c>
      <c r="Z223" s="667">
        <f t="shared" si="13"/>
        <v>0</v>
      </c>
      <c r="AA223" s="950"/>
      <c r="AB223" s="667" t="s">
        <v>171</v>
      </c>
      <c r="AC223" s="667" t="s">
        <v>171</v>
      </c>
      <c r="AD223" s="667"/>
      <c r="AE223" s="667"/>
      <c r="AF223" s="667"/>
      <c r="AG223" s="667"/>
      <c r="AH223" s="667"/>
      <c r="AI223" s="667"/>
    </row>
    <row r="224" s="6" customFormat="1" ht="67.5" customHeight="1" spans="1:35">
      <c r="A224" s="667"/>
      <c r="B224" s="672"/>
      <c r="C224" s="673"/>
      <c r="D224" s="667"/>
      <c r="E224" s="328"/>
      <c r="F224" s="685"/>
      <c r="G224" s="667"/>
      <c r="H224" s="667"/>
      <c r="I224" s="667"/>
      <c r="J224" s="685"/>
      <c r="K224" s="725"/>
      <c r="L224" s="992" t="s">
        <v>25</v>
      </c>
      <c r="M224" s="667">
        <v>5</v>
      </c>
      <c r="N224" s="787" t="s">
        <v>4907</v>
      </c>
      <c r="O224" s="1004" t="s">
        <v>4011</v>
      </c>
      <c r="P224" s="725">
        <f>7149415*0.05</f>
        <v>357470.75</v>
      </c>
      <c r="Q224" s="859">
        <v>347460.84</v>
      </c>
      <c r="R224" s="992" t="s">
        <v>4603</v>
      </c>
      <c r="S224" s="1023">
        <v>44189</v>
      </c>
      <c r="T224" s="859">
        <v>347460.84</v>
      </c>
      <c r="U224" s="1023">
        <v>44189</v>
      </c>
      <c r="V224" s="859">
        <v>347460.84</v>
      </c>
      <c r="W224" s="897">
        <v>45447</v>
      </c>
      <c r="X224" s="859">
        <v>347460.84</v>
      </c>
      <c r="Y224" s="1023">
        <v>45502</v>
      </c>
      <c r="Z224" s="992">
        <f t="shared" si="13"/>
        <v>0</v>
      </c>
      <c r="AA224" s="950" t="s">
        <v>4944</v>
      </c>
      <c r="AB224" s="667" t="s">
        <v>171</v>
      </c>
      <c r="AC224" s="667" t="s">
        <v>171</v>
      </c>
      <c r="AD224" s="667"/>
      <c r="AE224" s="667"/>
      <c r="AF224" s="667"/>
      <c r="AG224" s="667"/>
      <c r="AH224" s="667"/>
      <c r="AI224" s="667"/>
    </row>
    <row r="225" s="6" customFormat="1" ht="32" customHeight="1" spans="1:35">
      <c r="A225" s="972" t="s">
        <v>2570</v>
      </c>
      <c r="B225" s="973">
        <v>43262</v>
      </c>
      <c r="C225" s="974" t="s">
        <v>4945</v>
      </c>
      <c r="D225" s="972" t="s">
        <v>113</v>
      </c>
      <c r="E225" s="706" t="s">
        <v>4946</v>
      </c>
      <c r="F225" s="794" t="s">
        <v>4947</v>
      </c>
      <c r="G225" s="794" t="s">
        <v>116</v>
      </c>
      <c r="H225" s="794" t="s">
        <v>4929</v>
      </c>
      <c r="I225" s="972">
        <v>127583.16</v>
      </c>
      <c r="J225" s="794" t="s">
        <v>4948</v>
      </c>
      <c r="K225" s="796">
        <v>4410718.2</v>
      </c>
      <c r="L225" s="149" t="s">
        <v>25</v>
      </c>
      <c r="M225" s="972">
        <v>1</v>
      </c>
      <c r="N225" s="794" t="s">
        <v>4930</v>
      </c>
      <c r="O225" s="1005">
        <v>0.2</v>
      </c>
      <c r="P225" s="796">
        <f>4410718.2*O225</f>
        <v>882143.64</v>
      </c>
      <c r="Q225" s="796">
        <v>882143.64</v>
      </c>
      <c r="R225" s="972" t="s">
        <v>206</v>
      </c>
      <c r="S225" s="973">
        <v>43285</v>
      </c>
      <c r="T225" s="972" t="s">
        <v>171</v>
      </c>
      <c r="U225" s="972" t="s">
        <v>171</v>
      </c>
      <c r="V225" s="796">
        <v>882143.64</v>
      </c>
      <c r="W225" s="1039">
        <v>43285</v>
      </c>
      <c r="X225" s="667">
        <v>882143.64</v>
      </c>
      <c r="Y225" s="899">
        <v>43307</v>
      </c>
      <c r="Z225" s="667">
        <f t="shared" si="13"/>
        <v>0</v>
      </c>
      <c r="AA225" s="950"/>
      <c r="AB225" s="667" t="s">
        <v>171</v>
      </c>
      <c r="AC225" s="667" t="s">
        <v>171</v>
      </c>
      <c r="AD225" s="667">
        <f>SUM(Q225:Q231)</f>
        <v>4410718.2</v>
      </c>
      <c r="AE225" s="667">
        <f>SUM(V225:V231)</f>
        <v>4410718.2</v>
      </c>
      <c r="AF225" s="667">
        <f>SUM(X225:X231)</f>
        <v>4410718.2</v>
      </c>
      <c r="AG225" s="667">
        <f>K225-AD225</f>
        <v>0</v>
      </c>
      <c r="AH225" s="667" t="s">
        <v>247</v>
      </c>
      <c r="AI225" s="667" t="s">
        <v>154</v>
      </c>
    </row>
    <row r="226" s="6" customFormat="1" ht="54.15" customHeight="1" spans="1:35">
      <c r="A226" s="975"/>
      <c r="B226" s="976"/>
      <c r="C226" s="977"/>
      <c r="D226" s="975"/>
      <c r="E226" s="650"/>
      <c r="F226" s="987"/>
      <c r="G226" s="987"/>
      <c r="H226" s="987"/>
      <c r="I226" s="975"/>
      <c r="J226" s="987"/>
      <c r="K226" s="988"/>
      <c r="L226" s="151"/>
      <c r="M226" s="1006">
        <v>2</v>
      </c>
      <c r="N226" s="685" t="s">
        <v>4949</v>
      </c>
      <c r="O226" s="1004">
        <v>0.2</v>
      </c>
      <c r="P226" s="667">
        <v>882143.64</v>
      </c>
      <c r="Q226" s="667">
        <v>882143.64</v>
      </c>
      <c r="R226" s="992" t="s">
        <v>4603</v>
      </c>
      <c r="S226" s="899">
        <v>43434</v>
      </c>
      <c r="T226" s="667">
        <v>882143.64</v>
      </c>
      <c r="U226" s="899">
        <v>43434</v>
      </c>
      <c r="V226" s="796">
        <v>882143.64</v>
      </c>
      <c r="W226" s="1041">
        <v>43473</v>
      </c>
      <c r="X226" s="667">
        <v>882143.64</v>
      </c>
      <c r="Y226" s="899">
        <v>43475</v>
      </c>
      <c r="Z226" s="667">
        <f t="shared" si="13"/>
        <v>0</v>
      </c>
      <c r="AA226" s="950"/>
      <c r="AB226" s="667" t="s">
        <v>171</v>
      </c>
      <c r="AC226" s="667" t="s">
        <v>171</v>
      </c>
      <c r="AD226" s="667"/>
      <c r="AE226" s="667"/>
      <c r="AF226" s="667"/>
      <c r="AG226" s="667"/>
      <c r="AH226" s="667"/>
      <c r="AI226" s="667"/>
    </row>
    <row r="227" s="6" customFormat="1" ht="58.35" customHeight="1" spans="1:35">
      <c r="A227" s="975"/>
      <c r="B227" s="976"/>
      <c r="C227" s="977"/>
      <c r="D227" s="975"/>
      <c r="E227" s="650"/>
      <c r="F227" s="987"/>
      <c r="G227" s="987"/>
      <c r="H227" s="987"/>
      <c r="I227" s="975"/>
      <c r="J227" s="987"/>
      <c r="K227" s="988"/>
      <c r="L227" s="151"/>
      <c r="M227" s="972">
        <v>3</v>
      </c>
      <c r="N227" s="685" t="s">
        <v>4950</v>
      </c>
      <c r="O227" s="1004">
        <v>0.15</v>
      </c>
      <c r="P227" s="667">
        <v>661607.73</v>
      </c>
      <c r="Q227" s="667">
        <v>661607.73</v>
      </c>
      <c r="R227" s="992" t="s">
        <v>4603</v>
      </c>
      <c r="S227" s="899">
        <v>43434</v>
      </c>
      <c r="T227" s="667">
        <v>661607.73</v>
      </c>
      <c r="U227" s="899">
        <v>43434</v>
      </c>
      <c r="V227" s="667">
        <v>661607.73</v>
      </c>
      <c r="W227" s="1041">
        <v>43572</v>
      </c>
      <c r="X227" s="667">
        <v>661607.73</v>
      </c>
      <c r="Y227" s="899">
        <v>43577</v>
      </c>
      <c r="Z227" s="667">
        <f t="shared" si="13"/>
        <v>0</v>
      </c>
      <c r="AA227" s="950"/>
      <c r="AB227" s="667" t="s">
        <v>171</v>
      </c>
      <c r="AC227" s="667" t="s">
        <v>171</v>
      </c>
      <c r="AD227" s="667"/>
      <c r="AE227" s="667"/>
      <c r="AF227" s="667"/>
      <c r="AG227" s="667"/>
      <c r="AH227" s="667"/>
      <c r="AI227" s="667"/>
    </row>
    <row r="228" s="6" customFormat="1" ht="64.5" customHeight="1" spans="1:35">
      <c r="A228" s="975"/>
      <c r="B228" s="976"/>
      <c r="C228" s="977"/>
      <c r="D228" s="975"/>
      <c r="E228" s="650"/>
      <c r="F228" s="987"/>
      <c r="G228" s="987"/>
      <c r="H228" s="987"/>
      <c r="I228" s="975"/>
      <c r="J228" s="987"/>
      <c r="K228" s="988"/>
      <c r="L228" s="151"/>
      <c r="M228" s="1006">
        <v>4</v>
      </c>
      <c r="N228" s="986" t="s">
        <v>4951</v>
      </c>
      <c r="O228" s="1004">
        <v>0.15</v>
      </c>
      <c r="P228" s="667">
        <v>661607.73</v>
      </c>
      <c r="Q228" s="667">
        <v>661607.73</v>
      </c>
      <c r="R228" s="992" t="s">
        <v>4603</v>
      </c>
      <c r="S228" s="899">
        <v>43434</v>
      </c>
      <c r="T228" s="667">
        <v>661607.73</v>
      </c>
      <c r="U228" s="899">
        <v>43434</v>
      </c>
      <c r="V228" s="988">
        <v>1543751.37</v>
      </c>
      <c r="W228" s="1041">
        <v>43693</v>
      </c>
      <c r="X228" s="667">
        <v>770000</v>
      </c>
      <c r="Y228" s="899">
        <v>43724</v>
      </c>
      <c r="Z228" s="667">
        <v>0</v>
      </c>
      <c r="AA228" s="950"/>
      <c r="AB228" s="667" t="s">
        <v>171</v>
      </c>
      <c r="AC228" s="667" t="s">
        <v>171</v>
      </c>
      <c r="AD228" s="667"/>
      <c r="AE228" s="667"/>
      <c r="AF228" s="667"/>
      <c r="AG228" s="667"/>
      <c r="AH228" s="667"/>
      <c r="AI228" s="667"/>
    </row>
    <row r="229" s="6" customFormat="1" ht="34.5" customHeight="1" spans="1:35">
      <c r="A229" s="975"/>
      <c r="B229" s="976"/>
      <c r="C229" s="977"/>
      <c r="D229" s="975"/>
      <c r="E229" s="650"/>
      <c r="F229" s="987"/>
      <c r="G229" s="987"/>
      <c r="H229" s="987"/>
      <c r="I229" s="975"/>
      <c r="J229" s="987"/>
      <c r="K229" s="988"/>
      <c r="L229" s="151"/>
      <c r="M229" s="972">
        <v>5</v>
      </c>
      <c r="N229" s="685" t="s">
        <v>4952</v>
      </c>
      <c r="O229" s="1004">
        <v>0.2</v>
      </c>
      <c r="P229" s="667">
        <v>882143.64</v>
      </c>
      <c r="Q229" s="667">
        <v>882143.64</v>
      </c>
      <c r="R229" s="1019" t="s">
        <v>4603</v>
      </c>
      <c r="S229" s="899">
        <v>43434</v>
      </c>
      <c r="T229" s="667">
        <v>882143.64</v>
      </c>
      <c r="U229" s="899">
        <v>43434</v>
      </c>
      <c r="V229" s="988"/>
      <c r="W229" s="1041"/>
      <c r="X229" s="667">
        <v>273751.37</v>
      </c>
      <c r="Y229" s="899">
        <v>43801</v>
      </c>
      <c r="Z229" s="667">
        <v>0</v>
      </c>
      <c r="AA229" s="950"/>
      <c r="AB229" s="667" t="s">
        <v>171</v>
      </c>
      <c r="AC229" s="667" t="s">
        <v>171</v>
      </c>
      <c r="AD229" s="667"/>
      <c r="AE229" s="667"/>
      <c r="AF229" s="667"/>
      <c r="AG229" s="667"/>
      <c r="AH229" s="667"/>
      <c r="AI229" s="667"/>
    </row>
    <row r="230" s="6" customFormat="1" ht="30" customHeight="1" spans="1:35">
      <c r="A230" s="975"/>
      <c r="B230" s="976"/>
      <c r="C230" s="977"/>
      <c r="D230" s="975"/>
      <c r="E230" s="650"/>
      <c r="F230" s="987"/>
      <c r="G230" s="987"/>
      <c r="H230" s="987"/>
      <c r="I230" s="975"/>
      <c r="J230" s="987"/>
      <c r="K230" s="988"/>
      <c r="L230" s="151"/>
      <c r="M230" s="975"/>
      <c r="N230" s="685"/>
      <c r="O230" s="1004"/>
      <c r="P230" s="667"/>
      <c r="Q230" s="667"/>
      <c r="R230" s="1022"/>
      <c r="S230" s="1023" t="s">
        <v>171</v>
      </c>
      <c r="T230" s="667" t="s">
        <v>171</v>
      </c>
      <c r="U230" s="667" t="s">
        <v>171</v>
      </c>
      <c r="V230" s="723"/>
      <c r="W230" s="1040"/>
      <c r="X230" s="667">
        <v>500000</v>
      </c>
      <c r="Y230" s="899">
        <v>44146</v>
      </c>
      <c r="Z230" s="667"/>
      <c r="AA230" s="950"/>
      <c r="AB230" s="667" t="s">
        <v>171</v>
      </c>
      <c r="AC230" s="667" t="s">
        <v>171</v>
      </c>
      <c r="AD230" s="667"/>
      <c r="AE230" s="667"/>
      <c r="AF230" s="667"/>
      <c r="AG230" s="667"/>
      <c r="AH230" s="667"/>
      <c r="AI230" s="667"/>
    </row>
    <row r="231" s="6" customFormat="1" ht="30" customHeight="1" spans="1:35">
      <c r="A231" s="975"/>
      <c r="B231" s="976"/>
      <c r="C231" s="977"/>
      <c r="D231" s="975"/>
      <c r="E231" s="650"/>
      <c r="F231" s="987"/>
      <c r="G231" s="987"/>
      <c r="H231" s="987"/>
      <c r="I231" s="975"/>
      <c r="J231" s="987"/>
      <c r="K231" s="988"/>
      <c r="L231" s="151"/>
      <c r="M231" s="972">
        <v>6</v>
      </c>
      <c r="N231" s="794" t="s">
        <v>4953</v>
      </c>
      <c r="O231" s="1004">
        <v>0.1</v>
      </c>
      <c r="P231" s="725">
        <f>4410718.2*O231</f>
        <v>441071.82</v>
      </c>
      <c r="Q231" s="857">
        <v>441071.82</v>
      </c>
      <c r="R231" s="128" t="s">
        <v>4603</v>
      </c>
      <c r="S231" s="858">
        <v>44911</v>
      </c>
      <c r="T231" s="859">
        <v>441071.82</v>
      </c>
      <c r="U231" s="896">
        <v>44897</v>
      </c>
      <c r="V231" s="667">
        <v>441071.82</v>
      </c>
      <c r="W231" s="672">
        <v>45405</v>
      </c>
      <c r="X231" s="667">
        <v>441071.82</v>
      </c>
      <c r="Y231" s="672">
        <v>45410</v>
      </c>
      <c r="Z231" s="667">
        <f>Q231-X231</f>
        <v>0</v>
      </c>
      <c r="AA231" s="950"/>
      <c r="AB231" s="951"/>
      <c r="AC231" s="951"/>
      <c r="AD231" s="667"/>
      <c r="AE231" s="667"/>
      <c r="AF231" s="667"/>
      <c r="AG231" s="667"/>
      <c r="AH231" s="667"/>
      <c r="AI231" s="667"/>
    </row>
    <row r="232" s="6" customFormat="1" ht="30" customHeight="1" spans="1:35">
      <c r="A232" s="663"/>
      <c r="B232" s="980"/>
      <c r="C232" s="981"/>
      <c r="D232" s="663"/>
      <c r="E232" s="353"/>
      <c r="F232" s="722"/>
      <c r="G232" s="722"/>
      <c r="H232" s="722"/>
      <c r="I232" s="663"/>
      <c r="J232" s="722"/>
      <c r="K232" s="723"/>
      <c r="L232" s="152"/>
      <c r="M232" s="663"/>
      <c r="N232" s="722"/>
      <c r="O232" s="1007" t="s">
        <v>171</v>
      </c>
      <c r="P232" s="859" t="s">
        <v>171</v>
      </c>
      <c r="Q232" s="1015">
        <f>4421027.01-Q225-Q226-Q227-Q228-Q229-Q231</f>
        <v>10308.8099999995</v>
      </c>
      <c r="R232" s="128" t="s">
        <v>4603</v>
      </c>
      <c r="S232" s="858">
        <v>45397</v>
      </c>
      <c r="T232" s="857">
        <v>10308.8099999995</v>
      </c>
      <c r="U232" s="858">
        <v>45397</v>
      </c>
      <c r="V232" s="667">
        <v>10308.8099999995</v>
      </c>
      <c r="W232" s="672">
        <v>45405</v>
      </c>
      <c r="X232" s="667">
        <v>10308.8099999995</v>
      </c>
      <c r="Y232" s="672">
        <v>45410</v>
      </c>
      <c r="Z232" s="667"/>
      <c r="AA232" s="950"/>
      <c r="AB232" s="951"/>
      <c r="AC232" s="951"/>
      <c r="AD232" s="667"/>
      <c r="AE232" s="667"/>
      <c r="AF232" s="667"/>
      <c r="AG232" s="667"/>
      <c r="AH232" s="667"/>
      <c r="AI232" s="667"/>
    </row>
    <row r="233" s="6" customFormat="1" ht="30" customHeight="1" spans="1:35">
      <c r="A233" s="667" t="s">
        <v>2466</v>
      </c>
      <c r="B233" s="672">
        <v>43459</v>
      </c>
      <c r="C233" s="982" t="s">
        <v>4954</v>
      </c>
      <c r="D233" s="667" t="s">
        <v>113</v>
      </c>
      <c r="E233" s="328" t="s">
        <v>4955</v>
      </c>
      <c r="F233" s="685" t="s">
        <v>4956</v>
      </c>
      <c r="G233" s="667" t="s">
        <v>658</v>
      </c>
      <c r="H233" s="685" t="s">
        <v>4957</v>
      </c>
      <c r="I233" s="667">
        <v>119975.97</v>
      </c>
      <c r="J233" s="685" t="s">
        <v>4958</v>
      </c>
      <c r="K233" s="725">
        <v>3420842.86</v>
      </c>
      <c r="L233" s="96" t="s">
        <v>26</v>
      </c>
      <c r="M233" s="685">
        <v>1</v>
      </c>
      <c r="N233" s="787" t="s">
        <v>2525</v>
      </c>
      <c r="O233" s="790">
        <v>0.2</v>
      </c>
      <c r="P233" s="791">
        <v>684168.572</v>
      </c>
      <c r="Q233" s="725">
        <v>684168.572</v>
      </c>
      <c r="R233" s="667" t="s">
        <v>206</v>
      </c>
      <c r="S233" s="672">
        <v>43518</v>
      </c>
      <c r="T233" s="667" t="s">
        <v>171</v>
      </c>
      <c r="U233" s="667" t="s">
        <v>171</v>
      </c>
      <c r="V233" s="667">
        <v>684168.572</v>
      </c>
      <c r="W233" s="899">
        <v>43518</v>
      </c>
      <c r="X233" s="667">
        <v>684168.572</v>
      </c>
      <c r="Y233" s="899">
        <v>43594</v>
      </c>
      <c r="Z233" s="667">
        <f>Q233-X233</f>
        <v>0</v>
      </c>
      <c r="AA233" s="950"/>
      <c r="AB233" s="667" t="s">
        <v>171</v>
      </c>
      <c r="AC233" s="667" t="s">
        <v>171</v>
      </c>
      <c r="AD233" s="667">
        <f>SUM(Q233:Q237)</f>
        <v>3501920.74</v>
      </c>
      <c r="AE233" s="667">
        <f>SUM(V233:V237)</f>
        <v>3501920.74</v>
      </c>
      <c r="AF233" s="667">
        <f>SUM(X233:X237)</f>
        <v>3501920.74</v>
      </c>
      <c r="AG233" s="667">
        <f>3455792.29-AD233</f>
        <v>-46128.4500000002</v>
      </c>
      <c r="AH233" s="667"/>
      <c r="AI233" s="667"/>
    </row>
    <row r="234" s="6" customFormat="1" ht="55" customHeight="1" spans="1:35">
      <c r="A234" s="667"/>
      <c r="B234" s="672"/>
      <c r="C234" s="673"/>
      <c r="D234" s="667"/>
      <c r="E234" s="328"/>
      <c r="F234" s="685"/>
      <c r="G234" s="667"/>
      <c r="H234" s="685"/>
      <c r="I234" s="667"/>
      <c r="J234" s="685"/>
      <c r="K234" s="725"/>
      <c r="L234" s="96"/>
      <c r="M234" s="685">
        <v>2</v>
      </c>
      <c r="N234" s="787" t="s">
        <v>2527</v>
      </c>
      <c r="O234" s="790">
        <v>0.1</v>
      </c>
      <c r="P234" s="791">
        <v>342084.286</v>
      </c>
      <c r="Q234" s="725">
        <v>2253254.88</v>
      </c>
      <c r="R234" s="667" t="s">
        <v>206</v>
      </c>
      <c r="S234" s="672">
        <v>43545</v>
      </c>
      <c r="T234" s="667" t="s">
        <v>171</v>
      </c>
      <c r="U234" s="667" t="s">
        <v>171</v>
      </c>
      <c r="V234" s="667">
        <v>2253254.88</v>
      </c>
      <c r="W234" s="899">
        <v>43545</v>
      </c>
      <c r="X234" s="667">
        <v>2253254.88</v>
      </c>
      <c r="Y234" s="899">
        <v>43646</v>
      </c>
      <c r="Z234" s="667">
        <f>Q234-X234</f>
        <v>0</v>
      </c>
      <c r="AA234" s="1060" t="s">
        <v>4959</v>
      </c>
      <c r="AB234" s="667" t="s">
        <v>171</v>
      </c>
      <c r="AC234" s="667" t="s">
        <v>171</v>
      </c>
      <c r="AD234" s="667"/>
      <c r="AE234" s="667"/>
      <c r="AF234" s="667"/>
      <c r="AG234" s="667"/>
      <c r="AH234" s="667"/>
      <c r="AI234" s="667"/>
    </row>
    <row r="235" s="6" customFormat="1" ht="27.75" customHeight="1" spans="1:35">
      <c r="A235" s="667"/>
      <c r="B235" s="672"/>
      <c r="C235" s="673"/>
      <c r="D235" s="667"/>
      <c r="E235" s="328"/>
      <c r="F235" s="685"/>
      <c r="G235" s="667"/>
      <c r="H235" s="685"/>
      <c r="I235" s="667"/>
      <c r="J235" s="685"/>
      <c r="K235" s="725"/>
      <c r="L235" s="96"/>
      <c r="M235" s="685">
        <v>3</v>
      </c>
      <c r="N235" s="787" t="s">
        <v>4960</v>
      </c>
      <c r="O235" s="790">
        <v>0.55</v>
      </c>
      <c r="P235" s="791">
        <v>1881463.573</v>
      </c>
      <c r="Q235" s="725"/>
      <c r="R235" s="725"/>
      <c r="S235" s="672"/>
      <c r="T235" s="667" t="s">
        <v>171</v>
      </c>
      <c r="U235" s="667" t="s">
        <v>171</v>
      </c>
      <c r="V235" s="725" t="s">
        <v>171</v>
      </c>
      <c r="W235" s="725" t="s">
        <v>171</v>
      </c>
      <c r="X235" s="725">
        <v>0</v>
      </c>
      <c r="Y235" s="667"/>
      <c r="Z235" s="667" t="s">
        <v>171</v>
      </c>
      <c r="AA235" s="950"/>
      <c r="AB235" s="667" t="s">
        <v>171</v>
      </c>
      <c r="AC235" s="667" t="s">
        <v>171</v>
      </c>
      <c r="AD235" s="667"/>
      <c r="AE235" s="667"/>
      <c r="AF235" s="667"/>
      <c r="AG235" s="667"/>
      <c r="AH235" s="667"/>
      <c r="AI235" s="667"/>
    </row>
    <row r="236" s="6" customFormat="1" ht="27.75" customHeight="1" spans="1:35">
      <c r="A236" s="667"/>
      <c r="B236" s="672"/>
      <c r="C236" s="673"/>
      <c r="D236" s="667"/>
      <c r="E236" s="328"/>
      <c r="F236" s="685"/>
      <c r="G236" s="667"/>
      <c r="H236" s="685"/>
      <c r="I236" s="667"/>
      <c r="J236" s="685"/>
      <c r="K236" s="725"/>
      <c r="L236" s="96"/>
      <c r="M236" s="685">
        <v>4</v>
      </c>
      <c r="N236" s="787" t="s">
        <v>4961</v>
      </c>
      <c r="O236" s="790">
        <v>0.07</v>
      </c>
      <c r="P236" s="791">
        <v>239459</v>
      </c>
      <c r="Q236" s="859">
        <v>241905.46</v>
      </c>
      <c r="R236" s="992" t="s">
        <v>4603</v>
      </c>
      <c r="S236" s="1023">
        <v>44546</v>
      </c>
      <c r="T236" s="1031">
        <v>241905.46</v>
      </c>
      <c r="U236" s="1023">
        <v>44546</v>
      </c>
      <c r="V236" s="791">
        <v>241905.46</v>
      </c>
      <c r="W236" s="1044">
        <v>45019</v>
      </c>
      <c r="X236" s="791">
        <v>241905.46</v>
      </c>
      <c r="Y236" s="1044">
        <v>45029</v>
      </c>
      <c r="Z236" s="667">
        <f>Q236-X236</f>
        <v>0</v>
      </c>
      <c r="AA236" s="950"/>
      <c r="AB236" s="951"/>
      <c r="AC236" s="951"/>
      <c r="AD236" s="667"/>
      <c r="AE236" s="667"/>
      <c r="AF236" s="667"/>
      <c r="AG236" s="667"/>
      <c r="AH236" s="667"/>
      <c r="AI236" s="667"/>
    </row>
    <row r="237" s="6" customFormat="1" ht="27.75" customHeight="1" spans="1:35">
      <c r="A237" s="667"/>
      <c r="B237" s="672"/>
      <c r="C237" s="673"/>
      <c r="D237" s="667"/>
      <c r="E237" s="328"/>
      <c r="F237" s="685"/>
      <c r="G237" s="667"/>
      <c r="H237" s="685"/>
      <c r="I237" s="667"/>
      <c r="J237" s="685"/>
      <c r="K237" s="725"/>
      <c r="L237" s="96"/>
      <c r="M237" s="685">
        <v>5</v>
      </c>
      <c r="N237" s="1008" t="s">
        <v>4962</v>
      </c>
      <c r="O237" s="790">
        <v>0.08</v>
      </c>
      <c r="P237" s="791">
        <v>273667.429</v>
      </c>
      <c r="Q237" s="1032">
        <f>3455792.29-Q236-Q234-Q233+46128.45</f>
        <v>322591.828</v>
      </c>
      <c r="R237" s="128" t="s">
        <v>4603</v>
      </c>
      <c r="S237" s="276">
        <v>44921</v>
      </c>
      <c r="T237" s="1031">
        <v>322591.828</v>
      </c>
      <c r="U237" s="276">
        <v>44921</v>
      </c>
      <c r="V237" s="791">
        <v>322591.828</v>
      </c>
      <c r="W237" s="1044">
        <v>45019</v>
      </c>
      <c r="X237" s="791">
        <v>322591.828</v>
      </c>
      <c r="Y237" s="1044">
        <v>45029</v>
      </c>
      <c r="Z237" s="1031">
        <f>Q237-X237</f>
        <v>0</v>
      </c>
      <c r="AA237" s="1060" t="s">
        <v>4963</v>
      </c>
      <c r="AB237" s="951"/>
      <c r="AC237" s="951"/>
      <c r="AD237" s="667"/>
      <c r="AE237" s="667"/>
      <c r="AF237" s="667"/>
      <c r="AG237" s="667"/>
      <c r="AH237" s="667"/>
      <c r="AI237" s="667"/>
    </row>
    <row r="238" s="6" customFormat="1" ht="24" customHeight="1" spans="1:35">
      <c r="A238" s="667" t="s">
        <v>2466</v>
      </c>
      <c r="B238" s="672">
        <v>43556</v>
      </c>
      <c r="C238" s="982" t="s">
        <v>4954</v>
      </c>
      <c r="D238" s="667" t="s">
        <v>113</v>
      </c>
      <c r="E238" s="328" t="s">
        <v>4964</v>
      </c>
      <c r="F238" s="685" t="s">
        <v>4965</v>
      </c>
      <c r="G238" s="667" t="s">
        <v>4966</v>
      </c>
      <c r="H238" s="685" t="s">
        <v>4957</v>
      </c>
      <c r="I238" s="667" t="s">
        <v>171</v>
      </c>
      <c r="J238" s="685" t="s">
        <v>4967</v>
      </c>
      <c r="K238" s="725">
        <v>209678.7</v>
      </c>
      <c r="L238" s="96" t="s">
        <v>26</v>
      </c>
      <c r="M238" s="667">
        <v>1</v>
      </c>
      <c r="N238" s="787" t="s">
        <v>4968</v>
      </c>
      <c r="O238" s="788">
        <v>1</v>
      </c>
      <c r="P238" s="725">
        <v>209678.7</v>
      </c>
      <c r="Q238" s="725">
        <v>209678.7</v>
      </c>
      <c r="R238" s="667" t="s">
        <v>206</v>
      </c>
      <c r="S238" s="672">
        <v>43619</v>
      </c>
      <c r="T238" s="667" t="s">
        <v>171</v>
      </c>
      <c r="U238" s="667" t="s">
        <v>171</v>
      </c>
      <c r="V238" s="667">
        <v>209678.7</v>
      </c>
      <c r="W238" s="672">
        <v>43619</v>
      </c>
      <c r="X238" s="667">
        <v>209678.7</v>
      </c>
      <c r="Y238" s="899">
        <v>43671</v>
      </c>
      <c r="Z238" s="667">
        <f>Q238-X238</f>
        <v>0</v>
      </c>
      <c r="AA238" s="950"/>
      <c r="AB238" s="951"/>
      <c r="AC238" s="951"/>
      <c r="AD238" s="667">
        <f>SUM(Q238)</f>
        <v>209678.7</v>
      </c>
      <c r="AE238" s="667">
        <f>SUM(V238)</f>
        <v>209678.7</v>
      </c>
      <c r="AF238" s="667">
        <f>SUM(X238)</f>
        <v>209678.7</v>
      </c>
      <c r="AG238" s="667">
        <f>K238-AD238</f>
        <v>0</v>
      </c>
      <c r="AH238" s="667" t="s">
        <v>1112</v>
      </c>
      <c r="AI238" s="951"/>
    </row>
    <row r="239" s="6" customFormat="1" ht="24" customHeight="1" spans="1:35">
      <c r="A239" s="674" t="s">
        <v>2466</v>
      </c>
      <c r="B239" s="675">
        <v>43851</v>
      </c>
      <c r="C239" s="983" t="s">
        <v>4954</v>
      </c>
      <c r="D239" s="667" t="s">
        <v>113</v>
      </c>
      <c r="E239" s="686" t="s">
        <v>4969</v>
      </c>
      <c r="F239" s="686" t="s">
        <v>4970</v>
      </c>
      <c r="G239" s="674" t="s">
        <v>4971</v>
      </c>
      <c r="H239" s="686" t="s">
        <v>4957</v>
      </c>
      <c r="I239" s="674" t="s">
        <v>171</v>
      </c>
      <c r="J239" s="674" t="s">
        <v>171</v>
      </c>
      <c r="K239" s="993">
        <v>80000</v>
      </c>
      <c r="L239" s="96" t="s">
        <v>26</v>
      </c>
      <c r="M239" s="674">
        <v>1</v>
      </c>
      <c r="N239" s="1009" t="s">
        <v>4968</v>
      </c>
      <c r="O239" s="1010">
        <v>1</v>
      </c>
      <c r="P239" s="726">
        <v>80000</v>
      </c>
      <c r="Q239" s="726">
        <v>80000</v>
      </c>
      <c r="R239" s="902" t="s">
        <v>206</v>
      </c>
      <c r="S239" s="675">
        <v>43981</v>
      </c>
      <c r="T239" s="674" t="s">
        <v>171</v>
      </c>
      <c r="U239" s="674" t="s">
        <v>171</v>
      </c>
      <c r="V239" s="674">
        <v>80000</v>
      </c>
      <c r="W239" s="900">
        <v>43980</v>
      </c>
      <c r="X239" s="674">
        <v>80000</v>
      </c>
      <c r="Y239" s="900">
        <v>43994</v>
      </c>
      <c r="Z239" s="674">
        <f>Q239-X239</f>
        <v>0</v>
      </c>
      <c r="AA239" s="952"/>
      <c r="AB239" s="1061"/>
      <c r="AC239" s="1061"/>
      <c r="AD239" s="674">
        <f>SUM(Q239)</f>
        <v>80000</v>
      </c>
      <c r="AE239" s="674">
        <f>SUM(V239)</f>
        <v>80000</v>
      </c>
      <c r="AF239" s="674">
        <f>SUM(X239)</f>
        <v>80000</v>
      </c>
      <c r="AG239" s="674">
        <f>K239-AD239</f>
        <v>0</v>
      </c>
      <c r="AH239" s="674" t="s">
        <v>1112</v>
      </c>
      <c r="AI239" s="674" t="s">
        <v>154</v>
      </c>
    </row>
    <row r="240" s="6" customFormat="1" ht="24" customHeight="1" spans="1:35">
      <c r="A240" s="674" t="s">
        <v>2466</v>
      </c>
      <c r="B240" s="675">
        <v>44405</v>
      </c>
      <c r="C240" s="983" t="s">
        <v>4954</v>
      </c>
      <c r="D240" s="667" t="s">
        <v>113</v>
      </c>
      <c r="E240" s="686" t="s">
        <v>4972</v>
      </c>
      <c r="F240" s="686" t="s">
        <v>4973</v>
      </c>
      <c r="G240" s="674" t="s">
        <v>4974</v>
      </c>
      <c r="H240" s="686" t="s">
        <v>4957</v>
      </c>
      <c r="I240" s="674" t="s">
        <v>171</v>
      </c>
      <c r="J240" s="674" t="s">
        <v>171</v>
      </c>
      <c r="K240" s="993">
        <v>80000</v>
      </c>
      <c r="L240" s="96" t="s">
        <v>26</v>
      </c>
      <c r="M240" s="674">
        <v>1</v>
      </c>
      <c r="N240" s="1009" t="s">
        <v>4975</v>
      </c>
      <c r="O240" s="1010">
        <v>1</v>
      </c>
      <c r="P240" s="726">
        <v>80000</v>
      </c>
      <c r="Q240" s="726">
        <v>80000</v>
      </c>
      <c r="R240" s="902" t="s">
        <v>4603</v>
      </c>
      <c r="S240" s="675">
        <v>44457</v>
      </c>
      <c r="T240" s="726">
        <v>80000</v>
      </c>
      <c r="U240" s="675">
        <v>44092</v>
      </c>
      <c r="V240" s="674">
        <v>80000</v>
      </c>
      <c r="W240" s="675">
        <v>44087</v>
      </c>
      <c r="X240" s="674">
        <v>80000</v>
      </c>
      <c r="Y240" s="900">
        <v>44496</v>
      </c>
      <c r="Z240" s="674">
        <f>Q240-X240</f>
        <v>0</v>
      </c>
      <c r="AA240" s="952"/>
      <c r="AB240" s="1061"/>
      <c r="AC240" s="1061"/>
      <c r="AD240" s="674">
        <f>SUM(Q240)</f>
        <v>80000</v>
      </c>
      <c r="AE240" s="674">
        <f>SUM(V240)</f>
        <v>80000</v>
      </c>
      <c r="AF240" s="674">
        <f>SUM(X240)</f>
        <v>80000</v>
      </c>
      <c r="AG240" s="674">
        <f>K240-AD240</f>
        <v>0</v>
      </c>
      <c r="AH240" s="674" t="s">
        <v>1112</v>
      </c>
      <c r="AI240" s="674" t="s">
        <v>154</v>
      </c>
    </row>
    <row r="241" s="6" customFormat="1" ht="76" spans="1:35">
      <c r="A241" s="674" t="s">
        <v>2466</v>
      </c>
      <c r="B241" s="675">
        <v>44677</v>
      </c>
      <c r="C241" s="983" t="s">
        <v>4976</v>
      </c>
      <c r="D241" s="667" t="s">
        <v>113</v>
      </c>
      <c r="E241" s="984" t="s">
        <v>4977</v>
      </c>
      <c r="F241" s="984" t="s">
        <v>4978</v>
      </c>
      <c r="G241" s="902" t="s">
        <v>4979</v>
      </c>
      <c r="H241" s="686" t="s">
        <v>4957</v>
      </c>
      <c r="I241" s="674" t="s">
        <v>171</v>
      </c>
      <c r="J241" s="674" t="s">
        <v>171</v>
      </c>
      <c r="K241" s="993">
        <v>170000</v>
      </c>
      <c r="L241" s="128" t="s">
        <v>126</v>
      </c>
      <c r="M241" s="674">
        <v>1</v>
      </c>
      <c r="N241" s="1009" t="s">
        <v>2552</v>
      </c>
      <c r="O241" s="1010">
        <v>1</v>
      </c>
      <c r="P241" s="726">
        <f>K241*O241</f>
        <v>170000</v>
      </c>
      <c r="Q241" s="726">
        <v>170000</v>
      </c>
      <c r="R241" s="902" t="s">
        <v>4603</v>
      </c>
      <c r="S241" s="675">
        <v>44791</v>
      </c>
      <c r="T241" s="726"/>
      <c r="U241" s="675"/>
      <c r="V241" s="674"/>
      <c r="W241" s="675"/>
      <c r="X241" s="674"/>
      <c r="Y241" s="900"/>
      <c r="Z241" s="674"/>
      <c r="AA241" s="952"/>
      <c r="AB241" s="1062"/>
      <c r="AC241" s="1061"/>
      <c r="AD241" s="674"/>
      <c r="AE241" s="674"/>
      <c r="AF241" s="674"/>
      <c r="AG241" s="674"/>
      <c r="AH241" s="674"/>
      <c r="AI241" s="674"/>
    </row>
    <row r="242" s="6" customFormat="1" ht="26.25" customHeight="1" spans="1:35">
      <c r="A242" s="667" t="s">
        <v>2466</v>
      </c>
      <c r="B242" s="672">
        <v>43654</v>
      </c>
      <c r="C242" s="982" t="s">
        <v>4980</v>
      </c>
      <c r="D242" s="667" t="s">
        <v>113</v>
      </c>
      <c r="E242" s="328" t="s">
        <v>4981</v>
      </c>
      <c r="F242" s="685" t="s">
        <v>4982</v>
      </c>
      <c r="G242" s="667" t="s">
        <v>4983</v>
      </c>
      <c r="H242" s="685" t="s">
        <v>4882</v>
      </c>
      <c r="I242" s="667" t="s">
        <v>171</v>
      </c>
      <c r="J242" s="667" t="s">
        <v>171</v>
      </c>
      <c r="K242" s="725">
        <f>1450000+86000</f>
        <v>1536000</v>
      </c>
      <c r="L242" s="96" t="s">
        <v>25</v>
      </c>
      <c r="M242" s="667">
        <v>1</v>
      </c>
      <c r="N242" s="787" t="s">
        <v>4984</v>
      </c>
      <c r="O242" s="790">
        <v>0.5</v>
      </c>
      <c r="P242" s="725">
        <v>725000</v>
      </c>
      <c r="Q242" s="725">
        <v>725000</v>
      </c>
      <c r="R242" s="667" t="s">
        <v>4603</v>
      </c>
      <c r="S242" s="672">
        <v>43668</v>
      </c>
      <c r="T242" s="667">
        <v>725000</v>
      </c>
      <c r="U242" s="899">
        <v>43668</v>
      </c>
      <c r="V242" s="667">
        <v>725000</v>
      </c>
      <c r="W242" s="899">
        <v>43698</v>
      </c>
      <c r="X242" s="667">
        <v>725000</v>
      </c>
      <c r="Y242" s="899">
        <v>43714</v>
      </c>
      <c r="Z242" s="667">
        <f>Q242-X242</f>
        <v>0</v>
      </c>
      <c r="AA242" s="950" t="s">
        <v>4985</v>
      </c>
      <c r="AB242" s="1019" t="s">
        <v>128</v>
      </c>
      <c r="AC242" s="667" t="s">
        <v>171</v>
      </c>
      <c r="AD242" s="667">
        <f>SUM(Q242:Q245)</f>
        <v>1536000</v>
      </c>
      <c r="AE242" s="667">
        <f>SUM(V242:V245)</f>
        <v>1536000</v>
      </c>
      <c r="AF242" s="667">
        <f>SUM(X242:X245)</f>
        <v>1536000</v>
      </c>
      <c r="AG242" s="667">
        <f>K242-AD242</f>
        <v>0</v>
      </c>
      <c r="AH242" s="667" t="s">
        <v>247</v>
      </c>
      <c r="AI242" s="667" t="s">
        <v>154</v>
      </c>
    </row>
    <row r="243" s="6" customFormat="1" ht="26.25" customHeight="1" spans="1:35">
      <c r="A243" s="667"/>
      <c r="B243" s="672"/>
      <c r="C243" s="673"/>
      <c r="D243" s="667"/>
      <c r="E243" s="328"/>
      <c r="F243" s="685"/>
      <c r="G243" s="667"/>
      <c r="H243" s="685"/>
      <c r="I243" s="667"/>
      <c r="J243" s="667"/>
      <c r="K243" s="725"/>
      <c r="L243" s="96" t="s">
        <v>25</v>
      </c>
      <c r="M243" s="667">
        <v>2</v>
      </c>
      <c r="N243" s="787" t="s">
        <v>4986</v>
      </c>
      <c r="O243" s="790">
        <v>0.4</v>
      </c>
      <c r="P243" s="725">
        <f>1450000*O243</f>
        <v>580000</v>
      </c>
      <c r="Q243" s="725">
        <v>580000</v>
      </c>
      <c r="R243" s="667" t="s">
        <v>4603</v>
      </c>
      <c r="S243" s="899">
        <v>43668</v>
      </c>
      <c r="T243" s="667">
        <v>580000</v>
      </c>
      <c r="U243" s="899">
        <v>43668</v>
      </c>
      <c r="V243" s="725">
        <v>580000</v>
      </c>
      <c r="W243" s="899">
        <v>44151</v>
      </c>
      <c r="X243" s="725">
        <v>580000</v>
      </c>
      <c r="Y243" s="899">
        <v>44161</v>
      </c>
      <c r="Z243" s="667">
        <f>Q243-X243</f>
        <v>0</v>
      </c>
      <c r="AA243" s="950" t="s">
        <v>4985</v>
      </c>
      <c r="AB243" s="975"/>
      <c r="AC243" s="667" t="s">
        <v>171</v>
      </c>
      <c r="AD243" s="667"/>
      <c r="AE243" s="667"/>
      <c r="AF243" s="667"/>
      <c r="AG243" s="667"/>
      <c r="AH243" s="667"/>
      <c r="AI243" s="667"/>
    </row>
    <row r="244" s="6" customFormat="1" ht="26.25" customHeight="1" spans="1:35">
      <c r="A244" s="667"/>
      <c r="B244" s="672"/>
      <c r="C244" s="673"/>
      <c r="D244" s="667"/>
      <c r="E244" s="328"/>
      <c r="F244" s="685"/>
      <c r="G244" s="667"/>
      <c r="H244" s="685"/>
      <c r="I244" s="667"/>
      <c r="J244" s="667"/>
      <c r="K244" s="725"/>
      <c r="L244" s="96" t="s">
        <v>126</v>
      </c>
      <c r="M244" s="667" t="s">
        <v>171</v>
      </c>
      <c r="N244" s="1011" t="s">
        <v>171</v>
      </c>
      <c r="O244" s="788">
        <v>0.07</v>
      </c>
      <c r="P244" s="725">
        <f>1450000*O244</f>
        <v>101500</v>
      </c>
      <c r="Q244" s="859">
        <f>P244+86000*0.97</f>
        <v>184920</v>
      </c>
      <c r="R244" s="667" t="s">
        <v>4603</v>
      </c>
      <c r="S244" s="1023">
        <v>44195</v>
      </c>
      <c r="T244" s="992">
        <v>184920</v>
      </c>
      <c r="U244" s="1023">
        <v>44195</v>
      </c>
      <c r="V244" s="992">
        <v>184920</v>
      </c>
      <c r="W244" s="899">
        <v>44207</v>
      </c>
      <c r="X244" s="992">
        <v>184920</v>
      </c>
      <c r="Y244" s="899">
        <v>44305</v>
      </c>
      <c r="Z244" s="667">
        <f>Q244-X244</f>
        <v>0</v>
      </c>
      <c r="AA244" s="950" t="s">
        <v>4985</v>
      </c>
      <c r="AB244" s="975"/>
      <c r="AC244" s="951"/>
      <c r="AD244" s="667"/>
      <c r="AE244" s="667"/>
      <c r="AF244" s="667"/>
      <c r="AG244" s="667"/>
      <c r="AH244" s="667"/>
      <c r="AI244" s="667"/>
    </row>
    <row r="245" s="6" customFormat="1" ht="26.25" customHeight="1" spans="1:35">
      <c r="A245" s="667"/>
      <c r="B245" s="672"/>
      <c r="C245" s="673"/>
      <c r="D245" s="667"/>
      <c r="E245" s="328"/>
      <c r="F245" s="685"/>
      <c r="G245" s="667"/>
      <c r="H245" s="685"/>
      <c r="I245" s="667"/>
      <c r="J245" s="667"/>
      <c r="K245" s="725"/>
      <c r="L245" s="96" t="s">
        <v>126</v>
      </c>
      <c r="M245" s="667">
        <v>3</v>
      </c>
      <c r="N245" s="787" t="s">
        <v>4987</v>
      </c>
      <c r="O245" s="790">
        <v>0.03</v>
      </c>
      <c r="P245" s="725">
        <v>43500</v>
      </c>
      <c r="Q245" s="859">
        <f>P245+86000*0.03</f>
        <v>46080</v>
      </c>
      <c r="R245" s="667" t="s">
        <v>4603</v>
      </c>
      <c r="S245" s="1023">
        <v>44195</v>
      </c>
      <c r="T245" s="992">
        <v>46080</v>
      </c>
      <c r="U245" s="1023">
        <v>44195</v>
      </c>
      <c r="V245" s="992">
        <v>46080</v>
      </c>
      <c r="W245" s="899">
        <v>44207</v>
      </c>
      <c r="X245" s="992">
        <v>46080</v>
      </c>
      <c r="Y245" s="899">
        <v>44419</v>
      </c>
      <c r="Z245" s="667">
        <f>Q245-X245</f>
        <v>0</v>
      </c>
      <c r="AA245" s="950" t="s">
        <v>4985</v>
      </c>
      <c r="AB245" s="663"/>
      <c r="AC245" s="951"/>
      <c r="AD245" s="667"/>
      <c r="AE245" s="667"/>
      <c r="AF245" s="667"/>
      <c r="AG245" s="667"/>
      <c r="AH245" s="667"/>
      <c r="AI245" s="667"/>
    </row>
    <row r="246" s="6" customFormat="1" ht="32" customHeight="1" spans="1:35">
      <c r="A246" s="984" t="s">
        <v>2570</v>
      </c>
      <c r="B246" s="985">
        <v>44015</v>
      </c>
      <c r="C246" s="983" t="s">
        <v>4988</v>
      </c>
      <c r="D246" s="685"/>
      <c r="E246" s="686" t="s">
        <v>4989</v>
      </c>
      <c r="F246" s="686" t="s">
        <v>4990</v>
      </c>
      <c r="G246" s="984" t="s">
        <v>4991</v>
      </c>
      <c r="H246" s="984" t="s">
        <v>4090</v>
      </c>
      <c r="I246" s="984" t="s">
        <v>4992</v>
      </c>
      <c r="J246" s="984" t="s">
        <v>4993</v>
      </c>
      <c r="K246" s="994">
        <v>602261.51</v>
      </c>
      <c r="L246" s="984" t="s">
        <v>26</v>
      </c>
      <c r="M246" s="686">
        <v>1</v>
      </c>
      <c r="N246" s="1009" t="s">
        <v>2784</v>
      </c>
      <c r="O246" s="793">
        <v>0.2</v>
      </c>
      <c r="P246" s="994">
        <f>O246*K246</f>
        <v>120452.302</v>
      </c>
      <c r="Q246" s="994">
        <v>602621.55</v>
      </c>
      <c r="R246" s="686" t="s">
        <v>4603</v>
      </c>
      <c r="S246" s="1033">
        <v>44043</v>
      </c>
      <c r="T246" s="686">
        <v>602621.55</v>
      </c>
      <c r="U246" s="1045">
        <v>44043</v>
      </c>
      <c r="V246" s="686">
        <v>602621.55</v>
      </c>
      <c r="W246" s="1046">
        <v>44064</v>
      </c>
      <c r="X246" s="1047">
        <v>602621.55</v>
      </c>
      <c r="Y246" s="1045">
        <v>44070</v>
      </c>
      <c r="Z246" s="667">
        <f>Q246-X246</f>
        <v>0</v>
      </c>
      <c r="AA246" s="686" t="s">
        <v>4994</v>
      </c>
      <c r="AB246" s="792"/>
      <c r="AC246" s="792"/>
      <c r="AD246" s="686"/>
      <c r="AE246" s="686"/>
      <c r="AF246" s="686"/>
      <c r="AG246" s="686"/>
      <c r="AH246" s="686"/>
      <c r="AI246" s="686"/>
    </row>
    <row r="247" s="6" customFormat="1" ht="53.35" customHeight="1" spans="1:35">
      <c r="A247" s="686"/>
      <c r="B247" s="984"/>
      <c r="C247" s="676"/>
      <c r="D247" s="685"/>
      <c r="E247" s="686"/>
      <c r="F247" s="686"/>
      <c r="G247" s="686"/>
      <c r="H247" s="686"/>
      <c r="I247" s="686"/>
      <c r="J247" s="686"/>
      <c r="K247" s="994"/>
      <c r="L247" s="686"/>
      <c r="M247" s="686">
        <v>2</v>
      </c>
      <c r="N247" s="1009" t="s">
        <v>2786</v>
      </c>
      <c r="O247" s="793">
        <v>0.3</v>
      </c>
      <c r="P247" s="994">
        <f>O247*K246</f>
        <v>180678.453</v>
      </c>
      <c r="Q247" s="994"/>
      <c r="R247" s="686"/>
      <c r="S247" s="1033"/>
      <c r="T247" s="686"/>
      <c r="U247" s="686"/>
      <c r="V247" s="686"/>
      <c r="W247" s="1046"/>
      <c r="X247" s="1048"/>
      <c r="Y247" s="686"/>
      <c r="Z247" s="667"/>
      <c r="AA247" s="686"/>
      <c r="AB247" s="792"/>
      <c r="AC247" s="792"/>
      <c r="AD247" s="686"/>
      <c r="AE247" s="686"/>
      <c r="AF247" s="686"/>
      <c r="AG247" s="686"/>
      <c r="AH247" s="686"/>
      <c r="AI247" s="686"/>
    </row>
    <row r="248" s="6" customFormat="1" ht="31" spans="1:35">
      <c r="A248" s="686"/>
      <c r="B248" s="984"/>
      <c r="C248" s="676"/>
      <c r="D248" s="685"/>
      <c r="E248" s="686"/>
      <c r="F248" s="686"/>
      <c r="G248" s="686"/>
      <c r="H248" s="686"/>
      <c r="I248" s="686"/>
      <c r="J248" s="686"/>
      <c r="K248" s="994"/>
      <c r="L248" s="686"/>
      <c r="M248" s="686">
        <v>3</v>
      </c>
      <c r="N248" s="1009" t="s">
        <v>2787</v>
      </c>
      <c r="O248" s="793">
        <v>0.5</v>
      </c>
      <c r="P248" s="994">
        <f>K246*O248</f>
        <v>301130.755</v>
      </c>
      <c r="Q248" s="994"/>
      <c r="R248" s="686"/>
      <c r="S248" s="1033"/>
      <c r="T248" s="686"/>
      <c r="U248" s="686"/>
      <c r="V248" s="686"/>
      <c r="W248" s="1046"/>
      <c r="X248" s="1049"/>
      <c r="Y248" s="686"/>
      <c r="Z248" s="667"/>
      <c r="AA248" s="686"/>
      <c r="AB248" s="792"/>
      <c r="AC248" s="792"/>
      <c r="AD248" s="686"/>
      <c r="AE248" s="686"/>
      <c r="AF248" s="686"/>
      <c r="AG248" s="686"/>
      <c r="AH248" s="686"/>
      <c r="AI248" s="686"/>
    </row>
    <row r="249" s="6" customFormat="1" ht="28" customHeight="1" spans="1:35">
      <c r="A249" s="686"/>
      <c r="B249" s="984"/>
      <c r="C249" s="676"/>
      <c r="D249" s="685"/>
      <c r="E249" s="686"/>
      <c r="F249" s="686"/>
      <c r="G249" s="984" t="s">
        <v>658</v>
      </c>
      <c r="H249" s="686"/>
      <c r="I249" s="686"/>
      <c r="J249" s="984" t="s">
        <v>4995</v>
      </c>
      <c r="K249" s="994">
        <v>4424501.74</v>
      </c>
      <c r="L249" s="984" t="s">
        <v>126</v>
      </c>
      <c r="M249" s="686">
        <v>1</v>
      </c>
      <c r="N249" s="1009" t="s">
        <v>2793</v>
      </c>
      <c r="O249" s="793">
        <v>0.2</v>
      </c>
      <c r="P249" s="994">
        <f>O249*K249</f>
        <v>884900.348</v>
      </c>
      <c r="Q249" s="1034">
        <f>P249</f>
        <v>884900.348</v>
      </c>
      <c r="R249" s="686" t="s">
        <v>4603</v>
      </c>
      <c r="S249" s="1033">
        <v>44043</v>
      </c>
      <c r="T249" s="686">
        <v>884900.35</v>
      </c>
      <c r="U249" s="985">
        <v>44043</v>
      </c>
      <c r="V249" s="686">
        <v>884900.35</v>
      </c>
      <c r="W249" s="1050">
        <v>44064</v>
      </c>
      <c r="X249" s="686">
        <v>884900.35</v>
      </c>
      <c r="Y249" s="1045">
        <v>44070</v>
      </c>
      <c r="Z249" s="1063">
        <f>Q249-X249</f>
        <v>-0.00199999986216426</v>
      </c>
      <c r="AA249" s="952"/>
      <c r="AB249" s="792"/>
      <c r="AC249" s="792"/>
      <c r="AD249" s="686"/>
      <c r="AE249" s="686"/>
      <c r="AF249" s="686"/>
      <c r="AG249" s="686"/>
      <c r="AH249" s="686"/>
      <c r="AI249" s="686"/>
    </row>
    <row r="250" s="6" customFormat="1" ht="57.5" customHeight="1" spans="1:35">
      <c r="A250" s="686"/>
      <c r="B250" s="984"/>
      <c r="C250" s="676"/>
      <c r="D250" s="685"/>
      <c r="E250" s="686"/>
      <c r="F250" s="686"/>
      <c r="G250" s="686"/>
      <c r="H250" s="686"/>
      <c r="I250" s="686"/>
      <c r="J250" s="686"/>
      <c r="K250" s="994"/>
      <c r="L250" s="686"/>
      <c r="M250" s="686">
        <v>2</v>
      </c>
      <c r="N250" s="1012" t="s">
        <v>2795</v>
      </c>
      <c r="O250" s="793">
        <v>0.25</v>
      </c>
      <c r="P250" s="994">
        <f>O250*K249</f>
        <v>1106125.435</v>
      </c>
      <c r="Q250" s="994">
        <f>P250</f>
        <v>1106125.435</v>
      </c>
      <c r="R250" s="686"/>
      <c r="S250" s="1033"/>
      <c r="T250" s="686">
        <v>1106125.44</v>
      </c>
      <c r="U250" s="985"/>
      <c r="V250" s="686">
        <v>1106125.44</v>
      </c>
      <c r="W250" s="1050">
        <v>44119</v>
      </c>
      <c r="X250" s="686">
        <v>1106125.44</v>
      </c>
      <c r="Y250" s="1045">
        <v>44127</v>
      </c>
      <c r="Z250" s="1063">
        <f>Q250-X250</f>
        <v>-0.00499999988824129</v>
      </c>
      <c r="AA250" s="952" t="s">
        <v>4996</v>
      </c>
      <c r="AB250" s="792"/>
      <c r="AC250" s="792"/>
      <c r="AD250" s="686"/>
      <c r="AE250" s="686"/>
      <c r="AF250" s="686"/>
      <c r="AG250" s="686"/>
      <c r="AH250" s="686"/>
      <c r="AI250" s="686"/>
    </row>
    <row r="251" s="6" customFormat="1" ht="52.5" customHeight="1" spans="1:35">
      <c r="A251" s="686"/>
      <c r="B251" s="984"/>
      <c r="C251" s="676"/>
      <c r="D251" s="685"/>
      <c r="E251" s="686"/>
      <c r="F251" s="686"/>
      <c r="G251" s="686"/>
      <c r="H251" s="686"/>
      <c r="I251" s="686"/>
      <c r="J251" s="686"/>
      <c r="K251" s="994"/>
      <c r="L251" s="686"/>
      <c r="M251" s="686">
        <v>3</v>
      </c>
      <c r="N251" s="1012" t="s">
        <v>2797</v>
      </c>
      <c r="O251" s="793">
        <v>0.45</v>
      </c>
      <c r="P251" s="994">
        <f>O251*K249</f>
        <v>1991025.783</v>
      </c>
      <c r="Q251" s="994">
        <f>P251</f>
        <v>1991025.783</v>
      </c>
      <c r="R251" s="686"/>
      <c r="S251" s="1033"/>
      <c r="T251" s="686">
        <v>1991025.78</v>
      </c>
      <c r="U251" s="985"/>
      <c r="V251" s="686">
        <v>1991025.78</v>
      </c>
      <c r="W251" s="1050">
        <v>44174</v>
      </c>
      <c r="X251" s="686">
        <v>1991025.78</v>
      </c>
      <c r="Y251" s="1045">
        <v>44193</v>
      </c>
      <c r="Z251" s="1063">
        <f>Q251-X251</f>
        <v>0.00300000002607703</v>
      </c>
      <c r="AA251" s="952" t="s">
        <v>4997</v>
      </c>
      <c r="AB251" s="792"/>
      <c r="AC251" s="792"/>
      <c r="AD251" s="686"/>
      <c r="AE251" s="686"/>
      <c r="AF251" s="686"/>
      <c r="AG251" s="686"/>
      <c r="AH251" s="686"/>
      <c r="AI251" s="686"/>
    </row>
    <row r="252" s="6" customFormat="1" ht="28" customHeight="1" spans="1:35">
      <c r="A252" s="685"/>
      <c r="B252" s="986"/>
      <c r="C252" s="673"/>
      <c r="D252" s="685"/>
      <c r="E252" s="685"/>
      <c r="F252" s="685"/>
      <c r="G252" s="685"/>
      <c r="H252" s="685"/>
      <c r="I252" s="685"/>
      <c r="J252" s="685"/>
      <c r="K252" s="791"/>
      <c r="L252" s="685"/>
      <c r="M252" s="685">
        <v>4</v>
      </c>
      <c r="N252" s="1013" t="s">
        <v>2799</v>
      </c>
      <c r="O252" s="790">
        <v>0.07</v>
      </c>
      <c r="P252" s="791">
        <f>K249*O252</f>
        <v>309715.1218</v>
      </c>
      <c r="Q252" s="1035">
        <v>309715.1218</v>
      </c>
      <c r="R252" s="986" t="s">
        <v>4603</v>
      </c>
      <c r="S252" s="896">
        <v>45280</v>
      </c>
      <c r="T252" s="685"/>
      <c r="U252" s="685"/>
      <c r="V252" s="685"/>
      <c r="W252" s="1051"/>
      <c r="X252" s="1052">
        <v>309715.1218</v>
      </c>
      <c r="Y252" s="1064">
        <v>46386</v>
      </c>
      <c r="Z252" s="1063">
        <f>Q252-X252</f>
        <v>0</v>
      </c>
      <c r="AA252" s="950"/>
      <c r="AB252" s="787"/>
      <c r="AC252" s="787"/>
      <c r="AD252" s="685"/>
      <c r="AE252" s="685"/>
      <c r="AF252" s="685"/>
      <c r="AG252" s="685"/>
      <c r="AH252" s="685"/>
      <c r="AI252" s="685"/>
    </row>
    <row r="253" s="6" customFormat="1" ht="28" customHeight="1" spans="1:35">
      <c r="A253" s="685"/>
      <c r="B253" s="986"/>
      <c r="C253" s="673"/>
      <c r="D253" s="685"/>
      <c r="E253" s="685"/>
      <c r="F253" s="685"/>
      <c r="G253" s="685"/>
      <c r="H253" s="685"/>
      <c r="I253" s="685"/>
      <c r="J253" s="685"/>
      <c r="K253" s="791"/>
      <c r="L253" s="685"/>
      <c r="M253" s="685">
        <v>5</v>
      </c>
      <c r="N253" s="1014" t="s">
        <v>2801</v>
      </c>
      <c r="O253" s="790">
        <v>0.03</v>
      </c>
      <c r="P253" s="791">
        <f>4424501.74*0.03</f>
        <v>132735.0522</v>
      </c>
      <c r="Q253" s="791"/>
      <c r="R253" s="685"/>
      <c r="S253" s="856"/>
      <c r="T253" s="685"/>
      <c r="U253" s="685"/>
      <c r="V253" s="685"/>
      <c r="W253" s="1051"/>
      <c r="X253" s="685"/>
      <c r="Y253" s="685"/>
      <c r="Z253" s="1063">
        <f>Q253-X253</f>
        <v>0</v>
      </c>
      <c r="AA253" s="950"/>
      <c r="AB253" s="787"/>
      <c r="AC253" s="787"/>
      <c r="AD253" s="685"/>
      <c r="AE253" s="685"/>
      <c r="AF253" s="685"/>
      <c r="AG253" s="685"/>
      <c r="AH253" s="685"/>
      <c r="AI253" s="685"/>
    </row>
    <row r="254" s="6" customFormat="1" ht="42" customHeight="1" spans="1:35">
      <c r="A254" s="686"/>
      <c r="B254" s="984"/>
      <c r="C254" s="676"/>
      <c r="D254" s="685"/>
      <c r="E254" s="686"/>
      <c r="F254" s="686"/>
      <c r="G254" s="984" t="s">
        <v>4998</v>
      </c>
      <c r="H254" s="686"/>
      <c r="I254" s="686"/>
      <c r="J254" s="984" t="s">
        <v>4999</v>
      </c>
      <c r="K254" s="994">
        <v>2349762.75</v>
      </c>
      <c r="L254" s="686"/>
      <c r="M254" s="686">
        <v>1</v>
      </c>
      <c r="N254" s="1009" t="s">
        <v>2793</v>
      </c>
      <c r="O254" s="793">
        <v>0.2</v>
      </c>
      <c r="P254" s="994">
        <f>O254*K254</f>
        <v>469952.55</v>
      </c>
      <c r="Q254" s="994">
        <v>469952.55</v>
      </c>
      <c r="R254" s="686" t="s">
        <v>4603</v>
      </c>
      <c r="S254" s="1033">
        <v>44043</v>
      </c>
      <c r="T254" s="686">
        <v>469952.55</v>
      </c>
      <c r="U254" s="985">
        <v>44043</v>
      </c>
      <c r="V254" s="686">
        <v>1057393.24</v>
      </c>
      <c r="W254" s="1046">
        <v>44077</v>
      </c>
      <c r="X254" s="1047">
        <v>1057393.24</v>
      </c>
      <c r="Y254" s="1045">
        <v>44101</v>
      </c>
      <c r="Z254" s="1063">
        <f>Q254+Q255-X254</f>
        <v>0</v>
      </c>
      <c r="AA254" s="952"/>
      <c r="AB254" s="792"/>
      <c r="AC254" s="792"/>
      <c r="AD254" s="686"/>
      <c r="AE254" s="686"/>
      <c r="AF254" s="686"/>
      <c r="AG254" s="686"/>
      <c r="AH254" s="686"/>
      <c r="AI254" s="686"/>
    </row>
    <row r="255" s="6" customFormat="1" ht="42" customHeight="1" spans="1:35">
      <c r="A255" s="686"/>
      <c r="B255" s="984"/>
      <c r="C255" s="676"/>
      <c r="D255" s="685"/>
      <c r="E255" s="686"/>
      <c r="F255" s="686"/>
      <c r="G255" s="686"/>
      <c r="H255" s="686"/>
      <c r="I255" s="686"/>
      <c r="J255" s="686"/>
      <c r="K255" s="994"/>
      <c r="L255" s="686"/>
      <c r="M255" s="686">
        <v>2</v>
      </c>
      <c r="N255" s="1012" t="s">
        <v>2795</v>
      </c>
      <c r="O255" s="793">
        <v>0.25</v>
      </c>
      <c r="P255" s="994">
        <f>O255*K254</f>
        <v>587440.6875</v>
      </c>
      <c r="Q255" s="994">
        <v>587440.69</v>
      </c>
      <c r="R255" s="686"/>
      <c r="S255" s="1033"/>
      <c r="T255" s="686">
        <f>Q255</f>
        <v>587440.69</v>
      </c>
      <c r="U255" s="985"/>
      <c r="V255" s="686"/>
      <c r="W255" s="1046"/>
      <c r="X255" s="1049"/>
      <c r="Y255" s="686"/>
      <c r="Z255" s="1063"/>
      <c r="AA255" s="952"/>
      <c r="AB255" s="792"/>
      <c r="AC255" s="792"/>
      <c r="AD255" s="686"/>
      <c r="AE255" s="686"/>
      <c r="AF255" s="686"/>
      <c r="AG255" s="686"/>
      <c r="AH255" s="686"/>
      <c r="AI255" s="686"/>
    </row>
    <row r="256" s="6" customFormat="1" ht="42" customHeight="1" spans="1:35">
      <c r="A256" s="686"/>
      <c r="B256" s="984"/>
      <c r="C256" s="676"/>
      <c r="D256" s="685"/>
      <c r="E256" s="686"/>
      <c r="F256" s="686"/>
      <c r="G256" s="686"/>
      <c r="H256" s="686"/>
      <c r="I256" s="686"/>
      <c r="J256" s="686"/>
      <c r="K256" s="994"/>
      <c r="L256" s="686"/>
      <c r="M256" s="686">
        <v>3</v>
      </c>
      <c r="N256" s="1012" t="s">
        <v>2797</v>
      </c>
      <c r="O256" s="793">
        <v>0.45</v>
      </c>
      <c r="P256" s="994">
        <f>O256*K254</f>
        <v>1057393.2375</v>
      </c>
      <c r="Q256" s="994">
        <v>1057393.24</v>
      </c>
      <c r="R256" s="686"/>
      <c r="S256" s="1033"/>
      <c r="T256" s="686">
        <f>Q256</f>
        <v>1057393.24</v>
      </c>
      <c r="U256" s="985"/>
      <c r="V256" s="686">
        <v>1057393.24</v>
      </c>
      <c r="W256" s="1050">
        <v>44144</v>
      </c>
      <c r="X256" s="686">
        <v>1057393.24</v>
      </c>
      <c r="Y256" s="1045">
        <v>44151</v>
      </c>
      <c r="Z256" s="1063">
        <f t="shared" ref="Z256:Z281" si="14">Q256-X256</f>
        <v>0</v>
      </c>
      <c r="AA256" s="952"/>
      <c r="AB256" s="792"/>
      <c r="AC256" s="792"/>
      <c r="AD256" s="686"/>
      <c r="AE256" s="686"/>
      <c r="AF256" s="686"/>
      <c r="AG256" s="686"/>
      <c r="AH256" s="686"/>
      <c r="AI256" s="686"/>
    </row>
    <row r="257" s="6" customFormat="1" ht="42" customHeight="1" spans="1:35">
      <c r="A257" s="685"/>
      <c r="B257" s="986"/>
      <c r="C257" s="673"/>
      <c r="D257" s="685"/>
      <c r="E257" s="685"/>
      <c r="F257" s="685"/>
      <c r="G257" s="685"/>
      <c r="H257" s="685"/>
      <c r="I257" s="685"/>
      <c r="J257" s="685"/>
      <c r="K257" s="791"/>
      <c r="L257" s="685"/>
      <c r="M257" s="685">
        <v>4</v>
      </c>
      <c r="N257" s="1014" t="s">
        <v>2811</v>
      </c>
      <c r="O257" s="790">
        <v>0.1</v>
      </c>
      <c r="P257" s="791">
        <f>K254*O257</f>
        <v>234976.275</v>
      </c>
      <c r="Q257" s="1035">
        <v>234976.275</v>
      </c>
      <c r="R257" s="986" t="s">
        <v>4603</v>
      </c>
      <c r="S257" s="896">
        <v>45280</v>
      </c>
      <c r="T257" s="685"/>
      <c r="U257" s="685"/>
      <c r="V257" s="685"/>
      <c r="W257" s="1051"/>
      <c r="X257" s="1052">
        <v>234976.275</v>
      </c>
      <c r="Y257" s="1064">
        <v>46386</v>
      </c>
      <c r="Z257" s="1063">
        <f t="shared" si="14"/>
        <v>0</v>
      </c>
      <c r="AA257" s="950"/>
      <c r="AB257" s="787"/>
      <c r="AC257" s="787"/>
      <c r="AD257" s="685"/>
      <c r="AE257" s="685"/>
      <c r="AF257" s="685"/>
      <c r="AG257" s="685"/>
      <c r="AH257" s="685"/>
      <c r="AI257" s="685"/>
    </row>
    <row r="258" s="6" customFormat="1" ht="42" customHeight="1" spans="1:35">
      <c r="A258" s="685"/>
      <c r="B258" s="986"/>
      <c r="C258" s="673"/>
      <c r="D258" s="685"/>
      <c r="E258" s="685"/>
      <c r="F258" s="685"/>
      <c r="G258" s="986" t="s">
        <v>193</v>
      </c>
      <c r="H258" s="685"/>
      <c r="I258" s="685"/>
      <c r="J258" s="986" t="s">
        <v>5000</v>
      </c>
      <c r="K258" s="791">
        <v>1002623.99</v>
      </c>
      <c r="L258" s="685"/>
      <c r="M258" s="685">
        <v>1</v>
      </c>
      <c r="N258" s="1090" t="s">
        <v>2846</v>
      </c>
      <c r="O258" s="790">
        <v>0.9</v>
      </c>
      <c r="P258" s="791">
        <f>O258*K258</f>
        <v>902361.591</v>
      </c>
      <c r="Q258" s="1035">
        <v>902361.591</v>
      </c>
      <c r="R258" s="986" t="s">
        <v>4603</v>
      </c>
      <c r="S258" s="896">
        <v>44545</v>
      </c>
      <c r="T258" s="685">
        <v>902361.59</v>
      </c>
      <c r="U258" s="855">
        <v>44545</v>
      </c>
      <c r="V258" s="685">
        <v>902361.59</v>
      </c>
      <c r="W258" s="1051">
        <v>44545</v>
      </c>
      <c r="X258" s="1035">
        <v>902361.59</v>
      </c>
      <c r="Y258" s="896">
        <v>44559</v>
      </c>
      <c r="Z258" s="1063">
        <f t="shared" si="14"/>
        <v>0.00100000004749745</v>
      </c>
      <c r="AA258" s="986" t="s">
        <v>5001</v>
      </c>
      <c r="AB258" s="787"/>
      <c r="AC258" s="787"/>
      <c r="AD258" s="685"/>
      <c r="AE258" s="685"/>
      <c r="AF258" s="685"/>
      <c r="AG258" s="685"/>
      <c r="AH258" s="685"/>
      <c r="AI258" s="685"/>
    </row>
    <row r="259" s="6" customFormat="1" ht="61" spans="1:35">
      <c r="A259" s="685"/>
      <c r="B259" s="986"/>
      <c r="C259" s="673"/>
      <c r="D259" s="685"/>
      <c r="E259" s="685"/>
      <c r="F259" s="685"/>
      <c r="G259" s="685"/>
      <c r="H259" s="685"/>
      <c r="I259" s="685"/>
      <c r="J259" s="685"/>
      <c r="K259" s="791"/>
      <c r="L259" s="685"/>
      <c r="M259" s="685">
        <v>2</v>
      </c>
      <c r="N259" s="1090" t="s">
        <v>2811</v>
      </c>
      <c r="O259" s="790">
        <v>0.1</v>
      </c>
      <c r="P259" s="791">
        <f>O259*K258</f>
        <v>100262.399</v>
      </c>
      <c r="Q259" s="1035">
        <v>100262.399</v>
      </c>
      <c r="R259" s="986" t="s">
        <v>4603</v>
      </c>
      <c r="S259" s="896">
        <v>45280</v>
      </c>
      <c r="T259" s="685"/>
      <c r="U259" s="685"/>
      <c r="V259" s="685"/>
      <c r="W259" s="1051"/>
      <c r="X259" s="1052">
        <v>100262.399</v>
      </c>
      <c r="Y259" s="1064">
        <v>46386</v>
      </c>
      <c r="Z259" s="1063">
        <f t="shared" si="14"/>
        <v>0</v>
      </c>
      <c r="AA259" s="685"/>
      <c r="AB259" s="787"/>
      <c r="AC259" s="787"/>
      <c r="AD259" s="685"/>
      <c r="AE259" s="685"/>
      <c r="AF259" s="685"/>
      <c r="AG259" s="685"/>
      <c r="AH259" s="685"/>
      <c r="AI259" s="685"/>
    </row>
    <row r="260" s="6" customFormat="1" ht="42" customHeight="1" spans="1:35">
      <c r="A260" s="685"/>
      <c r="B260" s="986"/>
      <c r="C260" s="673"/>
      <c r="D260" s="685"/>
      <c r="E260" s="685"/>
      <c r="F260" s="685"/>
      <c r="G260" s="986" t="s">
        <v>3461</v>
      </c>
      <c r="H260" s="685"/>
      <c r="I260" s="685"/>
      <c r="J260" s="986" t="s">
        <v>5002</v>
      </c>
      <c r="K260" s="791">
        <v>330772.4</v>
      </c>
      <c r="L260" s="685"/>
      <c r="M260" s="685">
        <v>1</v>
      </c>
      <c r="N260" s="1090" t="s">
        <v>2846</v>
      </c>
      <c r="O260" s="790">
        <v>0.9</v>
      </c>
      <c r="P260" s="791">
        <f>O260*K260</f>
        <v>297695.16</v>
      </c>
      <c r="Q260" s="1035">
        <v>297695.16</v>
      </c>
      <c r="R260" s="986" t="s">
        <v>4603</v>
      </c>
      <c r="S260" s="896">
        <v>44483</v>
      </c>
      <c r="T260" s="1035">
        <v>297695.16</v>
      </c>
      <c r="U260" s="855">
        <v>44483</v>
      </c>
      <c r="V260" s="685">
        <v>297695.16</v>
      </c>
      <c r="W260" s="1051">
        <v>44489</v>
      </c>
      <c r="X260" s="1035">
        <v>297695.16</v>
      </c>
      <c r="Y260" s="896">
        <v>44515</v>
      </c>
      <c r="Z260" s="1063">
        <f t="shared" si="14"/>
        <v>0</v>
      </c>
      <c r="AA260" s="685"/>
      <c r="AB260" s="787"/>
      <c r="AC260" s="787"/>
      <c r="AD260" s="685"/>
      <c r="AE260" s="685"/>
      <c r="AF260" s="685"/>
      <c r="AG260" s="685"/>
      <c r="AH260" s="685"/>
      <c r="AI260" s="685"/>
    </row>
    <row r="261" s="6" customFormat="1" ht="42" customHeight="1" spans="1:35">
      <c r="A261" s="685"/>
      <c r="B261" s="986"/>
      <c r="C261" s="673"/>
      <c r="D261" s="685"/>
      <c r="E261" s="685"/>
      <c r="F261" s="685"/>
      <c r="G261" s="685"/>
      <c r="H261" s="685"/>
      <c r="I261" s="685"/>
      <c r="J261" s="685"/>
      <c r="K261" s="791"/>
      <c r="L261" s="685"/>
      <c r="M261" s="685">
        <v>2</v>
      </c>
      <c r="N261" s="1090" t="s">
        <v>2811</v>
      </c>
      <c r="O261" s="790">
        <v>0.1</v>
      </c>
      <c r="P261" s="791">
        <f>O261*K260</f>
        <v>33077.24</v>
      </c>
      <c r="Q261" s="1035">
        <v>33077.24</v>
      </c>
      <c r="R261" s="986" t="s">
        <v>4603</v>
      </c>
      <c r="S261" s="896">
        <v>45280</v>
      </c>
      <c r="T261" s="685"/>
      <c r="U261" s="685"/>
      <c r="V261" s="685"/>
      <c r="W261" s="1051"/>
      <c r="X261" s="1052">
        <v>33077.24</v>
      </c>
      <c r="Y261" s="1064">
        <v>46386</v>
      </c>
      <c r="Z261" s="1063">
        <f t="shared" si="14"/>
        <v>0</v>
      </c>
      <c r="AA261" s="685"/>
      <c r="AB261" s="787"/>
      <c r="AC261" s="787"/>
      <c r="AD261" s="685"/>
      <c r="AE261" s="685"/>
      <c r="AF261" s="685"/>
      <c r="AG261" s="685"/>
      <c r="AH261" s="685"/>
      <c r="AI261" s="685"/>
    </row>
    <row r="262" s="6" customFormat="1" ht="42" customHeight="1" spans="1:35">
      <c r="A262" s="685"/>
      <c r="B262" s="986"/>
      <c r="C262" s="673"/>
      <c r="D262" s="685"/>
      <c r="E262" s="685"/>
      <c r="F262" s="685"/>
      <c r="G262" s="986" t="s">
        <v>5003</v>
      </c>
      <c r="H262" s="685"/>
      <c r="I262" s="685"/>
      <c r="J262" s="986" t="s">
        <v>4339</v>
      </c>
      <c r="K262" s="791">
        <v>200000</v>
      </c>
      <c r="L262" s="685"/>
      <c r="M262" s="685">
        <v>1</v>
      </c>
      <c r="N262" s="1090" t="s">
        <v>2846</v>
      </c>
      <c r="O262" s="790">
        <v>0.9</v>
      </c>
      <c r="P262" s="1035">
        <f>O262*K262</f>
        <v>180000</v>
      </c>
      <c r="Q262" s="1035">
        <v>180000</v>
      </c>
      <c r="R262" s="986" t="s">
        <v>4603</v>
      </c>
      <c r="S262" s="1121">
        <v>44909</v>
      </c>
      <c r="T262" s="1035">
        <v>180000</v>
      </c>
      <c r="U262" s="1121">
        <v>44905</v>
      </c>
      <c r="V262" s="685"/>
      <c r="W262" s="1051"/>
      <c r="X262" s="1052">
        <v>180000</v>
      </c>
      <c r="Y262" s="1064">
        <v>46386</v>
      </c>
      <c r="Z262" s="1063">
        <f t="shared" si="14"/>
        <v>0</v>
      </c>
      <c r="AA262" s="685"/>
      <c r="AB262" s="787"/>
      <c r="AC262" s="787"/>
      <c r="AD262" s="685"/>
      <c r="AE262" s="685"/>
      <c r="AF262" s="685"/>
      <c r="AG262" s="685"/>
      <c r="AH262" s="685"/>
      <c r="AI262" s="685"/>
    </row>
    <row r="263" s="6" customFormat="1" ht="61" spans="1:35">
      <c r="A263" s="685"/>
      <c r="B263" s="986"/>
      <c r="C263" s="673"/>
      <c r="D263" s="685"/>
      <c r="E263" s="685"/>
      <c r="F263" s="685"/>
      <c r="G263" s="685"/>
      <c r="H263" s="685"/>
      <c r="I263" s="685"/>
      <c r="J263" s="685"/>
      <c r="K263" s="791"/>
      <c r="L263" s="685"/>
      <c r="M263" s="685">
        <v>2</v>
      </c>
      <c r="N263" s="1090" t="s">
        <v>2811</v>
      </c>
      <c r="O263" s="790">
        <v>0.1</v>
      </c>
      <c r="P263" s="791">
        <f>O263*K262</f>
        <v>20000</v>
      </c>
      <c r="Q263" s="1035">
        <v>20000</v>
      </c>
      <c r="R263" s="986" t="s">
        <v>4603</v>
      </c>
      <c r="S263" s="896">
        <v>45280</v>
      </c>
      <c r="T263" s="685"/>
      <c r="U263" s="685"/>
      <c r="V263" s="685"/>
      <c r="W263" s="1051"/>
      <c r="X263" s="1052">
        <v>20000</v>
      </c>
      <c r="Y263" s="1064">
        <v>46386</v>
      </c>
      <c r="Z263" s="1063">
        <f t="shared" si="14"/>
        <v>0</v>
      </c>
      <c r="AA263" s="685"/>
      <c r="AB263" s="787"/>
      <c r="AC263" s="787"/>
      <c r="AD263" s="685"/>
      <c r="AE263" s="685"/>
      <c r="AF263" s="685"/>
      <c r="AG263" s="685"/>
      <c r="AH263" s="685"/>
      <c r="AI263" s="685"/>
    </row>
    <row r="264" s="6" customFormat="1" ht="42" customHeight="1" spans="1:35">
      <c r="A264" s="685"/>
      <c r="B264" s="986"/>
      <c r="C264" s="673"/>
      <c r="D264" s="685"/>
      <c r="E264" s="685"/>
      <c r="F264" s="685"/>
      <c r="G264" s="986" t="s">
        <v>5004</v>
      </c>
      <c r="H264" s="685"/>
      <c r="I264" s="685"/>
      <c r="J264" s="986" t="s">
        <v>5005</v>
      </c>
      <c r="K264" s="791">
        <v>78325.44</v>
      </c>
      <c r="L264" s="685"/>
      <c r="M264" s="685">
        <v>1</v>
      </c>
      <c r="N264" s="1090" t="s">
        <v>2846</v>
      </c>
      <c r="O264" s="790">
        <v>0.9</v>
      </c>
      <c r="P264" s="791">
        <f>O264*K264</f>
        <v>70492.896</v>
      </c>
      <c r="Q264" s="1035">
        <v>70492.9</v>
      </c>
      <c r="R264" s="986" t="s">
        <v>4603</v>
      </c>
      <c r="S264" s="1121">
        <v>44545</v>
      </c>
      <c r="T264" s="685">
        <v>70492.9</v>
      </c>
      <c r="U264" s="855">
        <v>44545</v>
      </c>
      <c r="V264" s="685">
        <v>70492.9</v>
      </c>
      <c r="W264" s="1051">
        <v>44545</v>
      </c>
      <c r="X264" s="685">
        <v>70492.9</v>
      </c>
      <c r="Y264" s="855">
        <v>44559</v>
      </c>
      <c r="Z264" s="1063">
        <f t="shared" si="14"/>
        <v>0</v>
      </c>
      <c r="AA264" s="986" t="s">
        <v>250</v>
      </c>
      <c r="AB264" s="787"/>
      <c r="AC264" s="787"/>
      <c r="AD264" s="685"/>
      <c r="AE264" s="685"/>
      <c r="AF264" s="685"/>
      <c r="AG264" s="685"/>
      <c r="AH264" s="685"/>
      <c r="AI264" s="685"/>
    </row>
    <row r="265" s="6" customFormat="1" ht="61" spans="1:35">
      <c r="A265" s="685"/>
      <c r="B265" s="986"/>
      <c r="C265" s="673"/>
      <c r="D265" s="685"/>
      <c r="E265" s="685"/>
      <c r="F265" s="685"/>
      <c r="G265" s="685"/>
      <c r="H265" s="685"/>
      <c r="I265" s="685"/>
      <c r="J265" s="685"/>
      <c r="K265" s="791"/>
      <c r="L265" s="685"/>
      <c r="M265" s="685">
        <v>2</v>
      </c>
      <c r="N265" s="1090" t="s">
        <v>2811</v>
      </c>
      <c r="O265" s="790">
        <v>0.1</v>
      </c>
      <c r="P265" s="791">
        <f>O265*K264</f>
        <v>7832.544</v>
      </c>
      <c r="Q265" s="1035">
        <v>7832.544</v>
      </c>
      <c r="R265" s="986" t="s">
        <v>4603</v>
      </c>
      <c r="S265" s="896">
        <v>45280</v>
      </c>
      <c r="T265" s="986"/>
      <c r="U265" s="685"/>
      <c r="V265" s="685"/>
      <c r="W265" s="1051"/>
      <c r="X265" s="1052">
        <v>7832.544</v>
      </c>
      <c r="Y265" s="1064">
        <v>46021</v>
      </c>
      <c r="Z265" s="1063">
        <f t="shared" si="14"/>
        <v>0</v>
      </c>
      <c r="AA265" s="685"/>
      <c r="AB265" s="787"/>
      <c r="AC265" s="787"/>
      <c r="AD265" s="685"/>
      <c r="AE265" s="685"/>
      <c r="AF265" s="685"/>
      <c r="AG265" s="685"/>
      <c r="AH265" s="685"/>
      <c r="AI265" s="685"/>
    </row>
    <row r="266" s="6" customFormat="1" ht="42" customHeight="1" spans="1:35">
      <c r="A266" s="685"/>
      <c r="B266" s="986"/>
      <c r="C266" s="673"/>
      <c r="D266" s="685"/>
      <c r="E266" s="685"/>
      <c r="F266" s="685"/>
      <c r="G266" s="986" t="s">
        <v>5006</v>
      </c>
      <c r="H266" s="685"/>
      <c r="I266" s="685"/>
      <c r="J266" s="986" t="s">
        <v>5007</v>
      </c>
      <c r="K266" s="791">
        <v>313301.7</v>
      </c>
      <c r="L266" s="685"/>
      <c r="M266" s="685">
        <v>1</v>
      </c>
      <c r="N266" s="1090" t="s">
        <v>2846</v>
      </c>
      <c r="O266" s="790">
        <v>0.9</v>
      </c>
      <c r="P266" s="791">
        <f>O266*K266</f>
        <v>281971.53</v>
      </c>
      <c r="Q266" s="1035">
        <v>281971.53</v>
      </c>
      <c r="R266" s="986" t="s">
        <v>4603</v>
      </c>
      <c r="S266" s="1121">
        <v>44545</v>
      </c>
      <c r="T266" s="1035">
        <v>281971.53</v>
      </c>
      <c r="U266" s="855">
        <v>44545</v>
      </c>
      <c r="V266" s="685">
        <v>281971.53</v>
      </c>
      <c r="W266" s="1051">
        <v>44545</v>
      </c>
      <c r="X266" s="685">
        <v>281971.53</v>
      </c>
      <c r="Y266" s="855">
        <v>44559</v>
      </c>
      <c r="Z266" s="1063">
        <f t="shared" si="14"/>
        <v>0</v>
      </c>
      <c r="AA266" s="986" t="s">
        <v>250</v>
      </c>
      <c r="AB266" s="787"/>
      <c r="AC266" s="787"/>
      <c r="AD266" s="685"/>
      <c r="AE266" s="685"/>
      <c r="AF266" s="685"/>
      <c r="AG266" s="685"/>
      <c r="AH266" s="685"/>
      <c r="AI266" s="685"/>
    </row>
    <row r="267" s="6" customFormat="1" ht="61" spans="1:35">
      <c r="A267" s="685"/>
      <c r="B267" s="986"/>
      <c r="C267" s="673"/>
      <c r="D267" s="685"/>
      <c r="E267" s="685"/>
      <c r="F267" s="685"/>
      <c r="G267" s="685"/>
      <c r="H267" s="685"/>
      <c r="I267" s="685"/>
      <c r="J267" s="685"/>
      <c r="K267" s="791"/>
      <c r="L267" s="685"/>
      <c r="M267" s="685">
        <v>2</v>
      </c>
      <c r="N267" s="1090" t="s">
        <v>2811</v>
      </c>
      <c r="O267" s="790">
        <v>0.1</v>
      </c>
      <c r="P267" s="791">
        <f>O267*K266</f>
        <v>31330.17</v>
      </c>
      <c r="Q267" s="1035">
        <v>31330.17</v>
      </c>
      <c r="R267" s="986" t="s">
        <v>4603</v>
      </c>
      <c r="S267" s="896">
        <v>45280</v>
      </c>
      <c r="T267" s="685"/>
      <c r="U267" s="685"/>
      <c r="V267" s="685"/>
      <c r="W267" s="1051"/>
      <c r="X267" s="1052">
        <v>31330.17</v>
      </c>
      <c r="Y267" s="1064">
        <v>46386</v>
      </c>
      <c r="Z267" s="1063">
        <f t="shared" si="14"/>
        <v>0</v>
      </c>
      <c r="AA267" s="950"/>
      <c r="AB267" s="787"/>
      <c r="AC267" s="787"/>
      <c r="AD267" s="685"/>
      <c r="AE267" s="685"/>
      <c r="AF267" s="685"/>
      <c r="AG267" s="685"/>
      <c r="AH267" s="685"/>
      <c r="AI267" s="685"/>
    </row>
    <row r="268" s="6" customFormat="1" ht="42" customHeight="1" spans="1:35">
      <c r="A268" s="984" t="s">
        <v>2570</v>
      </c>
      <c r="B268" s="985">
        <v>44022</v>
      </c>
      <c r="C268" s="983" t="s">
        <v>4988</v>
      </c>
      <c r="D268" s="685"/>
      <c r="E268" s="686" t="s">
        <v>5008</v>
      </c>
      <c r="F268" s="686" t="s">
        <v>5009</v>
      </c>
      <c r="G268" s="984" t="s">
        <v>3723</v>
      </c>
      <c r="H268" s="984" t="s">
        <v>5010</v>
      </c>
      <c r="I268" s="984" t="s">
        <v>5011</v>
      </c>
      <c r="J268" s="984" t="s">
        <v>5012</v>
      </c>
      <c r="K268" s="994">
        <v>1685346.25</v>
      </c>
      <c r="L268" s="984" t="s">
        <v>126</v>
      </c>
      <c r="M268" s="686">
        <v>1</v>
      </c>
      <c r="N268" s="1009" t="s">
        <v>2793</v>
      </c>
      <c r="O268" s="793">
        <v>0.15</v>
      </c>
      <c r="P268" s="994">
        <f>O268*K268</f>
        <v>252801.9375</v>
      </c>
      <c r="Q268" s="994">
        <v>252801.94</v>
      </c>
      <c r="R268" s="686" t="s">
        <v>4603</v>
      </c>
      <c r="S268" s="1033">
        <v>44043</v>
      </c>
      <c r="T268" s="686">
        <v>252801.94</v>
      </c>
      <c r="U268" s="985">
        <v>44043</v>
      </c>
      <c r="V268" s="686">
        <v>252801.94</v>
      </c>
      <c r="W268" s="1050">
        <v>44064</v>
      </c>
      <c r="X268" s="686">
        <v>252801.94</v>
      </c>
      <c r="Y268" s="1045">
        <v>44070</v>
      </c>
      <c r="Z268" s="1063">
        <f t="shared" si="14"/>
        <v>0</v>
      </c>
      <c r="AA268" s="952"/>
      <c r="AB268" s="792"/>
      <c r="AC268" s="792"/>
      <c r="AD268" s="686"/>
      <c r="AE268" s="686"/>
      <c r="AF268" s="686"/>
      <c r="AG268" s="686"/>
      <c r="AH268" s="686"/>
      <c r="AI268" s="686"/>
    </row>
    <row r="269" s="6" customFormat="1" ht="42" customHeight="1" spans="1:35">
      <c r="A269" s="686"/>
      <c r="B269" s="984"/>
      <c r="C269" s="676"/>
      <c r="D269" s="685"/>
      <c r="E269" s="686"/>
      <c r="F269" s="686"/>
      <c r="G269" s="686"/>
      <c r="H269" s="686"/>
      <c r="I269" s="686"/>
      <c r="J269" s="686"/>
      <c r="K269" s="994"/>
      <c r="L269" s="686"/>
      <c r="M269" s="686">
        <v>2</v>
      </c>
      <c r="N269" s="1012" t="s">
        <v>2817</v>
      </c>
      <c r="O269" s="793">
        <v>0.1</v>
      </c>
      <c r="P269" s="994">
        <f>O269*K268</f>
        <v>168534.625</v>
      </c>
      <c r="Q269" s="994">
        <v>168534.63</v>
      </c>
      <c r="R269" s="686"/>
      <c r="S269" s="1033"/>
      <c r="T269" s="686">
        <f>Q269</f>
        <v>168534.63</v>
      </c>
      <c r="U269" s="985"/>
      <c r="V269" s="686">
        <v>168534.63</v>
      </c>
      <c r="W269" s="1050">
        <v>44078</v>
      </c>
      <c r="X269" s="686">
        <v>168534.63</v>
      </c>
      <c r="Y269" s="1045">
        <v>44099</v>
      </c>
      <c r="Z269" s="1063">
        <f t="shared" si="14"/>
        <v>0</v>
      </c>
      <c r="AA269" s="952"/>
      <c r="AB269" s="792"/>
      <c r="AC269" s="792"/>
      <c r="AD269" s="686"/>
      <c r="AE269" s="686"/>
      <c r="AF269" s="686"/>
      <c r="AG269" s="686"/>
      <c r="AH269" s="686"/>
      <c r="AI269" s="686"/>
    </row>
    <row r="270" s="6" customFormat="1" ht="42" customHeight="1" spans="1:35">
      <c r="A270" s="686"/>
      <c r="B270" s="984"/>
      <c r="C270" s="676"/>
      <c r="D270" s="685"/>
      <c r="E270" s="686"/>
      <c r="F270" s="686"/>
      <c r="G270" s="686"/>
      <c r="H270" s="686"/>
      <c r="I270" s="686"/>
      <c r="J270" s="686"/>
      <c r="K270" s="994"/>
      <c r="L270" s="686"/>
      <c r="M270" s="686">
        <v>3</v>
      </c>
      <c r="N270" s="1012" t="s">
        <v>2818</v>
      </c>
      <c r="O270" s="793">
        <v>0.1</v>
      </c>
      <c r="P270" s="994">
        <v>168534.62</v>
      </c>
      <c r="Q270" s="994">
        <v>168534.62</v>
      </c>
      <c r="R270" s="686"/>
      <c r="S270" s="1033"/>
      <c r="T270" s="686">
        <f>Q270</f>
        <v>168534.62</v>
      </c>
      <c r="U270" s="985"/>
      <c r="V270" s="686">
        <v>168534.62</v>
      </c>
      <c r="W270" s="1050">
        <v>44139</v>
      </c>
      <c r="X270" s="686">
        <v>168534.62</v>
      </c>
      <c r="Y270" s="1045">
        <v>44146</v>
      </c>
      <c r="Z270" s="1063">
        <f t="shared" si="14"/>
        <v>0</v>
      </c>
      <c r="AA270" s="952"/>
      <c r="AB270" s="792"/>
      <c r="AC270" s="792"/>
      <c r="AD270" s="686"/>
      <c r="AE270" s="686"/>
      <c r="AF270" s="686"/>
      <c r="AG270" s="686"/>
      <c r="AH270" s="686"/>
      <c r="AI270" s="686"/>
    </row>
    <row r="271" s="6" customFormat="1" ht="42" customHeight="1" spans="1:35">
      <c r="A271" s="685"/>
      <c r="B271" s="986"/>
      <c r="C271" s="673"/>
      <c r="D271" s="685"/>
      <c r="E271" s="685"/>
      <c r="F271" s="685"/>
      <c r="G271" s="685"/>
      <c r="H271" s="685"/>
      <c r="I271" s="685"/>
      <c r="J271" s="685"/>
      <c r="K271" s="791"/>
      <c r="L271" s="685"/>
      <c r="M271" s="685">
        <v>4</v>
      </c>
      <c r="N271" s="1014" t="s">
        <v>2819</v>
      </c>
      <c r="O271" s="790">
        <v>0.1</v>
      </c>
      <c r="P271" s="791">
        <f>O271*K268</f>
        <v>168534.625</v>
      </c>
      <c r="Q271" s="791">
        <v>168534.63</v>
      </c>
      <c r="R271" s="685" t="s">
        <v>4603</v>
      </c>
      <c r="S271" s="856">
        <v>44278</v>
      </c>
      <c r="T271" s="685">
        <v>168534.63</v>
      </c>
      <c r="U271" s="855">
        <v>44278</v>
      </c>
      <c r="V271" s="685">
        <v>168534.62</v>
      </c>
      <c r="W271" s="1051">
        <v>44287</v>
      </c>
      <c r="X271" s="986">
        <v>168534.62</v>
      </c>
      <c r="Y271" s="1069">
        <v>44311</v>
      </c>
      <c r="Z271" s="1063">
        <f t="shared" si="14"/>
        <v>0.0100000000093132</v>
      </c>
      <c r="AA271" s="950" t="s">
        <v>5013</v>
      </c>
      <c r="AB271" s="787"/>
      <c r="AC271" s="787"/>
      <c r="AD271" s="685"/>
      <c r="AE271" s="685"/>
      <c r="AF271" s="685"/>
      <c r="AG271" s="685"/>
      <c r="AH271" s="685"/>
      <c r="AI271" s="685"/>
    </row>
    <row r="272" s="6" customFormat="1" ht="42" customHeight="1" spans="1:35">
      <c r="A272" s="685"/>
      <c r="B272" s="986"/>
      <c r="C272" s="673"/>
      <c r="D272" s="685"/>
      <c r="E272" s="685"/>
      <c r="F272" s="685"/>
      <c r="G272" s="685"/>
      <c r="H272" s="685"/>
      <c r="I272" s="685"/>
      <c r="J272" s="685"/>
      <c r="K272" s="791"/>
      <c r="L272" s="685"/>
      <c r="M272" s="685">
        <v>5</v>
      </c>
      <c r="N272" s="1014" t="s">
        <v>2820</v>
      </c>
      <c r="O272" s="790">
        <v>0.15</v>
      </c>
      <c r="P272" s="791">
        <f>O272*K268</f>
        <v>252801.9375</v>
      </c>
      <c r="Q272" s="1035">
        <v>252801.9375</v>
      </c>
      <c r="R272" s="986" t="s">
        <v>4603</v>
      </c>
      <c r="S272" s="858">
        <v>44114</v>
      </c>
      <c r="T272" s="685">
        <v>252801.94</v>
      </c>
      <c r="U272" s="858">
        <v>44114</v>
      </c>
      <c r="V272" s="685">
        <v>252801.94</v>
      </c>
      <c r="W272" s="1051">
        <v>44179</v>
      </c>
      <c r="X272" s="685">
        <v>252801.94</v>
      </c>
      <c r="Y272" s="855">
        <v>44190</v>
      </c>
      <c r="Z272" s="1063">
        <f t="shared" si="14"/>
        <v>-0.00250000000232831</v>
      </c>
      <c r="AA272" s="950"/>
      <c r="AB272" s="787"/>
      <c r="AC272" s="787"/>
      <c r="AD272" s="685"/>
      <c r="AE272" s="685"/>
      <c r="AF272" s="685"/>
      <c r="AG272" s="685"/>
      <c r="AH272" s="685"/>
      <c r="AI272" s="685"/>
    </row>
    <row r="273" s="6" customFormat="1" ht="42" customHeight="1" spans="1:35">
      <c r="A273" s="685"/>
      <c r="B273" s="986"/>
      <c r="C273" s="673"/>
      <c r="D273" s="685"/>
      <c r="E273" s="685"/>
      <c r="F273" s="685"/>
      <c r="G273" s="685"/>
      <c r="H273" s="685"/>
      <c r="I273" s="685"/>
      <c r="J273" s="685"/>
      <c r="K273" s="791"/>
      <c r="L273" s="685"/>
      <c r="M273" s="685">
        <v>6</v>
      </c>
      <c r="N273" s="1014" t="s">
        <v>2821</v>
      </c>
      <c r="O273" s="790">
        <v>0.15</v>
      </c>
      <c r="P273" s="791">
        <f>O273*K268</f>
        <v>252801.9375</v>
      </c>
      <c r="Q273" s="1035">
        <v>252801.9375</v>
      </c>
      <c r="R273" s="986"/>
      <c r="S273" s="858"/>
      <c r="T273" s="685">
        <v>252801.94</v>
      </c>
      <c r="U273" s="858"/>
      <c r="V273" s="685">
        <v>252801.94</v>
      </c>
      <c r="W273" s="1051">
        <v>44216</v>
      </c>
      <c r="X273" s="685">
        <v>252801.94</v>
      </c>
      <c r="Y273" s="855">
        <v>44254</v>
      </c>
      <c r="Z273" s="1063">
        <f t="shared" si="14"/>
        <v>-0.00250000000232831</v>
      </c>
      <c r="AA273" s="950"/>
      <c r="AB273" s="787"/>
      <c r="AC273" s="787"/>
      <c r="AD273" s="685"/>
      <c r="AE273" s="685"/>
      <c r="AF273" s="685"/>
      <c r="AG273" s="685"/>
      <c r="AH273" s="685"/>
      <c r="AI273" s="685"/>
    </row>
    <row r="274" s="6" customFormat="1" ht="42" customHeight="1" spans="1:35">
      <c r="A274" s="685"/>
      <c r="B274" s="986"/>
      <c r="C274" s="673"/>
      <c r="D274" s="685"/>
      <c r="E274" s="685"/>
      <c r="F274" s="685"/>
      <c r="G274" s="685"/>
      <c r="H274" s="685"/>
      <c r="I274" s="685"/>
      <c r="J274" s="685"/>
      <c r="K274" s="791"/>
      <c r="L274" s="685"/>
      <c r="M274" s="685">
        <v>7</v>
      </c>
      <c r="N274" s="1014" t="s">
        <v>2822</v>
      </c>
      <c r="O274" s="790">
        <v>0.1</v>
      </c>
      <c r="P274" s="791">
        <f>O274*K268</f>
        <v>168534.625</v>
      </c>
      <c r="Q274" s="1035">
        <v>168534.63</v>
      </c>
      <c r="R274" s="986" t="s">
        <v>4603</v>
      </c>
      <c r="S274" s="858">
        <v>44278</v>
      </c>
      <c r="T274" s="685">
        <v>168534.63</v>
      </c>
      <c r="U274" s="855">
        <v>44278</v>
      </c>
      <c r="V274" s="685">
        <v>168534.64</v>
      </c>
      <c r="W274" s="1051">
        <v>44335</v>
      </c>
      <c r="X274" s="986">
        <v>168534.64</v>
      </c>
      <c r="Y274" s="1069">
        <v>44403</v>
      </c>
      <c r="Z274" s="1063">
        <f t="shared" si="14"/>
        <v>-0.0100000000093132</v>
      </c>
      <c r="AA274" s="950" t="s">
        <v>5014</v>
      </c>
      <c r="AB274" s="787"/>
      <c r="AC274" s="787"/>
      <c r="AD274" s="685"/>
      <c r="AE274" s="685"/>
      <c r="AF274" s="685"/>
      <c r="AG274" s="685"/>
      <c r="AH274" s="685"/>
      <c r="AI274" s="685"/>
    </row>
    <row r="275" s="6" customFormat="1" ht="42" customHeight="1" spans="1:35">
      <c r="A275" s="685"/>
      <c r="B275" s="986"/>
      <c r="C275" s="673"/>
      <c r="D275" s="685"/>
      <c r="E275" s="685"/>
      <c r="F275" s="685"/>
      <c r="G275" s="685"/>
      <c r="H275" s="685"/>
      <c r="I275" s="685"/>
      <c r="J275" s="685"/>
      <c r="K275" s="791"/>
      <c r="L275" s="685"/>
      <c r="M275" s="685">
        <v>8</v>
      </c>
      <c r="N275" s="1014" t="s">
        <v>2824</v>
      </c>
      <c r="O275" s="790">
        <v>0.12</v>
      </c>
      <c r="P275" s="791">
        <f>O275*K268</f>
        <v>202241.55</v>
      </c>
      <c r="Q275" s="1035">
        <v>202241.55</v>
      </c>
      <c r="R275" s="986" t="s">
        <v>4603</v>
      </c>
      <c r="S275" s="858">
        <v>44552</v>
      </c>
      <c r="T275" s="685">
        <v>202241.55</v>
      </c>
      <c r="U275" s="855">
        <v>44552</v>
      </c>
      <c r="V275" s="685">
        <v>202241.55</v>
      </c>
      <c r="W275" s="1051">
        <v>44615</v>
      </c>
      <c r="X275" s="986">
        <v>202241.55</v>
      </c>
      <c r="Y275" s="1069">
        <v>44735</v>
      </c>
      <c r="Z275" s="1063">
        <f t="shared" si="14"/>
        <v>0</v>
      </c>
      <c r="AA275" s="950"/>
      <c r="AB275" s="787"/>
      <c r="AC275" s="787"/>
      <c r="AD275" s="685"/>
      <c r="AE275" s="685"/>
      <c r="AF275" s="685"/>
      <c r="AG275" s="685"/>
      <c r="AH275" s="685"/>
      <c r="AI275" s="685"/>
    </row>
    <row r="276" s="6" customFormat="1" ht="56.65" customHeight="1" spans="1:35">
      <c r="A276" s="685"/>
      <c r="B276" s="986"/>
      <c r="C276" s="673"/>
      <c r="D276" s="685"/>
      <c r="E276" s="685"/>
      <c r="F276" s="685"/>
      <c r="G276" s="685"/>
      <c r="H276" s="685"/>
      <c r="I276" s="685"/>
      <c r="J276" s="685"/>
      <c r="K276" s="791"/>
      <c r="L276" s="685"/>
      <c r="M276" s="685">
        <v>9</v>
      </c>
      <c r="N276" s="1014" t="s">
        <v>2811</v>
      </c>
      <c r="O276" s="790">
        <v>0.03</v>
      </c>
      <c r="P276" s="791">
        <f>O276*K268</f>
        <v>50560.3875</v>
      </c>
      <c r="Q276" s="1052">
        <v>50560.3875</v>
      </c>
      <c r="R276" s="1122" t="s">
        <v>5015</v>
      </c>
      <c r="S276" s="1123">
        <v>46386</v>
      </c>
      <c r="T276" s="685"/>
      <c r="U276" s="685"/>
      <c r="V276" s="685"/>
      <c r="W276" s="1051"/>
      <c r="X276" s="685"/>
      <c r="Y276" s="685"/>
      <c r="Z276" s="1063">
        <f t="shared" si="14"/>
        <v>50560.3875</v>
      </c>
      <c r="AA276" s="950"/>
      <c r="AB276" s="787"/>
      <c r="AC276" s="787"/>
      <c r="AD276" s="685"/>
      <c r="AE276" s="685"/>
      <c r="AF276" s="685"/>
      <c r="AG276" s="685"/>
      <c r="AH276" s="685"/>
      <c r="AI276" s="685"/>
    </row>
    <row r="277" s="6" customFormat="1" ht="28" customHeight="1" spans="1:35">
      <c r="A277" s="413" t="s">
        <v>2570</v>
      </c>
      <c r="B277" s="1065">
        <v>44022</v>
      </c>
      <c r="C277" s="370" t="s">
        <v>4988</v>
      </c>
      <c r="D277" s="371"/>
      <c r="E277" s="371" t="s">
        <v>5016</v>
      </c>
      <c r="F277" s="371" t="s">
        <v>5017</v>
      </c>
      <c r="G277" s="413" t="s">
        <v>813</v>
      </c>
      <c r="H277" s="413" t="s">
        <v>5018</v>
      </c>
      <c r="I277" s="413" t="s">
        <v>5019</v>
      </c>
      <c r="J277" s="413" t="s">
        <v>5020</v>
      </c>
      <c r="K277" s="1082">
        <v>1138917</v>
      </c>
      <c r="L277" s="413" t="s">
        <v>126</v>
      </c>
      <c r="M277" s="371">
        <v>1</v>
      </c>
      <c r="N277" s="1091" t="s">
        <v>2833</v>
      </c>
      <c r="O277" s="1092">
        <v>0.2</v>
      </c>
      <c r="P277" s="1082">
        <f>O277*K277</f>
        <v>227783.4</v>
      </c>
      <c r="Q277" s="1082">
        <v>227783.4</v>
      </c>
      <c r="R277" s="371" t="s">
        <v>4603</v>
      </c>
      <c r="S277" s="1124">
        <v>44043</v>
      </c>
      <c r="T277" s="371">
        <v>227783.4</v>
      </c>
      <c r="U277" s="1065">
        <v>44043</v>
      </c>
      <c r="V277" s="371">
        <v>227783.4</v>
      </c>
      <c r="W277" s="1165">
        <v>44064</v>
      </c>
      <c r="X277" s="371">
        <v>227783.4</v>
      </c>
      <c r="Y277" s="1166">
        <v>44069</v>
      </c>
      <c r="Z277" s="1188">
        <f t="shared" si="14"/>
        <v>0</v>
      </c>
      <c r="AA277" s="1189"/>
      <c r="AB277" s="1190"/>
      <c r="AC277" s="1190"/>
      <c r="AD277" s="371"/>
      <c r="AE277" s="371"/>
      <c r="AF277" s="371"/>
      <c r="AG277" s="371"/>
      <c r="AH277" s="371"/>
      <c r="AI277" s="371"/>
    </row>
    <row r="278" s="6" customFormat="1" ht="49.15" customHeight="1" spans="1:35">
      <c r="A278" s="371"/>
      <c r="B278" s="413"/>
      <c r="C278" s="372"/>
      <c r="D278" s="371"/>
      <c r="E278" s="371"/>
      <c r="F278" s="371"/>
      <c r="G278" s="371"/>
      <c r="H278" s="371"/>
      <c r="I278" s="371"/>
      <c r="J278" s="371"/>
      <c r="K278" s="1082"/>
      <c r="L278" s="371"/>
      <c r="M278" s="371">
        <v>2</v>
      </c>
      <c r="N278" s="1093" t="s">
        <v>2835</v>
      </c>
      <c r="O278" s="1092">
        <v>0.35</v>
      </c>
      <c r="P278" s="1082">
        <f>O278*K277</f>
        <v>398620.95</v>
      </c>
      <c r="Q278" s="1082">
        <v>398620.95</v>
      </c>
      <c r="R278" s="371"/>
      <c r="S278" s="1124"/>
      <c r="T278" s="371">
        <f>Q278</f>
        <v>398620.95</v>
      </c>
      <c r="U278" s="1065"/>
      <c r="V278" s="371">
        <v>398620.95</v>
      </c>
      <c r="W278" s="1165">
        <v>44145</v>
      </c>
      <c r="X278" s="371">
        <v>398620.95</v>
      </c>
      <c r="Y278" s="1166">
        <v>44151</v>
      </c>
      <c r="Z278" s="1188">
        <f t="shared" si="14"/>
        <v>0</v>
      </c>
      <c r="AA278" s="1189"/>
      <c r="AB278" s="1190"/>
      <c r="AC278" s="1190"/>
      <c r="AD278" s="371"/>
      <c r="AE278" s="371"/>
      <c r="AF278" s="371"/>
      <c r="AG278" s="371"/>
      <c r="AH278" s="371"/>
      <c r="AI278" s="371"/>
    </row>
    <row r="279" s="6" customFormat="1" ht="57.5" customHeight="1" spans="1:35">
      <c r="A279" s="371"/>
      <c r="B279" s="413"/>
      <c r="C279" s="372"/>
      <c r="D279" s="371"/>
      <c r="E279" s="371"/>
      <c r="F279" s="371"/>
      <c r="G279" s="371"/>
      <c r="H279" s="371"/>
      <c r="I279" s="371"/>
      <c r="J279" s="371"/>
      <c r="K279" s="1082"/>
      <c r="L279" s="371"/>
      <c r="M279" s="371">
        <v>3</v>
      </c>
      <c r="N279" s="1093" t="s">
        <v>2837</v>
      </c>
      <c r="O279" s="1092">
        <v>0.2</v>
      </c>
      <c r="P279" s="1082">
        <f>O279*K277</f>
        <v>227783.4</v>
      </c>
      <c r="Q279" s="1125">
        <v>227783.4</v>
      </c>
      <c r="R279" s="413" t="s">
        <v>4603</v>
      </c>
      <c r="S279" s="1126">
        <v>44114</v>
      </c>
      <c r="T279" s="371">
        <v>227783.4</v>
      </c>
      <c r="U279" s="1166">
        <v>44114</v>
      </c>
      <c r="V279" s="371">
        <v>227783.4</v>
      </c>
      <c r="W279" s="1165">
        <v>44179</v>
      </c>
      <c r="X279" s="371">
        <v>227783.4</v>
      </c>
      <c r="Y279" s="1166">
        <v>44190</v>
      </c>
      <c r="Z279" s="1188">
        <f t="shared" si="14"/>
        <v>0</v>
      </c>
      <c r="AA279" s="1189"/>
      <c r="AB279" s="1190"/>
      <c r="AC279" s="1190"/>
      <c r="AD279" s="371"/>
      <c r="AE279" s="371"/>
      <c r="AF279" s="371"/>
      <c r="AG279" s="371"/>
      <c r="AH279" s="371"/>
      <c r="AI279" s="371"/>
    </row>
    <row r="280" s="6" customFormat="1" ht="52.5" customHeight="1" spans="1:35">
      <c r="A280" s="371"/>
      <c r="B280" s="413"/>
      <c r="C280" s="372"/>
      <c r="D280" s="371"/>
      <c r="E280" s="371"/>
      <c r="F280" s="371"/>
      <c r="G280" s="371"/>
      <c r="H280" s="371"/>
      <c r="I280" s="371"/>
      <c r="J280" s="371"/>
      <c r="K280" s="1082"/>
      <c r="L280" s="371"/>
      <c r="M280" s="371">
        <v>4</v>
      </c>
      <c r="N280" s="1093" t="s">
        <v>2839</v>
      </c>
      <c r="O280" s="1092">
        <v>0.22</v>
      </c>
      <c r="P280" s="1082">
        <f>O280*K277</f>
        <v>250561.74</v>
      </c>
      <c r="Q280" s="1125">
        <v>250561.74</v>
      </c>
      <c r="R280" s="413" t="s">
        <v>4603</v>
      </c>
      <c r="S280" s="1126">
        <v>44130</v>
      </c>
      <c r="T280" s="371">
        <v>250561.74</v>
      </c>
      <c r="U280" s="1166">
        <v>44130</v>
      </c>
      <c r="V280" s="371">
        <v>250561.74</v>
      </c>
      <c r="W280" s="1165">
        <v>44364</v>
      </c>
      <c r="X280" s="413">
        <v>250561.74</v>
      </c>
      <c r="Y280" s="1065">
        <v>44403</v>
      </c>
      <c r="Z280" s="1188">
        <f t="shared" si="14"/>
        <v>0</v>
      </c>
      <c r="AA280" s="1189"/>
      <c r="AB280" s="1190"/>
      <c r="AC280" s="1190"/>
      <c r="AD280" s="371"/>
      <c r="AE280" s="371"/>
      <c r="AF280" s="371"/>
      <c r="AG280" s="371"/>
      <c r="AH280" s="371"/>
      <c r="AI280" s="371"/>
    </row>
    <row r="281" s="6" customFormat="1" ht="52.5" customHeight="1" spans="1:35">
      <c r="A281" s="371"/>
      <c r="B281" s="413"/>
      <c r="C281" s="372"/>
      <c r="D281" s="371"/>
      <c r="E281" s="371"/>
      <c r="F281" s="371"/>
      <c r="G281" s="371"/>
      <c r="H281" s="371"/>
      <c r="I281" s="371"/>
      <c r="J281" s="371"/>
      <c r="K281" s="1082"/>
      <c r="L281" s="371"/>
      <c r="M281" s="371">
        <v>5</v>
      </c>
      <c r="N281" s="1093" t="s">
        <v>2811</v>
      </c>
      <c r="O281" s="1092">
        <v>0.03</v>
      </c>
      <c r="P281" s="1082">
        <f>O281*K277</f>
        <v>34167.51</v>
      </c>
      <c r="Q281" s="1127">
        <v>34167.51</v>
      </c>
      <c r="R281" s="1128" t="s">
        <v>5015</v>
      </c>
      <c r="S281" s="1129">
        <v>46386</v>
      </c>
      <c r="T281" s="371"/>
      <c r="U281" s="371"/>
      <c r="V281" s="371"/>
      <c r="W281" s="1165"/>
      <c r="X281" s="371"/>
      <c r="Y281" s="371"/>
      <c r="Z281" s="1188">
        <f t="shared" si="14"/>
        <v>34167.51</v>
      </c>
      <c r="AA281" s="1189"/>
      <c r="AB281" s="1190"/>
      <c r="AC281" s="1190"/>
      <c r="AD281" s="371"/>
      <c r="AE281" s="371"/>
      <c r="AF281" s="371"/>
      <c r="AG281" s="371"/>
      <c r="AH281" s="371"/>
      <c r="AI281" s="371"/>
    </row>
    <row r="282" s="1" customFormat="1" ht="52.5" customHeight="1" spans="1:35">
      <c r="A282" s="647" t="s">
        <v>2570</v>
      </c>
      <c r="B282" s="1066">
        <v>44480</v>
      </c>
      <c r="C282" s="649" t="s">
        <v>4988</v>
      </c>
      <c r="D282" s="706"/>
      <c r="E282" s="647" t="s">
        <v>5021</v>
      </c>
      <c r="F282" s="647" t="s">
        <v>5022</v>
      </c>
      <c r="G282" s="647" t="s">
        <v>813</v>
      </c>
      <c r="H282" s="647" t="s">
        <v>5018</v>
      </c>
      <c r="I282" s="647" t="s">
        <v>5023</v>
      </c>
      <c r="J282" s="647" t="s">
        <v>171</v>
      </c>
      <c r="K282" s="1083">
        <v>76000</v>
      </c>
      <c r="L282" s="647" t="s">
        <v>126</v>
      </c>
      <c r="M282" s="127">
        <v>1</v>
      </c>
      <c r="N282" s="127" t="s">
        <v>2879</v>
      </c>
      <c r="O282" s="1094">
        <v>0.5</v>
      </c>
      <c r="P282" s="1095">
        <v>38000</v>
      </c>
      <c r="Q282" s="1032">
        <v>38000</v>
      </c>
      <c r="R282" s="127" t="s">
        <v>4603</v>
      </c>
      <c r="S282" s="1130">
        <v>44539</v>
      </c>
      <c r="T282" s="328">
        <v>38000</v>
      </c>
      <c r="U282" s="1167">
        <v>44539</v>
      </c>
      <c r="V282" s="328">
        <v>38000</v>
      </c>
      <c r="W282" s="1168">
        <v>44651</v>
      </c>
      <c r="X282" s="328">
        <v>38000</v>
      </c>
      <c r="Y282" s="1168">
        <v>44664</v>
      </c>
      <c r="Z282" s="226"/>
      <c r="AA282" s="1191"/>
      <c r="AB282" s="1192"/>
      <c r="AC282" s="1192"/>
      <c r="AD282" s="328"/>
      <c r="AE282" s="328"/>
      <c r="AF282" s="328"/>
      <c r="AG282" s="328"/>
      <c r="AH282" s="328"/>
      <c r="AI282" s="328"/>
    </row>
    <row r="283" s="1" customFormat="1" ht="52.5" customHeight="1" spans="1:35">
      <c r="A283" s="650"/>
      <c r="B283" s="651"/>
      <c r="C283" s="979"/>
      <c r="D283" s="650"/>
      <c r="E283" s="651"/>
      <c r="F283" s="650"/>
      <c r="G283" s="650"/>
      <c r="H283" s="650"/>
      <c r="I283" s="650"/>
      <c r="J283" s="650"/>
      <c r="K283" s="1084"/>
      <c r="L283" s="650"/>
      <c r="M283" s="1096">
        <v>2</v>
      </c>
      <c r="N283" s="127" t="s">
        <v>2880</v>
      </c>
      <c r="O283" s="1094">
        <v>0.45</v>
      </c>
      <c r="P283" s="1095">
        <v>34200</v>
      </c>
      <c r="Q283" s="1032">
        <v>34200</v>
      </c>
      <c r="R283" s="127" t="s">
        <v>4603</v>
      </c>
      <c r="S283" s="1130">
        <v>44734</v>
      </c>
      <c r="T283" s="328">
        <v>34200</v>
      </c>
      <c r="U283" s="1167">
        <v>44734</v>
      </c>
      <c r="V283" s="328">
        <v>34200</v>
      </c>
      <c r="W283" s="1169">
        <v>44742</v>
      </c>
      <c r="X283" s="127">
        <v>34200</v>
      </c>
      <c r="Y283" s="1130">
        <v>44826</v>
      </c>
      <c r="Z283" s="226"/>
      <c r="AA283" s="1191"/>
      <c r="AB283" s="1192"/>
      <c r="AC283" s="1192"/>
      <c r="AD283" s="328"/>
      <c r="AE283" s="328"/>
      <c r="AF283" s="328"/>
      <c r="AG283" s="328"/>
      <c r="AH283" s="328"/>
      <c r="AI283" s="328"/>
    </row>
    <row r="284" s="1" customFormat="1" ht="52.5" customHeight="1" spans="1:35">
      <c r="A284" s="353"/>
      <c r="B284" s="1067"/>
      <c r="C284" s="1068"/>
      <c r="D284" s="353"/>
      <c r="E284" s="1067"/>
      <c r="F284" s="353"/>
      <c r="G284" s="353"/>
      <c r="H284" s="353"/>
      <c r="I284" s="353"/>
      <c r="J284" s="353"/>
      <c r="K284" s="1085"/>
      <c r="L284" s="353"/>
      <c r="M284" s="1096">
        <v>3</v>
      </c>
      <c r="N284" s="127" t="s">
        <v>2881</v>
      </c>
      <c r="O284" s="1094">
        <v>0.05</v>
      </c>
      <c r="P284" s="1095">
        <v>3800</v>
      </c>
      <c r="Q284" s="1131">
        <v>3800</v>
      </c>
      <c r="R284" s="1122" t="s">
        <v>5015</v>
      </c>
      <c r="S284" s="1123">
        <v>46386</v>
      </c>
      <c r="T284" s="328"/>
      <c r="U284" s="328"/>
      <c r="V284" s="328"/>
      <c r="W284" s="1169"/>
      <c r="X284" s="328"/>
      <c r="Y284" s="328"/>
      <c r="Z284" s="226"/>
      <c r="AA284" s="1191"/>
      <c r="AB284" s="1192"/>
      <c r="AC284" s="1192"/>
      <c r="AD284" s="328"/>
      <c r="AE284" s="328"/>
      <c r="AF284" s="328"/>
      <c r="AG284" s="328"/>
      <c r="AH284" s="328"/>
      <c r="AI284" s="328"/>
    </row>
    <row r="285" s="6" customFormat="1" ht="28" customHeight="1" spans="1:35">
      <c r="A285" s="986" t="s">
        <v>2466</v>
      </c>
      <c r="B285" s="1069" t="s">
        <v>5024</v>
      </c>
      <c r="C285" s="982" t="s">
        <v>2467</v>
      </c>
      <c r="D285" s="685"/>
      <c r="E285" s="685"/>
      <c r="F285" s="685"/>
      <c r="G285" s="986" t="s">
        <v>5025</v>
      </c>
      <c r="H285" s="986" t="s">
        <v>5026</v>
      </c>
      <c r="I285" s="986" t="s">
        <v>5027</v>
      </c>
      <c r="J285" s="986" t="s">
        <v>5028</v>
      </c>
      <c r="K285" s="791">
        <v>86400</v>
      </c>
      <c r="L285" s="986" t="s">
        <v>138</v>
      </c>
      <c r="M285" s="685">
        <v>1</v>
      </c>
      <c r="N285" s="1008" t="s">
        <v>2784</v>
      </c>
      <c r="O285" s="790">
        <v>0.2</v>
      </c>
      <c r="P285" s="791">
        <f>O285*K285</f>
        <v>17280</v>
      </c>
      <c r="Q285" s="1052"/>
      <c r="R285" s="1122"/>
      <c r="S285" s="1132"/>
      <c r="T285" s="685"/>
      <c r="U285" s="685"/>
      <c r="V285" s="685"/>
      <c r="W285" s="1051"/>
      <c r="X285" s="685"/>
      <c r="Y285" s="685"/>
      <c r="Z285" s="667">
        <f t="shared" ref="Z285:Z293" si="15">Q285-X285</f>
        <v>0</v>
      </c>
      <c r="AA285" s="950"/>
      <c r="AB285" s="787"/>
      <c r="AC285" s="787"/>
      <c r="AD285" s="685"/>
      <c r="AE285" s="685"/>
      <c r="AF285" s="685"/>
      <c r="AG285" s="685"/>
      <c r="AH285" s="685"/>
      <c r="AI285" s="685"/>
    </row>
    <row r="286" s="6" customFormat="1" ht="28" customHeight="1" spans="1:35">
      <c r="A286" s="986"/>
      <c r="B286" s="1069"/>
      <c r="C286" s="982"/>
      <c r="D286" s="685"/>
      <c r="E286" s="685"/>
      <c r="F286" s="685"/>
      <c r="G286" s="986"/>
      <c r="H286" s="986"/>
      <c r="I286" s="986"/>
      <c r="J286" s="986"/>
      <c r="K286" s="791"/>
      <c r="L286" s="986"/>
      <c r="M286" s="685">
        <v>2</v>
      </c>
      <c r="N286" s="1008" t="s">
        <v>5029</v>
      </c>
      <c r="O286" s="790">
        <v>0.3</v>
      </c>
      <c r="P286" s="791">
        <f>O286*K285</f>
        <v>25920</v>
      </c>
      <c r="Q286" s="791"/>
      <c r="R286" s="685"/>
      <c r="S286" s="856"/>
      <c r="T286" s="685"/>
      <c r="U286" s="685"/>
      <c r="V286" s="685"/>
      <c r="W286" s="1051"/>
      <c r="X286" s="685"/>
      <c r="Y286" s="685"/>
      <c r="Z286" s="667">
        <f t="shared" si="15"/>
        <v>0</v>
      </c>
      <c r="AA286" s="950"/>
      <c r="AB286" s="787"/>
      <c r="AC286" s="787"/>
      <c r="AD286" s="685"/>
      <c r="AE286" s="685"/>
      <c r="AF286" s="685"/>
      <c r="AG286" s="685"/>
      <c r="AH286" s="685"/>
      <c r="AI286" s="685"/>
    </row>
    <row r="287" s="6" customFormat="1" ht="28" customHeight="1" spans="1:35">
      <c r="A287" s="986"/>
      <c r="B287" s="1069"/>
      <c r="C287" s="982"/>
      <c r="D287" s="685"/>
      <c r="E287" s="685"/>
      <c r="F287" s="685"/>
      <c r="G287" s="986"/>
      <c r="H287" s="986"/>
      <c r="I287" s="986"/>
      <c r="J287" s="986"/>
      <c r="K287" s="791"/>
      <c r="L287" s="986"/>
      <c r="M287" s="685">
        <v>3</v>
      </c>
      <c r="N287" s="1008" t="s">
        <v>5030</v>
      </c>
      <c r="O287" s="790">
        <v>0.4</v>
      </c>
      <c r="P287" s="791">
        <f>O287*K285</f>
        <v>34560</v>
      </c>
      <c r="Q287" s="791"/>
      <c r="R287" s="685"/>
      <c r="S287" s="856"/>
      <c r="T287" s="685"/>
      <c r="U287" s="685"/>
      <c r="V287" s="685"/>
      <c r="W287" s="1051"/>
      <c r="X287" s="685"/>
      <c r="Y287" s="685"/>
      <c r="Z287" s="667">
        <f t="shared" si="15"/>
        <v>0</v>
      </c>
      <c r="AA287" s="950"/>
      <c r="AB287" s="787"/>
      <c r="AC287" s="787"/>
      <c r="AD287" s="685"/>
      <c r="AE287" s="685"/>
      <c r="AF287" s="685"/>
      <c r="AG287" s="685"/>
      <c r="AH287" s="685"/>
      <c r="AI287" s="685"/>
    </row>
    <row r="288" s="6" customFormat="1" ht="28" customHeight="1" spans="1:35">
      <c r="A288" s="986"/>
      <c r="B288" s="1069"/>
      <c r="C288" s="982"/>
      <c r="D288" s="685"/>
      <c r="E288" s="685"/>
      <c r="F288" s="685"/>
      <c r="G288" s="986"/>
      <c r="H288" s="986"/>
      <c r="I288" s="986"/>
      <c r="J288" s="986"/>
      <c r="K288" s="791"/>
      <c r="L288" s="986"/>
      <c r="M288" s="685">
        <v>4</v>
      </c>
      <c r="N288" s="1008" t="s">
        <v>2672</v>
      </c>
      <c r="O288" s="790">
        <v>0.1</v>
      </c>
      <c r="P288" s="791">
        <f>O288*K285</f>
        <v>8640</v>
      </c>
      <c r="Q288" s="791"/>
      <c r="R288" s="685"/>
      <c r="S288" s="856"/>
      <c r="T288" s="685"/>
      <c r="U288" s="685"/>
      <c r="V288" s="685"/>
      <c r="W288" s="1051"/>
      <c r="X288" s="685"/>
      <c r="Y288" s="685"/>
      <c r="Z288" s="667">
        <f t="shared" si="15"/>
        <v>0</v>
      </c>
      <c r="AA288" s="950"/>
      <c r="AB288" s="787"/>
      <c r="AC288" s="787"/>
      <c r="AD288" s="685"/>
      <c r="AE288" s="685"/>
      <c r="AF288" s="685"/>
      <c r="AG288" s="685"/>
      <c r="AH288" s="685"/>
      <c r="AI288" s="685"/>
    </row>
    <row r="289" s="6" customFormat="1" ht="28" customHeight="1" spans="1:35">
      <c r="A289" s="984" t="s">
        <v>2570</v>
      </c>
      <c r="B289" s="985">
        <v>44043</v>
      </c>
      <c r="C289" s="983" t="s">
        <v>5031</v>
      </c>
      <c r="D289" s="986"/>
      <c r="E289" s="984" t="s">
        <v>5032</v>
      </c>
      <c r="F289" s="984" t="s">
        <v>5033</v>
      </c>
      <c r="G289" s="984" t="s">
        <v>193</v>
      </c>
      <c r="H289" s="984" t="s">
        <v>4720</v>
      </c>
      <c r="I289" s="984" t="s">
        <v>5034</v>
      </c>
      <c r="J289" s="984" t="s">
        <v>5035</v>
      </c>
      <c r="K289" s="1086">
        <v>465941.49</v>
      </c>
      <c r="L289" s="984" t="s">
        <v>32</v>
      </c>
      <c r="M289" s="686">
        <v>1</v>
      </c>
      <c r="N289" s="1009" t="s">
        <v>2784</v>
      </c>
      <c r="O289" s="793">
        <v>0.2</v>
      </c>
      <c r="P289" s="994">
        <f>O289*K289</f>
        <v>93188.298</v>
      </c>
      <c r="Q289" s="1086">
        <v>91378.82</v>
      </c>
      <c r="R289" s="984" t="s">
        <v>4603</v>
      </c>
      <c r="S289" s="1033">
        <v>44084</v>
      </c>
      <c r="T289" s="984">
        <v>91378.82</v>
      </c>
      <c r="U289" s="985">
        <v>44084</v>
      </c>
      <c r="V289" s="686">
        <v>91378.82</v>
      </c>
      <c r="W289" s="1046">
        <v>44081</v>
      </c>
      <c r="X289" s="686">
        <v>91378.82</v>
      </c>
      <c r="Y289" s="1045">
        <v>44127</v>
      </c>
      <c r="Z289" s="1063">
        <f t="shared" si="15"/>
        <v>0</v>
      </c>
      <c r="AA289" s="1193" t="s">
        <v>5036</v>
      </c>
      <c r="AB289" s="792"/>
      <c r="AC289" s="792"/>
      <c r="AD289" s="686"/>
      <c r="AE289" s="686"/>
      <c r="AF289" s="686"/>
      <c r="AG289" s="686"/>
      <c r="AH289" s="686"/>
      <c r="AI289" s="686"/>
    </row>
    <row r="290" s="6" customFormat="1" ht="26.65" customHeight="1" spans="1:35">
      <c r="A290" s="984"/>
      <c r="B290" s="984"/>
      <c r="C290" s="983"/>
      <c r="D290" s="986"/>
      <c r="E290" s="984"/>
      <c r="F290" s="984"/>
      <c r="G290" s="984"/>
      <c r="H290" s="984"/>
      <c r="I290" s="984"/>
      <c r="J290" s="984"/>
      <c r="K290" s="1086"/>
      <c r="L290" s="984"/>
      <c r="M290" s="686">
        <v>2</v>
      </c>
      <c r="N290" s="1009" t="s">
        <v>5037</v>
      </c>
      <c r="O290" s="793">
        <v>0.3</v>
      </c>
      <c r="P290" s="994">
        <f>O290*K289</f>
        <v>139782.447</v>
      </c>
      <c r="Q290" s="1086">
        <v>137068.22</v>
      </c>
      <c r="R290" s="984"/>
      <c r="S290" s="1033"/>
      <c r="T290" s="1086">
        <v>137068.22</v>
      </c>
      <c r="U290" s="984"/>
      <c r="V290" s="686">
        <v>137068.22</v>
      </c>
      <c r="W290" s="1046"/>
      <c r="X290" s="686">
        <v>137068.22</v>
      </c>
      <c r="Y290" s="686"/>
      <c r="Z290" s="1063">
        <f t="shared" si="15"/>
        <v>0</v>
      </c>
      <c r="AA290" s="1194"/>
      <c r="AB290" s="792"/>
      <c r="AC290" s="792"/>
      <c r="AD290" s="686"/>
      <c r="AE290" s="686"/>
      <c r="AF290" s="686"/>
      <c r="AG290" s="686"/>
      <c r="AH290" s="686"/>
      <c r="AI290" s="686"/>
    </row>
    <row r="291" s="6" customFormat="1" ht="28" customHeight="1" spans="1:35">
      <c r="A291" s="986"/>
      <c r="B291" s="986"/>
      <c r="C291" s="982"/>
      <c r="D291" s="986"/>
      <c r="E291" s="986"/>
      <c r="F291" s="986"/>
      <c r="G291" s="986"/>
      <c r="H291" s="986"/>
      <c r="I291" s="986"/>
      <c r="J291" s="986"/>
      <c r="K291" s="1035"/>
      <c r="L291" s="986"/>
      <c r="M291" s="685">
        <v>3</v>
      </c>
      <c r="N291" s="1008" t="s">
        <v>5038</v>
      </c>
      <c r="O291" s="790">
        <v>0.4</v>
      </c>
      <c r="P291" s="791">
        <f>O291*K289</f>
        <v>186376.596</v>
      </c>
      <c r="Q291" s="1035">
        <v>182757.63</v>
      </c>
      <c r="R291" s="986" t="s">
        <v>4603</v>
      </c>
      <c r="S291" s="1121">
        <v>44398</v>
      </c>
      <c r="T291" s="685">
        <v>182757.63</v>
      </c>
      <c r="U291" s="855">
        <v>44398</v>
      </c>
      <c r="V291" s="685">
        <v>182757.63</v>
      </c>
      <c r="W291" s="1051">
        <v>44391</v>
      </c>
      <c r="X291" s="986">
        <v>182757.63</v>
      </c>
      <c r="Y291" s="1069">
        <v>44418</v>
      </c>
      <c r="Z291" s="1063">
        <f t="shared" si="15"/>
        <v>0</v>
      </c>
      <c r="AA291" s="1194"/>
      <c r="AB291" s="787"/>
      <c r="AC291" s="787"/>
      <c r="AD291" s="685"/>
      <c r="AE291" s="685"/>
      <c r="AF291" s="685"/>
      <c r="AG291" s="685"/>
      <c r="AH291" s="685"/>
      <c r="AI291" s="685"/>
    </row>
    <row r="292" s="6" customFormat="1" ht="60" customHeight="1" spans="1:35">
      <c r="A292" s="986"/>
      <c r="B292" s="986"/>
      <c r="C292" s="982"/>
      <c r="D292" s="986"/>
      <c r="E292" s="986"/>
      <c r="F292" s="986"/>
      <c r="G292" s="986"/>
      <c r="H292" s="986"/>
      <c r="I292" s="986"/>
      <c r="J292" s="986"/>
      <c r="K292" s="1035"/>
      <c r="L292" s="986"/>
      <c r="M292" s="685">
        <v>4</v>
      </c>
      <c r="N292" s="1008" t="s">
        <v>5039</v>
      </c>
      <c r="O292" s="790">
        <v>0.1</v>
      </c>
      <c r="P292" s="791">
        <f>O292*K289</f>
        <v>46594.149</v>
      </c>
      <c r="Q292" s="1035">
        <v>46594.15</v>
      </c>
      <c r="R292" s="986" t="s">
        <v>4603</v>
      </c>
      <c r="S292" s="1121">
        <v>44539</v>
      </c>
      <c r="T292" s="685">
        <v>46594.15</v>
      </c>
      <c r="U292" s="855">
        <v>44539</v>
      </c>
      <c r="V292" s="685">
        <v>46594.15</v>
      </c>
      <c r="W292" s="1051">
        <v>45295</v>
      </c>
      <c r="X292" s="685"/>
      <c r="Y292" s="685"/>
      <c r="Z292" s="1063">
        <f t="shared" si="15"/>
        <v>46594.15</v>
      </c>
      <c r="AA292" s="1195"/>
      <c r="AB292" s="787"/>
      <c r="AC292" s="787"/>
      <c r="AD292" s="685"/>
      <c r="AE292" s="685"/>
      <c r="AF292" s="685"/>
      <c r="AG292" s="685"/>
      <c r="AH292" s="685"/>
      <c r="AI292" s="685"/>
    </row>
    <row r="293" s="6" customFormat="1" ht="28" customHeight="1" spans="1:35">
      <c r="A293" s="663" t="s">
        <v>888</v>
      </c>
      <c r="B293" s="664">
        <v>43684</v>
      </c>
      <c r="C293" s="665" t="s">
        <v>5040</v>
      </c>
      <c r="D293" s="666" t="s">
        <v>113</v>
      </c>
      <c r="E293" s="666" t="s">
        <v>5041</v>
      </c>
      <c r="F293" s="666" t="s">
        <v>5042</v>
      </c>
      <c r="G293" s="666" t="s">
        <v>240</v>
      </c>
      <c r="H293" s="666" t="s">
        <v>5043</v>
      </c>
      <c r="I293" s="721">
        <v>245000</v>
      </c>
      <c r="J293" s="722" t="s">
        <v>5044</v>
      </c>
      <c r="K293" s="723">
        <v>4998000</v>
      </c>
      <c r="L293" s="883" t="s">
        <v>25</v>
      </c>
      <c r="M293" s="1097">
        <v>1</v>
      </c>
      <c r="N293" s="90" t="s">
        <v>2913</v>
      </c>
      <c r="O293" s="1098">
        <v>0.2</v>
      </c>
      <c r="P293" s="1099">
        <f>K293*O293</f>
        <v>999600</v>
      </c>
      <c r="Q293" s="1133">
        <v>999600</v>
      </c>
      <c r="R293" s="82" t="s">
        <v>206</v>
      </c>
      <c r="S293" s="1134">
        <v>43733</v>
      </c>
      <c r="T293" s="1135">
        <v>999600</v>
      </c>
      <c r="U293" s="1170">
        <v>43733</v>
      </c>
      <c r="V293" s="1135">
        <v>999600</v>
      </c>
      <c r="W293" s="1171">
        <v>43733</v>
      </c>
      <c r="X293" s="1172">
        <v>999600</v>
      </c>
      <c r="Y293" s="1196">
        <v>43733</v>
      </c>
      <c r="Z293" s="1197">
        <f t="shared" si="15"/>
        <v>0</v>
      </c>
      <c r="AA293" s="1198"/>
      <c r="AB293" s="1199" t="s">
        <v>1463</v>
      </c>
      <c r="AC293" s="1198"/>
      <c r="AD293" s="1203">
        <f>SUM(Q293:Q300)</f>
        <v>4975781.95</v>
      </c>
      <c r="AE293" s="1220">
        <f>SUM(V293:V300)</f>
        <v>4748100</v>
      </c>
      <c r="AF293" s="1220">
        <f>SUM(X293:X300)</f>
        <v>4975781.95</v>
      </c>
      <c r="AG293" s="1202">
        <f>K293-AD293</f>
        <v>22218.0499999998</v>
      </c>
      <c r="AH293" s="663" t="s">
        <v>247</v>
      </c>
      <c r="AI293" s="663" t="s">
        <v>154</v>
      </c>
    </row>
    <row r="294" s="6" customFormat="1" ht="28" customHeight="1" spans="1:35">
      <c r="A294" s="667"/>
      <c r="B294" s="668"/>
      <c r="C294" s="669"/>
      <c r="D294" s="670"/>
      <c r="E294" s="670"/>
      <c r="F294" s="670"/>
      <c r="G294" s="670"/>
      <c r="H294" s="670"/>
      <c r="I294" s="724"/>
      <c r="J294" s="685"/>
      <c r="K294" s="725"/>
      <c r="L294" s="883"/>
      <c r="M294" s="231"/>
      <c r="N294" s="102"/>
      <c r="O294" s="1100"/>
      <c r="P294" s="1101"/>
      <c r="Q294" s="1136"/>
      <c r="R294" s="86"/>
      <c r="S294" s="234"/>
      <c r="T294" s="1137"/>
      <c r="U294" s="1173"/>
      <c r="V294" s="1137"/>
      <c r="W294" s="1174"/>
      <c r="X294" s="1175"/>
      <c r="Y294" s="1200"/>
      <c r="Z294" s="1201"/>
      <c r="AA294" s="1202"/>
      <c r="AB294" s="1203"/>
      <c r="AC294" s="1202"/>
      <c r="AD294" s="1207"/>
      <c r="AE294" s="614"/>
      <c r="AF294" s="614"/>
      <c r="AG294" s="1208"/>
      <c r="AH294" s="667"/>
      <c r="AI294" s="667"/>
    </row>
    <row r="295" s="6" customFormat="1" ht="55" customHeight="1" spans="1:35">
      <c r="A295" s="667"/>
      <c r="B295" s="668"/>
      <c r="C295" s="669"/>
      <c r="D295" s="670"/>
      <c r="E295" s="670"/>
      <c r="F295" s="670"/>
      <c r="G295" s="670"/>
      <c r="H295" s="670"/>
      <c r="I295" s="724"/>
      <c r="J295" s="685"/>
      <c r="K295" s="725"/>
      <c r="L295" s="883"/>
      <c r="M295" s="197">
        <v>2</v>
      </c>
      <c r="N295" s="168" t="s">
        <v>5045</v>
      </c>
      <c r="O295" s="1102">
        <v>0.3</v>
      </c>
      <c r="P295" s="1103">
        <f>K293*O295</f>
        <v>1499400</v>
      </c>
      <c r="Q295" s="1138">
        <v>1499400</v>
      </c>
      <c r="R295" s="197" t="s">
        <v>4603</v>
      </c>
      <c r="S295" s="84">
        <v>43734</v>
      </c>
      <c r="T295" s="1139">
        <v>1499400</v>
      </c>
      <c r="U295" s="1176">
        <v>43734</v>
      </c>
      <c r="V295" s="1139">
        <v>1499400</v>
      </c>
      <c r="W295" s="1177">
        <v>43746</v>
      </c>
      <c r="X295" s="1178">
        <v>1499400</v>
      </c>
      <c r="Y295" s="1204">
        <v>43847</v>
      </c>
      <c r="Z295" s="1205">
        <f t="shared" ref="Z295:Z312" si="16">Q295-X295</f>
        <v>0</v>
      </c>
      <c r="AA295" s="1206"/>
      <c r="AB295" s="1207" t="s">
        <v>1463</v>
      </c>
      <c r="AC295" s="1206"/>
      <c r="AD295" s="1207"/>
      <c r="AE295" s="614"/>
      <c r="AF295" s="614"/>
      <c r="AG295" s="1208"/>
      <c r="AH295" s="667"/>
      <c r="AI295" s="667"/>
    </row>
    <row r="296" s="6" customFormat="1" ht="28" customHeight="1" spans="1:35">
      <c r="A296" s="667"/>
      <c r="B296" s="668"/>
      <c r="C296" s="669"/>
      <c r="D296" s="670"/>
      <c r="E296" s="670"/>
      <c r="F296" s="670"/>
      <c r="G296" s="670"/>
      <c r="H296" s="670"/>
      <c r="I296" s="724"/>
      <c r="J296" s="685"/>
      <c r="K296" s="725"/>
      <c r="L296" s="883"/>
      <c r="M296" s="1104">
        <v>3</v>
      </c>
      <c r="N296" s="169" t="s">
        <v>5046</v>
      </c>
      <c r="O296" s="1105">
        <v>0.2</v>
      </c>
      <c r="P296" s="1106">
        <f>O296*K293</f>
        <v>999600</v>
      </c>
      <c r="Q296" s="1140">
        <v>999600</v>
      </c>
      <c r="R296" s="1104" t="s">
        <v>206</v>
      </c>
      <c r="S296" s="233">
        <v>43847</v>
      </c>
      <c r="T296" s="1141">
        <v>999600</v>
      </c>
      <c r="U296" s="1179">
        <v>43847</v>
      </c>
      <c r="V296" s="1141">
        <v>999600</v>
      </c>
      <c r="W296" s="1179">
        <v>43847</v>
      </c>
      <c r="X296" s="1178">
        <v>499800</v>
      </c>
      <c r="Y296" s="1204">
        <v>43847</v>
      </c>
      <c r="Z296" s="1205">
        <f t="shared" si="16"/>
        <v>499800</v>
      </c>
      <c r="AA296" s="1208" t="s">
        <v>4604</v>
      </c>
      <c r="AB296" s="1207" t="s">
        <v>1463</v>
      </c>
      <c r="AC296" s="1206"/>
      <c r="AD296" s="1207"/>
      <c r="AE296" s="614"/>
      <c r="AF296" s="614"/>
      <c r="AG296" s="1208"/>
      <c r="AH296" s="667"/>
      <c r="AI296" s="667"/>
    </row>
    <row r="297" s="6" customFormat="1" ht="28" customHeight="1" spans="1:35">
      <c r="A297" s="667"/>
      <c r="B297" s="668"/>
      <c r="C297" s="669"/>
      <c r="D297" s="670"/>
      <c r="E297" s="670"/>
      <c r="F297" s="670"/>
      <c r="G297" s="670"/>
      <c r="H297" s="670"/>
      <c r="I297" s="724"/>
      <c r="J297" s="685"/>
      <c r="K297" s="725"/>
      <c r="L297" s="883"/>
      <c r="M297" s="231"/>
      <c r="N297" s="218"/>
      <c r="O297" s="1100"/>
      <c r="P297" s="1101"/>
      <c r="Q297" s="1136"/>
      <c r="R297" s="231"/>
      <c r="S297" s="234"/>
      <c r="T297" s="1137"/>
      <c r="U297" s="1173"/>
      <c r="V297" s="1137"/>
      <c r="W297" s="1173"/>
      <c r="X297" s="1178">
        <v>499800</v>
      </c>
      <c r="Y297" s="1204">
        <v>43948</v>
      </c>
      <c r="Z297" s="1205">
        <f t="shared" si="16"/>
        <v>-499800</v>
      </c>
      <c r="AA297" s="1208" t="s">
        <v>4605</v>
      </c>
      <c r="AB297" s="1207" t="s">
        <v>1463</v>
      </c>
      <c r="AC297" s="1206"/>
      <c r="AD297" s="1207"/>
      <c r="AE297" s="614"/>
      <c r="AF297" s="614"/>
      <c r="AG297" s="1208"/>
      <c r="AH297" s="667"/>
      <c r="AI297" s="667"/>
    </row>
    <row r="298" s="6" customFormat="1" ht="28" customHeight="1" spans="1:35">
      <c r="A298" s="667"/>
      <c r="B298" s="668"/>
      <c r="C298" s="669"/>
      <c r="D298" s="670"/>
      <c r="E298" s="670"/>
      <c r="F298" s="670"/>
      <c r="G298" s="670"/>
      <c r="H298" s="670"/>
      <c r="I298" s="724"/>
      <c r="J298" s="685"/>
      <c r="K298" s="725"/>
      <c r="L298" s="883"/>
      <c r="M298" s="1104">
        <v>4</v>
      </c>
      <c r="N298" s="169" t="s">
        <v>2656</v>
      </c>
      <c r="O298" s="1105">
        <v>0.25</v>
      </c>
      <c r="P298" s="1106">
        <f>O298*K293</f>
        <v>1249500</v>
      </c>
      <c r="Q298" s="1140">
        <v>1249500</v>
      </c>
      <c r="R298" s="1104" t="s">
        <v>4603</v>
      </c>
      <c r="S298" s="233">
        <v>43822</v>
      </c>
      <c r="T298" s="1139">
        <v>450000</v>
      </c>
      <c r="U298" s="1179">
        <v>43822</v>
      </c>
      <c r="V298" s="1139">
        <v>450000</v>
      </c>
      <c r="W298" s="1176">
        <v>43943</v>
      </c>
      <c r="X298" s="1178">
        <v>450000</v>
      </c>
      <c r="Y298" s="1204">
        <v>43948</v>
      </c>
      <c r="Z298" s="1205">
        <f t="shared" si="16"/>
        <v>799500</v>
      </c>
      <c r="AA298" s="1208" t="s">
        <v>4604</v>
      </c>
      <c r="AB298" s="1207" t="s">
        <v>1463</v>
      </c>
      <c r="AC298" s="1206"/>
      <c r="AD298" s="1207"/>
      <c r="AE298" s="614"/>
      <c r="AF298" s="614"/>
      <c r="AG298" s="1208"/>
      <c r="AH298" s="667"/>
      <c r="AI298" s="667"/>
    </row>
    <row r="299" s="6" customFormat="1" ht="28" customHeight="1" spans="1:35">
      <c r="A299" s="667"/>
      <c r="B299" s="668"/>
      <c r="C299" s="669"/>
      <c r="D299" s="670"/>
      <c r="E299" s="670"/>
      <c r="F299" s="670"/>
      <c r="G299" s="670"/>
      <c r="H299" s="670"/>
      <c r="I299" s="724"/>
      <c r="J299" s="685"/>
      <c r="K299" s="725"/>
      <c r="L299" s="316"/>
      <c r="M299" s="231"/>
      <c r="N299" s="82"/>
      <c r="O299" s="1100"/>
      <c r="P299" s="1101"/>
      <c r="Q299" s="1136"/>
      <c r="R299" s="231"/>
      <c r="S299" s="234"/>
      <c r="T299" s="1139">
        <v>799500</v>
      </c>
      <c r="U299" s="1173"/>
      <c r="V299" s="1139">
        <v>799500</v>
      </c>
      <c r="W299" s="1176">
        <v>43990</v>
      </c>
      <c r="X299" s="1180">
        <v>799500</v>
      </c>
      <c r="Y299" s="1204">
        <v>44011</v>
      </c>
      <c r="Z299" s="1205">
        <f t="shared" si="16"/>
        <v>-799500</v>
      </c>
      <c r="AA299" s="1208" t="s">
        <v>4605</v>
      </c>
      <c r="AB299" s="1209"/>
      <c r="AC299" s="1206"/>
      <c r="AD299" s="1207"/>
      <c r="AE299" s="614"/>
      <c r="AF299" s="614"/>
      <c r="AG299" s="1208"/>
      <c r="AH299" s="667"/>
      <c r="AI299" s="667"/>
    </row>
    <row r="300" s="6" customFormat="1" ht="28" customHeight="1" spans="1:35">
      <c r="A300" s="972"/>
      <c r="B300" s="1070"/>
      <c r="C300" s="1071"/>
      <c r="D300" s="1072"/>
      <c r="E300" s="1072"/>
      <c r="F300" s="1072"/>
      <c r="G300" s="1072"/>
      <c r="H300" s="1072"/>
      <c r="I300" s="1087"/>
      <c r="J300" s="794"/>
      <c r="K300" s="796"/>
      <c r="L300" s="149" t="s">
        <v>126</v>
      </c>
      <c r="M300" s="1104">
        <v>5</v>
      </c>
      <c r="N300" s="1107" t="s">
        <v>5047</v>
      </c>
      <c r="O300" s="1105">
        <v>0.05</v>
      </c>
      <c r="P300" s="1106">
        <f>O300*K293</f>
        <v>249900</v>
      </c>
      <c r="Q300" s="1142">
        <v>227681.95</v>
      </c>
      <c r="R300" s="1143" t="s">
        <v>349</v>
      </c>
      <c r="S300" s="1144">
        <v>46021</v>
      </c>
      <c r="T300" s="1141"/>
      <c r="U300" s="1181"/>
      <c r="V300" s="1182"/>
      <c r="W300" s="1183"/>
      <c r="X300" s="1184">
        <v>227681.95</v>
      </c>
      <c r="Y300" s="1210">
        <v>46111</v>
      </c>
      <c r="Z300" s="1205">
        <f t="shared" si="16"/>
        <v>0</v>
      </c>
      <c r="AA300" s="1211"/>
      <c r="AB300" s="1212"/>
      <c r="AC300" s="1211"/>
      <c r="AD300" s="1221"/>
      <c r="AE300" s="1222"/>
      <c r="AF300" s="1222"/>
      <c r="AG300" s="1223"/>
      <c r="AH300" s="972"/>
      <c r="AI300" s="972"/>
    </row>
    <row r="301" s="6" customFormat="1" ht="28.5" customHeight="1" spans="1:35">
      <c r="A301" s="852" t="s">
        <v>888</v>
      </c>
      <c r="B301" s="1073">
        <v>45399</v>
      </c>
      <c r="C301" s="626" t="s">
        <v>5048</v>
      </c>
      <c r="D301" s="626"/>
      <c r="E301" s="678" t="s">
        <v>5049</v>
      </c>
      <c r="F301" s="678" t="s">
        <v>5050</v>
      </c>
      <c r="G301" s="678" t="s">
        <v>5051</v>
      </c>
      <c r="H301" s="678" t="s">
        <v>4638</v>
      </c>
      <c r="I301" s="678" t="s">
        <v>5052</v>
      </c>
      <c r="J301" s="678"/>
      <c r="K301" s="696">
        <v>1196470.8</v>
      </c>
      <c r="L301" s="852" t="s">
        <v>126</v>
      </c>
      <c r="M301" s="632">
        <v>1</v>
      </c>
      <c r="N301" s="680" t="s">
        <v>3320</v>
      </c>
      <c r="O301" s="1108">
        <v>0.2</v>
      </c>
      <c r="P301" s="720">
        <f>K301*O301</f>
        <v>239294.16</v>
      </c>
      <c r="Q301" s="1145">
        <v>239294.16</v>
      </c>
      <c r="R301" s="1146" t="s">
        <v>4603</v>
      </c>
      <c r="S301" s="1147">
        <v>45523</v>
      </c>
      <c r="T301" s="1148">
        <v>239294.16</v>
      </c>
      <c r="U301" s="1185">
        <v>45523</v>
      </c>
      <c r="V301" s="1156">
        <v>200000</v>
      </c>
      <c r="W301" s="1073">
        <v>45523</v>
      </c>
      <c r="X301" s="717">
        <v>200000</v>
      </c>
      <c r="Y301" s="1213">
        <v>45534</v>
      </c>
      <c r="Z301" s="679">
        <f t="shared" si="16"/>
        <v>39294.16</v>
      </c>
      <c r="AA301" s="1214"/>
      <c r="AB301" s="1214"/>
      <c r="AC301" s="1214"/>
      <c r="AD301" s="679"/>
      <c r="AE301" s="679"/>
      <c r="AF301" s="679"/>
      <c r="AG301" s="679"/>
      <c r="AH301" s="679"/>
      <c r="AI301" s="679"/>
    </row>
    <row r="302" s="6" customFormat="1" ht="25.5" customHeight="1" spans="1:35">
      <c r="A302" s="679"/>
      <c r="B302" s="1073"/>
      <c r="C302" s="628"/>
      <c r="D302" s="628"/>
      <c r="E302" s="627"/>
      <c r="F302" s="627"/>
      <c r="G302" s="627"/>
      <c r="H302" s="627"/>
      <c r="I302" s="627"/>
      <c r="J302" s="627"/>
      <c r="K302" s="696"/>
      <c r="L302" s="679"/>
      <c r="M302" s="1109"/>
      <c r="N302" s="1110"/>
      <c r="O302" s="1111"/>
      <c r="P302" s="1112"/>
      <c r="Q302" s="1149"/>
      <c r="R302" s="1150"/>
      <c r="S302" s="1151"/>
      <c r="T302" s="1152"/>
      <c r="U302" s="1186"/>
      <c r="V302" s="1156">
        <v>39294.16</v>
      </c>
      <c r="W302" s="1073">
        <v>45583</v>
      </c>
      <c r="X302" s="717">
        <v>39294.16</v>
      </c>
      <c r="Y302" s="1213">
        <v>45596</v>
      </c>
      <c r="Z302" s="679">
        <f t="shared" si="16"/>
        <v>-39294.16</v>
      </c>
      <c r="AA302" s="1214"/>
      <c r="AB302" s="1214"/>
      <c r="AC302" s="1214"/>
      <c r="AD302" s="679"/>
      <c r="AE302" s="679"/>
      <c r="AF302" s="679"/>
      <c r="AG302" s="679"/>
      <c r="AH302" s="679"/>
      <c r="AI302" s="679"/>
    </row>
    <row r="303" s="6" customFormat="1" ht="46" spans="1:35">
      <c r="A303" s="679"/>
      <c r="B303" s="1073"/>
      <c r="C303" s="628"/>
      <c r="D303" s="628"/>
      <c r="E303" s="627"/>
      <c r="F303" s="627"/>
      <c r="G303" s="627"/>
      <c r="H303" s="627"/>
      <c r="I303" s="627"/>
      <c r="J303" s="627"/>
      <c r="K303" s="696"/>
      <c r="L303" s="679"/>
      <c r="M303" s="627">
        <v>2</v>
      </c>
      <c r="N303" s="1113" t="s">
        <v>3321</v>
      </c>
      <c r="O303" s="1114">
        <v>0.2</v>
      </c>
      <c r="P303" s="717">
        <f>K301*O303</f>
        <v>239294.16</v>
      </c>
      <c r="Q303" s="1153">
        <v>239294.16</v>
      </c>
      <c r="R303" s="1154" t="s">
        <v>4603</v>
      </c>
      <c r="S303" s="1155">
        <v>45523</v>
      </c>
      <c r="T303" s="1156">
        <v>239294.16</v>
      </c>
      <c r="U303" s="1187">
        <v>45523</v>
      </c>
      <c r="V303" s="1156">
        <v>239294.16</v>
      </c>
      <c r="W303" s="1073">
        <v>45583</v>
      </c>
      <c r="X303" s="717">
        <v>239294.16</v>
      </c>
      <c r="Y303" s="1213">
        <v>45596</v>
      </c>
      <c r="Z303" s="679">
        <f t="shared" si="16"/>
        <v>0</v>
      </c>
      <c r="AA303" s="1214"/>
      <c r="AB303" s="1214"/>
      <c r="AC303" s="1214"/>
      <c r="AD303" s="679"/>
      <c r="AE303" s="679"/>
      <c r="AF303" s="679"/>
      <c r="AG303" s="679"/>
      <c r="AH303" s="679"/>
      <c r="AI303" s="679"/>
    </row>
    <row r="304" s="6" customFormat="1" ht="20.25" customHeight="1" spans="1:35">
      <c r="A304" s="679"/>
      <c r="B304" s="1073"/>
      <c r="C304" s="628"/>
      <c r="D304" s="628"/>
      <c r="E304" s="627"/>
      <c r="F304" s="627"/>
      <c r="G304" s="627"/>
      <c r="H304" s="627"/>
      <c r="I304" s="627"/>
      <c r="J304" s="627"/>
      <c r="K304" s="696"/>
      <c r="L304" s="679"/>
      <c r="M304" s="632">
        <v>3</v>
      </c>
      <c r="N304" s="680" t="s">
        <v>3322</v>
      </c>
      <c r="O304" s="1114">
        <v>0.15</v>
      </c>
      <c r="P304" s="717">
        <f>K301*O304</f>
        <v>179470.62</v>
      </c>
      <c r="Q304" s="1157">
        <v>179470.62</v>
      </c>
      <c r="R304" s="1158" t="s">
        <v>349</v>
      </c>
      <c r="S304" s="1159">
        <v>46021</v>
      </c>
      <c r="T304" s="1156"/>
      <c r="U304" s="1187"/>
      <c r="V304" s="1156"/>
      <c r="W304" s="1073"/>
      <c r="X304" s="1157">
        <v>179470.62</v>
      </c>
      <c r="Y304" s="1159">
        <v>46078</v>
      </c>
      <c r="Z304" s="679">
        <f t="shared" si="16"/>
        <v>0</v>
      </c>
      <c r="AA304" s="1214"/>
      <c r="AB304" s="1214"/>
      <c r="AC304" s="1214"/>
      <c r="AD304" s="679"/>
      <c r="AE304" s="679"/>
      <c r="AF304" s="679"/>
      <c r="AG304" s="679"/>
      <c r="AH304" s="679"/>
      <c r="AI304" s="679"/>
    </row>
    <row r="305" s="6" customFormat="1" ht="20.25" customHeight="1" spans="1:35">
      <c r="A305" s="679"/>
      <c r="B305" s="1073"/>
      <c r="C305" s="628"/>
      <c r="D305" s="628"/>
      <c r="E305" s="627"/>
      <c r="F305" s="627"/>
      <c r="G305" s="627"/>
      <c r="H305" s="627"/>
      <c r="I305" s="627"/>
      <c r="J305" s="627"/>
      <c r="K305" s="696"/>
      <c r="L305" s="679"/>
      <c r="M305" s="1109"/>
      <c r="N305" s="1115"/>
      <c r="O305" s="1114">
        <v>0.05</v>
      </c>
      <c r="P305" s="717">
        <f>K301*O305</f>
        <v>59823.54</v>
      </c>
      <c r="Q305" s="1157">
        <v>59823.54</v>
      </c>
      <c r="R305" s="1158" t="s">
        <v>349</v>
      </c>
      <c r="S305" s="1159">
        <v>46172</v>
      </c>
      <c r="T305" s="1156"/>
      <c r="U305" s="627"/>
      <c r="V305" s="1156"/>
      <c r="W305" s="1073"/>
      <c r="X305" s="1157">
        <v>59823.54</v>
      </c>
      <c r="Y305" s="1159">
        <v>46203</v>
      </c>
      <c r="Z305" s="679">
        <f t="shared" si="16"/>
        <v>0</v>
      </c>
      <c r="AA305" s="1214"/>
      <c r="AB305" s="1214"/>
      <c r="AC305" s="1214"/>
      <c r="AD305" s="679"/>
      <c r="AE305" s="679"/>
      <c r="AF305" s="679"/>
      <c r="AG305" s="679"/>
      <c r="AH305" s="679"/>
      <c r="AI305" s="679"/>
    </row>
    <row r="306" s="6" customFormat="1" ht="61" spans="1:35">
      <c r="A306" s="679"/>
      <c r="B306" s="1073"/>
      <c r="C306" s="628"/>
      <c r="D306" s="628"/>
      <c r="E306" s="627"/>
      <c r="F306" s="627"/>
      <c r="G306" s="627"/>
      <c r="H306" s="627"/>
      <c r="I306" s="627"/>
      <c r="J306" s="627"/>
      <c r="K306" s="696"/>
      <c r="L306" s="679"/>
      <c r="M306" s="627">
        <v>4</v>
      </c>
      <c r="N306" s="1113" t="s">
        <v>5053</v>
      </c>
      <c r="O306" s="1114">
        <v>0.15</v>
      </c>
      <c r="P306" s="717">
        <f>K301*O306</f>
        <v>179470.62</v>
      </c>
      <c r="Q306" s="1157">
        <v>179470.62</v>
      </c>
      <c r="R306" s="1158" t="s">
        <v>349</v>
      </c>
      <c r="S306" s="1159">
        <v>46172</v>
      </c>
      <c r="T306" s="1156"/>
      <c r="U306" s="627"/>
      <c r="V306" s="1156"/>
      <c r="W306" s="1073"/>
      <c r="X306" s="1157">
        <v>179470.62</v>
      </c>
      <c r="Y306" s="1159">
        <v>46203</v>
      </c>
      <c r="Z306" s="679">
        <f t="shared" si="16"/>
        <v>0</v>
      </c>
      <c r="AA306" s="1214"/>
      <c r="AB306" s="1214"/>
      <c r="AC306" s="1214"/>
      <c r="AD306" s="679"/>
      <c r="AE306" s="679"/>
      <c r="AF306" s="679"/>
      <c r="AG306" s="679"/>
      <c r="AH306" s="679"/>
      <c r="AI306" s="679"/>
    </row>
    <row r="307" s="6" customFormat="1" ht="46" spans="1:35">
      <c r="A307" s="679"/>
      <c r="B307" s="1073"/>
      <c r="C307" s="628"/>
      <c r="D307" s="628"/>
      <c r="E307" s="627"/>
      <c r="F307" s="627"/>
      <c r="G307" s="627"/>
      <c r="H307" s="627"/>
      <c r="I307" s="627"/>
      <c r="J307" s="627"/>
      <c r="K307" s="696"/>
      <c r="L307" s="679"/>
      <c r="M307" s="627">
        <v>5</v>
      </c>
      <c r="N307" s="1113" t="s">
        <v>5054</v>
      </c>
      <c r="O307" s="1114">
        <v>0.1</v>
      </c>
      <c r="P307" s="717">
        <f>K301*O307</f>
        <v>119647.08</v>
      </c>
      <c r="Q307" s="1157">
        <v>119647.08</v>
      </c>
      <c r="R307" s="1158" t="s">
        <v>349</v>
      </c>
      <c r="S307" s="1159"/>
      <c r="T307" s="1156"/>
      <c r="U307" s="627"/>
      <c r="V307" s="1156"/>
      <c r="W307" s="1073"/>
      <c r="X307" s="1157">
        <v>119647.08</v>
      </c>
      <c r="Y307" s="1159"/>
      <c r="Z307" s="679">
        <f t="shared" si="16"/>
        <v>0</v>
      </c>
      <c r="AA307" s="1214"/>
      <c r="AB307" s="1214"/>
      <c r="AC307" s="1214"/>
      <c r="AD307" s="679"/>
      <c r="AE307" s="679"/>
      <c r="AF307" s="679"/>
      <c r="AG307" s="679"/>
      <c r="AH307" s="679"/>
      <c r="AI307" s="679"/>
    </row>
    <row r="308" s="6" customFormat="1" ht="61" spans="1:35">
      <c r="A308" s="679"/>
      <c r="B308" s="1073"/>
      <c r="C308" s="628"/>
      <c r="D308" s="628"/>
      <c r="E308" s="627"/>
      <c r="F308" s="627"/>
      <c r="G308" s="627"/>
      <c r="H308" s="627"/>
      <c r="I308" s="627"/>
      <c r="J308" s="627"/>
      <c r="K308" s="696"/>
      <c r="L308" s="679"/>
      <c r="M308" s="627">
        <v>6</v>
      </c>
      <c r="N308" s="1113" t="s">
        <v>5055</v>
      </c>
      <c r="O308" s="1114">
        <v>0.05</v>
      </c>
      <c r="P308" s="717">
        <f>K301*O308</f>
        <v>59823.54</v>
      </c>
      <c r="Q308" s="1157"/>
      <c r="R308" s="1158"/>
      <c r="S308" s="1159"/>
      <c r="T308" s="1156"/>
      <c r="U308" s="627"/>
      <c r="V308" s="1156"/>
      <c r="W308" s="1073"/>
      <c r="X308" s="717"/>
      <c r="Y308" s="1215"/>
      <c r="Z308" s="679">
        <f t="shared" si="16"/>
        <v>0</v>
      </c>
      <c r="AA308" s="1214"/>
      <c r="AB308" s="1214"/>
      <c r="AC308" s="1214"/>
      <c r="AD308" s="679"/>
      <c r="AE308" s="679"/>
      <c r="AF308" s="679"/>
      <c r="AG308" s="679"/>
      <c r="AH308" s="679"/>
      <c r="AI308" s="679"/>
    </row>
    <row r="309" s="6" customFormat="1" ht="76" spans="1:35">
      <c r="A309" s="679"/>
      <c r="B309" s="1073"/>
      <c r="C309" s="628"/>
      <c r="D309" s="628"/>
      <c r="E309" s="627"/>
      <c r="F309" s="627"/>
      <c r="G309" s="627"/>
      <c r="H309" s="627"/>
      <c r="I309" s="627"/>
      <c r="J309" s="627"/>
      <c r="K309" s="717"/>
      <c r="L309" s="679"/>
      <c r="M309" s="627">
        <v>7</v>
      </c>
      <c r="N309" s="1113" t="s">
        <v>5056</v>
      </c>
      <c r="O309" s="1114">
        <v>0.1</v>
      </c>
      <c r="P309" s="717">
        <f>K301*O309</f>
        <v>119647.08</v>
      </c>
      <c r="Q309" s="1157"/>
      <c r="R309" s="1158"/>
      <c r="S309" s="1159"/>
      <c r="T309" s="1156"/>
      <c r="U309" s="627"/>
      <c r="V309" s="1156"/>
      <c r="W309" s="1073"/>
      <c r="X309" s="717"/>
      <c r="Y309" s="1215"/>
      <c r="Z309" s="679">
        <f t="shared" si="16"/>
        <v>0</v>
      </c>
      <c r="AA309" s="1214"/>
      <c r="AB309" s="1214"/>
      <c r="AC309" s="1214"/>
      <c r="AD309" s="679"/>
      <c r="AE309" s="679"/>
      <c r="AF309" s="679"/>
      <c r="AG309" s="679"/>
      <c r="AH309" s="679"/>
      <c r="AI309" s="679"/>
    </row>
    <row r="310" s="6" customFormat="1" ht="46" spans="1:35">
      <c r="A310" s="679"/>
      <c r="B310" s="1073"/>
      <c r="C310" s="628"/>
      <c r="D310" s="628"/>
      <c r="E310" s="627"/>
      <c r="F310" s="627"/>
      <c r="G310" s="627"/>
      <c r="H310" s="627"/>
      <c r="I310" s="627"/>
      <c r="J310" s="627"/>
      <c r="K310" s="696">
        <v>288942.5</v>
      </c>
      <c r="L310" s="852" t="s">
        <v>126</v>
      </c>
      <c r="M310" s="627">
        <v>1</v>
      </c>
      <c r="N310" s="1113" t="s">
        <v>3320</v>
      </c>
      <c r="O310" s="1114">
        <v>0.2</v>
      </c>
      <c r="P310" s="717">
        <f>K310*O310</f>
        <v>57788.5</v>
      </c>
      <c r="Q310" s="1153">
        <v>57788.5</v>
      </c>
      <c r="R310" s="1154" t="s">
        <v>5057</v>
      </c>
      <c r="S310" s="1155">
        <v>45707</v>
      </c>
      <c r="T310" s="1160">
        <v>57788.5</v>
      </c>
      <c r="U310" s="1187">
        <v>45707</v>
      </c>
      <c r="V310" s="1156">
        <v>57788.5</v>
      </c>
      <c r="W310" s="1073">
        <v>45706</v>
      </c>
      <c r="X310" s="1153">
        <v>57788.5</v>
      </c>
      <c r="Y310" s="943">
        <v>45716</v>
      </c>
      <c r="Z310" s="679">
        <f t="shared" si="16"/>
        <v>0</v>
      </c>
      <c r="AA310" s="1214"/>
      <c r="AB310" s="1214"/>
      <c r="AC310" s="1214"/>
      <c r="AD310" s="679"/>
      <c r="AE310" s="679"/>
      <c r="AF310" s="679"/>
      <c r="AG310" s="679"/>
      <c r="AH310" s="679"/>
      <c r="AI310" s="679"/>
    </row>
    <row r="311" s="6" customFormat="1" ht="46" spans="1:35">
      <c r="A311" s="679"/>
      <c r="B311" s="1073"/>
      <c r="C311" s="628"/>
      <c r="D311" s="628"/>
      <c r="E311" s="627"/>
      <c r="F311" s="627"/>
      <c r="G311" s="627"/>
      <c r="H311" s="627"/>
      <c r="I311" s="627"/>
      <c r="J311" s="627"/>
      <c r="K311" s="696"/>
      <c r="L311" s="679"/>
      <c r="M311" s="627">
        <v>2</v>
      </c>
      <c r="N311" s="1113" t="s">
        <v>3321</v>
      </c>
      <c r="O311" s="1114">
        <v>0.2</v>
      </c>
      <c r="P311" s="717">
        <f>K310*O311</f>
        <v>57788.5</v>
      </c>
      <c r="Q311" s="1153">
        <v>57788.5</v>
      </c>
      <c r="R311" s="1154" t="s">
        <v>5057</v>
      </c>
      <c r="S311" s="1155">
        <v>45707</v>
      </c>
      <c r="T311" s="1160">
        <v>57788.5</v>
      </c>
      <c r="U311" s="1187">
        <v>45707</v>
      </c>
      <c r="V311" s="1156">
        <v>57788.5</v>
      </c>
      <c r="W311" s="1073">
        <v>45706</v>
      </c>
      <c r="X311" s="1153">
        <v>57788.5</v>
      </c>
      <c r="Y311" s="943">
        <v>45716</v>
      </c>
      <c r="Z311" s="679">
        <f t="shared" si="16"/>
        <v>0</v>
      </c>
      <c r="AA311" s="1214"/>
      <c r="AB311" s="1214"/>
      <c r="AC311" s="1214"/>
      <c r="AD311" s="679"/>
      <c r="AE311" s="679"/>
      <c r="AF311" s="679"/>
      <c r="AG311" s="679"/>
      <c r="AH311" s="679"/>
      <c r="AI311" s="679"/>
    </row>
    <row r="312" s="6" customFormat="1" ht="20.25" customHeight="1" spans="1:35">
      <c r="A312" s="679"/>
      <c r="B312" s="1073"/>
      <c r="C312" s="628"/>
      <c r="D312" s="628"/>
      <c r="E312" s="627"/>
      <c r="F312" s="627"/>
      <c r="G312" s="627"/>
      <c r="H312" s="627"/>
      <c r="I312" s="627"/>
      <c r="J312" s="627"/>
      <c r="K312" s="696"/>
      <c r="L312" s="679"/>
      <c r="M312" s="632">
        <v>3</v>
      </c>
      <c r="N312" s="680" t="s">
        <v>3322</v>
      </c>
      <c r="O312" s="1114">
        <v>0.15</v>
      </c>
      <c r="P312" s="717">
        <f>K310*O312</f>
        <v>43341.375</v>
      </c>
      <c r="Q312" s="1157">
        <v>43341.375</v>
      </c>
      <c r="R312" s="1158" t="s">
        <v>349</v>
      </c>
      <c r="S312" s="1159">
        <v>46021</v>
      </c>
      <c r="T312" s="1160"/>
      <c r="U312" s="1187"/>
      <c r="V312" s="1156"/>
      <c r="W312" s="1073"/>
      <c r="X312" s="1157">
        <v>43341.375</v>
      </c>
      <c r="Y312" s="1159">
        <v>46078</v>
      </c>
      <c r="Z312" s="679">
        <f t="shared" si="16"/>
        <v>0</v>
      </c>
      <c r="AA312" s="1214"/>
      <c r="AB312" s="1214"/>
      <c r="AC312" s="1214"/>
      <c r="AD312" s="679"/>
      <c r="AE312" s="679"/>
      <c r="AF312" s="679"/>
      <c r="AG312" s="679"/>
      <c r="AH312" s="679"/>
      <c r="AI312" s="679"/>
    </row>
    <row r="313" s="6" customFormat="1" ht="16" spans="1:35">
      <c r="A313" s="679"/>
      <c r="B313" s="1073"/>
      <c r="C313" s="628"/>
      <c r="D313" s="628"/>
      <c r="E313" s="627"/>
      <c r="F313" s="627"/>
      <c r="G313" s="627"/>
      <c r="H313" s="627"/>
      <c r="I313" s="627"/>
      <c r="J313" s="627"/>
      <c r="K313" s="696"/>
      <c r="L313" s="679"/>
      <c r="M313" s="1109"/>
      <c r="N313" s="1115"/>
      <c r="O313" s="1114">
        <v>0.05</v>
      </c>
      <c r="P313" s="717">
        <f>K310*O313</f>
        <v>14447.125</v>
      </c>
      <c r="Q313" s="1157">
        <v>14447.125</v>
      </c>
      <c r="R313" s="1158" t="s">
        <v>349</v>
      </c>
      <c r="S313" s="1159">
        <v>46172</v>
      </c>
      <c r="T313" s="1156"/>
      <c r="U313" s="627"/>
      <c r="V313" s="1156"/>
      <c r="W313" s="1073"/>
      <c r="X313" s="1157">
        <v>14447.125</v>
      </c>
      <c r="Y313" s="1159">
        <v>46203</v>
      </c>
      <c r="Z313" s="679">
        <f t="shared" ref="Z313:Z360" si="17">Q313-X313</f>
        <v>0</v>
      </c>
      <c r="AA313" s="1214"/>
      <c r="AB313" s="1214"/>
      <c r="AC313" s="1214"/>
      <c r="AD313" s="679"/>
      <c r="AE313" s="679"/>
      <c r="AF313" s="679"/>
      <c r="AG313" s="679"/>
      <c r="AH313" s="679"/>
      <c r="AI313" s="679"/>
    </row>
    <row r="314" s="6" customFormat="1" ht="61" spans="1:35">
      <c r="A314" s="679"/>
      <c r="B314" s="1073"/>
      <c r="C314" s="628"/>
      <c r="D314" s="628"/>
      <c r="E314" s="627"/>
      <c r="F314" s="627"/>
      <c r="G314" s="627"/>
      <c r="H314" s="627"/>
      <c r="I314" s="627"/>
      <c r="J314" s="627"/>
      <c r="K314" s="696"/>
      <c r="L314" s="679"/>
      <c r="M314" s="627">
        <v>4</v>
      </c>
      <c r="N314" s="1113" t="s">
        <v>5053</v>
      </c>
      <c r="O314" s="1114">
        <v>0.15</v>
      </c>
      <c r="P314" s="717">
        <f>K310*O314</f>
        <v>43341.375</v>
      </c>
      <c r="Q314" s="1157">
        <v>43341.375</v>
      </c>
      <c r="R314" s="1158" t="s">
        <v>349</v>
      </c>
      <c r="S314" s="1159">
        <v>46172</v>
      </c>
      <c r="T314" s="1156"/>
      <c r="U314" s="627"/>
      <c r="V314" s="1156"/>
      <c r="W314" s="1073"/>
      <c r="X314" s="1157">
        <v>43341.375</v>
      </c>
      <c r="Y314" s="1159">
        <v>46203</v>
      </c>
      <c r="Z314" s="679">
        <f t="shared" si="17"/>
        <v>0</v>
      </c>
      <c r="AA314" s="1214"/>
      <c r="AB314" s="1214"/>
      <c r="AC314" s="1214"/>
      <c r="AD314" s="679"/>
      <c r="AE314" s="679"/>
      <c r="AF314" s="679"/>
      <c r="AG314" s="679"/>
      <c r="AH314" s="679"/>
      <c r="AI314" s="679"/>
    </row>
    <row r="315" s="6" customFormat="1" ht="46" spans="1:35">
      <c r="A315" s="679"/>
      <c r="B315" s="1073"/>
      <c r="C315" s="628"/>
      <c r="D315" s="628"/>
      <c r="E315" s="627"/>
      <c r="F315" s="627"/>
      <c r="G315" s="627"/>
      <c r="H315" s="627"/>
      <c r="I315" s="627"/>
      <c r="J315" s="627"/>
      <c r="K315" s="696"/>
      <c r="L315" s="679"/>
      <c r="M315" s="627">
        <v>5</v>
      </c>
      <c r="N315" s="1113" t="s">
        <v>5054</v>
      </c>
      <c r="O315" s="1114">
        <v>0.1</v>
      </c>
      <c r="P315" s="717">
        <f>K310*O315</f>
        <v>28894.25</v>
      </c>
      <c r="Q315" s="1157">
        <v>28894.25</v>
      </c>
      <c r="R315" s="1158" t="s">
        <v>349</v>
      </c>
      <c r="S315" s="1159"/>
      <c r="T315" s="1156"/>
      <c r="U315" s="627"/>
      <c r="V315" s="1156"/>
      <c r="W315" s="1073"/>
      <c r="X315" s="1157">
        <v>28894.25</v>
      </c>
      <c r="Y315" s="1159"/>
      <c r="Z315" s="679">
        <f t="shared" si="17"/>
        <v>0</v>
      </c>
      <c r="AA315" s="1214"/>
      <c r="AB315" s="1214"/>
      <c r="AC315" s="1214"/>
      <c r="AD315" s="679"/>
      <c r="AE315" s="679"/>
      <c r="AF315" s="679"/>
      <c r="AG315" s="679"/>
      <c r="AH315" s="679"/>
      <c r="AI315" s="679"/>
    </row>
    <row r="316" s="6" customFormat="1" ht="61" spans="1:35">
      <c r="A316" s="679"/>
      <c r="B316" s="1073"/>
      <c r="C316" s="628"/>
      <c r="D316" s="628"/>
      <c r="E316" s="627"/>
      <c r="F316" s="627"/>
      <c r="G316" s="627"/>
      <c r="H316" s="627"/>
      <c r="I316" s="627"/>
      <c r="J316" s="627"/>
      <c r="K316" s="696"/>
      <c r="L316" s="679"/>
      <c r="M316" s="627">
        <v>6</v>
      </c>
      <c r="N316" s="1113" t="s">
        <v>5055</v>
      </c>
      <c r="O316" s="1114">
        <v>0.05</v>
      </c>
      <c r="P316" s="717">
        <f>K310*O316</f>
        <v>14447.125</v>
      </c>
      <c r="Q316" s="1157"/>
      <c r="R316" s="1158"/>
      <c r="S316" s="1159"/>
      <c r="T316" s="1156"/>
      <c r="U316" s="627"/>
      <c r="V316" s="1156"/>
      <c r="W316" s="1073"/>
      <c r="X316" s="717"/>
      <c r="Y316" s="1215"/>
      <c r="Z316" s="679">
        <f t="shared" si="17"/>
        <v>0</v>
      </c>
      <c r="AA316" s="1214"/>
      <c r="AB316" s="1214"/>
      <c r="AC316" s="1214"/>
      <c r="AD316" s="679"/>
      <c r="AE316" s="679"/>
      <c r="AF316" s="679"/>
      <c r="AG316" s="679"/>
      <c r="AH316" s="679"/>
      <c r="AI316" s="679"/>
    </row>
    <row r="317" s="6" customFormat="1" ht="76" spans="1:35">
      <c r="A317" s="679"/>
      <c r="B317" s="1073"/>
      <c r="C317" s="628"/>
      <c r="D317" s="628"/>
      <c r="E317" s="627"/>
      <c r="F317" s="627"/>
      <c r="G317" s="627"/>
      <c r="H317" s="627"/>
      <c r="I317" s="627"/>
      <c r="J317" s="627"/>
      <c r="K317" s="717"/>
      <c r="L317" s="679"/>
      <c r="M317" s="627">
        <v>7</v>
      </c>
      <c r="N317" s="1113" t="s">
        <v>5056</v>
      </c>
      <c r="O317" s="1114">
        <v>0.1</v>
      </c>
      <c r="P317" s="717">
        <f>K310*O317</f>
        <v>28894.25</v>
      </c>
      <c r="Q317" s="1157"/>
      <c r="R317" s="1158"/>
      <c r="S317" s="1159"/>
      <c r="T317" s="1156"/>
      <c r="U317" s="627"/>
      <c r="V317" s="1156"/>
      <c r="W317" s="1073"/>
      <c r="X317" s="717"/>
      <c r="Y317" s="1215"/>
      <c r="Z317" s="679">
        <f t="shared" si="17"/>
        <v>0</v>
      </c>
      <c r="AA317" s="1214"/>
      <c r="AB317" s="1214"/>
      <c r="AC317" s="1214"/>
      <c r="AD317" s="679"/>
      <c r="AE317" s="679"/>
      <c r="AF317" s="679"/>
      <c r="AG317" s="679"/>
      <c r="AH317" s="679"/>
      <c r="AI317" s="679"/>
    </row>
    <row r="318" s="6" customFormat="1" ht="76" spans="1:35">
      <c r="A318" s="1074" t="s">
        <v>888</v>
      </c>
      <c r="B318" s="1075">
        <v>45287</v>
      </c>
      <c r="C318" s="1076" t="s">
        <v>5048</v>
      </c>
      <c r="D318" s="1076"/>
      <c r="E318" s="1080" t="s">
        <v>5058</v>
      </c>
      <c r="F318" s="1080" t="s">
        <v>5059</v>
      </c>
      <c r="G318" s="1080" t="s">
        <v>3579</v>
      </c>
      <c r="H318" s="1080" t="s">
        <v>5060</v>
      </c>
      <c r="I318" s="1080" t="s">
        <v>5061</v>
      </c>
      <c r="J318" s="1080" t="s">
        <v>5062</v>
      </c>
      <c r="K318" s="1088">
        <v>1166139.45</v>
      </c>
      <c r="L318" s="1074" t="s">
        <v>126</v>
      </c>
      <c r="M318" s="1081">
        <v>1</v>
      </c>
      <c r="N318" s="1116" t="s">
        <v>5063</v>
      </c>
      <c r="O318" s="1117">
        <v>0.1</v>
      </c>
      <c r="P318" s="1118">
        <f>K318*O318</f>
        <v>116613.945</v>
      </c>
      <c r="Q318" s="1161">
        <v>116613.95</v>
      </c>
      <c r="R318" s="1080" t="s">
        <v>4603</v>
      </c>
      <c r="S318" s="1079">
        <v>45358</v>
      </c>
      <c r="T318" s="1162">
        <v>116613.95</v>
      </c>
      <c r="U318" s="1079">
        <v>45358</v>
      </c>
      <c r="V318" s="1162">
        <v>116613.95</v>
      </c>
      <c r="W318" s="1075">
        <v>45363</v>
      </c>
      <c r="X318" s="1118">
        <v>116613.95</v>
      </c>
      <c r="Y318" s="1216">
        <v>45372</v>
      </c>
      <c r="Z318" s="1118">
        <f t="shared" si="17"/>
        <v>0</v>
      </c>
      <c r="AA318" s="1217"/>
      <c r="AB318" s="1217"/>
      <c r="AC318" s="1217"/>
      <c r="AD318" s="1077"/>
      <c r="AE318" s="1077"/>
      <c r="AF318" s="1077"/>
      <c r="AG318" s="1077"/>
      <c r="AH318" s="1077"/>
      <c r="AI318" s="1077"/>
    </row>
    <row r="319" s="6" customFormat="1" ht="76" spans="1:35">
      <c r="A319" s="1077"/>
      <c r="B319" s="1075"/>
      <c r="C319" s="1078"/>
      <c r="D319" s="1078"/>
      <c r="E319" s="1081"/>
      <c r="F319" s="1081"/>
      <c r="G319" s="1081"/>
      <c r="H319" s="1081"/>
      <c r="I319" s="1081"/>
      <c r="J319" s="1081"/>
      <c r="K319" s="1088"/>
      <c r="L319" s="1077"/>
      <c r="M319" s="1080" t="s">
        <v>2033</v>
      </c>
      <c r="N319" s="1116" t="s">
        <v>5064</v>
      </c>
      <c r="O319" s="1119" t="s">
        <v>3330</v>
      </c>
      <c r="P319" s="1118">
        <f>240026.4*40%</f>
        <v>96010.56</v>
      </c>
      <c r="Q319" s="1161">
        <v>96010.56</v>
      </c>
      <c r="R319" s="1080" t="s">
        <v>4603</v>
      </c>
      <c r="S319" s="1079">
        <v>45358</v>
      </c>
      <c r="T319" s="1162">
        <v>96010.56</v>
      </c>
      <c r="U319" s="1079">
        <v>45358</v>
      </c>
      <c r="V319" s="1162">
        <v>96010.56</v>
      </c>
      <c r="W319" s="1075">
        <v>45363</v>
      </c>
      <c r="X319" s="1118">
        <v>96010.56</v>
      </c>
      <c r="Y319" s="1216">
        <v>45372</v>
      </c>
      <c r="Z319" s="1118">
        <f t="shared" si="17"/>
        <v>0</v>
      </c>
      <c r="AA319" s="1217"/>
      <c r="AB319" s="1217"/>
      <c r="AC319" s="1217"/>
      <c r="AD319" s="1077"/>
      <c r="AE319" s="1077"/>
      <c r="AF319" s="1077"/>
      <c r="AG319" s="1077"/>
      <c r="AH319" s="1077"/>
      <c r="AI319" s="1077"/>
    </row>
    <row r="320" s="10" customFormat="1" ht="76" spans="1:35">
      <c r="A320" s="1074"/>
      <c r="B320" s="1079"/>
      <c r="C320" s="1076"/>
      <c r="D320" s="1076"/>
      <c r="E320" s="1080"/>
      <c r="F320" s="1080"/>
      <c r="G320" s="1080"/>
      <c r="H320" s="1080"/>
      <c r="I320" s="1080"/>
      <c r="J320" s="1080"/>
      <c r="K320" s="1089"/>
      <c r="L320" s="1074"/>
      <c r="M320" s="1080" t="s">
        <v>2036</v>
      </c>
      <c r="N320" s="1116" t="s">
        <v>5065</v>
      </c>
      <c r="O320" s="1119" t="s">
        <v>3332</v>
      </c>
      <c r="P320" s="1120">
        <f>240026.4*30%</f>
        <v>72007.92</v>
      </c>
      <c r="Q320" s="1161">
        <v>72007.92</v>
      </c>
      <c r="R320" s="1163" t="s">
        <v>4603</v>
      </c>
      <c r="S320" s="1164">
        <v>45645</v>
      </c>
      <c r="T320" s="1162">
        <v>72007.92</v>
      </c>
      <c r="U320" s="1079">
        <v>45645</v>
      </c>
      <c r="V320" s="1162">
        <v>72007.92</v>
      </c>
      <c r="W320" s="1079">
        <v>45642</v>
      </c>
      <c r="X320" s="1080">
        <v>72007.92</v>
      </c>
      <c r="Y320" s="1218">
        <v>45653</v>
      </c>
      <c r="Z320" s="1118">
        <f t="shared" si="17"/>
        <v>0</v>
      </c>
      <c r="AA320" s="1219"/>
      <c r="AB320" s="1219"/>
      <c r="AC320" s="1219"/>
      <c r="AD320" s="1074"/>
      <c r="AE320" s="1074"/>
      <c r="AF320" s="1074"/>
      <c r="AG320" s="1074"/>
      <c r="AH320" s="1074"/>
      <c r="AI320" s="1074"/>
    </row>
    <row r="321" s="10" customFormat="1" ht="76" spans="1:35">
      <c r="A321" s="1074"/>
      <c r="B321" s="1079"/>
      <c r="C321" s="1076"/>
      <c r="D321" s="1076"/>
      <c r="E321" s="1080"/>
      <c r="F321" s="1080"/>
      <c r="G321" s="1080"/>
      <c r="H321" s="1080"/>
      <c r="I321" s="1080"/>
      <c r="J321" s="1080"/>
      <c r="K321" s="1089"/>
      <c r="L321" s="1074"/>
      <c r="M321" s="1080" t="s">
        <v>2039</v>
      </c>
      <c r="N321" s="1116" t="s">
        <v>5066</v>
      </c>
      <c r="O321" s="1119" t="s">
        <v>3334</v>
      </c>
      <c r="P321" s="1120">
        <f>240026.4*10%</f>
        <v>24002.64</v>
      </c>
      <c r="Q321" s="1162">
        <v>24002.64</v>
      </c>
      <c r="R321" s="1080" t="s">
        <v>4603</v>
      </c>
      <c r="S321" s="1079">
        <v>45821</v>
      </c>
      <c r="T321" s="1162">
        <v>24002.64</v>
      </c>
      <c r="U321" s="1079">
        <v>45821</v>
      </c>
      <c r="V321" s="1162">
        <v>24002.64</v>
      </c>
      <c r="W321" s="1079">
        <v>45821</v>
      </c>
      <c r="X321" s="1162">
        <v>24002.64</v>
      </c>
      <c r="Y321" s="1218">
        <v>45838</v>
      </c>
      <c r="Z321" s="1120">
        <f t="shared" si="17"/>
        <v>0</v>
      </c>
      <c r="AA321" s="1219"/>
      <c r="AB321" s="1219"/>
      <c r="AC321" s="1219"/>
      <c r="AD321" s="1074"/>
      <c r="AE321" s="1074"/>
      <c r="AF321" s="1074"/>
      <c r="AG321" s="1074"/>
      <c r="AH321" s="1074"/>
      <c r="AI321" s="1074"/>
    </row>
    <row r="322" s="6" customFormat="1" ht="76" spans="1:35">
      <c r="A322" s="1077"/>
      <c r="B322" s="1075"/>
      <c r="C322" s="1078"/>
      <c r="D322" s="1078"/>
      <c r="E322" s="1081"/>
      <c r="F322" s="1081"/>
      <c r="G322" s="1081"/>
      <c r="H322" s="1081"/>
      <c r="I322" s="1081"/>
      <c r="J322" s="1081"/>
      <c r="K322" s="1088"/>
      <c r="L322" s="1077"/>
      <c r="M322" s="1080" t="s">
        <v>2042</v>
      </c>
      <c r="N322" s="1116" t="s">
        <v>5067</v>
      </c>
      <c r="O322" s="1119" t="s">
        <v>3336</v>
      </c>
      <c r="P322" s="1118">
        <f>926113.05*15%</f>
        <v>138916.9575</v>
      </c>
      <c r="Q322" s="1161">
        <v>138916.96</v>
      </c>
      <c r="R322" s="1080" t="s">
        <v>4603</v>
      </c>
      <c r="S322" s="1079">
        <v>45358</v>
      </c>
      <c r="T322" s="1162">
        <v>138916.96</v>
      </c>
      <c r="U322" s="1079">
        <v>45358</v>
      </c>
      <c r="V322" s="1162">
        <v>138916.96</v>
      </c>
      <c r="W322" s="1075">
        <v>45363</v>
      </c>
      <c r="X322" s="1118">
        <v>138916.96</v>
      </c>
      <c r="Y322" s="1216">
        <v>45372</v>
      </c>
      <c r="Z322" s="1118">
        <f t="shared" si="17"/>
        <v>0</v>
      </c>
      <c r="AA322" s="1217"/>
      <c r="AB322" s="1217"/>
      <c r="AC322" s="1217"/>
      <c r="AD322" s="1077"/>
      <c r="AE322" s="1077"/>
      <c r="AF322" s="1077"/>
      <c r="AG322" s="1077"/>
      <c r="AH322" s="1077"/>
      <c r="AI322" s="1077"/>
    </row>
    <row r="323" s="6" customFormat="1" ht="76" spans="1:35">
      <c r="A323" s="1077"/>
      <c r="B323" s="1075"/>
      <c r="C323" s="1078"/>
      <c r="D323" s="1078"/>
      <c r="E323" s="1081"/>
      <c r="F323" s="1081"/>
      <c r="G323" s="1081"/>
      <c r="H323" s="1081"/>
      <c r="I323" s="1081"/>
      <c r="J323" s="1081"/>
      <c r="K323" s="1088"/>
      <c r="L323" s="1077"/>
      <c r="M323" s="1080" t="s">
        <v>2045</v>
      </c>
      <c r="N323" s="1116" t="s">
        <v>5064</v>
      </c>
      <c r="O323" s="1119" t="s">
        <v>3336</v>
      </c>
      <c r="P323" s="1118">
        <f>926113.05*15%</f>
        <v>138916.9575</v>
      </c>
      <c r="Q323" s="1161">
        <v>138916.96</v>
      </c>
      <c r="R323" s="1080" t="s">
        <v>4603</v>
      </c>
      <c r="S323" s="1079">
        <v>45358</v>
      </c>
      <c r="T323" s="1162">
        <v>138916.96</v>
      </c>
      <c r="U323" s="1079">
        <v>45358</v>
      </c>
      <c r="V323" s="1162">
        <v>138916.96</v>
      </c>
      <c r="W323" s="1075">
        <v>45363</v>
      </c>
      <c r="X323" s="1118">
        <v>138916.96</v>
      </c>
      <c r="Y323" s="1216">
        <v>45372</v>
      </c>
      <c r="Z323" s="1118">
        <f t="shared" si="17"/>
        <v>0</v>
      </c>
      <c r="AA323" s="1217"/>
      <c r="AB323" s="1217"/>
      <c r="AC323" s="1217"/>
      <c r="AD323" s="1077"/>
      <c r="AE323" s="1077"/>
      <c r="AF323" s="1077"/>
      <c r="AG323" s="1077"/>
      <c r="AH323" s="1077"/>
      <c r="AI323" s="1077"/>
    </row>
    <row r="324" s="6" customFormat="1" ht="40.5" customHeight="1" spans="1:35">
      <c r="A324" s="1077"/>
      <c r="B324" s="1075"/>
      <c r="C324" s="1078"/>
      <c r="D324" s="1078"/>
      <c r="E324" s="1081"/>
      <c r="F324" s="1081"/>
      <c r="G324" s="1081"/>
      <c r="H324" s="1081"/>
      <c r="I324" s="1081"/>
      <c r="J324" s="1081"/>
      <c r="K324" s="1088"/>
      <c r="L324" s="1077"/>
      <c r="M324" s="1275" t="s">
        <v>2048</v>
      </c>
      <c r="N324" s="1275" t="s">
        <v>5068</v>
      </c>
      <c r="O324" s="1307" t="s">
        <v>3336</v>
      </c>
      <c r="P324" s="1308">
        <f>926113.05*15%</f>
        <v>138916.9575</v>
      </c>
      <c r="Q324" s="1162">
        <v>123361.98</v>
      </c>
      <c r="R324" s="1080" t="s">
        <v>4603</v>
      </c>
      <c r="S324" s="1079">
        <v>45791</v>
      </c>
      <c r="T324" s="1162">
        <v>123361.98</v>
      </c>
      <c r="U324" s="1079">
        <v>45791</v>
      </c>
      <c r="V324" s="1366">
        <v>123361.98</v>
      </c>
      <c r="W324" s="1079">
        <v>45792</v>
      </c>
      <c r="X324" s="1368">
        <v>123361.98</v>
      </c>
      <c r="Y324" s="1079">
        <v>45806</v>
      </c>
      <c r="Z324" s="1118">
        <f t="shared" si="17"/>
        <v>0</v>
      </c>
      <c r="AA324" s="1217"/>
      <c r="AB324" s="1217"/>
      <c r="AC324" s="1217"/>
      <c r="AD324" s="1077"/>
      <c r="AE324" s="1077"/>
      <c r="AF324" s="1077"/>
      <c r="AG324" s="1077"/>
      <c r="AH324" s="1077"/>
      <c r="AI324" s="1077"/>
    </row>
    <row r="325" s="6" customFormat="1" ht="42" customHeight="1" spans="1:35">
      <c r="A325" s="1077"/>
      <c r="B325" s="1075"/>
      <c r="C325" s="1078"/>
      <c r="D325" s="1078"/>
      <c r="E325" s="1081"/>
      <c r="F325" s="1081"/>
      <c r="G325" s="1081"/>
      <c r="H325" s="1081"/>
      <c r="I325" s="1081"/>
      <c r="J325" s="1081"/>
      <c r="K325" s="1088"/>
      <c r="L325" s="1077"/>
      <c r="M325" s="1309"/>
      <c r="N325" s="1309"/>
      <c r="O325" s="1310"/>
      <c r="P325" s="1311"/>
      <c r="Q325" s="1363"/>
      <c r="R325" s="1364"/>
      <c r="S325" s="1365"/>
      <c r="T325" s="1366"/>
      <c r="U325" s="1081"/>
      <c r="V325" s="1366"/>
      <c r="W325" s="1075"/>
      <c r="X325" s="1118"/>
      <c r="Y325" s="1425"/>
      <c r="Z325" s="1118">
        <f t="shared" si="17"/>
        <v>0</v>
      </c>
      <c r="AA325" s="1217"/>
      <c r="AB325" s="1217"/>
      <c r="AC325" s="1217"/>
      <c r="AD325" s="1077"/>
      <c r="AE325" s="1077"/>
      <c r="AF325" s="1077"/>
      <c r="AG325" s="1077"/>
      <c r="AH325" s="1077"/>
      <c r="AI325" s="1077"/>
    </row>
    <row r="326" s="6" customFormat="1" ht="42" customHeight="1" spans="1:35">
      <c r="A326" s="1077"/>
      <c r="B326" s="1075"/>
      <c r="C326" s="1078"/>
      <c r="D326" s="1078"/>
      <c r="E326" s="1081"/>
      <c r="F326" s="1081"/>
      <c r="G326" s="1081"/>
      <c r="H326" s="1081"/>
      <c r="I326" s="1081"/>
      <c r="J326" s="1081"/>
      <c r="K326" s="1088"/>
      <c r="L326" s="1077"/>
      <c r="M326" s="1312"/>
      <c r="N326" s="1312"/>
      <c r="O326" s="1313" t="s">
        <v>5069</v>
      </c>
      <c r="P326" s="1118">
        <f>926113.05*5%</f>
        <v>46305.6525</v>
      </c>
      <c r="Q326" s="1363"/>
      <c r="R326" s="1364"/>
      <c r="S326" s="1365"/>
      <c r="T326" s="1366"/>
      <c r="U326" s="1081"/>
      <c r="V326" s="1366"/>
      <c r="W326" s="1075"/>
      <c r="X326" s="1118"/>
      <c r="Y326" s="1425"/>
      <c r="Z326" s="1118">
        <f t="shared" si="17"/>
        <v>0</v>
      </c>
      <c r="AA326" s="1217"/>
      <c r="AB326" s="1217"/>
      <c r="AC326" s="1217"/>
      <c r="AD326" s="1077"/>
      <c r="AE326" s="1077"/>
      <c r="AF326" s="1077"/>
      <c r="AG326" s="1077"/>
      <c r="AH326" s="1077"/>
      <c r="AI326" s="1077"/>
    </row>
    <row r="327" s="6" customFormat="1" ht="76" spans="1:35">
      <c r="A327" s="1077"/>
      <c r="B327" s="1075"/>
      <c r="C327" s="1078"/>
      <c r="D327" s="1078"/>
      <c r="E327" s="1081"/>
      <c r="F327" s="1081"/>
      <c r="G327" s="1081"/>
      <c r="H327" s="1081"/>
      <c r="I327" s="1081"/>
      <c r="J327" s="1081"/>
      <c r="K327" s="1088"/>
      <c r="L327" s="1077"/>
      <c r="M327" s="1080" t="s">
        <v>2050</v>
      </c>
      <c r="N327" s="1116" t="s">
        <v>5065</v>
      </c>
      <c r="O327" s="1119" t="s">
        <v>3341</v>
      </c>
      <c r="P327" s="1118">
        <f>926113.05*20%</f>
        <v>185222.61</v>
      </c>
      <c r="Q327" s="1363">
        <v>185222.61</v>
      </c>
      <c r="R327" s="1364" t="s">
        <v>349</v>
      </c>
      <c r="S327" s="1365">
        <v>46172</v>
      </c>
      <c r="T327" s="1366"/>
      <c r="U327" s="1081"/>
      <c r="V327" s="1366"/>
      <c r="W327" s="1075"/>
      <c r="X327" s="1363">
        <v>185222.61</v>
      </c>
      <c r="Y327" s="1365">
        <v>46233</v>
      </c>
      <c r="Z327" s="1118">
        <f t="shared" si="17"/>
        <v>0</v>
      </c>
      <c r="AA327" s="1217"/>
      <c r="AB327" s="1217"/>
      <c r="AC327" s="1217"/>
      <c r="AD327" s="1077"/>
      <c r="AE327" s="1077"/>
      <c r="AF327" s="1077"/>
      <c r="AG327" s="1077"/>
      <c r="AH327" s="1077"/>
      <c r="AI327" s="1077"/>
    </row>
    <row r="328" s="6" customFormat="1" ht="92" spans="1:35">
      <c r="A328" s="1077"/>
      <c r="B328" s="1075"/>
      <c r="C328" s="1078"/>
      <c r="D328" s="1078"/>
      <c r="E328" s="1081"/>
      <c r="F328" s="1081"/>
      <c r="G328" s="1081"/>
      <c r="H328" s="1081"/>
      <c r="I328" s="1081"/>
      <c r="J328" s="1081"/>
      <c r="K328" s="1088"/>
      <c r="L328" s="1077"/>
      <c r="M328" s="1080" t="s">
        <v>2052</v>
      </c>
      <c r="N328" s="1116" t="s">
        <v>5070</v>
      </c>
      <c r="O328" s="1119" t="s">
        <v>3343</v>
      </c>
      <c r="P328" s="1118">
        <f>926113.05*5%</f>
        <v>46305.6525</v>
      </c>
      <c r="Q328" s="1363">
        <v>46305.6525</v>
      </c>
      <c r="R328" s="1364"/>
      <c r="S328" s="1365"/>
      <c r="T328" s="1366"/>
      <c r="U328" s="1081"/>
      <c r="V328" s="1366"/>
      <c r="W328" s="1075"/>
      <c r="X328" s="1363">
        <v>46305.6525</v>
      </c>
      <c r="Y328" s="1365"/>
      <c r="Z328" s="1118">
        <f t="shared" si="17"/>
        <v>0</v>
      </c>
      <c r="AA328" s="1217"/>
      <c r="AB328" s="1217"/>
      <c r="AC328" s="1217"/>
      <c r="AD328" s="1077"/>
      <c r="AE328" s="1077"/>
      <c r="AF328" s="1077"/>
      <c r="AG328" s="1077"/>
      <c r="AH328" s="1077"/>
      <c r="AI328" s="1077"/>
    </row>
    <row r="329" s="6" customFormat="1" ht="92" spans="1:35">
      <c r="A329" s="1077"/>
      <c r="B329" s="1075"/>
      <c r="C329" s="1078"/>
      <c r="D329" s="1078"/>
      <c r="E329" s="1081"/>
      <c r="F329" s="1081"/>
      <c r="G329" s="1081"/>
      <c r="H329" s="1081"/>
      <c r="I329" s="1081"/>
      <c r="J329" s="1081"/>
      <c r="K329" s="1088"/>
      <c r="L329" s="1077"/>
      <c r="M329" s="1081">
        <v>10</v>
      </c>
      <c r="N329" s="1116" t="s">
        <v>5071</v>
      </c>
      <c r="O329" s="1119" t="s">
        <v>3343</v>
      </c>
      <c r="P329" s="1118">
        <f>926113.05*5%</f>
        <v>46305.6525</v>
      </c>
      <c r="Q329" s="1363"/>
      <c r="R329" s="1364"/>
      <c r="S329" s="1365"/>
      <c r="T329" s="1366"/>
      <c r="U329" s="1081"/>
      <c r="V329" s="1366"/>
      <c r="W329" s="1075"/>
      <c r="X329" s="1118"/>
      <c r="Y329" s="1425"/>
      <c r="Z329" s="1118">
        <f t="shared" si="17"/>
        <v>0</v>
      </c>
      <c r="AA329" s="1217"/>
      <c r="AB329" s="1217"/>
      <c r="AC329" s="1217"/>
      <c r="AD329" s="1077"/>
      <c r="AE329" s="1077"/>
      <c r="AF329" s="1077"/>
      <c r="AG329" s="1077"/>
      <c r="AH329" s="1077"/>
      <c r="AI329" s="1077"/>
    </row>
    <row r="330" s="6" customFormat="1" ht="76" spans="1:35">
      <c r="A330" s="1077"/>
      <c r="B330" s="1075"/>
      <c r="C330" s="1078"/>
      <c r="D330" s="1078"/>
      <c r="E330" s="1081"/>
      <c r="F330" s="1081"/>
      <c r="G330" s="1081"/>
      <c r="H330" s="1081"/>
      <c r="I330" s="1081"/>
      <c r="J330" s="1081"/>
      <c r="K330" s="1088"/>
      <c r="L330" s="1077"/>
      <c r="M330" s="1081">
        <v>11</v>
      </c>
      <c r="N330" s="1116" t="s">
        <v>3347</v>
      </c>
      <c r="O330" s="1117">
        <v>0.1</v>
      </c>
      <c r="P330" s="1118">
        <f>K318*O330</f>
        <v>116613.945</v>
      </c>
      <c r="Q330" s="1363"/>
      <c r="R330" s="1364"/>
      <c r="S330" s="1365"/>
      <c r="T330" s="1366"/>
      <c r="U330" s="1081"/>
      <c r="V330" s="1366"/>
      <c r="W330" s="1075"/>
      <c r="X330" s="1118"/>
      <c r="Y330" s="1425"/>
      <c r="Z330" s="1118">
        <f t="shared" si="17"/>
        <v>0</v>
      </c>
      <c r="AA330" s="1217"/>
      <c r="AB330" s="1217"/>
      <c r="AC330" s="1217"/>
      <c r="AD330" s="1077"/>
      <c r="AE330" s="1077"/>
      <c r="AF330" s="1077"/>
      <c r="AG330" s="1077"/>
      <c r="AH330" s="1077"/>
      <c r="AI330" s="1077"/>
    </row>
    <row r="331" s="6" customFormat="1" ht="46" spans="1:35">
      <c r="A331" s="1224" t="s">
        <v>888</v>
      </c>
      <c r="B331" s="1225">
        <v>45287</v>
      </c>
      <c r="C331" s="1226" t="s">
        <v>5048</v>
      </c>
      <c r="D331" s="1227"/>
      <c r="E331" s="1274" t="s">
        <v>5072</v>
      </c>
      <c r="F331" s="1274" t="s">
        <v>5073</v>
      </c>
      <c r="G331" s="1274" t="s">
        <v>1923</v>
      </c>
      <c r="H331" s="1274" t="s">
        <v>5074</v>
      </c>
      <c r="I331" s="1228"/>
      <c r="J331" s="1274" t="s">
        <v>966</v>
      </c>
      <c r="K331" s="1283">
        <v>942000</v>
      </c>
      <c r="L331" s="1224" t="s">
        <v>126</v>
      </c>
      <c r="M331" s="1227">
        <v>1</v>
      </c>
      <c r="N331" s="1314" t="s">
        <v>5075</v>
      </c>
      <c r="O331" s="1315">
        <v>0.15</v>
      </c>
      <c r="P331" s="1316">
        <f>K331*O331</f>
        <v>141300</v>
      </c>
      <c r="Q331" s="1367">
        <v>141300</v>
      </c>
      <c r="R331" s="1274" t="s">
        <v>4603</v>
      </c>
      <c r="S331" s="1225">
        <v>45288</v>
      </c>
      <c r="T331" s="1367">
        <v>141300</v>
      </c>
      <c r="U331" s="1225">
        <v>45288</v>
      </c>
      <c r="V331" s="1367">
        <v>141300</v>
      </c>
      <c r="W331" s="1410">
        <v>45358</v>
      </c>
      <c r="X331" s="1316">
        <v>141300</v>
      </c>
      <c r="Y331" s="1426">
        <v>45372</v>
      </c>
      <c r="Z331" s="1316">
        <f t="shared" si="17"/>
        <v>0</v>
      </c>
      <c r="AA331" s="1427"/>
      <c r="AB331" s="1228"/>
      <c r="AC331" s="1427"/>
      <c r="AD331" s="1228"/>
      <c r="AE331" s="1228"/>
      <c r="AF331" s="1228"/>
      <c r="AG331" s="1228"/>
      <c r="AH331" s="1228"/>
      <c r="AI331" s="1228"/>
    </row>
    <row r="332" s="6" customFormat="1" ht="46" spans="1:35">
      <c r="A332" s="1228"/>
      <c r="B332" s="1225"/>
      <c r="C332" s="1229"/>
      <c r="D332" s="1227"/>
      <c r="E332" s="1227"/>
      <c r="F332" s="1227"/>
      <c r="G332" s="1227"/>
      <c r="H332" s="1227"/>
      <c r="I332" s="1228"/>
      <c r="J332" s="1227"/>
      <c r="K332" s="1283"/>
      <c r="L332" s="1228"/>
      <c r="M332" s="1227">
        <v>2</v>
      </c>
      <c r="N332" s="1314" t="s">
        <v>5076</v>
      </c>
      <c r="O332" s="1315">
        <v>0.25</v>
      </c>
      <c r="P332" s="1316">
        <f>K331*O332</f>
        <v>235500</v>
      </c>
      <c r="Q332" s="1367">
        <v>235500</v>
      </c>
      <c r="R332" s="1274" t="s">
        <v>4603</v>
      </c>
      <c r="S332" s="1225">
        <v>45288</v>
      </c>
      <c r="T332" s="1367">
        <v>235500</v>
      </c>
      <c r="U332" s="1225">
        <v>45288</v>
      </c>
      <c r="V332" s="1367">
        <v>235500</v>
      </c>
      <c r="W332" s="1410">
        <v>45358</v>
      </c>
      <c r="X332" s="1316">
        <v>235500</v>
      </c>
      <c r="Y332" s="1426">
        <v>45372</v>
      </c>
      <c r="Z332" s="1316">
        <f t="shared" si="17"/>
        <v>0</v>
      </c>
      <c r="AA332" s="1427"/>
      <c r="AB332" s="1228"/>
      <c r="AC332" s="1427"/>
      <c r="AD332" s="1228"/>
      <c r="AE332" s="1228"/>
      <c r="AF332" s="1228"/>
      <c r="AG332" s="1228"/>
      <c r="AH332" s="1228"/>
      <c r="AI332" s="1228"/>
    </row>
    <row r="333" s="6" customFormat="1" ht="46" spans="1:35">
      <c r="A333" s="1228"/>
      <c r="B333" s="1225"/>
      <c r="C333" s="1229"/>
      <c r="D333" s="1227"/>
      <c r="E333" s="1227"/>
      <c r="F333" s="1227"/>
      <c r="G333" s="1227"/>
      <c r="H333" s="1227"/>
      <c r="I333" s="1228"/>
      <c r="J333" s="1227"/>
      <c r="K333" s="1283"/>
      <c r="L333" s="1228"/>
      <c r="M333" s="1227">
        <v>3</v>
      </c>
      <c r="N333" s="1314" t="s">
        <v>5077</v>
      </c>
      <c r="O333" s="1315">
        <v>0.1</v>
      </c>
      <c r="P333" s="1316">
        <f>K331*O333</f>
        <v>94200</v>
      </c>
      <c r="Q333" s="1367">
        <v>94200</v>
      </c>
      <c r="R333" s="1274" t="s">
        <v>4603</v>
      </c>
      <c r="S333" s="1225">
        <v>45288</v>
      </c>
      <c r="T333" s="1367">
        <v>94200</v>
      </c>
      <c r="U333" s="1225">
        <v>45288</v>
      </c>
      <c r="V333" s="1367">
        <v>94200</v>
      </c>
      <c r="W333" s="1410">
        <v>45638</v>
      </c>
      <c r="X333" s="1367">
        <v>94200</v>
      </c>
      <c r="Y333" s="1426">
        <v>45653</v>
      </c>
      <c r="Z333" s="1316">
        <f t="shared" si="17"/>
        <v>0</v>
      </c>
      <c r="AA333" s="1427"/>
      <c r="AB333" s="1228"/>
      <c r="AC333" s="1427"/>
      <c r="AD333" s="1228"/>
      <c r="AE333" s="1228"/>
      <c r="AF333" s="1228"/>
      <c r="AG333" s="1228"/>
      <c r="AH333" s="1228"/>
      <c r="AI333" s="1228"/>
    </row>
    <row r="334" s="6" customFormat="1" ht="46" spans="1:35">
      <c r="A334" s="1228"/>
      <c r="B334" s="1225"/>
      <c r="C334" s="1229"/>
      <c r="D334" s="1227"/>
      <c r="E334" s="1227"/>
      <c r="F334" s="1227"/>
      <c r="G334" s="1227"/>
      <c r="H334" s="1227"/>
      <c r="I334" s="1228"/>
      <c r="J334" s="1227"/>
      <c r="K334" s="1283"/>
      <c r="L334" s="1228"/>
      <c r="M334" s="1227">
        <v>4</v>
      </c>
      <c r="N334" s="1314" t="s">
        <v>5078</v>
      </c>
      <c r="O334" s="1315">
        <v>0.3</v>
      </c>
      <c r="P334" s="1316">
        <f>K331*O334</f>
        <v>282600</v>
      </c>
      <c r="Q334" s="1367">
        <v>282600</v>
      </c>
      <c r="R334" s="1274" t="s">
        <v>4603</v>
      </c>
      <c r="S334" s="1225">
        <v>45288</v>
      </c>
      <c r="T334" s="1367">
        <v>282600</v>
      </c>
      <c r="U334" s="1225">
        <v>45288</v>
      </c>
      <c r="V334" s="1367">
        <v>282600</v>
      </c>
      <c r="W334" s="1410">
        <v>45638</v>
      </c>
      <c r="X334" s="1367">
        <v>282600</v>
      </c>
      <c r="Y334" s="1426">
        <v>45653</v>
      </c>
      <c r="Z334" s="1316">
        <f t="shared" si="17"/>
        <v>0</v>
      </c>
      <c r="AA334" s="1427"/>
      <c r="AB334" s="1228"/>
      <c r="AC334" s="1427"/>
      <c r="AD334" s="1228"/>
      <c r="AE334" s="1228"/>
      <c r="AF334" s="1228"/>
      <c r="AG334" s="1228"/>
      <c r="AH334" s="1228"/>
      <c r="AI334" s="1228"/>
    </row>
    <row r="335" s="6" customFormat="1" ht="30" customHeight="1" spans="1:35">
      <c r="A335" s="1228"/>
      <c r="B335" s="1225"/>
      <c r="C335" s="1229"/>
      <c r="D335" s="1227"/>
      <c r="E335" s="1227"/>
      <c r="F335" s="1227"/>
      <c r="G335" s="1227"/>
      <c r="H335" s="1227"/>
      <c r="I335" s="1228"/>
      <c r="J335" s="1227"/>
      <c r="K335" s="1283"/>
      <c r="L335" s="1228"/>
      <c r="M335" s="1227">
        <v>5</v>
      </c>
      <c r="N335" s="1314" t="s">
        <v>5079</v>
      </c>
      <c r="O335" s="1315">
        <v>0.05</v>
      </c>
      <c r="P335" s="1316">
        <f>K331*O335</f>
        <v>47100</v>
      </c>
      <c r="Q335" s="1367"/>
      <c r="R335" s="1227"/>
      <c r="S335" s="1225"/>
      <c r="T335" s="1367"/>
      <c r="U335" s="1410"/>
      <c r="V335" s="1367"/>
      <c r="W335" s="1410"/>
      <c r="X335" s="1316"/>
      <c r="Y335" s="1426"/>
      <c r="Z335" s="1316">
        <f t="shared" si="17"/>
        <v>0</v>
      </c>
      <c r="AA335" s="1427"/>
      <c r="AB335" s="1228"/>
      <c r="AC335" s="1427"/>
      <c r="AD335" s="1228"/>
      <c r="AE335" s="1228"/>
      <c r="AF335" s="1228"/>
      <c r="AG335" s="1228"/>
      <c r="AH335" s="1228"/>
      <c r="AI335" s="1228"/>
    </row>
    <row r="336" s="6" customFormat="1" ht="30" customHeight="1" spans="1:35">
      <c r="A336" s="1228"/>
      <c r="B336" s="1225"/>
      <c r="C336" s="1229"/>
      <c r="D336" s="1227"/>
      <c r="E336" s="1227"/>
      <c r="F336" s="1227"/>
      <c r="G336" s="1227"/>
      <c r="H336" s="1227"/>
      <c r="I336" s="1228"/>
      <c r="J336" s="1227"/>
      <c r="K336" s="1283"/>
      <c r="L336" s="1228"/>
      <c r="M336" s="1227">
        <v>6</v>
      </c>
      <c r="N336" s="1314" t="s">
        <v>5080</v>
      </c>
      <c r="O336" s="1315">
        <v>0.05</v>
      </c>
      <c r="P336" s="1316">
        <f>K331*O336</f>
        <v>47100</v>
      </c>
      <c r="Q336" s="1367"/>
      <c r="R336" s="1227"/>
      <c r="S336" s="1225"/>
      <c r="T336" s="1367"/>
      <c r="U336" s="1410"/>
      <c r="V336" s="1367"/>
      <c r="W336" s="1410"/>
      <c r="X336" s="1316"/>
      <c r="Y336" s="1426"/>
      <c r="Z336" s="1316">
        <f t="shared" si="17"/>
        <v>0</v>
      </c>
      <c r="AA336" s="1427"/>
      <c r="AB336" s="1228"/>
      <c r="AC336" s="1427"/>
      <c r="AD336" s="1228"/>
      <c r="AE336" s="1228"/>
      <c r="AF336" s="1228"/>
      <c r="AG336" s="1228"/>
      <c r="AH336" s="1228"/>
      <c r="AI336" s="1228"/>
    </row>
    <row r="337" s="6" customFormat="1" ht="46" spans="1:35">
      <c r="A337" s="1228"/>
      <c r="B337" s="1225"/>
      <c r="C337" s="1229"/>
      <c r="D337" s="1227"/>
      <c r="E337" s="1227"/>
      <c r="F337" s="1227"/>
      <c r="G337" s="1227"/>
      <c r="H337" s="1227"/>
      <c r="I337" s="1228"/>
      <c r="J337" s="1227"/>
      <c r="K337" s="1283"/>
      <c r="L337" s="1228"/>
      <c r="M337" s="1227">
        <v>7</v>
      </c>
      <c r="N337" s="1314" t="s">
        <v>5081</v>
      </c>
      <c r="O337" s="1315">
        <v>0.1</v>
      </c>
      <c r="P337" s="1316">
        <f>K331*O337</f>
        <v>94200</v>
      </c>
      <c r="Q337" s="1367"/>
      <c r="R337" s="1227"/>
      <c r="S337" s="1225"/>
      <c r="T337" s="1367"/>
      <c r="U337" s="1410"/>
      <c r="V337" s="1367"/>
      <c r="W337" s="1410"/>
      <c r="X337" s="1316"/>
      <c r="Y337" s="1426"/>
      <c r="Z337" s="1316">
        <f t="shared" si="17"/>
        <v>0</v>
      </c>
      <c r="AA337" s="1427"/>
      <c r="AB337" s="1228"/>
      <c r="AC337" s="1427"/>
      <c r="AD337" s="1228"/>
      <c r="AE337" s="1228"/>
      <c r="AF337" s="1228"/>
      <c r="AG337" s="1228"/>
      <c r="AH337" s="1228"/>
      <c r="AI337" s="1228"/>
    </row>
    <row r="338" s="6" customFormat="1" ht="31" spans="1:35">
      <c r="A338" s="1230" t="s">
        <v>888</v>
      </c>
      <c r="B338" s="1231">
        <v>45425</v>
      </c>
      <c r="C338" s="1232" t="s">
        <v>5048</v>
      </c>
      <c r="D338" s="1232"/>
      <c r="E338" s="1275" t="s">
        <v>5082</v>
      </c>
      <c r="F338" s="1275" t="s">
        <v>5083</v>
      </c>
      <c r="G338" s="1275" t="s">
        <v>5084</v>
      </c>
      <c r="H338" s="1275" t="s">
        <v>4622</v>
      </c>
      <c r="I338" s="1275" t="s">
        <v>5085</v>
      </c>
      <c r="J338" s="1275" t="s">
        <v>393</v>
      </c>
      <c r="K338" s="1284">
        <v>226527</v>
      </c>
      <c r="L338" s="1230" t="s">
        <v>126</v>
      </c>
      <c r="M338" s="1317">
        <v>1</v>
      </c>
      <c r="N338" s="1116" t="s">
        <v>5086</v>
      </c>
      <c r="O338" s="1117">
        <v>0.15</v>
      </c>
      <c r="P338" s="1118">
        <f>K338*O338</f>
        <v>33979.05</v>
      </c>
      <c r="Q338" s="1368">
        <v>33979.05</v>
      </c>
      <c r="R338" s="1080" t="s">
        <v>4603</v>
      </c>
      <c r="S338" s="1075">
        <v>45462</v>
      </c>
      <c r="T338" s="1366">
        <v>33979.05</v>
      </c>
      <c r="U338" s="1411">
        <v>45462</v>
      </c>
      <c r="V338" s="1366">
        <v>33979.05</v>
      </c>
      <c r="W338" s="1411">
        <v>45462</v>
      </c>
      <c r="X338" s="1118">
        <v>33979.05</v>
      </c>
      <c r="Y338" s="1216">
        <v>45470</v>
      </c>
      <c r="Z338" s="1118">
        <f t="shared" si="17"/>
        <v>0</v>
      </c>
      <c r="AA338" s="1217"/>
      <c r="AB338" s="1077"/>
      <c r="AC338" s="1217"/>
      <c r="AD338" s="1077"/>
      <c r="AE338" s="1077"/>
      <c r="AF338" s="1077"/>
      <c r="AG338" s="1077"/>
      <c r="AH338" s="1077"/>
      <c r="AI338" s="1077"/>
    </row>
    <row r="339" s="6" customFormat="1" ht="26.25" customHeight="1" spans="1:35">
      <c r="A339" s="1233"/>
      <c r="B339" s="1234"/>
      <c r="C339" s="1235"/>
      <c r="D339" s="1235"/>
      <c r="E339" s="1276"/>
      <c r="F339" s="1276"/>
      <c r="G339" s="1276"/>
      <c r="H339" s="1276"/>
      <c r="I339" s="1276"/>
      <c r="J339" s="1276"/>
      <c r="K339" s="1285"/>
      <c r="L339" s="1233"/>
      <c r="M339" s="1317">
        <v>2</v>
      </c>
      <c r="N339" s="1116" t="s">
        <v>5087</v>
      </c>
      <c r="O339" s="1117">
        <v>0.25</v>
      </c>
      <c r="P339" s="1118">
        <f>K338*O339</f>
        <v>56631.75</v>
      </c>
      <c r="Q339" s="1368">
        <v>56631.75</v>
      </c>
      <c r="R339" s="1080" t="s">
        <v>4603</v>
      </c>
      <c r="S339" s="1075">
        <v>45462</v>
      </c>
      <c r="T339" s="1366">
        <v>56631.75</v>
      </c>
      <c r="U339" s="1411">
        <v>45462</v>
      </c>
      <c r="V339" s="1366">
        <v>56631.75</v>
      </c>
      <c r="W339" s="1411">
        <v>45462</v>
      </c>
      <c r="X339" s="1118">
        <v>56631.75</v>
      </c>
      <c r="Y339" s="1216">
        <v>45470</v>
      </c>
      <c r="Z339" s="1118">
        <f t="shared" si="17"/>
        <v>0</v>
      </c>
      <c r="AA339" s="1217"/>
      <c r="AB339" s="1077"/>
      <c r="AC339" s="1217"/>
      <c r="AD339" s="1077"/>
      <c r="AE339" s="1077"/>
      <c r="AF339" s="1077"/>
      <c r="AG339" s="1077"/>
      <c r="AH339" s="1077"/>
      <c r="AI339" s="1077"/>
    </row>
    <row r="340" s="6" customFormat="1" ht="26.25" customHeight="1" spans="1:35">
      <c r="A340" s="1233"/>
      <c r="B340" s="1234"/>
      <c r="C340" s="1235"/>
      <c r="D340" s="1235"/>
      <c r="E340" s="1276"/>
      <c r="F340" s="1276"/>
      <c r="G340" s="1276"/>
      <c r="H340" s="1276"/>
      <c r="I340" s="1276"/>
      <c r="J340" s="1276"/>
      <c r="K340" s="1285"/>
      <c r="L340" s="1233"/>
      <c r="M340" s="1317">
        <v>3</v>
      </c>
      <c r="N340" s="1275" t="s">
        <v>5088</v>
      </c>
      <c r="O340" s="1318">
        <v>0.35</v>
      </c>
      <c r="P340" s="1118">
        <v>33979.05</v>
      </c>
      <c r="Q340" s="1369">
        <v>33979.05</v>
      </c>
      <c r="R340" s="1364" t="s">
        <v>349</v>
      </c>
      <c r="S340" s="1365">
        <v>46021</v>
      </c>
      <c r="T340" s="1366"/>
      <c r="U340" s="1411"/>
      <c r="V340" s="1366"/>
      <c r="W340" s="1411"/>
      <c r="X340" s="1118"/>
      <c r="Y340" s="1216"/>
      <c r="Z340" s="1118"/>
      <c r="AA340" s="1217"/>
      <c r="AB340" s="1077"/>
      <c r="AC340" s="1217"/>
      <c r="AD340" s="1077"/>
      <c r="AE340" s="1077"/>
      <c r="AF340" s="1077"/>
      <c r="AG340" s="1077"/>
      <c r="AH340" s="1077"/>
      <c r="AI340" s="1077"/>
    </row>
    <row r="341" s="6" customFormat="1" ht="16" spans="1:35">
      <c r="A341" s="1233"/>
      <c r="B341" s="1234"/>
      <c r="C341" s="1235"/>
      <c r="D341" s="1235"/>
      <c r="E341" s="1276"/>
      <c r="F341" s="1276"/>
      <c r="G341" s="1276"/>
      <c r="H341" s="1276"/>
      <c r="I341" s="1276"/>
      <c r="J341" s="1276"/>
      <c r="K341" s="1285"/>
      <c r="L341" s="1233"/>
      <c r="M341" s="1276"/>
      <c r="N341" s="1319"/>
      <c r="O341" s="1320"/>
      <c r="P341" s="1118">
        <f>79284.45-P340</f>
        <v>45305.4</v>
      </c>
      <c r="Q341" s="1370">
        <v>45305.4</v>
      </c>
      <c r="R341" s="1364" t="s">
        <v>349</v>
      </c>
      <c r="S341" s="1365"/>
      <c r="T341" s="1366"/>
      <c r="U341" s="1411"/>
      <c r="V341" s="1366"/>
      <c r="W341" s="1411"/>
      <c r="X341" s="1370">
        <v>79284.45</v>
      </c>
      <c r="Y341" s="1365">
        <v>46078</v>
      </c>
      <c r="Z341" s="1118">
        <f t="shared" ref="Z341:Z364" si="18">Q341-X341</f>
        <v>-33979.05</v>
      </c>
      <c r="AA341" s="1217"/>
      <c r="AB341" s="1077"/>
      <c r="AC341" s="1217"/>
      <c r="AD341" s="1077"/>
      <c r="AE341" s="1077"/>
      <c r="AF341" s="1077"/>
      <c r="AG341" s="1077"/>
      <c r="AH341" s="1077"/>
      <c r="AI341" s="1077"/>
    </row>
    <row r="342" s="6" customFormat="1" ht="26.25" customHeight="1" spans="1:35">
      <c r="A342" s="1233"/>
      <c r="B342" s="1234"/>
      <c r="C342" s="1235"/>
      <c r="D342" s="1235"/>
      <c r="E342" s="1276"/>
      <c r="F342" s="1276"/>
      <c r="G342" s="1276"/>
      <c r="H342" s="1276"/>
      <c r="I342" s="1276"/>
      <c r="J342" s="1276"/>
      <c r="K342" s="1285"/>
      <c r="L342" s="1233"/>
      <c r="M342" s="1317">
        <v>4</v>
      </c>
      <c r="N342" s="1116" t="s">
        <v>5089</v>
      </c>
      <c r="O342" s="1117">
        <v>0.15</v>
      </c>
      <c r="P342" s="1118">
        <f>K338*O342</f>
        <v>33979.05</v>
      </c>
      <c r="Q342" s="1363">
        <v>33979.05</v>
      </c>
      <c r="R342" s="1364" t="s">
        <v>349</v>
      </c>
      <c r="S342" s="1365"/>
      <c r="T342" s="1366"/>
      <c r="U342" s="1411"/>
      <c r="V342" s="1366"/>
      <c r="W342" s="1411"/>
      <c r="X342" s="1363">
        <v>33979.05</v>
      </c>
      <c r="Y342" s="1365"/>
      <c r="Z342" s="1118">
        <f t="shared" si="18"/>
        <v>0</v>
      </c>
      <c r="AA342" s="1217"/>
      <c r="AB342" s="1077"/>
      <c r="AC342" s="1217"/>
      <c r="AD342" s="1077"/>
      <c r="AE342" s="1077"/>
      <c r="AF342" s="1077"/>
      <c r="AG342" s="1077"/>
      <c r="AH342" s="1077"/>
      <c r="AI342" s="1077"/>
    </row>
    <row r="343" s="6" customFormat="1" ht="26.25" customHeight="1" spans="1:35">
      <c r="A343" s="1236"/>
      <c r="B343" s="1237"/>
      <c r="C343" s="1235"/>
      <c r="D343" s="1235"/>
      <c r="E343" s="1276"/>
      <c r="F343" s="1276"/>
      <c r="G343" s="1276"/>
      <c r="H343" s="1276"/>
      <c r="I343" s="1276"/>
      <c r="J343" s="1276"/>
      <c r="K343" s="1285"/>
      <c r="L343" s="1233"/>
      <c r="M343" s="1317">
        <v>5</v>
      </c>
      <c r="N343" s="1116" t="s">
        <v>5090</v>
      </c>
      <c r="O343" s="1117">
        <v>0.1</v>
      </c>
      <c r="P343" s="1118">
        <f>K338*O343</f>
        <v>22652.7</v>
      </c>
      <c r="Q343" s="1366"/>
      <c r="R343" s="1081"/>
      <c r="S343" s="1075"/>
      <c r="T343" s="1366"/>
      <c r="U343" s="1411"/>
      <c r="V343" s="1366"/>
      <c r="W343" s="1411"/>
      <c r="X343" s="1118"/>
      <c r="Y343" s="1216"/>
      <c r="Z343" s="1118">
        <f t="shared" si="18"/>
        <v>0</v>
      </c>
      <c r="AA343" s="1217"/>
      <c r="AB343" s="1077"/>
      <c r="AC343" s="1217"/>
      <c r="AD343" s="1077"/>
      <c r="AE343" s="1077"/>
      <c r="AF343" s="1077"/>
      <c r="AG343" s="1077"/>
      <c r="AH343" s="1077"/>
      <c r="AI343" s="1077"/>
    </row>
    <row r="344" s="6" customFormat="1" ht="46" spans="1:35">
      <c r="A344" s="1238" t="s">
        <v>888</v>
      </c>
      <c r="B344" s="1239">
        <v>45287</v>
      </c>
      <c r="C344" s="1240" t="s">
        <v>5048</v>
      </c>
      <c r="D344" s="1241"/>
      <c r="E344" s="1277" t="s">
        <v>5091</v>
      </c>
      <c r="F344" s="1277" t="s">
        <v>5092</v>
      </c>
      <c r="G344" s="1277" t="s">
        <v>813</v>
      </c>
      <c r="H344" s="1277" t="s">
        <v>5093</v>
      </c>
      <c r="I344" s="1286"/>
      <c r="J344" s="1241"/>
      <c r="K344" s="1287">
        <v>4415125</v>
      </c>
      <c r="L344" s="1288" t="s">
        <v>126</v>
      </c>
      <c r="M344" s="1241">
        <v>1</v>
      </c>
      <c r="N344" s="1321" t="s">
        <v>5094</v>
      </c>
      <c r="O344" s="1322" t="s">
        <v>5095</v>
      </c>
      <c r="P344" s="1323">
        <f>4359360*15%</f>
        <v>653904</v>
      </c>
      <c r="Q344" s="1371">
        <v>653904</v>
      </c>
      <c r="R344" s="1372" t="s">
        <v>4603</v>
      </c>
      <c r="S344" s="1239">
        <v>45288</v>
      </c>
      <c r="T344" s="1371">
        <v>653904</v>
      </c>
      <c r="U344" s="1239">
        <v>45288</v>
      </c>
      <c r="V344" s="1371">
        <v>653904</v>
      </c>
      <c r="W344" s="1412">
        <v>45350</v>
      </c>
      <c r="X344" s="1371">
        <v>653904</v>
      </c>
      <c r="Y344" s="1428">
        <v>45372</v>
      </c>
      <c r="Z344" s="1371">
        <f t="shared" si="18"/>
        <v>0</v>
      </c>
      <c r="AA344" s="1429"/>
      <c r="AB344" s="1242"/>
      <c r="AC344" s="1429"/>
      <c r="AD344" s="1242"/>
      <c r="AE344" s="1242"/>
      <c r="AF344" s="1242"/>
      <c r="AG344" s="1242"/>
      <c r="AH344" s="1242"/>
      <c r="AI344" s="1242"/>
    </row>
    <row r="345" s="6" customFormat="1" ht="46" spans="1:35">
      <c r="A345" s="1242"/>
      <c r="B345" s="1239"/>
      <c r="C345" s="1243"/>
      <c r="D345" s="1244"/>
      <c r="E345" s="1244"/>
      <c r="F345" s="1244"/>
      <c r="G345" s="1244"/>
      <c r="H345" s="1244"/>
      <c r="I345" s="1289"/>
      <c r="J345" s="1244"/>
      <c r="K345" s="1290"/>
      <c r="L345" s="1289"/>
      <c r="M345" s="1246"/>
      <c r="N345" s="1321" t="s">
        <v>5096</v>
      </c>
      <c r="O345" s="1322" t="s">
        <v>5097</v>
      </c>
      <c r="P345" s="1323">
        <f>55765*15%</f>
        <v>8364.75</v>
      </c>
      <c r="Q345" s="1371">
        <v>8364.75</v>
      </c>
      <c r="R345" s="1372" t="s">
        <v>4603</v>
      </c>
      <c r="S345" s="1239">
        <v>45288</v>
      </c>
      <c r="T345" s="1371">
        <v>8364.75</v>
      </c>
      <c r="U345" s="1239">
        <v>45288</v>
      </c>
      <c r="V345" s="1371">
        <v>8364.75</v>
      </c>
      <c r="W345" s="1412">
        <v>45350</v>
      </c>
      <c r="X345" s="1371">
        <v>8364.75</v>
      </c>
      <c r="Y345" s="1428">
        <v>45372</v>
      </c>
      <c r="Z345" s="1371">
        <f t="shared" si="18"/>
        <v>0</v>
      </c>
      <c r="AA345" s="1429"/>
      <c r="AB345" s="1242"/>
      <c r="AC345" s="1429"/>
      <c r="AD345" s="1242"/>
      <c r="AE345" s="1242"/>
      <c r="AF345" s="1242"/>
      <c r="AG345" s="1242"/>
      <c r="AH345" s="1242"/>
      <c r="AI345" s="1242"/>
    </row>
    <row r="346" s="6" customFormat="1" ht="46" spans="1:35">
      <c r="A346" s="1242"/>
      <c r="B346" s="1239"/>
      <c r="C346" s="1243"/>
      <c r="D346" s="1244"/>
      <c r="E346" s="1244"/>
      <c r="F346" s="1244"/>
      <c r="G346" s="1244"/>
      <c r="H346" s="1244"/>
      <c r="I346" s="1289"/>
      <c r="J346" s="1244"/>
      <c r="K346" s="1290"/>
      <c r="L346" s="1289"/>
      <c r="M346" s="1241">
        <v>2</v>
      </c>
      <c r="N346" s="1321" t="s">
        <v>5098</v>
      </c>
      <c r="O346" s="1322" t="s">
        <v>5099</v>
      </c>
      <c r="P346" s="1323">
        <f>4359360*25%</f>
        <v>1089840</v>
      </c>
      <c r="Q346" s="1371">
        <v>1089840</v>
      </c>
      <c r="R346" s="1372" t="s">
        <v>4603</v>
      </c>
      <c r="S346" s="1239">
        <v>45288</v>
      </c>
      <c r="T346" s="1371">
        <v>1089840</v>
      </c>
      <c r="U346" s="1239">
        <v>45288</v>
      </c>
      <c r="V346" s="1371">
        <v>1089840</v>
      </c>
      <c r="W346" s="1412">
        <v>45350</v>
      </c>
      <c r="X346" s="1371">
        <v>1089840</v>
      </c>
      <c r="Y346" s="1428">
        <v>45372</v>
      </c>
      <c r="Z346" s="1371">
        <f t="shared" si="18"/>
        <v>0</v>
      </c>
      <c r="AA346" s="1429"/>
      <c r="AB346" s="1242"/>
      <c r="AC346" s="1429"/>
      <c r="AD346" s="1242"/>
      <c r="AE346" s="1242"/>
      <c r="AF346" s="1242"/>
      <c r="AG346" s="1242"/>
      <c r="AH346" s="1242"/>
      <c r="AI346" s="1242"/>
    </row>
    <row r="347" s="6" customFormat="1" ht="46" spans="1:35">
      <c r="A347" s="1242"/>
      <c r="B347" s="1239"/>
      <c r="C347" s="1243"/>
      <c r="D347" s="1244"/>
      <c r="E347" s="1244"/>
      <c r="F347" s="1244"/>
      <c r="G347" s="1244"/>
      <c r="H347" s="1244"/>
      <c r="I347" s="1289"/>
      <c r="J347" s="1244"/>
      <c r="K347" s="1290"/>
      <c r="L347" s="1289"/>
      <c r="M347" s="1246"/>
      <c r="N347" s="1321" t="s">
        <v>5100</v>
      </c>
      <c r="O347" s="1322" t="s">
        <v>5101</v>
      </c>
      <c r="P347" s="1323">
        <f>55765*20%</f>
        <v>11153</v>
      </c>
      <c r="Q347" s="1371">
        <v>11153</v>
      </c>
      <c r="R347" s="1372" t="s">
        <v>4603</v>
      </c>
      <c r="S347" s="1239">
        <v>45288</v>
      </c>
      <c r="T347" s="1371">
        <v>11153</v>
      </c>
      <c r="U347" s="1239">
        <v>45288</v>
      </c>
      <c r="V347" s="1371">
        <v>11153</v>
      </c>
      <c r="W347" s="1412">
        <v>45350</v>
      </c>
      <c r="X347" s="1371">
        <v>11153</v>
      </c>
      <c r="Y347" s="1428">
        <v>45372</v>
      </c>
      <c r="Z347" s="1371">
        <f t="shared" si="18"/>
        <v>0</v>
      </c>
      <c r="AA347" s="1429"/>
      <c r="AB347" s="1242"/>
      <c r="AC347" s="1429"/>
      <c r="AD347" s="1242"/>
      <c r="AE347" s="1242"/>
      <c r="AF347" s="1242"/>
      <c r="AG347" s="1242"/>
      <c r="AH347" s="1242"/>
      <c r="AI347" s="1242"/>
    </row>
    <row r="348" s="6" customFormat="1" ht="46" spans="1:35">
      <c r="A348" s="1242"/>
      <c r="B348" s="1239"/>
      <c r="C348" s="1243"/>
      <c r="D348" s="1244"/>
      <c r="E348" s="1244"/>
      <c r="F348" s="1244"/>
      <c r="G348" s="1244"/>
      <c r="H348" s="1244"/>
      <c r="I348" s="1289"/>
      <c r="J348" s="1244"/>
      <c r="K348" s="1290"/>
      <c r="L348" s="1289"/>
      <c r="M348" s="1241">
        <v>3</v>
      </c>
      <c r="N348" s="1321" t="s">
        <v>5102</v>
      </c>
      <c r="O348" s="1322" t="s">
        <v>3334</v>
      </c>
      <c r="P348" s="1323">
        <f>4359360*10%</f>
        <v>435936</v>
      </c>
      <c r="Q348" s="1371">
        <v>435936</v>
      </c>
      <c r="R348" s="1372" t="s">
        <v>4603</v>
      </c>
      <c r="S348" s="1239">
        <v>45288</v>
      </c>
      <c r="T348" s="1371">
        <v>435936</v>
      </c>
      <c r="U348" s="1239">
        <v>45288</v>
      </c>
      <c r="V348" s="1371">
        <v>435936</v>
      </c>
      <c r="W348" s="1412">
        <v>45350</v>
      </c>
      <c r="X348" s="1371">
        <v>435936</v>
      </c>
      <c r="Y348" s="1428">
        <v>45372</v>
      </c>
      <c r="Z348" s="1371">
        <f t="shared" si="18"/>
        <v>0</v>
      </c>
      <c r="AA348" s="1429"/>
      <c r="AB348" s="1242"/>
      <c r="AC348" s="1429"/>
      <c r="AD348" s="1242"/>
      <c r="AE348" s="1242"/>
      <c r="AF348" s="1242"/>
      <c r="AG348" s="1242"/>
      <c r="AH348" s="1242"/>
      <c r="AI348" s="1242"/>
    </row>
    <row r="349" s="6" customFormat="1" ht="46" spans="1:35">
      <c r="A349" s="1242"/>
      <c r="B349" s="1239"/>
      <c r="C349" s="1243"/>
      <c r="D349" s="1244"/>
      <c r="E349" s="1244"/>
      <c r="F349" s="1244"/>
      <c r="G349" s="1244"/>
      <c r="H349" s="1244"/>
      <c r="I349" s="1289"/>
      <c r="J349" s="1244"/>
      <c r="K349" s="1290"/>
      <c r="L349" s="1289"/>
      <c r="M349" s="1246"/>
      <c r="N349" s="1321" t="s">
        <v>5103</v>
      </c>
      <c r="O349" s="1322" t="s">
        <v>5097</v>
      </c>
      <c r="P349" s="1323">
        <f>55765*15%</f>
        <v>8364.75</v>
      </c>
      <c r="Q349" s="1371">
        <v>8364.75</v>
      </c>
      <c r="R349" s="1372" t="s">
        <v>4603</v>
      </c>
      <c r="S349" s="1239">
        <v>45288</v>
      </c>
      <c r="T349" s="1371">
        <v>8364.75</v>
      </c>
      <c r="U349" s="1239">
        <v>45288</v>
      </c>
      <c r="V349" s="1371">
        <v>8364.75</v>
      </c>
      <c r="W349" s="1412">
        <v>45350</v>
      </c>
      <c r="X349" s="1371">
        <v>8364.75</v>
      </c>
      <c r="Y349" s="1428">
        <v>45372</v>
      </c>
      <c r="Z349" s="1371">
        <f t="shared" si="18"/>
        <v>0</v>
      </c>
      <c r="AA349" s="1429"/>
      <c r="AB349" s="1242"/>
      <c r="AC349" s="1429"/>
      <c r="AD349" s="1242"/>
      <c r="AE349" s="1242"/>
      <c r="AF349" s="1242"/>
      <c r="AG349" s="1242"/>
      <c r="AH349" s="1242"/>
      <c r="AI349" s="1242"/>
    </row>
    <row r="350" s="6" customFormat="1" ht="25.85" customHeight="1" spans="1:35">
      <c r="A350" s="1242"/>
      <c r="B350" s="1239"/>
      <c r="C350" s="1243"/>
      <c r="D350" s="1244"/>
      <c r="E350" s="1244"/>
      <c r="F350" s="1244"/>
      <c r="G350" s="1244"/>
      <c r="H350" s="1244"/>
      <c r="I350" s="1289"/>
      <c r="J350" s="1244"/>
      <c r="K350" s="1290"/>
      <c r="L350" s="1289"/>
      <c r="M350" s="1241">
        <v>4</v>
      </c>
      <c r="N350" s="1277" t="s">
        <v>5104</v>
      </c>
      <c r="O350" s="1324" t="s">
        <v>3332</v>
      </c>
      <c r="P350" s="1325">
        <f>4359360*30%</f>
        <v>1307808</v>
      </c>
      <c r="Q350" s="1373">
        <v>1307808</v>
      </c>
      <c r="R350" s="1277" t="s">
        <v>4603</v>
      </c>
      <c r="S350" s="1374">
        <v>45288</v>
      </c>
      <c r="T350" s="1373">
        <v>1307808</v>
      </c>
      <c r="U350" s="1374">
        <v>45288</v>
      </c>
      <c r="V350" s="1373">
        <v>1307808</v>
      </c>
      <c r="W350" s="1413">
        <v>45505</v>
      </c>
      <c r="X350" s="1323">
        <v>883025</v>
      </c>
      <c r="Y350" s="1428">
        <v>45624</v>
      </c>
      <c r="Z350" s="1371">
        <f t="shared" si="18"/>
        <v>424783</v>
      </c>
      <c r="AA350" s="1429"/>
      <c r="AB350" s="1242"/>
      <c r="AC350" s="1429"/>
      <c r="AD350" s="1242"/>
      <c r="AE350" s="1242"/>
      <c r="AF350" s="1242"/>
      <c r="AG350" s="1242"/>
      <c r="AH350" s="1242"/>
      <c r="AI350" s="1242"/>
    </row>
    <row r="351" s="6" customFormat="1" ht="21.65" customHeight="1" spans="1:35">
      <c r="A351" s="1242"/>
      <c r="B351" s="1239"/>
      <c r="C351" s="1243"/>
      <c r="D351" s="1244"/>
      <c r="E351" s="1244"/>
      <c r="F351" s="1244"/>
      <c r="G351" s="1244"/>
      <c r="H351" s="1244"/>
      <c r="I351" s="1289"/>
      <c r="J351" s="1244"/>
      <c r="K351" s="1290"/>
      <c r="L351" s="1289"/>
      <c r="M351" s="1244"/>
      <c r="N351" s="1326"/>
      <c r="O351" s="1327"/>
      <c r="P351" s="1328"/>
      <c r="Q351" s="1375"/>
      <c r="R351" s="1326"/>
      <c r="S351" s="1376"/>
      <c r="T351" s="1375"/>
      <c r="U351" s="1376"/>
      <c r="V351" s="1375"/>
      <c r="W351" s="1414"/>
      <c r="X351" s="1415">
        <f>V350-X350</f>
        <v>424783</v>
      </c>
      <c r="Y351" s="1430">
        <v>46052</v>
      </c>
      <c r="Z351" s="1371">
        <f t="shared" si="18"/>
        <v>-424783</v>
      </c>
      <c r="AA351" s="1429"/>
      <c r="AB351" s="1242"/>
      <c r="AC351" s="1429"/>
      <c r="AD351" s="1242"/>
      <c r="AE351" s="1242"/>
      <c r="AF351" s="1242"/>
      <c r="AG351" s="1242"/>
      <c r="AH351" s="1242"/>
      <c r="AI351" s="1242"/>
    </row>
    <row r="352" s="6" customFormat="1" ht="46" spans="1:35">
      <c r="A352" s="1242"/>
      <c r="B352" s="1239"/>
      <c r="C352" s="1243"/>
      <c r="D352" s="1244"/>
      <c r="E352" s="1244"/>
      <c r="F352" s="1244"/>
      <c r="G352" s="1244"/>
      <c r="H352" s="1244"/>
      <c r="I352" s="1289"/>
      <c r="J352" s="1244"/>
      <c r="K352" s="1290"/>
      <c r="L352" s="1289"/>
      <c r="M352" s="1246"/>
      <c r="N352" s="1321" t="s">
        <v>5105</v>
      </c>
      <c r="O352" s="1322" t="s">
        <v>5106</v>
      </c>
      <c r="P352" s="1323">
        <f>55765*30%</f>
        <v>16729.5</v>
      </c>
      <c r="Q352" s="1371">
        <v>16729.5</v>
      </c>
      <c r="R352" s="1372" t="s">
        <v>4603</v>
      </c>
      <c r="S352" s="1239">
        <v>45288</v>
      </c>
      <c r="T352" s="1371">
        <v>16729.5</v>
      </c>
      <c r="U352" s="1239">
        <v>45288</v>
      </c>
      <c r="V352" s="1371">
        <v>16729.5</v>
      </c>
      <c r="W352" s="1412">
        <v>45505</v>
      </c>
      <c r="X352" s="1415">
        <f>V352</f>
        <v>16729.5</v>
      </c>
      <c r="Y352" s="1430">
        <v>46052</v>
      </c>
      <c r="Z352" s="1371">
        <f t="shared" si="18"/>
        <v>0</v>
      </c>
      <c r="AA352" s="1429"/>
      <c r="AB352" s="1242"/>
      <c r="AC352" s="1429"/>
      <c r="AD352" s="1242"/>
      <c r="AE352" s="1242"/>
      <c r="AF352" s="1242"/>
      <c r="AG352" s="1242"/>
      <c r="AH352" s="1242"/>
      <c r="AI352" s="1242"/>
    </row>
    <row r="353" s="6" customFormat="1" ht="30" customHeight="1" spans="1:35">
      <c r="A353" s="1242"/>
      <c r="B353" s="1239"/>
      <c r="C353" s="1243"/>
      <c r="D353" s="1244"/>
      <c r="E353" s="1244"/>
      <c r="F353" s="1244"/>
      <c r="G353" s="1244"/>
      <c r="H353" s="1244"/>
      <c r="I353" s="1289"/>
      <c r="J353" s="1244"/>
      <c r="K353" s="1290"/>
      <c r="L353" s="1289"/>
      <c r="M353" s="1241">
        <v>5</v>
      </c>
      <c r="N353" s="1321" t="s">
        <v>5107</v>
      </c>
      <c r="O353" s="1322" t="s">
        <v>5108</v>
      </c>
      <c r="P353" s="1323">
        <f>4359360*5%</f>
        <v>217968</v>
      </c>
      <c r="Q353" s="1377">
        <v>217968</v>
      </c>
      <c r="R353" s="1378" t="s">
        <v>349</v>
      </c>
      <c r="S353" s="1379">
        <v>46021</v>
      </c>
      <c r="T353" s="1371"/>
      <c r="U353" s="1412"/>
      <c r="V353" s="1371"/>
      <c r="W353" s="1412"/>
      <c r="X353" s="1377">
        <v>217968</v>
      </c>
      <c r="Y353" s="1430">
        <v>46052</v>
      </c>
      <c r="Z353" s="1371">
        <f t="shared" si="18"/>
        <v>0</v>
      </c>
      <c r="AA353" s="1429"/>
      <c r="AB353" s="1242"/>
      <c r="AC353" s="1429"/>
      <c r="AD353" s="1242"/>
      <c r="AE353" s="1242"/>
      <c r="AF353" s="1242"/>
      <c r="AG353" s="1242"/>
      <c r="AH353" s="1242"/>
      <c r="AI353" s="1242"/>
    </row>
    <row r="354" s="6" customFormat="1" ht="30" customHeight="1" spans="1:35">
      <c r="A354" s="1242"/>
      <c r="B354" s="1239"/>
      <c r="C354" s="1243"/>
      <c r="D354" s="1244"/>
      <c r="E354" s="1244"/>
      <c r="F354" s="1244"/>
      <c r="G354" s="1244"/>
      <c r="H354" s="1244"/>
      <c r="I354" s="1289"/>
      <c r="J354" s="1244"/>
      <c r="K354" s="1290"/>
      <c r="L354" s="1289"/>
      <c r="M354" s="1246"/>
      <c r="N354" s="1321" t="s">
        <v>5109</v>
      </c>
      <c r="O354" s="1322" t="s">
        <v>5110</v>
      </c>
      <c r="P354" s="1323">
        <f>55765*5%</f>
        <v>2788.25</v>
      </c>
      <c r="Q354" s="1377">
        <v>2788.25</v>
      </c>
      <c r="R354" s="1378" t="s">
        <v>349</v>
      </c>
      <c r="S354" s="1379">
        <v>46021</v>
      </c>
      <c r="T354" s="1371"/>
      <c r="U354" s="1412"/>
      <c r="V354" s="1371"/>
      <c r="W354" s="1412"/>
      <c r="X354" s="1377">
        <v>2788.25</v>
      </c>
      <c r="Y354" s="1430">
        <v>46052</v>
      </c>
      <c r="Z354" s="1371">
        <f t="shared" si="18"/>
        <v>0</v>
      </c>
      <c r="AA354" s="1429"/>
      <c r="AB354" s="1242"/>
      <c r="AC354" s="1429"/>
      <c r="AD354" s="1242"/>
      <c r="AE354" s="1242"/>
      <c r="AF354" s="1242"/>
      <c r="AG354" s="1242"/>
      <c r="AH354" s="1242"/>
      <c r="AI354" s="1242"/>
    </row>
    <row r="355" s="6" customFormat="1" ht="30" customHeight="1" spans="1:35">
      <c r="A355" s="1242"/>
      <c r="B355" s="1239"/>
      <c r="C355" s="1243"/>
      <c r="D355" s="1244"/>
      <c r="E355" s="1244"/>
      <c r="F355" s="1244"/>
      <c r="G355" s="1244"/>
      <c r="H355" s="1244"/>
      <c r="I355" s="1289"/>
      <c r="J355" s="1244"/>
      <c r="K355" s="1290"/>
      <c r="L355" s="1289"/>
      <c r="M355" s="1241">
        <v>6</v>
      </c>
      <c r="N355" s="1321" t="s">
        <v>5111</v>
      </c>
      <c r="O355" s="1322" t="s">
        <v>5108</v>
      </c>
      <c r="P355" s="1323">
        <f>4359360*5%</f>
        <v>217968</v>
      </c>
      <c r="Q355" s="1377">
        <v>217968</v>
      </c>
      <c r="R355" s="1378" t="s">
        <v>349</v>
      </c>
      <c r="S355" s="1379">
        <v>46021</v>
      </c>
      <c r="T355" s="1371"/>
      <c r="U355" s="1412"/>
      <c r="V355" s="1371"/>
      <c r="W355" s="1412"/>
      <c r="X355" s="1377">
        <v>217968</v>
      </c>
      <c r="Y355" s="1430">
        <v>46052</v>
      </c>
      <c r="Z355" s="1371">
        <f t="shared" si="18"/>
        <v>0</v>
      </c>
      <c r="AA355" s="1429"/>
      <c r="AB355" s="1242"/>
      <c r="AC355" s="1429"/>
      <c r="AD355" s="1242"/>
      <c r="AE355" s="1242"/>
      <c r="AF355" s="1242"/>
      <c r="AG355" s="1242"/>
      <c r="AH355" s="1242"/>
      <c r="AI355" s="1242"/>
    </row>
    <row r="356" s="6" customFormat="1" ht="30" customHeight="1" spans="1:35">
      <c r="A356" s="1242"/>
      <c r="B356" s="1239"/>
      <c r="C356" s="1243"/>
      <c r="D356" s="1244"/>
      <c r="E356" s="1244"/>
      <c r="F356" s="1244"/>
      <c r="G356" s="1244"/>
      <c r="H356" s="1244"/>
      <c r="I356" s="1289"/>
      <c r="J356" s="1244"/>
      <c r="K356" s="1290"/>
      <c r="L356" s="1289"/>
      <c r="M356" s="1246"/>
      <c r="N356" s="1321" t="s">
        <v>5112</v>
      </c>
      <c r="O356" s="1322" t="s">
        <v>5110</v>
      </c>
      <c r="P356" s="1323">
        <f>55765*5%</f>
        <v>2788.25</v>
      </c>
      <c r="Q356" s="1377">
        <v>2788.25</v>
      </c>
      <c r="R356" s="1378" t="s">
        <v>349</v>
      </c>
      <c r="S356" s="1379">
        <v>46021</v>
      </c>
      <c r="T356" s="1371"/>
      <c r="U356" s="1412"/>
      <c r="V356" s="1371"/>
      <c r="W356" s="1412"/>
      <c r="X356" s="1377">
        <v>2788.25</v>
      </c>
      <c r="Y356" s="1430">
        <v>46052</v>
      </c>
      <c r="Z356" s="1371">
        <f t="shared" si="18"/>
        <v>0</v>
      </c>
      <c r="AA356" s="1429"/>
      <c r="AB356" s="1242"/>
      <c r="AC356" s="1429"/>
      <c r="AD356" s="1242"/>
      <c r="AE356" s="1242"/>
      <c r="AF356" s="1242"/>
      <c r="AG356" s="1242"/>
      <c r="AH356" s="1242"/>
      <c r="AI356" s="1242"/>
    </row>
    <row r="357" s="6" customFormat="1" ht="46" spans="1:35">
      <c r="A357" s="1242"/>
      <c r="B357" s="1239"/>
      <c r="C357" s="1245"/>
      <c r="D357" s="1246"/>
      <c r="E357" s="1246"/>
      <c r="F357" s="1246"/>
      <c r="G357" s="1246"/>
      <c r="H357" s="1246"/>
      <c r="I357" s="1291"/>
      <c r="J357" s="1246"/>
      <c r="K357" s="1292"/>
      <c r="L357" s="1291"/>
      <c r="M357" s="1329">
        <v>7</v>
      </c>
      <c r="N357" s="1321" t="s">
        <v>5081</v>
      </c>
      <c r="O357" s="1330">
        <v>0.1</v>
      </c>
      <c r="P357" s="1323">
        <f>K344*O357</f>
        <v>441512.5</v>
      </c>
      <c r="Q357" s="1371"/>
      <c r="R357" s="1329"/>
      <c r="S357" s="1239"/>
      <c r="T357" s="1371"/>
      <c r="U357" s="1412"/>
      <c r="V357" s="1371"/>
      <c r="W357" s="1412"/>
      <c r="X357" s="1323"/>
      <c r="Y357" s="1428"/>
      <c r="Z357" s="1371">
        <f t="shared" si="18"/>
        <v>0</v>
      </c>
      <c r="AA357" s="1429"/>
      <c r="AB357" s="1242"/>
      <c r="AC357" s="1429"/>
      <c r="AD357" s="1242"/>
      <c r="AE357" s="1242"/>
      <c r="AF357" s="1242"/>
      <c r="AG357" s="1242"/>
      <c r="AH357" s="1242"/>
      <c r="AI357" s="1242"/>
    </row>
    <row r="358" s="6" customFormat="1" ht="46" spans="1:35">
      <c r="A358" s="1247" t="s">
        <v>888</v>
      </c>
      <c r="B358" s="1248">
        <v>45399</v>
      </c>
      <c r="C358" s="1249" t="s">
        <v>5048</v>
      </c>
      <c r="D358" s="1249"/>
      <c r="E358" s="1278" t="s">
        <v>5113</v>
      </c>
      <c r="F358" s="1278" t="s">
        <v>5114</v>
      </c>
      <c r="G358" s="1278" t="s">
        <v>5115</v>
      </c>
      <c r="H358" s="1278" t="s">
        <v>5116</v>
      </c>
      <c r="I358" s="1250">
        <v>128084.76</v>
      </c>
      <c r="J358" s="1278" t="s">
        <v>5117</v>
      </c>
      <c r="K358" s="1293">
        <v>950000</v>
      </c>
      <c r="L358" s="1294" t="s">
        <v>126</v>
      </c>
      <c r="M358" s="1331">
        <v>1</v>
      </c>
      <c r="N358" s="1332" t="s">
        <v>5118</v>
      </c>
      <c r="O358" s="1333">
        <v>0.4</v>
      </c>
      <c r="P358" s="1334">
        <f>760000*O358</f>
        <v>304000</v>
      </c>
      <c r="Q358" s="1380">
        <v>304000</v>
      </c>
      <c r="R358" s="1381" t="s">
        <v>4603</v>
      </c>
      <c r="S358" s="1382">
        <v>45555</v>
      </c>
      <c r="T358" s="1380">
        <v>304000</v>
      </c>
      <c r="U358" s="1416">
        <v>45555</v>
      </c>
      <c r="V358" s="1380">
        <v>304000</v>
      </c>
      <c r="W358" s="1416">
        <v>45558</v>
      </c>
      <c r="X358" s="1380">
        <v>304000</v>
      </c>
      <c r="Y358" s="1431">
        <v>45562</v>
      </c>
      <c r="Z358" s="1380">
        <f t="shared" si="18"/>
        <v>0</v>
      </c>
      <c r="AA358" s="1432"/>
      <c r="AB358" s="1433"/>
      <c r="AC358" s="1432"/>
      <c r="AD358" s="1433"/>
      <c r="AE358" s="1433"/>
      <c r="AF358" s="1433"/>
      <c r="AG358" s="1433"/>
      <c r="AH358" s="1433"/>
      <c r="AI358" s="1433"/>
    </row>
    <row r="359" s="6" customFormat="1" ht="26.25" customHeight="1" spans="1:35">
      <c r="A359" s="1247"/>
      <c r="B359" s="1248"/>
      <c r="C359" s="1249"/>
      <c r="D359" s="1249"/>
      <c r="E359" s="1278"/>
      <c r="F359" s="1278"/>
      <c r="G359" s="1278"/>
      <c r="H359" s="1278"/>
      <c r="I359" s="1250"/>
      <c r="J359" s="1278"/>
      <c r="K359" s="1293"/>
      <c r="L359" s="1294"/>
      <c r="M359" s="1335">
        <v>2</v>
      </c>
      <c r="N359" s="1336" t="s">
        <v>5119</v>
      </c>
      <c r="O359" s="1337">
        <v>0.3</v>
      </c>
      <c r="P359" s="1338">
        <f>760000*O359</f>
        <v>228000</v>
      </c>
      <c r="Q359" s="1383">
        <v>114000</v>
      </c>
      <c r="R359" s="1384" t="s">
        <v>349</v>
      </c>
      <c r="S359" s="1385">
        <v>46021</v>
      </c>
      <c r="T359" s="1380"/>
      <c r="U359" s="1416"/>
      <c r="V359" s="1380"/>
      <c r="W359" s="1416"/>
      <c r="X359" s="1383">
        <v>114000</v>
      </c>
      <c r="Y359" s="1385">
        <v>46078</v>
      </c>
      <c r="Z359" s="1380">
        <f t="shared" si="18"/>
        <v>0</v>
      </c>
      <c r="AA359" s="1432"/>
      <c r="AB359" s="1433"/>
      <c r="AC359" s="1432"/>
      <c r="AD359" s="1433"/>
      <c r="AE359" s="1433"/>
      <c r="AF359" s="1433"/>
      <c r="AG359" s="1433"/>
      <c r="AH359" s="1433"/>
      <c r="AI359" s="1433"/>
    </row>
    <row r="360" s="6" customFormat="1" ht="26.25" customHeight="1" spans="1:35">
      <c r="A360" s="1250"/>
      <c r="B360" s="1248"/>
      <c r="C360" s="1251"/>
      <c r="D360" s="1251"/>
      <c r="E360" s="1279"/>
      <c r="F360" s="1279"/>
      <c r="G360" s="1279"/>
      <c r="H360" s="1279"/>
      <c r="I360" s="1250"/>
      <c r="J360" s="1279"/>
      <c r="K360" s="1293"/>
      <c r="L360" s="1295"/>
      <c r="M360" s="1339"/>
      <c r="N360" s="1340"/>
      <c r="O360" s="1337"/>
      <c r="P360" s="1341"/>
      <c r="Q360" s="1383">
        <v>114000</v>
      </c>
      <c r="R360" s="1384"/>
      <c r="S360" s="1385"/>
      <c r="T360" s="1380"/>
      <c r="U360" s="1416"/>
      <c r="V360" s="1380"/>
      <c r="W360" s="1416"/>
      <c r="X360" s="1383">
        <v>114000</v>
      </c>
      <c r="Y360" s="1385"/>
      <c r="Z360" s="1380">
        <f t="shared" si="18"/>
        <v>0</v>
      </c>
      <c r="AA360" s="1432"/>
      <c r="AB360" s="1433"/>
      <c r="AC360" s="1432"/>
      <c r="AD360" s="1433"/>
      <c r="AE360" s="1433"/>
      <c r="AF360" s="1433"/>
      <c r="AG360" s="1433"/>
      <c r="AH360" s="1433"/>
      <c r="AI360" s="1433"/>
    </row>
    <row r="361" s="6" customFormat="1" ht="26.25" customHeight="1" spans="1:35">
      <c r="A361" s="1250"/>
      <c r="B361" s="1248"/>
      <c r="C361" s="1251"/>
      <c r="D361" s="1251"/>
      <c r="E361" s="1279"/>
      <c r="F361" s="1279"/>
      <c r="G361" s="1279"/>
      <c r="H361" s="1279"/>
      <c r="I361" s="1250"/>
      <c r="J361" s="1279"/>
      <c r="K361" s="1293"/>
      <c r="L361" s="1295"/>
      <c r="M361" s="1331">
        <v>3</v>
      </c>
      <c r="N361" s="1340" t="s">
        <v>5120</v>
      </c>
      <c r="O361" s="1337">
        <v>0.2</v>
      </c>
      <c r="P361" s="1334">
        <f>760000*O361</f>
        <v>152000</v>
      </c>
      <c r="Q361" s="1383">
        <v>152000</v>
      </c>
      <c r="R361" s="1384" t="s">
        <v>349</v>
      </c>
      <c r="S361" s="1385"/>
      <c r="T361" s="1380"/>
      <c r="U361" s="1416"/>
      <c r="V361" s="1380"/>
      <c r="W361" s="1416"/>
      <c r="X361" s="1383">
        <v>152000</v>
      </c>
      <c r="Y361" s="1385"/>
      <c r="Z361" s="1380">
        <f t="shared" si="18"/>
        <v>0</v>
      </c>
      <c r="AA361" s="1432"/>
      <c r="AB361" s="1433"/>
      <c r="AC361" s="1432"/>
      <c r="AD361" s="1433"/>
      <c r="AE361" s="1433"/>
      <c r="AF361" s="1433"/>
      <c r="AG361" s="1433"/>
      <c r="AH361" s="1433"/>
      <c r="AI361" s="1433"/>
    </row>
    <row r="362" s="6" customFormat="1" ht="26.25" customHeight="1" spans="1:35">
      <c r="A362" s="1250"/>
      <c r="B362" s="1248"/>
      <c r="C362" s="1251"/>
      <c r="D362" s="1251"/>
      <c r="E362" s="1279"/>
      <c r="F362" s="1279"/>
      <c r="G362" s="1279"/>
      <c r="H362" s="1279"/>
      <c r="I362" s="1250"/>
      <c r="J362" s="1279"/>
      <c r="K362" s="1293"/>
      <c r="L362" s="1295"/>
      <c r="M362" s="1331">
        <v>4</v>
      </c>
      <c r="N362" s="1340" t="s">
        <v>5121</v>
      </c>
      <c r="O362" s="1337">
        <v>0.1</v>
      </c>
      <c r="P362" s="1334">
        <f>760000*O362</f>
        <v>76000</v>
      </c>
      <c r="Q362" s="1383"/>
      <c r="R362" s="1384"/>
      <c r="S362" s="1385"/>
      <c r="T362" s="1380"/>
      <c r="U362" s="1416"/>
      <c r="V362" s="1380"/>
      <c r="W362" s="1416"/>
      <c r="X362" s="1334"/>
      <c r="Y362" s="1431"/>
      <c r="Z362" s="1380">
        <f t="shared" si="18"/>
        <v>0</v>
      </c>
      <c r="AA362" s="1432"/>
      <c r="AB362" s="1433"/>
      <c r="AC362" s="1432"/>
      <c r="AD362" s="1433"/>
      <c r="AE362" s="1433"/>
      <c r="AF362" s="1433"/>
      <c r="AG362" s="1433"/>
      <c r="AH362" s="1433"/>
      <c r="AI362" s="1433"/>
    </row>
    <row r="363" s="6" customFormat="1" ht="26.25" customHeight="1" spans="1:35">
      <c r="A363" s="1250"/>
      <c r="B363" s="1248"/>
      <c r="C363" s="1251"/>
      <c r="D363" s="1251"/>
      <c r="E363" s="1279"/>
      <c r="F363" s="1279"/>
      <c r="G363" s="1279"/>
      <c r="H363" s="1279"/>
      <c r="I363" s="1250"/>
      <c r="J363" s="1279"/>
      <c r="K363" s="1293"/>
      <c r="L363" s="1295"/>
      <c r="M363" s="1331">
        <v>5</v>
      </c>
      <c r="N363" s="1340" t="s">
        <v>5122</v>
      </c>
      <c r="O363" s="1337">
        <v>0.4</v>
      </c>
      <c r="P363" s="1334">
        <f>190000*O363</f>
        <v>76000</v>
      </c>
      <c r="Q363" s="1386">
        <v>76000</v>
      </c>
      <c r="R363" s="1387" t="s">
        <v>4603</v>
      </c>
      <c r="S363" s="1388">
        <v>45734</v>
      </c>
      <c r="T363" s="1380">
        <v>76000</v>
      </c>
      <c r="U363" s="1417">
        <v>45734</v>
      </c>
      <c r="V363" s="1380">
        <v>76000</v>
      </c>
      <c r="W363" s="1416">
        <v>45736</v>
      </c>
      <c r="X363" s="1418">
        <v>76000</v>
      </c>
      <c r="Y363" s="1416">
        <v>45744</v>
      </c>
      <c r="Z363" s="1380">
        <f t="shared" si="18"/>
        <v>0</v>
      </c>
      <c r="AA363" s="1432"/>
      <c r="AB363" s="1433"/>
      <c r="AC363" s="1432"/>
      <c r="AD363" s="1433"/>
      <c r="AE363" s="1433"/>
      <c r="AF363" s="1433"/>
      <c r="AG363" s="1433"/>
      <c r="AH363" s="1433"/>
      <c r="AI363" s="1433"/>
    </row>
    <row r="364" s="6" customFormat="1" ht="26.25" customHeight="1" spans="1:35">
      <c r="A364" s="1250"/>
      <c r="B364" s="1248"/>
      <c r="C364" s="1251"/>
      <c r="D364" s="1251"/>
      <c r="E364" s="1279"/>
      <c r="F364" s="1279"/>
      <c r="G364" s="1279"/>
      <c r="H364" s="1279"/>
      <c r="I364" s="1250"/>
      <c r="J364" s="1279"/>
      <c r="K364" s="1293"/>
      <c r="L364" s="1295"/>
      <c r="M364" s="1335">
        <v>6</v>
      </c>
      <c r="N364" s="1342" t="s">
        <v>5123</v>
      </c>
      <c r="O364" s="1333">
        <v>0.3</v>
      </c>
      <c r="P364" s="1338">
        <f>190000*O364</f>
        <v>57000</v>
      </c>
      <c r="Q364" s="1383">
        <v>28500</v>
      </c>
      <c r="R364" s="1384" t="s">
        <v>349</v>
      </c>
      <c r="S364" s="1385">
        <v>46021</v>
      </c>
      <c r="T364" s="1380"/>
      <c r="U364" s="1417"/>
      <c r="V364" s="1380"/>
      <c r="W364" s="1416"/>
      <c r="X364" s="1383">
        <v>28500</v>
      </c>
      <c r="Y364" s="1385">
        <v>46078</v>
      </c>
      <c r="Z364" s="1380">
        <f t="shared" si="18"/>
        <v>0</v>
      </c>
      <c r="AA364" s="1432"/>
      <c r="AB364" s="1433"/>
      <c r="AC364" s="1432"/>
      <c r="AD364" s="1433"/>
      <c r="AE364" s="1433"/>
      <c r="AF364" s="1433"/>
      <c r="AG364" s="1433"/>
      <c r="AH364" s="1433"/>
      <c r="AI364" s="1433"/>
    </row>
    <row r="365" s="6" customFormat="1" ht="26.25" customHeight="1" spans="1:35">
      <c r="A365" s="1250"/>
      <c r="B365" s="1248"/>
      <c r="C365" s="1251"/>
      <c r="D365" s="1251"/>
      <c r="E365" s="1279"/>
      <c r="F365" s="1279"/>
      <c r="G365" s="1279"/>
      <c r="H365" s="1279"/>
      <c r="I365" s="1250"/>
      <c r="J365" s="1279"/>
      <c r="K365" s="1293"/>
      <c r="L365" s="1295"/>
      <c r="M365" s="1339"/>
      <c r="N365" s="1332"/>
      <c r="O365" s="1343"/>
      <c r="P365" s="1341"/>
      <c r="Q365" s="1383">
        <v>28500</v>
      </c>
      <c r="R365" s="1384"/>
      <c r="S365" s="1385"/>
      <c r="T365" s="1380"/>
      <c r="U365" s="1416"/>
      <c r="V365" s="1380"/>
      <c r="W365" s="1416"/>
      <c r="X365" s="1383">
        <v>28500</v>
      </c>
      <c r="Y365" s="1385"/>
      <c r="Z365" s="1380">
        <f t="shared" ref="Z365:Z407" si="19">Q365-X365</f>
        <v>0</v>
      </c>
      <c r="AA365" s="1432"/>
      <c r="AB365" s="1433"/>
      <c r="AC365" s="1432"/>
      <c r="AD365" s="1433"/>
      <c r="AE365" s="1433"/>
      <c r="AF365" s="1433"/>
      <c r="AG365" s="1433"/>
      <c r="AH365" s="1433"/>
      <c r="AI365" s="1433"/>
    </row>
    <row r="366" s="6" customFormat="1" ht="26.25" customHeight="1" spans="1:35">
      <c r="A366" s="1250"/>
      <c r="B366" s="1248"/>
      <c r="C366" s="1251"/>
      <c r="D366" s="1251"/>
      <c r="E366" s="1279"/>
      <c r="F366" s="1279"/>
      <c r="G366" s="1279"/>
      <c r="H366" s="1279"/>
      <c r="I366" s="1250"/>
      <c r="J366" s="1279"/>
      <c r="K366" s="1293"/>
      <c r="L366" s="1295"/>
      <c r="M366" s="1331">
        <v>7</v>
      </c>
      <c r="N366" s="1332" t="s">
        <v>5124</v>
      </c>
      <c r="O366" s="1343">
        <v>0.2</v>
      </c>
      <c r="P366" s="1334">
        <f>190000*O366</f>
        <v>38000</v>
      </c>
      <c r="Q366" s="1383">
        <v>38000</v>
      </c>
      <c r="R366" s="1384" t="s">
        <v>349</v>
      </c>
      <c r="S366" s="1385"/>
      <c r="T366" s="1380"/>
      <c r="U366" s="1416"/>
      <c r="V366" s="1380"/>
      <c r="W366" s="1416"/>
      <c r="X366" s="1383">
        <v>38000</v>
      </c>
      <c r="Y366" s="1385"/>
      <c r="Z366" s="1380">
        <f t="shared" si="19"/>
        <v>0</v>
      </c>
      <c r="AA366" s="1432"/>
      <c r="AB366" s="1433"/>
      <c r="AC366" s="1432"/>
      <c r="AD366" s="1433"/>
      <c r="AE366" s="1433"/>
      <c r="AF366" s="1433"/>
      <c r="AG366" s="1433"/>
      <c r="AH366" s="1433"/>
      <c r="AI366" s="1433"/>
    </row>
    <row r="367" s="6" customFormat="1" ht="26.25" customHeight="1" spans="1:35">
      <c r="A367" s="1250"/>
      <c r="B367" s="1248"/>
      <c r="C367" s="1251"/>
      <c r="D367" s="1251"/>
      <c r="E367" s="1279"/>
      <c r="F367" s="1279"/>
      <c r="G367" s="1279"/>
      <c r="H367" s="1279"/>
      <c r="I367" s="1250"/>
      <c r="J367" s="1279"/>
      <c r="K367" s="1293"/>
      <c r="L367" s="1295"/>
      <c r="M367" s="1335">
        <v>8</v>
      </c>
      <c r="N367" s="1344" t="s">
        <v>5125</v>
      </c>
      <c r="O367" s="1333">
        <v>0.1</v>
      </c>
      <c r="P367" s="1338">
        <f>190000*O367</f>
        <v>19000</v>
      </c>
      <c r="Q367" s="1389"/>
      <c r="R367" s="1335"/>
      <c r="S367" s="1390"/>
      <c r="T367" s="1389"/>
      <c r="U367" s="1419"/>
      <c r="V367" s="1389"/>
      <c r="W367" s="1419"/>
      <c r="X367" s="1338"/>
      <c r="Y367" s="1434"/>
      <c r="Z367" s="1380">
        <f t="shared" si="19"/>
        <v>0</v>
      </c>
      <c r="AA367" s="1435"/>
      <c r="AB367" s="1436"/>
      <c r="AC367" s="1435"/>
      <c r="AD367" s="1436"/>
      <c r="AE367" s="1436"/>
      <c r="AF367" s="1436"/>
      <c r="AG367" s="1436"/>
      <c r="AH367" s="1436"/>
      <c r="AI367" s="1436"/>
    </row>
    <row r="368" s="6" customFormat="1" ht="26.25" customHeight="1" spans="1:35">
      <c r="A368" s="1252" t="s">
        <v>888</v>
      </c>
      <c r="B368" s="1253">
        <v>45511</v>
      </c>
      <c r="C368" s="1254" t="s">
        <v>5048</v>
      </c>
      <c r="D368" s="1254"/>
      <c r="E368" s="1280" t="s">
        <v>5126</v>
      </c>
      <c r="F368" s="1280" t="s">
        <v>5127</v>
      </c>
      <c r="G368" s="1280" t="s">
        <v>3620</v>
      </c>
      <c r="H368" s="1280" t="s">
        <v>5128</v>
      </c>
      <c r="I368" s="1296"/>
      <c r="J368" s="1297"/>
      <c r="K368" s="1298">
        <f>1782932.4*0.9</f>
        <v>1604639.16</v>
      </c>
      <c r="L368" s="1299" t="s">
        <v>126</v>
      </c>
      <c r="M368" s="1345">
        <v>1</v>
      </c>
      <c r="N368" s="1346" t="s">
        <v>5129</v>
      </c>
      <c r="O368" s="1347">
        <v>0.15</v>
      </c>
      <c r="P368" s="1348">
        <f>K368*O368</f>
        <v>240695.874</v>
      </c>
      <c r="Q368" s="1391">
        <v>240695.874</v>
      </c>
      <c r="R368" s="1392" t="s">
        <v>4603</v>
      </c>
      <c r="S368" s="1393">
        <v>45734</v>
      </c>
      <c r="T368" s="1394">
        <v>240695.874</v>
      </c>
      <c r="U368" s="1401">
        <v>45734</v>
      </c>
      <c r="V368" s="1394">
        <v>240695.874</v>
      </c>
      <c r="W368" s="1420">
        <v>45709</v>
      </c>
      <c r="X368" s="1391">
        <v>240695.874</v>
      </c>
      <c r="Y368" s="1437">
        <v>45744</v>
      </c>
      <c r="Z368" s="1391">
        <f t="shared" si="19"/>
        <v>0</v>
      </c>
      <c r="AA368" s="1438"/>
      <c r="AB368" s="1255"/>
      <c r="AC368" s="1438"/>
      <c r="AD368" s="1255"/>
      <c r="AE368" s="1255"/>
      <c r="AF368" s="1255"/>
      <c r="AG368" s="1255"/>
      <c r="AH368" s="1255"/>
      <c r="AI368" s="1255"/>
    </row>
    <row r="369" s="6" customFormat="1" ht="26.25" customHeight="1" spans="1:35">
      <c r="A369" s="1255"/>
      <c r="B369" s="1256"/>
      <c r="C369" s="1257"/>
      <c r="D369" s="1257"/>
      <c r="E369" s="1281"/>
      <c r="F369" s="1281"/>
      <c r="G369" s="1281"/>
      <c r="H369" s="1281"/>
      <c r="I369" s="1300"/>
      <c r="J369" s="1281"/>
      <c r="K369" s="1298"/>
      <c r="L369" s="1300"/>
      <c r="M369" s="1345">
        <v>2</v>
      </c>
      <c r="N369" s="1346" t="s">
        <v>5130</v>
      </c>
      <c r="O369" s="1347">
        <v>0.25</v>
      </c>
      <c r="P369" s="1348">
        <f>K368*O369</f>
        <v>401159.79</v>
      </c>
      <c r="Q369" s="1391">
        <v>401159.79</v>
      </c>
      <c r="R369" s="1392" t="s">
        <v>4603</v>
      </c>
      <c r="S369" s="1393">
        <v>45734</v>
      </c>
      <c r="T369" s="1394">
        <v>401159.79</v>
      </c>
      <c r="U369" s="1401">
        <v>45734</v>
      </c>
      <c r="V369" s="1394">
        <v>401159.79</v>
      </c>
      <c r="W369" s="1420">
        <v>45757</v>
      </c>
      <c r="X369" s="1421">
        <v>401159.79</v>
      </c>
      <c r="Y369" s="1420">
        <v>45777</v>
      </c>
      <c r="Z369" s="1391">
        <f t="shared" si="19"/>
        <v>0</v>
      </c>
      <c r="AA369" s="1438"/>
      <c r="AB369" s="1255"/>
      <c r="AC369" s="1438"/>
      <c r="AD369" s="1255"/>
      <c r="AE369" s="1255"/>
      <c r="AF369" s="1255"/>
      <c r="AG369" s="1255"/>
      <c r="AH369" s="1255"/>
      <c r="AI369" s="1255"/>
    </row>
    <row r="370" s="6" customFormat="1" ht="26.25" customHeight="1" spans="1:35">
      <c r="A370" s="1255"/>
      <c r="B370" s="1256"/>
      <c r="C370" s="1257"/>
      <c r="D370" s="1257"/>
      <c r="E370" s="1281"/>
      <c r="F370" s="1281"/>
      <c r="G370" s="1281"/>
      <c r="H370" s="1281"/>
      <c r="I370" s="1300"/>
      <c r="J370" s="1281"/>
      <c r="K370" s="1298"/>
      <c r="L370" s="1300"/>
      <c r="M370" s="1345">
        <v>3</v>
      </c>
      <c r="N370" s="1346" t="s">
        <v>5131</v>
      </c>
      <c r="O370" s="1347">
        <v>0.15</v>
      </c>
      <c r="P370" s="1348">
        <f>K368*O370</f>
        <v>240695.874</v>
      </c>
      <c r="Q370" s="1395">
        <v>240695.874</v>
      </c>
      <c r="R370" s="1396" t="s">
        <v>4603</v>
      </c>
      <c r="S370" s="1397">
        <v>45855</v>
      </c>
      <c r="T370" s="1395">
        <v>240695.874</v>
      </c>
      <c r="U370" s="1397">
        <v>45855</v>
      </c>
      <c r="V370" s="1394">
        <v>240695.874</v>
      </c>
      <c r="W370" s="1397">
        <v>45902</v>
      </c>
      <c r="X370" s="1395">
        <v>240695.874</v>
      </c>
      <c r="Y370" s="1397">
        <v>45926</v>
      </c>
      <c r="Z370" s="1391">
        <f t="shared" si="19"/>
        <v>0</v>
      </c>
      <c r="AA370" s="1438"/>
      <c r="AB370" s="1255"/>
      <c r="AC370" s="1438"/>
      <c r="AD370" s="1255"/>
      <c r="AE370" s="1255"/>
      <c r="AF370" s="1255"/>
      <c r="AG370" s="1255"/>
      <c r="AH370" s="1255"/>
      <c r="AI370" s="1255"/>
    </row>
    <row r="371" s="6" customFormat="1" ht="26.25" customHeight="1" spans="1:35">
      <c r="A371" s="1255"/>
      <c r="B371" s="1256"/>
      <c r="C371" s="1257"/>
      <c r="D371" s="1257"/>
      <c r="E371" s="1281"/>
      <c r="F371" s="1281"/>
      <c r="G371" s="1281"/>
      <c r="H371" s="1281"/>
      <c r="I371" s="1300"/>
      <c r="J371" s="1281"/>
      <c r="K371" s="1298"/>
      <c r="L371" s="1300"/>
      <c r="M371" s="1345">
        <v>4</v>
      </c>
      <c r="N371" s="1346" t="s">
        <v>5132</v>
      </c>
      <c r="O371" s="1347">
        <v>0.2</v>
      </c>
      <c r="P371" s="1348">
        <f>K368*O371</f>
        <v>320927.832</v>
      </c>
      <c r="Q371" s="1398">
        <v>320927.832</v>
      </c>
      <c r="R371" s="1399" t="s">
        <v>349</v>
      </c>
      <c r="S371" s="1400">
        <v>46111</v>
      </c>
      <c r="T371" s="1394"/>
      <c r="U371" s="1420"/>
      <c r="V371" s="1394"/>
      <c r="W371" s="1420"/>
      <c r="X371" s="1398">
        <v>320927.832</v>
      </c>
      <c r="Y371" s="1400">
        <v>46172</v>
      </c>
      <c r="Z371" s="1391">
        <f t="shared" si="19"/>
        <v>0</v>
      </c>
      <c r="AA371" s="1438"/>
      <c r="AB371" s="1255"/>
      <c r="AC371" s="1438"/>
      <c r="AD371" s="1255"/>
      <c r="AE371" s="1255"/>
      <c r="AF371" s="1255"/>
      <c r="AG371" s="1255"/>
      <c r="AH371" s="1255"/>
      <c r="AI371" s="1255"/>
    </row>
    <row r="372" s="6" customFormat="1" ht="26.25" customHeight="1" spans="1:35">
      <c r="A372" s="1255"/>
      <c r="B372" s="1256"/>
      <c r="C372" s="1257"/>
      <c r="D372" s="1257"/>
      <c r="E372" s="1281"/>
      <c r="F372" s="1281"/>
      <c r="G372" s="1281"/>
      <c r="H372" s="1281"/>
      <c r="I372" s="1300"/>
      <c r="J372" s="1281"/>
      <c r="K372" s="1298"/>
      <c r="L372" s="1300"/>
      <c r="M372" s="1345">
        <v>5</v>
      </c>
      <c r="N372" s="1346" t="s">
        <v>5133</v>
      </c>
      <c r="O372" s="1347">
        <v>0.15</v>
      </c>
      <c r="P372" s="1348">
        <f>K368*O372</f>
        <v>240695.874</v>
      </c>
      <c r="Q372" s="1394"/>
      <c r="R372" s="1345"/>
      <c r="S372" s="1401"/>
      <c r="T372" s="1394"/>
      <c r="U372" s="1420"/>
      <c r="V372" s="1394"/>
      <c r="W372" s="1420"/>
      <c r="X372" s="1348"/>
      <c r="Y372" s="1437"/>
      <c r="Z372" s="1391">
        <f t="shared" si="19"/>
        <v>0</v>
      </c>
      <c r="AA372" s="1438"/>
      <c r="AB372" s="1255"/>
      <c r="AC372" s="1438"/>
      <c r="AD372" s="1255"/>
      <c r="AE372" s="1255"/>
      <c r="AF372" s="1255"/>
      <c r="AG372" s="1255"/>
      <c r="AH372" s="1255"/>
      <c r="AI372" s="1255"/>
    </row>
    <row r="373" s="6" customFormat="1" ht="26.25" customHeight="1" spans="1:35">
      <c r="A373" s="1255"/>
      <c r="B373" s="1256"/>
      <c r="C373" s="1257"/>
      <c r="D373" s="1257"/>
      <c r="E373" s="1281"/>
      <c r="F373" s="1281"/>
      <c r="G373" s="1281"/>
      <c r="H373" s="1281"/>
      <c r="I373" s="1300"/>
      <c r="J373" s="1281"/>
      <c r="K373" s="1298"/>
      <c r="L373" s="1300"/>
      <c r="M373" s="1345">
        <v>6</v>
      </c>
      <c r="N373" s="1346" t="s">
        <v>5134</v>
      </c>
      <c r="O373" s="1347">
        <v>0.1</v>
      </c>
      <c r="P373" s="1348">
        <f>K368*O373</f>
        <v>160463.916</v>
      </c>
      <c r="Q373" s="1394"/>
      <c r="R373" s="1345"/>
      <c r="S373" s="1401"/>
      <c r="T373" s="1394"/>
      <c r="U373" s="1420"/>
      <c r="V373" s="1394"/>
      <c r="W373" s="1420"/>
      <c r="X373" s="1348"/>
      <c r="Y373" s="1437"/>
      <c r="Z373" s="1391">
        <f t="shared" si="19"/>
        <v>0</v>
      </c>
      <c r="AA373" s="1438"/>
      <c r="AB373" s="1255"/>
      <c r="AC373" s="1438"/>
      <c r="AD373" s="1255"/>
      <c r="AE373" s="1255"/>
      <c r="AF373" s="1255"/>
      <c r="AG373" s="1255"/>
      <c r="AH373" s="1255"/>
      <c r="AI373" s="1255"/>
    </row>
    <row r="374" s="6" customFormat="1" ht="46" spans="1:35">
      <c r="A374" s="1255"/>
      <c r="B374" s="1258"/>
      <c r="C374" s="1259"/>
      <c r="D374" s="1259"/>
      <c r="E374" s="1282"/>
      <c r="F374" s="1282"/>
      <c r="G374" s="1282"/>
      <c r="H374" s="1282"/>
      <c r="I374" s="1301"/>
      <c r="J374" s="1282"/>
      <c r="K374" s="1302">
        <v>178293.24</v>
      </c>
      <c r="L374" s="1301"/>
      <c r="M374" s="1345">
        <v>7</v>
      </c>
      <c r="N374" s="1346" t="s">
        <v>5081</v>
      </c>
      <c r="O374" s="1347">
        <v>1</v>
      </c>
      <c r="P374" s="1348">
        <f>K374*O374</f>
        <v>178293.24</v>
      </c>
      <c r="Q374" s="1394"/>
      <c r="R374" s="1345"/>
      <c r="S374" s="1401"/>
      <c r="T374" s="1394"/>
      <c r="U374" s="1420"/>
      <c r="V374" s="1394"/>
      <c r="W374" s="1420"/>
      <c r="X374" s="1348"/>
      <c r="Y374" s="1437"/>
      <c r="Z374" s="1391">
        <f t="shared" si="19"/>
        <v>0</v>
      </c>
      <c r="AA374" s="1438"/>
      <c r="AB374" s="1255"/>
      <c r="AC374" s="1438"/>
      <c r="AD374" s="1255"/>
      <c r="AE374" s="1255"/>
      <c r="AF374" s="1255"/>
      <c r="AG374" s="1255"/>
      <c r="AH374" s="1255"/>
      <c r="AI374" s="1255"/>
    </row>
    <row r="375" s="6" customFormat="1" ht="61" spans="1:35">
      <c r="A375" s="393" t="s">
        <v>888</v>
      </c>
      <c r="B375" s="1260">
        <v>45664</v>
      </c>
      <c r="C375" s="1261" t="s">
        <v>5048</v>
      </c>
      <c r="D375" s="1261"/>
      <c r="E375" s="728" t="s">
        <v>955</v>
      </c>
      <c r="F375" s="728" t="s">
        <v>5135</v>
      </c>
      <c r="G375" s="728" t="s">
        <v>3911</v>
      </c>
      <c r="H375" s="728" t="s">
        <v>5136</v>
      </c>
      <c r="I375" s="798" t="s">
        <v>5137</v>
      </c>
      <c r="J375" s="728" t="s">
        <v>976</v>
      </c>
      <c r="K375" s="1303">
        <v>602400</v>
      </c>
      <c r="L375" s="798" t="s">
        <v>126</v>
      </c>
      <c r="M375" s="1349">
        <v>1</v>
      </c>
      <c r="N375" s="1350" t="s">
        <v>5138</v>
      </c>
      <c r="O375" s="1351">
        <v>0.15</v>
      </c>
      <c r="P375" s="570">
        <f>K375*O375</f>
        <v>90360</v>
      </c>
      <c r="Q375" s="1402">
        <v>90360</v>
      </c>
      <c r="R375" s="418" t="s">
        <v>4603</v>
      </c>
      <c r="S375" s="1403">
        <v>45791</v>
      </c>
      <c r="T375" s="1402">
        <v>90360</v>
      </c>
      <c r="U375" s="1403">
        <v>45791</v>
      </c>
      <c r="V375" s="1408">
        <v>90360</v>
      </c>
      <c r="W375" s="1422">
        <v>45792</v>
      </c>
      <c r="X375" s="1423">
        <v>90360</v>
      </c>
      <c r="Y375" s="567">
        <v>45806</v>
      </c>
      <c r="Z375" s="1408">
        <f t="shared" si="19"/>
        <v>0</v>
      </c>
      <c r="AA375" s="601"/>
      <c r="AB375" s="419"/>
      <c r="AC375" s="601"/>
      <c r="AD375" s="419"/>
      <c r="AE375" s="419"/>
      <c r="AF375" s="419"/>
      <c r="AG375" s="419"/>
      <c r="AH375" s="419"/>
      <c r="AI375" s="419"/>
    </row>
    <row r="376" s="6" customFormat="1" ht="39" customHeight="1" spans="1:35">
      <c r="A376" s="393"/>
      <c r="B376" s="1262"/>
      <c r="C376" s="1263"/>
      <c r="D376" s="1263"/>
      <c r="E376" s="689"/>
      <c r="F376" s="617"/>
      <c r="G376" s="689"/>
      <c r="H376" s="689"/>
      <c r="I376" s="612"/>
      <c r="J376" s="617"/>
      <c r="K376" s="690"/>
      <c r="L376" s="1304"/>
      <c r="M376" s="1352">
        <v>2</v>
      </c>
      <c r="N376" s="1353" t="s">
        <v>5139</v>
      </c>
      <c r="O376" s="1354">
        <v>0.25</v>
      </c>
      <c r="P376" s="1355">
        <f>K375*O376</f>
        <v>150600</v>
      </c>
      <c r="Q376" s="1404">
        <v>150600</v>
      </c>
      <c r="R376" s="728" t="s">
        <v>4603</v>
      </c>
      <c r="S376" s="1405">
        <v>45791</v>
      </c>
      <c r="T376" s="1404">
        <v>150600</v>
      </c>
      <c r="U376" s="1405">
        <v>45791</v>
      </c>
      <c r="V376" s="1408">
        <v>90360</v>
      </c>
      <c r="W376" s="1422">
        <v>45792</v>
      </c>
      <c r="X376" s="1423">
        <v>90360</v>
      </c>
      <c r="Y376" s="567">
        <v>45806</v>
      </c>
      <c r="Z376" s="1408">
        <f t="shared" si="19"/>
        <v>60240</v>
      </c>
      <c r="AA376" s="601"/>
      <c r="AB376" s="419"/>
      <c r="AC376" s="601"/>
      <c r="AD376" s="419"/>
      <c r="AE376" s="419"/>
      <c r="AF376" s="419"/>
      <c r="AG376" s="419"/>
      <c r="AH376" s="419"/>
      <c r="AI376" s="419"/>
    </row>
    <row r="377" s="10" customFormat="1" spans="1:35">
      <c r="A377" s="393"/>
      <c r="B377" s="1264"/>
      <c r="C377" s="1263"/>
      <c r="D377" s="1263"/>
      <c r="E377" s="689"/>
      <c r="F377" s="689"/>
      <c r="G377" s="689"/>
      <c r="H377" s="689"/>
      <c r="I377" s="1304"/>
      <c r="J377" s="689"/>
      <c r="K377" s="906"/>
      <c r="L377" s="1304"/>
      <c r="M377" s="1356"/>
      <c r="N377" s="1357"/>
      <c r="O377" s="1358"/>
      <c r="P377" s="800"/>
      <c r="Q377" s="1406"/>
      <c r="R377" s="691"/>
      <c r="S377" s="1407"/>
      <c r="T377" s="1406"/>
      <c r="U377" s="1407"/>
      <c r="V377" s="1402">
        <v>60240</v>
      </c>
      <c r="W377" s="1424">
        <v>45832</v>
      </c>
      <c r="X377" s="516">
        <v>60240</v>
      </c>
      <c r="Y377" s="568">
        <v>45838</v>
      </c>
      <c r="Z377" s="1402">
        <f t="shared" si="19"/>
        <v>-60240</v>
      </c>
      <c r="AA377" s="1439"/>
      <c r="AB377" s="393"/>
      <c r="AC377" s="1439"/>
      <c r="AD377" s="393"/>
      <c r="AE377" s="393"/>
      <c r="AF377" s="393"/>
      <c r="AG377" s="393"/>
      <c r="AH377" s="393"/>
      <c r="AI377" s="393"/>
    </row>
    <row r="378" s="10" customFormat="1" ht="61" spans="1:35">
      <c r="A378" s="393"/>
      <c r="B378" s="1264"/>
      <c r="C378" s="1263"/>
      <c r="D378" s="1263"/>
      <c r="E378" s="689"/>
      <c r="F378" s="689"/>
      <c r="G378" s="689"/>
      <c r="H378" s="689"/>
      <c r="I378" s="1304"/>
      <c r="J378" s="689"/>
      <c r="K378" s="906"/>
      <c r="L378" s="1304"/>
      <c r="M378" s="1359">
        <v>3</v>
      </c>
      <c r="N378" s="1350" t="s">
        <v>5140</v>
      </c>
      <c r="O378" s="1360">
        <v>0.1</v>
      </c>
      <c r="P378" s="516">
        <f>K375*O378</f>
        <v>60240</v>
      </c>
      <c r="Q378" s="1402">
        <v>60240</v>
      </c>
      <c r="R378" s="418" t="s">
        <v>4603</v>
      </c>
      <c r="S378" s="1403">
        <v>45791</v>
      </c>
      <c r="T378" s="1402">
        <v>60240</v>
      </c>
      <c r="U378" s="1403">
        <v>45791</v>
      </c>
      <c r="V378" s="1402">
        <v>60240</v>
      </c>
      <c r="W378" s="1424">
        <v>45832</v>
      </c>
      <c r="X378" s="516">
        <v>60240</v>
      </c>
      <c r="Y378" s="568">
        <v>45838</v>
      </c>
      <c r="Z378" s="1402">
        <f t="shared" si="19"/>
        <v>0</v>
      </c>
      <c r="AA378" s="1439"/>
      <c r="AB378" s="393"/>
      <c r="AC378" s="1439"/>
      <c r="AD378" s="393"/>
      <c r="AE378" s="393"/>
      <c r="AF378" s="393"/>
      <c r="AG378" s="393"/>
      <c r="AH378" s="393"/>
      <c r="AI378" s="393"/>
    </row>
    <row r="379" s="10" customFormat="1" ht="61" spans="1:35">
      <c r="A379" s="393"/>
      <c r="B379" s="1264"/>
      <c r="C379" s="1263"/>
      <c r="D379" s="1263"/>
      <c r="E379" s="689"/>
      <c r="F379" s="689"/>
      <c r="G379" s="689"/>
      <c r="H379" s="689"/>
      <c r="I379" s="1304"/>
      <c r="J379" s="689"/>
      <c r="K379" s="906"/>
      <c r="L379" s="1304"/>
      <c r="M379" s="1359">
        <v>4</v>
      </c>
      <c r="N379" s="1350" t="s">
        <v>5141</v>
      </c>
      <c r="O379" s="1360">
        <v>0.3</v>
      </c>
      <c r="P379" s="516">
        <f>K375*O379</f>
        <v>180720</v>
      </c>
      <c r="Q379" s="1402">
        <v>180720</v>
      </c>
      <c r="R379" s="418" t="s">
        <v>4603</v>
      </c>
      <c r="S379" s="1403">
        <v>45838</v>
      </c>
      <c r="T379" s="1402">
        <v>180720</v>
      </c>
      <c r="U379" s="1403">
        <v>45821</v>
      </c>
      <c r="V379" s="1402">
        <v>180720</v>
      </c>
      <c r="W379" s="1424">
        <v>45832</v>
      </c>
      <c r="X379" s="1402">
        <v>180720</v>
      </c>
      <c r="Y379" s="568">
        <v>45838</v>
      </c>
      <c r="Z379" s="1402">
        <f t="shared" si="19"/>
        <v>0</v>
      </c>
      <c r="AA379" s="1439"/>
      <c r="AB379" s="393"/>
      <c r="AC379" s="1439"/>
      <c r="AD379" s="393"/>
      <c r="AE379" s="393"/>
      <c r="AF379" s="393"/>
      <c r="AG379" s="393"/>
      <c r="AH379" s="393"/>
      <c r="AI379" s="393"/>
    </row>
    <row r="380" s="6" customFormat="1" ht="46" spans="1:35">
      <c r="A380" s="419"/>
      <c r="B380" s="1262"/>
      <c r="C380" s="1265"/>
      <c r="D380" s="1265"/>
      <c r="E380" s="617"/>
      <c r="F380" s="617"/>
      <c r="G380" s="617"/>
      <c r="H380" s="617"/>
      <c r="I380" s="612"/>
      <c r="J380" s="617"/>
      <c r="K380" s="690"/>
      <c r="L380" s="612"/>
      <c r="M380" s="1349">
        <v>5</v>
      </c>
      <c r="N380" s="1350" t="s">
        <v>5142</v>
      </c>
      <c r="O380" s="1351">
        <v>0.1</v>
      </c>
      <c r="P380" s="570">
        <f>K375*O380</f>
        <v>60240</v>
      </c>
      <c r="Q380" s="1408"/>
      <c r="R380" s="396"/>
      <c r="S380" s="1409"/>
      <c r="T380" s="1408"/>
      <c r="U380" s="1422"/>
      <c r="V380" s="1408"/>
      <c r="W380" s="1422"/>
      <c r="X380" s="570"/>
      <c r="Y380" s="567"/>
      <c r="Z380" s="1408">
        <f t="shared" si="19"/>
        <v>0</v>
      </c>
      <c r="AA380" s="601"/>
      <c r="AB380" s="419"/>
      <c r="AC380" s="601"/>
      <c r="AD380" s="419"/>
      <c r="AE380" s="419"/>
      <c r="AF380" s="419"/>
      <c r="AG380" s="419"/>
      <c r="AH380" s="419"/>
      <c r="AI380" s="419"/>
    </row>
    <row r="381" s="6" customFormat="1" ht="92" spans="1:35">
      <c r="A381" s="419"/>
      <c r="B381" s="1266"/>
      <c r="C381" s="1267"/>
      <c r="D381" s="1267"/>
      <c r="E381" s="618"/>
      <c r="F381" s="618"/>
      <c r="G381" s="618"/>
      <c r="H381" s="618"/>
      <c r="I381" s="613"/>
      <c r="J381" s="618"/>
      <c r="K381" s="692"/>
      <c r="L381" s="613"/>
      <c r="M381" s="1349">
        <v>6</v>
      </c>
      <c r="N381" s="1350" t="s">
        <v>5143</v>
      </c>
      <c r="O381" s="1351">
        <v>0.1</v>
      </c>
      <c r="P381" s="570">
        <f>K375*O381</f>
        <v>60240</v>
      </c>
      <c r="Q381" s="1408"/>
      <c r="R381" s="396"/>
      <c r="S381" s="1409"/>
      <c r="T381" s="1408"/>
      <c r="U381" s="1422"/>
      <c r="V381" s="1408"/>
      <c r="W381" s="1422"/>
      <c r="X381" s="570"/>
      <c r="Y381" s="567"/>
      <c r="Z381" s="1408">
        <f t="shared" si="19"/>
        <v>0</v>
      </c>
      <c r="AA381" s="601"/>
      <c r="AB381" s="419"/>
      <c r="AC381" s="601"/>
      <c r="AD381" s="419"/>
      <c r="AE381" s="419"/>
      <c r="AF381" s="419"/>
      <c r="AG381" s="419"/>
      <c r="AH381" s="419"/>
      <c r="AI381" s="419"/>
    </row>
    <row r="382" s="6" customFormat="1" ht="31" spans="1:35">
      <c r="A382" s="1268" t="s">
        <v>888</v>
      </c>
      <c r="B382" s="1269">
        <v>45750</v>
      </c>
      <c r="C382" s="1270" t="s">
        <v>5048</v>
      </c>
      <c r="D382" s="1270"/>
      <c r="E382" s="1270" t="s">
        <v>5144</v>
      </c>
      <c r="F382" s="1270" t="s">
        <v>5145</v>
      </c>
      <c r="G382" s="1270" t="s">
        <v>3911</v>
      </c>
      <c r="H382" s="1270" t="s">
        <v>5136</v>
      </c>
      <c r="I382" s="1270" t="s">
        <v>975</v>
      </c>
      <c r="J382" s="1270" t="s">
        <v>976</v>
      </c>
      <c r="K382" s="1305">
        <v>213030</v>
      </c>
      <c r="L382" s="1270" t="s">
        <v>126</v>
      </c>
      <c r="M382" s="1361">
        <v>1</v>
      </c>
      <c r="N382" s="1362" t="s">
        <v>5146</v>
      </c>
      <c r="O382" s="1315">
        <v>0.15</v>
      </c>
      <c r="P382" s="1316">
        <f>K382*O382</f>
        <v>31954.5</v>
      </c>
      <c r="Q382" s="1367">
        <v>31954.5</v>
      </c>
      <c r="R382" s="1274" t="s">
        <v>4603</v>
      </c>
      <c r="S382" s="1225">
        <v>45854</v>
      </c>
      <c r="T382" s="1367">
        <v>31954.5</v>
      </c>
      <c r="U382" s="1225">
        <v>45854</v>
      </c>
      <c r="V382" s="1367">
        <v>31954.5</v>
      </c>
      <c r="W382" s="1225">
        <v>45856</v>
      </c>
      <c r="X382" s="1367">
        <v>31954.5</v>
      </c>
      <c r="Y382" s="1225">
        <v>45877</v>
      </c>
      <c r="Z382" s="1367">
        <f t="shared" si="19"/>
        <v>0</v>
      </c>
      <c r="AA382" s="1427"/>
      <c r="AB382" s="1228"/>
      <c r="AC382" s="1427"/>
      <c r="AD382" s="1228"/>
      <c r="AE382" s="1228"/>
      <c r="AF382" s="1228"/>
      <c r="AG382" s="1228"/>
      <c r="AH382" s="1228"/>
      <c r="AI382" s="1228"/>
    </row>
    <row r="383" s="6" customFormat="1" ht="46" spans="1:35">
      <c r="A383" s="1271"/>
      <c r="B383" s="1272"/>
      <c r="C383" s="1273"/>
      <c r="D383" s="1273"/>
      <c r="E383" s="1273"/>
      <c r="F383" s="1273"/>
      <c r="G383" s="1273"/>
      <c r="H383" s="1273"/>
      <c r="I383" s="1273"/>
      <c r="J383" s="1273"/>
      <c r="K383" s="1306"/>
      <c r="L383" s="1273"/>
      <c r="M383" s="1361">
        <v>2</v>
      </c>
      <c r="N383" s="1362" t="s">
        <v>5147</v>
      </c>
      <c r="O383" s="1315">
        <v>0.25</v>
      </c>
      <c r="P383" s="1316">
        <f>K382*O383</f>
        <v>53257.5</v>
      </c>
      <c r="Q383" s="1367">
        <v>53257.5</v>
      </c>
      <c r="R383" s="1274" t="s">
        <v>4603</v>
      </c>
      <c r="S383" s="1225">
        <v>45854</v>
      </c>
      <c r="T383" s="1367">
        <v>53257.5</v>
      </c>
      <c r="U383" s="1225">
        <v>45854</v>
      </c>
      <c r="V383" s="1367">
        <v>53257.5</v>
      </c>
      <c r="W383" s="1225">
        <v>45856</v>
      </c>
      <c r="X383" s="1367">
        <v>53257.5</v>
      </c>
      <c r="Y383" s="1225">
        <v>45877</v>
      </c>
      <c r="Z383" s="1367">
        <f t="shared" si="19"/>
        <v>0</v>
      </c>
      <c r="AA383" s="1427"/>
      <c r="AB383" s="1228"/>
      <c r="AC383" s="1427"/>
      <c r="AD383" s="1228"/>
      <c r="AE383" s="1228"/>
      <c r="AF383" s="1228"/>
      <c r="AG383" s="1228"/>
      <c r="AH383" s="1228"/>
      <c r="AI383" s="1228"/>
    </row>
    <row r="384" s="6" customFormat="1" ht="46" spans="1:35">
      <c r="A384" s="1271"/>
      <c r="B384" s="1272"/>
      <c r="C384" s="1273"/>
      <c r="D384" s="1273"/>
      <c r="E384" s="1273"/>
      <c r="F384" s="1273"/>
      <c r="G384" s="1273"/>
      <c r="H384" s="1273"/>
      <c r="I384" s="1273"/>
      <c r="J384" s="1273"/>
      <c r="K384" s="1306"/>
      <c r="L384" s="1273"/>
      <c r="M384" s="1361">
        <v>3</v>
      </c>
      <c r="N384" s="1362" t="s">
        <v>5148</v>
      </c>
      <c r="O384" s="1315">
        <v>0.1</v>
      </c>
      <c r="P384" s="1316">
        <f>K382*O384</f>
        <v>21303</v>
      </c>
      <c r="Q384" s="1367"/>
      <c r="R384" s="1227"/>
      <c r="S384" s="1225"/>
      <c r="T384" s="1367"/>
      <c r="U384" s="1410"/>
      <c r="V384" s="1367"/>
      <c r="W384" s="1410"/>
      <c r="X384" s="1316"/>
      <c r="Y384" s="1426"/>
      <c r="Z384" s="1367">
        <f t="shared" si="19"/>
        <v>0</v>
      </c>
      <c r="AA384" s="1427"/>
      <c r="AB384" s="1228"/>
      <c r="AC384" s="1427"/>
      <c r="AD384" s="1228"/>
      <c r="AE384" s="1228"/>
      <c r="AF384" s="1228"/>
      <c r="AG384" s="1228"/>
      <c r="AH384" s="1228"/>
      <c r="AI384" s="1228"/>
    </row>
    <row r="385" s="6" customFormat="1" ht="46" spans="1:35">
      <c r="A385" s="1271"/>
      <c r="B385" s="1272"/>
      <c r="C385" s="1273"/>
      <c r="D385" s="1273"/>
      <c r="E385" s="1273"/>
      <c r="F385" s="1273"/>
      <c r="G385" s="1273"/>
      <c r="H385" s="1273"/>
      <c r="I385" s="1273"/>
      <c r="J385" s="1273"/>
      <c r="K385" s="1306"/>
      <c r="L385" s="1273"/>
      <c r="M385" s="1361">
        <v>4</v>
      </c>
      <c r="N385" s="1362" t="s">
        <v>5149</v>
      </c>
      <c r="O385" s="1315">
        <v>0.3</v>
      </c>
      <c r="P385" s="1316">
        <f>K382*O385</f>
        <v>63909</v>
      </c>
      <c r="Q385" s="1367"/>
      <c r="R385" s="1227"/>
      <c r="S385" s="1225"/>
      <c r="T385" s="1367"/>
      <c r="U385" s="1410"/>
      <c r="V385" s="1367"/>
      <c r="W385" s="1410"/>
      <c r="X385" s="1316"/>
      <c r="Y385" s="1426"/>
      <c r="Z385" s="1367">
        <f t="shared" si="19"/>
        <v>0</v>
      </c>
      <c r="AA385" s="1427"/>
      <c r="AB385" s="1228"/>
      <c r="AC385" s="1427"/>
      <c r="AD385" s="1228"/>
      <c r="AE385" s="1228"/>
      <c r="AF385" s="1228"/>
      <c r="AG385" s="1228"/>
      <c r="AH385" s="1228"/>
      <c r="AI385" s="1228"/>
    </row>
    <row r="386" s="6" customFormat="1" ht="31" spans="1:35">
      <c r="A386" s="1271"/>
      <c r="B386" s="1272"/>
      <c r="C386" s="1273"/>
      <c r="D386" s="1273"/>
      <c r="E386" s="1273"/>
      <c r="F386" s="1273"/>
      <c r="G386" s="1273"/>
      <c r="H386" s="1273"/>
      <c r="I386" s="1273"/>
      <c r="J386" s="1273"/>
      <c r="K386" s="1306"/>
      <c r="L386" s="1273"/>
      <c r="M386" s="1361">
        <v>5</v>
      </c>
      <c r="N386" s="1362" t="s">
        <v>5150</v>
      </c>
      <c r="O386" s="1315">
        <v>0.05</v>
      </c>
      <c r="P386" s="1316">
        <f>K382*O386</f>
        <v>10651.5</v>
      </c>
      <c r="Q386" s="1367"/>
      <c r="R386" s="1227"/>
      <c r="S386" s="1225"/>
      <c r="T386" s="1367"/>
      <c r="U386" s="1410"/>
      <c r="V386" s="1367"/>
      <c r="W386" s="1410"/>
      <c r="X386" s="1316"/>
      <c r="Y386" s="1426"/>
      <c r="Z386" s="1367">
        <f t="shared" si="19"/>
        <v>0</v>
      </c>
      <c r="AA386" s="1427"/>
      <c r="AB386" s="1228"/>
      <c r="AC386" s="1427"/>
      <c r="AD386" s="1228"/>
      <c r="AE386" s="1228"/>
      <c r="AF386" s="1228"/>
      <c r="AG386" s="1228"/>
      <c r="AH386" s="1228"/>
      <c r="AI386" s="1228"/>
    </row>
    <row r="387" s="6" customFormat="1" ht="16" spans="1:35">
      <c r="A387" s="1271"/>
      <c r="B387" s="1272"/>
      <c r="C387" s="1273"/>
      <c r="D387" s="1273"/>
      <c r="E387" s="1273"/>
      <c r="F387" s="1273"/>
      <c r="G387" s="1273"/>
      <c r="H387" s="1273"/>
      <c r="I387" s="1273"/>
      <c r="J387" s="1273"/>
      <c r="K387" s="1500"/>
      <c r="L387" s="1273"/>
      <c r="M387" s="1361">
        <v>6</v>
      </c>
      <c r="N387" s="1362" t="s">
        <v>5151</v>
      </c>
      <c r="O387" s="1315">
        <v>0.15</v>
      </c>
      <c r="P387" s="1316">
        <f>K382*O387</f>
        <v>31954.5</v>
      </c>
      <c r="Q387" s="1367"/>
      <c r="R387" s="1227"/>
      <c r="S387" s="1225"/>
      <c r="T387" s="1367"/>
      <c r="U387" s="1410"/>
      <c r="V387" s="1367"/>
      <c r="W387" s="1410"/>
      <c r="X387" s="1316"/>
      <c r="Y387" s="1426"/>
      <c r="Z387" s="1367">
        <f t="shared" si="19"/>
        <v>0</v>
      </c>
      <c r="AA387" s="1427"/>
      <c r="AB387" s="1228"/>
      <c r="AC387" s="1427"/>
      <c r="AD387" s="1228"/>
      <c r="AE387" s="1228"/>
      <c r="AF387" s="1228"/>
      <c r="AG387" s="1228"/>
      <c r="AH387" s="1228"/>
      <c r="AI387" s="1228"/>
    </row>
    <row r="388" s="6" customFormat="1" ht="92" spans="1:35">
      <c r="A388" s="1440"/>
      <c r="B388" s="1272"/>
      <c r="C388" s="1273"/>
      <c r="D388" s="1273"/>
      <c r="E388" s="1273"/>
      <c r="F388" s="1273"/>
      <c r="G388" s="1273"/>
      <c r="H388" s="1273"/>
      <c r="I388" s="1273"/>
      <c r="J388" s="1273"/>
      <c r="K388" s="1501">
        <v>23670</v>
      </c>
      <c r="L388" s="1273"/>
      <c r="M388" s="1227">
        <v>7</v>
      </c>
      <c r="N388" s="1314" t="s">
        <v>5143</v>
      </c>
      <c r="O388" s="1315">
        <v>1</v>
      </c>
      <c r="P388" s="1316">
        <f>K388*O388</f>
        <v>23670</v>
      </c>
      <c r="Q388" s="1590"/>
      <c r="R388" s="1591"/>
      <c r="S388" s="1592"/>
      <c r="T388" s="1367"/>
      <c r="U388" s="1225"/>
      <c r="V388" s="1367"/>
      <c r="W388" s="1225"/>
      <c r="X388" s="1590"/>
      <c r="Y388" s="1225"/>
      <c r="Z388" s="1367">
        <f t="shared" si="19"/>
        <v>0</v>
      </c>
      <c r="AA388" s="1427"/>
      <c r="AB388" s="1228"/>
      <c r="AC388" s="1427"/>
      <c r="AD388" s="1228"/>
      <c r="AE388" s="1228"/>
      <c r="AF388" s="1228"/>
      <c r="AG388" s="1228"/>
      <c r="AH388" s="1228"/>
      <c r="AI388" s="1228"/>
    </row>
    <row r="389" s="6" customFormat="1" ht="61" spans="1:35">
      <c r="A389" s="1441" t="s">
        <v>888</v>
      </c>
      <c r="B389" s="1442">
        <v>45639</v>
      </c>
      <c r="C389" s="1443" t="s">
        <v>5048</v>
      </c>
      <c r="D389" s="1443"/>
      <c r="E389" s="1481" t="s">
        <v>5152</v>
      </c>
      <c r="F389" s="1481" t="s">
        <v>5153</v>
      </c>
      <c r="G389" s="1481" t="s">
        <v>5154</v>
      </c>
      <c r="H389" s="1481" t="s">
        <v>5155</v>
      </c>
      <c r="I389" s="1481" t="s">
        <v>5156</v>
      </c>
      <c r="J389" s="1481" t="s">
        <v>5157</v>
      </c>
      <c r="K389" s="1502">
        <v>110000</v>
      </c>
      <c r="L389" s="1503" t="s">
        <v>126</v>
      </c>
      <c r="M389" s="1536">
        <v>1</v>
      </c>
      <c r="N389" s="1537" t="s">
        <v>5158</v>
      </c>
      <c r="O389" s="1538">
        <v>0.4</v>
      </c>
      <c r="P389" s="1539">
        <f>K389*O389</f>
        <v>44000</v>
      </c>
      <c r="Q389" s="1593">
        <v>44000</v>
      </c>
      <c r="R389" s="1594" t="s">
        <v>4603</v>
      </c>
      <c r="S389" s="1595">
        <v>45736</v>
      </c>
      <c r="T389" s="1596">
        <v>44000</v>
      </c>
      <c r="U389" s="1600">
        <v>45736</v>
      </c>
      <c r="V389" s="1596">
        <v>44000</v>
      </c>
      <c r="W389" s="1600">
        <v>45736</v>
      </c>
      <c r="X389" s="1593">
        <v>44000</v>
      </c>
      <c r="Y389" s="1600">
        <v>45744</v>
      </c>
      <c r="Z389" s="1593">
        <f t="shared" si="19"/>
        <v>0</v>
      </c>
      <c r="AA389" s="1669"/>
      <c r="AB389" s="1446"/>
      <c r="AC389" s="1669"/>
      <c r="AD389" s="1446"/>
      <c r="AE389" s="1446"/>
      <c r="AF389" s="1446"/>
      <c r="AG389" s="1446"/>
      <c r="AH389" s="1446"/>
      <c r="AI389" s="1446"/>
    </row>
    <row r="390" s="6" customFormat="1" ht="27.75" customHeight="1" spans="1:35">
      <c r="A390" s="1441"/>
      <c r="B390" s="1444"/>
      <c r="C390" s="1445"/>
      <c r="D390" s="1445"/>
      <c r="E390" s="1482"/>
      <c r="F390" s="1482"/>
      <c r="G390" s="1482"/>
      <c r="H390" s="1482"/>
      <c r="I390" s="1482"/>
      <c r="J390" s="1482"/>
      <c r="K390" s="1502"/>
      <c r="L390" s="1504"/>
      <c r="M390" s="1540">
        <v>2</v>
      </c>
      <c r="N390" s="1481" t="s">
        <v>5159</v>
      </c>
      <c r="O390" s="1541">
        <v>0.35</v>
      </c>
      <c r="P390" s="1542">
        <f>K389*O390</f>
        <v>38500</v>
      </c>
      <c r="Q390" s="1597">
        <v>16500</v>
      </c>
      <c r="R390" s="1598" t="s">
        <v>349</v>
      </c>
      <c r="S390" s="1599">
        <v>46021</v>
      </c>
      <c r="T390" s="1596"/>
      <c r="U390" s="1600"/>
      <c r="V390" s="1596"/>
      <c r="W390" s="1600"/>
      <c r="X390" s="1597">
        <v>16500</v>
      </c>
      <c r="Y390" s="1599">
        <v>46078</v>
      </c>
      <c r="Z390" s="1593"/>
      <c r="AA390" s="1669"/>
      <c r="AB390" s="1446"/>
      <c r="AC390" s="1669"/>
      <c r="AD390" s="1446"/>
      <c r="AE390" s="1446"/>
      <c r="AF390" s="1446"/>
      <c r="AG390" s="1446"/>
      <c r="AH390" s="1446"/>
      <c r="AI390" s="1446"/>
    </row>
    <row r="391" s="6" customFormat="1" ht="27.75" customHeight="1" spans="1:35">
      <c r="A391" s="1446"/>
      <c r="B391" s="1444"/>
      <c r="C391" s="1447"/>
      <c r="D391" s="1447"/>
      <c r="E391" s="1483"/>
      <c r="F391" s="1483"/>
      <c r="G391" s="1483"/>
      <c r="H391" s="1483"/>
      <c r="I391" s="1483"/>
      <c r="J391" s="1483"/>
      <c r="K391" s="1502"/>
      <c r="L391" s="1505"/>
      <c r="M391" s="1484"/>
      <c r="N391" s="1543"/>
      <c r="O391" s="1544"/>
      <c r="P391" s="1545"/>
      <c r="Q391" s="1597">
        <v>22000</v>
      </c>
      <c r="R391" s="1598" t="s">
        <v>349</v>
      </c>
      <c r="S391" s="1599"/>
      <c r="T391" s="1597"/>
      <c r="U391" s="1640"/>
      <c r="V391" s="1597"/>
      <c r="W391" s="1640"/>
      <c r="X391" s="1597">
        <v>22000</v>
      </c>
      <c r="Y391" s="1599"/>
      <c r="Z391" s="1593">
        <f>Q391-X391</f>
        <v>0</v>
      </c>
      <c r="AA391" s="1669"/>
      <c r="AB391" s="1446"/>
      <c r="AC391" s="1669"/>
      <c r="AD391" s="1446"/>
      <c r="AE391" s="1446"/>
      <c r="AF391" s="1446"/>
      <c r="AG391" s="1446"/>
      <c r="AH391" s="1446"/>
      <c r="AI391" s="1446"/>
    </row>
    <row r="392" s="6" customFormat="1" ht="46" spans="1:35">
      <c r="A392" s="1446"/>
      <c r="B392" s="1444"/>
      <c r="C392" s="1447"/>
      <c r="D392" s="1447"/>
      <c r="E392" s="1483"/>
      <c r="F392" s="1483"/>
      <c r="G392" s="1483"/>
      <c r="H392" s="1483"/>
      <c r="I392" s="1483"/>
      <c r="J392" s="1483"/>
      <c r="K392" s="1502"/>
      <c r="L392" s="1505"/>
      <c r="M392" s="1536">
        <v>3</v>
      </c>
      <c r="N392" s="1537" t="s">
        <v>5160</v>
      </c>
      <c r="O392" s="1538">
        <v>0.25</v>
      </c>
      <c r="P392" s="1539">
        <f>K389*O392</f>
        <v>27500</v>
      </c>
      <c r="Q392" s="1596"/>
      <c r="R392" s="1536"/>
      <c r="S392" s="1600"/>
      <c r="T392" s="1596"/>
      <c r="U392" s="1641"/>
      <c r="V392" s="1596"/>
      <c r="W392" s="1641"/>
      <c r="X392" s="1539"/>
      <c r="Y392" s="1670"/>
      <c r="Z392" s="1593">
        <f>Q392-X392</f>
        <v>0</v>
      </c>
      <c r="AA392" s="1669"/>
      <c r="AB392" s="1446"/>
      <c r="AC392" s="1669"/>
      <c r="AD392" s="1446"/>
      <c r="AE392" s="1446"/>
      <c r="AF392" s="1446"/>
      <c r="AG392" s="1446"/>
      <c r="AH392" s="1446"/>
      <c r="AI392" s="1446"/>
    </row>
    <row r="393" s="6" customFormat="1" ht="61" spans="1:35">
      <c r="A393" s="1446"/>
      <c r="B393" s="1444"/>
      <c r="C393" s="1447"/>
      <c r="D393" s="1447"/>
      <c r="E393" s="1483"/>
      <c r="F393" s="1483"/>
      <c r="G393" s="1483"/>
      <c r="H393" s="1483"/>
      <c r="I393" s="1483"/>
      <c r="J393" s="1483"/>
      <c r="K393" s="1502">
        <v>100000</v>
      </c>
      <c r="L393" s="1505"/>
      <c r="M393" s="1536">
        <v>4</v>
      </c>
      <c r="N393" s="1537" t="s">
        <v>5158</v>
      </c>
      <c r="O393" s="1538">
        <v>0.4</v>
      </c>
      <c r="P393" s="1539">
        <f>K393*O393</f>
        <v>40000</v>
      </c>
      <c r="Q393" s="1596">
        <v>40000</v>
      </c>
      <c r="R393" s="1601" t="s">
        <v>4603</v>
      </c>
      <c r="S393" s="1600">
        <v>45791</v>
      </c>
      <c r="T393" s="1596">
        <v>40000</v>
      </c>
      <c r="U393" s="1641">
        <v>45791</v>
      </c>
      <c r="V393" s="1596">
        <v>40000</v>
      </c>
      <c r="W393" s="1641">
        <v>45792</v>
      </c>
      <c r="X393" s="1642">
        <v>40000</v>
      </c>
      <c r="Y393" s="1670">
        <v>45806</v>
      </c>
      <c r="Z393" s="1593">
        <f>Q393-X393</f>
        <v>0</v>
      </c>
      <c r="AA393" s="1669"/>
      <c r="AB393" s="1446"/>
      <c r="AC393" s="1669"/>
      <c r="AD393" s="1446"/>
      <c r="AE393" s="1446"/>
      <c r="AF393" s="1446"/>
      <c r="AG393" s="1446"/>
      <c r="AH393" s="1446"/>
      <c r="AI393" s="1446"/>
    </row>
    <row r="394" s="6" customFormat="1" ht="33.75" customHeight="1" spans="1:35">
      <c r="A394" s="1446"/>
      <c r="B394" s="1444"/>
      <c r="C394" s="1447"/>
      <c r="D394" s="1447"/>
      <c r="E394" s="1483"/>
      <c r="F394" s="1483"/>
      <c r="G394" s="1483"/>
      <c r="H394" s="1483"/>
      <c r="I394" s="1483"/>
      <c r="J394" s="1483"/>
      <c r="K394" s="1502"/>
      <c r="L394" s="1505"/>
      <c r="M394" s="1540">
        <v>5</v>
      </c>
      <c r="N394" s="1481" t="s">
        <v>5159</v>
      </c>
      <c r="O394" s="1541">
        <v>0.35</v>
      </c>
      <c r="P394" s="1542">
        <f>K393*O394</f>
        <v>35000</v>
      </c>
      <c r="Q394" s="1597">
        <v>15000</v>
      </c>
      <c r="R394" s="1598" t="s">
        <v>349</v>
      </c>
      <c r="S394" s="1599">
        <v>46021</v>
      </c>
      <c r="T394" s="1596"/>
      <c r="U394" s="1641"/>
      <c r="V394" s="1596"/>
      <c r="W394" s="1641"/>
      <c r="X394" s="1597">
        <v>15000</v>
      </c>
      <c r="Y394" s="1599">
        <v>46078</v>
      </c>
      <c r="Z394" s="1593"/>
      <c r="AA394" s="1669"/>
      <c r="AB394" s="1446"/>
      <c r="AC394" s="1669"/>
      <c r="AD394" s="1446"/>
      <c r="AE394" s="1446"/>
      <c r="AF394" s="1446"/>
      <c r="AG394" s="1446"/>
      <c r="AH394" s="1446"/>
      <c r="AI394" s="1446"/>
    </row>
    <row r="395" s="6" customFormat="1" ht="27.75" customHeight="1" spans="1:35">
      <c r="A395" s="1446"/>
      <c r="B395" s="1444"/>
      <c r="C395" s="1447"/>
      <c r="D395" s="1447"/>
      <c r="E395" s="1483"/>
      <c r="F395" s="1483"/>
      <c r="G395" s="1483"/>
      <c r="H395" s="1483"/>
      <c r="I395" s="1483"/>
      <c r="J395" s="1483"/>
      <c r="K395" s="1502"/>
      <c r="L395" s="1505"/>
      <c r="M395" s="1484"/>
      <c r="N395" s="1543"/>
      <c r="O395" s="1544"/>
      <c r="P395" s="1545"/>
      <c r="Q395" s="1597">
        <v>20000</v>
      </c>
      <c r="R395" s="1598" t="s">
        <v>349</v>
      </c>
      <c r="S395" s="1599"/>
      <c r="T395" s="1597"/>
      <c r="U395" s="1640"/>
      <c r="V395" s="1597"/>
      <c r="W395" s="1640"/>
      <c r="X395" s="1597">
        <v>20000</v>
      </c>
      <c r="Y395" s="1599"/>
      <c r="Z395" s="1593">
        <f t="shared" ref="Z395:Z409" si="20">Q395-X395</f>
        <v>0</v>
      </c>
      <c r="AA395" s="1669"/>
      <c r="AB395" s="1446"/>
      <c r="AC395" s="1669"/>
      <c r="AD395" s="1446"/>
      <c r="AE395" s="1446"/>
      <c r="AF395" s="1446"/>
      <c r="AG395" s="1446"/>
      <c r="AH395" s="1446"/>
      <c r="AI395" s="1446"/>
    </row>
    <row r="396" s="6" customFormat="1" ht="46" spans="1:35">
      <c r="A396" s="1446"/>
      <c r="B396" s="1448"/>
      <c r="C396" s="1449"/>
      <c r="D396" s="1449"/>
      <c r="E396" s="1484"/>
      <c r="F396" s="1484"/>
      <c r="G396" s="1484"/>
      <c r="H396" s="1484"/>
      <c r="I396" s="1484"/>
      <c r="J396" s="1484"/>
      <c r="K396" s="1502"/>
      <c r="L396" s="1506"/>
      <c r="M396" s="1536">
        <v>6</v>
      </c>
      <c r="N396" s="1537" t="s">
        <v>5160</v>
      </c>
      <c r="O396" s="1538">
        <v>0.25</v>
      </c>
      <c r="P396" s="1539">
        <f>K393*O396</f>
        <v>25000</v>
      </c>
      <c r="Q396" s="1596"/>
      <c r="R396" s="1536"/>
      <c r="S396" s="1600"/>
      <c r="T396" s="1596"/>
      <c r="U396" s="1641"/>
      <c r="V396" s="1596"/>
      <c r="W396" s="1641"/>
      <c r="X396" s="1539"/>
      <c r="Y396" s="1670"/>
      <c r="Z396" s="1593">
        <f t="shared" si="20"/>
        <v>0</v>
      </c>
      <c r="AA396" s="1669"/>
      <c r="AB396" s="1446"/>
      <c r="AC396" s="1669"/>
      <c r="AD396" s="1446"/>
      <c r="AE396" s="1446"/>
      <c r="AF396" s="1446"/>
      <c r="AG396" s="1446"/>
      <c r="AH396" s="1446"/>
      <c r="AI396" s="1446"/>
    </row>
    <row r="397" s="6" customFormat="1" ht="30" customHeight="1" spans="1:35">
      <c r="A397" s="1268" t="s">
        <v>888</v>
      </c>
      <c r="B397" s="1269">
        <v>45827</v>
      </c>
      <c r="C397" s="1270" t="s">
        <v>977</v>
      </c>
      <c r="D397" s="1268"/>
      <c r="E397" s="1270" t="s">
        <v>5161</v>
      </c>
      <c r="F397" s="1270" t="s">
        <v>5162</v>
      </c>
      <c r="G397" s="1268" t="s">
        <v>3569</v>
      </c>
      <c r="H397" s="1270" t="s">
        <v>5163</v>
      </c>
      <c r="I397" s="1270" t="s">
        <v>5164</v>
      </c>
      <c r="J397" s="1270" t="s">
        <v>5165</v>
      </c>
      <c r="K397" s="1507">
        <v>317167.2</v>
      </c>
      <c r="L397" s="1268" t="s">
        <v>126</v>
      </c>
      <c r="M397" s="1227">
        <v>1</v>
      </c>
      <c r="N397" s="1314" t="s">
        <v>3320</v>
      </c>
      <c r="O397" s="1315">
        <v>0.2</v>
      </c>
      <c r="P397" s="1316">
        <f>K397*O397</f>
        <v>63433.44</v>
      </c>
      <c r="Q397" s="1602">
        <v>63433.44</v>
      </c>
      <c r="R397" s="1603" t="s">
        <v>349</v>
      </c>
      <c r="S397" s="1604"/>
      <c r="T397" s="1602"/>
      <c r="U397" s="1643"/>
      <c r="V397" s="1602"/>
      <c r="W397" s="1643"/>
      <c r="X397" s="1644">
        <v>63433.44</v>
      </c>
      <c r="Y397" s="1671"/>
      <c r="Z397" s="1672">
        <f t="shared" si="20"/>
        <v>0</v>
      </c>
      <c r="AA397" s="1427"/>
      <c r="AB397" s="1228"/>
      <c r="AC397" s="1427"/>
      <c r="AD397" s="1228"/>
      <c r="AE397" s="1228"/>
      <c r="AF397" s="1228"/>
      <c r="AG397" s="1228"/>
      <c r="AH397" s="1228"/>
      <c r="AI397" s="1228"/>
    </row>
    <row r="398" s="6" customFormat="1" ht="30" customHeight="1" spans="1:35">
      <c r="A398" s="1450"/>
      <c r="B398" s="1450"/>
      <c r="C398" s="1451"/>
      <c r="D398" s="1450"/>
      <c r="E398" s="1450"/>
      <c r="F398" s="1451"/>
      <c r="G398" s="1450"/>
      <c r="H398" s="1451"/>
      <c r="I398" s="1451"/>
      <c r="J398" s="1451"/>
      <c r="K398" s="1508"/>
      <c r="L398" s="1450"/>
      <c r="M398" s="1227">
        <v>2</v>
      </c>
      <c r="N398" s="1314" t="s">
        <v>3321</v>
      </c>
      <c r="O398" s="1315">
        <v>0.2</v>
      </c>
      <c r="P398" s="1316">
        <f>K397*O398</f>
        <v>63433.44</v>
      </c>
      <c r="Q398" s="1602">
        <v>63433.44</v>
      </c>
      <c r="R398" s="1603" t="s">
        <v>349</v>
      </c>
      <c r="S398" s="1604"/>
      <c r="T398" s="1602"/>
      <c r="U398" s="1643"/>
      <c r="V398" s="1602"/>
      <c r="W398" s="1643"/>
      <c r="X398" s="1644">
        <v>63433.44</v>
      </c>
      <c r="Y398" s="1671"/>
      <c r="Z398" s="1672">
        <f t="shared" si="20"/>
        <v>0</v>
      </c>
      <c r="AA398" s="1427"/>
      <c r="AB398" s="1228"/>
      <c r="AC398" s="1427"/>
      <c r="AD398" s="1228"/>
      <c r="AE398" s="1228"/>
      <c r="AF398" s="1228"/>
      <c r="AG398" s="1228"/>
      <c r="AH398" s="1228"/>
      <c r="AI398" s="1228"/>
    </row>
    <row r="399" s="6" customFormat="1" ht="30" customHeight="1" spans="1:35">
      <c r="A399" s="1450"/>
      <c r="B399" s="1450"/>
      <c r="C399" s="1451"/>
      <c r="D399" s="1450"/>
      <c r="E399" s="1450"/>
      <c r="F399" s="1451"/>
      <c r="G399" s="1450"/>
      <c r="H399" s="1451"/>
      <c r="I399" s="1451"/>
      <c r="J399" s="1451"/>
      <c r="K399" s="1508"/>
      <c r="L399" s="1450"/>
      <c r="M399" s="1227">
        <v>3</v>
      </c>
      <c r="N399" s="1314" t="s">
        <v>3322</v>
      </c>
      <c r="O399" s="1315">
        <v>0.2</v>
      </c>
      <c r="P399" s="1316">
        <f>K397*O399</f>
        <v>63433.44</v>
      </c>
      <c r="Q399" s="1367"/>
      <c r="R399" s="1227"/>
      <c r="S399" s="1225"/>
      <c r="T399" s="1367"/>
      <c r="U399" s="1410"/>
      <c r="V399" s="1367"/>
      <c r="W399" s="1410"/>
      <c r="X399" s="1316"/>
      <c r="Y399" s="1426"/>
      <c r="Z399" s="1672">
        <f t="shared" si="20"/>
        <v>0</v>
      </c>
      <c r="AA399" s="1427"/>
      <c r="AB399" s="1228"/>
      <c r="AC399" s="1427"/>
      <c r="AD399" s="1228"/>
      <c r="AE399" s="1228"/>
      <c r="AF399" s="1228"/>
      <c r="AG399" s="1228"/>
      <c r="AH399" s="1228"/>
      <c r="AI399" s="1228"/>
    </row>
    <row r="400" s="6" customFormat="1" ht="61" spans="1:35">
      <c r="A400" s="1450"/>
      <c r="B400" s="1450"/>
      <c r="C400" s="1451"/>
      <c r="D400" s="1450"/>
      <c r="E400" s="1450"/>
      <c r="F400" s="1451"/>
      <c r="G400" s="1450"/>
      <c r="H400" s="1451"/>
      <c r="I400" s="1451"/>
      <c r="J400" s="1451"/>
      <c r="K400" s="1508"/>
      <c r="L400" s="1450"/>
      <c r="M400" s="1227">
        <v>4</v>
      </c>
      <c r="N400" s="1314" t="s">
        <v>5166</v>
      </c>
      <c r="O400" s="1315">
        <v>0.15</v>
      </c>
      <c r="P400" s="1316">
        <f>K397*O400</f>
        <v>47575.08</v>
      </c>
      <c r="Q400" s="1367"/>
      <c r="R400" s="1227"/>
      <c r="S400" s="1225"/>
      <c r="T400" s="1367"/>
      <c r="U400" s="1410"/>
      <c r="V400" s="1367"/>
      <c r="W400" s="1410"/>
      <c r="X400" s="1316"/>
      <c r="Y400" s="1426"/>
      <c r="Z400" s="1672">
        <f t="shared" si="20"/>
        <v>0</v>
      </c>
      <c r="AA400" s="1427"/>
      <c r="AB400" s="1228"/>
      <c r="AC400" s="1427"/>
      <c r="AD400" s="1228"/>
      <c r="AE400" s="1228"/>
      <c r="AF400" s="1228"/>
      <c r="AG400" s="1228"/>
      <c r="AH400" s="1228"/>
      <c r="AI400" s="1228"/>
    </row>
    <row r="401" s="6" customFormat="1" ht="46" spans="1:35">
      <c r="A401" s="1450"/>
      <c r="B401" s="1450"/>
      <c r="C401" s="1451"/>
      <c r="D401" s="1450"/>
      <c r="E401" s="1450"/>
      <c r="F401" s="1451"/>
      <c r="G401" s="1450"/>
      <c r="H401" s="1451"/>
      <c r="I401" s="1451"/>
      <c r="J401" s="1451"/>
      <c r="K401" s="1508"/>
      <c r="L401" s="1450"/>
      <c r="M401" s="1227">
        <v>5</v>
      </c>
      <c r="N401" s="1314" t="s">
        <v>5054</v>
      </c>
      <c r="O401" s="1315">
        <v>0.1</v>
      </c>
      <c r="P401" s="1316">
        <f>K397*O401</f>
        <v>31716.72</v>
      </c>
      <c r="Q401" s="1367"/>
      <c r="R401" s="1227"/>
      <c r="S401" s="1225"/>
      <c r="T401" s="1367"/>
      <c r="U401" s="1410"/>
      <c r="V401" s="1367"/>
      <c r="W401" s="1410"/>
      <c r="X401" s="1316"/>
      <c r="Y401" s="1426"/>
      <c r="Z401" s="1672">
        <f t="shared" si="20"/>
        <v>0</v>
      </c>
      <c r="AA401" s="1427"/>
      <c r="AB401" s="1228"/>
      <c r="AC401" s="1427"/>
      <c r="AD401" s="1228"/>
      <c r="AE401" s="1228"/>
      <c r="AF401" s="1228"/>
      <c r="AG401" s="1228"/>
      <c r="AH401" s="1228"/>
      <c r="AI401" s="1228"/>
    </row>
    <row r="402" s="6" customFormat="1" ht="61" spans="1:35">
      <c r="A402" s="1450"/>
      <c r="B402" s="1450"/>
      <c r="C402" s="1451"/>
      <c r="D402" s="1450"/>
      <c r="E402" s="1450"/>
      <c r="F402" s="1451"/>
      <c r="G402" s="1450"/>
      <c r="H402" s="1451"/>
      <c r="I402" s="1451"/>
      <c r="J402" s="1451"/>
      <c r="K402" s="1508"/>
      <c r="L402" s="1450"/>
      <c r="M402" s="1227">
        <v>6</v>
      </c>
      <c r="N402" s="1314" t="s">
        <v>5167</v>
      </c>
      <c r="O402" s="1315">
        <v>0.05</v>
      </c>
      <c r="P402" s="1316">
        <f>K397*O402</f>
        <v>15858.36</v>
      </c>
      <c r="Q402" s="1367"/>
      <c r="R402" s="1227"/>
      <c r="S402" s="1225"/>
      <c r="T402" s="1367"/>
      <c r="U402" s="1410"/>
      <c r="V402" s="1367"/>
      <c r="W402" s="1410"/>
      <c r="X402" s="1316"/>
      <c r="Y402" s="1426"/>
      <c r="Z402" s="1672">
        <f t="shared" si="20"/>
        <v>0</v>
      </c>
      <c r="AA402" s="1427"/>
      <c r="AB402" s="1228"/>
      <c r="AC402" s="1427"/>
      <c r="AD402" s="1228"/>
      <c r="AE402" s="1228"/>
      <c r="AF402" s="1228"/>
      <c r="AG402" s="1228"/>
      <c r="AH402" s="1228"/>
      <c r="AI402" s="1228"/>
    </row>
    <row r="403" s="6" customFormat="1" ht="76" spans="1:35">
      <c r="A403" s="1452"/>
      <c r="B403" s="1452"/>
      <c r="C403" s="1453"/>
      <c r="D403" s="1452"/>
      <c r="E403" s="1452"/>
      <c r="F403" s="1453"/>
      <c r="G403" s="1452"/>
      <c r="H403" s="1453"/>
      <c r="I403" s="1453"/>
      <c r="J403" s="1453"/>
      <c r="K403" s="1509"/>
      <c r="L403" s="1452"/>
      <c r="M403" s="1227">
        <v>7</v>
      </c>
      <c r="N403" s="1314" t="s">
        <v>3325</v>
      </c>
      <c r="O403" s="1315">
        <v>0.1</v>
      </c>
      <c r="P403" s="1316">
        <f>K397*O403</f>
        <v>31716.72</v>
      </c>
      <c r="Q403" s="1367"/>
      <c r="R403" s="1227"/>
      <c r="S403" s="1225"/>
      <c r="T403" s="1367"/>
      <c r="U403" s="1410"/>
      <c r="V403" s="1367"/>
      <c r="W403" s="1410"/>
      <c r="X403" s="1316"/>
      <c r="Y403" s="1426"/>
      <c r="Z403" s="1672">
        <f t="shared" si="20"/>
        <v>0</v>
      </c>
      <c r="AA403" s="1427"/>
      <c r="AB403" s="1228"/>
      <c r="AC403" s="1427"/>
      <c r="AD403" s="1228"/>
      <c r="AE403" s="1228"/>
      <c r="AF403" s="1228"/>
      <c r="AG403" s="1228"/>
      <c r="AH403" s="1228"/>
      <c r="AI403" s="1228"/>
    </row>
    <row r="404" s="6" customFormat="1" ht="92" spans="1:35">
      <c r="A404" s="1454" t="s">
        <v>888</v>
      </c>
      <c r="B404" s="1455">
        <v>45748</v>
      </c>
      <c r="C404" s="1456" t="s">
        <v>977</v>
      </c>
      <c r="D404" s="1456"/>
      <c r="E404" s="1485" t="s">
        <v>978</v>
      </c>
      <c r="F404" s="1485" t="s">
        <v>979</v>
      </c>
      <c r="G404" s="1485" t="s">
        <v>980</v>
      </c>
      <c r="H404" s="1485" t="s">
        <v>5060</v>
      </c>
      <c r="I404" s="1510"/>
      <c r="J404" s="1510"/>
      <c r="K404" s="1511">
        <v>1951500.18</v>
      </c>
      <c r="L404" s="1512" t="s">
        <v>126</v>
      </c>
      <c r="M404" s="1546">
        <v>1</v>
      </c>
      <c r="N404" s="1547" t="s">
        <v>981</v>
      </c>
      <c r="O404" s="1548">
        <v>0.25</v>
      </c>
      <c r="P404" s="1549">
        <f>K404*O404</f>
        <v>487875.045</v>
      </c>
      <c r="Q404" s="1605">
        <v>487875.05</v>
      </c>
      <c r="R404" s="1547" t="s">
        <v>4603</v>
      </c>
      <c r="S404" s="1606">
        <v>45791</v>
      </c>
      <c r="T404" s="1605">
        <v>487875.05</v>
      </c>
      <c r="U404" s="1606">
        <v>45791</v>
      </c>
      <c r="V404" s="1605">
        <v>487875.05</v>
      </c>
      <c r="W404" s="1645">
        <v>45792</v>
      </c>
      <c r="X404" s="1646">
        <v>487875.05</v>
      </c>
      <c r="Y404" s="1673">
        <v>45806</v>
      </c>
      <c r="Z404" s="1605">
        <f t="shared" si="20"/>
        <v>0</v>
      </c>
      <c r="AA404" s="1674"/>
      <c r="AB404" s="1457"/>
      <c r="AC404" s="1674"/>
      <c r="AD404" s="1457"/>
      <c r="AE404" s="1457"/>
      <c r="AF404" s="1457"/>
      <c r="AG404" s="1457"/>
      <c r="AH404" s="1457"/>
      <c r="AI404" s="1457"/>
    </row>
    <row r="405" s="6" customFormat="1" ht="92" spans="1:35">
      <c r="A405" s="1457"/>
      <c r="B405" s="1458"/>
      <c r="C405" s="1459"/>
      <c r="D405" s="1459"/>
      <c r="E405" s="1486"/>
      <c r="F405" s="1486"/>
      <c r="G405" s="1486"/>
      <c r="H405" s="1486"/>
      <c r="I405" s="1486"/>
      <c r="J405" s="1486"/>
      <c r="K405" s="1513"/>
      <c r="L405" s="1514"/>
      <c r="M405" s="1546">
        <v>2</v>
      </c>
      <c r="N405" s="1547" t="s">
        <v>982</v>
      </c>
      <c r="O405" s="1548">
        <v>0.15</v>
      </c>
      <c r="P405" s="1549">
        <f>K404*O405</f>
        <v>292725.027</v>
      </c>
      <c r="Q405" s="1605"/>
      <c r="R405" s="1546"/>
      <c r="S405" s="1606"/>
      <c r="T405" s="1605"/>
      <c r="U405" s="1645"/>
      <c r="V405" s="1605"/>
      <c r="W405" s="1645"/>
      <c r="X405" s="1549"/>
      <c r="Y405" s="1673"/>
      <c r="Z405" s="1605">
        <f t="shared" si="20"/>
        <v>0</v>
      </c>
      <c r="AA405" s="1674"/>
      <c r="AB405" s="1457"/>
      <c r="AC405" s="1674"/>
      <c r="AD405" s="1457"/>
      <c r="AE405" s="1457"/>
      <c r="AF405" s="1457"/>
      <c r="AG405" s="1457"/>
      <c r="AH405" s="1457"/>
      <c r="AI405" s="1457"/>
    </row>
    <row r="406" s="6" customFormat="1" ht="92" spans="1:35">
      <c r="A406" s="1457"/>
      <c r="B406" s="1458"/>
      <c r="C406" s="1459"/>
      <c r="D406" s="1459"/>
      <c r="E406" s="1486"/>
      <c r="F406" s="1486"/>
      <c r="G406" s="1486"/>
      <c r="H406" s="1486"/>
      <c r="I406" s="1486"/>
      <c r="J406" s="1486"/>
      <c r="K406" s="1513"/>
      <c r="L406" s="1514"/>
      <c r="M406" s="1546">
        <v>3</v>
      </c>
      <c r="N406" s="1547" t="s">
        <v>983</v>
      </c>
      <c r="O406" s="1548">
        <v>0.2</v>
      </c>
      <c r="P406" s="1549">
        <f>K404*O406</f>
        <v>390300.036</v>
      </c>
      <c r="Q406" s="1605"/>
      <c r="R406" s="1546"/>
      <c r="S406" s="1606"/>
      <c r="T406" s="1605"/>
      <c r="U406" s="1645"/>
      <c r="V406" s="1605"/>
      <c r="W406" s="1645"/>
      <c r="X406" s="1549"/>
      <c r="Y406" s="1673"/>
      <c r="Z406" s="1605">
        <f t="shared" si="20"/>
        <v>0</v>
      </c>
      <c r="AA406" s="1674"/>
      <c r="AB406" s="1457"/>
      <c r="AC406" s="1674"/>
      <c r="AD406" s="1457"/>
      <c r="AE406" s="1457"/>
      <c r="AF406" s="1457"/>
      <c r="AG406" s="1457"/>
      <c r="AH406" s="1457"/>
      <c r="AI406" s="1457"/>
    </row>
    <row r="407" s="6" customFormat="1" ht="92" spans="1:35">
      <c r="A407" s="1457"/>
      <c r="B407" s="1458"/>
      <c r="C407" s="1459"/>
      <c r="D407" s="1459"/>
      <c r="E407" s="1486"/>
      <c r="F407" s="1486"/>
      <c r="G407" s="1486"/>
      <c r="H407" s="1486"/>
      <c r="I407" s="1486"/>
      <c r="J407" s="1486"/>
      <c r="K407" s="1513"/>
      <c r="L407" s="1514"/>
      <c r="M407" s="1546">
        <v>4</v>
      </c>
      <c r="N407" s="1547" t="s">
        <v>984</v>
      </c>
      <c r="O407" s="1548">
        <v>0.2</v>
      </c>
      <c r="P407" s="1549">
        <f>K404*O407</f>
        <v>390300.036</v>
      </c>
      <c r="Q407" s="1605"/>
      <c r="R407" s="1546"/>
      <c r="S407" s="1606"/>
      <c r="T407" s="1605"/>
      <c r="U407" s="1645"/>
      <c r="V407" s="1605"/>
      <c r="W407" s="1645"/>
      <c r="X407" s="1549"/>
      <c r="Y407" s="1673"/>
      <c r="Z407" s="1605">
        <f t="shared" si="20"/>
        <v>0</v>
      </c>
      <c r="AA407" s="1674"/>
      <c r="AB407" s="1457"/>
      <c r="AC407" s="1674"/>
      <c r="AD407" s="1457"/>
      <c r="AE407" s="1457"/>
      <c r="AF407" s="1457"/>
      <c r="AG407" s="1457"/>
      <c r="AH407" s="1457"/>
      <c r="AI407" s="1457"/>
    </row>
    <row r="408" s="6" customFormat="1" ht="92" spans="1:35">
      <c r="A408" s="1457"/>
      <c r="B408" s="1458"/>
      <c r="C408" s="1459"/>
      <c r="D408" s="1459"/>
      <c r="E408" s="1486"/>
      <c r="F408" s="1486"/>
      <c r="G408" s="1486"/>
      <c r="H408" s="1486"/>
      <c r="I408" s="1486"/>
      <c r="J408" s="1486"/>
      <c r="K408" s="1513"/>
      <c r="L408" s="1514"/>
      <c r="M408" s="1546">
        <v>5</v>
      </c>
      <c r="N408" s="1547" t="s">
        <v>985</v>
      </c>
      <c r="O408" s="1548">
        <v>0.05</v>
      </c>
      <c r="P408" s="1549">
        <f>K404*O408</f>
        <v>97575.009</v>
      </c>
      <c r="Q408" s="1605"/>
      <c r="R408" s="1546"/>
      <c r="S408" s="1606"/>
      <c r="T408" s="1605"/>
      <c r="U408" s="1645"/>
      <c r="V408" s="1605"/>
      <c r="W408" s="1645"/>
      <c r="X408" s="1549"/>
      <c r="Y408" s="1673"/>
      <c r="Z408" s="1605">
        <f t="shared" si="20"/>
        <v>0</v>
      </c>
      <c r="AA408" s="1674"/>
      <c r="AB408" s="1457"/>
      <c r="AC408" s="1674"/>
      <c r="AD408" s="1457"/>
      <c r="AE408" s="1457"/>
      <c r="AF408" s="1457"/>
      <c r="AG408" s="1457"/>
      <c r="AH408" s="1457"/>
      <c r="AI408" s="1457"/>
    </row>
    <row r="409" s="6" customFormat="1" ht="107" spans="1:35">
      <c r="A409" s="1457"/>
      <c r="B409" s="1460"/>
      <c r="C409" s="1461"/>
      <c r="D409" s="1461"/>
      <c r="E409" s="1487"/>
      <c r="F409" s="1487"/>
      <c r="G409" s="1487"/>
      <c r="H409" s="1487"/>
      <c r="I409" s="1487"/>
      <c r="J409" s="1487"/>
      <c r="K409" s="1515"/>
      <c r="L409" s="1516"/>
      <c r="M409" s="1546">
        <v>6</v>
      </c>
      <c r="N409" s="1547" t="s">
        <v>986</v>
      </c>
      <c r="O409" s="1548">
        <v>0.15</v>
      </c>
      <c r="P409" s="1549">
        <f>K404*O409</f>
        <v>292725.027</v>
      </c>
      <c r="Q409" s="1605"/>
      <c r="R409" s="1546"/>
      <c r="S409" s="1606"/>
      <c r="T409" s="1605"/>
      <c r="U409" s="1645"/>
      <c r="V409" s="1605"/>
      <c r="W409" s="1645"/>
      <c r="X409" s="1549"/>
      <c r="Y409" s="1673"/>
      <c r="Z409" s="1605">
        <f t="shared" si="20"/>
        <v>0</v>
      </c>
      <c r="AA409" s="1674"/>
      <c r="AB409" s="1457"/>
      <c r="AC409" s="1674"/>
      <c r="AD409" s="1457"/>
      <c r="AE409" s="1457"/>
      <c r="AF409" s="1457"/>
      <c r="AG409" s="1457"/>
      <c r="AH409" s="1457"/>
      <c r="AI409" s="1457"/>
    </row>
    <row r="410" s="6" customFormat="1" ht="61" spans="1:35">
      <c r="A410" s="1220" t="s">
        <v>888</v>
      </c>
      <c r="B410" s="1462">
        <v>43907</v>
      </c>
      <c r="C410" s="1463" t="s">
        <v>5168</v>
      </c>
      <c r="D410" s="1464" t="s">
        <v>113</v>
      </c>
      <c r="E410" s="1464" t="s">
        <v>5169</v>
      </c>
      <c r="F410" s="1464" t="s">
        <v>5170</v>
      </c>
      <c r="G410" s="1464"/>
      <c r="H410" s="1464" t="s">
        <v>5171</v>
      </c>
      <c r="I410" s="1517" t="s">
        <v>171</v>
      </c>
      <c r="J410" s="1493" t="s">
        <v>171</v>
      </c>
      <c r="K410" s="1518">
        <v>80000</v>
      </c>
      <c r="L410" s="97" t="s">
        <v>25</v>
      </c>
      <c r="M410" s="1527">
        <v>1</v>
      </c>
      <c r="N410" s="1550" t="s">
        <v>5172</v>
      </c>
      <c r="O410" s="1551">
        <v>1</v>
      </c>
      <c r="P410" s="1552">
        <v>80000</v>
      </c>
      <c r="Q410" s="1607">
        <v>80000</v>
      </c>
      <c r="R410" s="1527" t="s">
        <v>206</v>
      </c>
      <c r="S410" s="1608">
        <v>43985</v>
      </c>
      <c r="T410" s="1137">
        <v>80000</v>
      </c>
      <c r="U410" s="1173">
        <v>43985</v>
      </c>
      <c r="V410" s="1647">
        <v>80000</v>
      </c>
      <c r="W410" s="1173">
        <v>43985</v>
      </c>
      <c r="X410" s="1175">
        <v>80000</v>
      </c>
      <c r="Y410" s="1200">
        <v>44071</v>
      </c>
      <c r="Z410" s="1656">
        <v>80000</v>
      </c>
      <c r="AA410" s="1675"/>
      <c r="AB410" s="1203"/>
      <c r="AC410" s="1675"/>
      <c r="AD410" s="1203">
        <f>SUM(Q410)</f>
        <v>80000</v>
      </c>
      <c r="AE410" s="1220">
        <f>SUM(V410)</f>
        <v>80000</v>
      </c>
      <c r="AF410" s="1220">
        <f>SUM(X410)</f>
        <v>80000</v>
      </c>
      <c r="AG410" s="1202">
        <f>K410-AD410</f>
        <v>0</v>
      </c>
      <c r="AH410" s="1203" t="s">
        <v>247</v>
      </c>
      <c r="AI410" s="1715" t="s">
        <v>154</v>
      </c>
    </row>
    <row r="411" s="4" customFormat="1" ht="16" spans="1:35">
      <c r="A411" s="211" t="s">
        <v>3016</v>
      </c>
      <c r="B411" s="255">
        <v>43439</v>
      </c>
      <c r="C411" s="1465" t="s">
        <v>5173</v>
      </c>
      <c r="D411" s="87" t="s">
        <v>113</v>
      </c>
      <c r="E411" s="141" t="s">
        <v>5174</v>
      </c>
      <c r="F411" s="134" t="s">
        <v>5175</v>
      </c>
      <c r="G411" s="211" t="s">
        <v>240</v>
      </c>
      <c r="H411" s="134" t="s">
        <v>5176</v>
      </c>
      <c r="I411" s="107" t="s">
        <v>5177</v>
      </c>
      <c r="J411" s="211" t="s">
        <v>171</v>
      </c>
      <c r="K411" s="157">
        <v>1939140</v>
      </c>
      <c r="L411" s="454" t="s">
        <v>25</v>
      </c>
      <c r="M411" s="1553">
        <v>1</v>
      </c>
      <c r="N411" s="213" t="s">
        <v>5178</v>
      </c>
      <c r="O411" s="1554">
        <v>0.3</v>
      </c>
      <c r="P411" s="1555">
        <f>O411*K411</f>
        <v>581742</v>
      </c>
      <c r="Q411" s="1609">
        <v>581742</v>
      </c>
      <c r="R411" s="1553" t="s">
        <v>206</v>
      </c>
      <c r="S411" s="1610">
        <v>43516</v>
      </c>
      <c r="T411" s="1609">
        <v>581742</v>
      </c>
      <c r="U411" s="1648">
        <v>43516</v>
      </c>
      <c r="V411" s="1609">
        <v>581742</v>
      </c>
      <c r="W411" s="1648">
        <v>43516</v>
      </c>
      <c r="X411" s="1609">
        <v>581742</v>
      </c>
      <c r="Y411" s="1648">
        <v>43544</v>
      </c>
      <c r="Z411" s="1676">
        <v>0</v>
      </c>
      <c r="AA411" s="1677"/>
      <c r="AB411" s="1678" t="s">
        <v>1463</v>
      </c>
      <c r="AC411" s="1677"/>
      <c r="AD411" s="1700"/>
      <c r="AE411" s="1701"/>
      <c r="AF411" s="1701"/>
      <c r="AG411" s="1716"/>
      <c r="AH411" s="1681" t="s">
        <v>247</v>
      </c>
      <c r="AI411" s="1556" t="s">
        <v>154</v>
      </c>
    </row>
    <row r="412" s="4" customFormat="1" ht="31" spans="1:35">
      <c r="A412" s="220"/>
      <c r="B412" s="360"/>
      <c r="C412" s="1466"/>
      <c r="D412" s="90"/>
      <c r="E412" s="134"/>
      <c r="F412" s="134"/>
      <c r="G412" s="220"/>
      <c r="H412" s="134"/>
      <c r="I412" s="107"/>
      <c r="J412" s="220"/>
      <c r="K412" s="157"/>
      <c r="L412" s="454"/>
      <c r="M412" s="1553">
        <v>2</v>
      </c>
      <c r="N412" s="213" t="s">
        <v>5179</v>
      </c>
      <c r="O412" s="1554">
        <v>0.7</v>
      </c>
      <c r="P412" s="1556">
        <f>O412*K411</f>
        <v>1357398</v>
      </c>
      <c r="Q412" s="1609">
        <v>1357398</v>
      </c>
      <c r="R412" s="1553" t="s">
        <v>206</v>
      </c>
      <c r="S412" s="1610">
        <v>43631</v>
      </c>
      <c r="T412" s="1609">
        <v>1357398</v>
      </c>
      <c r="U412" s="1648">
        <v>43631</v>
      </c>
      <c r="V412" s="1609">
        <v>1357398</v>
      </c>
      <c r="W412" s="1648">
        <v>43631</v>
      </c>
      <c r="X412" s="1609">
        <v>1357398</v>
      </c>
      <c r="Y412" s="1648">
        <v>43661</v>
      </c>
      <c r="Z412" s="1676">
        <v>0</v>
      </c>
      <c r="AA412" s="1677"/>
      <c r="AB412" s="1678" t="s">
        <v>1463</v>
      </c>
      <c r="AC412" s="1677"/>
      <c r="AD412" s="1700"/>
      <c r="AE412" s="1701"/>
      <c r="AF412" s="1701"/>
      <c r="AG412" s="1716"/>
      <c r="AH412" s="1684"/>
      <c r="AI412" s="1717"/>
    </row>
    <row r="413" s="6" customFormat="1" ht="31" spans="1:35">
      <c r="A413" s="1222" t="s">
        <v>1003</v>
      </c>
      <c r="B413" s="1467">
        <v>43210</v>
      </c>
      <c r="C413" s="1468" t="s">
        <v>5180</v>
      </c>
      <c r="D413" s="1222" t="s">
        <v>113</v>
      </c>
      <c r="E413" s="1488" t="s">
        <v>5181</v>
      </c>
      <c r="F413" s="1181" t="s">
        <v>5182</v>
      </c>
      <c r="G413" s="1222" t="s">
        <v>240</v>
      </c>
      <c r="H413" s="1488" t="s">
        <v>5183</v>
      </c>
      <c r="I413" s="1519">
        <v>2994.31</v>
      </c>
      <c r="J413" s="1181" t="s">
        <v>5184</v>
      </c>
      <c r="K413" s="1520">
        <v>594956</v>
      </c>
      <c r="L413" s="1521" t="s">
        <v>26</v>
      </c>
      <c r="M413" s="1557">
        <v>1</v>
      </c>
      <c r="N413" s="1558" t="s">
        <v>5185</v>
      </c>
      <c r="O413" s="1559">
        <v>0.2</v>
      </c>
      <c r="P413" s="667">
        <f>594956*O413</f>
        <v>118991.2</v>
      </c>
      <c r="Q413" s="1611">
        <v>118991.2</v>
      </c>
      <c r="R413" s="614" t="s">
        <v>206</v>
      </c>
      <c r="S413" s="1474">
        <v>43228</v>
      </c>
      <c r="T413" s="614">
        <v>118991.2</v>
      </c>
      <c r="U413" s="1200">
        <v>43228</v>
      </c>
      <c r="V413" s="614">
        <v>118991.2</v>
      </c>
      <c r="W413" s="1200">
        <v>43228</v>
      </c>
      <c r="X413" s="1178">
        <v>118991.2</v>
      </c>
      <c r="Y413" s="1200">
        <v>43259</v>
      </c>
      <c r="Z413" s="1617">
        <f t="shared" ref="Z413:Z418" si="21">Q413-X413</f>
        <v>0</v>
      </c>
      <c r="AA413" s="1206"/>
      <c r="AB413" s="1209"/>
      <c r="AC413" s="1206"/>
      <c r="AD413" s="1221"/>
      <c r="AE413" s="1222"/>
      <c r="AF413" s="1222"/>
      <c r="AG413" s="1223"/>
      <c r="AH413" s="1209"/>
      <c r="AI413" s="1718"/>
    </row>
    <row r="414" s="6" customFormat="1" ht="61" spans="1:35">
      <c r="A414" s="1469"/>
      <c r="B414" s="1470"/>
      <c r="C414" s="1471"/>
      <c r="D414" s="1469"/>
      <c r="E414" s="1488"/>
      <c r="F414" s="1489"/>
      <c r="G414" s="1469"/>
      <c r="H414" s="1488"/>
      <c r="I414" s="1522"/>
      <c r="J414" s="1489"/>
      <c r="K414" s="1520"/>
      <c r="L414" s="1521"/>
      <c r="M414" s="1557">
        <v>2</v>
      </c>
      <c r="N414" s="1558" t="s">
        <v>5186</v>
      </c>
      <c r="O414" s="1559">
        <v>0.3</v>
      </c>
      <c r="P414" s="667">
        <f>594956*O414</f>
        <v>178486.8</v>
      </c>
      <c r="Q414" s="1611">
        <v>178486.8</v>
      </c>
      <c r="R414" s="614" t="s">
        <v>206</v>
      </c>
      <c r="S414" s="1474">
        <v>43319</v>
      </c>
      <c r="T414" s="614">
        <v>178486.8</v>
      </c>
      <c r="U414" s="1200">
        <v>43319</v>
      </c>
      <c r="V414" s="614">
        <v>178486.8</v>
      </c>
      <c r="W414" s="1200">
        <v>43319</v>
      </c>
      <c r="X414" s="1178">
        <v>178486.8</v>
      </c>
      <c r="Y414" s="1200">
        <v>43350</v>
      </c>
      <c r="Z414" s="1617">
        <f t="shared" si="21"/>
        <v>0</v>
      </c>
      <c r="AA414" s="1206"/>
      <c r="AB414" s="1209"/>
      <c r="AC414" s="1206"/>
      <c r="AD414" s="1199"/>
      <c r="AE414" s="1469"/>
      <c r="AF414" s="1469"/>
      <c r="AG414" s="1198"/>
      <c r="AH414" s="1209"/>
      <c r="AI414" s="1718"/>
    </row>
    <row r="415" s="6" customFormat="1" ht="31" spans="1:35">
      <c r="A415" s="1469"/>
      <c r="B415" s="1470"/>
      <c r="C415" s="1471"/>
      <c r="D415" s="1469"/>
      <c r="E415" s="1488"/>
      <c r="F415" s="1489"/>
      <c r="G415" s="1469"/>
      <c r="H415" s="1488"/>
      <c r="I415" s="1522"/>
      <c r="J415" s="1489"/>
      <c r="K415" s="1520"/>
      <c r="L415" s="1521"/>
      <c r="M415" s="1557">
        <v>3</v>
      </c>
      <c r="N415" s="1558" t="s">
        <v>5187</v>
      </c>
      <c r="O415" s="1559">
        <v>0.25</v>
      </c>
      <c r="P415" s="667">
        <f>594956*O415</f>
        <v>148739</v>
      </c>
      <c r="Q415" s="1611">
        <v>148739</v>
      </c>
      <c r="R415" s="614" t="s">
        <v>206</v>
      </c>
      <c r="S415" s="1474">
        <v>43319</v>
      </c>
      <c r="T415" s="614">
        <v>148739</v>
      </c>
      <c r="U415" s="1200">
        <v>43319</v>
      </c>
      <c r="V415" s="614">
        <v>148739</v>
      </c>
      <c r="W415" s="1200">
        <v>43319</v>
      </c>
      <c r="X415" s="1178">
        <v>148739</v>
      </c>
      <c r="Y415" s="1200">
        <v>43350</v>
      </c>
      <c r="Z415" s="1617">
        <f t="shared" si="21"/>
        <v>0</v>
      </c>
      <c r="AA415" s="1206"/>
      <c r="AB415" s="1209"/>
      <c r="AC415" s="1206"/>
      <c r="AD415" s="1199"/>
      <c r="AE415" s="1469"/>
      <c r="AF415" s="1469"/>
      <c r="AG415" s="1198"/>
      <c r="AH415" s="1209"/>
      <c r="AI415" s="1718"/>
    </row>
    <row r="416" s="6" customFormat="1" ht="61" spans="1:35">
      <c r="A416" s="1469"/>
      <c r="B416" s="1470"/>
      <c r="C416" s="1471"/>
      <c r="D416" s="1469"/>
      <c r="E416" s="1488"/>
      <c r="F416" s="1489"/>
      <c r="G416" s="1469"/>
      <c r="H416" s="1488"/>
      <c r="I416" s="1522"/>
      <c r="J416" s="1489"/>
      <c r="K416" s="1520"/>
      <c r="L416" s="1521"/>
      <c r="M416" s="1557">
        <v>4</v>
      </c>
      <c r="N416" s="1558" t="s">
        <v>5188</v>
      </c>
      <c r="O416" s="1559">
        <v>0.2</v>
      </c>
      <c r="P416" s="667">
        <f>594956*O416</f>
        <v>118991.2</v>
      </c>
      <c r="Q416" s="1063">
        <v>118991.2</v>
      </c>
      <c r="R416" s="614" t="s">
        <v>206</v>
      </c>
      <c r="S416" s="1474">
        <v>43346</v>
      </c>
      <c r="T416" s="614">
        <v>118991.2</v>
      </c>
      <c r="U416" s="1200">
        <v>43346</v>
      </c>
      <c r="V416" s="614">
        <v>118991.2</v>
      </c>
      <c r="W416" s="1200">
        <v>43346</v>
      </c>
      <c r="X416" s="1178">
        <v>118991.2</v>
      </c>
      <c r="Y416" s="1200">
        <v>43376</v>
      </c>
      <c r="Z416" s="1617">
        <f t="shared" si="21"/>
        <v>0</v>
      </c>
      <c r="AA416" s="1206"/>
      <c r="AB416" s="1209"/>
      <c r="AC416" s="1206"/>
      <c r="AD416" s="1199"/>
      <c r="AE416" s="1469"/>
      <c r="AF416" s="1469"/>
      <c r="AG416" s="1198"/>
      <c r="AH416" s="1209"/>
      <c r="AI416" s="1718"/>
    </row>
    <row r="417" s="6" customFormat="1" ht="61" spans="1:35">
      <c r="A417" s="1469"/>
      <c r="B417" s="1470"/>
      <c r="C417" s="1471"/>
      <c r="D417" s="1469"/>
      <c r="E417" s="1488"/>
      <c r="F417" s="1489"/>
      <c r="G417" s="1469"/>
      <c r="H417" s="1488"/>
      <c r="I417" s="1522"/>
      <c r="J417" s="1489"/>
      <c r="K417" s="1520"/>
      <c r="L417" s="1521"/>
      <c r="M417" s="1557">
        <v>5</v>
      </c>
      <c r="N417" s="1558" t="s">
        <v>5189</v>
      </c>
      <c r="O417" s="1559">
        <v>0.05</v>
      </c>
      <c r="P417" s="972">
        <f>594956*O417</f>
        <v>29747.8</v>
      </c>
      <c r="Q417" s="1612">
        <f>154722.14-P416</f>
        <v>35730.94</v>
      </c>
      <c r="R417" s="614" t="s">
        <v>206</v>
      </c>
      <c r="S417" s="1474">
        <v>43346</v>
      </c>
      <c r="T417" s="614">
        <v>35730.94</v>
      </c>
      <c r="U417" s="1200">
        <v>43346</v>
      </c>
      <c r="V417" s="614">
        <v>35730.94</v>
      </c>
      <c r="W417" s="1200">
        <v>43346</v>
      </c>
      <c r="X417" s="1178">
        <v>35730.94</v>
      </c>
      <c r="Y417" s="1200">
        <v>43376</v>
      </c>
      <c r="Z417" s="1617">
        <f t="shared" si="21"/>
        <v>0</v>
      </c>
      <c r="AA417" s="1679" t="s">
        <v>5190</v>
      </c>
      <c r="AB417" s="1209"/>
      <c r="AC417" s="1206"/>
      <c r="AD417" s="1199"/>
      <c r="AE417" s="1469"/>
      <c r="AF417" s="1469"/>
      <c r="AG417" s="1198"/>
      <c r="AH417" s="1209"/>
      <c r="AI417" s="1718"/>
    </row>
    <row r="418" s="4" customFormat="1" spans="1:35">
      <c r="A418" s="107" t="s">
        <v>3016</v>
      </c>
      <c r="B418" s="1472">
        <v>43377</v>
      </c>
      <c r="C418" s="110" t="s">
        <v>5191</v>
      </c>
      <c r="D418" s="86" t="s">
        <v>113</v>
      </c>
      <c r="E418" s="141" t="s">
        <v>5192</v>
      </c>
      <c r="F418" s="134" t="s">
        <v>5193</v>
      </c>
      <c r="G418" s="134" t="s">
        <v>5194</v>
      </c>
      <c r="H418" s="134" t="s">
        <v>5195</v>
      </c>
      <c r="I418" s="107" t="s">
        <v>171</v>
      </c>
      <c r="J418" s="134" t="s">
        <v>5196</v>
      </c>
      <c r="K418" s="157">
        <v>50000</v>
      </c>
      <c r="L418" s="107" t="s">
        <v>5197</v>
      </c>
      <c r="M418" s="1560">
        <v>1</v>
      </c>
      <c r="N418" s="135" t="s">
        <v>5198</v>
      </c>
      <c r="O418" s="1561">
        <v>1</v>
      </c>
      <c r="P418" s="339">
        <f>K418*O418</f>
        <v>50000</v>
      </c>
      <c r="Q418" s="404">
        <v>50000</v>
      </c>
      <c r="R418" s="1553" t="s">
        <v>206</v>
      </c>
      <c r="S418" s="1613">
        <v>43390</v>
      </c>
      <c r="T418" s="1528">
        <v>50000</v>
      </c>
      <c r="U418" s="1649" t="s">
        <v>171</v>
      </c>
      <c r="V418" s="135">
        <v>50000</v>
      </c>
      <c r="W418" s="1649">
        <v>43390</v>
      </c>
      <c r="X418" s="211">
        <v>50000</v>
      </c>
      <c r="Y418" s="289">
        <v>43439</v>
      </c>
      <c r="Z418" s="1680">
        <f t="shared" si="21"/>
        <v>0</v>
      </c>
      <c r="AA418" s="1569" t="s">
        <v>4604</v>
      </c>
      <c r="AB418" s="1681" t="s">
        <v>1463</v>
      </c>
      <c r="AC418" s="1569"/>
      <c r="AD418" s="1678">
        <f>SUM(Q418:Q419)</f>
        <v>50000</v>
      </c>
      <c r="AE418" s="107">
        <f>SUM(V418:V419)</f>
        <v>50000</v>
      </c>
      <c r="AF418" s="107">
        <f>SUM(X418:X419)</f>
        <v>50000</v>
      </c>
      <c r="AG418" s="454">
        <f>K418-AD418</f>
        <v>0</v>
      </c>
      <c r="AH418" s="1681" t="s">
        <v>1112</v>
      </c>
      <c r="AI418" s="1556" t="s">
        <v>154</v>
      </c>
    </row>
    <row r="419" s="4" customFormat="1" spans="1:35">
      <c r="A419" s="107"/>
      <c r="B419" s="1472"/>
      <c r="C419" s="110"/>
      <c r="D419" s="86"/>
      <c r="E419" s="134"/>
      <c r="F419" s="134"/>
      <c r="G419" s="134"/>
      <c r="H419" s="134"/>
      <c r="I419" s="107"/>
      <c r="J419" s="134"/>
      <c r="K419" s="157"/>
      <c r="L419" s="107"/>
      <c r="M419" s="1562"/>
      <c r="N419" s="137"/>
      <c r="O419" s="1563"/>
      <c r="P419" s="339"/>
      <c r="Q419" s="404"/>
      <c r="R419" s="1553"/>
      <c r="S419" s="1614"/>
      <c r="T419" s="1615"/>
      <c r="U419" s="1650"/>
      <c r="V419" s="137"/>
      <c r="W419" s="1650"/>
      <c r="X419" s="212"/>
      <c r="Y419" s="290"/>
      <c r="Z419" s="1682"/>
      <c r="AA419" s="1683"/>
      <c r="AB419" s="1684"/>
      <c r="AC419" s="1683"/>
      <c r="AD419" s="1678"/>
      <c r="AE419" s="107"/>
      <c r="AF419" s="107"/>
      <c r="AG419" s="454"/>
      <c r="AH419" s="1684"/>
      <c r="AI419" s="1717"/>
    </row>
    <row r="420" s="3" customFormat="1" ht="23.25" customHeight="1" spans="1:35">
      <c r="A420" s="103" t="s">
        <v>3016</v>
      </c>
      <c r="B420" s="104">
        <v>43373</v>
      </c>
      <c r="C420" s="105" t="s">
        <v>5199</v>
      </c>
      <c r="D420" s="83" t="s">
        <v>113</v>
      </c>
      <c r="E420" s="1490" t="s">
        <v>3018</v>
      </c>
      <c r="F420" s="133" t="s">
        <v>5200</v>
      </c>
      <c r="G420" s="103" t="s">
        <v>5201</v>
      </c>
      <c r="H420" s="1490" t="s">
        <v>4882</v>
      </c>
      <c r="I420" s="103">
        <v>2994.31</v>
      </c>
      <c r="J420" s="133" t="s">
        <v>5202</v>
      </c>
      <c r="K420" s="155">
        <v>912938</v>
      </c>
      <c r="L420" s="103" t="s">
        <v>27</v>
      </c>
      <c r="M420" s="133">
        <v>1</v>
      </c>
      <c r="N420" s="209" t="s">
        <v>5203</v>
      </c>
      <c r="O420" s="1564">
        <v>0.55</v>
      </c>
      <c r="P420" s="208">
        <v>478212.9</v>
      </c>
      <c r="Q420" s="208">
        <v>478212.9</v>
      </c>
      <c r="R420" s="133" t="s">
        <v>206</v>
      </c>
      <c r="S420" s="104">
        <v>43755</v>
      </c>
      <c r="T420" s="103">
        <v>478212.9</v>
      </c>
      <c r="U420" s="318">
        <v>43755</v>
      </c>
      <c r="V420" s="103">
        <v>478212.9</v>
      </c>
      <c r="W420" s="318">
        <v>43755</v>
      </c>
      <c r="X420" s="103">
        <v>478212.9</v>
      </c>
      <c r="Y420" s="318">
        <v>43786</v>
      </c>
      <c r="Z420" s="1685">
        <f t="shared" ref="Z420:Z426" si="22">Q420-X420</f>
        <v>0</v>
      </c>
      <c r="AA420" s="319"/>
      <c r="AB420" s="1686" t="s">
        <v>1463</v>
      </c>
      <c r="AC420" s="319"/>
      <c r="AD420" s="103">
        <f>SUM(Q420:Q423)</f>
        <v>912938</v>
      </c>
      <c r="AE420" s="204">
        <f>SUM(V420:V421)</f>
        <v>782530.3</v>
      </c>
      <c r="AF420" s="204">
        <f>SUM(X420:X421)</f>
        <v>782530.3</v>
      </c>
      <c r="AG420" s="103">
        <f>K420-AD420</f>
        <v>0</v>
      </c>
      <c r="AH420" s="1686" t="s">
        <v>247</v>
      </c>
      <c r="AI420" s="1719" t="s">
        <v>154</v>
      </c>
    </row>
    <row r="421" s="3" customFormat="1" ht="23.25" customHeight="1" spans="1:35">
      <c r="A421" s="103"/>
      <c r="B421" s="104"/>
      <c r="C421" s="106"/>
      <c r="D421" s="83"/>
      <c r="E421" s="133"/>
      <c r="F421" s="133"/>
      <c r="G421" s="103"/>
      <c r="H421" s="133"/>
      <c r="I421" s="103"/>
      <c r="J421" s="133"/>
      <c r="K421" s="155"/>
      <c r="L421" s="103"/>
      <c r="M421" s="133">
        <v>2</v>
      </c>
      <c r="N421" s="209" t="s">
        <v>5204</v>
      </c>
      <c r="O421" s="1564">
        <v>0.35</v>
      </c>
      <c r="P421" s="103">
        <v>304317.4</v>
      </c>
      <c r="Q421" s="103">
        <v>304317.4</v>
      </c>
      <c r="R421" s="133" t="s">
        <v>206</v>
      </c>
      <c r="S421" s="104">
        <v>43827</v>
      </c>
      <c r="T421" s="103">
        <v>304317.4</v>
      </c>
      <c r="U421" s="318">
        <v>43827</v>
      </c>
      <c r="V421" s="103">
        <v>304317.4</v>
      </c>
      <c r="W421" s="104">
        <v>43838</v>
      </c>
      <c r="X421" s="103">
        <v>304317.4</v>
      </c>
      <c r="Y421" s="318">
        <v>43847</v>
      </c>
      <c r="Z421" s="1685">
        <f t="shared" si="22"/>
        <v>0</v>
      </c>
      <c r="AA421" s="319"/>
      <c r="AB421" s="1686" t="s">
        <v>1463</v>
      </c>
      <c r="AC421" s="319"/>
      <c r="AD421" s="103"/>
      <c r="AE421" s="206"/>
      <c r="AF421" s="206"/>
      <c r="AG421" s="103"/>
      <c r="AH421" s="1720"/>
      <c r="AI421" s="1721"/>
    </row>
    <row r="422" s="3" customFormat="1" ht="23.25" customHeight="1" spans="1:35">
      <c r="A422" s="103"/>
      <c r="B422" s="104"/>
      <c r="C422" s="106"/>
      <c r="D422" s="83"/>
      <c r="E422" s="133"/>
      <c r="F422" s="133"/>
      <c r="G422" s="103"/>
      <c r="H422" s="133"/>
      <c r="I422" s="103"/>
      <c r="J422" s="133"/>
      <c r="K422" s="155"/>
      <c r="L422" s="103"/>
      <c r="M422" s="133">
        <v>3</v>
      </c>
      <c r="N422" s="209" t="s">
        <v>5205</v>
      </c>
      <c r="O422" s="1564">
        <v>0.1</v>
      </c>
      <c r="P422" s="103">
        <v>86947.7</v>
      </c>
      <c r="Q422" s="103">
        <v>86947.7</v>
      </c>
      <c r="R422" s="133" t="s">
        <v>4603</v>
      </c>
      <c r="S422" s="104">
        <v>44281</v>
      </c>
      <c r="T422" s="103">
        <v>86947.7</v>
      </c>
      <c r="U422" s="104">
        <v>44281</v>
      </c>
      <c r="V422" s="103">
        <v>86947.7</v>
      </c>
      <c r="W422" s="104">
        <v>44253</v>
      </c>
      <c r="X422" s="248">
        <v>86947.7</v>
      </c>
      <c r="Y422" s="249">
        <v>44335</v>
      </c>
      <c r="Z422" s="1685">
        <f t="shared" si="22"/>
        <v>0</v>
      </c>
      <c r="AA422" s="319"/>
      <c r="AB422" s="1686" t="s">
        <v>1463</v>
      </c>
      <c r="AC422" s="319"/>
      <c r="AD422" s="103"/>
      <c r="AE422" s="206"/>
      <c r="AF422" s="206"/>
      <c r="AG422" s="103"/>
      <c r="AH422" s="1720"/>
      <c r="AI422" s="1721"/>
    </row>
    <row r="423" s="3" customFormat="1" ht="23.25" customHeight="1" spans="1:35">
      <c r="A423" s="103"/>
      <c r="B423" s="104"/>
      <c r="C423" s="106"/>
      <c r="D423" s="83"/>
      <c r="E423" s="133"/>
      <c r="F423" s="133"/>
      <c r="G423" s="103"/>
      <c r="H423" s="133"/>
      <c r="I423" s="103"/>
      <c r="J423" s="133"/>
      <c r="K423" s="155"/>
      <c r="L423" s="103"/>
      <c r="M423" s="133">
        <v>4</v>
      </c>
      <c r="N423" s="209" t="s">
        <v>5206</v>
      </c>
      <c r="O423" s="1564">
        <v>1</v>
      </c>
      <c r="P423" s="103">
        <v>43460</v>
      </c>
      <c r="Q423" s="103">
        <v>43460</v>
      </c>
      <c r="R423" s="248" t="s">
        <v>4603</v>
      </c>
      <c r="S423" s="1616">
        <v>44819</v>
      </c>
      <c r="T423" s="248">
        <v>43460</v>
      </c>
      <c r="U423" s="1616">
        <v>44819</v>
      </c>
      <c r="V423" s="248">
        <v>43460</v>
      </c>
      <c r="W423" s="1651">
        <v>44826</v>
      </c>
      <c r="X423" s="248">
        <v>43460</v>
      </c>
      <c r="Y423" s="1651">
        <v>44834</v>
      </c>
      <c r="Z423" s="1685">
        <f t="shared" si="22"/>
        <v>0</v>
      </c>
      <c r="AA423" s="319"/>
      <c r="AB423" s="1686" t="s">
        <v>1463</v>
      </c>
      <c r="AC423" s="319"/>
      <c r="AD423" s="103"/>
      <c r="AE423" s="208"/>
      <c r="AF423" s="208"/>
      <c r="AG423" s="103"/>
      <c r="AH423" s="1722"/>
      <c r="AI423" s="1723"/>
    </row>
    <row r="424" s="1" customFormat="1" ht="46" spans="1:35">
      <c r="A424" s="83" t="s">
        <v>3016</v>
      </c>
      <c r="B424" s="100">
        <v>43179</v>
      </c>
      <c r="C424" s="85" t="s">
        <v>5207</v>
      </c>
      <c r="D424" s="83" t="s">
        <v>113</v>
      </c>
      <c r="E424" s="86" t="s">
        <v>5208</v>
      </c>
      <c r="F424" s="86" t="s">
        <v>5209</v>
      </c>
      <c r="G424" s="83" t="s">
        <v>5201</v>
      </c>
      <c r="H424" s="86" t="s">
        <v>4882</v>
      </c>
      <c r="I424" s="86" t="s">
        <v>5210</v>
      </c>
      <c r="J424" s="86" t="s">
        <v>5211</v>
      </c>
      <c r="K424" s="146">
        <v>1812633.75</v>
      </c>
      <c r="L424" s="83" t="s">
        <v>27</v>
      </c>
      <c r="M424" s="86">
        <v>1</v>
      </c>
      <c r="N424" s="168" t="s">
        <v>5203</v>
      </c>
      <c r="O424" s="1565">
        <v>0.5</v>
      </c>
      <c r="P424" s="83">
        <v>906316.88</v>
      </c>
      <c r="Q424" s="83">
        <v>906316.88</v>
      </c>
      <c r="R424" s="86" t="s">
        <v>206</v>
      </c>
      <c r="S424" s="100">
        <v>43755</v>
      </c>
      <c r="T424" s="83">
        <v>906316.88</v>
      </c>
      <c r="U424" s="245">
        <v>43755</v>
      </c>
      <c r="V424" s="83">
        <v>906316.88</v>
      </c>
      <c r="W424" s="245">
        <v>43755</v>
      </c>
      <c r="X424" s="83">
        <v>906316.88</v>
      </c>
      <c r="Y424" s="245">
        <v>43786</v>
      </c>
      <c r="Z424" s="183">
        <f t="shared" si="22"/>
        <v>0</v>
      </c>
      <c r="AA424" s="311"/>
      <c r="AB424" s="1687" t="s">
        <v>1463</v>
      </c>
      <c r="AC424" s="311"/>
      <c r="AD424" s="83">
        <f>SUM(Q424:Q426)</f>
        <v>1812633.75</v>
      </c>
      <c r="AE424" s="87">
        <f>SUM(V424:V426)</f>
        <v>1631370.38</v>
      </c>
      <c r="AF424" s="87">
        <f>SUM(X424:X426)</f>
        <v>1631370.38</v>
      </c>
      <c r="AG424" s="83">
        <f>K424-AD424</f>
        <v>0</v>
      </c>
      <c r="AH424" s="1687" t="s">
        <v>247</v>
      </c>
      <c r="AI424" s="1724" t="s">
        <v>154</v>
      </c>
    </row>
    <row r="425" s="1" customFormat="1" ht="46" spans="1:35">
      <c r="A425" s="83"/>
      <c r="B425" s="100"/>
      <c r="C425" s="85"/>
      <c r="D425" s="83"/>
      <c r="E425" s="86"/>
      <c r="F425" s="86"/>
      <c r="G425" s="83"/>
      <c r="H425" s="86"/>
      <c r="I425" s="86"/>
      <c r="J425" s="86"/>
      <c r="K425" s="146"/>
      <c r="L425" s="83"/>
      <c r="M425" s="86">
        <v>2</v>
      </c>
      <c r="N425" s="168" t="s">
        <v>5204</v>
      </c>
      <c r="O425" s="1565">
        <v>0.4</v>
      </c>
      <c r="P425" s="83">
        <v>725053.5</v>
      </c>
      <c r="Q425" s="83">
        <v>725053.5</v>
      </c>
      <c r="R425" s="86" t="s">
        <v>206</v>
      </c>
      <c r="S425" s="100">
        <v>43827</v>
      </c>
      <c r="T425" s="83">
        <v>725053.5</v>
      </c>
      <c r="U425" s="245">
        <v>43827</v>
      </c>
      <c r="V425" s="83">
        <v>725053.5</v>
      </c>
      <c r="W425" s="100">
        <v>43838</v>
      </c>
      <c r="X425" s="83">
        <v>725053.5</v>
      </c>
      <c r="Y425" s="245">
        <v>43847</v>
      </c>
      <c r="Z425" s="183">
        <f t="shared" si="22"/>
        <v>0</v>
      </c>
      <c r="AA425" s="311"/>
      <c r="AB425" s="1687" t="s">
        <v>1463</v>
      </c>
      <c r="AC425" s="311"/>
      <c r="AD425" s="83"/>
      <c r="AE425" s="90"/>
      <c r="AF425" s="90"/>
      <c r="AG425" s="83"/>
      <c r="AH425" s="1725"/>
      <c r="AI425" s="1726"/>
    </row>
    <row r="426" s="1" customFormat="1" ht="44.15" customHeight="1" spans="1:35">
      <c r="A426" s="83"/>
      <c r="B426" s="100"/>
      <c r="C426" s="85"/>
      <c r="D426" s="83"/>
      <c r="E426" s="86"/>
      <c r="F426" s="86"/>
      <c r="G426" s="83"/>
      <c r="H426" s="86"/>
      <c r="I426" s="86"/>
      <c r="J426" s="86"/>
      <c r="K426" s="146"/>
      <c r="L426" s="83"/>
      <c r="M426" s="86">
        <v>3</v>
      </c>
      <c r="N426" s="168" t="s">
        <v>5205</v>
      </c>
      <c r="O426" s="1565">
        <v>0.1</v>
      </c>
      <c r="P426" s="132">
        <v>181263.37</v>
      </c>
      <c r="Q426" s="132">
        <v>181263.37</v>
      </c>
      <c r="R426" s="86"/>
      <c r="S426" s="245"/>
      <c r="T426" s="83"/>
      <c r="U426" s="245"/>
      <c r="V426" s="83"/>
      <c r="W426" s="245"/>
      <c r="X426" s="87"/>
      <c r="Y426" s="1688"/>
      <c r="Z426" s="183">
        <f t="shared" si="22"/>
        <v>181263.37</v>
      </c>
      <c r="AA426" s="311"/>
      <c r="AB426" s="1687" t="s">
        <v>1463</v>
      </c>
      <c r="AC426" s="311"/>
      <c r="AD426" s="83"/>
      <c r="AE426" s="102"/>
      <c r="AF426" s="102"/>
      <c r="AG426" s="83"/>
      <c r="AH426" s="1727"/>
      <c r="AI426" s="1728"/>
    </row>
    <row r="427" s="4" customFormat="1" ht="60.85" customHeight="1" spans="1:35">
      <c r="A427" s="107" t="s">
        <v>3016</v>
      </c>
      <c r="B427" s="108">
        <v>43914</v>
      </c>
      <c r="C427" s="110" t="s">
        <v>5212</v>
      </c>
      <c r="D427" s="83" t="s">
        <v>113</v>
      </c>
      <c r="E427" s="141" t="s">
        <v>5213</v>
      </c>
      <c r="F427" s="134" t="s">
        <v>5214</v>
      </c>
      <c r="G427" s="107" t="s">
        <v>193</v>
      </c>
      <c r="H427" s="134" t="s">
        <v>4677</v>
      </c>
      <c r="I427" s="107">
        <v>16485</v>
      </c>
      <c r="J427" s="134" t="s">
        <v>5215</v>
      </c>
      <c r="K427" s="157">
        <v>52461</v>
      </c>
      <c r="L427" s="107" t="s">
        <v>32</v>
      </c>
      <c r="M427" s="134">
        <v>1</v>
      </c>
      <c r="N427" s="213" t="s">
        <v>5216</v>
      </c>
      <c r="O427" s="1554">
        <v>0.2</v>
      </c>
      <c r="P427" s="1555">
        <v>10492.2</v>
      </c>
      <c r="Q427" s="107">
        <v>10492.2</v>
      </c>
      <c r="R427" s="135" t="s">
        <v>206</v>
      </c>
      <c r="S427" s="255">
        <v>43984</v>
      </c>
      <c r="T427" s="107">
        <v>10492.2</v>
      </c>
      <c r="U427" s="289" t="s">
        <v>171</v>
      </c>
      <c r="V427" s="107">
        <v>10492.2</v>
      </c>
      <c r="W427" s="1652"/>
      <c r="X427" s="333"/>
      <c r="Y427" s="333"/>
      <c r="Z427" s="1689"/>
      <c r="AA427" s="1528" t="s">
        <v>5217</v>
      </c>
      <c r="AB427" s="1681"/>
      <c r="AC427" s="211"/>
      <c r="AD427" s="107">
        <f>SUM(Q427:Q430)</f>
        <v>52461</v>
      </c>
      <c r="AE427" s="107">
        <f>SUM(V427:V430)</f>
        <v>52461</v>
      </c>
      <c r="AF427" s="107">
        <f>SUM(X427)</f>
        <v>0</v>
      </c>
      <c r="AG427" s="107">
        <f>K427-AD427</f>
        <v>0</v>
      </c>
      <c r="AH427" s="1681" t="s">
        <v>197</v>
      </c>
      <c r="AI427" s="1556" t="s">
        <v>154</v>
      </c>
    </row>
    <row r="428" s="4" customFormat="1" ht="61" spans="1:35">
      <c r="A428" s="107"/>
      <c r="B428" s="108"/>
      <c r="C428" s="110"/>
      <c r="D428" s="83"/>
      <c r="E428" s="134"/>
      <c r="F428" s="134"/>
      <c r="G428" s="107"/>
      <c r="H428" s="134"/>
      <c r="I428" s="107"/>
      <c r="J428" s="134"/>
      <c r="K428" s="157"/>
      <c r="L428" s="107"/>
      <c r="M428" s="134">
        <v>2</v>
      </c>
      <c r="N428" s="213" t="s">
        <v>5218</v>
      </c>
      <c r="O428" s="1554">
        <v>0.4</v>
      </c>
      <c r="P428" s="1555">
        <v>20984.4</v>
      </c>
      <c r="Q428" s="107">
        <v>20984.4</v>
      </c>
      <c r="R428" s="135" t="s">
        <v>206</v>
      </c>
      <c r="S428" s="360"/>
      <c r="T428" s="107">
        <v>20984.4</v>
      </c>
      <c r="U428" s="220"/>
      <c r="V428" s="107">
        <v>20984.4</v>
      </c>
      <c r="W428" s="1653"/>
      <c r="X428" s="1654"/>
      <c r="Y428" s="1654"/>
      <c r="Z428" s="1690"/>
      <c r="AA428" s="1691"/>
      <c r="AB428" s="1681"/>
      <c r="AC428" s="220"/>
      <c r="AD428" s="107"/>
      <c r="AE428" s="107"/>
      <c r="AF428" s="107"/>
      <c r="AG428" s="107"/>
      <c r="AH428" s="1729"/>
      <c r="AI428" s="1730"/>
    </row>
    <row r="429" s="4" customFormat="1" ht="65.85" customHeight="1" spans="1:35">
      <c r="A429" s="107"/>
      <c r="B429" s="108"/>
      <c r="C429" s="110"/>
      <c r="D429" s="83"/>
      <c r="E429" s="134"/>
      <c r="F429" s="134"/>
      <c r="G429" s="107"/>
      <c r="H429" s="134"/>
      <c r="I429" s="107"/>
      <c r="J429" s="134"/>
      <c r="K429" s="157"/>
      <c r="L429" s="107"/>
      <c r="M429" s="134">
        <v>3</v>
      </c>
      <c r="N429" s="213" t="s">
        <v>5219</v>
      </c>
      <c r="O429" s="1554">
        <v>0.3</v>
      </c>
      <c r="P429" s="1555">
        <v>15738.3</v>
      </c>
      <c r="Q429" s="107">
        <v>15738.3</v>
      </c>
      <c r="R429" s="135" t="s">
        <v>206</v>
      </c>
      <c r="S429" s="360"/>
      <c r="T429" s="107">
        <v>15738.3</v>
      </c>
      <c r="U429" s="220"/>
      <c r="V429" s="107">
        <v>15738.3</v>
      </c>
      <c r="W429" s="1653"/>
      <c r="X429" s="1654"/>
      <c r="Y429" s="1654"/>
      <c r="Z429" s="1690"/>
      <c r="AA429" s="1691"/>
      <c r="AB429" s="1681"/>
      <c r="AC429" s="220"/>
      <c r="AD429" s="107"/>
      <c r="AE429" s="107"/>
      <c r="AF429" s="107"/>
      <c r="AG429" s="107"/>
      <c r="AH429" s="1729"/>
      <c r="AI429" s="1730"/>
    </row>
    <row r="430" s="4" customFormat="1" ht="43.35" customHeight="1" spans="1:35">
      <c r="A430" s="107"/>
      <c r="B430" s="108"/>
      <c r="C430" s="110"/>
      <c r="D430" s="83"/>
      <c r="E430" s="134"/>
      <c r="F430" s="134"/>
      <c r="G430" s="107"/>
      <c r="H430" s="134"/>
      <c r="I430" s="211"/>
      <c r="J430" s="134"/>
      <c r="K430" s="157"/>
      <c r="L430" s="107"/>
      <c r="M430" s="134">
        <v>4</v>
      </c>
      <c r="N430" s="213" t="s">
        <v>5220</v>
      </c>
      <c r="O430" s="1554">
        <v>0.1</v>
      </c>
      <c r="P430" s="1555">
        <v>5246.1</v>
      </c>
      <c r="Q430" s="107">
        <v>5246.1</v>
      </c>
      <c r="R430" s="135" t="s">
        <v>206</v>
      </c>
      <c r="S430" s="256"/>
      <c r="T430" s="107">
        <v>5246.1</v>
      </c>
      <c r="U430" s="212"/>
      <c r="V430" s="107">
        <v>5246.1</v>
      </c>
      <c r="W430" s="1655"/>
      <c r="X430" s="336"/>
      <c r="Y430" s="336"/>
      <c r="Z430" s="1692"/>
      <c r="AA430" s="1615"/>
      <c r="AB430" s="1681"/>
      <c r="AC430" s="212"/>
      <c r="AD430" s="107"/>
      <c r="AE430" s="107"/>
      <c r="AF430" s="107"/>
      <c r="AG430" s="107"/>
      <c r="AH430" s="1729"/>
      <c r="AI430" s="1730"/>
    </row>
    <row r="431" s="6" customFormat="1" ht="26.25" customHeight="1" spans="1:35">
      <c r="A431" s="1222" t="s">
        <v>1003</v>
      </c>
      <c r="B431" s="1467">
        <v>43182</v>
      </c>
      <c r="C431" s="1473" t="s">
        <v>5221</v>
      </c>
      <c r="D431" s="1222" t="s">
        <v>113</v>
      </c>
      <c r="E431" s="1181" t="s">
        <v>5222</v>
      </c>
      <c r="F431" s="1181" t="s">
        <v>5223</v>
      </c>
      <c r="G431" s="1222" t="s">
        <v>240</v>
      </c>
      <c r="H431" s="1491" t="s">
        <v>5224</v>
      </c>
      <c r="I431" s="724">
        <v>229638</v>
      </c>
      <c r="J431" s="1523" t="s">
        <v>5225</v>
      </c>
      <c r="K431" s="1524">
        <v>3674208</v>
      </c>
      <c r="L431" s="87" t="s">
        <v>25</v>
      </c>
      <c r="M431" s="614">
        <v>1</v>
      </c>
      <c r="N431" s="1558" t="s">
        <v>5185</v>
      </c>
      <c r="O431" s="1566">
        <v>0.2</v>
      </c>
      <c r="P431" s="1208">
        <f>K431*O431</f>
        <v>734841.6</v>
      </c>
      <c r="Q431" s="1617">
        <v>734841.6</v>
      </c>
      <c r="R431" s="1181" t="s">
        <v>206</v>
      </c>
      <c r="S431" s="1474">
        <v>43248</v>
      </c>
      <c r="T431" s="1208">
        <v>734841.6</v>
      </c>
      <c r="U431" s="1200">
        <v>43248</v>
      </c>
      <c r="V431" s="1208">
        <v>734841.6</v>
      </c>
      <c r="W431" s="1200">
        <v>43248</v>
      </c>
      <c r="X431" s="1656">
        <v>734841.6</v>
      </c>
      <c r="Y431" s="1200">
        <v>43279</v>
      </c>
      <c r="Z431" s="1617">
        <f t="shared" ref="Z431:Z442" si="23">Q431-X431</f>
        <v>0</v>
      </c>
      <c r="AA431" s="1693"/>
      <c r="AB431" s="1221" t="s">
        <v>1463</v>
      </c>
      <c r="AC431" s="1693"/>
      <c r="AD431" s="1222">
        <f>SUM(Q431:Q435)</f>
        <v>3734706.88</v>
      </c>
      <c r="AE431" s="1222">
        <f>SUM(V431:V435)</f>
        <v>3734706.88</v>
      </c>
      <c r="AF431" s="1222">
        <f>SUM(X431:X435)</f>
        <v>3734706.88</v>
      </c>
      <c r="AG431" s="1222">
        <v>200000</v>
      </c>
      <c r="AH431" s="614" t="s">
        <v>247</v>
      </c>
      <c r="AI431" s="1731" t="s">
        <v>154</v>
      </c>
    </row>
    <row r="432" s="6" customFormat="1" ht="26.25" customHeight="1" spans="1:35">
      <c r="A432" s="1469"/>
      <c r="B432" s="1470"/>
      <c r="C432" s="1471"/>
      <c r="D432" s="1469"/>
      <c r="E432" s="1489"/>
      <c r="F432" s="1489"/>
      <c r="G432" s="1469"/>
      <c r="H432" s="1492"/>
      <c r="I432" s="724"/>
      <c r="J432" s="1525"/>
      <c r="K432" s="1526"/>
      <c r="L432" s="90"/>
      <c r="M432" s="614">
        <v>2</v>
      </c>
      <c r="N432" s="1558" t="s">
        <v>5186</v>
      </c>
      <c r="O432" s="1566">
        <v>0.3</v>
      </c>
      <c r="P432" s="1208">
        <f>K431*O432</f>
        <v>1102262.4</v>
      </c>
      <c r="Q432" s="1617">
        <v>1102262.4</v>
      </c>
      <c r="R432" s="1181" t="s">
        <v>206</v>
      </c>
      <c r="S432" s="1474">
        <v>43462</v>
      </c>
      <c r="T432" s="1208">
        <v>1102262.4</v>
      </c>
      <c r="U432" s="1200">
        <v>43462</v>
      </c>
      <c r="V432" s="1208">
        <v>1102262.4</v>
      </c>
      <c r="W432" s="1200">
        <v>43462</v>
      </c>
      <c r="X432" s="1617">
        <v>1102262.4</v>
      </c>
      <c r="Y432" s="1200">
        <v>43493</v>
      </c>
      <c r="Z432" s="1617">
        <f t="shared" si="23"/>
        <v>0</v>
      </c>
      <c r="AA432" s="1693"/>
      <c r="AB432" s="1221" t="s">
        <v>1463</v>
      </c>
      <c r="AC432" s="1693"/>
      <c r="AD432" s="1469"/>
      <c r="AE432" s="1469"/>
      <c r="AF432" s="1469"/>
      <c r="AG432" s="1469"/>
      <c r="AH432" s="614"/>
      <c r="AI432" s="1731"/>
    </row>
    <row r="433" s="6" customFormat="1" ht="26.25" customHeight="1" spans="1:35">
      <c r="A433" s="1469"/>
      <c r="B433" s="1470"/>
      <c r="C433" s="1471"/>
      <c r="D433" s="1469"/>
      <c r="E433" s="1489"/>
      <c r="F433" s="1489"/>
      <c r="G433" s="1469"/>
      <c r="H433" s="1492"/>
      <c r="I433" s="724"/>
      <c r="J433" s="1525"/>
      <c r="K433" s="1526"/>
      <c r="L433" s="90"/>
      <c r="M433" s="614">
        <v>3</v>
      </c>
      <c r="N433" s="1558" t="s">
        <v>5187</v>
      </c>
      <c r="O433" s="1566">
        <v>0.25</v>
      </c>
      <c r="P433" s="1208">
        <f>K431*O433</f>
        <v>918552</v>
      </c>
      <c r="Q433" s="1617">
        <v>918552</v>
      </c>
      <c r="R433" s="1181" t="s">
        <v>206</v>
      </c>
      <c r="S433" s="1474">
        <v>43565</v>
      </c>
      <c r="T433" s="1208">
        <v>918552</v>
      </c>
      <c r="U433" s="1200">
        <v>43565</v>
      </c>
      <c r="V433" s="1208">
        <v>918552</v>
      </c>
      <c r="W433" s="1200">
        <v>43565</v>
      </c>
      <c r="X433" s="1617">
        <v>918552</v>
      </c>
      <c r="Y433" s="1200">
        <v>43595</v>
      </c>
      <c r="Z433" s="1617">
        <f t="shared" si="23"/>
        <v>0</v>
      </c>
      <c r="AA433" s="1693"/>
      <c r="AB433" s="1221" t="s">
        <v>1463</v>
      </c>
      <c r="AC433" s="1693"/>
      <c r="AD433" s="1469"/>
      <c r="AE433" s="1469"/>
      <c r="AF433" s="1469"/>
      <c r="AG433" s="1469"/>
      <c r="AH433" s="614"/>
      <c r="AI433" s="1731"/>
    </row>
    <row r="434" s="6" customFormat="1" ht="26.25" customHeight="1" spans="1:35">
      <c r="A434" s="1469"/>
      <c r="B434" s="1470"/>
      <c r="C434" s="1471"/>
      <c r="D434" s="1469"/>
      <c r="E434" s="1489"/>
      <c r="F434" s="1489"/>
      <c r="G434" s="1469"/>
      <c r="H434" s="1492"/>
      <c r="I434" s="724"/>
      <c r="J434" s="1525"/>
      <c r="K434" s="1526"/>
      <c r="L434" s="90"/>
      <c r="M434" s="614">
        <v>4</v>
      </c>
      <c r="N434" s="1558" t="s">
        <v>5188</v>
      </c>
      <c r="O434" s="1566">
        <v>0.2</v>
      </c>
      <c r="P434" s="1208">
        <f>K431*O434</f>
        <v>734841.6</v>
      </c>
      <c r="Q434" s="1617">
        <v>734841.6</v>
      </c>
      <c r="R434" s="1488" t="s">
        <v>206</v>
      </c>
      <c r="S434" s="1474">
        <v>43758</v>
      </c>
      <c r="T434" s="1208">
        <v>734841.6</v>
      </c>
      <c r="U434" s="1200">
        <v>43758</v>
      </c>
      <c r="V434" s="1208">
        <v>734841.6</v>
      </c>
      <c r="W434" s="1200">
        <v>43758</v>
      </c>
      <c r="X434" s="1617">
        <v>734841.6</v>
      </c>
      <c r="Y434" s="1200">
        <v>43789</v>
      </c>
      <c r="Z434" s="1617">
        <f t="shared" si="23"/>
        <v>0</v>
      </c>
      <c r="AA434" s="1693"/>
      <c r="AB434" s="1221" t="s">
        <v>1463</v>
      </c>
      <c r="AC434" s="1693"/>
      <c r="AD434" s="1469"/>
      <c r="AE434" s="1469"/>
      <c r="AF434" s="1469"/>
      <c r="AG434" s="1469"/>
      <c r="AH434" s="614"/>
      <c r="AI434" s="1731"/>
    </row>
    <row r="435" s="6" customFormat="1" ht="84" customHeight="1" spans="1:35">
      <c r="A435" s="1220"/>
      <c r="B435" s="1474"/>
      <c r="C435" s="1475"/>
      <c r="D435" s="1220"/>
      <c r="E435" s="1493"/>
      <c r="F435" s="1493"/>
      <c r="G435" s="1220"/>
      <c r="H435" s="1494"/>
      <c r="I435" s="724"/>
      <c r="J435" s="1527"/>
      <c r="K435" s="1518"/>
      <c r="L435" s="130" t="s">
        <v>126</v>
      </c>
      <c r="M435" s="614">
        <v>5</v>
      </c>
      <c r="N435" s="1558" t="s">
        <v>5189</v>
      </c>
      <c r="O435" s="1566">
        <v>0.05</v>
      </c>
      <c r="P435" s="1208">
        <f>K431*O435</f>
        <v>183710.4</v>
      </c>
      <c r="Q435" s="1618">
        <v>244209.28</v>
      </c>
      <c r="R435" s="1619" t="s">
        <v>4603</v>
      </c>
      <c r="S435" s="1620">
        <v>45112</v>
      </c>
      <c r="T435" s="614">
        <v>244209.28</v>
      </c>
      <c r="U435" s="1200">
        <v>45112</v>
      </c>
      <c r="V435" s="614">
        <v>244209.28</v>
      </c>
      <c r="W435" s="1204">
        <v>45118</v>
      </c>
      <c r="X435" s="1178">
        <v>244209.28</v>
      </c>
      <c r="Y435" s="1204">
        <v>45133</v>
      </c>
      <c r="Z435" s="1617">
        <f t="shared" si="23"/>
        <v>0</v>
      </c>
      <c r="AA435" s="1694" t="s">
        <v>5226</v>
      </c>
      <c r="AB435" s="667"/>
      <c r="AC435" s="1702"/>
      <c r="AD435" s="1220"/>
      <c r="AE435" s="1220"/>
      <c r="AF435" s="1220"/>
      <c r="AG435" s="1220"/>
      <c r="AH435" s="614"/>
      <c r="AI435" s="1731"/>
    </row>
    <row r="436" s="4" customFormat="1" ht="46" spans="1:35">
      <c r="A436" s="211" t="s">
        <v>3016</v>
      </c>
      <c r="B436" s="255">
        <v>43210</v>
      </c>
      <c r="C436" s="359" t="s">
        <v>5227</v>
      </c>
      <c r="D436" s="87" t="s">
        <v>113</v>
      </c>
      <c r="E436" s="135" t="s">
        <v>3066</v>
      </c>
      <c r="F436" s="135"/>
      <c r="G436" s="211" t="s">
        <v>5194</v>
      </c>
      <c r="H436" s="1495" t="s">
        <v>5195</v>
      </c>
      <c r="I436" s="339" t="s">
        <v>171</v>
      </c>
      <c r="J436" s="1528" t="s">
        <v>5196</v>
      </c>
      <c r="K436" s="423">
        <v>50000</v>
      </c>
      <c r="L436" s="211" t="s">
        <v>5197</v>
      </c>
      <c r="M436" s="135">
        <v>1</v>
      </c>
      <c r="N436" s="1567"/>
      <c r="O436" s="1568">
        <v>1</v>
      </c>
      <c r="P436" s="1569">
        <v>50000</v>
      </c>
      <c r="Q436" s="1556">
        <v>50000</v>
      </c>
      <c r="R436" s="135" t="s">
        <v>4603</v>
      </c>
      <c r="S436" s="255">
        <v>44182</v>
      </c>
      <c r="T436" s="211">
        <v>50000</v>
      </c>
      <c r="U436" s="289">
        <v>44182</v>
      </c>
      <c r="V436" s="211">
        <v>50000</v>
      </c>
      <c r="W436" s="1657">
        <v>44131</v>
      </c>
      <c r="X436" s="211">
        <v>50000</v>
      </c>
      <c r="Y436" s="1657">
        <v>44302</v>
      </c>
      <c r="Z436" s="1695">
        <f t="shared" si="23"/>
        <v>0</v>
      </c>
      <c r="AA436" s="254" t="s">
        <v>1463</v>
      </c>
      <c r="AB436" s="1681" t="s">
        <v>1463</v>
      </c>
      <c r="AC436" s="1567"/>
      <c r="AD436" s="211">
        <f>SUM(Q436)</f>
        <v>50000</v>
      </c>
      <c r="AE436" s="211">
        <f>SUM(V436)</f>
        <v>50000</v>
      </c>
      <c r="AF436" s="211">
        <f>SUM(X436)</f>
        <v>50000</v>
      </c>
      <c r="AG436" s="211">
        <f>K436-AD436</f>
        <v>0</v>
      </c>
      <c r="AH436" s="1567"/>
      <c r="AI436" s="1732"/>
    </row>
    <row r="437" s="1" customFormat="1" ht="107" spans="1:35">
      <c r="A437" s="250" t="s">
        <v>809</v>
      </c>
      <c r="B437" s="1476">
        <v>44918</v>
      </c>
      <c r="C437" s="1477" t="s">
        <v>1332</v>
      </c>
      <c r="D437" s="204"/>
      <c r="E437" s="1496" t="s">
        <v>5228</v>
      </c>
      <c r="F437" s="1496" t="s">
        <v>5229</v>
      </c>
      <c r="G437" s="250" t="s">
        <v>5230</v>
      </c>
      <c r="H437" s="1497" t="s">
        <v>5231</v>
      </c>
      <c r="I437" s="501" t="s">
        <v>171</v>
      </c>
      <c r="J437" s="1529" t="s">
        <v>997</v>
      </c>
      <c r="K437" s="1530">
        <v>299414</v>
      </c>
      <c r="L437" s="250" t="s">
        <v>138</v>
      </c>
      <c r="M437" s="1570">
        <v>1</v>
      </c>
      <c r="N437" s="1571" t="s">
        <v>5232</v>
      </c>
      <c r="O437" s="1572">
        <v>0.5</v>
      </c>
      <c r="P437" s="1573">
        <f>K437*O437</f>
        <v>149707</v>
      </c>
      <c r="Q437" s="1621">
        <v>100000</v>
      </c>
      <c r="R437" s="1496" t="s">
        <v>5057</v>
      </c>
      <c r="S437" s="251">
        <v>45679</v>
      </c>
      <c r="T437" s="204">
        <v>100000</v>
      </c>
      <c r="U437" s="1658">
        <v>45679</v>
      </c>
      <c r="V437" s="1659">
        <v>100000</v>
      </c>
      <c r="W437" s="1660">
        <v>45705</v>
      </c>
      <c r="X437" s="1661">
        <v>100000</v>
      </c>
      <c r="Y437" s="1660">
        <v>45714</v>
      </c>
      <c r="Z437" s="1659">
        <f t="shared" si="23"/>
        <v>0</v>
      </c>
      <c r="AA437" s="428"/>
      <c r="AB437" s="406"/>
      <c r="AC437" s="1703"/>
      <c r="AD437" s="204"/>
      <c r="AE437" s="1704"/>
      <c r="AF437" s="204"/>
      <c r="AG437" s="204"/>
      <c r="AH437" s="583"/>
      <c r="AI437" s="1733"/>
    </row>
    <row r="438" s="1" customFormat="1" ht="34.2" customHeight="1" spans="1:35">
      <c r="A438" s="206"/>
      <c r="B438" s="365"/>
      <c r="C438" s="1478"/>
      <c r="D438" s="206"/>
      <c r="E438" s="205"/>
      <c r="F438" s="205"/>
      <c r="G438" s="206"/>
      <c r="H438" s="1498"/>
      <c r="I438" s="410"/>
      <c r="J438" s="1531"/>
      <c r="K438" s="1532"/>
      <c r="L438" s="206"/>
      <c r="M438" s="1574"/>
      <c r="N438" s="1575" t="s">
        <v>5233</v>
      </c>
      <c r="O438" s="1576"/>
      <c r="P438" s="1577"/>
      <c r="Q438" s="1622">
        <f>P437-Q437</f>
        <v>49707</v>
      </c>
      <c r="R438" s="1623"/>
      <c r="S438" s="1624"/>
      <c r="T438" s="204"/>
      <c r="U438" s="1658"/>
      <c r="V438" s="1659"/>
      <c r="W438" s="1660"/>
      <c r="X438" s="1659"/>
      <c r="Y438" s="1660"/>
      <c r="Z438" s="1659">
        <f t="shared" si="23"/>
        <v>49707</v>
      </c>
      <c r="AA438" s="428"/>
      <c r="AB438" s="406"/>
      <c r="AC438" s="1703"/>
      <c r="AD438" s="204"/>
      <c r="AE438" s="1704"/>
      <c r="AF438" s="204"/>
      <c r="AG438" s="204"/>
      <c r="AH438" s="583"/>
      <c r="AI438" s="1733"/>
    </row>
    <row r="439" s="1" customFormat="1" ht="92" spans="1:35">
      <c r="A439" s="206"/>
      <c r="B439" s="365"/>
      <c r="C439" s="1478"/>
      <c r="D439" s="206"/>
      <c r="E439" s="205"/>
      <c r="F439" s="205"/>
      <c r="G439" s="206"/>
      <c r="H439" s="1498"/>
      <c r="I439" s="410"/>
      <c r="J439" s="1531"/>
      <c r="K439" s="1532"/>
      <c r="L439" s="206"/>
      <c r="M439" s="1570">
        <v>2</v>
      </c>
      <c r="N439" s="1571" t="s">
        <v>5234</v>
      </c>
      <c r="O439" s="1572">
        <v>0.3</v>
      </c>
      <c r="P439" s="1573">
        <f>K437*O439</f>
        <v>89824.2</v>
      </c>
      <c r="Q439" s="1621">
        <v>89824.2</v>
      </c>
      <c r="R439" s="1496" t="s">
        <v>5057</v>
      </c>
      <c r="S439" s="251">
        <v>45679</v>
      </c>
      <c r="T439" s="204">
        <v>89824.2</v>
      </c>
      <c r="U439" s="1658">
        <v>45679</v>
      </c>
      <c r="V439" s="1659">
        <v>89824.2</v>
      </c>
      <c r="W439" s="1660">
        <v>45705</v>
      </c>
      <c r="X439" s="1661">
        <v>89824.2</v>
      </c>
      <c r="Y439" s="1660">
        <v>45714</v>
      </c>
      <c r="Z439" s="1659">
        <f t="shared" si="23"/>
        <v>0</v>
      </c>
      <c r="AA439" s="428"/>
      <c r="AB439" s="406"/>
      <c r="AC439" s="1703"/>
      <c r="AD439" s="204"/>
      <c r="AE439" s="1704"/>
      <c r="AF439" s="204"/>
      <c r="AG439" s="204"/>
      <c r="AH439" s="583"/>
      <c r="AI439" s="1733"/>
    </row>
    <row r="440" s="1" customFormat="1" ht="92" spans="1:35">
      <c r="A440" s="206"/>
      <c r="B440" s="365"/>
      <c r="C440" s="1478"/>
      <c r="D440" s="206"/>
      <c r="E440" s="205"/>
      <c r="F440" s="205"/>
      <c r="G440" s="206"/>
      <c r="H440" s="1498"/>
      <c r="I440" s="410"/>
      <c r="J440" s="1531"/>
      <c r="K440" s="1532"/>
      <c r="L440" s="206"/>
      <c r="M440" s="1570">
        <v>3</v>
      </c>
      <c r="N440" s="1571" t="s">
        <v>5235</v>
      </c>
      <c r="O440" s="1572">
        <v>0.2</v>
      </c>
      <c r="P440" s="1573">
        <f>K437*O440</f>
        <v>59882.8</v>
      </c>
      <c r="Q440" s="1625"/>
      <c r="R440" s="202"/>
      <c r="S440" s="1476"/>
      <c r="T440" s="204"/>
      <c r="U440" s="1658"/>
      <c r="V440" s="1659"/>
      <c r="W440" s="1660"/>
      <c r="X440" s="1659"/>
      <c r="Y440" s="1660"/>
      <c r="Z440" s="1659">
        <f t="shared" si="23"/>
        <v>0</v>
      </c>
      <c r="AA440" s="501"/>
      <c r="AB440" s="408"/>
      <c r="AC440" s="1703"/>
      <c r="AD440" s="204"/>
      <c r="AE440" s="1704"/>
      <c r="AF440" s="204"/>
      <c r="AG440" s="204"/>
      <c r="AH440" s="583"/>
      <c r="AI440" s="1733"/>
    </row>
    <row r="441" s="11" customFormat="1" ht="61" spans="1:35">
      <c r="A441" s="294" t="s">
        <v>809</v>
      </c>
      <c r="B441" s="362">
        <v>45838</v>
      </c>
      <c r="C441" s="363" t="s">
        <v>1332</v>
      </c>
      <c r="D441" s="1479"/>
      <c r="E441" s="1499" t="s">
        <v>5236</v>
      </c>
      <c r="F441" s="1499" t="s">
        <v>5237</v>
      </c>
      <c r="G441" s="294" t="s">
        <v>5230</v>
      </c>
      <c r="H441" s="1499" t="s">
        <v>5231</v>
      </c>
      <c r="I441" s="294" t="s">
        <v>171</v>
      </c>
      <c r="J441" s="1499" t="s">
        <v>997</v>
      </c>
      <c r="K441" s="425">
        <v>4000</v>
      </c>
      <c r="L441" s="294" t="s">
        <v>5238</v>
      </c>
      <c r="M441" s="404">
        <v>1</v>
      </c>
      <c r="N441" s="1578" t="s">
        <v>5239</v>
      </c>
      <c r="O441" s="1579">
        <v>0.5</v>
      </c>
      <c r="P441" s="1580">
        <v>2000</v>
      </c>
      <c r="Q441" s="339">
        <v>2000</v>
      </c>
      <c r="R441" s="1499" t="s">
        <v>4603</v>
      </c>
      <c r="S441" s="362">
        <v>45853</v>
      </c>
      <c r="T441" s="339">
        <v>2000</v>
      </c>
      <c r="U441" s="362">
        <v>45853</v>
      </c>
      <c r="V441" s="1580">
        <v>2000</v>
      </c>
      <c r="W441" s="362">
        <v>45856</v>
      </c>
      <c r="X441" s="1580">
        <v>2000</v>
      </c>
      <c r="Y441" s="542">
        <v>45868</v>
      </c>
      <c r="Z441" s="1696">
        <f t="shared" si="23"/>
        <v>0</v>
      </c>
      <c r="AA441" s="294"/>
      <c r="AB441" s="339"/>
      <c r="AC441" s="1705"/>
      <c r="AD441" s="339"/>
      <c r="AE441" s="339"/>
      <c r="AF441" s="339"/>
      <c r="AG441" s="339"/>
      <c r="AH441" s="1705"/>
      <c r="AI441" s="1705"/>
    </row>
    <row r="442" s="11" customFormat="1" ht="31" spans="1:35">
      <c r="A442" s="339"/>
      <c r="B442" s="362"/>
      <c r="C442" s="1480"/>
      <c r="D442" s="1479"/>
      <c r="E442" s="404"/>
      <c r="F442" s="404"/>
      <c r="G442" s="339"/>
      <c r="H442" s="404"/>
      <c r="I442" s="339"/>
      <c r="J442" s="404"/>
      <c r="K442" s="425"/>
      <c r="L442" s="339"/>
      <c r="M442" s="404">
        <v>2</v>
      </c>
      <c r="N442" s="1578" t="s">
        <v>5240</v>
      </c>
      <c r="O442" s="1579">
        <v>0.3</v>
      </c>
      <c r="P442" s="1580">
        <v>1200</v>
      </c>
      <c r="Q442" s="339">
        <v>1200</v>
      </c>
      <c r="R442" s="1499" t="s">
        <v>4603</v>
      </c>
      <c r="S442" s="362">
        <v>45853</v>
      </c>
      <c r="T442" s="339">
        <v>1200</v>
      </c>
      <c r="U442" s="362">
        <v>45853</v>
      </c>
      <c r="V442" s="1580">
        <v>1200</v>
      </c>
      <c r="W442" s="362">
        <v>45856</v>
      </c>
      <c r="X442" s="1580">
        <v>1200</v>
      </c>
      <c r="Y442" s="542">
        <v>45868</v>
      </c>
      <c r="Z442" s="1696">
        <f t="shared" si="23"/>
        <v>0</v>
      </c>
      <c r="AA442" s="294"/>
      <c r="AB442" s="339"/>
      <c r="AC442" s="1705"/>
      <c r="AD442" s="339"/>
      <c r="AE442" s="339"/>
      <c r="AF442" s="339"/>
      <c r="AG442" s="339"/>
      <c r="AH442" s="1705"/>
      <c r="AI442" s="1705"/>
    </row>
    <row r="443" s="11" customFormat="1" ht="46" spans="1:35">
      <c r="A443" s="339"/>
      <c r="B443" s="362"/>
      <c r="C443" s="1480"/>
      <c r="D443" s="1479"/>
      <c r="E443" s="404"/>
      <c r="F443" s="404"/>
      <c r="G443" s="339"/>
      <c r="H443" s="404"/>
      <c r="I443" s="339"/>
      <c r="J443" s="404"/>
      <c r="K443" s="425"/>
      <c r="L443" s="339"/>
      <c r="M443" s="404">
        <v>3</v>
      </c>
      <c r="N443" s="1578" t="s">
        <v>5241</v>
      </c>
      <c r="O443" s="1579">
        <v>0.2</v>
      </c>
      <c r="P443" s="1580">
        <v>800</v>
      </c>
      <c r="Q443" s="339"/>
      <c r="R443" s="404"/>
      <c r="S443" s="362"/>
      <c r="T443" s="339"/>
      <c r="U443" s="1662"/>
      <c r="V443" s="1580"/>
      <c r="W443" s="542"/>
      <c r="X443" s="1580"/>
      <c r="Y443" s="542"/>
      <c r="Z443" s="1580"/>
      <c r="AA443" s="294"/>
      <c r="AB443" s="339"/>
      <c r="AC443" s="1705"/>
      <c r="AD443" s="339"/>
      <c r="AE443" s="339"/>
      <c r="AF443" s="339"/>
      <c r="AG443" s="339"/>
      <c r="AH443" s="1705"/>
      <c r="AI443" s="1705"/>
    </row>
    <row r="444" customFormat="1" ht="92" spans="1:35">
      <c r="A444" s="393" t="s">
        <v>809</v>
      </c>
      <c r="B444" s="517">
        <v>44922</v>
      </c>
      <c r="C444" s="395" t="s">
        <v>1332</v>
      </c>
      <c r="D444" s="419"/>
      <c r="E444" s="689" t="s">
        <v>5242</v>
      </c>
      <c r="F444" s="689" t="s">
        <v>5243</v>
      </c>
      <c r="G444" s="1304" t="s">
        <v>3579</v>
      </c>
      <c r="H444" s="689" t="s">
        <v>5244</v>
      </c>
      <c r="I444" s="1533">
        <v>36690</v>
      </c>
      <c r="J444" s="1534" t="s">
        <v>5245</v>
      </c>
      <c r="K444" s="690">
        <v>269000</v>
      </c>
      <c r="L444" s="1304" t="s">
        <v>138</v>
      </c>
      <c r="M444" s="1581">
        <v>1</v>
      </c>
      <c r="N444" s="1582" t="s">
        <v>5246</v>
      </c>
      <c r="O444" s="1583">
        <v>0.2</v>
      </c>
      <c r="P444" s="1584">
        <f>K444*0.2</f>
        <v>53800</v>
      </c>
      <c r="Q444" s="1626">
        <v>53800</v>
      </c>
      <c r="R444" s="1627" t="s">
        <v>4603</v>
      </c>
      <c r="S444" s="802">
        <v>45429</v>
      </c>
      <c r="T444" s="1628">
        <v>53800</v>
      </c>
      <c r="U444" s="802">
        <v>45429</v>
      </c>
      <c r="V444" s="1663">
        <v>53800</v>
      </c>
      <c r="W444" s="1664">
        <v>45323</v>
      </c>
      <c r="X444" s="1663">
        <v>53800</v>
      </c>
      <c r="Y444" s="1664">
        <v>45440</v>
      </c>
      <c r="Z444" s="1697">
        <f t="shared" ref="Z444:Z456" si="24">Q444-X444</f>
        <v>0</v>
      </c>
      <c r="AA444" s="1698"/>
      <c r="AB444" s="613"/>
      <c r="AC444" s="1706"/>
      <c r="AD444" s="1707"/>
      <c r="AE444" s="1708"/>
      <c r="AF444" s="1707"/>
      <c r="AG444" s="1707"/>
      <c r="AH444" s="1734"/>
      <c r="AI444" s="1698"/>
    </row>
    <row r="445" customFormat="1" ht="76" spans="1:35">
      <c r="A445" s="393"/>
      <c r="B445" s="517"/>
      <c r="C445" s="395"/>
      <c r="D445" s="419"/>
      <c r="E445" s="689"/>
      <c r="F445" s="689"/>
      <c r="G445" s="1304"/>
      <c r="H445" s="689"/>
      <c r="I445" s="1533"/>
      <c r="J445" s="1534"/>
      <c r="K445" s="690"/>
      <c r="L445" s="1304"/>
      <c r="M445" s="1585">
        <v>2</v>
      </c>
      <c r="N445" s="1586" t="s">
        <v>5247</v>
      </c>
      <c r="O445" s="1587">
        <v>0.3</v>
      </c>
      <c r="P445" s="1588">
        <f>K444*0.3</f>
        <v>80700</v>
      </c>
      <c r="Q445" s="1629">
        <v>80700</v>
      </c>
      <c r="R445" s="1630" t="s">
        <v>4603</v>
      </c>
      <c r="S445" s="517">
        <v>45429</v>
      </c>
      <c r="T445" s="1631">
        <v>80700</v>
      </c>
      <c r="U445" s="517">
        <v>45429</v>
      </c>
      <c r="V445" s="1635">
        <v>80700</v>
      </c>
      <c r="W445" s="1665">
        <v>45323</v>
      </c>
      <c r="X445" s="1635">
        <v>80700</v>
      </c>
      <c r="Y445" s="1665">
        <v>45440</v>
      </c>
      <c r="Z445" s="1668">
        <f t="shared" si="24"/>
        <v>0</v>
      </c>
      <c r="AA445" s="1698"/>
      <c r="AB445" s="613"/>
      <c r="AC445" s="1709"/>
      <c r="AD445" s="1710"/>
      <c r="AE445" s="1711"/>
      <c r="AF445" s="1710"/>
      <c r="AG445" s="1710"/>
      <c r="AH445" s="1713"/>
      <c r="AI445" s="1735"/>
    </row>
    <row r="446" s="12" customFormat="1" ht="54.8" customHeight="1" spans="1:35">
      <c r="A446" s="393"/>
      <c r="B446" s="517"/>
      <c r="C446" s="395"/>
      <c r="D446" s="419"/>
      <c r="E446" s="689"/>
      <c r="F446" s="689"/>
      <c r="G446" s="1304"/>
      <c r="H446" s="689"/>
      <c r="I446" s="1535"/>
      <c r="J446" s="689"/>
      <c r="K446" s="906"/>
      <c r="L446" s="1304"/>
      <c r="M446" s="1585">
        <v>3</v>
      </c>
      <c r="N446" s="1586" t="s">
        <v>5248</v>
      </c>
      <c r="O446" s="1589">
        <v>0.2</v>
      </c>
      <c r="P446" s="1588">
        <f>K444*O446</f>
        <v>53800</v>
      </c>
      <c r="Q446" s="1632">
        <v>45094.34</v>
      </c>
      <c r="R446" s="1633" t="s">
        <v>4603</v>
      </c>
      <c r="S446" s="1634">
        <v>45639</v>
      </c>
      <c r="T446" s="1635">
        <v>45094.34</v>
      </c>
      <c r="U446" s="517">
        <v>45639</v>
      </c>
      <c r="V446" s="1631">
        <v>45094.34</v>
      </c>
      <c r="W446" s="517">
        <v>45639</v>
      </c>
      <c r="X446" s="1666">
        <v>45094.34</v>
      </c>
      <c r="Y446" s="1699">
        <v>45656</v>
      </c>
      <c r="Z446" s="1666">
        <f t="shared" si="24"/>
        <v>0</v>
      </c>
      <c r="AA446" s="1698"/>
      <c r="AB446" s="801"/>
      <c r="AC446" s="1712"/>
      <c r="AD446" s="1713"/>
      <c r="AE446" s="1714"/>
      <c r="AF446" s="1713"/>
      <c r="AG446" s="1713"/>
      <c r="AH446" s="1713"/>
      <c r="AI446" s="1735"/>
    </row>
    <row r="447" customFormat="1" ht="92" spans="1:35">
      <c r="A447" s="393"/>
      <c r="B447" s="517"/>
      <c r="C447" s="395"/>
      <c r="D447" s="419"/>
      <c r="E447" s="689"/>
      <c r="F447" s="689"/>
      <c r="G447" s="1304"/>
      <c r="H447" s="689"/>
      <c r="I447" s="1533"/>
      <c r="J447" s="1534"/>
      <c r="K447" s="690"/>
      <c r="L447" s="1304"/>
      <c r="M447" s="1581"/>
      <c r="N447" s="1586" t="s">
        <v>5249</v>
      </c>
      <c r="O447" s="1583"/>
      <c r="P447" s="1584"/>
      <c r="Q447" s="1636">
        <f>P446-Q446</f>
        <v>8705.66</v>
      </c>
      <c r="R447" s="1637"/>
      <c r="S447" s="520"/>
      <c r="T447" s="1631"/>
      <c r="U447" s="1667"/>
      <c r="V447" s="1668"/>
      <c r="W447" s="1665"/>
      <c r="X447" s="1668"/>
      <c r="Y447" s="1665"/>
      <c r="Z447" s="1668">
        <f t="shared" si="24"/>
        <v>8705.66</v>
      </c>
      <c r="AA447" s="1698"/>
      <c r="AB447" s="613"/>
      <c r="AC447" s="1709"/>
      <c r="AD447" s="1710"/>
      <c r="AE447" s="1711"/>
      <c r="AF447" s="1710"/>
      <c r="AG447" s="1710"/>
      <c r="AH447" s="1713"/>
      <c r="AI447" s="1735"/>
    </row>
    <row r="448" customFormat="1" ht="92" spans="1:35">
      <c r="A448" s="393"/>
      <c r="B448" s="517"/>
      <c r="C448" s="395"/>
      <c r="D448" s="419"/>
      <c r="E448" s="689"/>
      <c r="F448" s="689"/>
      <c r="G448" s="1304"/>
      <c r="H448" s="689"/>
      <c r="I448" s="1533"/>
      <c r="J448" s="1534"/>
      <c r="K448" s="690"/>
      <c r="L448" s="1304"/>
      <c r="M448" s="1585">
        <v>4</v>
      </c>
      <c r="N448" s="1586" t="s">
        <v>5250</v>
      </c>
      <c r="O448" s="1587">
        <v>0.2</v>
      </c>
      <c r="P448" s="1588">
        <f>K444*O448</f>
        <v>53800</v>
      </c>
      <c r="Q448" s="1638">
        <v>53990</v>
      </c>
      <c r="R448" s="1637" t="s">
        <v>349</v>
      </c>
      <c r="S448" s="520">
        <v>46111</v>
      </c>
      <c r="T448" s="1639"/>
      <c r="U448" s="1667"/>
      <c r="V448" s="1668"/>
      <c r="W448" s="1665"/>
      <c r="X448" s="1668"/>
      <c r="Y448" s="1665"/>
      <c r="Z448" s="1668">
        <f t="shared" si="24"/>
        <v>53990</v>
      </c>
      <c r="AA448" s="1698"/>
      <c r="AB448" s="613"/>
      <c r="AC448" s="1709"/>
      <c r="AD448" s="1710"/>
      <c r="AE448" s="1711"/>
      <c r="AF448" s="1710"/>
      <c r="AG448" s="1710"/>
      <c r="AH448" s="1713"/>
      <c r="AI448" s="1735"/>
    </row>
    <row r="449" customFormat="1" ht="92" spans="1:35">
      <c r="A449" s="798"/>
      <c r="B449" s="799"/>
      <c r="C449" s="1261"/>
      <c r="D449" s="611"/>
      <c r="E449" s="689"/>
      <c r="F449" s="689"/>
      <c r="G449" s="1304"/>
      <c r="H449" s="689"/>
      <c r="I449" s="1533"/>
      <c r="J449" s="1534"/>
      <c r="K449" s="690"/>
      <c r="L449" s="1304"/>
      <c r="M449" s="1585">
        <v>5</v>
      </c>
      <c r="N449" s="1586" t="s">
        <v>5251</v>
      </c>
      <c r="O449" s="1587">
        <v>0.1</v>
      </c>
      <c r="P449" s="1588">
        <f>K444*O449</f>
        <v>26900</v>
      </c>
      <c r="Q449" s="1629"/>
      <c r="R449" s="1917"/>
      <c r="S449" s="1667"/>
      <c r="T449" s="1639"/>
      <c r="U449" s="1667"/>
      <c r="V449" s="1668"/>
      <c r="W449" s="1665"/>
      <c r="X449" s="1668"/>
      <c r="Y449" s="1665"/>
      <c r="Z449" s="1668">
        <f t="shared" si="24"/>
        <v>0</v>
      </c>
      <c r="AA449" s="1698"/>
      <c r="AB449" s="612"/>
      <c r="AC449" s="1709"/>
      <c r="AD449" s="1710"/>
      <c r="AE449" s="1711"/>
      <c r="AF449" s="1710"/>
      <c r="AG449" s="1710"/>
      <c r="AH449" s="1713"/>
      <c r="AI449" s="1735"/>
    </row>
    <row r="450" customFormat="1" ht="107" spans="1:35">
      <c r="A450" s="1252" t="s">
        <v>809</v>
      </c>
      <c r="B450" s="1736">
        <v>44993</v>
      </c>
      <c r="C450" s="1737" t="s">
        <v>1332</v>
      </c>
      <c r="D450" s="1255"/>
      <c r="E450" s="1396" t="s">
        <v>5252</v>
      </c>
      <c r="F450" s="1396" t="s">
        <v>5253</v>
      </c>
      <c r="G450" s="1252" t="s">
        <v>4338</v>
      </c>
      <c r="H450" s="1396" t="s">
        <v>5254</v>
      </c>
      <c r="I450" s="1255"/>
      <c r="J450" s="1827" t="s">
        <v>5255</v>
      </c>
      <c r="K450" s="1298">
        <v>86300</v>
      </c>
      <c r="L450" s="1252" t="s">
        <v>138</v>
      </c>
      <c r="M450" s="1280">
        <v>1</v>
      </c>
      <c r="N450" s="1346" t="s">
        <v>5256</v>
      </c>
      <c r="O450" s="1844">
        <v>0.7</v>
      </c>
      <c r="P450" s="1845">
        <f>K450*O450</f>
        <v>60410</v>
      </c>
      <c r="Q450" s="1918">
        <v>50000</v>
      </c>
      <c r="R450" s="1919" t="s">
        <v>4603</v>
      </c>
      <c r="S450" s="1736">
        <v>45667</v>
      </c>
      <c r="T450" s="1920">
        <v>50000</v>
      </c>
      <c r="U450" s="1736">
        <v>45667</v>
      </c>
      <c r="V450" s="1348">
        <v>50000</v>
      </c>
      <c r="W450" s="1989">
        <v>45671</v>
      </c>
      <c r="X450" s="1421">
        <v>50000</v>
      </c>
      <c r="Y450" s="2019">
        <v>45714</v>
      </c>
      <c r="Z450" s="1348">
        <f t="shared" si="24"/>
        <v>0</v>
      </c>
      <c r="AA450" s="1252"/>
      <c r="AB450" s="1255"/>
      <c r="AC450" s="1438"/>
      <c r="AD450" s="1255"/>
      <c r="AE450" s="1255"/>
      <c r="AF450" s="1255"/>
      <c r="AG450" s="1255"/>
      <c r="AH450" s="1252"/>
      <c r="AI450" s="1252"/>
    </row>
    <row r="451" customFormat="1" ht="46.1" customHeight="1" spans="1:35">
      <c r="A451" s="1252"/>
      <c r="B451" s="1736"/>
      <c r="C451" s="1737"/>
      <c r="D451" s="1255"/>
      <c r="E451" s="1396"/>
      <c r="F451" s="1396"/>
      <c r="G451" s="1252"/>
      <c r="H451" s="1396"/>
      <c r="I451" s="1255"/>
      <c r="J451" s="1827"/>
      <c r="K451" s="1298"/>
      <c r="L451" s="1252"/>
      <c r="M451" s="1846"/>
      <c r="N451" s="1847" t="s">
        <v>5233</v>
      </c>
      <c r="O451" s="1848"/>
      <c r="P451" s="1849"/>
      <c r="Q451" s="1921">
        <f>P450-Q450</f>
        <v>10410</v>
      </c>
      <c r="R451" s="1922"/>
      <c r="S451" s="1923"/>
      <c r="T451" s="1920"/>
      <c r="U451" s="1736"/>
      <c r="V451" s="1348"/>
      <c r="W451" s="1989"/>
      <c r="X451" s="1348"/>
      <c r="Y451" s="2019"/>
      <c r="Z451" s="1348">
        <f t="shared" si="24"/>
        <v>10410</v>
      </c>
      <c r="AA451" s="1252"/>
      <c r="AB451" s="1255"/>
      <c r="AC451" s="1438"/>
      <c r="AD451" s="1255"/>
      <c r="AE451" s="1255"/>
      <c r="AF451" s="1255"/>
      <c r="AG451" s="1255"/>
      <c r="AH451" s="1252"/>
      <c r="AI451" s="1252"/>
    </row>
    <row r="452" customFormat="1" ht="76" spans="1:35">
      <c r="A452" s="1252"/>
      <c r="B452" s="1736"/>
      <c r="C452" s="1737"/>
      <c r="D452" s="1255"/>
      <c r="E452" s="1396"/>
      <c r="F452" s="1396"/>
      <c r="G452" s="1252"/>
      <c r="H452" s="1396"/>
      <c r="I452" s="1255"/>
      <c r="J452" s="1827"/>
      <c r="K452" s="1298"/>
      <c r="L452" s="1252"/>
      <c r="M452" s="1396">
        <v>2</v>
      </c>
      <c r="N452" s="1346" t="s">
        <v>5257</v>
      </c>
      <c r="O452" s="1850">
        <v>0.2</v>
      </c>
      <c r="P452" s="1851">
        <f>K450*O452</f>
        <v>17260</v>
      </c>
      <c r="Q452" s="1921">
        <v>17260</v>
      </c>
      <c r="R452" s="1922" t="s">
        <v>349</v>
      </c>
      <c r="S452" s="1923">
        <v>46111</v>
      </c>
      <c r="T452" s="1920"/>
      <c r="U452" s="1736"/>
      <c r="V452" s="1348"/>
      <c r="W452" s="1989"/>
      <c r="X452" s="1348"/>
      <c r="Y452" s="2019"/>
      <c r="Z452" s="1348">
        <f t="shared" si="24"/>
        <v>17260</v>
      </c>
      <c r="AA452" s="1252"/>
      <c r="AB452" s="1255"/>
      <c r="AC452" s="1438"/>
      <c r="AD452" s="1255"/>
      <c r="AE452" s="1255"/>
      <c r="AF452" s="1255"/>
      <c r="AG452" s="1255"/>
      <c r="AH452" s="1252"/>
      <c r="AI452" s="1252"/>
    </row>
    <row r="453" customFormat="1" ht="76" spans="1:35">
      <c r="A453" s="1252"/>
      <c r="B453" s="1736"/>
      <c r="C453" s="1737"/>
      <c r="D453" s="1255"/>
      <c r="E453" s="1396"/>
      <c r="F453" s="1396"/>
      <c r="G453" s="1252"/>
      <c r="H453" s="1396"/>
      <c r="I453" s="1255"/>
      <c r="J453" s="1827"/>
      <c r="K453" s="1298"/>
      <c r="L453" s="1252"/>
      <c r="M453" s="1396">
        <v>3</v>
      </c>
      <c r="N453" s="1346" t="s">
        <v>5258</v>
      </c>
      <c r="O453" s="1850">
        <v>0.1</v>
      </c>
      <c r="P453" s="1851">
        <f>K450*O453</f>
        <v>8630</v>
      </c>
      <c r="Q453" s="1920"/>
      <c r="R453" s="1396"/>
      <c r="S453" s="1736"/>
      <c r="T453" s="1920"/>
      <c r="U453" s="1736"/>
      <c r="V453" s="1348"/>
      <c r="W453" s="1989"/>
      <c r="X453" s="1348"/>
      <c r="Y453" s="2019"/>
      <c r="Z453" s="1348">
        <f t="shared" si="24"/>
        <v>0</v>
      </c>
      <c r="AA453" s="1252"/>
      <c r="AB453" s="1255"/>
      <c r="AC453" s="1438"/>
      <c r="AD453" s="1255"/>
      <c r="AE453" s="1255"/>
      <c r="AF453" s="1255"/>
      <c r="AG453" s="1255"/>
      <c r="AH453" s="1252"/>
      <c r="AI453" s="1252"/>
    </row>
    <row r="454" s="13" customFormat="1" ht="45" customHeight="1" spans="1:35">
      <c r="A454" s="393" t="s">
        <v>809</v>
      </c>
      <c r="B454" s="517">
        <v>44916</v>
      </c>
      <c r="C454" s="1261" t="s">
        <v>1332</v>
      </c>
      <c r="D454" s="611"/>
      <c r="E454" s="728" t="s">
        <v>5259</v>
      </c>
      <c r="F454" s="728" t="s">
        <v>5260</v>
      </c>
      <c r="G454" s="798" t="s">
        <v>5261</v>
      </c>
      <c r="H454" s="728" t="s">
        <v>5262</v>
      </c>
      <c r="I454" s="798" t="s">
        <v>171</v>
      </c>
      <c r="J454" s="728" t="s">
        <v>997</v>
      </c>
      <c r="K454" s="1303">
        <v>300000</v>
      </c>
      <c r="L454" s="798" t="s">
        <v>138</v>
      </c>
      <c r="M454" s="728">
        <v>1</v>
      </c>
      <c r="N454" s="1852" t="s">
        <v>5263</v>
      </c>
      <c r="O454" s="1853">
        <v>0.6</v>
      </c>
      <c r="P454" s="1854">
        <f>K454*O454</f>
        <v>180000</v>
      </c>
      <c r="Q454" s="1924">
        <v>180000</v>
      </c>
      <c r="R454" s="1917" t="s">
        <v>4603</v>
      </c>
      <c r="S454" s="804">
        <v>45706</v>
      </c>
      <c r="T454" s="1925">
        <v>180000</v>
      </c>
      <c r="U454" s="517">
        <v>45706</v>
      </c>
      <c r="V454" s="570">
        <v>180000</v>
      </c>
      <c r="W454" s="1990">
        <v>45707</v>
      </c>
      <c r="X454" s="570">
        <v>180000</v>
      </c>
      <c r="Y454" s="2020">
        <v>45716</v>
      </c>
      <c r="Z454" s="570">
        <f t="shared" si="24"/>
        <v>0</v>
      </c>
      <c r="AA454" s="393"/>
      <c r="AB454" s="419"/>
      <c r="AC454" s="601"/>
      <c r="AD454" s="419"/>
      <c r="AE454" s="419"/>
      <c r="AF454" s="419"/>
      <c r="AG454" s="419"/>
      <c r="AH454" s="393"/>
      <c r="AI454" s="393"/>
    </row>
    <row r="455" s="13" customFormat="1" ht="45" customHeight="1" spans="1:35">
      <c r="A455" s="393"/>
      <c r="B455" s="517"/>
      <c r="C455" s="1263"/>
      <c r="D455" s="612"/>
      <c r="E455" s="689"/>
      <c r="F455" s="689"/>
      <c r="G455" s="1304"/>
      <c r="H455" s="689"/>
      <c r="I455" s="612"/>
      <c r="J455" s="689"/>
      <c r="K455" s="690"/>
      <c r="L455" s="1304"/>
      <c r="M455" s="418">
        <v>2</v>
      </c>
      <c r="N455" s="1852" t="s">
        <v>5264</v>
      </c>
      <c r="O455" s="1855">
        <v>0.3</v>
      </c>
      <c r="P455" s="1856">
        <f>K454*O455</f>
        <v>90000</v>
      </c>
      <c r="Q455" s="1926">
        <v>90000</v>
      </c>
      <c r="R455" s="1927" t="s">
        <v>5015</v>
      </c>
      <c r="S455" s="908">
        <v>46021</v>
      </c>
      <c r="T455" s="1925"/>
      <c r="U455" s="517"/>
      <c r="V455" s="570"/>
      <c r="W455" s="1991"/>
      <c r="X455" s="570"/>
      <c r="Y455" s="2020"/>
      <c r="Z455" s="570">
        <f t="shared" si="24"/>
        <v>90000</v>
      </c>
      <c r="AA455" s="393"/>
      <c r="AB455" s="419"/>
      <c r="AC455" s="601"/>
      <c r="AD455" s="419"/>
      <c r="AE455" s="419"/>
      <c r="AF455" s="419"/>
      <c r="AG455" s="419"/>
      <c r="AH455" s="393"/>
      <c r="AI455" s="393"/>
    </row>
    <row r="456" s="13" customFormat="1" ht="45" customHeight="1" spans="1:35">
      <c r="A456" s="393"/>
      <c r="B456" s="517"/>
      <c r="C456" s="1738"/>
      <c r="D456" s="613"/>
      <c r="E456" s="691"/>
      <c r="F456" s="691"/>
      <c r="G456" s="801"/>
      <c r="H456" s="691"/>
      <c r="I456" s="613"/>
      <c r="J456" s="691"/>
      <c r="K456" s="692"/>
      <c r="L456" s="801"/>
      <c r="M456" s="418">
        <v>3</v>
      </c>
      <c r="N456" s="1852" t="s">
        <v>5265</v>
      </c>
      <c r="O456" s="1855">
        <v>0.1</v>
      </c>
      <c r="P456" s="1856">
        <f>K454*O456</f>
        <v>30000</v>
      </c>
      <c r="Q456" s="1925"/>
      <c r="R456" s="418"/>
      <c r="S456" s="517"/>
      <c r="T456" s="1925"/>
      <c r="U456" s="517"/>
      <c r="V456" s="570"/>
      <c r="W456" s="1991"/>
      <c r="X456" s="570"/>
      <c r="Y456" s="2020"/>
      <c r="Z456" s="570">
        <f t="shared" si="24"/>
        <v>0</v>
      </c>
      <c r="AA456" s="393"/>
      <c r="AB456" s="419"/>
      <c r="AC456" s="601"/>
      <c r="AD456" s="419"/>
      <c r="AE456" s="419"/>
      <c r="AF456" s="419"/>
      <c r="AG456" s="419"/>
      <c r="AH456" s="393"/>
      <c r="AI456" s="393"/>
    </row>
    <row r="457" s="14" customFormat="1" ht="61" spans="1:35">
      <c r="A457" s="1739" t="s">
        <v>809</v>
      </c>
      <c r="B457" s="1740" t="s">
        <v>5266</v>
      </c>
      <c r="C457" s="1741" t="s">
        <v>5267</v>
      </c>
      <c r="D457" s="1742"/>
      <c r="E457" s="1799" t="s">
        <v>5268</v>
      </c>
      <c r="F457" s="1799" t="s">
        <v>5269</v>
      </c>
      <c r="G457" s="1800" t="s">
        <v>5270</v>
      </c>
      <c r="H457" s="1799" t="s">
        <v>5271</v>
      </c>
      <c r="I457" s="1800" t="s">
        <v>5272</v>
      </c>
      <c r="J457" s="1799" t="s">
        <v>997</v>
      </c>
      <c r="K457" s="1828">
        <v>39000</v>
      </c>
      <c r="L457" s="1800" t="s">
        <v>138</v>
      </c>
      <c r="M457" s="1857">
        <v>1</v>
      </c>
      <c r="N457" s="1858" t="s">
        <v>5273</v>
      </c>
      <c r="O457" s="1859">
        <v>1</v>
      </c>
      <c r="P457" s="1860">
        <v>39000</v>
      </c>
      <c r="Q457" s="1928"/>
      <c r="R457" s="1857"/>
      <c r="S457" s="1929"/>
      <c r="T457" s="1930"/>
      <c r="U457" s="1929"/>
      <c r="V457" s="1860"/>
      <c r="W457" s="1929"/>
      <c r="X457" s="1992"/>
      <c r="Y457" s="1929"/>
      <c r="Z457" s="1992"/>
      <c r="AA457" s="1739"/>
      <c r="AB457" s="1739"/>
      <c r="AC457" s="2037"/>
      <c r="AD457" s="1739"/>
      <c r="AE457" s="1739"/>
      <c r="AF457" s="1739"/>
      <c r="AG457" s="1739"/>
      <c r="AH457" s="1739"/>
      <c r="AI457" s="1739"/>
    </row>
    <row r="458" customFormat="1" ht="92" spans="1:35">
      <c r="A458" s="1743" t="s">
        <v>809</v>
      </c>
      <c r="B458" s="1744">
        <v>44924</v>
      </c>
      <c r="C458" s="1745" t="s">
        <v>1332</v>
      </c>
      <c r="D458" s="1746"/>
      <c r="E458" s="1801" t="s">
        <v>5274</v>
      </c>
      <c r="F458" s="1801" t="s">
        <v>5275</v>
      </c>
      <c r="G458" s="1802" t="s">
        <v>3535</v>
      </c>
      <c r="H458" s="1801" t="s">
        <v>5276</v>
      </c>
      <c r="I458" s="1802" t="s">
        <v>171</v>
      </c>
      <c r="J458" s="1801" t="s">
        <v>997</v>
      </c>
      <c r="K458" s="1829">
        <v>180000</v>
      </c>
      <c r="L458" s="1802" t="s">
        <v>138</v>
      </c>
      <c r="M458" s="1861">
        <v>1</v>
      </c>
      <c r="N458" s="1862" t="s">
        <v>5277</v>
      </c>
      <c r="O458" s="1863">
        <v>0.7</v>
      </c>
      <c r="P458" s="1864">
        <f>K458*O458</f>
        <v>126000</v>
      </c>
      <c r="Q458" s="1931">
        <f>P458-50000</f>
        <v>76000</v>
      </c>
      <c r="R458" s="1861" t="s">
        <v>4603</v>
      </c>
      <c r="S458" s="1932">
        <v>45429</v>
      </c>
      <c r="T458" s="1933">
        <v>76000</v>
      </c>
      <c r="U458" s="1932">
        <v>45429</v>
      </c>
      <c r="V458" s="1864">
        <v>76000</v>
      </c>
      <c r="W458" s="1932">
        <v>45433</v>
      </c>
      <c r="X458" s="1993">
        <v>76000</v>
      </c>
      <c r="Y458" s="1932">
        <v>45442</v>
      </c>
      <c r="Z458" s="1993">
        <f t="shared" ref="Z458:Z465" si="25">Q458-X458</f>
        <v>0</v>
      </c>
      <c r="AA458" s="1743"/>
      <c r="AB458" s="2021"/>
      <c r="AC458" s="2038"/>
      <c r="AD458" s="2021"/>
      <c r="AE458" s="2021"/>
      <c r="AF458" s="2021"/>
      <c r="AG458" s="2021"/>
      <c r="AH458" s="1743"/>
      <c r="AI458" s="1743"/>
    </row>
    <row r="459" customFormat="1" ht="76" spans="1:35">
      <c r="A459" s="1743"/>
      <c r="B459" s="1747"/>
      <c r="C459" s="1748"/>
      <c r="D459" s="1742"/>
      <c r="E459" s="1803"/>
      <c r="F459" s="1803"/>
      <c r="G459" s="1804"/>
      <c r="H459" s="1803"/>
      <c r="I459" s="1742"/>
      <c r="J459" s="1803"/>
      <c r="K459" s="1830"/>
      <c r="L459" s="1804"/>
      <c r="M459" s="1861">
        <v>2</v>
      </c>
      <c r="N459" s="1862" t="s">
        <v>5278</v>
      </c>
      <c r="O459" s="1863">
        <v>0.2</v>
      </c>
      <c r="P459" s="1864">
        <f>K458*O459</f>
        <v>36000</v>
      </c>
      <c r="Q459" s="1931">
        <v>17000</v>
      </c>
      <c r="R459" s="1861" t="s">
        <v>4603</v>
      </c>
      <c r="S459" s="1932">
        <v>45429</v>
      </c>
      <c r="T459" s="1933">
        <v>17000</v>
      </c>
      <c r="U459" s="1932">
        <v>45429</v>
      </c>
      <c r="V459" s="1864">
        <v>17000</v>
      </c>
      <c r="W459" s="1932">
        <v>45433</v>
      </c>
      <c r="X459" s="1993">
        <v>17000</v>
      </c>
      <c r="Y459" s="1932">
        <v>45442</v>
      </c>
      <c r="Z459" s="1993">
        <f t="shared" si="25"/>
        <v>0</v>
      </c>
      <c r="AA459" s="1743"/>
      <c r="AB459" s="2021"/>
      <c r="AC459" s="2038"/>
      <c r="AD459" s="2021"/>
      <c r="AE459" s="2021"/>
      <c r="AF459" s="2021"/>
      <c r="AG459" s="2021"/>
      <c r="AH459" s="1743"/>
      <c r="AI459" s="1743"/>
    </row>
    <row r="460" customFormat="1" ht="48.75" customHeight="1" spans="1:35">
      <c r="A460" s="1743"/>
      <c r="B460" s="1749"/>
      <c r="C460" s="1750"/>
      <c r="D460" s="1751"/>
      <c r="E460" s="1805"/>
      <c r="F460" s="1805"/>
      <c r="G460" s="1806"/>
      <c r="H460" s="1805"/>
      <c r="I460" s="1751"/>
      <c r="J460" s="1805"/>
      <c r="K460" s="1831"/>
      <c r="L460" s="1806"/>
      <c r="M460" s="1861">
        <v>3</v>
      </c>
      <c r="N460" s="1862" t="s">
        <v>5279</v>
      </c>
      <c r="O460" s="1863">
        <v>0.1</v>
      </c>
      <c r="P460" s="1864">
        <f>K458*O460</f>
        <v>18000</v>
      </c>
      <c r="Q460" s="1934"/>
      <c r="R460" s="1935"/>
      <c r="S460" s="1936"/>
      <c r="T460" s="1933"/>
      <c r="U460" s="1932"/>
      <c r="V460" s="1993"/>
      <c r="W460" s="1994"/>
      <c r="X460" s="1993"/>
      <c r="Y460" s="2022"/>
      <c r="Z460" s="1993">
        <f t="shared" si="25"/>
        <v>0</v>
      </c>
      <c r="AA460" s="1743"/>
      <c r="AB460" s="2021"/>
      <c r="AC460" s="2038"/>
      <c r="AD460" s="2021"/>
      <c r="AE460" s="2021"/>
      <c r="AF460" s="2021"/>
      <c r="AG460" s="2021"/>
      <c r="AH460" s="1743"/>
      <c r="AI460" s="1743"/>
    </row>
    <row r="461" customFormat="1" ht="107" spans="1:35">
      <c r="A461" s="1752" t="s">
        <v>809</v>
      </c>
      <c r="B461" s="1753">
        <v>45013</v>
      </c>
      <c r="C461" s="1754" t="s">
        <v>1332</v>
      </c>
      <c r="D461" s="1755"/>
      <c r="E461" s="1807" t="s">
        <v>5280</v>
      </c>
      <c r="F461" s="1807" t="s">
        <v>5281</v>
      </c>
      <c r="G461" s="1808" t="s">
        <v>3469</v>
      </c>
      <c r="H461" s="1807" t="s">
        <v>4783</v>
      </c>
      <c r="I461" s="1755"/>
      <c r="J461" s="1807" t="s">
        <v>5282</v>
      </c>
      <c r="K461" s="1832">
        <v>270497.47</v>
      </c>
      <c r="L461" s="1808" t="s">
        <v>138</v>
      </c>
      <c r="M461" s="1807">
        <v>1</v>
      </c>
      <c r="N461" s="1865" t="s">
        <v>5283</v>
      </c>
      <c r="O461" s="1866">
        <v>0.7</v>
      </c>
      <c r="P461" s="1867">
        <v>100000</v>
      </c>
      <c r="Q461" s="1937">
        <f>P461</f>
        <v>100000</v>
      </c>
      <c r="R461" s="1938" t="s">
        <v>4603</v>
      </c>
      <c r="S461" s="1938">
        <v>45666</v>
      </c>
      <c r="T461" s="1939">
        <v>100000</v>
      </c>
      <c r="U461" s="1938">
        <v>45666</v>
      </c>
      <c r="V461" s="1995">
        <v>100000</v>
      </c>
      <c r="W461" s="1996">
        <v>45673</v>
      </c>
      <c r="X461" s="1995">
        <v>100000</v>
      </c>
      <c r="Y461" s="1996">
        <v>45684</v>
      </c>
      <c r="Z461" s="1995">
        <f t="shared" si="25"/>
        <v>0</v>
      </c>
      <c r="AA461" s="1752"/>
      <c r="AB461" s="2023"/>
      <c r="AC461" s="2039"/>
      <c r="AD461" s="2023"/>
      <c r="AE461" s="2023"/>
      <c r="AF461" s="2023"/>
      <c r="AG461" s="2023"/>
      <c r="AH461" s="1752"/>
      <c r="AI461" s="1752"/>
    </row>
    <row r="462" customFormat="1" ht="48.9" customHeight="1" spans="1:35">
      <c r="A462" s="1752"/>
      <c r="B462" s="1756"/>
      <c r="C462" s="1757"/>
      <c r="D462" s="1758"/>
      <c r="E462" s="1809"/>
      <c r="F462" s="1809"/>
      <c r="G462" s="1810"/>
      <c r="H462" s="1809"/>
      <c r="I462" s="1758"/>
      <c r="J462" s="1809"/>
      <c r="K462" s="1833"/>
      <c r="L462" s="1810"/>
      <c r="M462" s="1809"/>
      <c r="N462" s="1868" t="s">
        <v>5284</v>
      </c>
      <c r="O462" s="1866"/>
      <c r="P462" s="1867">
        <f>K461*O461-P463-P461</f>
        <v>16344.659</v>
      </c>
      <c r="Q462" s="1940">
        <f>P462</f>
        <v>16344.659</v>
      </c>
      <c r="R462" s="1941"/>
      <c r="S462" s="1941"/>
      <c r="T462" s="1939"/>
      <c r="U462" s="1938"/>
      <c r="V462" s="1995"/>
      <c r="W462" s="1996"/>
      <c r="X462" s="1995"/>
      <c r="Y462" s="1996"/>
      <c r="Z462" s="1995">
        <f t="shared" si="25"/>
        <v>16344.659</v>
      </c>
      <c r="AA462" s="1752"/>
      <c r="AB462" s="2023"/>
      <c r="AC462" s="2039"/>
      <c r="AD462" s="2023"/>
      <c r="AE462" s="2023"/>
      <c r="AF462" s="2023"/>
      <c r="AG462" s="2023"/>
      <c r="AH462" s="1752"/>
      <c r="AI462" s="1752"/>
    </row>
    <row r="463" customFormat="1" ht="43.5" customHeight="1" spans="1:35">
      <c r="A463" s="1752"/>
      <c r="B463" s="1756"/>
      <c r="C463" s="1757"/>
      <c r="D463" s="1758"/>
      <c r="E463" s="1809"/>
      <c r="F463" s="1809"/>
      <c r="G463" s="1810"/>
      <c r="H463" s="1809"/>
      <c r="I463" s="1758"/>
      <c r="J463" s="1809"/>
      <c r="K463" s="1833"/>
      <c r="L463" s="1810"/>
      <c r="M463" s="1811"/>
      <c r="N463" s="1869" t="s">
        <v>5285</v>
      </c>
      <c r="O463" s="1866"/>
      <c r="P463" s="1867">
        <v>73003.57</v>
      </c>
      <c r="Q463" s="1939">
        <v>73003.57</v>
      </c>
      <c r="R463" s="1869" t="s">
        <v>4603</v>
      </c>
      <c r="S463" s="1938">
        <v>45358</v>
      </c>
      <c r="T463" s="1939">
        <v>73003.57</v>
      </c>
      <c r="U463" s="1938">
        <v>45358</v>
      </c>
      <c r="V463" s="1995">
        <v>73003.57</v>
      </c>
      <c r="W463" s="1996">
        <v>45366</v>
      </c>
      <c r="X463" s="1867">
        <v>73003.57</v>
      </c>
      <c r="Y463" s="1996">
        <v>45442</v>
      </c>
      <c r="Z463" s="1995">
        <f t="shared" si="25"/>
        <v>0</v>
      </c>
      <c r="AA463" s="1752"/>
      <c r="AB463" s="2023"/>
      <c r="AC463" s="2039"/>
      <c r="AD463" s="2023"/>
      <c r="AE463" s="2023"/>
      <c r="AF463" s="2023"/>
      <c r="AG463" s="2023"/>
      <c r="AH463" s="1752"/>
      <c r="AI463" s="1752"/>
    </row>
    <row r="464" customFormat="1" ht="76" spans="1:35">
      <c r="A464" s="1752"/>
      <c r="B464" s="1756"/>
      <c r="C464" s="1757"/>
      <c r="D464" s="1758"/>
      <c r="E464" s="1809"/>
      <c r="F464" s="1809"/>
      <c r="G464" s="1810"/>
      <c r="H464" s="1809"/>
      <c r="I464" s="1758"/>
      <c r="J464" s="1809"/>
      <c r="K464" s="1833"/>
      <c r="L464" s="1810"/>
      <c r="M464" s="1869">
        <v>2</v>
      </c>
      <c r="N464" s="1865" t="s">
        <v>5257</v>
      </c>
      <c r="O464" s="1866">
        <v>0.2</v>
      </c>
      <c r="P464" s="1867">
        <f>K461*O464</f>
        <v>54099.494</v>
      </c>
      <c r="Q464" s="1942">
        <v>54099.49</v>
      </c>
      <c r="R464" s="1941" t="s">
        <v>349</v>
      </c>
      <c r="S464" s="1941">
        <v>46111</v>
      </c>
      <c r="T464" s="1939"/>
      <c r="U464" s="1938"/>
      <c r="V464" s="1995"/>
      <c r="W464" s="1996"/>
      <c r="X464" s="1995"/>
      <c r="Y464" s="1996"/>
      <c r="Z464" s="1995">
        <f t="shared" si="25"/>
        <v>54099.49</v>
      </c>
      <c r="AA464" s="1752"/>
      <c r="AB464" s="2023"/>
      <c r="AC464" s="2039"/>
      <c r="AD464" s="2023"/>
      <c r="AE464" s="2023"/>
      <c r="AF464" s="2023"/>
      <c r="AG464" s="2023"/>
      <c r="AH464" s="1752"/>
      <c r="AI464" s="1752"/>
    </row>
    <row r="465" customFormat="1" ht="76" spans="1:35">
      <c r="A465" s="1752"/>
      <c r="B465" s="1759"/>
      <c r="C465" s="1760"/>
      <c r="D465" s="1761"/>
      <c r="E465" s="1811"/>
      <c r="F465" s="1811"/>
      <c r="G465" s="1812"/>
      <c r="H465" s="1811"/>
      <c r="I465" s="1761"/>
      <c r="J465" s="1811"/>
      <c r="K465" s="1834"/>
      <c r="L465" s="1812"/>
      <c r="M465" s="1869">
        <v>3</v>
      </c>
      <c r="N465" s="1865" t="s">
        <v>5258</v>
      </c>
      <c r="O465" s="1866">
        <v>0.1</v>
      </c>
      <c r="P465" s="1867">
        <f>K461*O465</f>
        <v>27049.747</v>
      </c>
      <c r="Q465" s="1939"/>
      <c r="R465" s="1869"/>
      <c r="S465" s="1938"/>
      <c r="T465" s="1939"/>
      <c r="U465" s="1938"/>
      <c r="V465" s="1995"/>
      <c r="W465" s="1996"/>
      <c r="X465" s="1995"/>
      <c r="Y465" s="1996"/>
      <c r="Z465" s="1995">
        <f t="shared" si="25"/>
        <v>0</v>
      </c>
      <c r="AA465" s="1752"/>
      <c r="AB465" s="2023"/>
      <c r="AC465" s="2039"/>
      <c r="AD465" s="2023"/>
      <c r="AE465" s="2023"/>
      <c r="AF465" s="2023"/>
      <c r="AG465" s="2023"/>
      <c r="AH465" s="1752"/>
      <c r="AI465" s="1752"/>
    </row>
    <row r="466" customFormat="1" ht="40.5" customHeight="1" spans="1:35">
      <c r="A466" s="1454" t="s">
        <v>809</v>
      </c>
      <c r="B466" s="1762">
        <v>45496</v>
      </c>
      <c r="C466" s="1456" t="s">
        <v>5286</v>
      </c>
      <c r="D466" s="1763"/>
      <c r="E466" s="1485" t="s">
        <v>5287</v>
      </c>
      <c r="F466" s="1485" t="s">
        <v>5288</v>
      </c>
      <c r="G466" s="1512" t="s">
        <v>3469</v>
      </c>
      <c r="H466" s="1485" t="s">
        <v>4783</v>
      </c>
      <c r="I466" s="1511"/>
      <c r="J466" s="1835" t="s">
        <v>997</v>
      </c>
      <c r="K466" s="1511">
        <v>280000</v>
      </c>
      <c r="L466" s="1512" t="s">
        <v>138</v>
      </c>
      <c r="M466" s="1547">
        <v>1</v>
      </c>
      <c r="N466" s="1870" t="s">
        <v>5289</v>
      </c>
      <c r="O466" s="1871">
        <v>0.6</v>
      </c>
      <c r="P466" s="1872">
        <f>K466*O466</f>
        <v>168000</v>
      </c>
      <c r="Q466" s="1926">
        <v>168000</v>
      </c>
      <c r="R466" s="1943" t="s">
        <v>5015</v>
      </c>
      <c r="S466" s="1944">
        <v>46021</v>
      </c>
      <c r="T466" s="1945"/>
      <c r="U466" s="1997"/>
      <c r="V466" s="1549"/>
      <c r="W466" s="1998"/>
      <c r="X466" s="1549"/>
      <c r="Y466" s="1998"/>
      <c r="Z466" s="1549"/>
      <c r="AA466" s="1454"/>
      <c r="AB466" s="1457"/>
      <c r="AC466" s="1674"/>
      <c r="AD466" s="1457"/>
      <c r="AE466" s="1457"/>
      <c r="AF466" s="1457"/>
      <c r="AG466" s="1457"/>
      <c r="AH466" s="1454"/>
      <c r="AI466" s="1454"/>
    </row>
    <row r="467" customFormat="1" ht="40.5" customHeight="1" spans="1:35">
      <c r="A467" s="1454"/>
      <c r="B467" s="1764"/>
      <c r="C467" s="1765"/>
      <c r="D467" s="1763"/>
      <c r="E467" s="1813"/>
      <c r="F467" s="1813"/>
      <c r="G467" s="1814"/>
      <c r="H467" s="1813"/>
      <c r="I467" s="1513"/>
      <c r="J467" s="1513"/>
      <c r="K467" s="1513"/>
      <c r="L467" s="1814"/>
      <c r="M467" s="1547">
        <v>2</v>
      </c>
      <c r="N467" s="1870" t="s">
        <v>5290</v>
      </c>
      <c r="O467" s="1871">
        <v>0.3</v>
      </c>
      <c r="P467" s="1872">
        <f>K466*O467</f>
        <v>84000</v>
      </c>
      <c r="Q467" s="1946"/>
      <c r="R467" s="1943"/>
      <c r="S467" s="1944"/>
      <c r="T467" s="1945"/>
      <c r="U467" s="1997"/>
      <c r="V467" s="1549"/>
      <c r="W467" s="1998"/>
      <c r="X467" s="1549"/>
      <c r="Y467" s="1998"/>
      <c r="Z467" s="1549"/>
      <c r="AA467" s="1454"/>
      <c r="AB467" s="1457"/>
      <c r="AC467" s="1674"/>
      <c r="AD467" s="1457"/>
      <c r="AE467" s="1457"/>
      <c r="AF467" s="1457"/>
      <c r="AG467" s="1457"/>
      <c r="AH467" s="1454"/>
      <c r="AI467" s="1454"/>
    </row>
    <row r="468" customFormat="1" ht="40.5" customHeight="1" spans="1:35">
      <c r="A468" s="1454"/>
      <c r="B468" s="1766"/>
      <c r="C468" s="1767"/>
      <c r="D468" s="1763"/>
      <c r="E468" s="1815"/>
      <c r="F468" s="1815"/>
      <c r="G468" s="1816"/>
      <c r="H468" s="1815"/>
      <c r="I468" s="1515"/>
      <c r="J468" s="1515"/>
      <c r="K468" s="1515"/>
      <c r="L468" s="1816"/>
      <c r="M468" s="1547">
        <v>3</v>
      </c>
      <c r="N468" s="1870" t="s">
        <v>5291</v>
      </c>
      <c r="O468" s="1871">
        <v>0.1</v>
      </c>
      <c r="P468" s="1872">
        <f>K466*O468</f>
        <v>28000</v>
      </c>
      <c r="Q468" s="1946"/>
      <c r="R468" s="1943"/>
      <c r="S468" s="1944"/>
      <c r="T468" s="1945"/>
      <c r="U468" s="1997"/>
      <c r="V468" s="1549"/>
      <c r="W468" s="1998"/>
      <c r="X468" s="1549"/>
      <c r="Y468" s="1998"/>
      <c r="Z468" s="1549"/>
      <c r="AA468" s="1454"/>
      <c r="AB468" s="1457"/>
      <c r="AC468" s="1674"/>
      <c r="AD468" s="1457"/>
      <c r="AE468" s="1457"/>
      <c r="AF468" s="1457"/>
      <c r="AG468" s="1457"/>
      <c r="AH468" s="1454"/>
      <c r="AI468" s="1454"/>
    </row>
    <row r="469" s="15" customFormat="1" ht="40.5" customHeight="1" spans="1:35">
      <c r="A469" s="1768" t="s">
        <v>809</v>
      </c>
      <c r="B469" s="1769">
        <v>45671</v>
      </c>
      <c r="C469" s="1770" t="s">
        <v>5286</v>
      </c>
      <c r="D469" s="1763"/>
      <c r="E469" s="1817" t="s">
        <v>5292</v>
      </c>
      <c r="F469" s="1817" t="s">
        <v>5293</v>
      </c>
      <c r="G469" s="1771" t="s">
        <v>4338</v>
      </c>
      <c r="H469" s="1817" t="s">
        <v>5294</v>
      </c>
      <c r="I469" s="1836"/>
      <c r="J469" s="1837" t="s">
        <v>997</v>
      </c>
      <c r="K469" s="1836">
        <v>60000</v>
      </c>
      <c r="L469" s="1771" t="s">
        <v>5238</v>
      </c>
      <c r="M469" s="1499">
        <v>1</v>
      </c>
      <c r="N469" s="1578" t="s">
        <v>5295</v>
      </c>
      <c r="O469" s="1873">
        <v>0.3</v>
      </c>
      <c r="P469" s="1874">
        <f>K469*O469</f>
        <v>18000</v>
      </c>
      <c r="Q469" s="1947">
        <v>18000</v>
      </c>
      <c r="R469" s="1499" t="s">
        <v>4603</v>
      </c>
      <c r="S469" s="1948">
        <v>45882</v>
      </c>
      <c r="T469" s="1949">
        <v>18000</v>
      </c>
      <c r="U469" s="1948">
        <v>45882</v>
      </c>
      <c r="V469" s="1580">
        <v>18000</v>
      </c>
      <c r="W469" s="1948">
        <v>45883</v>
      </c>
      <c r="X469" s="1999">
        <v>18000</v>
      </c>
      <c r="Y469" s="2024">
        <v>45930</v>
      </c>
      <c r="Z469" s="1580"/>
      <c r="AA469" s="294"/>
      <c r="AB469" s="339"/>
      <c r="AC469" s="1705"/>
      <c r="AD469" s="339"/>
      <c r="AE469" s="339"/>
      <c r="AF469" s="339"/>
      <c r="AG469" s="339"/>
      <c r="AH469" s="294"/>
      <c r="AI469" s="294"/>
    </row>
    <row r="470" s="15" customFormat="1" ht="40.5" customHeight="1" spans="1:35">
      <c r="A470" s="1771"/>
      <c r="B470" s="1769"/>
      <c r="C470" s="1770"/>
      <c r="D470" s="1763"/>
      <c r="E470" s="1817"/>
      <c r="F470" s="1817"/>
      <c r="G470" s="1771"/>
      <c r="H470" s="1817"/>
      <c r="I470" s="1836"/>
      <c r="J470" s="1836"/>
      <c r="K470" s="1836"/>
      <c r="L470" s="1771"/>
      <c r="M470" s="1499">
        <v>2</v>
      </c>
      <c r="N470" s="1578" t="s">
        <v>5296</v>
      </c>
      <c r="O470" s="1873">
        <v>0.4</v>
      </c>
      <c r="P470" s="1874">
        <f>K469*O470</f>
        <v>24000</v>
      </c>
      <c r="Q470" s="1947">
        <v>24000</v>
      </c>
      <c r="R470" s="1499" t="s">
        <v>4603</v>
      </c>
      <c r="S470" s="1948">
        <v>45882</v>
      </c>
      <c r="T470" s="1949">
        <v>24000</v>
      </c>
      <c r="U470" s="1948">
        <v>45882</v>
      </c>
      <c r="V470" s="1580">
        <v>24000</v>
      </c>
      <c r="W470" s="1948">
        <v>45883</v>
      </c>
      <c r="X470" s="1999">
        <v>24000</v>
      </c>
      <c r="Y470" s="2024">
        <v>45930</v>
      </c>
      <c r="Z470" s="1580"/>
      <c r="AA470" s="294"/>
      <c r="AB470" s="339"/>
      <c r="AC470" s="1705"/>
      <c r="AD470" s="339"/>
      <c r="AE470" s="339"/>
      <c r="AF470" s="339"/>
      <c r="AG470" s="339"/>
      <c r="AH470" s="294"/>
      <c r="AI470" s="294"/>
    </row>
    <row r="471" s="15" customFormat="1" ht="40.5" customHeight="1" spans="1:35">
      <c r="A471" s="1771"/>
      <c r="B471" s="1769"/>
      <c r="C471" s="1770"/>
      <c r="D471" s="1763"/>
      <c r="E471" s="1817"/>
      <c r="F471" s="1817"/>
      <c r="G471" s="1771"/>
      <c r="H471" s="1817"/>
      <c r="I471" s="1836"/>
      <c r="J471" s="1836"/>
      <c r="K471" s="1836"/>
      <c r="L471" s="1771"/>
      <c r="M471" s="1499">
        <v>3</v>
      </c>
      <c r="N471" s="1578" t="s">
        <v>881</v>
      </c>
      <c r="O471" s="1873">
        <v>0.2</v>
      </c>
      <c r="P471" s="1874">
        <f>K469*O471</f>
        <v>12000</v>
      </c>
      <c r="Q471" s="1950"/>
      <c r="R471" s="1951"/>
      <c r="S471" s="1952"/>
      <c r="T471" s="1949"/>
      <c r="U471" s="2000"/>
      <c r="V471" s="1580"/>
      <c r="W471" s="542"/>
      <c r="X471" s="1580"/>
      <c r="Y471" s="542"/>
      <c r="Z471" s="1580"/>
      <c r="AA471" s="294"/>
      <c r="AB471" s="339"/>
      <c r="AC471" s="1705"/>
      <c r="AD471" s="339"/>
      <c r="AE471" s="339"/>
      <c r="AF471" s="339"/>
      <c r="AG471" s="339"/>
      <c r="AH471" s="294"/>
      <c r="AI471" s="294"/>
    </row>
    <row r="472" s="15" customFormat="1" ht="40.5" customHeight="1" spans="1:35">
      <c r="A472" s="1772"/>
      <c r="B472" s="1769"/>
      <c r="C472" s="1770"/>
      <c r="D472" s="1763"/>
      <c r="E472" s="1817"/>
      <c r="F472" s="1817"/>
      <c r="G472" s="1771"/>
      <c r="H472" s="1817"/>
      <c r="I472" s="1836"/>
      <c r="J472" s="1836"/>
      <c r="K472" s="1836"/>
      <c r="L472" s="1771"/>
      <c r="M472" s="1499">
        <v>4</v>
      </c>
      <c r="N472" s="1578" t="s">
        <v>882</v>
      </c>
      <c r="O472" s="1873">
        <v>0.1</v>
      </c>
      <c r="P472" s="1874">
        <f>K469*O472</f>
        <v>6000</v>
      </c>
      <c r="Q472" s="1950"/>
      <c r="R472" s="1951"/>
      <c r="S472" s="1952"/>
      <c r="T472" s="1949"/>
      <c r="U472" s="2000"/>
      <c r="V472" s="1580"/>
      <c r="W472" s="542"/>
      <c r="X472" s="1580"/>
      <c r="Y472" s="542"/>
      <c r="Z472" s="1580"/>
      <c r="AA472" s="294"/>
      <c r="AB472" s="339"/>
      <c r="AC472" s="1705"/>
      <c r="AD472" s="339"/>
      <c r="AE472" s="339"/>
      <c r="AF472" s="339"/>
      <c r="AG472" s="339"/>
      <c r="AH472" s="294"/>
      <c r="AI472" s="294"/>
    </row>
    <row r="473" customFormat="1" ht="40.5" customHeight="1" spans="1:35">
      <c r="A473" s="1773" t="s">
        <v>809</v>
      </c>
      <c r="B473" s="1774">
        <v>45006</v>
      </c>
      <c r="C473" s="1775" t="s">
        <v>1332</v>
      </c>
      <c r="D473" s="1776"/>
      <c r="E473" s="1818" t="s">
        <v>5297</v>
      </c>
      <c r="F473" s="1818" t="s">
        <v>5298</v>
      </c>
      <c r="G473" s="1819" t="s">
        <v>432</v>
      </c>
      <c r="H473" s="1818" t="s">
        <v>4871</v>
      </c>
      <c r="I473" s="1776"/>
      <c r="J473" s="1818" t="s">
        <v>997</v>
      </c>
      <c r="K473" s="1838">
        <v>430000</v>
      </c>
      <c r="L473" s="1819" t="s">
        <v>138</v>
      </c>
      <c r="M473" s="1875">
        <v>1</v>
      </c>
      <c r="N473" s="1876" t="s">
        <v>5299</v>
      </c>
      <c r="O473" s="1877">
        <v>0.7</v>
      </c>
      <c r="P473" s="1878"/>
      <c r="Q473" s="1953"/>
      <c r="R473" s="1954"/>
      <c r="S473" s="1955"/>
      <c r="T473" s="1956"/>
      <c r="U473" s="1958"/>
      <c r="V473" s="2001"/>
      <c r="W473" s="2002"/>
      <c r="X473" s="2001"/>
      <c r="Y473" s="2002"/>
      <c r="Z473" s="2001">
        <f>Q473-X473</f>
        <v>0</v>
      </c>
      <c r="AA473" s="1773"/>
      <c r="AB473" s="2025"/>
      <c r="AC473" s="2040"/>
      <c r="AD473" s="2025"/>
      <c r="AE473" s="2025"/>
      <c r="AF473" s="2025"/>
      <c r="AG473" s="2025"/>
      <c r="AH473" s="1773"/>
      <c r="AI473" s="1773"/>
    </row>
    <row r="474" customFormat="1" ht="40.5" customHeight="1" spans="1:35">
      <c r="A474" s="1773"/>
      <c r="B474" s="1777"/>
      <c r="C474" s="1778"/>
      <c r="D474" s="1763"/>
      <c r="E474" s="1820"/>
      <c r="F474" s="1820"/>
      <c r="G474" s="1821"/>
      <c r="H474" s="1820"/>
      <c r="I474" s="1763"/>
      <c r="J474" s="1820"/>
      <c r="K474" s="1839"/>
      <c r="L474" s="1821"/>
      <c r="M474" s="1875"/>
      <c r="N474" s="1879" t="s">
        <v>5300</v>
      </c>
      <c r="O474" s="1880"/>
      <c r="P474" s="1878">
        <f>80000*0.7</f>
        <v>56000</v>
      </c>
      <c r="Q474" s="1957">
        <v>56000</v>
      </c>
      <c r="R474" s="1875" t="s">
        <v>4603</v>
      </c>
      <c r="S474" s="1958">
        <v>45299</v>
      </c>
      <c r="T474" s="1956">
        <v>56000</v>
      </c>
      <c r="U474" s="1958">
        <v>45299</v>
      </c>
      <c r="V474" s="2001">
        <v>56000</v>
      </c>
      <c r="W474" s="2003">
        <v>45299</v>
      </c>
      <c r="X474" s="2001">
        <v>56000</v>
      </c>
      <c r="Y474" s="2003">
        <v>45345</v>
      </c>
      <c r="Z474" s="2001">
        <f>Q474-X474</f>
        <v>0</v>
      </c>
      <c r="AA474" s="1773"/>
      <c r="AB474" s="2025"/>
      <c r="AC474" s="2040"/>
      <c r="AD474" s="2025"/>
      <c r="AE474" s="2025"/>
      <c r="AF474" s="2025"/>
      <c r="AG474" s="2025"/>
      <c r="AH474" s="1773"/>
      <c r="AI474" s="1773"/>
    </row>
    <row r="475" customFormat="1" ht="40.5" customHeight="1" spans="1:35">
      <c r="A475" s="1773"/>
      <c r="B475" s="1777"/>
      <c r="C475" s="1778"/>
      <c r="D475" s="1763"/>
      <c r="E475" s="1820"/>
      <c r="F475" s="1820"/>
      <c r="G475" s="1821"/>
      <c r="H475" s="1820"/>
      <c r="I475" s="1763"/>
      <c r="J475" s="1820"/>
      <c r="K475" s="1839"/>
      <c r="L475" s="1821"/>
      <c r="M475" s="1875"/>
      <c r="N475" s="1879" t="s">
        <v>5301</v>
      </c>
      <c r="O475" s="1880"/>
      <c r="P475" s="1881">
        <f>270000*0.7</f>
        <v>189000</v>
      </c>
      <c r="Q475" s="1959">
        <v>189000</v>
      </c>
      <c r="R475" s="1818" t="s">
        <v>4603</v>
      </c>
      <c r="S475" s="1774">
        <v>45667</v>
      </c>
      <c r="T475" s="1960">
        <f>Q475</f>
        <v>189000</v>
      </c>
      <c r="U475" s="1774">
        <v>45667</v>
      </c>
      <c r="V475" s="2001">
        <v>100000</v>
      </c>
      <c r="W475" s="2004">
        <v>45674</v>
      </c>
      <c r="X475" s="2005">
        <v>100000</v>
      </c>
      <c r="Y475" s="1958">
        <v>45681</v>
      </c>
      <c r="Z475" s="2001">
        <f>Q475-X475</f>
        <v>89000</v>
      </c>
      <c r="AA475" s="1773"/>
      <c r="AB475" s="2025"/>
      <c r="AC475" s="2040"/>
      <c r="AD475" s="2025"/>
      <c r="AE475" s="2025"/>
      <c r="AF475" s="2025"/>
      <c r="AG475" s="2025"/>
      <c r="AH475" s="1773"/>
      <c r="AI475" s="1773"/>
    </row>
    <row r="476" customFormat="1" ht="40.5" customHeight="1" spans="1:35">
      <c r="A476" s="1773"/>
      <c r="B476" s="1777"/>
      <c r="C476" s="1778"/>
      <c r="D476" s="1763"/>
      <c r="E476" s="1820"/>
      <c r="F476" s="1820"/>
      <c r="G476" s="1821"/>
      <c r="H476" s="1820"/>
      <c r="I476" s="1763"/>
      <c r="J476" s="1820"/>
      <c r="K476" s="1839"/>
      <c r="L476" s="1821"/>
      <c r="M476" s="1875"/>
      <c r="N476" s="1876"/>
      <c r="O476" s="1880"/>
      <c r="P476" s="1882"/>
      <c r="Q476" s="1961"/>
      <c r="R476" s="1822"/>
      <c r="S476" s="1779"/>
      <c r="T476" s="1962"/>
      <c r="U476" s="1779"/>
      <c r="V476" s="2001">
        <v>89000</v>
      </c>
      <c r="W476" s="2004">
        <v>45729</v>
      </c>
      <c r="X476" s="2006">
        <v>89000</v>
      </c>
      <c r="Y476" s="2003">
        <v>45744</v>
      </c>
      <c r="Z476" s="2001">
        <f>Q475-X475-X476</f>
        <v>0</v>
      </c>
      <c r="AA476" s="1773"/>
      <c r="AB476" s="2025"/>
      <c r="AC476" s="2040"/>
      <c r="AD476" s="2025"/>
      <c r="AE476" s="2025"/>
      <c r="AF476" s="2025"/>
      <c r="AG476" s="2025"/>
      <c r="AH476" s="1773"/>
      <c r="AI476" s="1773"/>
    </row>
    <row r="477" customFormat="1" ht="40.5" customHeight="1" spans="1:35">
      <c r="A477" s="1773"/>
      <c r="B477" s="1777"/>
      <c r="C477" s="1778"/>
      <c r="D477" s="1763"/>
      <c r="E477" s="1820"/>
      <c r="F477" s="1820"/>
      <c r="G477" s="1821"/>
      <c r="H477" s="1820"/>
      <c r="I477" s="1763"/>
      <c r="J477" s="1820"/>
      <c r="K477" s="1839"/>
      <c r="L477" s="1821"/>
      <c r="M477" s="1875">
        <v>2</v>
      </c>
      <c r="N477" s="1876" t="s">
        <v>5302</v>
      </c>
      <c r="O477" s="1880"/>
      <c r="P477" s="1878"/>
      <c r="Q477" s="1956"/>
      <c r="R477" s="1875"/>
      <c r="S477" s="1958"/>
      <c r="T477" s="1956"/>
      <c r="U477" s="1958"/>
      <c r="V477" s="2001"/>
      <c r="W477" s="2002"/>
      <c r="X477" s="2001"/>
      <c r="Y477" s="2002"/>
      <c r="Z477" s="2001">
        <f>Q477-X477</f>
        <v>0</v>
      </c>
      <c r="AA477" s="1773"/>
      <c r="AB477" s="2025"/>
      <c r="AC477" s="2040"/>
      <c r="AD477" s="2025"/>
      <c r="AE477" s="2025"/>
      <c r="AF477" s="2025"/>
      <c r="AG477" s="2025"/>
      <c r="AH477" s="1773"/>
      <c r="AI477" s="1773"/>
    </row>
    <row r="478" customFormat="1" ht="40.5" customHeight="1" spans="1:35">
      <c r="A478" s="1773"/>
      <c r="B478" s="1777"/>
      <c r="C478" s="1778"/>
      <c r="D478" s="1763"/>
      <c r="E478" s="1820"/>
      <c r="F478" s="1820"/>
      <c r="G478" s="1821"/>
      <c r="H478" s="1820"/>
      <c r="I478" s="1763"/>
      <c r="J478" s="1820"/>
      <c r="K478" s="1839"/>
      <c r="L478" s="1821"/>
      <c r="M478" s="1875"/>
      <c r="N478" s="1879"/>
      <c r="O478" s="1883"/>
      <c r="P478" s="1878"/>
      <c r="Q478" s="1956"/>
      <c r="R478" s="1875"/>
      <c r="S478" s="1958"/>
      <c r="T478" s="1956"/>
      <c r="U478" s="1958"/>
      <c r="V478" s="2001"/>
      <c r="W478" s="2002"/>
      <c r="X478" s="2001"/>
      <c r="Y478" s="2002"/>
      <c r="Z478" s="2001"/>
      <c r="AA478" s="1773"/>
      <c r="AB478" s="2025"/>
      <c r="AC478" s="2040"/>
      <c r="AD478" s="2025"/>
      <c r="AE478" s="2025"/>
      <c r="AF478" s="2025"/>
      <c r="AG478" s="2025"/>
      <c r="AH478" s="1773"/>
      <c r="AI478" s="1773"/>
    </row>
    <row r="479" customFormat="1" ht="40.5" customHeight="1" spans="1:35">
      <c r="A479" s="1773"/>
      <c r="B479" s="1777"/>
      <c r="C479" s="1778"/>
      <c r="D479" s="1763"/>
      <c r="E479" s="1820"/>
      <c r="F479" s="1820"/>
      <c r="G479" s="1821"/>
      <c r="H479" s="1820"/>
      <c r="I479" s="1763"/>
      <c r="J479" s="1820"/>
      <c r="K479" s="1839"/>
      <c r="L479" s="1821"/>
      <c r="M479" s="1875">
        <v>3</v>
      </c>
      <c r="N479" s="1876" t="s">
        <v>5303</v>
      </c>
      <c r="O479" s="1884">
        <v>0.2</v>
      </c>
      <c r="P479" s="1878">
        <f>K473*O479</f>
        <v>86000</v>
      </c>
      <c r="Q479" s="1963">
        <v>86000</v>
      </c>
      <c r="R479" s="1954" t="s">
        <v>349</v>
      </c>
      <c r="S479" s="1955">
        <v>46111</v>
      </c>
      <c r="T479" s="1956"/>
      <c r="U479" s="1958"/>
      <c r="V479" s="2001"/>
      <c r="W479" s="2002"/>
      <c r="X479" s="2001"/>
      <c r="Y479" s="2002"/>
      <c r="Z479" s="2001">
        <f t="shared" ref="Z479:Z500" si="26">Q479-X479</f>
        <v>86000</v>
      </c>
      <c r="AA479" s="1773"/>
      <c r="AB479" s="2025"/>
      <c r="AC479" s="2040"/>
      <c r="AD479" s="2025"/>
      <c r="AE479" s="2025"/>
      <c r="AF479" s="2025"/>
      <c r="AG479" s="2025"/>
      <c r="AH479" s="1773"/>
      <c r="AI479" s="1773"/>
    </row>
    <row r="480" customFormat="1" ht="40.5" customHeight="1" spans="1:35">
      <c r="A480" s="1773"/>
      <c r="B480" s="1779"/>
      <c r="C480" s="1780"/>
      <c r="D480" s="1781"/>
      <c r="E480" s="1822"/>
      <c r="F480" s="1822"/>
      <c r="G480" s="1823"/>
      <c r="H480" s="1822"/>
      <c r="I480" s="1781"/>
      <c r="J480" s="1822"/>
      <c r="K480" s="1840"/>
      <c r="L480" s="1823"/>
      <c r="M480" s="1875">
        <v>4</v>
      </c>
      <c r="N480" s="1876" t="s">
        <v>5304</v>
      </c>
      <c r="O480" s="1884">
        <v>0.1</v>
      </c>
      <c r="P480" s="1878">
        <f>K473*O480</f>
        <v>43000</v>
      </c>
      <c r="Q480" s="1956"/>
      <c r="R480" s="1875"/>
      <c r="S480" s="1958"/>
      <c r="T480" s="1956"/>
      <c r="U480" s="1958"/>
      <c r="V480" s="2001"/>
      <c r="W480" s="2002"/>
      <c r="X480" s="2001"/>
      <c r="Y480" s="2002"/>
      <c r="Z480" s="2001">
        <f t="shared" si="26"/>
        <v>0</v>
      </c>
      <c r="AA480" s="1773"/>
      <c r="AB480" s="2025"/>
      <c r="AC480" s="2040"/>
      <c r="AD480" s="2025"/>
      <c r="AE480" s="2025"/>
      <c r="AF480" s="2025"/>
      <c r="AG480" s="2025"/>
      <c r="AH480" s="1773"/>
      <c r="AI480" s="1773"/>
    </row>
    <row r="481" customFormat="1" ht="107" spans="1:35">
      <c r="A481" s="393" t="s">
        <v>809</v>
      </c>
      <c r="B481" s="799">
        <v>45036</v>
      </c>
      <c r="C481" s="1261" t="s">
        <v>1332</v>
      </c>
      <c r="D481" s="611"/>
      <c r="E481" s="728" t="s">
        <v>5305</v>
      </c>
      <c r="F481" s="728" t="s">
        <v>5306</v>
      </c>
      <c r="G481" s="798" t="s">
        <v>3482</v>
      </c>
      <c r="H481" s="728" t="s">
        <v>4817</v>
      </c>
      <c r="I481" s="611"/>
      <c r="J481" s="728" t="s">
        <v>997</v>
      </c>
      <c r="K481" s="1303">
        <v>168000</v>
      </c>
      <c r="L481" s="798" t="s">
        <v>138</v>
      </c>
      <c r="M481" s="728">
        <v>1</v>
      </c>
      <c r="N481" s="1852" t="s">
        <v>5307</v>
      </c>
      <c r="O481" s="1853">
        <v>0.7</v>
      </c>
      <c r="P481" s="1854">
        <f>K481*O481</f>
        <v>117600</v>
      </c>
      <c r="Q481" s="1856">
        <v>42336</v>
      </c>
      <c r="R481" s="1917" t="s">
        <v>4603</v>
      </c>
      <c r="S481" s="804">
        <v>45644</v>
      </c>
      <c r="T481" s="1856">
        <v>42336</v>
      </c>
      <c r="U481" s="804">
        <v>45644</v>
      </c>
      <c r="V481" s="516">
        <v>42336</v>
      </c>
      <c r="W481" s="804">
        <v>45645</v>
      </c>
      <c r="X481" s="570">
        <v>42336</v>
      </c>
      <c r="Y481" s="1991">
        <v>45652</v>
      </c>
      <c r="Z481" s="570">
        <f t="shared" si="26"/>
        <v>0</v>
      </c>
      <c r="AA481" s="393"/>
      <c r="AB481" s="419"/>
      <c r="AC481" s="601"/>
      <c r="AD481" s="419"/>
      <c r="AE481" s="419"/>
      <c r="AF481" s="419"/>
      <c r="AG481" s="419"/>
      <c r="AH481" s="393"/>
      <c r="AI481" s="393"/>
    </row>
    <row r="482" customFormat="1" ht="56.25" customHeight="1" spans="1:35">
      <c r="A482" s="393"/>
      <c r="B482" s="1782"/>
      <c r="C482" s="1263"/>
      <c r="D482" s="612"/>
      <c r="E482" s="689"/>
      <c r="F482" s="689"/>
      <c r="G482" s="1304"/>
      <c r="H482" s="689"/>
      <c r="I482" s="612"/>
      <c r="J482" s="689"/>
      <c r="K482" s="690"/>
      <c r="L482" s="1304"/>
      <c r="M482" s="691"/>
      <c r="N482" s="1885" t="s">
        <v>5233</v>
      </c>
      <c r="O482" s="1886"/>
      <c r="P482" s="1887"/>
      <c r="Q482" s="1937">
        <f>K481*O481-Q481</f>
        <v>75264</v>
      </c>
      <c r="R482" s="1917" t="s">
        <v>4603</v>
      </c>
      <c r="S482" s="804">
        <v>45706</v>
      </c>
      <c r="T482" s="1925">
        <v>75264</v>
      </c>
      <c r="U482" s="517">
        <v>45706</v>
      </c>
      <c r="V482" s="570">
        <v>75264</v>
      </c>
      <c r="W482" s="1991">
        <v>45707</v>
      </c>
      <c r="X482" s="2007">
        <v>75264</v>
      </c>
      <c r="Y482" s="1991">
        <v>45714</v>
      </c>
      <c r="Z482" s="570">
        <f t="shared" si="26"/>
        <v>0</v>
      </c>
      <c r="AA482" s="393"/>
      <c r="AB482" s="419"/>
      <c r="AC482" s="601"/>
      <c r="AD482" s="419"/>
      <c r="AE482" s="419"/>
      <c r="AF482" s="419"/>
      <c r="AG482" s="419"/>
      <c r="AH482" s="393"/>
      <c r="AI482" s="393"/>
    </row>
    <row r="483" customFormat="1" ht="76" spans="1:35">
      <c r="A483" s="393"/>
      <c r="B483" s="1782"/>
      <c r="C483" s="1263"/>
      <c r="D483" s="612"/>
      <c r="E483" s="689"/>
      <c r="F483" s="689"/>
      <c r="G483" s="1304"/>
      <c r="H483" s="689"/>
      <c r="I483" s="612"/>
      <c r="J483" s="689"/>
      <c r="K483" s="690"/>
      <c r="L483" s="1304"/>
      <c r="M483" s="418">
        <v>2</v>
      </c>
      <c r="N483" s="1852" t="s">
        <v>5257</v>
      </c>
      <c r="O483" s="1855">
        <v>0.2</v>
      </c>
      <c r="P483" s="1856">
        <f>K481*O483</f>
        <v>33600</v>
      </c>
      <c r="Q483" s="1925">
        <v>33600</v>
      </c>
      <c r="R483" s="1927" t="s">
        <v>349</v>
      </c>
      <c r="S483" s="908">
        <v>46111</v>
      </c>
      <c r="T483" s="1925"/>
      <c r="U483" s="517"/>
      <c r="V483" s="570"/>
      <c r="W483" s="1991"/>
      <c r="X483" s="570"/>
      <c r="Y483" s="1991"/>
      <c r="Z483" s="570">
        <f t="shared" si="26"/>
        <v>33600</v>
      </c>
      <c r="AA483" s="393"/>
      <c r="AB483" s="419"/>
      <c r="AC483" s="601"/>
      <c r="AD483" s="419"/>
      <c r="AE483" s="419"/>
      <c r="AF483" s="419"/>
      <c r="AG483" s="419"/>
      <c r="AH483" s="393"/>
      <c r="AI483" s="393"/>
    </row>
    <row r="484" customFormat="1" ht="120" customHeight="1" spans="1:35">
      <c r="A484" s="393"/>
      <c r="B484" s="802"/>
      <c r="C484" s="1738"/>
      <c r="D484" s="613"/>
      <c r="E484" s="691"/>
      <c r="F484" s="691"/>
      <c r="G484" s="801"/>
      <c r="H484" s="691"/>
      <c r="I484" s="613"/>
      <c r="J484" s="691"/>
      <c r="K484" s="692"/>
      <c r="L484" s="801"/>
      <c r="M484" s="418">
        <v>3</v>
      </c>
      <c r="N484" s="1852" t="s">
        <v>5258</v>
      </c>
      <c r="O484" s="1855">
        <v>0.1</v>
      </c>
      <c r="P484" s="1856">
        <f>K481*O484</f>
        <v>16800</v>
      </c>
      <c r="Q484" s="1925"/>
      <c r="R484" s="418"/>
      <c r="S484" s="517"/>
      <c r="T484" s="1925"/>
      <c r="U484" s="517"/>
      <c r="V484" s="570"/>
      <c r="W484" s="1991"/>
      <c r="X484" s="570"/>
      <c r="Y484" s="1991"/>
      <c r="Z484" s="570">
        <f t="shared" si="26"/>
        <v>0</v>
      </c>
      <c r="AA484" s="393"/>
      <c r="AB484" s="419"/>
      <c r="AC484" s="601"/>
      <c r="AD484" s="419"/>
      <c r="AE484" s="419"/>
      <c r="AF484" s="419"/>
      <c r="AG484" s="419"/>
      <c r="AH484" s="393"/>
      <c r="AI484" s="393"/>
    </row>
    <row r="485" customFormat="1" ht="41.4" customHeight="1" spans="1:35">
      <c r="A485" s="393" t="s">
        <v>809</v>
      </c>
      <c r="B485" s="568">
        <v>45093</v>
      </c>
      <c r="C485" s="1261" t="s">
        <v>1332</v>
      </c>
      <c r="D485" s="393"/>
      <c r="E485" s="418" t="s">
        <v>5308</v>
      </c>
      <c r="F485" s="418" t="s">
        <v>5309</v>
      </c>
      <c r="G485" s="393" t="s">
        <v>813</v>
      </c>
      <c r="H485" s="418" t="s">
        <v>5310</v>
      </c>
      <c r="I485" s="393"/>
      <c r="J485" s="393" t="s">
        <v>5255</v>
      </c>
      <c r="K485" s="1303">
        <v>304860.47</v>
      </c>
      <c r="L485" s="393" t="s">
        <v>138</v>
      </c>
      <c r="M485" s="728">
        <v>1</v>
      </c>
      <c r="N485" s="728" t="s">
        <v>5311</v>
      </c>
      <c r="O485" s="1353">
        <v>0.8</v>
      </c>
      <c r="P485" s="1888">
        <f>K485*O485</f>
        <v>243888.376</v>
      </c>
      <c r="Q485" s="1964">
        <v>150000</v>
      </c>
      <c r="R485" s="418" t="s">
        <v>4603</v>
      </c>
      <c r="S485" s="802">
        <v>45433</v>
      </c>
      <c r="T485" s="1965">
        <v>150000</v>
      </c>
      <c r="U485" s="802">
        <v>45433</v>
      </c>
      <c r="V485" s="1889">
        <v>150000</v>
      </c>
      <c r="W485" s="802">
        <v>45436</v>
      </c>
      <c r="X485" s="516">
        <v>150000</v>
      </c>
      <c r="Y485" s="802">
        <v>45443</v>
      </c>
      <c r="Z485" s="570">
        <f t="shared" si="26"/>
        <v>0</v>
      </c>
      <c r="AA485" s="393"/>
      <c r="AB485" s="419"/>
      <c r="AC485" s="601"/>
      <c r="AD485" s="1708"/>
      <c r="AE485" s="1708"/>
      <c r="AF485" s="1707"/>
      <c r="AG485" s="1707"/>
      <c r="AH485" s="1734"/>
      <c r="AI485" s="1698"/>
    </row>
    <row r="486" customFormat="1" ht="54.2" customHeight="1" spans="1:35">
      <c r="A486" s="393"/>
      <c r="B486" s="568"/>
      <c r="C486" s="1263"/>
      <c r="D486" s="393"/>
      <c r="E486" s="418"/>
      <c r="F486" s="418"/>
      <c r="G486" s="393"/>
      <c r="H486" s="418"/>
      <c r="I486" s="393"/>
      <c r="J486" s="393"/>
      <c r="K486" s="690"/>
      <c r="L486" s="393"/>
      <c r="M486" s="691"/>
      <c r="N486" s="691"/>
      <c r="O486" s="1357"/>
      <c r="P486" s="1889"/>
      <c r="Q486" s="1966">
        <f>P485-Q485</f>
        <v>93888.376</v>
      </c>
      <c r="R486" s="418" t="s">
        <v>4603</v>
      </c>
      <c r="S486" s="804">
        <v>45764</v>
      </c>
      <c r="T486" s="1965">
        <v>93888.38</v>
      </c>
      <c r="U486" s="802">
        <v>45764</v>
      </c>
      <c r="V486" s="516">
        <v>93888.38</v>
      </c>
      <c r="W486" s="1990">
        <v>45765</v>
      </c>
      <c r="X486" s="2008">
        <v>93888.38</v>
      </c>
      <c r="Y486" s="1990">
        <v>45772</v>
      </c>
      <c r="Z486" s="570">
        <f t="shared" si="26"/>
        <v>-0.00400000001536682</v>
      </c>
      <c r="AA486" s="393"/>
      <c r="AB486" s="419"/>
      <c r="AC486" s="601"/>
      <c r="AD486" s="1708"/>
      <c r="AE486" s="1708"/>
      <c r="AF486" s="1707"/>
      <c r="AG486" s="1707"/>
      <c r="AH486" s="1734"/>
      <c r="AI486" s="1698"/>
    </row>
    <row r="487" customFormat="1" ht="76" spans="1:35">
      <c r="A487" s="393"/>
      <c r="B487" s="393"/>
      <c r="C487" s="1263"/>
      <c r="D487" s="393"/>
      <c r="E487" s="393"/>
      <c r="F487" s="393"/>
      <c r="G487" s="393"/>
      <c r="H487" s="418"/>
      <c r="I487" s="393"/>
      <c r="J487" s="393"/>
      <c r="K487" s="690"/>
      <c r="L487" s="393"/>
      <c r="M487" s="418">
        <v>2</v>
      </c>
      <c r="N487" s="1852" t="s">
        <v>5312</v>
      </c>
      <c r="O487" s="1350">
        <v>0.1</v>
      </c>
      <c r="P487" s="1889">
        <f>K485*O487</f>
        <v>30486.047</v>
      </c>
      <c r="Q487" s="1967">
        <v>30486.05</v>
      </c>
      <c r="R487" s="691"/>
      <c r="S487" s="802"/>
      <c r="T487" s="1965"/>
      <c r="U487" s="802"/>
      <c r="V487" s="570"/>
      <c r="W487" s="1991"/>
      <c r="X487" s="570"/>
      <c r="Y487" s="1991"/>
      <c r="Z487" s="570">
        <f t="shared" si="26"/>
        <v>30486.05</v>
      </c>
      <c r="AA487" s="393"/>
      <c r="AB487" s="419"/>
      <c r="AC487" s="601"/>
      <c r="AD487" s="1708"/>
      <c r="AE487" s="1708"/>
      <c r="AF487" s="1707"/>
      <c r="AG487" s="1707"/>
      <c r="AH487" s="1734"/>
      <c r="AI487" s="1698"/>
    </row>
    <row r="488" customFormat="1" ht="76" spans="1:35">
      <c r="A488" s="393"/>
      <c r="B488" s="393"/>
      <c r="C488" s="1738"/>
      <c r="D488" s="393"/>
      <c r="E488" s="393"/>
      <c r="F488" s="393"/>
      <c r="G488" s="393"/>
      <c r="H488" s="418"/>
      <c r="I488" s="393"/>
      <c r="J488" s="393"/>
      <c r="K488" s="692"/>
      <c r="L488" s="393"/>
      <c r="M488" s="418">
        <v>3</v>
      </c>
      <c r="N488" s="1852" t="s">
        <v>5313</v>
      </c>
      <c r="O488" s="1350">
        <v>0.1</v>
      </c>
      <c r="P488" s="1889">
        <f>K485*O488</f>
        <v>30486.047</v>
      </c>
      <c r="Q488" s="1967">
        <v>30486.04</v>
      </c>
      <c r="R488" s="691"/>
      <c r="S488" s="802"/>
      <c r="T488" s="1965"/>
      <c r="U488" s="802"/>
      <c r="V488" s="570"/>
      <c r="W488" s="1991"/>
      <c r="X488" s="570"/>
      <c r="Y488" s="1991"/>
      <c r="Z488" s="570">
        <f t="shared" si="26"/>
        <v>30486.04</v>
      </c>
      <c r="AA488" s="393"/>
      <c r="AB488" s="419"/>
      <c r="AC488" s="601"/>
      <c r="AD488" s="1708"/>
      <c r="AE488" s="1708"/>
      <c r="AF488" s="1707"/>
      <c r="AG488" s="1707"/>
      <c r="AH488" s="1734"/>
      <c r="AI488" s="1698"/>
    </row>
    <row r="489" s="6" customFormat="1" ht="61" spans="1:35">
      <c r="A489" s="1783" t="s">
        <v>809</v>
      </c>
      <c r="B489" s="1784">
        <v>44752</v>
      </c>
      <c r="C489" s="1785" t="s">
        <v>1332</v>
      </c>
      <c r="D489" s="1786"/>
      <c r="E489" s="1824" t="s">
        <v>5314</v>
      </c>
      <c r="F489" s="1824" t="s">
        <v>5315</v>
      </c>
      <c r="G489" s="1825" t="s">
        <v>5316</v>
      </c>
      <c r="H489" s="1824" t="s">
        <v>5317</v>
      </c>
      <c r="I489" s="1790">
        <v>4489.93</v>
      </c>
      <c r="J489" s="1824" t="s">
        <v>171</v>
      </c>
      <c r="K489" s="1841">
        <v>441680</v>
      </c>
      <c r="L489" s="1842" t="s">
        <v>138</v>
      </c>
      <c r="M489" s="1890">
        <v>1</v>
      </c>
      <c r="N489" s="1891" t="s">
        <v>5318</v>
      </c>
      <c r="O489" s="1892">
        <f>P489/K489</f>
        <v>0.423728808186923</v>
      </c>
      <c r="P489" s="1893">
        <v>187152.54</v>
      </c>
      <c r="Q489" s="1968">
        <v>187152.54</v>
      </c>
      <c r="R489" s="1969" t="s">
        <v>4603</v>
      </c>
      <c r="S489" s="1970">
        <v>44922</v>
      </c>
      <c r="T489" s="1968">
        <v>187152.54</v>
      </c>
      <c r="U489" s="1970">
        <v>44922</v>
      </c>
      <c r="V489" s="2009">
        <v>187152.54</v>
      </c>
      <c r="W489" s="2010">
        <v>45012</v>
      </c>
      <c r="X489" s="2009">
        <v>187152.54</v>
      </c>
      <c r="Y489" s="2010">
        <v>45040</v>
      </c>
      <c r="Z489" s="2026">
        <f t="shared" si="26"/>
        <v>0</v>
      </c>
      <c r="AA489" s="2027"/>
      <c r="AB489" s="2028"/>
      <c r="AC489" s="2041"/>
      <c r="AD489" s="1787"/>
      <c r="AE489" s="2042"/>
      <c r="AF489" s="1787"/>
      <c r="AG489" s="1787"/>
      <c r="AH489" s="1783" t="s">
        <v>197</v>
      </c>
      <c r="AI489" s="2027" t="s">
        <v>154</v>
      </c>
    </row>
    <row r="490" s="6" customFormat="1" ht="46" spans="1:35">
      <c r="A490" s="1787"/>
      <c r="B490" s="1784"/>
      <c r="C490" s="1788"/>
      <c r="D490" s="1786"/>
      <c r="E490" s="1826"/>
      <c r="F490" s="1826"/>
      <c r="G490" s="1790"/>
      <c r="H490" s="1826"/>
      <c r="I490" s="1790"/>
      <c r="J490" s="1826"/>
      <c r="K490" s="1841"/>
      <c r="L490" s="1825"/>
      <c r="M490" s="1894">
        <v>2</v>
      </c>
      <c r="N490" s="1895" t="s">
        <v>5319</v>
      </c>
      <c r="O490" s="1896">
        <f>P490/K489</f>
        <v>0.254237275855823</v>
      </c>
      <c r="P490" s="1897">
        <v>112291.52</v>
      </c>
      <c r="Q490" s="1971">
        <v>112291.52</v>
      </c>
      <c r="R490" s="1824" t="s">
        <v>4603</v>
      </c>
      <c r="S490" s="1791">
        <v>44922</v>
      </c>
      <c r="T490" s="1971">
        <v>112291.52</v>
      </c>
      <c r="U490" s="1791">
        <v>44922</v>
      </c>
      <c r="V490" s="1897">
        <v>112291.52</v>
      </c>
      <c r="W490" s="2011">
        <v>45012</v>
      </c>
      <c r="X490" s="1897">
        <v>112291.52</v>
      </c>
      <c r="Y490" s="2011">
        <v>45040</v>
      </c>
      <c r="Z490" s="2029">
        <f t="shared" si="26"/>
        <v>0</v>
      </c>
      <c r="AA490" s="2030"/>
      <c r="AB490" s="1790"/>
      <c r="AC490" s="2043"/>
      <c r="AD490" s="1787"/>
      <c r="AE490" s="2042"/>
      <c r="AF490" s="1787"/>
      <c r="AG490" s="1787"/>
      <c r="AH490" s="1787"/>
      <c r="AI490" s="2047"/>
    </row>
    <row r="491" s="6" customFormat="1" ht="46" spans="1:35">
      <c r="A491" s="1787"/>
      <c r="B491" s="1784"/>
      <c r="C491" s="1789"/>
      <c r="D491" s="1786"/>
      <c r="E491" s="1826"/>
      <c r="F491" s="1826"/>
      <c r="G491" s="1790"/>
      <c r="H491" s="1826"/>
      <c r="I491" s="1790"/>
      <c r="J491" s="1826"/>
      <c r="K491" s="1841"/>
      <c r="L491" s="1825"/>
      <c r="M491" s="1894">
        <v>3</v>
      </c>
      <c r="N491" s="1895" t="s">
        <v>5320</v>
      </c>
      <c r="O491" s="1896">
        <f>P491/K489</f>
        <v>0.169491532331099</v>
      </c>
      <c r="P491" s="1897">
        <v>74861.02</v>
      </c>
      <c r="Q491" s="1971">
        <v>74861.02</v>
      </c>
      <c r="R491" s="1824" t="s">
        <v>4603</v>
      </c>
      <c r="S491" s="1791">
        <v>44922</v>
      </c>
      <c r="T491" s="1971">
        <v>74861.02</v>
      </c>
      <c r="U491" s="1791">
        <v>44922</v>
      </c>
      <c r="V491" s="2012"/>
      <c r="W491" s="2011"/>
      <c r="X491" s="2012"/>
      <c r="Y491" s="2011"/>
      <c r="Z491" s="2029">
        <f t="shared" si="26"/>
        <v>74861.02</v>
      </c>
      <c r="AA491" s="2030"/>
      <c r="AB491" s="1790"/>
      <c r="AC491" s="2043"/>
      <c r="AD491" s="1787"/>
      <c r="AE491" s="2042"/>
      <c r="AF491" s="1787"/>
      <c r="AG491" s="1787"/>
      <c r="AH491" s="1787"/>
      <c r="AI491" s="2047"/>
    </row>
    <row r="492" s="6" customFormat="1" ht="46" spans="1:35">
      <c r="A492" s="1790"/>
      <c r="B492" s="1791"/>
      <c r="C492" s="1788"/>
      <c r="D492" s="1786"/>
      <c r="E492" s="1826"/>
      <c r="F492" s="1826"/>
      <c r="G492" s="1790"/>
      <c r="H492" s="1826"/>
      <c r="I492" s="1790"/>
      <c r="J492" s="1826"/>
      <c r="K492" s="1841"/>
      <c r="L492" s="1825"/>
      <c r="M492" s="1894">
        <v>4</v>
      </c>
      <c r="N492" s="1895" t="s">
        <v>5321</v>
      </c>
      <c r="O492" s="1896">
        <f>P492/K489</f>
        <v>0.152542383626155</v>
      </c>
      <c r="P492" s="1897">
        <v>67374.92</v>
      </c>
      <c r="Q492" s="1899">
        <v>67374.92</v>
      </c>
      <c r="R492" s="1972" t="s">
        <v>349</v>
      </c>
      <c r="S492" s="1973">
        <v>46111</v>
      </c>
      <c r="T492" s="1974"/>
      <c r="U492" s="2013"/>
      <c r="V492" s="2012"/>
      <c r="W492" s="2011"/>
      <c r="X492" s="2012"/>
      <c r="Y492" s="2011"/>
      <c r="Z492" s="2029">
        <f t="shared" si="26"/>
        <v>67374.92</v>
      </c>
      <c r="AA492" s="2030"/>
      <c r="AB492" s="1790"/>
      <c r="AC492" s="2043"/>
      <c r="AD492" s="1787"/>
      <c r="AE492" s="2042"/>
      <c r="AF492" s="1787"/>
      <c r="AG492" s="1787"/>
      <c r="AH492" s="1787"/>
      <c r="AI492" s="2047"/>
    </row>
    <row r="493" s="6" customFormat="1" ht="61" spans="1:35">
      <c r="A493" s="1787"/>
      <c r="B493" s="1784"/>
      <c r="C493" s="1792"/>
      <c r="D493" s="1786"/>
      <c r="E493" s="1826"/>
      <c r="F493" s="1826"/>
      <c r="G493" s="1790"/>
      <c r="H493" s="1826"/>
      <c r="I493" s="1790"/>
      <c r="J493" s="1826"/>
      <c r="K493" s="1841">
        <v>143820</v>
      </c>
      <c r="L493" s="1825" t="s">
        <v>137</v>
      </c>
      <c r="M493" s="1898">
        <v>1</v>
      </c>
      <c r="N493" s="1895" t="s">
        <v>5318</v>
      </c>
      <c r="O493" s="1896">
        <f>P493/K493</f>
        <v>0.423728827701293</v>
      </c>
      <c r="P493" s="1897">
        <v>60940.68</v>
      </c>
      <c r="Q493" s="1971">
        <v>60940.68</v>
      </c>
      <c r="R493" s="1824" t="s">
        <v>4603</v>
      </c>
      <c r="S493" s="1791">
        <v>44922</v>
      </c>
      <c r="T493" s="1971">
        <v>60940.68</v>
      </c>
      <c r="U493" s="1791">
        <v>44922</v>
      </c>
      <c r="V493" s="1897">
        <v>60940.68</v>
      </c>
      <c r="W493" s="2011">
        <v>45012</v>
      </c>
      <c r="X493" s="1897">
        <v>60940.68</v>
      </c>
      <c r="Y493" s="2011">
        <v>45040</v>
      </c>
      <c r="Z493" s="2029">
        <f t="shared" si="26"/>
        <v>0</v>
      </c>
      <c r="AA493" s="2030"/>
      <c r="AB493" s="1790"/>
      <c r="AC493" s="2043"/>
      <c r="AD493" s="1787"/>
      <c r="AE493" s="2042"/>
      <c r="AF493" s="1787"/>
      <c r="AG493" s="1787"/>
      <c r="AH493" s="1787"/>
      <c r="AI493" s="2047"/>
    </row>
    <row r="494" s="6" customFormat="1" ht="46" spans="1:35">
      <c r="A494" s="1787"/>
      <c r="B494" s="1784"/>
      <c r="C494" s="1788"/>
      <c r="D494" s="1786"/>
      <c r="E494" s="1826"/>
      <c r="F494" s="1826"/>
      <c r="G494" s="1790"/>
      <c r="H494" s="1826"/>
      <c r="I494" s="1790"/>
      <c r="J494" s="1826"/>
      <c r="K494" s="1841"/>
      <c r="L494" s="1825"/>
      <c r="M494" s="1894">
        <v>2</v>
      </c>
      <c r="N494" s="1895" t="s">
        <v>5319</v>
      </c>
      <c r="O494" s="1896">
        <f>P494/K493</f>
        <v>0.254237310527048</v>
      </c>
      <c r="P494" s="1897">
        <v>36564.41</v>
      </c>
      <c r="Q494" s="1971">
        <v>36564.41</v>
      </c>
      <c r="R494" s="1824" t="s">
        <v>4603</v>
      </c>
      <c r="S494" s="1791">
        <v>44922</v>
      </c>
      <c r="T494" s="1971">
        <v>36564.41</v>
      </c>
      <c r="U494" s="1791">
        <v>44922</v>
      </c>
      <c r="V494" s="1897">
        <v>36564.41</v>
      </c>
      <c r="W494" s="2011">
        <v>45012</v>
      </c>
      <c r="X494" s="1897">
        <v>36564.41</v>
      </c>
      <c r="Y494" s="2011">
        <v>45040</v>
      </c>
      <c r="Z494" s="2029">
        <f t="shared" si="26"/>
        <v>0</v>
      </c>
      <c r="AA494" s="2030"/>
      <c r="AB494" s="1790"/>
      <c r="AC494" s="2043"/>
      <c r="AD494" s="1787"/>
      <c r="AE494" s="2042"/>
      <c r="AF494" s="1787"/>
      <c r="AG494" s="1787"/>
      <c r="AH494" s="1787"/>
      <c r="AI494" s="2047"/>
    </row>
    <row r="495" s="6" customFormat="1" ht="46" spans="1:35">
      <c r="A495" s="1787"/>
      <c r="B495" s="1784"/>
      <c r="C495" s="1789"/>
      <c r="D495" s="1786"/>
      <c r="E495" s="1826"/>
      <c r="F495" s="1826"/>
      <c r="G495" s="1790"/>
      <c r="H495" s="1826"/>
      <c r="I495" s="1790"/>
      <c r="J495" s="1826"/>
      <c r="K495" s="1841"/>
      <c r="L495" s="1825"/>
      <c r="M495" s="1894">
        <v>3</v>
      </c>
      <c r="N495" s="1895" t="s">
        <v>5320</v>
      </c>
      <c r="O495" s="1896">
        <f>P495/K493</f>
        <v>0.169491517174246</v>
      </c>
      <c r="P495" s="1897">
        <v>24376.27</v>
      </c>
      <c r="Q495" s="1971">
        <v>24376.27</v>
      </c>
      <c r="R495" s="1824" t="s">
        <v>4603</v>
      </c>
      <c r="S495" s="1791">
        <v>44922</v>
      </c>
      <c r="T495" s="1971">
        <v>24376.27</v>
      </c>
      <c r="U495" s="1791">
        <v>44922</v>
      </c>
      <c r="V495" s="2012"/>
      <c r="W495" s="2011"/>
      <c r="X495" s="2012"/>
      <c r="Y495" s="2011"/>
      <c r="Z495" s="2029">
        <f t="shared" si="26"/>
        <v>24376.27</v>
      </c>
      <c r="AA495" s="2030"/>
      <c r="AB495" s="1790"/>
      <c r="AC495" s="2043"/>
      <c r="AD495" s="1787"/>
      <c r="AE495" s="2042"/>
      <c r="AF495" s="1787"/>
      <c r="AG495" s="1787"/>
      <c r="AH495" s="1787"/>
      <c r="AI495" s="2047"/>
    </row>
    <row r="496" s="6" customFormat="1" ht="46" spans="1:35">
      <c r="A496" s="1790"/>
      <c r="B496" s="1791"/>
      <c r="C496" s="1788"/>
      <c r="D496" s="1786"/>
      <c r="E496" s="1826"/>
      <c r="F496" s="1826"/>
      <c r="G496" s="1790"/>
      <c r="H496" s="1826"/>
      <c r="I496" s="1790"/>
      <c r="J496" s="1826"/>
      <c r="K496" s="1841"/>
      <c r="L496" s="1825"/>
      <c r="M496" s="1894">
        <v>4</v>
      </c>
      <c r="N496" s="1895" t="s">
        <v>5321</v>
      </c>
      <c r="O496" s="1896">
        <f>P496/K493</f>
        <v>0.152542344597413</v>
      </c>
      <c r="P496" s="1899">
        <v>21938.64</v>
      </c>
      <c r="Q496" s="1899">
        <v>21938.64</v>
      </c>
      <c r="R496" s="1972" t="s">
        <v>349</v>
      </c>
      <c r="S496" s="1973">
        <v>46111</v>
      </c>
      <c r="T496" s="1974"/>
      <c r="U496" s="2013"/>
      <c r="V496" s="2012"/>
      <c r="W496" s="2011"/>
      <c r="X496" s="2012"/>
      <c r="Y496" s="2011"/>
      <c r="Z496" s="2029">
        <f t="shared" si="26"/>
        <v>21938.64</v>
      </c>
      <c r="AA496" s="2030"/>
      <c r="AB496" s="1790"/>
      <c r="AC496" s="2043"/>
      <c r="AD496" s="1787"/>
      <c r="AE496" s="2042"/>
      <c r="AF496" s="1787"/>
      <c r="AG496" s="1787"/>
      <c r="AH496" s="1787"/>
      <c r="AI496" s="2047"/>
    </row>
    <row r="497" s="6" customFormat="1" ht="61" spans="1:35">
      <c r="A497" s="1787"/>
      <c r="B497" s="1784"/>
      <c r="C497" s="1792"/>
      <c r="D497" s="1786"/>
      <c r="E497" s="1826"/>
      <c r="F497" s="1826"/>
      <c r="G497" s="1790"/>
      <c r="H497" s="1826"/>
      <c r="I497" s="1790"/>
      <c r="J497" s="1826"/>
      <c r="K497" s="1841">
        <v>4500</v>
      </c>
      <c r="L497" s="1824" t="s">
        <v>126</v>
      </c>
      <c r="M497" s="1898">
        <v>1</v>
      </c>
      <c r="N497" s="1895" t="s">
        <v>5318</v>
      </c>
      <c r="O497" s="1896">
        <f>P497/K497</f>
        <v>0.423728888888889</v>
      </c>
      <c r="P497" s="1897">
        <v>1906.78</v>
      </c>
      <c r="Q497" s="1971">
        <v>1906.78</v>
      </c>
      <c r="R497" s="1824" t="s">
        <v>4603</v>
      </c>
      <c r="S497" s="1791">
        <v>44922</v>
      </c>
      <c r="T497" s="1971">
        <v>1906.78</v>
      </c>
      <c r="U497" s="1791">
        <v>44922</v>
      </c>
      <c r="V497" s="1897">
        <v>1906.78</v>
      </c>
      <c r="W497" s="2011">
        <v>45012</v>
      </c>
      <c r="X497" s="1897">
        <v>1906.78</v>
      </c>
      <c r="Y497" s="2031">
        <v>45040</v>
      </c>
      <c r="Z497" s="2029">
        <f t="shared" si="26"/>
        <v>0</v>
      </c>
      <c r="AA497" s="2030"/>
      <c r="AB497" s="1790"/>
      <c r="AC497" s="2043"/>
      <c r="AD497" s="1787"/>
      <c r="AE497" s="2042"/>
      <c r="AF497" s="1787"/>
      <c r="AG497" s="1787"/>
      <c r="AH497" s="1787"/>
      <c r="AI497" s="2047"/>
    </row>
    <row r="498" s="6" customFormat="1" ht="46" spans="1:35">
      <c r="A498" s="1787"/>
      <c r="B498" s="1784"/>
      <c r="C498" s="1788"/>
      <c r="D498" s="1786"/>
      <c r="E498" s="1826"/>
      <c r="F498" s="1826"/>
      <c r="G498" s="1790"/>
      <c r="H498" s="1826"/>
      <c r="I498" s="1790"/>
      <c r="J498" s="1826"/>
      <c r="K498" s="1841"/>
      <c r="L498" s="1825"/>
      <c r="M498" s="1894">
        <v>2</v>
      </c>
      <c r="N498" s="1895" t="s">
        <v>5319</v>
      </c>
      <c r="O498" s="1896">
        <f>P498/K497</f>
        <v>0.254237777777778</v>
      </c>
      <c r="P498" s="1897">
        <v>1144.07</v>
      </c>
      <c r="Q498" s="1971">
        <v>1144.07</v>
      </c>
      <c r="R498" s="1824" t="s">
        <v>4603</v>
      </c>
      <c r="S498" s="1791">
        <v>44922</v>
      </c>
      <c r="T498" s="1971">
        <v>1144.07</v>
      </c>
      <c r="U498" s="1791">
        <v>44922</v>
      </c>
      <c r="V498" s="1897">
        <v>1144.07</v>
      </c>
      <c r="W498" s="2011">
        <v>45012</v>
      </c>
      <c r="X498" s="1897">
        <v>1144.07</v>
      </c>
      <c r="Y498" s="2031">
        <v>45040</v>
      </c>
      <c r="Z498" s="2029">
        <f t="shared" si="26"/>
        <v>0</v>
      </c>
      <c r="AA498" s="2030"/>
      <c r="AB498" s="1790"/>
      <c r="AC498" s="2043"/>
      <c r="AD498" s="1787"/>
      <c r="AE498" s="2042"/>
      <c r="AF498" s="1787"/>
      <c r="AG498" s="1787"/>
      <c r="AH498" s="1787"/>
      <c r="AI498" s="2047"/>
    </row>
    <row r="499" s="6" customFormat="1" ht="46" spans="1:35">
      <c r="A499" s="1787"/>
      <c r="B499" s="1784"/>
      <c r="C499" s="1789"/>
      <c r="D499" s="1786"/>
      <c r="E499" s="1826"/>
      <c r="F499" s="1826"/>
      <c r="G499" s="1790"/>
      <c r="H499" s="1826"/>
      <c r="I499" s="1790"/>
      <c r="J499" s="1826"/>
      <c r="K499" s="1841"/>
      <c r="L499" s="1825"/>
      <c r="M499" s="1894">
        <v>3</v>
      </c>
      <c r="N499" s="1895" t="s">
        <v>5320</v>
      </c>
      <c r="O499" s="1896">
        <f>P499/K497</f>
        <v>0.169491111111111</v>
      </c>
      <c r="P499" s="1897">
        <v>762.71</v>
      </c>
      <c r="Q499" s="1971">
        <v>762.71</v>
      </c>
      <c r="R499" s="1824" t="s">
        <v>4603</v>
      </c>
      <c r="S499" s="1791">
        <v>44922</v>
      </c>
      <c r="T499" s="1971">
        <v>762.71</v>
      </c>
      <c r="U499" s="1791">
        <v>44922</v>
      </c>
      <c r="V499" s="2012"/>
      <c r="W499" s="2011"/>
      <c r="X499" s="2012"/>
      <c r="Y499" s="2031"/>
      <c r="Z499" s="2029">
        <f t="shared" si="26"/>
        <v>762.71</v>
      </c>
      <c r="AA499" s="2030"/>
      <c r="AB499" s="1790"/>
      <c r="AC499" s="2043"/>
      <c r="AD499" s="1787"/>
      <c r="AE499" s="2042"/>
      <c r="AF499" s="1787"/>
      <c r="AG499" s="1787"/>
      <c r="AH499" s="1787"/>
      <c r="AI499" s="2047"/>
    </row>
    <row r="500" s="6" customFormat="1" ht="46" spans="1:35">
      <c r="A500" s="1790"/>
      <c r="B500" s="1791"/>
      <c r="C500" s="1788"/>
      <c r="D500" s="1786"/>
      <c r="E500" s="1826"/>
      <c r="F500" s="1826"/>
      <c r="G500" s="1790"/>
      <c r="H500" s="1826"/>
      <c r="I500" s="1790"/>
      <c r="J500" s="1826"/>
      <c r="K500" s="1841"/>
      <c r="L500" s="1825"/>
      <c r="M500" s="1894">
        <v>4</v>
      </c>
      <c r="N500" s="1895" t="s">
        <v>5321</v>
      </c>
      <c r="O500" s="1896">
        <f>P500/K497</f>
        <v>0.152542222222222</v>
      </c>
      <c r="P500" s="1899">
        <v>686.44</v>
      </c>
      <c r="Q500" s="1899">
        <v>686.44</v>
      </c>
      <c r="R500" s="1972" t="s">
        <v>349</v>
      </c>
      <c r="S500" s="1973">
        <v>46111</v>
      </c>
      <c r="T500" s="1974"/>
      <c r="U500" s="2013"/>
      <c r="V500" s="2012"/>
      <c r="W500" s="2011"/>
      <c r="X500" s="2012"/>
      <c r="Y500" s="2031"/>
      <c r="Z500" s="2029">
        <f t="shared" si="26"/>
        <v>686.44</v>
      </c>
      <c r="AA500" s="2030"/>
      <c r="AB500" s="1790"/>
      <c r="AC500" s="2043"/>
      <c r="AD500" s="1787"/>
      <c r="AE500" s="2042"/>
      <c r="AF500" s="1787"/>
      <c r="AG500" s="1787"/>
      <c r="AH500" s="1787"/>
      <c r="AI500" s="2047"/>
    </row>
    <row r="501" s="6" customFormat="1" ht="45.75" customHeight="1" spans="1:35">
      <c r="A501" s="1793" t="s">
        <v>809</v>
      </c>
      <c r="B501" s="1794">
        <v>45162</v>
      </c>
      <c r="C501" s="1795" t="s">
        <v>5322</v>
      </c>
      <c r="D501" s="1790"/>
      <c r="E501" s="1795" t="s">
        <v>5323</v>
      </c>
      <c r="F501" s="1795" t="s">
        <v>5324</v>
      </c>
      <c r="G501" s="1793" t="s">
        <v>3535</v>
      </c>
      <c r="H501" s="1795" t="s">
        <v>5325</v>
      </c>
      <c r="I501" s="1796"/>
      <c r="J501" s="1796" t="s">
        <v>997</v>
      </c>
      <c r="K501" s="1796">
        <v>294864.85</v>
      </c>
      <c r="L501" s="1793" t="s">
        <v>138</v>
      </c>
      <c r="M501" s="1900">
        <v>1</v>
      </c>
      <c r="N501" s="1901" t="s">
        <v>5326</v>
      </c>
      <c r="O501" s="1902">
        <v>0.55</v>
      </c>
      <c r="P501" s="1903">
        <f>K501*O501</f>
        <v>162175.6675</v>
      </c>
      <c r="Q501" s="1975">
        <v>58972.97</v>
      </c>
      <c r="R501" s="1976" t="s">
        <v>4603</v>
      </c>
      <c r="S501" s="1977">
        <v>45316</v>
      </c>
      <c r="T501" s="1978">
        <v>58972.97</v>
      </c>
      <c r="U501" s="2014">
        <v>45316</v>
      </c>
      <c r="V501" s="2015">
        <v>58972.97</v>
      </c>
      <c r="W501" s="2016">
        <v>45314</v>
      </c>
      <c r="X501" s="2015">
        <v>58972.97</v>
      </c>
      <c r="Y501" s="2016">
        <v>45345</v>
      </c>
      <c r="Z501" s="2032"/>
      <c r="AA501" s="2033"/>
      <c r="AB501" s="1796"/>
      <c r="AC501" s="2044"/>
      <c r="AD501" s="2045"/>
      <c r="AE501" s="2045"/>
      <c r="AF501" s="2046"/>
      <c r="AG501" s="2046"/>
      <c r="AH501" s="2046"/>
      <c r="AI501" s="2048"/>
    </row>
    <row r="502" s="6" customFormat="1" ht="43.5" customHeight="1" spans="1:35">
      <c r="A502" s="1796"/>
      <c r="B502" s="1796"/>
      <c r="C502" s="1797"/>
      <c r="D502" s="1790"/>
      <c r="E502" s="1797"/>
      <c r="F502" s="1797"/>
      <c r="G502" s="1796"/>
      <c r="H502" s="1797"/>
      <c r="I502" s="1796"/>
      <c r="J502" s="1796"/>
      <c r="K502" s="1796"/>
      <c r="L502" s="1796"/>
      <c r="M502" s="1904"/>
      <c r="N502" s="1905"/>
      <c r="O502" s="1906"/>
      <c r="P502" s="1907"/>
      <c r="Q502" s="1979">
        <f>P501-Q501</f>
        <v>103202.6975</v>
      </c>
      <c r="R502" s="1976" t="s">
        <v>4603</v>
      </c>
      <c r="S502" s="1977">
        <v>45666</v>
      </c>
      <c r="T502" s="1980">
        <f>Q502</f>
        <v>103202.6975</v>
      </c>
      <c r="U502" s="2014">
        <v>45666</v>
      </c>
      <c r="V502" s="2015">
        <f>T502</f>
        <v>103202.6975</v>
      </c>
      <c r="W502" s="2017">
        <v>45673</v>
      </c>
      <c r="X502" s="2015">
        <f>V502</f>
        <v>103202.6975</v>
      </c>
      <c r="Y502" s="2017">
        <v>45684</v>
      </c>
      <c r="Z502" s="2032"/>
      <c r="AA502" s="2033"/>
      <c r="AB502" s="1796"/>
      <c r="AC502" s="2044"/>
      <c r="AD502" s="2045"/>
      <c r="AE502" s="2045"/>
      <c r="AF502" s="2046"/>
      <c r="AG502" s="2046"/>
      <c r="AH502" s="2046"/>
      <c r="AI502" s="2048"/>
    </row>
    <row r="503" s="6" customFormat="1" ht="16" spans="1:35">
      <c r="A503" s="1796"/>
      <c r="B503" s="1796"/>
      <c r="C503" s="1797"/>
      <c r="D503" s="1790"/>
      <c r="E503" s="1797"/>
      <c r="F503" s="1797"/>
      <c r="G503" s="1796"/>
      <c r="H503" s="1797"/>
      <c r="I503" s="1796"/>
      <c r="J503" s="1796"/>
      <c r="K503" s="1796"/>
      <c r="L503" s="1796"/>
      <c r="M503" s="1900">
        <v>2</v>
      </c>
      <c r="N503" s="1901" t="s">
        <v>5327</v>
      </c>
      <c r="O503" s="1902">
        <v>0.25</v>
      </c>
      <c r="P503" s="1908">
        <f>K501*15%</f>
        <v>44229.7275</v>
      </c>
      <c r="Q503" s="1981">
        <f>P503</f>
        <v>44229.7275</v>
      </c>
      <c r="R503" s="1976" t="s">
        <v>4603</v>
      </c>
      <c r="S503" s="1977">
        <v>45909</v>
      </c>
      <c r="T503" s="1980">
        <f>Q503</f>
        <v>44229.7275</v>
      </c>
      <c r="U503" s="1977">
        <v>45909</v>
      </c>
      <c r="V503" s="2015"/>
      <c r="W503" s="2017"/>
      <c r="X503" s="2015"/>
      <c r="Y503" s="2017"/>
      <c r="Z503" s="2032"/>
      <c r="AA503" s="2033"/>
      <c r="AB503" s="1796"/>
      <c r="AC503" s="2044"/>
      <c r="AD503" s="2045"/>
      <c r="AE503" s="2045"/>
      <c r="AF503" s="2046"/>
      <c r="AG503" s="2046"/>
      <c r="AH503" s="2046"/>
      <c r="AI503" s="2048"/>
    </row>
    <row r="504" s="6" customFormat="1" ht="112.5" customHeight="1" spans="1:35">
      <c r="A504" s="1796"/>
      <c r="B504" s="1796"/>
      <c r="C504" s="1797"/>
      <c r="D504" s="1790"/>
      <c r="E504" s="1797"/>
      <c r="F504" s="1797"/>
      <c r="G504" s="1796"/>
      <c r="H504" s="1797"/>
      <c r="I504" s="1796"/>
      <c r="J504" s="1796"/>
      <c r="K504" s="1796"/>
      <c r="L504" s="1796"/>
      <c r="M504" s="1904"/>
      <c r="N504" s="1905"/>
      <c r="O504" s="1906"/>
      <c r="P504" s="1908"/>
      <c r="Q504" s="1982"/>
      <c r="R504" s="1983"/>
      <c r="S504" s="1984"/>
      <c r="T504" s="1978"/>
      <c r="U504" s="2014"/>
      <c r="V504" s="2015"/>
      <c r="W504" s="2017"/>
      <c r="X504" s="2015"/>
      <c r="Y504" s="2017"/>
      <c r="Z504" s="2032"/>
      <c r="AA504" s="2033"/>
      <c r="AB504" s="1796"/>
      <c r="AC504" s="2044"/>
      <c r="AD504" s="2045"/>
      <c r="AE504" s="2045"/>
      <c r="AF504" s="2046"/>
      <c r="AG504" s="2046"/>
      <c r="AH504" s="2046"/>
      <c r="AI504" s="2048"/>
    </row>
    <row r="505" s="6" customFormat="1" ht="112.5" customHeight="1" spans="1:35">
      <c r="A505" s="1796"/>
      <c r="B505" s="1796"/>
      <c r="C505" s="1797"/>
      <c r="D505" s="1790"/>
      <c r="E505" s="1797"/>
      <c r="F505" s="1797"/>
      <c r="G505" s="1796"/>
      <c r="H505" s="1797"/>
      <c r="I505" s="1796"/>
      <c r="J505" s="1796"/>
      <c r="K505" s="1796"/>
      <c r="L505" s="1796"/>
      <c r="M505" s="1900">
        <v>3</v>
      </c>
      <c r="N505" s="1909" t="s">
        <v>5328</v>
      </c>
      <c r="O505" s="1902">
        <v>0.15</v>
      </c>
      <c r="P505" s="1908">
        <f>K501*O505</f>
        <v>44229.7275</v>
      </c>
      <c r="Q505" s="1982">
        <v>44229.73</v>
      </c>
      <c r="R505" s="1983" t="s">
        <v>349</v>
      </c>
      <c r="S505" s="1984">
        <v>46111</v>
      </c>
      <c r="T505" s="1978"/>
      <c r="U505" s="2014"/>
      <c r="V505" s="2015"/>
      <c r="W505" s="2017"/>
      <c r="X505" s="2015"/>
      <c r="Y505" s="2017"/>
      <c r="Z505" s="2032"/>
      <c r="AA505" s="2033"/>
      <c r="AB505" s="1796"/>
      <c r="AC505" s="2044"/>
      <c r="AD505" s="2045"/>
      <c r="AE505" s="2045"/>
      <c r="AF505" s="2046"/>
      <c r="AG505" s="2046"/>
      <c r="AH505" s="2046"/>
      <c r="AI505" s="2048"/>
    </row>
    <row r="506" s="6" customFormat="1" ht="31" spans="1:35">
      <c r="A506" s="1796"/>
      <c r="B506" s="1796"/>
      <c r="C506" s="1797"/>
      <c r="D506" s="1790"/>
      <c r="E506" s="1797"/>
      <c r="F506" s="1797"/>
      <c r="G506" s="1796"/>
      <c r="H506" s="1797"/>
      <c r="I506" s="1843"/>
      <c r="J506" s="1843"/>
      <c r="K506" s="1843"/>
      <c r="L506" s="1843"/>
      <c r="M506" s="1900">
        <v>4</v>
      </c>
      <c r="N506" s="1909" t="s">
        <v>5329</v>
      </c>
      <c r="O506" s="1902">
        <v>0.05</v>
      </c>
      <c r="P506" s="1908">
        <f>K501*O506</f>
        <v>14743.2425</v>
      </c>
      <c r="Q506" s="1982">
        <v>14743.24</v>
      </c>
      <c r="R506" s="1983"/>
      <c r="S506" s="1984"/>
      <c r="T506" s="1978"/>
      <c r="U506" s="2014"/>
      <c r="V506" s="2015"/>
      <c r="W506" s="2017"/>
      <c r="X506" s="2015"/>
      <c r="Y506" s="2017"/>
      <c r="Z506" s="2032"/>
      <c r="AA506" s="2033"/>
      <c r="AB506" s="1796"/>
      <c r="AC506" s="2044"/>
      <c r="AD506" s="2045"/>
      <c r="AE506" s="2045"/>
      <c r="AF506" s="2046"/>
      <c r="AG506" s="2046"/>
      <c r="AH506" s="2046"/>
      <c r="AI506" s="2048"/>
    </row>
    <row r="507" s="6" customFormat="1" ht="92" spans="1:35">
      <c r="A507" s="393" t="s">
        <v>809</v>
      </c>
      <c r="B507" s="567">
        <v>45239</v>
      </c>
      <c r="C507" s="418" t="s">
        <v>5322</v>
      </c>
      <c r="D507" s="1790"/>
      <c r="E507" s="418" t="s">
        <v>5330</v>
      </c>
      <c r="F507" s="418" t="s">
        <v>5331</v>
      </c>
      <c r="G507" s="393" t="s">
        <v>3535</v>
      </c>
      <c r="H507" s="418" t="s">
        <v>5325</v>
      </c>
      <c r="I507" s="419"/>
      <c r="J507" s="393" t="s">
        <v>997</v>
      </c>
      <c r="K507" s="611">
        <v>20000</v>
      </c>
      <c r="L507" s="798" t="s">
        <v>138</v>
      </c>
      <c r="M507" s="616">
        <v>1</v>
      </c>
      <c r="N507" s="1910" t="s">
        <v>5332</v>
      </c>
      <c r="O507" s="1911">
        <v>1</v>
      </c>
      <c r="P507" s="1854">
        <v>20000</v>
      </c>
      <c r="Q507" s="1985">
        <v>20000</v>
      </c>
      <c r="R507" s="728" t="s">
        <v>4603</v>
      </c>
      <c r="S507" s="799">
        <v>45316</v>
      </c>
      <c r="T507" s="1986">
        <v>20000</v>
      </c>
      <c r="U507" s="1667">
        <v>45316</v>
      </c>
      <c r="V507" s="1986">
        <v>20000</v>
      </c>
      <c r="W507" s="1667">
        <v>45314</v>
      </c>
      <c r="X507" s="1986">
        <v>20000</v>
      </c>
      <c r="Y507" s="1667">
        <v>45345</v>
      </c>
      <c r="Z507" s="2034"/>
      <c r="AA507" s="1735"/>
      <c r="AB507" s="611"/>
      <c r="AC507" s="1709"/>
      <c r="AD507" s="1708"/>
      <c r="AE507" s="1708"/>
      <c r="AF507" s="1707"/>
      <c r="AG507" s="1707"/>
      <c r="AH507" s="1707"/>
      <c r="AI507" s="2049"/>
    </row>
    <row r="508" s="6" customFormat="1" ht="30" customHeight="1" spans="1:35">
      <c r="A508" s="428" t="s">
        <v>809</v>
      </c>
      <c r="B508" s="555">
        <v>45489</v>
      </c>
      <c r="C508" s="407" t="s">
        <v>5286</v>
      </c>
      <c r="D508" s="1790"/>
      <c r="E508" s="407" t="s">
        <v>5333</v>
      </c>
      <c r="F508" s="407" t="s">
        <v>5334</v>
      </c>
      <c r="G508" s="501" t="s">
        <v>3535</v>
      </c>
      <c r="H508" s="407" t="s">
        <v>5325</v>
      </c>
      <c r="I508" s="408"/>
      <c r="J508" s="501" t="s">
        <v>997</v>
      </c>
      <c r="K508" s="408">
        <v>450000</v>
      </c>
      <c r="L508" s="501" t="s">
        <v>138</v>
      </c>
      <c r="M508" s="373">
        <v>1</v>
      </c>
      <c r="N508" s="407" t="s">
        <v>5335</v>
      </c>
      <c r="O508" s="1912">
        <v>0.6</v>
      </c>
      <c r="P508" s="1913">
        <f>K508*O508</f>
        <v>270000</v>
      </c>
      <c r="Q508" s="1947">
        <v>130000</v>
      </c>
      <c r="R508" s="502" t="s">
        <v>4603</v>
      </c>
      <c r="S508" s="502">
        <v>45791</v>
      </c>
      <c r="T508" s="1987">
        <v>130000</v>
      </c>
      <c r="U508" s="502">
        <v>45791</v>
      </c>
      <c r="V508" s="1987">
        <v>130000</v>
      </c>
      <c r="W508" s="502">
        <v>45792</v>
      </c>
      <c r="X508" s="1188">
        <v>130000</v>
      </c>
      <c r="Y508" s="500">
        <v>45804</v>
      </c>
      <c r="Z508" s="2035"/>
      <c r="AA508" s="428"/>
      <c r="AB508" s="406"/>
      <c r="AC508" s="585"/>
      <c r="AD508" s="406"/>
      <c r="AE508" s="406"/>
      <c r="AF508" s="406"/>
      <c r="AG508" s="406"/>
      <c r="AH508" s="406"/>
      <c r="AI508" s="406"/>
    </row>
    <row r="509" s="6" customFormat="1" ht="30" customHeight="1" spans="1:35">
      <c r="A509" s="428"/>
      <c r="B509" s="559"/>
      <c r="C509" s="409"/>
      <c r="D509" s="1790"/>
      <c r="E509" s="409"/>
      <c r="F509" s="409"/>
      <c r="G509" s="433"/>
      <c r="H509" s="409"/>
      <c r="I509" s="410"/>
      <c r="J509" s="410"/>
      <c r="K509" s="410"/>
      <c r="L509" s="433"/>
      <c r="M509" s="375"/>
      <c r="N509" s="411"/>
      <c r="O509" s="1914"/>
      <c r="P509" s="1915"/>
      <c r="Q509" s="1947">
        <v>140000</v>
      </c>
      <c r="R509" s="502" t="s">
        <v>4603</v>
      </c>
      <c r="S509" s="502">
        <v>45882</v>
      </c>
      <c r="T509" s="1987">
        <v>140000</v>
      </c>
      <c r="U509" s="502">
        <v>45883</v>
      </c>
      <c r="V509" s="1987">
        <v>140000</v>
      </c>
      <c r="W509" s="502"/>
      <c r="X509" s="2018">
        <v>140000</v>
      </c>
      <c r="Y509" s="2036">
        <v>45930</v>
      </c>
      <c r="Z509" s="2035"/>
      <c r="AA509" s="428"/>
      <c r="AB509" s="406"/>
      <c r="AC509" s="585"/>
      <c r="AD509" s="406"/>
      <c r="AE509" s="406"/>
      <c r="AF509" s="406"/>
      <c r="AG509" s="406"/>
      <c r="AH509" s="406"/>
      <c r="AI509" s="406"/>
    </row>
    <row r="510" s="6" customFormat="1" ht="30" customHeight="1" spans="1:35">
      <c r="A510" s="428"/>
      <c r="B510" s="559"/>
      <c r="C510" s="409"/>
      <c r="D510" s="1790"/>
      <c r="E510" s="409"/>
      <c r="F510" s="409"/>
      <c r="G510" s="433"/>
      <c r="H510" s="409"/>
      <c r="I510" s="410"/>
      <c r="J510" s="410"/>
      <c r="K510" s="410"/>
      <c r="L510" s="433"/>
      <c r="M510" s="371">
        <v>2</v>
      </c>
      <c r="N510" s="1091" t="s">
        <v>5336</v>
      </c>
      <c r="O510" s="1092">
        <v>0.1</v>
      </c>
      <c r="P510" s="1916">
        <f>K508*O510</f>
        <v>45000</v>
      </c>
      <c r="Q510" s="502"/>
      <c r="R510" s="502"/>
      <c r="S510" s="502"/>
      <c r="T510" s="1987"/>
      <c r="U510" s="502"/>
      <c r="V510" s="1987"/>
      <c r="W510" s="502"/>
      <c r="X510" s="1188"/>
      <c r="Y510" s="500"/>
      <c r="Z510" s="2035"/>
      <c r="AA510" s="428"/>
      <c r="AB510" s="406"/>
      <c r="AC510" s="585"/>
      <c r="AD510" s="406"/>
      <c r="AE510" s="406"/>
      <c r="AF510" s="406"/>
      <c r="AG510" s="406"/>
      <c r="AH510" s="406"/>
      <c r="AI510" s="406"/>
    </row>
    <row r="511" s="6" customFormat="1" ht="30" customHeight="1" spans="1:35">
      <c r="A511" s="428"/>
      <c r="B511" s="559"/>
      <c r="C511" s="409"/>
      <c r="D511" s="1790"/>
      <c r="E511" s="409"/>
      <c r="F511" s="409"/>
      <c r="G511" s="433"/>
      <c r="H511" s="409"/>
      <c r="I511" s="410"/>
      <c r="J511" s="410"/>
      <c r="K511" s="410"/>
      <c r="L511" s="433"/>
      <c r="M511" s="371">
        <v>3</v>
      </c>
      <c r="N511" s="1091" t="s">
        <v>3508</v>
      </c>
      <c r="O511" s="1092">
        <v>0.2</v>
      </c>
      <c r="P511" s="1916">
        <f>K508*O511</f>
        <v>90000</v>
      </c>
      <c r="Q511" s="502"/>
      <c r="R511" s="502"/>
      <c r="S511" s="502"/>
      <c r="T511" s="1987"/>
      <c r="U511" s="502"/>
      <c r="V511" s="1987"/>
      <c r="W511" s="502"/>
      <c r="X511" s="1188"/>
      <c r="Y511" s="500"/>
      <c r="Z511" s="2035"/>
      <c r="AA511" s="428"/>
      <c r="AB511" s="406"/>
      <c r="AC511" s="585"/>
      <c r="AD511" s="406"/>
      <c r="AE511" s="406"/>
      <c r="AF511" s="406"/>
      <c r="AG511" s="406"/>
      <c r="AH511" s="406"/>
      <c r="AI511" s="406"/>
    </row>
    <row r="512" s="6" customFormat="1" ht="30" customHeight="1" spans="1:35">
      <c r="A512" s="428"/>
      <c r="B512" s="1798"/>
      <c r="C512" s="411"/>
      <c r="D512" s="1790"/>
      <c r="E512" s="411"/>
      <c r="F512" s="411"/>
      <c r="G512" s="503"/>
      <c r="H512" s="411"/>
      <c r="I512" s="412"/>
      <c r="J512" s="412"/>
      <c r="K512" s="412"/>
      <c r="L512" s="503"/>
      <c r="M512" s="371">
        <v>4</v>
      </c>
      <c r="N512" s="1091" t="s">
        <v>5337</v>
      </c>
      <c r="O512" s="1092">
        <v>0.1</v>
      </c>
      <c r="P512" s="1916">
        <f>K508*O512</f>
        <v>45000</v>
      </c>
      <c r="Q512" s="1988"/>
      <c r="R512" s="413"/>
      <c r="S512" s="502"/>
      <c r="T512" s="1987"/>
      <c r="U512" s="502"/>
      <c r="V512" s="1987"/>
      <c r="W512" s="502"/>
      <c r="X512" s="1188"/>
      <c r="Y512" s="500"/>
      <c r="Z512" s="2035"/>
      <c r="AA512" s="428"/>
      <c r="AB512" s="406"/>
      <c r="AC512" s="585"/>
      <c r="AD512" s="406"/>
      <c r="AE512" s="406"/>
      <c r="AF512" s="406"/>
      <c r="AG512" s="406"/>
      <c r="AH512" s="406"/>
      <c r="AI512" s="406"/>
    </row>
    <row r="513" s="6" customFormat="1" ht="92" spans="1:35">
      <c r="A513" s="1825" t="s">
        <v>809</v>
      </c>
      <c r="B513" s="2050">
        <v>45174</v>
      </c>
      <c r="C513" s="1824" t="s">
        <v>5322</v>
      </c>
      <c r="D513" s="1790"/>
      <c r="E513" s="1824" t="s">
        <v>5338</v>
      </c>
      <c r="F513" s="1824" t="s">
        <v>5339</v>
      </c>
      <c r="G513" s="1825" t="s">
        <v>813</v>
      </c>
      <c r="H513" s="1824" t="s">
        <v>5128</v>
      </c>
      <c r="I513" s="1790"/>
      <c r="J513" s="1825" t="s">
        <v>5255</v>
      </c>
      <c r="K513" s="1790">
        <v>852178.1</v>
      </c>
      <c r="L513" s="1825" t="s">
        <v>138</v>
      </c>
      <c r="M513" s="2105">
        <v>1</v>
      </c>
      <c r="N513" s="2106" t="s">
        <v>5340</v>
      </c>
      <c r="O513" s="2107">
        <v>0.7</v>
      </c>
      <c r="P513" s="1897">
        <v>90701.1</v>
      </c>
      <c r="Q513" s="2151">
        <v>90701.1</v>
      </c>
      <c r="R513" s="1824" t="s">
        <v>4603</v>
      </c>
      <c r="S513" s="1791">
        <v>45299</v>
      </c>
      <c r="T513" s="2151">
        <v>90701.1</v>
      </c>
      <c r="U513" s="1791">
        <v>45299</v>
      </c>
      <c r="V513" s="2151">
        <v>90701.1</v>
      </c>
      <c r="W513" s="1791">
        <v>45299</v>
      </c>
      <c r="X513" s="2194">
        <v>90701.1</v>
      </c>
      <c r="Y513" s="2224">
        <v>45316</v>
      </c>
      <c r="Z513" s="2029">
        <f>Q513-X513</f>
        <v>0</v>
      </c>
      <c r="AA513" s="1825"/>
      <c r="AB513" s="1790"/>
      <c r="AC513" s="2245"/>
      <c r="AD513" s="1790"/>
      <c r="AE513" s="1790"/>
      <c r="AF513" s="1790"/>
      <c r="AG513" s="1790"/>
      <c r="AH513" s="1790"/>
      <c r="AI513" s="1790"/>
    </row>
    <row r="514" s="6" customFormat="1" ht="39.15" customHeight="1" spans="1:35">
      <c r="A514" s="1790"/>
      <c r="B514" s="1790"/>
      <c r="C514" s="1790"/>
      <c r="D514" s="1790"/>
      <c r="E514" s="1790"/>
      <c r="F514" s="1826"/>
      <c r="G514" s="1790"/>
      <c r="H514" s="1826"/>
      <c r="I514" s="1790"/>
      <c r="J514" s="1790"/>
      <c r="K514" s="1790"/>
      <c r="L514" s="1790"/>
      <c r="M514" s="2108"/>
      <c r="N514" s="2109" t="s">
        <v>5341</v>
      </c>
      <c r="O514" s="2110">
        <v>0.7</v>
      </c>
      <c r="P514" s="2111">
        <v>349625.06</v>
      </c>
      <c r="Q514" s="2152">
        <v>349625.06</v>
      </c>
      <c r="R514" s="2109" t="s">
        <v>4603</v>
      </c>
      <c r="S514" s="2153">
        <v>45616</v>
      </c>
      <c r="T514" s="2086">
        <v>349625.06</v>
      </c>
      <c r="U514" s="2195">
        <v>45616</v>
      </c>
      <c r="V514" s="2194">
        <v>150000</v>
      </c>
      <c r="W514" s="2196">
        <v>45616</v>
      </c>
      <c r="X514" s="2194">
        <v>150000</v>
      </c>
      <c r="Y514" s="2196">
        <v>45624</v>
      </c>
      <c r="Z514" s="2029"/>
      <c r="AA514" s="1825"/>
      <c r="AB514" s="1790"/>
      <c r="AC514" s="2245"/>
      <c r="AD514" s="1790"/>
      <c r="AE514" s="1790"/>
      <c r="AF514" s="1790"/>
      <c r="AG514" s="1790"/>
      <c r="AH514" s="1790"/>
      <c r="AI514" s="1790"/>
    </row>
    <row r="515" s="6" customFormat="1" ht="40.85" customHeight="1" spans="1:35">
      <c r="A515" s="1790"/>
      <c r="B515" s="1790"/>
      <c r="C515" s="1790"/>
      <c r="D515" s="1790"/>
      <c r="E515" s="1790"/>
      <c r="F515" s="1826"/>
      <c r="G515" s="1790"/>
      <c r="H515" s="1826"/>
      <c r="I515" s="1790"/>
      <c r="J515" s="1790"/>
      <c r="K515" s="1790"/>
      <c r="L515" s="1790"/>
      <c r="M515" s="2108"/>
      <c r="N515" s="2112"/>
      <c r="O515" s="2113"/>
      <c r="P515" s="2114"/>
      <c r="Q515" s="2154"/>
      <c r="R515" s="2112"/>
      <c r="S515" s="2155"/>
      <c r="T515" s="2156"/>
      <c r="U515" s="2197"/>
      <c r="V515" s="2194">
        <v>100000</v>
      </c>
      <c r="W515" s="2196">
        <v>45671</v>
      </c>
      <c r="X515" s="2194">
        <v>100000</v>
      </c>
      <c r="Y515" s="2196">
        <v>45681</v>
      </c>
      <c r="Z515" s="2029"/>
      <c r="AA515" s="1825"/>
      <c r="AB515" s="1790"/>
      <c r="AC515" s="2245"/>
      <c r="AD515" s="1790"/>
      <c r="AE515" s="1790"/>
      <c r="AF515" s="1790"/>
      <c r="AG515" s="1790"/>
      <c r="AH515" s="1790"/>
      <c r="AI515" s="1790"/>
    </row>
    <row r="516" s="6" customFormat="1" spans="1:35">
      <c r="A516" s="1790"/>
      <c r="B516" s="1790"/>
      <c r="C516" s="1790"/>
      <c r="D516" s="1790"/>
      <c r="E516" s="1790"/>
      <c r="F516" s="1826"/>
      <c r="G516" s="1790"/>
      <c r="H516" s="1826"/>
      <c r="I516" s="1790"/>
      <c r="J516" s="1790"/>
      <c r="K516" s="1790"/>
      <c r="L516" s="1790"/>
      <c r="M516" s="2108"/>
      <c r="N516" s="1969"/>
      <c r="O516" s="2115"/>
      <c r="P516" s="1893"/>
      <c r="Q516" s="1842"/>
      <c r="R516" s="1969"/>
      <c r="S516" s="1970"/>
      <c r="T516" s="2028"/>
      <c r="U516" s="2198"/>
      <c r="V516" s="2194">
        <f>Q514-V514-V515</f>
        <v>99625.06</v>
      </c>
      <c r="W516" s="2199">
        <v>45730</v>
      </c>
      <c r="X516" s="2200">
        <v>99625.06</v>
      </c>
      <c r="Y516" s="2196">
        <v>45744</v>
      </c>
      <c r="Z516" s="2029"/>
      <c r="AA516" s="1825"/>
      <c r="AB516" s="1790"/>
      <c r="AC516" s="2245"/>
      <c r="AD516" s="1790"/>
      <c r="AE516" s="1790"/>
      <c r="AF516" s="1790"/>
      <c r="AG516" s="1790"/>
      <c r="AH516" s="1790"/>
      <c r="AI516" s="1790"/>
    </row>
    <row r="517" s="6" customFormat="1" ht="92" spans="1:35">
      <c r="A517" s="1790"/>
      <c r="B517" s="1790"/>
      <c r="C517" s="1790"/>
      <c r="D517" s="1790"/>
      <c r="E517" s="1790"/>
      <c r="F517" s="1826"/>
      <c r="G517" s="1790"/>
      <c r="H517" s="1826"/>
      <c r="I517" s="1790"/>
      <c r="J517" s="1790"/>
      <c r="K517" s="1790"/>
      <c r="L517" s="1790"/>
      <c r="M517" s="2116"/>
      <c r="N517" s="2106" t="s">
        <v>5342</v>
      </c>
      <c r="O517" s="2107">
        <v>0.7</v>
      </c>
      <c r="P517" s="1897">
        <v>156198.51</v>
      </c>
      <c r="Q517" s="2157">
        <v>156198.51</v>
      </c>
      <c r="R517" s="1824" t="s">
        <v>4603</v>
      </c>
      <c r="S517" s="1791">
        <v>45945</v>
      </c>
      <c r="T517" s="1790">
        <v>156198.51</v>
      </c>
      <c r="U517" s="2050">
        <v>45947</v>
      </c>
      <c r="V517" s="2194">
        <v>156198.51</v>
      </c>
      <c r="W517" s="2196">
        <v>45950</v>
      </c>
      <c r="X517" s="2194">
        <v>151998.51</v>
      </c>
      <c r="Y517" s="2196">
        <v>45961</v>
      </c>
      <c r="Z517" s="2029">
        <f>Q517-X517</f>
        <v>4200</v>
      </c>
      <c r="AA517" s="1825"/>
      <c r="AB517" s="1790"/>
      <c r="AC517" s="2245"/>
      <c r="AD517" s="1790"/>
      <c r="AE517" s="1790"/>
      <c r="AF517" s="1790"/>
      <c r="AG517" s="1790"/>
      <c r="AH517" s="1790"/>
      <c r="AI517" s="1790"/>
    </row>
    <row r="518" s="6" customFormat="1" ht="76" spans="1:35">
      <c r="A518" s="1790"/>
      <c r="B518" s="1790"/>
      <c r="C518" s="1790"/>
      <c r="D518" s="1790"/>
      <c r="E518" s="1790"/>
      <c r="F518" s="1826"/>
      <c r="G518" s="1790"/>
      <c r="H518" s="1826"/>
      <c r="I518" s="1790"/>
      <c r="J518" s="1790"/>
      <c r="K518" s="1790"/>
      <c r="L518" s="1790"/>
      <c r="M518" s="1826">
        <v>2</v>
      </c>
      <c r="N518" s="2106" t="s">
        <v>5343</v>
      </c>
      <c r="O518" s="2107">
        <v>0.2</v>
      </c>
      <c r="P518" s="1897">
        <f>K513*O518</f>
        <v>170435.62</v>
      </c>
      <c r="Q518" s="2158">
        <v>170435.62</v>
      </c>
      <c r="R518" s="1972" t="s">
        <v>349</v>
      </c>
      <c r="S518" s="1973">
        <v>46111</v>
      </c>
      <c r="T518" s="1790"/>
      <c r="U518" s="2050"/>
      <c r="V518" s="2194"/>
      <c r="W518" s="2196"/>
      <c r="X518" s="2194"/>
      <c r="Y518" s="2196"/>
      <c r="Z518" s="2225"/>
      <c r="AA518" s="1825"/>
      <c r="AB518" s="1790"/>
      <c r="AC518" s="2245"/>
      <c r="AD518" s="1790"/>
      <c r="AE518" s="1790"/>
      <c r="AF518" s="1790"/>
      <c r="AG518" s="1790"/>
      <c r="AH518" s="1790"/>
      <c r="AI518" s="1790"/>
    </row>
    <row r="519" s="6" customFormat="1" ht="76" spans="1:35">
      <c r="A519" s="1790"/>
      <c r="B519" s="1790"/>
      <c r="C519" s="1790"/>
      <c r="D519" s="1790"/>
      <c r="E519" s="1790"/>
      <c r="F519" s="1826"/>
      <c r="G519" s="1790"/>
      <c r="H519" s="1826"/>
      <c r="I519" s="2086"/>
      <c r="J519" s="2086"/>
      <c r="K519" s="1790"/>
      <c r="L519" s="1790"/>
      <c r="M519" s="1824" t="s">
        <v>4333</v>
      </c>
      <c r="N519" s="2106" t="s">
        <v>5344</v>
      </c>
      <c r="O519" s="2107">
        <v>0.1</v>
      </c>
      <c r="P519" s="1897">
        <f>K513*O519</f>
        <v>85217.81</v>
      </c>
      <c r="Q519" s="2158">
        <v>85217.81</v>
      </c>
      <c r="R519" s="1972"/>
      <c r="S519" s="1973"/>
      <c r="T519" s="1790"/>
      <c r="U519" s="2050"/>
      <c r="V519" s="2194"/>
      <c r="W519" s="2196"/>
      <c r="X519" s="2194"/>
      <c r="Y519" s="2196"/>
      <c r="Z519" s="2225"/>
      <c r="AA519" s="1825"/>
      <c r="AB519" s="1790"/>
      <c r="AC519" s="2245"/>
      <c r="AD519" s="1790"/>
      <c r="AE519" s="1790"/>
      <c r="AF519" s="1790"/>
      <c r="AG519" s="1790"/>
      <c r="AH519" s="1790"/>
      <c r="AI519" s="1790"/>
    </row>
    <row r="520" s="6" customFormat="1" ht="92" spans="1:35">
      <c r="A520" s="1280" t="s">
        <v>809</v>
      </c>
      <c r="B520" s="2051">
        <v>45511</v>
      </c>
      <c r="C520" s="1254" t="s">
        <v>5345</v>
      </c>
      <c r="D520" s="419"/>
      <c r="E520" s="1280" t="s">
        <v>5346</v>
      </c>
      <c r="F520" s="1280" t="s">
        <v>5347</v>
      </c>
      <c r="G520" s="1280" t="s">
        <v>813</v>
      </c>
      <c r="H520" s="1280" t="s">
        <v>5128</v>
      </c>
      <c r="I520" s="1280"/>
      <c r="J520" s="1280" t="s">
        <v>5255</v>
      </c>
      <c r="K520" s="2087">
        <v>629270.92</v>
      </c>
      <c r="L520" s="1396" t="s">
        <v>138</v>
      </c>
      <c r="M520" s="1282">
        <v>1</v>
      </c>
      <c r="N520" s="2117" t="s">
        <v>5348</v>
      </c>
      <c r="O520" s="2118">
        <v>0.6</v>
      </c>
      <c r="P520" s="2090">
        <f>K520*O520</f>
        <v>377562.552</v>
      </c>
      <c r="Q520" s="2159"/>
      <c r="R520" s="1846"/>
      <c r="S520" s="2055"/>
      <c r="T520" s="2159"/>
      <c r="U520" s="2201"/>
      <c r="V520" s="2159"/>
      <c r="W520" s="2202"/>
      <c r="X520" s="2159"/>
      <c r="Y520" s="2201"/>
      <c r="Z520" s="1282"/>
      <c r="AA520" s="2226"/>
      <c r="AB520" s="2226"/>
      <c r="AC520" s="2246"/>
      <c r="AD520" s="1301"/>
      <c r="AE520" s="2247"/>
      <c r="AF520" s="2248"/>
      <c r="AG520" s="2248"/>
      <c r="AH520" s="2265"/>
      <c r="AI520" s="2266"/>
    </row>
    <row r="521" s="6" customFormat="1" ht="76" spans="1:35">
      <c r="A521" s="2052"/>
      <c r="B521" s="2053"/>
      <c r="C521" s="2054"/>
      <c r="D521" s="419"/>
      <c r="E521" s="2052"/>
      <c r="F521" s="2052"/>
      <c r="G521" s="2052"/>
      <c r="H521" s="2052"/>
      <c r="I521" s="2052"/>
      <c r="J521" s="2052"/>
      <c r="K521" s="2087"/>
      <c r="L521" s="1396"/>
      <c r="M521" s="1282">
        <v>2</v>
      </c>
      <c r="N521" s="2117" t="s">
        <v>5349</v>
      </c>
      <c r="O521" s="2118">
        <v>0.1</v>
      </c>
      <c r="P521" s="2090">
        <f>K520*O521</f>
        <v>62927.092</v>
      </c>
      <c r="Q521" s="2159"/>
      <c r="R521" s="1846"/>
      <c r="S521" s="2055"/>
      <c r="T521" s="2159"/>
      <c r="U521" s="2201"/>
      <c r="V521" s="2159"/>
      <c r="W521" s="2202"/>
      <c r="X521" s="2159"/>
      <c r="Y521" s="2201"/>
      <c r="Z521" s="1282"/>
      <c r="AA521" s="2226"/>
      <c r="AB521" s="2226"/>
      <c r="AC521" s="2246"/>
      <c r="AD521" s="1301"/>
      <c r="AE521" s="2247"/>
      <c r="AF521" s="2248"/>
      <c r="AG521" s="2248"/>
      <c r="AH521" s="2265"/>
      <c r="AI521" s="2266"/>
    </row>
    <row r="522" s="6" customFormat="1" ht="76" spans="1:35">
      <c r="A522" s="2052"/>
      <c r="B522" s="2053"/>
      <c r="C522" s="2054"/>
      <c r="D522" s="419"/>
      <c r="E522" s="2052"/>
      <c r="F522" s="2052"/>
      <c r="G522" s="2052"/>
      <c r="H522" s="2052"/>
      <c r="I522" s="2052"/>
      <c r="J522" s="2052"/>
      <c r="K522" s="2087"/>
      <c r="L522" s="1396"/>
      <c r="M522" s="1282">
        <v>3</v>
      </c>
      <c r="N522" s="2117" t="s">
        <v>5350</v>
      </c>
      <c r="O522" s="2118">
        <v>0.2</v>
      </c>
      <c r="P522" s="2090">
        <f>K520*O522</f>
        <v>125854.184</v>
      </c>
      <c r="Q522" s="2159"/>
      <c r="R522" s="1846"/>
      <c r="S522" s="2055"/>
      <c r="T522" s="2159"/>
      <c r="U522" s="2201"/>
      <c r="V522" s="2159"/>
      <c r="W522" s="2202"/>
      <c r="X522" s="2159"/>
      <c r="Y522" s="2201"/>
      <c r="Z522" s="1282"/>
      <c r="AA522" s="2226"/>
      <c r="AB522" s="2226"/>
      <c r="AC522" s="2246"/>
      <c r="AD522" s="1301"/>
      <c r="AE522" s="2247"/>
      <c r="AF522" s="2248"/>
      <c r="AG522" s="2248"/>
      <c r="AH522" s="2265"/>
      <c r="AI522" s="2266"/>
    </row>
    <row r="523" s="6" customFormat="1" ht="76" spans="1:35">
      <c r="A523" s="2052"/>
      <c r="B523" s="2053"/>
      <c r="C523" s="2054"/>
      <c r="D523" s="419"/>
      <c r="E523" s="2052"/>
      <c r="F523" s="2052"/>
      <c r="G523" s="2052"/>
      <c r="H523" s="2052"/>
      <c r="I523" s="2052"/>
      <c r="J523" s="2052"/>
      <c r="K523" s="2088"/>
      <c r="L523" s="1280"/>
      <c r="M523" s="1282">
        <v>4</v>
      </c>
      <c r="N523" s="2117" t="s">
        <v>5351</v>
      </c>
      <c r="O523" s="2118">
        <v>0.1</v>
      </c>
      <c r="P523" s="2090">
        <f>K520*O523</f>
        <v>62927.092</v>
      </c>
      <c r="Q523" s="2159"/>
      <c r="R523" s="1846"/>
      <c r="S523" s="2055"/>
      <c r="T523" s="2159"/>
      <c r="U523" s="2201"/>
      <c r="V523" s="2159"/>
      <c r="W523" s="2202"/>
      <c r="X523" s="2159"/>
      <c r="Y523" s="2201"/>
      <c r="Z523" s="1282"/>
      <c r="AA523" s="2226"/>
      <c r="AB523" s="2226"/>
      <c r="AC523" s="2246"/>
      <c r="AD523" s="1301"/>
      <c r="AE523" s="2247"/>
      <c r="AF523" s="2248"/>
      <c r="AG523" s="2248"/>
      <c r="AH523" s="2265"/>
      <c r="AI523" s="2266"/>
    </row>
    <row r="524" customFormat="1" ht="46" spans="1:35">
      <c r="A524" s="1396" t="s">
        <v>809</v>
      </c>
      <c r="B524" s="2051">
        <v>45660</v>
      </c>
      <c r="C524" s="1254" t="s">
        <v>5345</v>
      </c>
      <c r="D524" s="419"/>
      <c r="E524" s="1280" t="s">
        <v>5352</v>
      </c>
      <c r="F524" s="1280" t="s">
        <v>5353</v>
      </c>
      <c r="G524" s="1280" t="s">
        <v>5354</v>
      </c>
      <c r="H524" s="1280" t="s">
        <v>5325</v>
      </c>
      <c r="I524" s="1280"/>
      <c r="J524" s="1280" t="s">
        <v>997</v>
      </c>
      <c r="K524" s="2088">
        <v>350000</v>
      </c>
      <c r="L524" s="1280" t="s">
        <v>138</v>
      </c>
      <c r="M524" s="1282">
        <v>1</v>
      </c>
      <c r="N524" s="2117" t="s">
        <v>5355</v>
      </c>
      <c r="O524" s="2118">
        <v>0.6</v>
      </c>
      <c r="P524" s="2090">
        <f>K524*O524</f>
        <v>210000</v>
      </c>
      <c r="Q524" s="2159"/>
      <c r="R524" s="1846"/>
      <c r="S524" s="2055"/>
      <c r="T524" s="2159"/>
      <c r="U524" s="2201"/>
      <c r="V524" s="2159"/>
      <c r="W524" s="2202"/>
      <c r="X524" s="2159"/>
      <c r="Y524" s="2201"/>
      <c r="Z524" s="1282"/>
      <c r="AA524" s="2226"/>
      <c r="AB524" s="2226"/>
      <c r="AC524" s="2246"/>
      <c r="AD524" s="1301"/>
      <c r="AE524" s="2247"/>
      <c r="AF524" s="2248"/>
      <c r="AG524" s="2248"/>
      <c r="AH524" s="2265"/>
      <c r="AI524" s="2266"/>
    </row>
    <row r="525" customFormat="1" ht="61" spans="1:35">
      <c r="A525" s="1396"/>
      <c r="B525" s="2053"/>
      <c r="C525" s="2054"/>
      <c r="D525" s="419"/>
      <c r="E525" s="2052"/>
      <c r="F525" s="2052"/>
      <c r="G525" s="2052"/>
      <c r="H525" s="2052"/>
      <c r="I525" s="2052"/>
      <c r="J525" s="2052"/>
      <c r="K525" s="2089"/>
      <c r="L525" s="2052"/>
      <c r="M525" s="1282">
        <v>2</v>
      </c>
      <c r="N525" s="2117" t="s">
        <v>5356</v>
      </c>
      <c r="O525" s="2118">
        <v>0.1</v>
      </c>
      <c r="P525" s="2090">
        <f>K524*O525</f>
        <v>35000</v>
      </c>
      <c r="Q525" s="2159"/>
      <c r="R525" s="1846"/>
      <c r="S525" s="2055"/>
      <c r="T525" s="2159"/>
      <c r="U525" s="2201"/>
      <c r="V525" s="2159"/>
      <c r="W525" s="2202"/>
      <c r="X525" s="2159"/>
      <c r="Y525" s="2201"/>
      <c r="Z525" s="1282"/>
      <c r="AA525" s="2226"/>
      <c r="AB525" s="2226"/>
      <c r="AC525" s="2246"/>
      <c r="AD525" s="1301"/>
      <c r="AE525" s="2247"/>
      <c r="AF525" s="2248"/>
      <c r="AG525" s="2248"/>
      <c r="AH525" s="2265"/>
      <c r="AI525" s="2266"/>
    </row>
    <row r="526" customFormat="1" ht="46" spans="1:35">
      <c r="A526" s="1396"/>
      <c r="B526" s="2053"/>
      <c r="C526" s="2054"/>
      <c r="D526" s="419"/>
      <c r="E526" s="2052"/>
      <c r="F526" s="2052"/>
      <c r="G526" s="2052"/>
      <c r="H526" s="2052"/>
      <c r="I526" s="2052"/>
      <c r="J526" s="2052"/>
      <c r="K526" s="2089"/>
      <c r="L526" s="2052"/>
      <c r="M526" s="1282">
        <v>3</v>
      </c>
      <c r="N526" s="2117" t="s">
        <v>5357</v>
      </c>
      <c r="O526" s="2118">
        <v>0.1</v>
      </c>
      <c r="P526" s="2090">
        <f>K524*O526</f>
        <v>35000</v>
      </c>
      <c r="Q526" s="2159"/>
      <c r="R526" s="1846"/>
      <c r="S526" s="2055"/>
      <c r="T526" s="2159"/>
      <c r="U526" s="2201"/>
      <c r="V526" s="2159"/>
      <c r="W526" s="2202"/>
      <c r="X526" s="2159"/>
      <c r="Y526" s="2201"/>
      <c r="Z526" s="1282"/>
      <c r="AA526" s="2226"/>
      <c r="AB526" s="2226"/>
      <c r="AC526" s="2246"/>
      <c r="AD526" s="1301"/>
      <c r="AE526" s="2247"/>
      <c r="AF526" s="2248"/>
      <c r="AG526" s="2248"/>
      <c r="AH526" s="2265"/>
      <c r="AI526" s="2266"/>
    </row>
    <row r="527" customFormat="1" ht="46" spans="1:35">
      <c r="A527" s="1396"/>
      <c r="B527" s="2055"/>
      <c r="C527" s="2056"/>
      <c r="D527" s="419"/>
      <c r="E527" s="1846"/>
      <c r="F527" s="1846"/>
      <c r="G527" s="1846"/>
      <c r="H527" s="1846"/>
      <c r="I527" s="1846"/>
      <c r="J527" s="1846"/>
      <c r="K527" s="2090"/>
      <c r="L527" s="1846"/>
      <c r="M527" s="1282">
        <v>4</v>
      </c>
      <c r="N527" s="2117" t="s">
        <v>5358</v>
      </c>
      <c r="O527" s="2118">
        <v>0.1</v>
      </c>
      <c r="P527" s="2090">
        <f>K524*O527</f>
        <v>35000</v>
      </c>
      <c r="Q527" s="2159"/>
      <c r="R527" s="1846"/>
      <c r="S527" s="2055"/>
      <c r="T527" s="2159"/>
      <c r="U527" s="2201"/>
      <c r="V527" s="2159"/>
      <c r="W527" s="2202"/>
      <c r="X527" s="2159"/>
      <c r="Y527" s="2201"/>
      <c r="Z527" s="1282"/>
      <c r="AA527" s="2226"/>
      <c r="AB527" s="2226"/>
      <c r="AC527" s="2246"/>
      <c r="AD527" s="1301"/>
      <c r="AE527" s="2247"/>
      <c r="AF527" s="2248"/>
      <c r="AG527" s="2248"/>
      <c r="AH527" s="2265"/>
      <c r="AI527" s="2266"/>
    </row>
    <row r="528" s="15" customFormat="1" ht="46" spans="1:35">
      <c r="A528" s="1768" t="s">
        <v>809</v>
      </c>
      <c r="B528" s="1769">
        <v>45671</v>
      </c>
      <c r="C528" s="1770" t="s">
        <v>5345</v>
      </c>
      <c r="D528" s="419"/>
      <c r="E528" s="1817" t="s">
        <v>5359</v>
      </c>
      <c r="F528" s="1817" t="s">
        <v>5360</v>
      </c>
      <c r="G528" s="1771" t="s">
        <v>4338</v>
      </c>
      <c r="H528" s="1817" t="s">
        <v>5294</v>
      </c>
      <c r="I528" s="1836"/>
      <c r="J528" s="1837" t="s">
        <v>997</v>
      </c>
      <c r="K528" s="1836">
        <v>80000</v>
      </c>
      <c r="L528" s="1771" t="s">
        <v>5238</v>
      </c>
      <c r="M528" s="1499">
        <v>1</v>
      </c>
      <c r="N528" s="1578" t="s">
        <v>5295</v>
      </c>
      <c r="O528" s="1873">
        <v>0.3</v>
      </c>
      <c r="P528" s="2119">
        <f>K528*O528</f>
        <v>24000</v>
      </c>
      <c r="Q528" s="2160"/>
      <c r="R528" s="2161"/>
      <c r="S528" s="2162"/>
      <c r="T528" s="2160"/>
      <c r="U528" s="2203"/>
      <c r="V528" s="2160"/>
      <c r="W528" s="2204"/>
      <c r="X528" s="2160"/>
      <c r="Y528" s="2203"/>
      <c r="Z528" s="2072"/>
      <c r="AA528" s="2227"/>
      <c r="AB528" s="2227"/>
      <c r="AC528" s="2249"/>
      <c r="AD528" s="336"/>
      <c r="AE528" s="2250"/>
      <c r="AF528" s="2251"/>
      <c r="AG528" s="2251"/>
      <c r="AH528" s="136"/>
      <c r="AI528" s="2267"/>
    </row>
    <row r="529" s="15" customFormat="1" ht="46" spans="1:35">
      <c r="A529" s="1771"/>
      <c r="B529" s="1769"/>
      <c r="C529" s="1770"/>
      <c r="D529" s="419"/>
      <c r="E529" s="1817"/>
      <c r="F529" s="1817"/>
      <c r="G529" s="1771"/>
      <c r="H529" s="1817"/>
      <c r="I529" s="1836"/>
      <c r="J529" s="1836"/>
      <c r="K529" s="1836"/>
      <c r="L529" s="1771"/>
      <c r="M529" s="1499">
        <v>2</v>
      </c>
      <c r="N529" s="1578" t="s">
        <v>5296</v>
      </c>
      <c r="O529" s="1873">
        <v>0.4</v>
      </c>
      <c r="P529" s="2119">
        <f>K528*O529</f>
        <v>32000</v>
      </c>
      <c r="Q529" s="2160"/>
      <c r="R529" s="2161"/>
      <c r="S529" s="2162"/>
      <c r="T529" s="2160"/>
      <c r="U529" s="2203"/>
      <c r="V529" s="2160"/>
      <c r="W529" s="2204"/>
      <c r="X529" s="2160"/>
      <c r="Y529" s="2203"/>
      <c r="Z529" s="2072"/>
      <c r="AA529" s="2227"/>
      <c r="AB529" s="2227"/>
      <c r="AC529" s="2249"/>
      <c r="AD529" s="336"/>
      <c r="AE529" s="2250"/>
      <c r="AF529" s="2251"/>
      <c r="AG529" s="2251"/>
      <c r="AH529" s="136"/>
      <c r="AI529" s="2267"/>
    </row>
    <row r="530" s="15" customFormat="1" ht="46" spans="1:35">
      <c r="A530" s="1771"/>
      <c r="B530" s="1769"/>
      <c r="C530" s="1770"/>
      <c r="D530" s="419"/>
      <c r="E530" s="1817"/>
      <c r="F530" s="1817"/>
      <c r="G530" s="1771"/>
      <c r="H530" s="1817"/>
      <c r="I530" s="1836"/>
      <c r="J530" s="1836"/>
      <c r="K530" s="1836"/>
      <c r="L530" s="1771"/>
      <c r="M530" s="1499">
        <v>3</v>
      </c>
      <c r="N530" s="1578" t="s">
        <v>881</v>
      </c>
      <c r="O530" s="1873">
        <v>0.2</v>
      </c>
      <c r="P530" s="2119">
        <f>K528*O530</f>
        <v>16000</v>
      </c>
      <c r="Q530" s="2160"/>
      <c r="R530" s="2161"/>
      <c r="S530" s="2162"/>
      <c r="T530" s="2160"/>
      <c r="U530" s="2203"/>
      <c r="V530" s="2160"/>
      <c r="W530" s="2204"/>
      <c r="X530" s="2160"/>
      <c r="Y530" s="2203"/>
      <c r="Z530" s="2072"/>
      <c r="AA530" s="2227"/>
      <c r="AB530" s="2227"/>
      <c r="AC530" s="2249"/>
      <c r="AD530" s="336"/>
      <c r="AE530" s="2250"/>
      <c r="AF530" s="2251"/>
      <c r="AG530" s="2251"/>
      <c r="AH530" s="136"/>
      <c r="AI530" s="2267"/>
    </row>
    <row r="531" s="15" customFormat="1" ht="46" spans="1:35">
      <c r="A531" s="1772"/>
      <c r="B531" s="1769"/>
      <c r="C531" s="1770"/>
      <c r="D531" s="419"/>
      <c r="E531" s="1817"/>
      <c r="F531" s="1817"/>
      <c r="G531" s="1771"/>
      <c r="H531" s="1817"/>
      <c r="I531" s="1836"/>
      <c r="J531" s="1836"/>
      <c r="K531" s="1836"/>
      <c r="L531" s="1771"/>
      <c r="M531" s="1499">
        <v>4</v>
      </c>
      <c r="N531" s="1578" t="s">
        <v>882</v>
      </c>
      <c r="O531" s="1579">
        <v>0.1</v>
      </c>
      <c r="P531" s="2119">
        <f>K528*O531</f>
        <v>8000</v>
      </c>
      <c r="Q531" s="2160"/>
      <c r="R531" s="2161"/>
      <c r="S531" s="2162"/>
      <c r="T531" s="2160"/>
      <c r="U531" s="2203"/>
      <c r="V531" s="2160"/>
      <c r="W531" s="2204"/>
      <c r="X531" s="2160"/>
      <c r="Y531" s="2203"/>
      <c r="Z531" s="2072"/>
      <c r="AA531" s="2227"/>
      <c r="AB531" s="2227"/>
      <c r="AC531" s="2249"/>
      <c r="AD531" s="336"/>
      <c r="AE531" s="2250"/>
      <c r="AF531" s="2251"/>
      <c r="AG531" s="2251"/>
      <c r="AH531" s="136"/>
      <c r="AI531" s="2267"/>
    </row>
    <row r="532" s="16" customFormat="1" ht="25" customHeight="1" spans="1:35">
      <c r="A532" s="418" t="s">
        <v>809</v>
      </c>
      <c r="B532" s="1403">
        <v>45652</v>
      </c>
      <c r="C532" s="395" t="s">
        <v>5345</v>
      </c>
      <c r="D532" s="419"/>
      <c r="E532" s="418" t="s">
        <v>5361</v>
      </c>
      <c r="F532" s="418" t="s">
        <v>5362</v>
      </c>
      <c r="G532" s="418" t="s">
        <v>5363</v>
      </c>
      <c r="H532" s="418" t="s">
        <v>5364</v>
      </c>
      <c r="I532" s="418"/>
      <c r="J532" s="418" t="s">
        <v>5365</v>
      </c>
      <c r="K532" s="441">
        <v>64900</v>
      </c>
      <c r="L532" s="418" t="s">
        <v>138</v>
      </c>
      <c r="M532" s="618">
        <v>1</v>
      </c>
      <c r="N532" s="2120" t="s">
        <v>5366</v>
      </c>
      <c r="O532" s="2121">
        <v>0.6</v>
      </c>
      <c r="P532" s="2098">
        <f>K532*O532</f>
        <v>38940</v>
      </c>
      <c r="Q532" s="2163">
        <v>38940</v>
      </c>
      <c r="R532" s="691" t="s">
        <v>4603</v>
      </c>
      <c r="S532" s="1407">
        <v>45727</v>
      </c>
      <c r="T532" s="2163">
        <v>28940</v>
      </c>
      <c r="U532" s="2205">
        <v>45727</v>
      </c>
      <c r="V532" s="2163">
        <v>38940</v>
      </c>
      <c r="W532" s="2206">
        <v>45730</v>
      </c>
      <c r="X532" s="2163">
        <v>38940</v>
      </c>
      <c r="Y532" s="2205">
        <v>45743</v>
      </c>
      <c r="Z532" s="618"/>
      <c r="AA532" s="2228"/>
      <c r="AB532" s="2228"/>
      <c r="AC532" s="2142"/>
      <c r="AD532" s="613"/>
      <c r="AE532" s="2252"/>
      <c r="AF532" s="2253"/>
      <c r="AG532" s="2253"/>
      <c r="AH532" s="2268"/>
      <c r="AI532" s="2269"/>
    </row>
    <row r="533" s="16" customFormat="1" ht="25" customHeight="1" spans="1:35">
      <c r="A533" s="418"/>
      <c r="B533" s="1403"/>
      <c r="C533" s="395"/>
      <c r="D533" s="419"/>
      <c r="E533" s="418"/>
      <c r="F533" s="418"/>
      <c r="G533" s="418"/>
      <c r="H533" s="418"/>
      <c r="I533" s="418"/>
      <c r="J533" s="418"/>
      <c r="K533" s="441"/>
      <c r="L533" s="418"/>
      <c r="M533" s="617">
        <v>2</v>
      </c>
      <c r="N533" s="689" t="s">
        <v>5367</v>
      </c>
      <c r="O533" s="2122">
        <v>0.4</v>
      </c>
      <c r="P533" s="2097">
        <f>K532*O533</f>
        <v>25960</v>
      </c>
      <c r="Q533" s="2163">
        <f>P533/2</f>
        <v>12980</v>
      </c>
      <c r="R533" s="691" t="s">
        <v>4603</v>
      </c>
      <c r="S533" s="1407">
        <v>45909</v>
      </c>
      <c r="T533" s="1406">
        <f>Q533</f>
        <v>12980</v>
      </c>
      <c r="U533" s="1407">
        <v>45909</v>
      </c>
      <c r="V533" s="2163">
        <v>12980</v>
      </c>
      <c r="W533" s="2206"/>
      <c r="X533" s="2163"/>
      <c r="Y533" s="2205"/>
      <c r="Z533" s="618"/>
      <c r="AA533" s="2228"/>
      <c r="AB533" s="2228"/>
      <c r="AC533" s="2142"/>
      <c r="AD533" s="613"/>
      <c r="AE533" s="2252"/>
      <c r="AF533" s="2253"/>
      <c r="AG533" s="2253"/>
      <c r="AH533" s="2268"/>
      <c r="AI533" s="2269"/>
    </row>
    <row r="534" s="16" customFormat="1" ht="25" customHeight="1" spans="1:35">
      <c r="A534" s="418"/>
      <c r="B534" s="1403"/>
      <c r="C534" s="395"/>
      <c r="D534" s="419"/>
      <c r="E534" s="418"/>
      <c r="F534" s="418"/>
      <c r="G534" s="418"/>
      <c r="H534" s="418"/>
      <c r="I534" s="418"/>
      <c r="J534" s="418"/>
      <c r="K534" s="441"/>
      <c r="L534" s="418"/>
      <c r="M534" s="618"/>
      <c r="N534" s="2120"/>
      <c r="O534" s="2121"/>
      <c r="P534" s="2098"/>
      <c r="Q534" s="2163">
        <f>P533/2</f>
        <v>12980</v>
      </c>
      <c r="R534" s="691"/>
      <c r="S534" s="1407"/>
      <c r="T534" s="2163"/>
      <c r="U534" s="2205"/>
      <c r="V534" s="2163"/>
      <c r="W534" s="2206"/>
      <c r="X534" s="2163"/>
      <c r="Y534" s="2205"/>
      <c r="Z534" s="618"/>
      <c r="AA534" s="2228"/>
      <c r="AB534" s="2228"/>
      <c r="AC534" s="2142"/>
      <c r="AD534" s="613"/>
      <c r="AE534" s="2252"/>
      <c r="AF534" s="2253"/>
      <c r="AG534" s="2253"/>
      <c r="AH534" s="2268"/>
      <c r="AI534" s="2269"/>
    </row>
    <row r="535" s="6" customFormat="1" ht="40.5" customHeight="1" spans="1:35">
      <c r="A535" s="1274" t="s">
        <v>809</v>
      </c>
      <c r="B535" s="2057">
        <v>45377</v>
      </c>
      <c r="C535" s="2058" t="s">
        <v>5286</v>
      </c>
      <c r="D535" s="419"/>
      <c r="E535" s="1273" t="s">
        <v>5368</v>
      </c>
      <c r="F535" s="1273" t="s">
        <v>5369</v>
      </c>
      <c r="G535" s="1273" t="s">
        <v>5261</v>
      </c>
      <c r="H535" s="1273" t="s">
        <v>5262</v>
      </c>
      <c r="I535" s="1273" t="s">
        <v>171</v>
      </c>
      <c r="J535" s="1273" t="s">
        <v>997</v>
      </c>
      <c r="K535" s="2091">
        <v>300000</v>
      </c>
      <c r="L535" s="1273" t="s">
        <v>138</v>
      </c>
      <c r="M535" s="1453">
        <v>1</v>
      </c>
      <c r="N535" s="2123" t="s">
        <v>5370</v>
      </c>
      <c r="O535" s="2124">
        <v>0.6</v>
      </c>
      <c r="P535" s="2125">
        <f>K535*O535</f>
        <v>180000</v>
      </c>
      <c r="Q535" s="2164">
        <v>100000</v>
      </c>
      <c r="R535" s="2165" t="s">
        <v>5015</v>
      </c>
      <c r="S535" s="2166">
        <v>46021</v>
      </c>
      <c r="T535" s="1500"/>
      <c r="U535" s="2207"/>
      <c r="V535" s="1500"/>
      <c r="W535" s="2208"/>
      <c r="X535" s="1500"/>
      <c r="Y535" s="2207"/>
      <c r="Z535" s="1453"/>
      <c r="AA535" s="2229"/>
      <c r="AB535" s="2229"/>
      <c r="AC535" s="2254"/>
      <c r="AD535" s="1452"/>
      <c r="AE535" s="1228"/>
      <c r="AF535" s="1228"/>
      <c r="AG535" s="1228"/>
      <c r="AH535" s="1228"/>
      <c r="AI535" s="1228"/>
    </row>
    <row r="536" s="6" customFormat="1" ht="30" customHeight="1" spans="1:35">
      <c r="A536" s="1227"/>
      <c r="B536" s="2059"/>
      <c r="C536" s="2060"/>
      <c r="D536" s="419"/>
      <c r="E536" s="1451"/>
      <c r="F536" s="1451"/>
      <c r="G536" s="1451"/>
      <c r="H536" s="1451"/>
      <c r="I536" s="1451"/>
      <c r="J536" s="1451"/>
      <c r="K536" s="2091"/>
      <c r="L536" s="1451"/>
      <c r="M536" s="1227">
        <v>2</v>
      </c>
      <c r="N536" s="1314" t="s">
        <v>5371</v>
      </c>
      <c r="O536" s="2126">
        <v>0.3</v>
      </c>
      <c r="P536" s="2127">
        <f>K535*O536</f>
        <v>90000</v>
      </c>
      <c r="Q536" s="1367"/>
      <c r="R536" s="1274"/>
      <c r="S536" s="2167"/>
      <c r="T536" s="1367"/>
      <c r="U536" s="1410"/>
      <c r="V536" s="1367"/>
      <c r="W536" s="2209"/>
      <c r="X536" s="1367"/>
      <c r="Y536" s="1410"/>
      <c r="Z536" s="1227"/>
      <c r="AA536" s="2230"/>
      <c r="AB536" s="2230"/>
      <c r="AC536" s="2255"/>
      <c r="AD536" s="1228"/>
      <c r="AE536" s="1228"/>
      <c r="AF536" s="1228"/>
      <c r="AG536" s="1228"/>
      <c r="AH536" s="1228"/>
      <c r="AI536" s="1228"/>
    </row>
    <row r="537" s="6" customFormat="1" ht="30" customHeight="1" spans="1:35">
      <c r="A537" s="1227"/>
      <c r="B537" s="2061"/>
      <c r="C537" s="2062"/>
      <c r="D537" s="419"/>
      <c r="E537" s="1451"/>
      <c r="F537" s="1451"/>
      <c r="G537" s="1451"/>
      <c r="H537" s="1451"/>
      <c r="I537" s="1451"/>
      <c r="J537" s="1451"/>
      <c r="K537" s="2091"/>
      <c r="L537" s="1451"/>
      <c r="M537" s="2128">
        <v>3</v>
      </c>
      <c r="N537" s="2129" t="s">
        <v>5372</v>
      </c>
      <c r="O537" s="2130">
        <v>0.1</v>
      </c>
      <c r="P537" s="2131">
        <f>K535*O537</f>
        <v>30000</v>
      </c>
      <c r="Q537" s="2168"/>
      <c r="R537" s="1270"/>
      <c r="S537" s="2057"/>
      <c r="T537" s="2168"/>
      <c r="U537" s="2210"/>
      <c r="V537" s="2168"/>
      <c r="W537" s="2211"/>
      <c r="X537" s="2168"/>
      <c r="Y537" s="2210"/>
      <c r="Z537" s="2128"/>
      <c r="AA537" s="2231"/>
      <c r="AB537" s="2231"/>
      <c r="AC537" s="2256"/>
      <c r="AD537" s="2257"/>
      <c r="AE537" s="1228"/>
      <c r="AF537" s="1228"/>
      <c r="AG537" s="1228"/>
      <c r="AH537" s="1228"/>
      <c r="AI537" s="1228"/>
    </row>
    <row r="538" s="6" customFormat="1" ht="76" spans="1:35">
      <c r="A538" s="414" t="s">
        <v>809</v>
      </c>
      <c r="B538" s="2063">
        <v>45441</v>
      </c>
      <c r="C538" s="2064" t="s">
        <v>5286</v>
      </c>
      <c r="D538" s="419"/>
      <c r="E538" s="416" t="s">
        <v>5373</v>
      </c>
      <c r="F538" s="416" t="s">
        <v>5374</v>
      </c>
      <c r="G538" s="416" t="s">
        <v>5375</v>
      </c>
      <c r="H538" s="416" t="s">
        <v>5376</v>
      </c>
      <c r="I538" s="416" t="s">
        <v>171</v>
      </c>
      <c r="J538" s="416" t="s">
        <v>997</v>
      </c>
      <c r="K538" s="2092">
        <v>360000</v>
      </c>
      <c r="L538" s="416" t="s">
        <v>138</v>
      </c>
      <c r="M538" s="388">
        <v>1</v>
      </c>
      <c r="N538" s="2132" t="s">
        <v>5377</v>
      </c>
      <c r="O538" s="2133">
        <v>0.6</v>
      </c>
      <c r="P538" s="2134">
        <f>K538*O538</f>
        <v>216000</v>
      </c>
      <c r="Q538" s="2169">
        <v>100000</v>
      </c>
      <c r="R538" s="2170" t="s">
        <v>5015</v>
      </c>
      <c r="S538" s="2171">
        <v>46021</v>
      </c>
      <c r="T538" s="2172"/>
      <c r="U538" s="2212"/>
      <c r="V538" s="2172"/>
      <c r="W538" s="2213"/>
      <c r="X538" s="2172"/>
      <c r="Y538" s="2212"/>
      <c r="Z538" s="388"/>
      <c r="AA538" s="2232"/>
      <c r="AB538" s="2232"/>
      <c r="AC538" s="2258"/>
      <c r="AD538" s="415"/>
      <c r="AE538" s="2258"/>
      <c r="AF538" s="2258"/>
      <c r="AG538" s="2258"/>
      <c r="AH538" s="388"/>
      <c r="AI538" s="388"/>
    </row>
    <row r="539" s="6" customFormat="1" ht="61" spans="1:35">
      <c r="A539" s="388"/>
      <c r="B539" s="2065"/>
      <c r="C539" s="621"/>
      <c r="D539" s="419"/>
      <c r="E539" s="402"/>
      <c r="F539" s="402"/>
      <c r="G539" s="402"/>
      <c r="H539" s="402"/>
      <c r="I539" s="402"/>
      <c r="J539" s="420"/>
      <c r="K539" s="677"/>
      <c r="L539" s="402"/>
      <c r="M539" s="388">
        <v>2</v>
      </c>
      <c r="N539" s="2132" t="s">
        <v>5378</v>
      </c>
      <c r="O539" s="2133">
        <v>0.2</v>
      </c>
      <c r="P539" s="2134">
        <f>K538*O539</f>
        <v>72000</v>
      </c>
      <c r="Q539" s="2172"/>
      <c r="R539" s="414"/>
      <c r="S539" s="2173"/>
      <c r="T539" s="2172"/>
      <c r="U539" s="2212"/>
      <c r="V539" s="2172"/>
      <c r="W539" s="2213"/>
      <c r="X539" s="2172"/>
      <c r="Y539" s="2212"/>
      <c r="Z539" s="388"/>
      <c r="AA539" s="2232"/>
      <c r="AB539" s="2232"/>
      <c r="AC539" s="2258"/>
      <c r="AD539" s="415"/>
      <c r="AE539" s="2258"/>
      <c r="AF539" s="2258"/>
      <c r="AG539" s="2258"/>
      <c r="AH539" s="388"/>
      <c r="AI539" s="388"/>
    </row>
    <row r="540" s="6" customFormat="1" ht="61" spans="1:35">
      <c r="A540" s="388"/>
      <c r="B540" s="2066"/>
      <c r="C540" s="2067"/>
      <c r="D540" s="419"/>
      <c r="E540" s="2085"/>
      <c r="F540" s="2085"/>
      <c r="G540" s="2085"/>
      <c r="H540" s="2085"/>
      <c r="I540" s="2085"/>
      <c r="J540" s="693"/>
      <c r="K540" s="2093"/>
      <c r="L540" s="2085"/>
      <c r="M540" s="388">
        <v>3</v>
      </c>
      <c r="N540" s="2132" t="s">
        <v>5379</v>
      </c>
      <c r="O540" s="2133">
        <v>0.2</v>
      </c>
      <c r="P540" s="2134">
        <f>K538*O540</f>
        <v>72000</v>
      </c>
      <c r="Q540" s="2172"/>
      <c r="R540" s="414"/>
      <c r="S540" s="2173"/>
      <c r="T540" s="2172"/>
      <c r="U540" s="2212"/>
      <c r="V540" s="2172"/>
      <c r="W540" s="2213"/>
      <c r="X540" s="2172"/>
      <c r="Y540" s="2212"/>
      <c r="Z540" s="388"/>
      <c r="AA540" s="2232"/>
      <c r="AB540" s="2232"/>
      <c r="AC540" s="2258"/>
      <c r="AD540" s="415"/>
      <c r="AE540" s="2258"/>
      <c r="AF540" s="2258"/>
      <c r="AG540" s="2258"/>
      <c r="AH540" s="388"/>
      <c r="AI540" s="388"/>
    </row>
    <row r="541" s="4" customFormat="1" ht="58.65" customHeight="1" spans="1:35">
      <c r="A541" s="2068" t="s">
        <v>809</v>
      </c>
      <c r="B541" s="2069">
        <v>45525</v>
      </c>
      <c r="C541" s="1770" t="s">
        <v>5286</v>
      </c>
      <c r="D541" s="419"/>
      <c r="E541" s="1817" t="s">
        <v>5380</v>
      </c>
      <c r="F541" s="1817" t="s">
        <v>5381</v>
      </c>
      <c r="G541" s="1817" t="s">
        <v>3482</v>
      </c>
      <c r="H541" s="1817" t="s">
        <v>4817</v>
      </c>
      <c r="I541" s="1817" t="s">
        <v>171</v>
      </c>
      <c r="J541" s="1817" t="s">
        <v>997</v>
      </c>
      <c r="K541" s="2094">
        <v>180000</v>
      </c>
      <c r="L541" s="2095" t="s">
        <v>138</v>
      </c>
      <c r="M541" s="404">
        <v>1</v>
      </c>
      <c r="N541" s="1578" t="s">
        <v>5382</v>
      </c>
      <c r="O541" s="2135">
        <v>0.6</v>
      </c>
      <c r="P541" s="2136">
        <f>K541*O541</f>
        <v>108000</v>
      </c>
      <c r="Q541" s="2174">
        <v>24300</v>
      </c>
      <c r="R541" s="1499" t="s">
        <v>4603</v>
      </c>
      <c r="S541" s="2175">
        <v>45828</v>
      </c>
      <c r="T541" s="2176">
        <v>24300</v>
      </c>
      <c r="U541" s="2214">
        <v>45828</v>
      </c>
      <c r="V541" s="2176">
        <v>24300</v>
      </c>
      <c r="W541" s="2214">
        <v>45828</v>
      </c>
      <c r="X541" s="2176">
        <v>24300</v>
      </c>
      <c r="Y541" s="2214">
        <v>45838</v>
      </c>
      <c r="Z541" s="1580">
        <f>Q541-X541</f>
        <v>0</v>
      </c>
      <c r="AA541" s="2233"/>
      <c r="AB541" s="2233"/>
      <c r="AC541" s="2259"/>
      <c r="AD541" s="339"/>
      <c r="AE541" s="2259"/>
      <c r="AF541" s="2259"/>
      <c r="AG541" s="2259"/>
      <c r="AH541" s="404"/>
      <c r="AI541" s="404"/>
    </row>
    <row r="542" s="4" customFormat="1" ht="37.5" customHeight="1" spans="1:35">
      <c r="A542" s="2070"/>
      <c r="B542" s="2069"/>
      <c r="C542" s="2071"/>
      <c r="D542" s="419"/>
      <c r="E542" s="2070"/>
      <c r="F542" s="2070"/>
      <c r="G542" s="2070"/>
      <c r="H542" s="2070"/>
      <c r="I542" s="2070"/>
      <c r="J542" s="2070"/>
      <c r="K542" s="2094"/>
      <c r="L542" s="2095"/>
      <c r="M542" s="404"/>
      <c r="N542" s="1578"/>
      <c r="O542" s="2137"/>
      <c r="P542" s="2119"/>
      <c r="Q542" s="2177">
        <v>24300</v>
      </c>
      <c r="R542" s="1499" t="s">
        <v>4603</v>
      </c>
      <c r="S542" s="2175">
        <v>45882</v>
      </c>
      <c r="T542" s="2176">
        <v>24300</v>
      </c>
      <c r="U542" s="2214">
        <v>45882</v>
      </c>
      <c r="V542" s="2176">
        <v>24300</v>
      </c>
      <c r="W542" s="2215">
        <v>45882</v>
      </c>
      <c r="X542" s="2216">
        <v>24300</v>
      </c>
      <c r="Y542" s="2234">
        <v>45896</v>
      </c>
      <c r="Z542" s="404"/>
      <c r="AA542" s="2233"/>
      <c r="AB542" s="2233"/>
      <c r="AC542" s="2259"/>
      <c r="AD542" s="339"/>
      <c r="AE542" s="2259"/>
      <c r="AF542" s="2259"/>
      <c r="AG542" s="2259"/>
      <c r="AH542" s="404"/>
      <c r="AI542" s="404"/>
    </row>
    <row r="543" s="4" customFormat="1" ht="37.5" customHeight="1" spans="1:35">
      <c r="A543" s="2070"/>
      <c r="B543" s="2069"/>
      <c r="C543" s="2071"/>
      <c r="D543" s="419"/>
      <c r="E543" s="2070"/>
      <c r="F543" s="2070"/>
      <c r="G543" s="2070"/>
      <c r="H543" s="2070"/>
      <c r="I543" s="2070"/>
      <c r="J543" s="2070"/>
      <c r="K543" s="2094"/>
      <c r="L543" s="2095"/>
      <c r="M543" s="404">
        <v>2</v>
      </c>
      <c r="N543" s="1578" t="s">
        <v>5383</v>
      </c>
      <c r="O543" s="2138">
        <v>0.3</v>
      </c>
      <c r="P543" s="2139">
        <f>K541*O543</f>
        <v>54000</v>
      </c>
      <c r="Q543" s="2176"/>
      <c r="R543" s="1499"/>
      <c r="S543" s="2175"/>
      <c r="T543" s="2176"/>
      <c r="U543" s="2214"/>
      <c r="V543" s="2176"/>
      <c r="W543" s="2215"/>
      <c r="X543" s="2176"/>
      <c r="Y543" s="2214"/>
      <c r="Z543" s="404"/>
      <c r="AA543" s="2233"/>
      <c r="AB543" s="2233"/>
      <c r="AC543" s="2259"/>
      <c r="AD543" s="339"/>
      <c r="AE543" s="2259"/>
      <c r="AF543" s="2259"/>
      <c r="AG543" s="2259"/>
      <c r="AH543" s="404"/>
      <c r="AI543" s="404"/>
    </row>
    <row r="544" s="4" customFormat="1" ht="34.75" customHeight="1" spans="1:35">
      <c r="A544" s="2072"/>
      <c r="B544" s="2069"/>
      <c r="C544" s="2071"/>
      <c r="D544" s="419"/>
      <c r="E544" s="2070"/>
      <c r="F544" s="2070"/>
      <c r="G544" s="2070"/>
      <c r="H544" s="2070"/>
      <c r="I544" s="2070"/>
      <c r="J544" s="2070"/>
      <c r="K544" s="2094"/>
      <c r="L544" s="2095"/>
      <c r="M544" s="404">
        <v>3</v>
      </c>
      <c r="N544" s="1578" t="s">
        <v>5384</v>
      </c>
      <c r="O544" s="2138">
        <v>0.1</v>
      </c>
      <c r="P544" s="2139">
        <f>K541*O544</f>
        <v>18000</v>
      </c>
      <c r="Q544" s="2176"/>
      <c r="R544" s="1499"/>
      <c r="S544" s="2175"/>
      <c r="T544" s="2176"/>
      <c r="U544" s="2214"/>
      <c r="V544" s="2176"/>
      <c r="W544" s="2215"/>
      <c r="X544" s="2176"/>
      <c r="Y544" s="2214"/>
      <c r="Z544" s="404"/>
      <c r="AA544" s="2233"/>
      <c r="AB544" s="2233"/>
      <c r="AC544" s="2259"/>
      <c r="AD544" s="339"/>
      <c r="AE544" s="2259"/>
      <c r="AF544" s="2259"/>
      <c r="AG544" s="2259"/>
      <c r="AH544" s="404"/>
      <c r="AI544" s="404"/>
    </row>
    <row r="545" s="6" customFormat="1" ht="76" spans="1:35">
      <c r="A545" s="418" t="s">
        <v>809</v>
      </c>
      <c r="B545" s="1260">
        <v>45399</v>
      </c>
      <c r="C545" s="1261" t="s">
        <v>5286</v>
      </c>
      <c r="D545" s="419"/>
      <c r="E545" s="728" t="s">
        <v>5385</v>
      </c>
      <c r="F545" s="728" t="s">
        <v>5386</v>
      </c>
      <c r="G545" s="728" t="s">
        <v>3723</v>
      </c>
      <c r="H545" s="728" t="s">
        <v>5387</v>
      </c>
      <c r="I545" s="728" t="s">
        <v>171</v>
      </c>
      <c r="J545" s="728" t="s">
        <v>5388</v>
      </c>
      <c r="K545" s="2096">
        <v>243540</v>
      </c>
      <c r="L545" s="728" t="s">
        <v>138</v>
      </c>
      <c r="M545" s="396">
        <v>1</v>
      </c>
      <c r="N545" s="1852" t="s">
        <v>5389</v>
      </c>
      <c r="O545" s="2140">
        <v>0.1</v>
      </c>
      <c r="P545" s="441">
        <f>K545*O545</f>
        <v>24354</v>
      </c>
      <c r="Q545" s="2178">
        <v>24354</v>
      </c>
      <c r="R545" s="2179" t="s">
        <v>4603</v>
      </c>
      <c r="S545" s="2180">
        <v>45639</v>
      </c>
      <c r="T545" s="1408">
        <v>24354</v>
      </c>
      <c r="U545" s="1403">
        <v>45639</v>
      </c>
      <c r="V545" s="1408">
        <v>24354</v>
      </c>
      <c r="W545" s="1403">
        <v>45639</v>
      </c>
      <c r="X545" s="1408">
        <v>24354</v>
      </c>
      <c r="Y545" s="1422">
        <v>45653</v>
      </c>
      <c r="Z545" s="396"/>
      <c r="AA545" s="2235"/>
      <c r="AB545" s="2235"/>
      <c r="AC545" s="2143"/>
      <c r="AD545" s="419"/>
      <c r="AE545" s="2143"/>
      <c r="AF545" s="2143"/>
      <c r="AG545" s="2143"/>
      <c r="AH545" s="396"/>
      <c r="AI545" s="396"/>
    </row>
    <row r="546" s="6" customFormat="1" ht="76" spans="1:35">
      <c r="A546" s="396"/>
      <c r="B546" s="1262"/>
      <c r="C546" s="1265"/>
      <c r="D546" s="419"/>
      <c r="E546" s="617"/>
      <c r="F546" s="617"/>
      <c r="G546" s="617"/>
      <c r="H546" s="617"/>
      <c r="I546" s="617"/>
      <c r="J546" s="617"/>
      <c r="K546" s="2097"/>
      <c r="L546" s="617"/>
      <c r="M546" s="396">
        <v>2</v>
      </c>
      <c r="N546" s="1852" t="s">
        <v>5065</v>
      </c>
      <c r="O546" s="2140">
        <v>0.7</v>
      </c>
      <c r="P546" s="441">
        <f>K545*O546</f>
        <v>170478</v>
      </c>
      <c r="Q546" s="2181">
        <v>100000</v>
      </c>
      <c r="R546" s="418" t="s">
        <v>4603</v>
      </c>
      <c r="S546" s="1403">
        <v>45671</v>
      </c>
      <c r="T546" s="1408">
        <v>100000</v>
      </c>
      <c r="U546" s="1422">
        <v>45671</v>
      </c>
      <c r="V546" s="1408">
        <v>100000</v>
      </c>
      <c r="W546" s="2217">
        <v>45673</v>
      </c>
      <c r="X546" s="1402">
        <v>100000</v>
      </c>
      <c r="Y546" s="1424">
        <v>45681</v>
      </c>
      <c r="Z546" s="396"/>
      <c r="AA546" s="2235"/>
      <c r="AB546" s="2235"/>
      <c r="AC546" s="2143"/>
      <c r="AD546" s="419"/>
      <c r="AE546" s="2143"/>
      <c r="AF546" s="2143"/>
      <c r="AG546" s="2143"/>
      <c r="AH546" s="396"/>
      <c r="AI546" s="396"/>
    </row>
    <row r="547" s="6" customFormat="1" ht="76" spans="1:35">
      <c r="A547" s="396"/>
      <c r="B547" s="1262"/>
      <c r="C547" s="1265"/>
      <c r="D547" s="419"/>
      <c r="E547" s="617"/>
      <c r="F547" s="617"/>
      <c r="G547" s="617"/>
      <c r="H547" s="617"/>
      <c r="I547" s="617"/>
      <c r="J547" s="617"/>
      <c r="K547" s="2097"/>
      <c r="L547" s="617"/>
      <c r="M547" s="396">
        <v>3</v>
      </c>
      <c r="N547" s="1852" t="s">
        <v>5066</v>
      </c>
      <c r="O547" s="2140">
        <v>0.05</v>
      </c>
      <c r="P547" s="441">
        <f>K545*O547</f>
        <v>12177</v>
      </c>
      <c r="Q547" s="1408"/>
      <c r="R547" s="418"/>
      <c r="S547" s="1403"/>
      <c r="T547" s="1408"/>
      <c r="U547" s="1424" t="s">
        <v>16</v>
      </c>
      <c r="V547" s="1408"/>
      <c r="W547" s="2217"/>
      <c r="X547" s="1408"/>
      <c r="Y547" s="1422"/>
      <c r="Z547" s="396"/>
      <c r="AA547" s="2235"/>
      <c r="AB547" s="2235"/>
      <c r="AC547" s="2143"/>
      <c r="AD547" s="419"/>
      <c r="AE547" s="2143"/>
      <c r="AF547" s="2143"/>
      <c r="AG547" s="2143"/>
      <c r="AH547" s="396"/>
      <c r="AI547" s="396"/>
    </row>
    <row r="548" s="6" customFormat="1" ht="92" spans="1:35">
      <c r="A548" s="396"/>
      <c r="B548" s="1266"/>
      <c r="C548" s="1267"/>
      <c r="D548" s="419"/>
      <c r="E548" s="618"/>
      <c r="F548" s="618"/>
      <c r="G548" s="618"/>
      <c r="H548" s="618"/>
      <c r="I548" s="618"/>
      <c r="J548" s="618"/>
      <c r="K548" s="2098"/>
      <c r="L548" s="618"/>
      <c r="M548" s="396">
        <v>4</v>
      </c>
      <c r="N548" s="1852" t="s">
        <v>5071</v>
      </c>
      <c r="O548" s="2140">
        <v>0.15</v>
      </c>
      <c r="P548" s="441">
        <f>K545*O548</f>
        <v>36531</v>
      </c>
      <c r="Q548" s="1408"/>
      <c r="R548" s="418"/>
      <c r="S548" s="1403"/>
      <c r="T548" s="1408"/>
      <c r="U548" s="1422"/>
      <c r="V548" s="1408"/>
      <c r="W548" s="2217"/>
      <c r="X548" s="1408"/>
      <c r="Y548" s="1422"/>
      <c r="Z548" s="396"/>
      <c r="AA548" s="2235"/>
      <c r="AB548" s="2235"/>
      <c r="AC548" s="2143"/>
      <c r="AD548" s="419"/>
      <c r="AE548" s="2143"/>
      <c r="AF548" s="2143"/>
      <c r="AG548" s="2143"/>
      <c r="AH548" s="396"/>
      <c r="AI548" s="396"/>
    </row>
    <row r="549" s="6" customFormat="1" ht="61" spans="1:35">
      <c r="A549" s="413" t="s">
        <v>809</v>
      </c>
      <c r="B549" s="2073">
        <v>45506</v>
      </c>
      <c r="C549" s="378" t="s">
        <v>5345</v>
      </c>
      <c r="D549" s="419"/>
      <c r="E549" s="407" t="s">
        <v>5390</v>
      </c>
      <c r="F549" s="407" t="s">
        <v>5391</v>
      </c>
      <c r="G549" s="407" t="s">
        <v>3723</v>
      </c>
      <c r="H549" s="407" t="s">
        <v>5387</v>
      </c>
      <c r="I549" s="2099" t="s">
        <v>5392</v>
      </c>
      <c r="J549" s="2099" t="s">
        <v>5388</v>
      </c>
      <c r="K549" s="2100">
        <v>156695.4</v>
      </c>
      <c r="L549" s="407" t="s">
        <v>138</v>
      </c>
      <c r="M549" s="371">
        <v>1</v>
      </c>
      <c r="N549" s="1091" t="s">
        <v>5393</v>
      </c>
      <c r="O549" s="2141">
        <v>0.6</v>
      </c>
      <c r="P549" s="1082">
        <f>K549*O549</f>
        <v>94017.24</v>
      </c>
      <c r="Q549" s="2144"/>
      <c r="R549" s="413"/>
      <c r="S549" s="1124"/>
      <c r="T549" s="2144"/>
      <c r="U549" s="1166"/>
      <c r="V549" s="2144"/>
      <c r="W549" s="1165"/>
      <c r="X549" s="2144"/>
      <c r="Y549" s="1166"/>
      <c r="Z549" s="371"/>
      <c r="AA549" s="1189"/>
      <c r="AB549" s="1189"/>
      <c r="AC549" s="1190"/>
      <c r="AD549" s="406"/>
      <c r="AE549" s="1190"/>
      <c r="AF549" s="1190"/>
      <c r="AG549" s="1190"/>
      <c r="AH549" s="371"/>
      <c r="AI549" s="371"/>
    </row>
    <row r="550" s="6" customFormat="1" ht="61" spans="1:35">
      <c r="A550" s="371"/>
      <c r="B550" s="2074"/>
      <c r="C550" s="381"/>
      <c r="D550" s="419"/>
      <c r="E550" s="374"/>
      <c r="F550" s="374"/>
      <c r="G550" s="374"/>
      <c r="H550" s="374"/>
      <c r="I550" s="2101"/>
      <c r="J550" s="2101"/>
      <c r="K550" s="2101"/>
      <c r="L550" s="374"/>
      <c r="M550" s="371">
        <v>2</v>
      </c>
      <c r="N550" s="1091" t="s">
        <v>5394</v>
      </c>
      <c r="O550" s="2141">
        <v>0.2</v>
      </c>
      <c r="P550" s="1082">
        <f>K549*O550</f>
        <v>31339.08</v>
      </c>
      <c r="Q550" s="2144"/>
      <c r="R550" s="413"/>
      <c r="S550" s="1124"/>
      <c r="T550" s="2144"/>
      <c r="U550" s="1166"/>
      <c r="V550" s="2144"/>
      <c r="W550" s="1165"/>
      <c r="X550" s="2144"/>
      <c r="Y550" s="1166"/>
      <c r="Z550" s="371"/>
      <c r="AA550" s="1189"/>
      <c r="AB550" s="1189"/>
      <c r="AC550" s="1190"/>
      <c r="AD550" s="406"/>
      <c r="AE550" s="1190"/>
      <c r="AF550" s="1190"/>
      <c r="AG550" s="1190"/>
      <c r="AH550" s="371"/>
      <c r="AI550" s="371"/>
    </row>
    <row r="551" s="6" customFormat="1" ht="76" spans="1:35">
      <c r="A551" s="371"/>
      <c r="B551" s="2074"/>
      <c r="C551" s="381"/>
      <c r="D551" s="419"/>
      <c r="E551" s="374"/>
      <c r="F551" s="374"/>
      <c r="G551" s="374"/>
      <c r="H551" s="374"/>
      <c r="I551" s="2101"/>
      <c r="J551" s="2101"/>
      <c r="K551" s="2101"/>
      <c r="L551" s="374"/>
      <c r="M551" s="371">
        <v>3</v>
      </c>
      <c r="N551" s="1091" t="s">
        <v>5395</v>
      </c>
      <c r="O551" s="2141">
        <v>0.05</v>
      </c>
      <c r="P551" s="1082">
        <f>K549*O551</f>
        <v>7834.77</v>
      </c>
      <c r="Q551" s="2144"/>
      <c r="R551" s="413"/>
      <c r="S551" s="1124"/>
      <c r="T551" s="2144"/>
      <c r="U551" s="1166"/>
      <c r="V551" s="2144"/>
      <c r="W551" s="1165"/>
      <c r="X551" s="2144"/>
      <c r="Y551" s="1166"/>
      <c r="Z551" s="371"/>
      <c r="AA551" s="1189"/>
      <c r="AB551" s="1189"/>
      <c r="AC551" s="1190"/>
      <c r="AD551" s="406"/>
      <c r="AE551" s="1190"/>
      <c r="AF551" s="1190"/>
      <c r="AG551" s="1190"/>
      <c r="AH551" s="371"/>
      <c r="AI551" s="371"/>
    </row>
    <row r="552" s="6" customFormat="1" ht="75.5" customHeight="1" spans="1:35">
      <c r="A552" s="371"/>
      <c r="B552" s="2075"/>
      <c r="C552" s="384"/>
      <c r="D552" s="419"/>
      <c r="E552" s="375"/>
      <c r="F552" s="375"/>
      <c r="G552" s="375"/>
      <c r="H552" s="375"/>
      <c r="I552" s="2102"/>
      <c r="J552" s="2102"/>
      <c r="K552" s="2102"/>
      <c r="L552" s="375"/>
      <c r="M552" s="371">
        <v>4</v>
      </c>
      <c r="N552" s="1091" t="s">
        <v>5396</v>
      </c>
      <c r="O552" s="2141">
        <v>0.15</v>
      </c>
      <c r="P552" s="1082">
        <f>K549*O552</f>
        <v>23504.31</v>
      </c>
      <c r="Q552" s="2144"/>
      <c r="R552" s="413"/>
      <c r="S552" s="1124"/>
      <c r="T552" s="2144"/>
      <c r="U552" s="1166"/>
      <c r="V552" s="2144"/>
      <c r="W552" s="1165"/>
      <c r="X552" s="2144"/>
      <c r="Y552" s="1166"/>
      <c r="Z552" s="371"/>
      <c r="AA552" s="1189"/>
      <c r="AB552" s="1189"/>
      <c r="AC552" s="1190"/>
      <c r="AD552" s="406"/>
      <c r="AE552" s="1190"/>
      <c r="AF552" s="1190"/>
      <c r="AG552" s="1190"/>
      <c r="AH552" s="371"/>
      <c r="AI552" s="371"/>
    </row>
    <row r="553" s="6" customFormat="1" ht="46" spans="1:35">
      <c r="A553" s="616" t="s">
        <v>1003</v>
      </c>
      <c r="B553" s="1260">
        <v>44075</v>
      </c>
      <c r="C553" s="2076" t="s">
        <v>5397</v>
      </c>
      <c r="D553" s="419"/>
      <c r="E553" s="617" t="s">
        <v>5398</v>
      </c>
      <c r="F553" s="617" t="s">
        <v>5399</v>
      </c>
      <c r="G553" s="617" t="s">
        <v>240</v>
      </c>
      <c r="H553" s="617" t="s">
        <v>5400</v>
      </c>
      <c r="I553" s="617" t="s">
        <v>5401</v>
      </c>
      <c r="J553" s="617" t="s">
        <v>5402</v>
      </c>
      <c r="K553" s="2097">
        <v>4012529.68</v>
      </c>
      <c r="L553" s="2103" t="s">
        <v>126</v>
      </c>
      <c r="M553" s="618">
        <v>1</v>
      </c>
      <c r="N553" s="2142" t="s">
        <v>5403</v>
      </c>
      <c r="O553" s="2121">
        <v>0.12</v>
      </c>
      <c r="P553" s="2098">
        <f>O553*K553</f>
        <v>481503.5616</v>
      </c>
      <c r="Q553" s="2182">
        <v>802505.94</v>
      </c>
      <c r="R553" s="689" t="s">
        <v>4603</v>
      </c>
      <c r="S553" s="1264">
        <v>44127</v>
      </c>
      <c r="T553" s="2182">
        <v>802505.94</v>
      </c>
      <c r="U553" s="2218">
        <v>44127</v>
      </c>
      <c r="V553" s="618">
        <v>401252.97</v>
      </c>
      <c r="W553" s="2206">
        <v>44183</v>
      </c>
      <c r="X553" s="2163">
        <v>401252.97</v>
      </c>
      <c r="Y553" s="2205">
        <v>44190</v>
      </c>
      <c r="Z553" s="617">
        <f>Q553-X553-X554</f>
        <v>0</v>
      </c>
      <c r="AA553" s="2236"/>
      <c r="AB553" s="2228"/>
      <c r="AC553" s="2142"/>
      <c r="AD553" s="1708">
        <f>SUM(Q553:Q560)</f>
        <v>4012529.68</v>
      </c>
      <c r="AE553" s="2260"/>
      <c r="AF553" s="2142"/>
      <c r="AG553" s="2142"/>
      <c r="AH553" s="617"/>
      <c r="AI553" s="617"/>
    </row>
    <row r="554" s="6" customFormat="1" ht="46" spans="1:35">
      <c r="A554" s="617"/>
      <c r="B554" s="1262"/>
      <c r="C554" s="1265"/>
      <c r="D554" s="419"/>
      <c r="E554" s="617"/>
      <c r="F554" s="617"/>
      <c r="G554" s="617"/>
      <c r="H554" s="617"/>
      <c r="I554" s="617"/>
      <c r="J554" s="617"/>
      <c r="K554" s="2097"/>
      <c r="L554" s="2103"/>
      <c r="M554" s="396">
        <v>2</v>
      </c>
      <c r="N554" s="2143" t="s">
        <v>5404</v>
      </c>
      <c r="O554" s="2140">
        <v>0.08</v>
      </c>
      <c r="P554" s="441">
        <v>321002.38</v>
      </c>
      <c r="Q554" s="2163"/>
      <c r="R554" s="691"/>
      <c r="S554" s="1407"/>
      <c r="T554" s="2163"/>
      <c r="U554" s="618"/>
      <c r="V554" s="396">
        <v>401252.97</v>
      </c>
      <c r="W554" s="2217">
        <v>44224</v>
      </c>
      <c r="X554" s="1408">
        <v>401252.97</v>
      </c>
      <c r="Y554" s="1422">
        <v>44231</v>
      </c>
      <c r="Z554" s="618"/>
      <c r="AA554" s="2235"/>
      <c r="AB554" s="2143"/>
      <c r="AC554" s="2261"/>
      <c r="AD554" s="1707"/>
      <c r="AE554" s="2262"/>
      <c r="AF554" s="2143"/>
      <c r="AG554" s="2143"/>
      <c r="AH554" s="617"/>
      <c r="AI554" s="617"/>
    </row>
    <row r="555" s="6" customFormat="1" ht="61" spans="1:35">
      <c r="A555" s="617"/>
      <c r="B555" s="1262"/>
      <c r="C555" s="1265"/>
      <c r="D555" s="419"/>
      <c r="E555" s="617"/>
      <c r="F555" s="617"/>
      <c r="G555" s="617"/>
      <c r="H555" s="617"/>
      <c r="I555" s="617"/>
      <c r="J555" s="617"/>
      <c r="K555" s="2097"/>
      <c r="L555" s="2103"/>
      <c r="M555" s="396">
        <v>3</v>
      </c>
      <c r="N555" s="2143" t="s">
        <v>5405</v>
      </c>
      <c r="O555" s="2140">
        <v>0.3</v>
      </c>
      <c r="P555" s="441">
        <f>O555*K553</f>
        <v>1203758.904</v>
      </c>
      <c r="Q555" s="1408">
        <v>1203758.9</v>
      </c>
      <c r="R555" s="418" t="s">
        <v>4603</v>
      </c>
      <c r="S555" s="1403">
        <v>44187</v>
      </c>
      <c r="T555" s="396">
        <v>1203758.9</v>
      </c>
      <c r="U555" s="1422">
        <v>44187</v>
      </c>
      <c r="V555" s="396">
        <v>1203758.9</v>
      </c>
      <c r="W555" s="2217">
        <v>44280</v>
      </c>
      <c r="X555" s="1408">
        <v>1203758.9</v>
      </c>
      <c r="Y555" s="1422">
        <v>44293</v>
      </c>
      <c r="Z555" s="396">
        <f t="shared" ref="Z555:Z570" si="27">Q555-X555</f>
        <v>0</v>
      </c>
      <c r="AA555" s="2235"/>
      <c r="AB555" s="2143"/>
      <c r="AC555" s="2261"/>
      <c r="AD555" s="1707"/>
      <c r="AE555" s="2262"/>
      <c r="AF555" s="2143"/>
      <c r="AG555" s="2143"/>
      <c r="AH555" s="617"/>
      <c r="AI555" s="617"/>
    </row>
    <row r="556" s="6" customFormat="1" ht="61" spans="1:35">
      <c r="A556" s="617"/>
      <c r="B556" s="1262"/>
      <c r="C556" s="1265"/>
      <c r="D556" s="419"/>
      <c r="E556" s="617"/>
      <c r="F556" s="617"/>
      <c r="G556" s="617"/>
      <c r="H556" s="617"/>
      <c r="I556" s="617"/>
      <c r="J556" s="617"/>
      <c r="K556" s="2097"/>
      <c r="L556" s="2103"/>
      <c r="M556" s="396">
        <v>4</v>
      </c>
      <c r="N556" s="2143" t="s">
        <v>5406</v>
      </c>
      <c r="O556" s="2140">
        <v>0.2</v>
      </c>
      <c r="P556" s="441">
        <f>O556*K553</f>
        <v>802505.936</v>
      </c>
      <c r="Q556" s="1402">
        <v>802505.94</v>
      </c>
      <c r="R556" s="418" t="s">
        <v>4603</v>
      </c>
      <c r="S556" s="1403">
        <v>44390</v>
      </c>
      <c r="T556" s="396">
        <v>802505.94</v>
      </c>
      <c r="U556" s="1422">
        <v>44390</v>
      </c>
      <c r="V556" s="396">
        <v>802505.94</v>
      </c>
      <c r="W556" s="2217">
        <v>44396</v>
      </c>
      <c r="X556" s="1402">
        <v>802505.94</v>
      </c>
      <c r="Y556" s="1424">
        <v>44418</v>
      </c>
      <c r="Z556" s="396">
        <f t="shared" si="27"/>
        <v>0</v>
      </c>
      <c r="AA556" s="2235" t="s">
        <v>5407</v>
      </c>
      <c r="AB556" s="2143"/>
      <c r="AC556" s="2261"/>
      <c r="AD556" s="1707"/>
      <c r="AE556" s="2262"/>
      <c r="AF556" s="2143"/>
      <c r="AG556" s="2143"/>
      <c r="AH556" s="617"/>
      <c r="AI556" s="617"/>
    </row>
    <row r="557" s="6" customFormat="1" ht="76" spans="1:35">
      <c r="A557" s="617"/>
      <c r="B557" s="1262"/>
      <c r="C557" s="1265"/>
      <c r="D557" s="419"/>
      <c r="E557" s="617"/>
      <c r="F557" s="617"/>
      <c r="G557" s="617"/>
      <c r="H557" s="617"/>
      <c r="I557" s="617"/>
      <c r="J557" s="617"/>
      <c r="K557" s="2097"/>
      <c r="L557" s="2103"/>
      <c r="M557" s="396">
        <v>5</v>
      </c>
      <c r="N557" s="2143" t="s">
        <v>5408</v>
      </c>
      <c r="O557" s="2140">
        <v>0.12</v>
      </c>
      <c r="P557" s="441">
        <f>O557*K553</f>
        <v>481503.5616</v>
      </c>
      <c r="Q557" s="1408">
        <v>481503.56</v>
      </c>
      <c r="R557" s="418" t="s">
        <v>4603</v>
      </c>
      <c r="S557" s="1403">
        <v>44187</v>
      </c>
      <c r="T557" s="396">
        <v>481503.57</v>
      </c>
      <c r="U557" s="1422">
        <v>44187</v>
      </c>
      <c r="V557" s="396">
        <v>481503.57</v>
      </c>
      <c r="W557" s="2217">
        <v>44280</v>
      </c>
      <c r="X557" s="1408">
        <v>481503.57</v>
      </c>
      <c r="Y557" s="1422">
        <v>44293</v>
      </c>
      <c r="Z557" s="396">
        <f t="shared" si="27"/>
        <v>-0.0100000000093132</v>
      </c>
      <c r="AA557" s="2235"/>
      <c r="AB557" s="2143"/>
      <c r="AC557" s="2261"/>
      <c r="AD557" s="1707"/>
      <c r="AE557" s="2262"/>
      <c r="AF557" s="2143"/>
      <c r="AG557" s="2143"/>
      <c r="AH557" s="617"/>
      <c r="AI557" s="617"/>
    </row>
    <row r="558" s="6" customFormat="1" ht="76" spans="1:35">
      <c r="A558" s="617"/>
      <c r="B558" s="1262"/>
      <c r="C558" s="1265"/>
      <c r="D558" s="419"/>
      <c r="E558" s="617"/>
      <c r="F558" s="617"/>
      <c r="G558" s="617"/>
      <c r="H558" s="617"/>
      <c r="I558" s="617"/>
      <c r="J558" s="617"/>
      <c r="K558" s="2097"/>
      <c r="L558" s="2103"/>
      <c r="M558" s="396">
        <v>6</v>
      </c>
      <c r="N558" s="2143" t="s">
        <v>5409</v>
      </c>
      <c r="O558" s="2140">
        <v>0.08</v>
      </c>
      <c r="P558" s="441">
        <f>O558*K553</f>
        <v>321002.3744</v>
      </c>
      <c r="Q558" s="1402">
        <v>321002.37</v>
      </c>
      <c r="R558" s="418" t="s">
        <v>4603</v>
      </c>
      <c r="S558" s="1403">
        <v>44390</v>
      </c>
      <c r="T558" s="396">
        <v>321002.37</v>
      </c>
      <c r="U558" s="1422">
        <v>44390</v>
      </c>
      <c r="V558" s="396">
        <v>321002.37</v>
      </c>
      <c r="W558" s="2217">
        <v>44396</v>
      </c>
      <c r="X558" s="1402">
        <v>321002.37</v>
      </c>
      <c r="Y558" s="1424">
        <v>44418</v>
      </c>
      <c r="Z558" s="396">
        <f t="shared" si="27"/>
        <v>0</v>
      </c>
      <c r="AA558" s="2235" t="s">
        <v>5407</v>
      </c>
      <c r="AB558" s="2143"/>
      <c r="AC558" s="2261"/>
      <c r="AD558" s="1707"/>
      <c r="AE558" s="2262"/>
      <c r="AF558" s="2143"/>
      <c r="AG558" s="2143"/>
      <c r="AH558" s="617"/>
      <c r="AI558" s="617"/>
    </row>
    <row r="559" s="6" customFormat="1" ht="76" spans="1:35">
      <c r="A559" s="617"/>
      <c r="B559" s="1262"/>
      <c r="C559" s="1265"/>
      <c r="D559" s="419"/>
      <c r="E559" s="617"/>
      <c r="F559" s="617"/>
      <c r="G559" s="617"/>
      <c r="H559" s="617"/>
      <c r="I559" s="617"/>
      <c r="J559" s="617"/>
      <c r="K559" s="2097"/>
      <c r="L559" s="2103"/>
      <c r="M559" s="396">
        <v>7</v>
      </c>
      <c r="N559" s="2143" t="s">
        <v>5410</v>
      </c>
      <c r="O559" s="2140">
        <v>0.06</v>
      </c>
      <c r="P559" s="441">
        <f>O559*K553</f>
        <v>240751.7808</v>
      </c>
      <c r="Q559" s="2183">
        <v>240751.78</v>
      </c>
      <c r="R559" s="2184" t="s">
        <v>349</v>
      </c>
      <c r="S559" s="2185"/>
      <c r="T559" s="396"/>
      <c r="U559" s="396"/>
      <c r="V559" s="396"/>
      <c r="W559" s="2217"/>
      <c r="X559" s="1408"/>
      <c r="Y559" s="396"/>
      <c r="Z559" s="396">
        <f t="shared" si="27"/>
        <v>240751.78</v>
      </c>
      <c r="AA559" s="2235"/>
      <c r="AB559" s="2143"/>
      <c r="AC559" s="2261"/>
      <c r="AD559" s="1707"/>
      <c r="AE559" s="2262"/>
      <c r="AF559" s="2143"/>
      <c r="AG559" s="2143"/>
      <c r="AH559" s="617"/>
      <c r="AI559" s="617"/>
    </row>
    <row r="560" s="6" customFormat="1" ht="76" spans="1:35">
      <c r="A560" s="618"/>
      <c r="B560" s="1266"/>
      <c r="C560" s="1267"/>
      <c r="D560" s="419"/>
      <c r="E560" s="618"/>
      <c r="F560" s="618"/>
      <c r="G560" s="618"/>
      <c r="H560" s="618"/>
      <c r="I560" s="618"/>
      <c r="J560" s="618"/>
      <c r="K560" s="2098"/>
      <c r="L560" s="2104"/>
      <c r="M560" s="396">
        <v>8</v>
      </c>
      <c r="N560" s="2143" t="s">
        <v>5411</v>
      </c>
      <c r="O560" s="2140">
        <v>0.04</v>
      </c>
      <c r="P560" s="441">
        <f>O560*K553</f>
        <v>160501.1872</v>
      </c>
      <c r="Q560" s="2183">
        <v>160501.19</v>
      </c>
      <c r="R560" s="2184"/>
      <c r="S560" s="2185"/>
      <c r="T560" s="396"/>
      <c r="U560" s="396"/>
      <c r="V560" s="396"/>
      <c r="W560" s="2217"/>
      <c r="X560" s="1408"/>
      <c r="Y560" s="396"/>
      <c r="Z560" s="396">
        <f t="shared" si="27"/>
        <v>160501.19</v>
      </c>
      <c r="AA560" s="2235"/>
      <c r="AB560" s="2143"/>
      <c r="AC560" s="2261"/>
      <c r="AD560" s="2263"/>
      <c r="AE560" s="2262"/>
      <c r="AF560" s="2143"/>
      <c r="AG560" s="2143"/>
      <c r="AH560" s="618"/>
      <c r="AI560" s="618"/>
    </row>
    <row r="561" s="6" customFormat="1" ht="46" spans="1:35">
      <c r="A561" s="373" t="s">
        <v>1003</v>
      </c>
      <c r="B561" s="2073">
        <v>44075</v>
      </c>
      <c r="C561" s="2077" t="s">
        <v>5397</v>
      </c>
      <c r="D561" s="2078"/>
      <c r="E561" s="373" t="s">
        <v>5412</v>
      </c>
      <c r="F561" s="373" t="s">
        <v>5413</v>
      </c>
      <c r="G561" s="373" t="s">
        <v>658</v>
      </c>
      <c r="H561" s="373" t="s">
        <v>4846</v>
      </c>
      <c r="I561" s="373">
        <v>352998.7</v>
      </c>
      <c r="J561" s="373" t="s">
        <v>5414</v>
      </c>
      <c r="K561" s="2100">
        <v>6556319</v>
      </c>
      <c r="L561" s="373" t="s">
        <v>126</v>
      </c>
      <c r="M561" s="371">
        <v>1</v>
      </c>
      <c r="N561" s="1190" t="s">
        <v>5415</v>
      </c>
      <c r="O561" s="2141">
        <v>0.12</v>
      </c>
      <c r="P561" s="2144">
        <f>O561*K561</f>
        <v>786758.28</v>
      </c>
      <c r="Q561" s="2144">
        <f>P561</f>
        <v>786758.28</v>
      </c>
      <c r="R561" s="373" t="s">
        <v>4603</v>
      </c>
      <c r="S561" s="2073">
        <v>44130</v>
      </c>
      <c r="T561" s="2186">
        <v>1311263.8</v>
      </c>
      <c r="U561" s="2219">
        <v>44130</v>
      </c>
      <c r="V561" s="371">
        <v>655631.9</v>
      </c>
      <c r="W561" s="1165">
        <v>44180</v>
      </c>
      <c r="X561" s="2144">
        <v>655631.9</v>
      </c>
      <c r="Y561" s="1166">
        <v>44190</v>
      </c>
      <c r="Z561" s="371">
        <f t="shared" si="27"/>
        <v>131126.38</v>
      </c>
      <c r="AA561" s="1189"/>
      <c r="AB561" s="1190"/>
      <c r="AC561" s="1190"/>
      <c r="AD561" s="373"/>
      <c r="AE561" s="1190"/>
      <c r="AF561" s="1190"/>
      <c r="AG561" s="1190"/>
      <c r="AH561" s="373"/>
      <c r="AI561" s="373"/>
    </row>
    <row r="562" s="6" customFormat="1" ht="46" spans="1:35">
      <c r="A562" s="374"/>
      <c r="B562" s="2074"/>
      <c r="C562" s="381"/>
      <c r="D562" s="2078"/>
      <c r="E562" s="374"/>
      <c r="F562" s="374"/>
      <c r="G562" s="374"/>
      <c r="H562" s="374"/>
      <c r="I562" s="374"/>
      <c r="J562" s="374"/>
      <c r="K562" s="2101"/>
      <c r="L562" s="374"/>
      <c r="M562" s="371">
        <v>2</v>
      </c>
      <c r="N562" s="1190" t="s">
        <v>5416</v>
      </c>
      <c r="O562" s="2141">
        <v>0.08</v>
      </c>
      <c r="P562" s="1082">
        <f>O562*K561</f>
        <v>524505.52</v>
      </c>
      <c r="Q562" s="2144">
        <f>P562</f>
        <v>524505.52</v>
      </c>
      <c r="R562" s="375"/>
      <c r="S562" s="2075"/>
      <c r="T562" s="2187"/>
      <c r="U562" s="375"/>
      <c r="V562" s="371">
        <v>655631.9</v>
      </c>
      <c r="W562" s="1165">
        <v>44223</v>
      </c>
      <c r="X562" s="2144">
        <v>655631.9</v>
      </c>
      <c r="Y562" s="1166">
        <v>44231</v>
      </c>
      <c r="Z562" s="371">
        <f t="shared" si="27"/>
        <v>-131126.38</v>
      </c>
      <c r="AA562" s="1189"/>
      <c r="AB562" s="1190"/>
      <c r="AC562" s="1190"/>
      <c r="AD562" s="374"/>
      <c r="AE562" s="1190"/>
      <c r="AF562" s="1190"/>
      <c r="AG562" s="1190"/>
      <c r="AH562" s="374"/>
      <c r="AI562" s="374"/>
    </row>
    <row r="563" s="6" customFormat="1" ht="76" spans="1:35">
      <c r="A563" s="374"/>
      <c r="B563" s="2074"/>
      <c r="C563" s="381"/>
      <c r="D563" s="2078"/>
      <c r="E563" s="374"/>
      <c r="F563" s="374"/>
      <c r="G563" s="374"/>
      <c r="H563" s="374"/>
      <c r="I563" s="374"/>
      <c r="J563" s="374"/>
      <c r="K563" s="2101"/>
      <c r="L563" s="374"/>
      <c r="M563" s="371">
        <v>3</v>
      </c>
      <c r="N563" s="1190" t="s">
        <v>5417</v>
      </c>
      <c r="O563" s="2141">
        <v>0.36</v>
      </c>
      <c r="P563" s="1082">
        <f>O563*K561</f>
        <v>2360274.84</v>
      </c>
      <c r="Q563" s="2144">
        <f>P563</f>
        <v>2360274.84</v>
      </c>
      <c r="R563" s="413" t="s">
        <v>4603</v>
      </c>
      <c r="S563" s="1124">
        <v>44188</v>
      </c>
      <c r="T563" s="371">
        <v>2360274.84</v>
      </c>
      <c r="U563" s="1166">
        <v>44188</v>
      </c>
      <c r="V563" s="371">
        <v>2360274.84</v>
      </c>
      <c r="W563" s="1165">
        <v>44278</v>
      </c>
      <c r="X563" s="2144">
        <v>2360274.84</v>
      </c>
      <c r="Y563" s="1166">
        <v>44281</v>
      </c>
      <c r="Z563" s="371">
        <f t="shared" si="27"/>
        <v>0</v>
      </c>
      <c r="AA563" s="1189" t="s">
        <v>5418</v>
      </c>
      <c r="AB563" s="1190"/>
      <c r="AC563" s="1190"/>
      <c r="AD563" s="374"/>
      <c r="AE563" s="1190"/>
      <c r="AF563" s="1190"/>
      <c r="AG563" s="1190"/>
      <c r="AH563" s="374"/>
      <c r="AI563" s="374"/>
    </row>
    <row r="564" s="6" customFormat="1" ht="76" spans="1:35">
      <c r="A564" s="374"/>
      <c r="B564" s="2074"/>
      <c r="C564" s="381"/>
      <c r="D564" s="2078"/>
      <c r="E564" s="374"/>
      <c r="F564" s="374"/>
      <c r="G564" s="374"/>
      <c r="H564" s="374"/>
      <c r="I564" s="374"/>
      <c r="J564" s="374"/>
      <c r="K564" s="2101"/>
      <c r="L564" s="374"/>
      <c r="M564" s="371">
        <v>4</v>
      </c>
      <c r="N564" s="1190" t="s">
        <v>5419</v>
      </c>
      <c r="O564" s="2141">
        <v>0.24</v>
      </c>
      <c r="P564" s="1082">
        <f>O564*K561</f>
        <v>1573516.56</v>
      </c>
      <c r="Q564" s="2188">
        <f>P564</f>
        <v>1573516.56</v>
      </c>
      <c r="R564" s="1128"/>
      <c r="S564" s="2189"/>
      <c r="T564" s="371"/>
      <c r="U564" s="371"/>
      <c r="V564" s="371"/>
      <c r="W564" s="1165"/>
      <c r="X564" s="2188">
        <v>1573516.56</v>
      </c>
      <c r="Y564" s="2237"/>
      <c r="Z564" s="371">
        <f t="shared" si="27"/>
        <v>0</v>
      </c>
      <c r="AA564" s="1189"/>
      <c r="AB564" s="1190"/>
      <c r="AC564" s="1190"/>
      <c r="AD564" s="374"/>
      <c r="AE564" s="1190"/>
      <c r="AF564" s="1190"/>
      <c r="AG564" s="1190"/>
      <c r="AH564" s="374"/>
      <c r="AI564" s="374"/>
    </row>
    <row r="565" s="6" customFormat="1" ht="46" spans="1:35">
      <c r="A565" s="374"/>
      <c r="B565" s="2074"/>
      <c r="C565" s="381"/>
      <c r="D565" s="2078"/>
      <c r="E565" s="374"/>
      <c r="F565" s="374"/>
      <c r="G565" s="374"/>
      <c r="H565" s="374"/>
      <c r="I565" s="374"/>
      <c r="J565" s="374"/>
      <c r="K565" s="2101"/>
      <c r="L565" s="374"/>
      <c r="M565" s="371">
        <v>39</v>
      </c>
      <c r="N565" s="1190" t="s">
        <v>5420</v>
      </c>
      <c r="O565" s="2141">
        <v>0.06</v>
      </c>
      <c r="P565" s="1125">
        <f>O565*K561</f>
        <v>393379.14</v>
      </c>
      <c r="Q565" s="2190">
        <v>393379.14</v>
      </c>
      <c r="R565" s="413" t="s">
        <v>4603</v>
      </c>
      <c r="S565" s="1124">
        <v>44922</v>
      </c>
      <c r="T565" s="371">
        <v>393379.14</v>
      </c>
      <c r="U565" s="1166">
        <v>44922</v>
      </c>
      <c r="V565" s="371">
        <v>393379.14</v>
      </c>
      <c r="W565" s="1165">
        <v>44929</v>
      </c>
      <c r="X565" s="2144">
        <v>393379.14</v>
      </c>
      <c r="Y565" s="1166">
        <v>44970</v>
      </c>
      <c r="Z565" s="371">
        <f t="shared" si="27"/>
        <v>0</v>
      </c>
      <c r="AA565" s="1189"/>
      <c r="AB565" s="1190"/>
      <c r="AC565" s="1190"/>
      <c r="AD565" s="374"/>
      <c r="AE565" s="1190"/>
      <c r="AF565" s="1190"/>
      <c r="AG565" s="1190"/>
      <c r="AH565" s="374"/>
      <c r="AI565" s="374"/>
    </row>
    <row r="566" s="6" customFormat="1" ht="46" spans="1:35">
      <c r="A566" s="374"/>
      <c r="B566" s="2074"/>
      <c r="C566" s="381"/>
      <c r="D566" s="2078"/>
      <c r="E566" s="374"/>
      <c r="F566" s="374"/>
      <c r="G566" s="374"/>
      <c r="H566" s="374"/>
      <c r="I566" s="374"/>
      <c r="J566" s="374"/>
      <c r="K566" s="2101"/>
      <c r="L566" s="374"/>
      <c r="M566" s="371">
        <v>6</v>
      </c>
      <c r="N566" s="1190" t="s">
        <v>5421</v>
      </c>
      <c r="O566" s="2141">
        <v>0.04</v>
      </c>
      <c r="P566" s="1082">
        <f>O566*K561</f>
        <v>262252.76</v>
      </c>
      <c r="Q566" s="2188"/>
      <c r="R566" s="371"/>
      <c r="S566" s="2189"/>
      <c r="T566" s="371"/>
      <c r="U566" s="371"/>
      <c r="V566" s="371"/>
      <c r="W566" s="1165"/>
      <c r="X566" s="2144"/>
      <c r="Y566" s="371"/>
      <c r="Z566" s="371">
        <f t="shared" si="27"/>
        <v>0</v>
      </c>
      <c r="AA566" s="1189"/>
      <c r="AB566" s="1190"/>
      <c r="AC566" s="1190"/>
      <c r="AD566" s="374"/>
      <c r="AE566" s="1190"/>
      <c r="AF566" s="1190"/>
      <c r="AG566" s="1190"/>
      <c r="AH566" s="374"/>
      <c r="AI566" s="374"/>
    </row>
    <row r="567" s="6" customFormat="1" ht="61" spans="1:35">
      <c r="A567" s="374"/>
      <c r="B567" s="2074"/>
      <c r="C567" s="381"/>
      <c r="D567" s="2078"/>
      <c r="E567" s="374"/>
      <c r="F567" s="374"/>
      <c r="G567" s="374"/>
      <c r="H567" s="374"/>
      <c r="I567" s="374"/>
      <c r="J567" s="374"/>
      <c r="K567" s="2101"/>
      <c r="L567" s="374"/>
      <c r="M567" s="371">
        <v>7</v>
      </c>
      <c r="N567" s="1190" t="s">
        <v>5422</v>
      </c>
      <c r="O567" s="2141">
        <v>0.06</v>
      </c>
      <c r="P567" s="1082">
        <f>O567*K561</f>
        <v>393379.14</v>
      </c>
      <c r="Q567" s="2188">
        <v>393379.14</v>
      </c>
      <c r="R567" s="1128" t="s">
        <v>349</v>
      </c>
      <c r="S567" s="2189"/>
      <c r="T567" s="371"/>
      <c r="U567" s="371"/>
      <c r="V567" s="371"/>
      <c r="W567" s="1165"/>
      <c r="X567" s="2144"/>
      <c r="Y567" s="371"/>
      <c r="Z567" s="371">
        <f t="shared" si="27"/>
        <v>393379.14</v>
      </c>
      <c r="AA567" s="1189"/>
      <c r="AB567" s="1190"/>
      <c r="AC567" s="1190"/>
      <c r="AD567" s="374"/>
      <c r="AE567" s="1190"/>
      <c r="AF567" s="1190"/>
      <c r="AG567" s="1190"/>
      <c r="AH567" s="374"/>
      <c r="AI567" s="374"/>
    </row>
    <row r="568" s="6" customFormat="1" ht="61" spans="1:35">
      <c r="A568" s="374"/>
      <c r="B568" s="2074"/>
      <c r="C568" s="381"/>
      <c r="D568" s="2078"/>
      <c r="E568" s="374"/>
      <c r="F568" s="374"/>
      <c r="G568" s="374"/>
      <c r="H568" s="374"/>
      <c r="I568" s="374"/>
      <c r="J568" s="374"/>
      <c r="K568" s="2101"/>
      <c r="L568" s="374"/>
      <c r="M568" s="373">
        <v>8</v>
      </c>
      <c r="N568" s="2145" t="s">
        <v>5423</v>
      </c>
      <c r="O568" s="2146">
        <v>0.04</v>
      </c>
      <c r="P568" s="2100">
        <f>O568*K561</f>
        <v>262252.76</v>
      </c>
      <c r="Q568" s="2186"/>
      <c r="R568" s="373"/>
      <c r="S568" s="2073"/>
      <c r="T568" s="373"/>
      <c r="U568" s="373"/>
      <c r="V568" s="373"/>
      <c r="W568" s="2220"/>
      <c r="X568" s="2186"/>
      <c r="Y568" s="373"/>
      <c r="Z568" s="373">
        <f t="shared" si="27"/>
        <v>0</v>
      </c>
      <c r="AA568" s="2238"/>
      <c r="AB568" s="2145"/>
      <c r="AC568" s="2145"/>
      <c r="AD568" s="374"/>
      <c r="AE568" s="2145"/>
      <c r="AF568" s="2145"/>
      <c r="AG568" s="2145"/>
      <c r="AH568" s="374"/>
      <c r="AI568" s="374"/>
    </row>
    <row r="569" s="6" customFormat="1" ht="31" spans="1:35">
      <c r="A569" s="413" t="s">
        <v>2466</v>
      </c>
      <c r="B569" s="2079">
        <v>44751</v>
      </c>
      <c r="C569" s="378" t="s">
        <v>2467</v>
      </c>
      <c r="D569" s="408"/>
      <c r="E569" s="407" t="s">
        <v>5424</v>
      </c>
      <c r="F569" s="407" t="s">
        <v>5425</v>
      </c>
      <c r="G569" s="407" t="s">
        <v>658</v>
      </c>
      <c r="H569" s="407" t="s">
        <v>5426</v>
      </c>
      <c r="I569" s="373">
        <v>24490</v>
      </c>
      <c r="J569" s="407" t="s">
        <v>5427</v>
      </c>
      <c r="K569" s="2100">
        <v>587760</v>
      </c>
      <c r="L569" s="407" t="s">
        <v>138</v>
      </c>
      <c r="M569" s="371">
        <v>1</v>
      </c>
      <c r="N569" s="1091" t="s">
        <v>5428</v>
      </c>
      <c r="O569" s="2141">
        <v>0.2</v>
      </c>
      <c r="P569" s="1082">
        <f>K569*O569</f>
        <v>117552</v>
      </c>
      <c r="Q569" s="1125">
        <f>K569*0.2</f>
        <v>117552</v>
      </c>
      <c r="R569" s="413" t="s">
        <v>4603</v>
      </c>
      <c r="S569" s="1124">
        <v>44795</v>
      </c>
      <c r="T569" s="371">
        <v>117552</v>
      </c>
      <c r="U569" s="1166">
        <v>44795</v>
      </c>
      <c r="V569" s="371">
        <v>117552</v>
      </c>
      <c r="W569" s="1165">
        <v>44789</v>
      </c>
      <c r="X569" s="371">
        <v>117552</v>
      </c>
      <c r="Y569" s="1166">
        <v>44819</v>
      </c>
      <c r="Z569" s="371">
        <f t="shared" si="27"/>
        <v>0</v>
      </c>
      <c r="AA569" s="1189"/>
      <c r="AB569" s="1190"/>
      <c r="AC569" s="1190"/>
      <c r="AD569" s="371"/>
      <c r="AE569" s="1190"/>
      <c r="AF569" s="1190"/>
      <c r="AG569" s="1190"/>
      <c r="AH569" s="407" t="s">
        <v>197</v>
      </c>
      <c r="AI569" s="407" t="s">
        <v>154</v>
      </c>
    </row>
    <row r="570" s="6" customFormat="1" ht="31.5" customHeight="1" spans="1:35">
      <c r="A570" s="413"/>
      <c r="B570" s="2080"/>
      <c r="C570" s="657"/>
      <c r="D570" s="410"/>
      <c r="E570" s="409"/>
      <c r="F570" s="409"/>
      <c r="G570" s="409"/>
      <c r="H570" s="409"/>
      <c r="I570" s="374"/>
      <c r="J570" s="409"/>
      <c r="K570" s="2101"/>
      <c r="L570" s="409"/>
      <c r="M570" s="373">
        <v>2</v>
      </c>
      <c r="N570" s="407" t="s">
        <v>5429</v>
      </c>
      <c r="O570" s="2146">
        <v>0.75</v>
      </c>
      <c r="P570" s="1082">
        <v>200000</v>
      </c>
      <c r="Q570" s="1125">
        <v>200000</v>
      </c>
      <c r="R570" s="413" t="s">
        <v>4603</v>
      </c>
      <c r="S570" s="1124">
        <v>44922</v>
      </c>
      <c r="T570" s="371">
        <v>200000</v>
      </c>
      <c r="U570" s="1166">
        <v>44922</v>
      </c>
      <c r="V570" s="371"/>
      <c r="W570" s="1165"/>
      <c r="X570" s="371"/>
      <c r="Y570" s="371"/>
      <c r="Z570" s="371">
        <f t="shared" si="27"/>
        <v>200000</v>
      </c>
      <c r="AA570" s="1189"/>
      <c r="AB570" s="1190"/>
      <c r="AC570" s="1190"/>
      <c r="AD570" s="371"/>
      <c r="AE570" s="1190"/>
      <c r="AF570" s="1190"/>
      <c r="AG570" s="1190"/>
      <c r="AH570" s="409"/>
      <c r="AI570" s="409"/>
    </row>
    <row r="571" s="6" customFormat="1" ht="27.75" customHeight="1" spans="1:35">
      <c r="A571" s="371"/>
      <c r="B571" s="2080"/>
      <c r="C571" s="381"/>
      <c r="D571" s="410"/>
      <c r="E571" s="374"/>
      <c r="F571" s="374"/>
      <c r="G571" s="374"/>
      <c r="H571" s="374"/>
      <c r="I571" s="374"/>
      <c r="J571" s="374"/>
      <c r="K571" s="2101"/>
      <c r="L571" s="374"/>
      <c r="M571" s="375"/>
      <c r="N571" s="2147"/>
      <c r="O571" s="2148"/>
      <c r="P571" s="1082">
        <f>K569*O570-P570</f>
        <v>240820</v>
      </c>
      <c r="Q571" s="1082"/>
      <c r="R571" s="413"/>
      <c r="S571" s="1124"/>
      <c r="T571" s="371"/>
      <c r="U571" s="371"/>
      <c r="V571" s="371"/>
      <c r="W571" s="1165"/>
      <c r="X571" s="371"/>
      <c r="Y571" s="371"/>
      <c r="Z571" s="371"/>
      <c r="AA571" s="1189"/>
      <c r="AB571" s="1190"/>
      <c r="AC571" s="1190"/>
      <c r="AD571" s="371"/>
      <c r="AE571" s="1190"/>
      <c r="AF571" s="1190"/>
      <c r="AG571" s="1190"/>
      <c r="AH571" s="374"/>
      <c r="AI571" s="374"/>
    </row>
    <row r="572" s="6" customFormat="1" ht="61" spans="1:35">
      <c r="A572" s="371"/>
      <c r="B572" s="2081"/>
      <c r="C572" s="384"/>
      <c r="D572" s="412"/>
      <c r="E572" s="375"/>
      <c r="F572" s="375"/>
      <c r="G572" s="375"/>
      <c r="H572" s="375"/>
      <c r="I572" s="375"/>
      <c r="J572" s="375"/>
      <c r="K572" s="2102"/>
      <c r="L572" s="375"/>
      <c r="M572" s="371">
        <v>3</v>
      </c>
      <c r="N572" s="1091" t="s">
        <v>5430</v>
      </c>
      <c r="O572" s="2141">
        <v>0.05</v>
      </c>
      <c r="P572" s="1082">
        <f>K569*O572</f>
        <v>29388</v>
      </c>
      <c r="Q572" s="1082"/>
      <c r="R572" s="371"/>
      <c r="S572" s="2191"/>
      <c r="T572" s="371"/>
      <c r="U572" s="371"/>
      <c r="V572" s="371"/>
      <c r="W572" s="1165"/>
      <c r="X572" s="371"/>
      <c r="Y572" s="371"/>
      <c r="Z572" s="371"/>
      <c r="AA572" s="1189"/>
      <c r="AB572" s="1190"/>
      <c r="AC572" s="1190"/>
      <c r="AD572" s="371"/>
      <c r="AE572" s="1190"/>
      <c r="AF572" s="1190"/>
      <c r="AG572" s="1190"/>
      <c r="AH572" s="375"/>
      <c r="AI572" s="375"/>
    </row>
    <row r="573" s="6" customFormat="1" ht="46" spans="1:35">
      <c r="A573" s="409" t="s">
        <v>2466</v>
      </c>
      <c r="B573" s="2080">
        <v>44985</v>
      </c>
      <c r="C573" s="657" t="s">
        <v>2467</v>
      </c>
      <c r="D573" s="410"/>
      <c r="E573" s="409" t="s">
        <v>5431</v>
      </c>
      <c r="F573" s="409" t="s">
        <v>5432</v>
      </c>
      <c r="G573" s="409" t="s">
        <v>658</v>
      </c>
      <c r="H573" s="409" t="s">
        <v>5426</v>
      </c>
      <c r="I573" s="374">
        <v>24490</v>
      </c>
      <c r="J573" s="409" t="s">
        <v>997</v>
      </c>
      <c r="K573" s="2101">
        <v>195920</v>
      </c>
      <c r="L573" s="409" t="s">
        <v>138</v>
      </c>
      <c r="M573" s="375">
        <v>1</v>
      </c>
      <c r="N573" s="1091" t="s">
        <v>5433</v>
      </c>
      <c r="O573" s="2141">
        <v>0.2</v>
      </c>
      <c r="P573" s="2102">
        <f>K573*O573</f>
        <v>39184</v>
      </c>
      <c r="Q573" s="2102">
        <v>38423.15</v>
      </c>
      <c r="R573" s="411" t="s">
        <v>4603</v>
      </c>
      <c r="S573" s="2192">
        <v>45026</v>
      </c>
      <c r="T573" s="375">
        <v>38423.15</v>
      </c>
      <c r="U573" s="2221">
        <v>45026</v>
      </c>
      <c r="V573" s="375">
        <v>38423.15</v>
      </c>
      <c r="W573" s="2221">
        <v>45026</v>
      </c>
      <c r="X573" s="375">
        <v>38423.15</v>
      </c>
      <c r="Y573" s="2221">
        <v>45039</v>
      </c>
      <c r="Z573" s="2239"/>
      <c r="AA573" s="2240" t="s">
        <v>5434</v>
      </c>
      <c r="AB573" s="2241"/>
      <c r="AC573" s="2241"/>
      <c r="AD573" s="375"/>
      <c r="AE573" s="2241"/>
      <c r="AF573" s="2241"/>
      <c r="AG573" s="2241"/>
      <c r="AH573" s="374"/>
      <c r="AI573" s="409" t="s">
        <v>154</v>
      </c>
    </row>
    <row r="574" s="6" customFormat="1" ht="46" spans="1:35">
      <c r="A574" s="374"/>
      <c r="B574" s="2080"/>
      <c r="C574" s="381"/>
      <c r="D574" s="410"/>
      <c r="E574" s="374"/>
      <c r="F574" s="374"/>
      <c r="G574" s="374"/>
      <c r="H574" s="374"/>
      <c r="I574" s="374"/>
      <c r="J574" s="374"/>
      <c r="K574" s="2101"/>
      <c r="L574" s="374"/>
      <c r="M574" s="375">
        <v>2</v>
      </c>
      <c r="N574" s="1091" t="s">
        <v>5435</v>
      </c>
      <c r="O574" s="2141">
        <v>0.75</v>
      </c>
      <c r="P574" s="2102">
        <f>O574*K573</f>
        <v>146940</v>
      </c>
      <c r="Q574" s="2102"/>
      <c r="R574" s="375"/>
      <c r="S574" s="2192"/>
      <c r="T574" s="375"/>
      <c r="U574" s="207"/>
      <c r="V574" s="375"/>
      <c r="W574" s="2222"/>
      <c r="X574" s="375"/>
      <c r="Y574" s="207"/>
      <c r="Z574" s="375"/>
      <c r="AA574" s="2242"/>
      <c r="AB574" s="2241"/>
      <c r="AC574" s="2241"/>
      <c r="AD574" s="375"/>
      <c r="AE574" s="2241"/>
      <c r="AF574" s="2241"/>
      <c r="AG574" s="2241"/>
      <c r="AH574" s="374"/>
      <c r="AI574" s="374"/>
    </row>
    <row r="575" s="6" customFormat="1" ht="31" spans="1:35">
      <c r="A575" s="375"/>
      <c r="B575" s="2081"/>
      <c r="C575" s="384"/>
      <c r="D575" s="412"/>
      <c r="E575" s="375"/>
      <c r="F575" s="375"/>
      <c r="G575" s="375"/>
      <c r="H575" s="375"/>
      <c r="I575" s="375"/>
      <c r="J575" s="375"/>
      <c r="K575" s="2102"/>
      <c r="L575" s="375"/>
      <c r="M575" s="375">
        <v>3</v>
      </c>
      <c r="N575" s="1091" t="s">
        <v>5436</v>
      </c>
      <c r="O575" s="2141">
        <v>0.05</v>
      </c>
      <c r="P575" s="2102">
        <f>O575*K573</f>
        <v>9796</v>
      </c>
      <c r="Q575" s="2102"/>
      <c r="R575" s="375"/>
      <c r="S575" s="2192"/>
      <c r="T575" s="375"/>
      <c r="U575" s="207"/>
      <c r="V575" s="375"/>
      <c r="W575" s="2222"/>
      <c r="X575" s="375"/>
      <c r="Y575" s="207"/>
      <c r="Z575" s="375"/>
      <c r="AA575" s="2242"/>
      <c r="AB575" s="2241"/>
      <c r="AC575" s="2241"/>
      <c r="AD575" s="375"/>
      <c r="AE575" s="2241"/>
      <c r="AF575" s="2241"/>
      <c r="AG575" s="2241"/>
      <c r="AH575" s="375"/>
      <c r="AI575" s="375"/>
    </row>
    <row r="576" s="6" customFormat="1" ht="27" customHeight="1" spans="1:35">
      <c r="A576" s="2082" t="s">
        <v>2466</v>
      </c>
      <c r="B576" s="2083">
        <v>44147</v>
      </c>
      <c r="C576" s="2084" t="s">
        <v>5437</v>
      </c>
      <c r="D576" s="2085" t="s">
        <v>5438</v>
      </c>
      <c r="E576" s="2085" t="s">
        <v>5439</v>
      </c>
      <c r="F576" s="2085" t="s">
        <v>5440</v>
      </c>
      <c r="G576" s="2082" t="s">
        <v>286</v>
      </c>
      <c r="H576" s="2085" t="s">
        <v>5441</v>
      </c>
      <c r="I576" s="2082" t="s">
        <v>171</v>
      </c>
      <c r="J576" s="2082" t="s">
        <v>5442</v>
      </c>
      <c r="K576" s="694">
        <v>140000</v>
      </c>
      <c r="L576" s="2082" t="s">
        <v>26</v>
      </c>
      <c r="M576" s="2082">
        <v>1</v>
      </c>
      <c r="N576" s="2149" t="s">
        <v>5443</v>
      </c>
      <c r="O576" s="2150">
        <v>1</v>
      </c>
      <c r="P576" s="694">
        <v>140000</v>
      </c>
      <c r="Q576" s="694">
        <v>140000</v>
      </c>
      <c r="R576" s="2082" t="s">
        <v>4603</v>
      </c>
      <c r="S576" s="2193">
        <v>44195</v>
      </c>
      <c r="T576" s="694">
        <v>140000</v>
      </c>
      <c r="U576" s="2193">
        <v>44195</v>
      </c>
      <c r="V576" s="694">
        <v>140000</v>
      </c>
      <c r="W576" s="2193">
        <v>44207</v>
      </c>
      <c r="X576" s="2223">
        <v>140000</v>
      </c>
      <c r="Y576" s="2193">
        <v>44231</v>
      </c>
      <c r="Z576" s="2082"/>
      <c r="AA576" s="2243"/>
      <c r="AB576" s="2244" t="s">
        <v>128</v>
      </c>
      <c r="AC576" s="2264"/>
      <c r="AD576" s="2264"/>
      <c r="AE576" s="2264"/>
      <c r="AF576" s="2264"/>
      <c r="AG576" s="2264"/>
      <c r="AH576" s="2264" t="s">
        <v>197</v>
      </c>
      <c r="AI576" s="2264" t="s">
        <v>154</v>
      </c>
    </row>
    <row r="577" s="17" customFormat="1" ht="29.25" customHeight="1" spans="1:35">
      <c r="A577" s="2270" t="s">
        <v>1951</v>
      </c>
      <c r="B577" s="2271">
        <v>44101</v>
      </c>
      <c r="C577" s="2272" t="s">
        <v>5444</v>
      </c>
      <c r="D577" s="2273" t="s">
        <v>5445</v>
      </c>
      <c r="E577" s="2306" t="s">
        <v>5446</v>
      </c>
      <c r="F577" s="2306" t="s">
        <v>5445</v>
      </c>
      <c r="G577" s="2270" t="s">
        <v>4676</v>
      </c>
      <c r="H577" s="2306" t="s">
        <v>4720</v>
      </c>
      <c r="I577" s="2274">
        <v>428923.94</v>
      </c>
      <c r="J577" s="2273" t="s">
        <v>5447</v>
      </c>
      <c r="K577" s="2316">
        <v>969486.28</v>
      </c>
      <c r="L577" s="2270" t="s">
        <v>32</v>
      </c>
      <c r="M577" s="2338">
        <v>1</v>
      </c>
      <c r="N577" s="2339" t="s">
        <v>4729</v>
      </c>
      <c r="O577" s="2340">
        <v>0.2</v>
      </c>
      <c r="P577" s="2341">
        <f>K577*O577</f>
        <v>193897.256</v>
      </c>
      <c r="Q577" s="893">
        <v>484743.14</v>
      </c>
      <c r="R577" s="2386" t="s">
        <v>206</v>
      </c>
      <c r="S577" s="2271">
        <v>44116</v>
      </c>
      <c r="T577" s="849">
        <v>484743.14</v>
      </c>
      <c r="U577" s="2271">
        <v>44116</v>
      </c>
      <c r="V577" s="849">
        <v>484743.14</v>
      </c>
      <c r="W577" s="2429">
        <v>44114</v>
      </c>
      <c r="X577" s="2430">
        <v>484743.14</v>
      </c>
      <c r="Y577" s="2429">
        <v>44119</v>
      </c>
      <c r="Z577" s="2430">
        <f>Q577-X577</f>
        <v>0</v>
      </c>
      <c r="AA577" s="849" t="s">
        <v>1463</v>
      </c>
      <c r="AB577" s="2450" t="s">
        <v>1463</v>
      </c>
      <c r="AC577" s="849"/>
      <c r="AD577" s="2270">
        <f>SUM(Q577:Q582)</f>
        <v>969486.28</v>
      </c>
      <c r="AE577" s="849">
        <f>SUM(V577:V582)</f>
        <v>969486.28</v>
      </c>
      <c r="AF577" s="849">
        <f>SUM(X577:X582)</f>
        <v>969486.28</v>
      </c>
      <c r="AG577" s="2270">
        <f>K577-AD577</f>
        <v>0</v>
      </c>
      <c r="AH577" s="2450" t="s">
        <v>247</v>
      </c>
      <c r="AI577" s="2494" t="s">
        <v>154</v>
      </c>
    </row>
    <row r="578" s="17" customFormat="1" ht="29.25" customHeight="1" spans="1:35">
      <c r="A578" s="2270"/>
      <c r="B578" s="817"/>
      <c r="C578" s="2272"/>
      <c r="D578" s="2273"/>
      <c r="E578" s="2306"/>
      <c r="F578" s="2306"/>
      <c r="G578" s="2270"/>
      <c r="H578" s="2306"/>
      <c r="I578" s="2274"/>
      <c r="J578" s="2273"/>
      <c r="K578" s="2316"/>
      <c r="L578" s="2270"/>
      <c r="M578" s="2338">
        <v>2</v>
      </c>
      <c r="N578" s="2339" t="s">
        <v>5448</v>
      </c>
      <c r="O578" s="2340">
        <v>0.3</v>
      </c>
      <c r="P578" s="2341">
        <f>K577*O578</f>
        <v>290845.884</v>
      </c>
      <c r="Q578" s="893"/>
      <c r="R578" s="2387"/>
      <c r="S578" s="814"/>
      <c r="T578" s="813"/>
      <c r="U578" s="814"/>
      <c r="V578" s="813"/>
      <c r="W578" s="2431"/>
      <c r="X578" s="889"/>
      <c r="Y578" s="2431"/>
      <c r="Z578" s="889"/>
      <c r="AA578" s="816"/>
      <c r="AB578" s="2451"/>
      <c r="AC578" s="816"/>
      <c r="AD578" s="2270"/>
      <c r="AE578" s="816"/>
      <c r="AF578" s="816"/>
      <c r="AG578" s="2270"/>
      <c r="AH578" s="2451"/>
      <c r="AI578" s="2495"/>
    </row>
    <row r="579" s="8" customFormat="1" ht="29.25" customHeight="1" spans="1:35">
      <c r="A579" s="2274"/>
      <c r="B579" s="817"/>
      <c r="C579" s="2275"/>
      <c r="D579" s="2273"/>
      <c r="E579" s="2273"/>
      <c r="F579" s="2273"/>
      <c r="G579" s="2274"/>
      <c r="H579" s="2273"/>
      <c r="I579" s="2274"/>
      <c r="J579" s="2273"/>
      <c r="K579" s="2317"/>
      <c r="L579" s="2274"/>
      <c r="M579" s="2342">
        <v>3</v>
      </c>
      <c r="N579" s="2339" t="s">
        <v>5449</v>
      </c>
      <c r="O579" s="2343">
        <v>0.1</v>
      </c>
      <c r="P579" s="733">
        <f>K577*O579</f>
        <v>96948.628</v>
      </c>
      <c r="Q579" s="815">
        <v>484743.14</v>
      </c>
      <c r="R579" s="2388" t="s">
        <v>206</v>
      </c>
      <c r="S579" s="2271">
        <v>44173</v>
      </c>
      <c r="T579" s="779">
        <v>484743.14</v>
      </c>
      <c r="U579" s="2271">
        <v>44173</v>
      </c>
      <c r="V579" s="849">
        <v>484743.14</v>
      </c>
      <c r="W579" s="2271">
        <v>44162</v>
      </c>
      <c r="X579" s="2430">
        <v>387794.51</v>
      </c>
      <c r="Y579" s="2271">
        <v>44189</v>
      </c>
      <c r="Z579" s="2430">
        <f>Q579-X579-X582</f>
        <v>0</v>
      </c>
      <c r="AA579" s="782"/>
      <c r="AB579" s="2452"/>
      <c r="AC579" s="782"/>
      <c r="AD579" s="2274"/>
      <c r="AE579" s="782"/>
      <c r="AF579" s="782"/>
      <c r="AG579" s="2274"/>
      <c r="AH579" s="2452"/>
      <c r="AI579" s="2496"/>
    </row>
    <row r="580" s="8" customFormat="1" ht="29.25" customHeight="1" spans="1:35">
      <c r="A580" s="2274"/>
      <c r="B580" s="817"/>
      <c r="C580" s="2275"/>
      <c r="D580" s="2273"/>
      <c r="E580" s="2273"/>
      <c r="F580" s="2273"/>
      <c r="G580" s="2274"/>
      <c r="H580" s="2273"/>
      <c r="I580" s="2274"/>
      <c r="J580" s="2273"/>
      <c r="K580" s="2317"/>
      <c r="L580" s="2274"/>
      <c r="M580" s="2342">
        <v>4</v>
      </c>
      <c r="N580" s="2339" t="s">
        <v>5450</v>
      </c>
      <c r="O580" s="2343">
        <v>0.2</v>
      </c>
      <c r="P580" s="733">
        <f>K577*O580</f>
        <v>193897.256</v>
      </c>
      <c r="Q580" s="815"/>
      <c r="R580" s="847"/>
      <c r="S580" s="817"/>
      <c r="T580" s="782"/>
      <c r="U580" s="817"/>
      <c r="V580" s="816"/>
      <c r="W580" s="817"/>
      <c r="X580" s="2432"/>
      <c r="Y580" s="817"/>
      <c r="Z580" s="2432"/>
      <c r="AA580" s="782"/>
      <c r="AB580" s="2452"/>
      <c r="AC580" s="782"/>
      <c r="AD580" s="2274"/>
      <c r="AE580" s="782"/>
      <c r="AF580" s="782"/>
      <c r="AG580" s="2274"/>
      <c r="AH580" s="2452"/>
      <c r="AI580" s="2496"/>
    </row>
    <row r="581" s="8" customFormat="1" ht="29.25" customHeight="1" spans="1:35">
      <c r="A581" s="2274"/>
      <c r="B581" s="817"/>
      <c r="C581" s="2275"/>
      <c r="D581" s="2273"/>
      <c r="E581" s="2273"/>
      <c r="F581" s="2273"/>
      <c r="G581" s="2274"/>
      <c r="H581" s="2273"/>
      <c r="I581" s="2274"/>
      <c r="J581" s="2273"/>
      <c r="K581" s="2317"/>
      <c r="L581" s="2274"/>
      <c r="M581" s="2342">
        <v>5</v>
      </c>
      <c r="N581" s="2339" t="s">
        <v>5451</v>
      </c>
      <c r="O581" s="2343">
        <v>0.1</v>
      </c>
      <c r="P581" s="733">
        <f>K577*O581</f>
        <v>96948.628</v>
      </c>
      <c r="Q581" s="815"/>
      <c r="R581" s="847"/>
      <c r="S581" s="817"/>
      <c r="T581" s="782"/>
      <c r="U581" s="817"/>
      <c r="V581" s="816"/>
      <c r="W581" s="817"/>
      <c r="X581" s="889"/>
      <c r="Y581" s="814"/>
      <c r="Z581" s="2432"/>
      <c r="AA581" s="782"/>
      <c r="AB581" s="2452"/>
      <c r="AC581" s="782"/>
      <c r="AD581" s="2274"/>
      <c r="AE581" s="782"/>
      <c r="AF581" s="782"/>
      <c r="AG581" s="2274"/>
      <c r="AH581" s="2452"/>
      <c r="AI581" s="2496"/>
    </row>
    <row r="582" s="8" customFormat="1" ht="29.25" customHeight="1" spans="1:35">
      <c r="A582" s="2274"/>
      <c r="B582" s="814"/>
      <c r="C582" s="2276"/>
      <c r="D582" s="2273"/>
      <c r="E582" s="2307"/>
      <c r="F582" s="2307"/>
      <c r="G582" s="779"/>
      <c r="H582" s="2307"/>
      <c r="I582" s="2274"/>
      <c r="J582" s="2273"/>
      <c r="K582" s="846"/>
      <c r="L582" s="779"/>
      <c r="M582" s="2344">
        <v>6</v>
      </c>
      <c r="N582" s="2345" t="s">
        <v>4725</v>
      </c>
      <c r="O582" s="2346">
        <v>0.1</v>
      </c>
      <c r="P582" s="737">
        <f>K577*O582</f>
        <v>96948.628</v>
      </c>
      <c r="Q582" s="815"/>
      <c r="R582" s="847"/>
      <c r="S582" s="817"/>
      <c r="T582" s="782"/>
      <c r="U582" s="817"/>
      <c r="V582" s="816"/>
      <c r="W582" s="817"/>
      <c r="X582" s="2430">
        <v>96948.63</v>
      </c>
      <c r="Y582" s="890">
        <v>44508</v>
      </c>
      <c r="Z582" s="2432"/>
      <c r="AA582" s="782"/>
      <c r="AB582" s="2452"/>
      <c r="AC582" s="782"/>
      <c r="AD582" s="779"/>
      <c r="AE582" s="782"/>
      <c r="AF582" s="782"/>
      <c r="AG582" s="779"/>
      <c r="AH582" s="2497"/>
      <c r="AI582" s="2498"/>
    </row>
    <row r="583" s="4" customFormat="1" ht="16" spans="1:35">
      <c r="A583" s="107" t="s">
        <v>1951</v>
      </c>
      <c r="B583" s="1652">
        <v>43952</v>
      </c>
      <c r="C583" s="363" t="s">
        <v>5452</v>
      </c>
      <c r="D583" s="2277" t="s">
        <v>5453</v>
      </c>
      <c r="E583" s="404" t="s">
        <v>2363</v>
      </c>
      <c r="F583" s="404" t="s">
        <v>5453</v>
      </c>
      <c r="G583" s="339" t="s">
        <v>4676</v>
      </c>
      <c r="H583" s="404" t="s">
        <v>4677</v>
      </c>
      <c r="I583" s="453">
        <v>112041</v>
      </c>
      <c r="J583" s="2318" t="s">
        <v>5454</v>
      </c>
      <c r="K583" s="1580">
        <v>224082</v>
      </c>
      <c r="L583" s="339" t="s">
        <v>32</v>
      </c>
      <c r="M583" s="404">
        <v>1</v>
      </c>
      <c r="N583" s="2347" t="s">
        <v>5455</v>
      </c>
      <c r="O583" s="2348">
        <v>0.2</v>
      </c>
      <c r="P583" s="339">
        <f>K583*O583</f>
        <v>44816.4</v>
      </c>
      <c r="Q583" s="1580">
        <v>197757.8</v>
      </c>
      <c r="R583" s="1499" t="s">
        <v>206</v>
      </c>
      <c r="S583" s="2000">
        <v>44119</v>
      </c>
      <c r="T583" s="294">
        <v>197757.8</v>
      </c>
      <c r="U583" s="2000">
        <v>44119</v>
      </c>
      <c r="V583" s="294">
        <v>197757.8</v>
      </c>
      <c r="W583" s="2433">
        <v>44161</v>
      </c>
      <c r="X583" s="2434">
        <v>197757.8</v>
      </c>
      <c r="Y583" s="2433">
        <v>44195</v>
      </c>
      <c r="Z583" s="1580">
        <f>Q583-X583</f>
        <v>0</v>
      </c>
      <c r="AA583" s="2068" t="s">
        <v>5456</v>
      </c>
      <c r="AB583" s="339" t="s">
        <v>1463</v>
      </c>
      <c r="AC583" s="339"/>
      <c r="AD583" s="2474">
        <f>SUM(Q583:Q587)</f>
        <v>219730.89</v>
      </c>
      <c r="AE583" s="333">
        <f>SUM(V583:V583)</f>
        <v>197757.8</v>
      </c>
      <c r="AF583" s="333">
        <v>0</v>
      </c>
      <c r="AG583" s="333">
        <f>K583-AD583</f>
        <v>4351.11000000002</v>
      </c>
      <c r="AH583" s="339" t="s">
        <v>197</v>
      </c>
      <c r="AI583" s="339" t="s">
        <v>154</v>
      </c>
    </row>
    <row r="584" s="4" customFormat="1" ht="61" spans="1:35">
      <c r="A584" s="107"/>
      <c r="B584" s="1653"/>
      <c r="C584" s="1480"/>
      <c r="D584" s="2277"/>
      <c r="E584" s="404"/>
      <c r="F584" s="404"/>
      <c r="G584" s="339"/>
      <c r="H584" s="404"/>
      <c r="I584" s="453"/>
      <c r="J584" s="2318"/>
      <c r="K584" s="1580"/>
      <c r="L584" s="339"/>
      <c r="M584" s="404">
        <v>2</v>
      </c>
      <c r="N584" s="2347" t="s">
        <v>5457</v>
      </c>
      <c r="O584" s="2348">
        <v>0.3</v>
      </c>
      <c r="P584" s="339">
        <f>K583*O584</f>
        <v>67224.6</v>
      </c>
      <c r="Q584" s="1580"/>
      <c r="R584" s="1499"/>
      <c r="S584" s="2000"/>
      <c r="T584" s="294"/>
      <c r="U584" s="2000"/>
      <c r="V584" s="294"/>
      <c r="W584" s="2433"/>
      <c r="X584" s="2435"/>
      <c r="Y584" s="2433"/>
      <c r="Z584" s="1580"/>
      <c r="AA584" s="2070"/>
      <c r="AB584" s="339"/>
      <c r="AC584" s="339"/>
      <c r="AD584" s="2475"/>
      <c r="AE584" s="1654"/>
      <c r="AF584" s="1654"/>
      <c r="AG584" s="1654"/>
      <c r="AH584" s="339"/>
      <c r="AI584" s="339"/>
    </row>
    <row r="585" s="4" customFormat="1" ht="46" spans="1:35">
      <c r="A585" s="107"/>
      <c r="B585" s="1653"/>
      <c r="C585" s="1480"/>
      <c r="D585" s="2277"/>
      <c r="E585" s="404"/>
      <c r="F585" s="404"/>
      <c r="G585" s="339"/>
      <c r="H585" s="404"/>
      <c r="I585" s="453"/>
      <c r="J585" s="2318"/>
      <c r="K585" s="1580"/>
      <c r="L585" s="339"/>
      <c r="M585" s="404">
        <v>3</v>
      </c>
      <c r="N585" s="2347" t="s">
        <v>5458</v>
      </c>
      <c r="O585" s="2348">
        <v>0.2</v>
      </c>
      <c r="P585" s="339">
        <f>K583*O585</f>
        <v>44816.4</v>
      </c>
      <c r="Q585" s="1580"/>
      <c r="R585" s="1499"/>
      <c r="S585" s="2000"/>
      <c r="T585" s="294"/>
      <c r="U585" s="2000"/>
      <c r="V585" s="294"/>
      <c r="W585" s="2433"/>
      <c r="X585" s="2435"/>
      <c r="Y585" s="2433"/>
      <c r="Z585" s="1580"/>
      <c r="AA585" s="2070"/>
      <c r="AB585" s="339"/>
      <c r="AC585" s="339"/>
      <c r="AD585" s="2475"/>
      <c r="AE585" s="1654"/>
      <c r="AF585" s="1654"/>
      <c r="AG585" s="1654"/>
      <c r="AH585" s="339"/>
      <c r="AI585" s="339"/>
    </row>
    <row r="586" s="4" customFormat="1" ht="31" spans="1:35">
      <c r="A586" s="107"/>
      <c r="B586" s="1653"/>
      <c r="C586" s="1480"/>
      <c r="D586" s="2277"/>
      <c r="E586" s="404"/>
      <c r="F586" s="404"/>
      <c r="G586" s="339"/>
      <c r="H586" s="404"/>
      <c r="I586" s="453"/>
      <c r="J586" s="2318"/>
      <c r="K586" s="1580"/>
      <c r="L586" s="339"/>
      <c r="M586" s="404">
        <v>4</v>
      </c>
      <c r="N586" s="2347" t="s">
        <v>5459</v>
      </c>
      <c r="O586" s="2348">
        <v>0.2</v>
      </c>
      <c r="P586" s="339">
        <f>K583*O586</f>
        <v>44816.4</v>
      </c>
      <c r="Q586" s="1580"/>
      <c r="R586" s="1499"/>
      <c r="S586" s="2000"/>
      <c r="T586" s="294"/>
      <c r="U586" s="2000"/>
      <c r="V586" s="294"/>
      <c r="W586" s="2433"/>
      <c r="X586" s="2436"/>
      <c r="Y586" s="2433"/>
      <c r="Z586" s="1580"/>
      <c r="AA586" s="2070"/>
      <c r="AB586" s="339"/>
      <c r="AC586" s="339"/>
      <c r="AD586" s="2476"/>
      <c r="AE586" s="336"/>
      <c r="AF586" s="336"/>
      <c r="AG586" s="336"/>
      <c r="AH586" s="339"/>
      <c r="AI586" s="339"/>
    </row>
    <row r="587" s="4" customFormat="1" ht="31" spans="1:35">
      <c r="A587" s="107"/>
      <c r="B587" s="1655"/>
      <c r="C587" s="1480"/>
      <c r="D587" s="2277"/>
      <c r="E587" s="404"/>
      <c r="F587" s="404"/>
      <c r="G587" s="339"/>
      <c r="H587" s="404"/>
      <c r="I587" s="453"/>
      <c r="J587" s="2318"/>
      <c r="K587" s="1580"/>
      <c r="L587" s="339"/>
      <c r="M587" s="404">
        <v>5</v>
      </c>
      <c r="N587" s="2347" t="s">
        <v>5460</v>
      </c>
      <c r="O587" s="2348">
        <v>0.1</v>
      </c>
      <c r="P587" s="339">
        <f>K583*O587</f>
        <v>22408.2</v>
      </c>
      <c r="Q587" s="2389">
        <v>21973.09</v>
      </c>
      <c r="R587" s="1499" t="s">
        <v>206</v>
      </c>
      <c r="S587" s="2000">
        <v>44181</v>
      </c>
      <c r="T587" s="294">
        <v>21973.09</v>
      </c>
      <c r="U587" s="2000">
        <v>44181</v>
      </c>
      <c r="V587" s="294">
        <v>21973.09</v>
      </c>
      <c r="W587" s="2000">
        <v>44187</v>
      </c>
      <c r="X587" s="2389">
        <v>21973.09</v>
      </c>
      <c r="Y587" s="2000">
        <v>45467</v>
      </c>
      <c r="Z587" s="1999"/>
      <c r="AA587" s="2072"/>
      <c r="AB587" s="339"/>
      <c r="AC587" s="1705"/>
      <c r="AD587" s="339"/>
      <c r="AE587" s="339"/>
      <c r="AF587" s="339"/>
      <c r="AG587" s="339"/>
      <c r="AH587" s="339"/>
      <c r="AI587" s="339"/>
    </row>
    <row r="588" s="4" customFormat="1" ht="24.75" customHeight="1" spans="1:35">
      <c r="A588" s="107" t="s">
        <v>111</v>
      </c>
      <c r="B588" s="255">
        <v>44101</v>
      </c>
      <c r="C588" s="2278" t="s">
        <v>5461</v>
      </c>
      <c r="D588" s="2273" t="s">
        <v>5462</v>
      </c>
      <c r="E588" s="137" t="s">
        <v>5463</v>
      </c>
      <c r="F588" s="137" t="s">
        <v>5462</v>
      </c>
      <c r="G588" s="212" t="s">
        <v>4676</v>
      </c>
      <c r="H588" s="137" t="s">
        <v>4720</v>
      </c>
      <c r="I588" s="107">
        <v>111572.6</v>
      </c>
      <c r="J588" s="134" t="s">
        <v>5464</v>
      </c>
      <c r="K588" s="2319">
        <v>350337.96</v>
      </c>
      <c r="L588" s="212" t="s">
        <v>32</v>
      </c>
      <c r="M588" s="2349">
        <v>1</v>
      </c>
      <c r="N588" s="1772" t="s">
        <v>4729</v>
      </c>
      <c r="O588" s="2350">
        <v>0.2</v>
      </c>
      <c r="P588" s="2351">
        <f>K588*O588</f>
        <v>70067.592</v>
      </c>
      <c r="Q588" s="336">
        <v>206121.17</v>
      </c>
      <c r="R588" s="404" t="s">
        <v>206</v>
      </c>
      <c r="S588" s="362">
        <v>44116</v>
      </c>
      <c r="T588" s="339">
        <v>206121.17</v>
      </c>
      <c r="U588" s="362">
        <v>44116</v>
      </c>
      <c r="V588" s="339">
        <v>206121.17</v>
      </c>
      <c r="W588" s="2433">
        <v>44160</v>
      </c>
      <c r="X588" s="294">
        <v>206121.17</v>
      </c>
      <c r="Y588" s="2433">
        <v>44272</v>
      </c>
      <c r="Z588" s="1580">
        <f>Q588-X588</f>
        <v>0</v>
      </c>
      <c r="AA588" s="294" t="s">
        <v>1463</v>
      </c>
      <c r="AB588" s="339" t="s">
        <v>1463</v>
      </c>
      <c r="AC588" s="339"/>
      <c r="AD588" s="333">
        <f>SUM(Q588:Q591)</f>
        <v>343535.28</v>
      </c>
      <c r="AE588" s="333">
        <f>SUM(V588:V589)</f>
        <v>206121.17</v>
      </c>
      <c r="AF588" s="333">
        <f>SUM(X588:X589)</f>
        <v>206121.17</v>
      </c>
      <c r="AG588" s="333">
        <f>K588-AD588</f>
        <v>6802.67999999999</v>
      </c>
      <c r="AH588" s="339" t="s">
        <v>197</v>
      </c>
      <c r="AI588" s="2499" t="s">
        <v>154</v>
      </c>
    </row>
    <row r="589" s="4" customFormat="1" ht="24.75" customHeight="1" spans="1:35">
      <c r="A589" s="107"/>
      <c r="B589" s="360"/>
      <c r="C589" s="110"/>
      <c r="D589" s="2273"/>
      <c r="E589" s="134"/>
      <c r="F589" s="134"/>
      <c r="G589" s="107"/>
      <c r="H589" s="134"/>
      <c r="I589" s="107"/>
      <c r="J589" s="134"/>
      <c r="K589" s="157"/>
      <c r="L589" s="107"/>
      <c r="M589" s="2318">
        <v>2</v>
      </c>
      <c r="N589" s="2347" t="s">
        <v>5465</v>
      </c>
      <c r="O589" s="2348">
        <v>0.4</v>
      </c>
      <c r="P589" s="2351">
        <f>K588*O589</f>
        <v>140135.184</v>
      </c>
      <c r="Q589" s="339"/>
      <c r="R589" s="404"/>
      <c r="S589" s="362"/>
      <c r="T589" s="339"/>
      <c r="U589" s="362"/>
      <c r="V589" s="339"/>
      <c r="W589" s="2433"/>
      <c r="X589" s="294"/>
      <c r="Y589" s="2433"/>
      <c r="Z589" s="1580"/>
      <c r="AA589" s="339"/>
      <c r="AB589" s="339"/>
      <c r="AC589" s="339"/>
      <c r="AD589" s="336"/>
      <c r="AE589" s="336"/>
      <c r="AF589" s="336"/>
      <c r="AG589" s="336"/>
      <c r="AH589" s="339"/>
      <c r="AI589" s="2500"/>
    </row>
    <row r="590" s="4" customFormat="1" ht="24.75" customHeight="1" spans="1:35">
      <c r="A590" s="107"/>
      <c r="B590" s="360"/>
      <c r="C590" s="110"/>
      <c r="D590" s="2273"/>
      <c r="E590" s="134"/>
      <c r="F590" s="134"/>
      <c r="G590" s="107"/>
      <c r="H590" s="134"/>
      <c r="I590" s="107"/>
      <c r="J590" s="134"/>
      <c r="K590" s="157"/>
      <c r="L590" s="107"/>
      <c r="M590" s="2318">
        <v>3</v>
      </c>
      <c r="N590" s="2347" t="s">
        <v>5466</v>
      </c>
      <c r="O590" s="2348">
        <v>0.3</v>
      </c>
      <c r="P590" s="2351">
        <f>K588*O590</f>
        <v>105101.388</v>
      </c>
      <c r="Q590" s="1768">
        <v>137414.11</v>
      </c>
      <c r="R590" s="1499" t="s">
        <v>206</v>
      </c>
      <c r="S590" s="2390">
        <v>44181</v>
      </c>
      <c r="T590" s="1768">
        <v>137414.11</v>
      </c>
      <c r="U590" s="2390">
        <v>44182</v>
      </c>
      <c r="V590" s="1768">
        <v>137414.11</v>
      </c>
      <c r="W590" s="2437">
        <v>44181</v>
      </c>
      <c r="X590" s="294">
        <v>103060.58</v>
      </c>
      <c r="Y590" s="2433">
        <v>44335</v>
      </c>
      <c r="Z590" s="1580">
        <f>Q590-X590</f>
        <v>34353.53</v>
      </c>
      <c r="AA590" s="339"/>
      <c r="AB590" s="339" t="s">
        <v>1463</v>
      </c>
      <c r="AC590" s="339"/>
      <c r="AD590" s="333">
        <f>SUM(Q590:Q593)</f>
        <v>1392798.11</v>
      </c>
      <c r="AE590" s="333">
        <f>SUM(V590:V591)</f>
        <v>137414.11</v>
      </c>
      <c r="AF590" s="333">
        <f>SUM(X590:X591)</f>
        <v>137414.11</v>
      </c>
      <c r="AG590" s="333">
        <f>K590-AD590</f>
        <v>-1392798.11</v>
      </c>
      <c r="AH590" s="339"/>
      <c r="AI590" s="2500"/>
    </row>
    <row r="591" s="4" customFormat="1" ht="24.75" customHeight="1" spans="1:35">
      <c r="A591" s="107"/>
      <c r="B591" s="256"/>
      <c r="C591" s="110"/>
      <c r="D591" s="2273"/>
      <c r="E591" s="134"/>
      <c r="F591" s="134"/>
      <c r="G591" s="107"/>
      <c r="H591" s="134"/>
      <c r="I591" s="107"/>
      <c r="J591" s="134"/>
      <c r="K591" s="157"/>
      <c r="L591" s="107"/>
      <c r="M591" s="2318">
        <v>4</v>
      </c>
      <c r="N591" s="2347" t="s">
        <v>4725</v>
      </c>
      <c r="O591" s="2348">
        <v>0.1</v>
      </c>
      <c r="P591" s="2351">
        <f>K588*O591</f>
        <v>35033.796</v>
      </c>
      <c r="Q591" s="1772"/>
      <c r="R591" s="1499" t="s">
        <v>206</v>
      </c>
      <c r="S591" s="2391"/>
      <c r="T591" s="1772"/>
      <c r="U591" s="2391"/>
      <c r="V591" s="1772"/>
      <c r="W591" s="2438"/>
      <c r="X591" s="294">
        <f>V590-X590</f>
        <v>34353.53</v>
      </c>
      <c r="Y591" s="2433">
        <v>45467</v>
      </c>
      <c r="Z591" s="1580"/>
      <c r="AA591" s="339"/>
      <c r="AB591" s="339"/>
      <c r="AC591" s="339"/>
      <c r="AD591" s="336"/>
      <c r="AE591" s="336"/>
      <c r="AF591" s="336"/>
      <c r="AG591" s="336"/>
      <c r="AH591" s="339"/>
      <c r="AI591" s="2500"/>
    </row>
    <row r="592" s="6" customFormat="1" ht="46" spans="1:35">
      <c r="A592" s="2105" t="s">
        <v>1003</v>
      </c>
      <c r="B592" s="2279">
        <v>44075</v>
      </c>
      <c r="C592" s="1789" t="s">
        <v>5467</v>
      </c>
      <c r="D592" s="1790"/>
      <c r="E592" s="2105" t="s">
        <v>5468</v>
      </c>
      <c r="F592" s="2105" t="s">
        <v>5469</v>
      </c>
      <c r="G592" s="2105" t="s">
        <v>240</v>
      </c>
      <c r="H592" s="2105" t="s">
        <v>5470</v>
      </c>
      <c r="I592" s="2105" t="s">
        <v>5471</v>
      </c>
      <c r="J592" s="2105" t="s">
        <v>5472</v>
      </c>
      <c r="K592" s="2320">
        <v>6276920</v>
      </c>
      <c r="L592" s="2321" t="s">
        <v>126</v>
      </c>
      <c r="M592" s="1826">
        <v>1</v>
      </c>
      <c r="N592" s="2352" t="s">
        <v>5403</v>
      </c>
      <c r="O592" s="2353">
        <v>0.2</v>
      </c>
      <c r="P592" s="2354">
        <f>K592*O592</f>
        <v>1255384</v>
      </c>
      <c r="Q592" s="2392">
        <v>1255384</v>
      </c>
      <c r="R592" s="2109" t="s">
        <v>4603</v>
      </c>
      <c r="S592" s="2393">
        <v>44193</v>
      </c>
      <c r="T592" s="2392">
        <v>1255384</v>
      </c>
      <c r="U592" s="2439">
        <v>44193</v>
      </c>
      <c r="V592" s="2105">
        <v>1255384</v>
      </c>
      <c r="W592" s="2279">
        <v>44295</v>
      </c>
      <c r="X592" s="2392">
        <v>1255384</v>
      </c>
      <c r="Y592" s="2439">
        <v>44340</v>
      </c>
      <c r="Z592" s="2105">
        <f>Q592-X592</f>
        <v>0</v>
      </c>
      <c r="AA592" s="2453"/>
      <c r="AB592" s="2352"/>
      <c r="AC592" s="2477"/>
      <c r="AD592" s="2478">
        <f>SUM(Q592:Q599)</f>
        <v>2735139.97</v>
      </c>
      <c r="AE592" s="2479"/>
      <c r="AF592" s="2352"/>
      <c r="AG592" s="2352"/>
      <c r="AH592" s="2105"/>
      <c r="AI592" s="2105"/>
    </row>
    <row r="593" s="6" customFormat="1" ht="46" spans="1:35">
      <c r="A593" s="2108"/>
      <c r="B593" s="2280"/>
      <c r="C593" s="2281"/>
      <c r="D593" s="1790"/>
      <c r="E593" s="2108"/>
      <c r="F593" s="2108"/>
      <c r="G593" s="2108"/>
      <c r="H593" s="2108"/>
      <c r="I593" s="2108"/>
      <c r="J593" s="2108"/>
      <c r="K593" s="2322"/>
      <c r="L593" s="2323"/>
      <c r="M593" s="1826">
        <v>2</v>
      </c>
      <c r="N593" s="2352" t="s">
        <v>5404</v>
      </c>
      <c r="O593" s="2355"/>
      <c r="P593" s="2356"/>
      <c r="Q593" s="2394"/>
      <c r="R593" s="1969"/>
      <c r="S593" s="2395"/>
      <c r="T593" s="2394"/>
      <c r="U593" s="2116"/>
      <c r="V593" s="2116"/>
      <c r="W593" s="2282"/>
      <c r="X593" s="2394"/>
      <c r="Y593" s="2454"/>
      <c r="Z593" s="2116"/>
      <c r="AA593" s="2453"/>
      <c r="AB593" s="2352"/>
      <c r="AC593" s="2477"/>
      <c r="AD593" s="1787"/>
      <c r="AE593" s="2479"/>
      <c r="AF593" s="2352"/>
      <c r="AG593" s="2352"/>
      <c r="AH593" s="2108"/>
      <c r="AI593" s="2108"/>
    </row>
    <row r="594" s="6" customFormat="1" ht="61" spans="1:35">
      <c r="A594" s="2108"/>
      <c r="B594" s="2280"/>
      <c r="C594" s="2281"/>
      <c r="D594" s="1790"/>
      <c r="E594" s="2108"/>
      <c r="F594" s="2108"/>
      <c r="G594" s="2108"/>
      <c r="H594" s="2108"/>
      <c r="I594" s="2108"/>
      <c r="J594" s="2108"/>
      <c r="K594" s="2322"/>
      <c r="L594" s="2323"/>
      <c r="M594" s="1826">
        <v>3</v>
      </c>
      <c r="N594" s="2352" t="s">
        <v>5405</v>
      </c>
      <c r="O594" s="2357">
        <f>P594/K592</f>
        <v>0.235745551958604</v>
      </c>
      <c r="P594" s="2358">
        <v>1479755.97</v>
      </c>
      <c r="Q594" s="2396">
        <v>1479755.97</v>
      </c>
      <c r="R594" s="1824" t="s">
        <v>4603</v>
      </c>
      <c r="S594" s="2397">
        <v>44334</v>
      </c>
      <c r="T594" s="1826">
        <v>1479755.97</v>
      </c>
      <c r="U594" s="2440">
        <v>44336</v>
      </c>
      <c r="V594" s="1826">
        <v>1479755.97</v>
      </c>
      <c r="W594" s="2400">
        <v>44368</v>
      </c>
      <c r="X594" s="2396">
        <v>1479755.97</v>
      </c>
      <c r="Y594" s="2455">
        <v>44418</v>
      </c>
      <c r="Z594" s="1826">
        <f t="shared" ref="Z594:Z608" si="28">Q594-X594</f>
        <v>0</v>
      </c>
      <c r="AA594" s="2453"/>
      <c r="AB594" s="2352"/>
      <c r="AC594" s="2477"/>
      <c r="AD594" s="1787"/>
      <c r="AE594" s="2479"/>
      <c r="AF594" s="2352"/>
      <c r="AG594" s="2352"/>
      <c r="AH594" s="2108"/>
      <c r="AI594" s="2108"/>
    </row>
    <row r="595" s="6" customFormat="1" ht="61" spans="1:35">
      <c r="A595" s="2108"/>
      <c r="B595" s="2280"/>
      <c r="C595" s="2281"/>
      <c r="D595" s="1790"/>
      <c r="E595" s="2108"/>
      <c r="F595" s="2108"/>
      <c r="G595" s="2108"/>
      <c r="H595" s="2108"/>
      <c r="I595" s="2108"/>
      <c r="J595" s="2108"/>
      <c r="K595" s="2322"/>
      <c r="L595" s="2323"/>
      <c r="M595" s="1826">
        <v>4</v>
      </c>
      <c r="N595" s="2352" t="s">
        <v>5406</v>
      </c>
      <c r="O595" s="2357"/>
      <c r="P595" s="2358"/>
      <c r="Q595" s="2398"/>
      <c r="R595" s="1972"/>
      <c r="S595" s="2399"/>
      <c r="T595" s="1826"/>
      <c r="U595" s="1826"/>
      <c r="V595" s="1826"/>
      <c r="W595" s="2441"/>
      <c r="X595" s="2398"/>
      <c r="Y595" s="1826"/>
      <c r="Z595" s="1826">
        <f t="shared" si="28"/>
        <v>0</v>
      </c>
      <c r="AA595" s="2453"/>
      <c r="AB595" s="2352"/>
      <c r="AC595" s="2477"/>
      <c r="AD595" s="1787"/>
      <c r="AE595" s="2479"/>
      <c r="AF595" s="2352"/>
      <c r="AG595" s="2352"/>
      <c r="AH595" s="2108"/>
      <c r="AI595" s="2108"/>
    </row>
    <row r="596" s="6" customFormat="1" ht="76" spans="1:35">
      <c r="A596" s="2108"/>
      <c r="B596" s="2280"/>
      <c r="C596" s="2281"/>
      <c r="D596" s="1790"/>
      <c r="E596" s="2108"/>
      <c r="F596" s="2108"/>
      <c r="G596" s="2108"/>
      <c r="H596" s="2108"/>
      <c r="I596" s="2108"/>
      <c r="J596" s="2108"/>
      <c r="K596" s="2322"/>
      <c r="L596" s="2323"/>
      <c r="M596" s="1826">
        <v>5</v>
      </c>
      <c r="N596" s="2352" t="s">
        <v>5408</v>
      </c>
      <c r="O596" s="2357"/>
      <c r="P596" s="2358"/>
      <c r="Q596" s="2398"/>
      <c r="R596" s="1824"/>
      <c r="S596" s="2397"/>
      <c r="T596" s="1826"/>
      <c r="U596" s="2440"/>
      <c r="V596" s="1826"/>
      <c r="W596" s="2441"/>
      <c r="X596" s="2398"/>
      <c r="Y596" s="1826"/>
      <c r="Z596" s="1826">
        <f t="shared" si="28"/>
        <v>0</v>
      </c>
      <c r="AA596" s="2453"/>
      <c r="AB596" s="2352"/>
      <c r="AC596" s="2477"/>
      <c r="AD596" s="1787"/>
      <c r="AE596" s="2479"/>
      <c r="AF596" s="2352"/>
      <c r="AG596" s="2352"/>
      <c r="AH596" s="2108"/>
      <c r="AI596" s="2108"/>
    </row>
    <row r="597" s="6" customFormat="1" ht="76" spans="1:35">
      <c r="A597" s="2108"/>
      <c r="B597" s="2280"/>
      <c r="C597" s="2281"/>
      <c r="D597" s="1790"/>
      <c r="E597" s="2108"/>
      <c r="F597" s="2108"/>
      <c r="G597" s="2108"/>
      <c r="H597" s="2108"/>
      <c r="I597" s="2108"/>
      <c r="J597" s="2108"/>
      <c r="K597" s="2322"/>
      <c r="L597" s="2323"/>
      <c r="M597" s="1826">
        <v>6</v>
      </c>
      <c r="N597" s="2352" t="s">
        <v>5409</v>
      </c>
      <c r="O597" s="2357"/>
      <c r="P597" s="2358"/>
      <c r="Q597" s="2398"/>
      <c r="R597" s="1972"/>
      <c r="S597" s="2399"/>
      <c r="T597" s="1826"/>
      <c r="U597" s="1826"/>
      <c r="V597" s="1826"/>
      <c r="W597" s="2441"/>
      <c r="X597" s="2398"/>
      <c r="Y597" s="1826"/>
      <c r="Z597" s="1826">
        <f t="shared" si="28"/>
        <v>0</v>
      </c>
      <c r="AA597" s="2453"/>
      <c r="AB597" s="2352"/>
      <c r="AC597" s="2477"/>
      <c r="AD597" s="1787"/>
      <c r="AE597" s="2479"/>
      <c r="AF597" s="2352"/>
      <c r="AG597" s="2352"/>
      <c r="AH597" s="2108"/>
      <c r="AI597" s="2108"/>
    </row>
    <row r="598" s="6" customFormat="1" ht="76" spans="1:35">
      <c r="A598" s="2108"/>
      <c r="B598" s="2280"/>
      <c r="C598" s="2281"/>
      <c r="D598" s="1790"/>
      <c r="E598" s="2108"/>
      <c r="F598" s="2108"/>
      <c r="G598" s="2108"/>
      <c r="H598" s="2108"/>
      <c r="I598" s="2108"/>
      <c r="J598" s="2108"/>
      <c r="K598" s="2322"/>
      <c r="L598" s="2323"/>
      <c r="M598" s="1826">
        <v>7</v>
      </c>
      <c r="N598" s="2352" t="s">
        <v>5410</v>
      </c>
      <c r="O598" s="2357"/>
      <c r="P598" s="2358"/>
      <c r="Q598" s="2398"/>
      <c r="R598" s="1826"/>
      <c r="S598" s="2400"/>
      <c r="T598" s="1826"/>
      <c r="U598" s="1826"/>
      <c r="V598" s="1826"/>
      <c r="W598" s="2441"/>
      <c r="X598" s="2398"/>
      <c r="Y598" s="1826"/>
      <c r="Z598" s="1826">
        <f t="shared" si="28"/>
        <v>0</v>
      </c>
      <c r="AA598" s="2453"/>
      <c r="AB598" s="2352"/>
      <c r="AC598" s="2477"/>
      <c r="AD598" s="1787"/>
      <c r="AE598" s="2479"/>
      <c r="AF598" s="2352"/>
      <c r="AG598" s="2352"/>
      <c r="AH598" s="2108"/>
      <c r="AI598" s="2108"/>
    </row>
    <row r="599" s="6" customFormat="1" ht="76" spans="1:35">
      <c r="A599" s="2116"/>
      <c r="B599" s="2282"/>
      <c r="C599" s="1792"/>
      <c r="D599" s="1790"/>
      <c r="E599" s="2116"/>
      <c r="F599" s="2116"/>
      <c r="G599" s="2116"/>
      <c r="H599" s="2116"/>
      <c r="I599" s="2116"/>
      <c r="J599" s="2116"/>
      <c r="K599" s="2324"/>
      <c r="L599" s="2325"/>
      <c r="M599" s="1826">
        <v>8</v>
      </c>
      <c r="N599" s="2352" t="s">
        <v>5411</v>
      </c>
      <c r="O599" s="2357"/>
      <c r="P599" s="2358"/>
      <c r="Q599" s="2398"/>
      <c r="R599" s="1826"/>
      <c r="S599" s="2400"/>
      <c r="T599" s="1826"/>
      <c r="U599" s="1826"/>
      <c r="V599" s="1826"/>
      <c r="W599" s="2441"/>
      <c r="X599" s="2398"/>
      <c r="Y599" s="1826"/>
      <c r="Z599" s="1826">
        <f t="shared" si="28"/>
        <v>0</v>
      </c>
      <c r="AA599" s="2453"/>
      <c r="AB599" s="2352"/>
      <c r="AC599" s="2477"/>
      <c r="AD599" s="2480"/>
      <c r="AE599" s="2479"/>
      <c r="AF599" s="2352"/>
      <c r="AG599" s="2352"/>
      <c r="AH599" s="2116"/>
      <c r="AI599" s="2116"/>
    </row>
    <row r="600" s="6" customFormat="1" ht="46" spans="1:35">
      <c r="A600" s="1297" t="s">
        <v>1003</v>
      </c>
      <c r="B600" s="1253">
        <v>44075</v>
      </c>
      <c r="C600" s="2283" t="s">
        <v>5467</v>
      </c>
      <c r="D600" s="1255"/>
      <c r="E600" s="1345" t="s">
        <v>5473</v>
      </c>
      <c r="F600" s="1345" t="s">
        <v>5474</v>
      </c>
      <c r="G600" s="1297" t="s">
        <v>5475</v>
      </c>
      <c r="H600" s="1297" t="s">
        <v>4846</v>
      </c>
      <c r="I600" s="1297" t="s">
        <v>5476</v>
      </c>
      <c r="J600" s="1297" t="s">
        <v>5477</v>
      </c>
      <c r="K600" s="2088">
        <v>6029337.9</v>
      </c>
      <c r="L600" s="1297" t="s">
        <v>126</v>
      </c>
      <c r="M600" s="1345">
        <v>1</v>
      </c>
      <c r="N600" s="2359" t="s">
        <v>5415</v>
      </c>
      <c r="O600" s="2360">
        <f>P600/K600</f>
        <v>0.0550190842679426</v>
      </c>
      <c r="P600" s="1394">
        <v>331728.65</v>
      </c>
      <c r="Q600" s="1394">
        <v>331728.65</v>
      </c>
      <c r="R600" s="1345" t="s">
        <v>4603</v>
      </c>
      <c r="S600" s="1401">
        <v>44190</v>
      </c>
      <c r="T600" s="1394">
        <v>331728.65</v>
      </c>
      <c r="U600" s="1420">
        <v>44190</v>
      </c>
      <c r="V600" s="1345">
        <v>331728.65</v>
      </c>
      <c r="W600" s="2442">
        <v>43851</v>
      </c>
      <c r="X600" s="1394">
        <v>331728.65</v>
      </c>
      <c r="Y600" s="1420">
        <v>44327</v>
      </c>
      <c r="Z600" s="1345">
        <f t="shared" si="28"/>
        <v>0</v>
      </c>
      <c r="AA600" s="2456"/>
      <c r="AB600" s="2359"/>
      <c r="AC600" s="2359"/>
      <c r="AD600" s="1297"/>
      <c r="AE600" s="2359"/>
      <c r="AF600" s="2359"/>
      <c r="AG600" s="2359"/>
      <c r="AH600" s="1297"/>
      <c r="AI600" s="1297"/>
    </row>
    <row r="601" s="6" customFormat="1" ht="46" spans="1:35">
      <c r="A601" s="1281"/>
      <c r="B601" s="1256"/>
      <c r="C601" s="2283"/>
      <c r="D601" s="1255"/>
      <c r="E601" s="1345"/>
      <c r="F601" s="1345"/>
      <c r="G601" s="1281"/>
      <c r="H601" s="1281"/>
      <c r="I601" s="1281"/>
      <c r="J601" s="1281"/>
      <c r="K601" s="2089"/>
      <c r="L601" s="1281"/>
      <c r="M601" s="1345">
        <v>2</v>
      </c>
      <c r="N601" s="2359" t="s">
        <v>5416</v>
      </c>
      <c r="O601" s="2360"/>
      <c r="P601" s="2087"/>
      <c r="Q601" s="1394"/>
      <c r="R601" s="1345"/>
      <c r="S601" s="1401"/>
      <c r="T601" s="1394"/>
      <c r="U601" s="1420"/>
      <c r="V601" s="1345"/>
      <c r="W601" s="2442"/>
      <c r="X601" s="1394"/>
      <c r="Y601" s="1345"/>
      <c r="Z601" s="1345">
        <f t="shared" si="28"/>
        <v>0</v>
      </c>
      <c r="AA601" s="2456"/>
      <c r="AB601" s="2359"/>
      <c r="AC601" s="2359"/>
      <c r="AD601" s="1281"/>
      <c r="AE601" s="2359"/>
      <c r="AF601" s="2359"/>
      <c r="AG601" s="2359"/>
      <c r="AH601" s="1281"/>
      <c r="AI601" s="1281"/>
    </row>
    <row r="602" s="6" customFormat="1" ht="76" spans="1:35">
      <c r="A602" s="1281"/>
      <c r="B602" s="1256"/>
      <c r="C602" s="2283"/>
      <c r="D602" s="1255"/>
      <c r="E602" s="1345"/>
      <c r="F602" s="1345"/>
      <c r="G602" s="1281"/>
      <c r="H602" s="1281"/>
      <c r="I602" s="1281"/>
      <c r="J602" s="1281"/>
      <c r="K602" s="2089"/>
      <c r="L602" s="1281"/>
      <c r="M602" s="1345">
        <v>3</v>
      </c>
      <c r="N602" s="2359" t="s">
        <v>5417</v>
      </c>
      <c r="O602" s="2360">
        <f>P602/K600</f>
        <v>0.163959749212264</v>
      </c>
      <c r="P602" s="2087">
        <v>988568.73</v>
      </c>
      <c r="Q602" s="1395">
        <v>988568.73</v>
      </c>
      <c r="R602" s="1396" t="s">
        <v>4603</v>
      </c>
      <c r="S602" s="1397">
        <v>44334</v>
      </c>
      <c r="T602" s="1345">
        <v>988568.73</v>
      </c>
      <c r="U602" s="1420">
        <v>44334</v>
      </c>
      <c r="V602" s="1345">
        <v>988568.73</v>
      </c>
      <c r="W602" s="2442">
        <v>44368</v>
      </c>
      <c r="X602" s="1395">
        <v>988568.73</v>
      </c>
      <c r="Y602" s="2457">
        <v>44418</v>
      </c>
      <c r="Z602" s="1345">
        <f t="shared" si="28"/>
        <v>0</v>
      </c>
      <c r="AA602" s="2456" t="s">
        <v>5478</v>
      </c>
      <c r="AB602" s="2359"/>
      <c r="AC602" s="2359"/>
      <c r="AD602" s="1281"/>
      <c r="AE602" s="2359"/>
      <c r="AF602" s="2359"/>
      <c r="AG602" s="2359"/>
      <c r="AH602" s="1281"/>
      <c r="AI602" s="1281"/>
    </row>
    <row r="603" s="6" customFormat="1" ht="76" spans="1:35">
      <c r="A603" s="1281"/>
      <c r="B603" s="1256"/>
      <c r="C603" s="2283"/>
      <c r="D603" s="1255"/>
      <c r="E603" s="1345"/>
      <c r="F603" s="1345"/>
      <c r="G603" s="1281"/>
      <c r="H603" s="1281"/>
      <c r="I603" s="1281"/>
      <c r="J603" s="1281"/>
      <c r="K603" s="2089"/>
      <c r="L603" s="1281"/>
      <c r="M603" s="1345">
        <v>4</v>
      </c>
      <c r="N603" s="2359" t="s">
        <v>5419</v>
      </c>
      <c r="O603" s="2360"/>
      <c r="P603" s="2087"/>
      <c r="Q603" s="1398"/>
      <c r="R603" s="1399"/>
      <c r="S603" s="1400"/>
      <c r="T603" s="1345"/>
      <c r="U603" s="1345"/>
      <c r="V603" s="1345"/>
      <c r="W603" s="2442"/>
      <c r="X603" s="1394"/>
      <c r="Y603" s="1345"/>
      <c r="Z603" s="1345">
        <f t="shared" si="28"/>
        <v>0</v>
      </c>
      <c r="AA603" s="2456"/>
      <c r="AB603" s="2359"/>
      <c r="AC603" s="2359"/>
      <c r="AD603" s="1281"/>
      <c r="AE603" s="2359"/>
      <c r="AF603" s="2359"/>
      <c r="AG603" s="2359"/>
      <c r="AH603" s="1281"/>
      <c r="AI603" s="1281"/>
    </row>
    <row r="604" s="6" customFormat="1" ht="46" spans="1:35">
      <c r="A604" s="1281"/>
      <c r="B604" s="1256"/>
      <c r="C604" s="2283"/>
      <c r="D604" s="1255"/>
      <c r="E604" s="1345"/>
      <c r="F604" s="1345"/>
      <c r="G604" s="1281"/>
      <c r="H604" s="1281"/>
      <c r="I604" s="1281"/>
      <c r="J604" s="1281"/>
      <c r="K604" s="2089"/>
      <c r="L604" s="1281"/>
      <c r="M604" s="1345">
        <v>5</v>
      </c>
      <c r="N604" s="2359" t="s">
        <v>5420</v>
      </c>
      <c r="O604" s="2360"/>
      <c r="P604" s="2087"/>
      <c r="Q604" s="1398"/>
      <c r="R604" s="1399"/>
      <c r="S604" s="1400"/>
      <c r="T604" s="1345"/>
      <c r="U604" s="1345"/>
      <c r="V604" s="1345"/>
      <c r="W604" s="2442"/>
      <c r="X604" s="1394"/>
      <c r="Y604" s="1345"/>
      <c r="Z604" s="1345">
        <f t="shared" si="28"/>
        <v>0</v>
      </c>
      <c r="AA604" s="2456"/>
      <c r="AB604" s="2359"/>
      <c r="AC604" s="2359"/>
      <c r="AD604" s="1281"/>
      <c r="AE604" s="2359"/>
      <c r="AF604" s="2359"/>
      <c r="AG604" s="2359"/>
      <c r="AH604" s="1281"/>
      <c r="AI604" s="1281"/>
    </row>
    <row r="605" s="6" customFormat="1" ht="46" spans="1:35">
      <c r="A605" s="1281"/>
      <c r="B605" s="1256"/>
      <c r="C605" s="2283"/>
      <c r="D605" s="1255"/>
      <c r="E605" s="1345"/>
      <c r="F605" s="1345"/>
      <c r="G605" s="1281"/>
      <c r="H605" s="1281"/>
      <c r="I605" s="1281"/>
      <c r="J605" s="1281"/>
      <c r="K605" s="2089"/>
      <c r="L605" s="1281"/>
      <c r="M605" s="1345">
        <v>6</v>
      </c>
      <c r="N605" s="2359" t="s">
        <v>5421</v>
      </c>
      <c r="O605" s="2360"/>
      <c r="P605" s="2087"/>
      <c r="Q605" s="1394"/>
      <c r="R605" s="1345"/>
      <c r="S605" s="1401"/>
      <c r="T605" s="1345"/>
      <c r="U605" s="1345"/>
      <c r="V605" s="1345"/>
      <c r="W605" s="2442"/>
      <c r="X605" s="1394"/>
      <c r="Y605" s="1345"/>
      <c r="Z605" s="1345">
        <f t="shared" si="28"/>
        <v>0</v>
      </c>
      <c r="AA605" s="2456"/>
      <c r="AB605" s="2359"/>
      <c r="AC605" s="2359"/>
      <c r="AD605" s="1281"/>
      <c r="AE605" s="2359"/>
      <c r="AF605" s="2359"/>
      <c r="AG605" s="2359"/>
      <c r="AH605" s="1281"/>
      <c r="AI605" s="1281"/>
    </row>
    <row r="606" s="6" customFormat="1" ht="61" spans="1:35">
      <c r="A606" s="1281"/>
      <c r="B606" s="1256"/>
      <c r="C606" s="2283"/>
      <c r="D606" s="1255"/>
      <c r="E606" s="1345"/>
      <c r="F606" s="1345"/>
      <c r="G606" s="1281"/>
      <c r="H606" s="1281"/>
      <c r="I606" s="1281"/>
      <c r="J606" s="1281"/>
      <c r="K606" s="2089"/>
      <c r="L606" s="1281"/>
      <c r="M606" s="1345">
        <v>7</v>
      </c>
      <c r="N606" s="2359" t="s">
        <v>5422</v>
      </c>
      <c r="O606" s="2360"/>
      <c r="P606" s="2087"/>
      <c r="Q606" s="1394"/>
      <c r="R606" s="1345"/>
      <c r="S606" s="1401"/>
      <c r="T606" s="1345"/>
      <c r="U606" s="1345"/>
      <c r="V606" s="1345"/>
      <c r="W606" s="2442"/>
      <c r="X606" s="1394"/>
      <c r="Y606" s="1345"/>
      <c r="Z606" s="1345">
        <f t="shared" si="28"/>
        <v>0</v>
      </c>
      <c r="AA606" s="2456"/>
      <c r="AB606" s="2359"/>
      <c r="AC606" s="2359"/>
      <c r="AD606" s="1281"/>
      <c r="AE606" s="2359"/>
      <c r="AF606" s="2359"/>
      <c r="AG606" s="2359"/>
      <c r="AH606" s="1281"/>
      <c r="AI606" s="1281"/>
    </row>
    <row r="607" s="6" customFormat="1" ht="61" spans="1:35">
      <c r="A607" s="1281"/>
      <c r="B607" s="1256"/>
      <c r="C607" s="2283"/>
      <c r="D607" s="1255"/>
      <c r="E607" s="1345"/>
      <c r="F607" s="1345"/>
      <c r="G607" s="1281"/>
      <c r="H607" s="1281"/>
      <c r="I607" s="1281"/>
      <c r="J607" s="1281"/>
      <c r="K607" s="2089"/>
      <c r="L607" s="1281"/>
      <c r="M607" s="1297">
        <v>8</v>
      </c>
      <c r="N607" s="2361" t="s">
        <v>5423</v>
      </c>
      <c r="O607" s="2362"/>
      <c r="P607" s="2088"/>
      <c r="Q607" s="2401"/>
      <c r="R607" s="1297"/>
      <c r="S607" s="1253"/>
      <c r="T607" s="1297"/>
      <c r="U607" s="1297"/>
      <c r="V607" s="1297"/>
      <c r="W607" s="2443"/>
      <c r="X607" s="2401"/>
      <c r="Y607" s="1297"/>
      <c r="Z607" s="1345">
        <f t="shared" si="28"/>
        <v>0</v>
      </c>
      <c r="AA607" s="2458"/>
      <c r="AB607" s="2361"/>
      <c r="AC607" s="2361"/>
      <c r="AD607" s="1281"/>
      <c r="AE607" s="2361"/>
      <c r="AF607" s="2361"/>
      <c r="AG607" s="2361"/>
      <c r="AH607" s="1281"/>
      <c r="AI607" s="1281"/>
    </row>
    <row r="608" s="6" customFormat="1" ht="46" spans="1:35">
      <c r="A608" s="1281"/>
      <c r="B608" s="1256"/>
      <c r="C608" s="2283"/>
      <c r="D608" s="1255"/>
      <c r="E608" s="1345"/>
      <c r="F608" s="1345"/>
      <c r="G608" s="1297" t="s">
        <v>5479</v>
      </c>
      <c r="H608" s="1297" t="s">
        <v>4846</v>
      </c>
      <c r="I608" s="1297" t="s">
        <v>5480</v>
      </c>
      <c r="J608" s="1297" t="s">
        <v>5481</v>
      </c>
      <c r="K608" s="2326">
        <v>2313867</v>
      </c>
      <c r="L608" s="2327" t="s">
        <v>126</v>
      </c>
      <c r="M608" s="1345">
        <v>1</v>
      </c>
      <c r="N608" s="2359" t="s">
        <v>5403</v>
      </c>
      <c r="O608" s="2360">
        <v>0.2</v>
      </c>
      <c r="P608" s="2087">
        <f>K608*O608</f>
        <v>462773.4</v>
      </c>
      <c r="Q608" s="1394">
        <v>462773.4</v>
      </c>
      <c r="R608" s="1396" t="s">
        <v>4603</v>
      </c>
      <c r="S608" s="1397">
        <v>44190</v>
      </c>
      <c r="T608" s="1394">
        <v>462773.4</v>
      </c>
      <c r="U608" s="1420">
        <v>44190</v>
      </c>
      <c r="V608" s="1394">
        <v>462773.4</v>
      </c>
      <c r="W608" s="1401">
        <v>43851</v>
      </c>
      <c r="X608" s="1394">
        <v>462773.4</v>
      </c>
      <c r="Y608" s="1420">
        <v>44327</v>
      </c>
      <c r="Z608" s="1297">
        <f t="shared" si="28"/>
        <v>0</v>
      </c>
      <c r="AA608" s="2456"/>
      <c r="AB608" s="2359"/>
      <c r="AC608" s="2481"/>
      <c r="AD608" s="2482">
        <f>SUM(Q608:Q613)</f>
        <v>763926.25</v>
      </c>
      <c r="AE608" s="2483"/>
      <c r="AF608" s="2359"/>
      <c r="AG608" s="2359"/>
      <c r="AH608" s="1297"/>
      <c r="AI608" s="1297"/>
    </row>
    <row r="609" s="6" customFormat="1" ht="46" spans="1:35">
      <c r="A609" s="1281"/>
      <c r="B609" s="1256"/>
      <c r="C609" s="2283"/>
      <c r="D609" s="1255"/>
      <c r="E609" s="1345"/>
      <c r="F609" s="1345"/>
      <c r="G609" s="1281"/>
      <c r="H609" s="1281"/>
      <c r="I609" s="1281"/>
      <c r="J609" s="1281"/>
      <c r="K609" s="2328"/>
      <c r="L609" s="2329"/>
      <c r="M609" s="1345">
        <v>2</v>
      </c>
      <c r="N609" s="2359" t="s">
        <v>5404</v>
      </c>
      <c r="O609" s="2360"/>
      <c r="P609" s="2087"/>
      <c r="Q609" s="1394"/>
      <c r="R609" s="1396"/>
      <c r="S609" s="1397"/>
      <c r="T609" s="1394"/>
      <c r="U609" s="1420"/>
      <c r="V609" s="1394"/>
      <c r="W609" s="1401"/>
      <c r="X609" s="1394"/>
      <c r="Y609" s="1420"/>
      <c r="Z609" s="1282"/>
      <c r="AA609" s="2456"/>
      <c r="AB609" s="2359"/>
      <c r="AC609" s="2481"/>
      <c r="AD609" s="2484"/>
      <c r="AE609" s="2483"/>
      <c r="AF609" s="2359"/>
      <c r="AG609" s="2359"/>
      <c r="AH609" s="1281"/>
      <c r="AI609" s="1281"/>
    </row>
    <row r="610" s="6" customFormat="1" ht="61" spans="1:35">
      <c r="A610" s="1281"/>
      <c r="B610" s="1256"/>
      <c r="C610" s="2283"/>
      <c r="D610" s="1255"/>
      <c r="E610" s="1345"/>
      <c r="F610" s="1345"/>
      <c r="G610" s="1281"/>
      <c r="H610" s="1281"/>
      <c r="I610" s="1281"/>
      <c r="J610" s="1281"/>
      <c r="K610" s="2328"/>
      <c r="L610" s="2329"/>
      <c r="M610" s="1345">
        <v>3</v>
      </c>
      <c r="N610" s="2359" t="s">
        <v>5405</v>
      </c>
      <c r="O610" s="2360">
        <f>P610/K608</f>
        <v>0.130151322439881</v>
      </c>
      <c r="P610" s="2087">
        <v>301152.85</v>
      </c>
      <c r="Q610" s="1395">
        <v>301152.85</v>
      </c>
      <c r="R610" s="1396" t="s">
        <v>4603</v>
      </c>
      <c r="S610" s="1397">
        <v>44334</v>
      </c>
      <c r="T610" s="1345">
        <v>301152.85</v>
      </c>
      <c r="U610" s="1420">
        <v>44334</v>
      </c>
      <c r="V610" s="1345">
        <v>301152.85</v>
      </c>
      <c r="W610" s="2442">
        <v>44368</v>
      </c>
      <c r="X610" s="1395">
        <v>301152.85</v>
      </c>
      <c r="Y610" s="2457">
        <v>44418</v>
      </c>
      <c r="Z610" s="1345">
        <f>Q610-X610</f>
        <v>0</v>
      </c>
      <c r="AA610" s="2456"/>
      <c r="AB610" s="2359"/>
      <c r="AC610" s="2481"/>
      <c r="AD610" s="2484"/>
      <c r="AE610" s="2483"/>
      <c r="AF610" s="2359"/>
      <c r="AG610" s="2359"/>
      <c r="AH610" s="1281"/>
      <c r="AI610" s="1281"/>
    </row>
    <row r="611" s="6" customFormat="1" ht="61" spans="1:35">
      <c r="A611" s="1281"/>
      <c r="B611" s="1256"/>
      <c r="C611" s="2283"/>
      <c r="D611" s="1255"/>
      <c r="E611" s="1345"/>
      <c r="F611" s="1345"/>
      <c r="G611" s="1281"/>
      <c r="H611" s="1281"/>
      <c r="I611" s="1281"/>
      <c r="J611" s="1281"/>
      <c r="K611" s="2328"/>
      <c r="L611" s="2329"/>
      <c r="M611" s="1345">
        <v>4</v>
      </c>
      <c r="N611" s="2359" t="s">
        <v>5406</v>
      </c>
      <c r="O611" s="2360"/>
      <c r="P611" s="2087"/>
      <c r="Q611" s="1394"/>
      <c r="R611" s="1399"/>
      <c r="S611" s="1400"/>
      <c r="T611" s="1345"/>
      <c r="U611" s="1345"/>
      <c r="V611" s="1345"/>
      <c r="W611" s="2442"/>
      <c r="X611" s="1394"/>
      <c r="Y611" s="1345"/>
      <c r="Z611" s="1345">
        <f>Q611-X611</f>
        <v>0</v>
      </c>
      <c r="AA611" s="2456"/>
      <c r="AB611" s="2359"/>
      <c r="AC611" s="2481"/>
      <c r="AD611" s="2484"/>
      <c r="AE611" s="2483"/>
      <c r="AF611" s="2359"/>
      <c r="AG611" s="2359"/>
      <c r="AH611" s="1281"/>
      <c r="AI611" s="1281"/>
    </row>
    <row r="612" s="6" customFormat="1" ht="76" spans="1:35">
      <c r="A612" s="1281"/>
      <c r="B612" s="1256"/>
      <c r="C612" s="2283"/>
      <c r="D612" s="1255"/>
      <c r="E612" s="1345"/>
      <c r="F612" s="1345"/>
      <c r="G612" s="1281"/>
      <c r="H612" s="1281"/>
      <c r="I612" s="1281"/>
      <c r="J612" s="1281"/>
      <c r="K612" s="2328"/>
      <c r="L612" s="2329"/>
      <c r="M612" s="1345">
        <v>5</v>
      </c>
      <c r="N612" s="2359" t="s">
        <v>5410</v>
      </c>
      <c r="O612" s="2360"/>
      <c r="P612" s="2087"/>
      <c r="Q612" s="1394"/>
      <c r="R612" s="1345"/>
      <c r="S612" s="1401"/>
      <c r="T612" s="1345"/>
      <c r="U612" s="1345"/>
      <c r="V612" s="1345"/>
      <c r="W612" s="2442"/>
      <c r="X612" s="1394"/>
      <c r="Y612" s="1345"/>
      <c r="Z612" s="1345">
        <f>Q612-X612</f>
        <v>0</v>
      </c>
      <c r="AA612" s="2456"/>
      <c r="AB612" s="2359"/>
      <c r="AC612" s="2481"/>
      <c r="AD612" s="2484"/>
      <c r="AE612" s="2483"/>
      <c r="AF612" s="2359"/>
      <c r="AG612" s="2359"/>
      <c r="AH612" s="1281"/>
      <c r="AI612" s="1281"/>
    </row>
    <row r="613" s="6" customFormat="1" ht="76" spans="1:35">
      <c r="A613" s="1282"/>
      <c r="B613" s="1258"/>
      <c r="C613" s="2283"/>
      <c r="D613" s="1255"/>
      <c r="E613" s="1345"/>
      <c r="F613" s="1345"/>
      <c r="G613" s="1282"/>
      <c r="H613" s="1282"/>
      <c r="I613" s="1282"/>
      <c r="J613" s="1282"/>
      <c r="K613" s="2330"/>
      <c r="L613" s="2331"/>
      <c r="M613" s="1345">
        <v>6</v>
      </c>
      <c r="N613" s="2359" t="s">
        <v>5411</v>
      </c>
      <c r="O613" s="2360"/>
      <c r="P613" s="2087"/>
      <c r="Q613" s="1394"/>
      <c r="R613" s="1345"/>
      <c r="S613" s="1401"/>
      <c r="T613" s="1345"/>
      <c r="U613" s="1345"/>
      <c r="V613" s="1345"/>
      <c r="W613" s="2442"/>
      <c r="X613" s="1394"/>
      <c r="Y613" s="1345"/>
      <c r="Z613" s="1345">
        <f>Q613-X613</f>
        <v>0</v>
      </c>
      <c r="AA613" s="2456"/>
      <c r="AB613" s="2359"/>
      <c r="AC613" s="2481"/>
      <c r="AD613" s="2485"/>
      <c r="AE613" s="2483"/>
      <c r="AF613" s="2359"/>
      <c r="AG613" s="2359"/>
      <c r="AH613" s="1282"/>
      <c r="AI613" s="1282"/>
    </row>
    <row r="614" s="6" customFormat="1" ht="61" spans="1:35">
      <c r="A614" s="2284" t="s">
        <v>1003</v>
      </c>
      <c r="B614" s="1382">
        <v>44722</v>
      </c>
      <c r="C614" s="2285" t="s">
        <v>5482</v>
      </c>
      <c r="D614" s="1433"/>
      <c r="E614" s="1331"/>
      <c r="F614" s="1331"/>
      <c r="G614" s="1339"/>
      <c r="H614" s="1339"/>
      <c r="I614" s="1339"/>
      <c r="J614" s="1339"/>
      <c r="K614" s="2332"/>
      <c r="L614" s="1331"/>
      <c r="M614" s="1331"/>
      <c r="N614" s="2363"/>
      <c r="O614" s="2364"/>
      <c r="P614" s="2365"/>
      <c r="Q614" s="1380"/>
      <c r="R614" s="2402"/>
      <c r="S614" s="2403"/>
      <c r="T614" s="2402"/>
      <c r="U614" s="2402"/>
      <c r="V614" s="1331"/>
      <c r="W614" s="2444"/>
      <c r="X614" s="1380"/>
      <c r="Y614" s="1331"/>
      <c r="Z614" s="2402"/>
      <c r="AA614" s="2459"/>
      <c r="AB614" s="2460"/>
      <c r="AC614" s="2486"/>
      <c r="AD614" s="1250"/>
      <c r="AE614" s="2487"/>
      <c r="AF614" s="2488"/>
      <c r="AG614" s="2488"/>
      <c r="AH614" s="2501"/>
      <c r="AI614" s="1339"/>
    </row>
    <row r="615" s="6" customFormat="1" ht="29.25" customHeight="1" spans="1:35">
      <c r="A615" s="655" t="s">
        <v>1951</v>
      </c>
      <c r="B615" s="648">
        <v>43353</v>
      </c>
      <c r="C615" s="2286" t="s">
        <v>5483</v>
      </c>
      <c r="D615" s="1096" t="s">
        <v>171</v>
      </c>
      <c r="E615" s="1096" t="s">
        <v>5484</v>
      </c>
      <c r="F615" s="127" t="s">
        <v>1964</v>
      </c>
      <c r="G615" s="34" t="s">
        <v>658</v>
      </c>
      <c r="H615" s="2308" t="s">
        <v>5485</v>
      </c>
      <c r="I615" s="712">
        <v>115868.85</v>
      </c>
      <c r="J615" s="2308" t="s">
        <v>1966</v>
      </c>
      <c r="K615" s="2333">
        <v>2085639</v>
      </c>
      <c r="L615" s="2334" t="s">
        <v>27</v>
      </c>
      <c r="M615" s="2366">
        <v>1</v>
      </c>
      <c r="N615" s="2367" t="s">
        <v>316</v>
      </c>
      <c r="O615" s="2368">
        <v>0.2</v>
      </c>
      <c r="P615" s="2369">
        <f>K615*O615</f>
        <v>417127.8</v>
      </c>
      <c r="Q615" s="2333">
        <v>417127.8</v>
      </c>
      <c r="R615" s="2404" t="s">
        <v>206</v>
      </c>
      <c r="S615" s="2405">
        <v>43549</v>
      </c>
      <c r="T615" s="2406" t="s">
        <v>171</v>
      </c>
      <c r="U615" s="2445" t="s">
        <v>171</v>
      </c>
      <c r="V615" s="34">
        <v>417127.8</v>
      </c>
      <c r="W615" s="2407">
        <v>43709</v>
      </c>
      <c r="X615" s="2333">
        <v>417127.8</v>
      </c>
      <c r="Y615" s="2461">
        <v>43654</v>
      </c>
      <c r="Z615" s="2462">
        <f>Q615-X615</f>
        <v>0</v>
      </c>
      <c r="AA615" s="2463"/>
      <c r="AB615" s="2463"/>
      <c r="AC615" s="2489"/>
      <c r="AD615" s="2410">
        <f>SUM(Q615:Q622)</f>
        <v>2085639</v>
      </c>
      <c r="AE615" s="2410">
        <f>SUM(V615:V622)</f>
        <v>1914229.25</v>
      </c>
      <c r="AF615" s="2410">
        <f>SUM(X615:X622)</f>
        <v>1914229.25</v>
      </c>
      <c r="AG615" s="2410">
        <f>K615-AD615</f>
        <v>0</v>
      </c>
      <c r="AH615" s="2502">
        <f>AD615-AE615</f>
        <v>171409.75</v>
      </c>
      <c r="AI615" s="34">
        <f>AE615-AF615</f>
        <v>0</v>
      </c>
    </row>
    <row r="616" s="6" customFormat="1" ht="29.25" customHeight="1" spans="1:35">
      <c r="A616" s="655"/>
      <c r="B616" s="652"/>
      <c r="C616" s="2286"/>
      <c r="D616" s="1096"/>
      <c r="E616" s="1096"/>
      <c r="F616" s="712"/>
      <c r="G616" s="34"/>
      <c r="H616" s="2308"/>
      <c r="I616" s="712"/>
      <c r="J616" s="2308"/>
      <c r="K616" s="2333"/>
      <c r="L616" s="34"/>
      <c r="M616" s="2370">
        <v>2</v>
      </c>
      <c r="N616" s="2367" t="s">
        <v>317</v>
      </c>
      <c r="O616" s="2368">
        <v>0.05</v>
      </c>
      <c r="P616" s="2369">
        <f>K615*O616</f>
        <v>104281.95</v>
      </c>
      <c r="Q616" s="2333">
        <v>104281.95</v>
      </c>
      <c r="R616" s="2404" t="s">
        <v>206</v>
      </c>
      <c r="S616" s="2405">
        <v>43549</v>
      </c>
      <c r="T616" s="2406" t="s">
        <v>171</v>
      </c>
      <c r="U616" s="2445" t="s">
        <v>171</v>
      </c>
      <c r="V616" s="34">
        <v>104281.95</v>
      </c>
      <c r="W616" s="2407">
        <v>43709</v>
      </c>
      <c r="X616" s="2333">
        <v>104281.95</v>
      </c>
      <c r="Y616" s="2461">
        <v>43654</v>
      </c>
      <c r="Z616" s="2462">
        <f>Q616-X616</f>
        <v>0</v>
      </c>
      <c r="AA616" s="2463"/>
      <c r="AB616" s="2463"/>
      <c r="AC616" s="2489"/>
      <c r="AD616" s="2490"/>
      <c r="AE616" s="2490"/>
      <c r="AF616" s="2490"/>
      <c r="AG616" s="2490"/>
      <c r="AH616" s="2503"/>
      <c r="AI616" s="34"/>
    </row>
    <row r="617" s="6" customFormat="1" ht="29.25" customHeight="1" spans="1:35">
      <c r="A617" s="655"/>
      <c r="B617" s="652"/>
      <c r="C617" s="2286"/>
      <c r="D617" s="1096"/>
      <c r="E617" s="1096"/>
      <c r="F617" s="712"/>
      <c r="G617" s="34"/>
      <c r="H617" s="2308"/>
      <c r="I617" s="712"/>
      <c r="J617" s="2308"/>
      <c r="K617" s="2333"/>
      <c r="L617" s="34"/>
      <c r="M617" s="2370">
        <v>3</v>
      </c>
      <c r="N617" s="2367" t="s">
        <v>320</v>
      </c>
      <c r="O617" s="2368">
        <v>0.15</v>
      </c>
      <c r="P617" s="2369">
        <f>K615*O617</f>
        <v>312845.85</v>
      </c>
      <c r="Q617" s="2333">
        <v>312845.85</v>
      </c>
      <c r="R617" s="2404" t="s">
        <v>206</v>
      </c>
      <c r="S617" s="2405">
        <v>44175</v>
      </c>
      <c r="T617" s="2406" t="s">
        <v>171</v>
      </c>
      <c r="U617" s="2445" t="s">
        <v>171</v>
      </c>
      <c r="V617" s="34">
        <v>312845.85</v>
      </c>
      <c r="W617" s="2407">
        <v>43709</v>
      </c>
      <c r="X617" s="2333">
        <v>312845.85</v>
      </c>
      <c r="Y617" s="2461">
        <v>43654</v>
      </c>
      <c r="Z617" s="2462">
        <f>Q617-X617</f>
        <v>0</v>
      </c>
      <c r="AA617" s="2463"/>
      <c r="AB617" s="2463"/>
      <c r="AC617" s="2489"/>
      <c r="AD617" s="2490"/>
      <c r="AE617" s="2490"/>
      <c r="AF617" s="2490"/>
      <c r="AG617" s="2490"/>
      <c r="AH617" s="2503"/>
      <c r="AI617" s="34"/>
    </row>
    <row r="618" s="6" customFormat="1" ht="29.25" customHeight="1" spans="1:35">
      <c r="A618" s="655"/>
      <c r="B618" s="652"/>
      <c r="C618" s="2286"/>
      <c r="D618" s="1096"/>
      <c r="E618" s="1096"/>
      <c r="F618" s="712"/>
      <c r="G618" s="34"/>
      <c r="H618" s="2308"/>
      <c r="I618" s="712"/>
      <c r="J618" s="2308"/>
      <c r="K618" s="2333"/>
      <c r="L618" s="34"/>
      <c r="M618" s="2370">
        <v>4</v>
      </c>
      <c r="N618" s="2367" t="s">
        <v>319</v>
      </c>
      <c r="O618" s="2368">
        <v>0.3</v>
      </c>
      <c r="P618" s="2369">
        <f>K615*O618</f>
        <v>625691.7</v>
      </c>
      <c r="Q618" s="2333">
        <v>625691.7</v>
      </c>
      <c r="R618" s="2404" t="s">
        <v>206</v>
      </c>
      <c r="S618" s="2407">
        <v>43709</v>
      </c>
      <c r="T618" s="2406" t="s">
        <v>171</v>
      </c>
      <c r="U618" s="2445" t="s">
        <v>171</v>
      </c>
      <c r="V618" s="34">
        <v>625691.7</v>
      </c>
      <c r="W618" s="2407">
        <v>43709</v>
      </c>
      <c r="X618" s="2333">
        <v>625691.7</v>
      </c>
      <c r="Y618" s="2461">
        <v>43804</v>
      </c>
      <c r="Z618" s="2462">
        <f>Q618-X618</f>
        <v>0</v>
      </c>
      <c r="AA618" s="2463"/>
      <c r="AB618" s="2463"/>
      <c r="AC618" s="2489"/>
      <c r="AD618" s="2490"/>
      <c r="AE618" s="2490"/>
      <c r="AF618" s="2490"/>
      <c r="AG618" s="2490"/>
      <c r="AH618" s="2503"/>
      <c r="AI618" s="34"/>
    </row>
    <row r="619" s="6" customFormat="1" ht="61" spans="1:35">
      <c r="A619" s="655"/>
      <c r="B619" s="652"/>
      <c r="C619" s="2286"/>
      <c r="D619" s="1096"/>
      <c r="E619" s="1096"/>
      <c r="F619" s="712"/>
      <c r="G619" s="34"/>
      <c r="H619" s="2308"/>
      <c r="I619" s="712"/>
      <c r="J619" s="2308"/>
      <c r="K619" s="2333"/>
      <c r="L619" s="34"/>
      <c r="M619" s="2370">
        <v>5</v>
      </c>
      <c r="N619" s="2367" t="s">
        <v>322</v>
      </c>
      <c r="O619" s="2368">
        <v>0.2</v>
      </c>
      <c r="P619" s="2369">
        <f>K615*O619</f>
        <v>417127.8</v>
      </c>
      <c r="Q619" s="1029">
        <v>417127.8</v>
      </c>
      <c r="R619" s="2404" t="s">
        <v>206</v>
      </c>
      <c r="S619" s="896">
        <v>44457</v>
      </c>
      <c r="T619" s="34">
        <v>417127.8</v>
      </c>
      <c r="U619" s="896">
        <v>44457</v>
      </c>
      <c r="V619" s="34">
        <v>417127.8</v>
      </c>
      <c r="W619" s="896">
        <v>44441</v>
      </c>
      <c r="X619" s="2333">
        <v>417127.8</v>
      </c>
      <c r="Y619" s="896">
        <v>44484</v>
      </c>
      <c r="Z619" s="2462">
        <f>Q619-X619</f>
        <v>0</v>
      </c>
      <c r="AA619" s="2464" t="s">
        <v>1960</v>
      </c>
      <c r="AB619" s="2463"/>
      <c r="AC619" s="2489" t="s">
        <v>5486</v>
      </c>
      <c r="AD619" s="2490"/>
      <c r="AE619" s="2490"/>
      <c r="AF619" s="2490"/>
      <c r="AG619" s="2490"/>
      <c r="AH619" s="2503"/>
      <c r="AI619" s="34"/>
    </row>
    <row r="620" s="6" customFormat="1" ht="46" spans="1:35">
      <c r="A620" s="2287"/>
      <c r="B620" s="652"/>
      <c r="C620" s="2288"/>
      <c r="D620" s="2289"/>
      <c r="E620" s="2289"/>
      <c r="F620" s="705"/>
      <c r="G620" s="44"/>
      <c r="H620" s="2309"/>
      <c r="I620" s="705"/>
      <c r="J620" s="2309"/>
      <c r="K620" s="2335"/>
      <c r="L620" s="44"/>
      <c r="M620" s="2371">
        <v>6</v>
      </c>
      <c r="N620" s="2372" t="s">
        <v>323</v>
      </c>
      <c r="O620" s="2373">
        <v>0.1</v>
      </c>
      <c r="P620" s="2374">
        <f>K615*O620</f>
        <v>208563.9</v>
      </c>
      <c r="Q620" s="2408">
        <v>37154.15</v>
      </c>
      <c r="R620" s="2409" t="s">
        <v>206</v>
      </c>
      <c r="S620" s="896">
        <v>44457</v>
      </c>
      <c r="T620" s="2410">
        <v>37154.15</v>
      </c>
      <c r="U620" s="896">
        <v>44457</v>
      </c>
      <c r="V620" s="2410">
        <v>37154.15</v>
      </c>
      <c r="W620" s="896">
        <v>44477</v>
      </c>
      <c r="X620" s="2446">
        <v>37154.15</v>
      </c>
      <c r="Y620" s="896">
        <v>45470</v>
      </c>
      <c r="Z620" s="2465"/>
      <c r="AA620" s="2466" t="s">
        <v>5487</v>
      </c>
      <c r="AB620" s="2467"/>
      <c r="AC620" s="2491"/>
      <c r="AD620" s="2490"/>
      <c r="AE620" s="2490"/>
      <c r="AF620" s="2490"/>
      <c r="AG620" s="2490"/>
      <c r="AH620" s="2503"/>
      <c r="AI620" s="44"/>
    </row>
    <row r="621" s="6" customFormat="1" ht="23.25" customHeight="1" spans="1:35">
      <c r="A621" s="2287"/>
      <c r="B621" s="652"/>
      <c r="C621" s="2288"/>
      <c r="D621" s="2289"/>
      <c r="E621" s="2289"/>
      <c r="F621" s="705"/>
      <c r="G621" s="44"/>
      <c r="H621" s="2309"/>
      <c r="I621" s="705"/>
      <c r="J621" s="2309"/>
      <c r="K621" s="2335"/>
      <c r="L621" s="44"/>
      <c r="M621" s="2375"/>
      <c r="N621" s="2376"/>
      <c r="O621" s="2377"/>
      <c r="P621" s="2378"/>
      <c r="Q621" s="2408">
        <v>157696.99</v>
      </c>
      <c r="R621" s="2411" t="s">
        <v>4603</v>
      </c>
      <c r="S621" s="2412">
        <v>44915</v>
      </c>
      <c r="T621" s="2409">
        <v>157696.99</v>
      </c>
      <c r="U621" s="2412">
        <v>44915</v>
      </c>
      <c r="V621" s="2410"/>
      <c r="W621" s="2412"/>
      <c r="X621" s="2413"/>
      <c r="Y621" s="2468"/>
      <c r="Z621" s="2469"/>
      <c r="AA621" s="2470" t="s">
        <v>5488</v>
      </c>
      <c r="AB621" s="2467"/>
      <c r="AC621" s="2491"/>
      <c r="AD621" s="2490"/>
      <c r="AE621" s="2490"/>
      <c r="AF621" s="2490"/>
      <c r="AG621" s="2490"/>
      <c r="AH621" s="2503"/>
      <c r="AI621" s="44"/>
    </row>
    <row r="622" s="6" customFormat="1" ht="29.25" customHeight="1" spans="1:35">
      <c r="A622" s="2287"/>
      <c r="B622" s="652"/>
      <c r="C622" s="2288"/>
      <c r="D622" s="2289"/>
      <c r="E622" s="2289"/>
      <c r="F622" s="705"/>
      <c r="G622" s="44"/>
      <c r="H622" s="2309"/>
      <c r="I622" s="705"/>
      <c r="J622" s="2309"/>
      <c r="K622" s="2335"/>
      <c r="L622" s="44"/>
      <c r="M622" s="2375"/>
      <c r="N622" s="2376"/>
      <c r="O622" s="2377"/>
      <c r="P622" s="2378"/>
      <c r="Q622" s="2413">
        <f>P620-Q620-Q621</f>
        <v>13712.76</v>
      </c>
      <c r="R622" s="2414"/>
      <c r="S622" s="2415"/>
      <c r="T622" s="2416"/>
      <c r="U622" s="2415"/>
      <c r="V622" s="2416"/>
      <c r="W622" s="2415"/>
      <c r="X622" s="2413">
        <f>SUM(BB622:BF622)</f>
        <v>0</v>
      </c>
      <c r="Y622" s="2415"/>
      <c r="Z622" s="2469">
        <f t="shared" ref="Z622:Z657" si="29">Q622-X622</f>
        <v>13712.76</v>
      </c>
      <c r="AA622" s="2471"/>
      <c r="AB622" s="2467"/>
      <c r="AC622" s="2491"/>
      <c r="AD622" s="2490"/>
      <c r="AE622" s="2490"/>
      <c r="AF622" s="2490"/>
      <c r="AG622" s="2490"/>
      <c r="AH622" s="2503"/>
      <c r="AI622" s="44"/>
    </row>
    <row r="623" s="18" customFormat="1" ht="61" spans="1:35">
      <c r="A623" s="2290" t="s">
        <v>1951</v>
      </c>
      <c r="B623" s="2291">
        <v>45146</v>
      </c>
      <c r="C623" s="2292" t="s">
        <v>5489</v>
      </c>
      <c r="D623" s="2293"/>
      <c r="E623" s="2310" t="s">
        <v>5490</v>
      </c>
      <c r="F623" s="2310" t="s">
        <v>5491</v>
      </c>
      <c r="G623" s="2290" t="s">
        <v>240</v>
      </c>
      <c r="H623" s="2310" t="s">
        <v>5492</v>
      </c>
      <c r="I623" s="2310" t="s">
        <v>5493</v>
      </c>
      <c r="J623" s="2310" t="s">
        <v>5494</v>
      </c>
      <c r="K623" s="2336">
        <v>3433825</v>
      </c>
      <c r="L623" s="2290" t="s">
        <v>126</v>
      </c>
      <c r="M623" s="2312">
        <v>1</v>
      </c>
      <c r="N623" s="2379" t="s">
        <v>5495</v>
      </c>
      <c r="O623" s="2380">
        <v>0.2</v>
      </c>
      <c r="P623" s="2381">
        <f>K623*O623</f>
        <v>686765</v>
      </c>
      <c r="Q623" s="2417">
        <v>686765</v>
      </c>
      <c r="R623" s="2290" t="s">
        <v>4603</v>
      </c>
      <c r="S623" s="2418">
        <v>45161</v>
      </c>
      <c r="T623" s="2417">
        <v>686765</v>
      </c>
      <c r="U623" s="2418">
        <v>45161</v>
      </c>
      <c r="V623" s="2447">
        <v>686765</v>
      </c>
      <c r="W623" s="2418">
        <v>45180</v>
      </c>
      <c r="X623" s="2448">
        <v>686765</v>
      </c>
      <c r="Y623" s="2418">
        <v>45214</v>
      </c>
      <c r="Z623" s="2417">
        <f t="shared" si="29"/>
        <v>0</v>
      </c>
      <c r="AA623" s="2472"/>
      <c r="AB623" s="2472"/>
      <c r="AC623" s="2492"/>
      <c r="AD623" s="2312">
        <f>SUM(Q623:Q629)</f>
        <v>3090442.5</v>
      </c>
      <c r="AE623" s="2312">
        <f>SUM(V623:V629)</f>
        <v>2918751.25</v>
      </c>
      <c r="AF623" s="2312">
        <f>SUM(X623:X629)</f>
        <v>3090442.5</v>
      </c>
      <c r="AG623" s="2312">
        <f>K623-AD623</f>
        <v>343382.5</v>
      </c>
      <c r="AH623" s="2290" t="s">
        <v>5496</v>
      </c>
      <c r="AI623" s="2290" t="s">
        <v>154</v>
      </c>
    </row>
    <row r="624" s="18" customFormat="1" ht="61" spans="1:35">
      <c r="A624" s="2294"/>
      <c r="B624" s="2295"/>
      <c r="C624" s="2296"/>
      <c r="D624" s="2293"/>
      <c r="E624" s="2293"/>
      <c r="F624" s="2311"/>
      <c r="G624" s="2312"/>
      <c r="H624" s="2293"/>
      <c r="I624" s="2311"/>
      <c r="J624" s="2293"/>
      <c r="K624" s="2336"/>
      <c r="L624" s="2312"/>
      <c r="M624" s="2312">
        <v>2</v>
      </c>
      <c r="N624" s="2379" t="s">
        <v>5497</v>
      </c>
      <c r="O624" s="2380">
        <v>0.2</v>
      </c>
      <c r="P624" s="2381">
        <f>K623*O624</f>
        <v>686765</v>
      </c>
      <c r="Q624" s="2417">
        <v>686765</v>
      </c>
      <c r="R624" s="2290" t="s">
        <v>4603</v>
      </c>
      <c r="S624" s="2418">
        <v>45161</v>
      </c>
      <c r="T624" s="2417">
        <v>686765</v>
      </c>
      <c r="U624" s="2418">
        <v>45161</v>
      </c>
      <c r="V624" s="2447">
        <v>686765</v>
      </c>
      <c r="W624" s="2418">
        <v>45180</v>
      </c>
      <c r="X624" s="2448">
        <v>686765</v>
      </c>
      <c r="Y624" s="2418">
        <v>45214</v>
      </c>
      <c r="Z624" s="2417">
        <f t="shared" si="29"/>
        <v>0</v>
      </c>
      <c r="AA624" s="2472"/>
      <c r="AB624" s="2472"/>
      <c r="AC624" s="2492"/>
      <c r="AD624" s="2312"/>
      <c r="AE624" s="2312"/>
      <c r="AF624" s="2312"/>
      <c r="AG624" s="2312"/>
      <c r="AH624" s="2312"/>
      <c r="AI624" s="2312"/>
    </row>
    <row r="625" s="18" customFormat="1" ht="61" spans="1:35">
      <c r="A625" s="2294"/>
      <c r="B625" s="2295"/>
      <c r="C625" s="2296"/>
      <c r="D625" s="2293"/>
      <c r="E625" s="2293"/>
      <c r="F625" s="2311"/>
      <c r="G625" s="2312"/>
      <c r="H625" s="2293"/>
      <c r="I625" s="2311"/>
      <c r="J625" s="2293"/>
      <c r="K625" s="2336"/>
      <c r="L625" s="2312"/>
      <c r="M625" s="2312">
        <v>3</v>
      </c>
      <c r="N625" s="2379" t="s">
        <v>5498</v>
      </c>
      <c r="O625" s="2380">
        <v>0.2</v>
      </c>
      <c r="P625" s="2381">
        <f>K623*O625</f>
        <v>686765</v>
      </c>
      <c r="Q625" s="2417">
        <v>686765</v>
      </c>
      <c r="R625" s="2290" t="s">
        <v>4603</v>
      </c>
      <c r="S625" s="2418">
        <v>45266</v>
      </c>
      <c r="T625" s="2419">
        <v>686765</v>
      </c>
      <c r="U625" s="2418">
        <v>45266</v>
      </c>
      <c r="V625" s="2447">
        <v>686765</v>
      </c>
      <c r="W625" s="2418">
        <v>45371</v>
      </c>
      <c r="X625" s="2417">
        <v>686765</v>
      </c>
      <c r="Y625" s="2418">
        <v>45442</v>
      </c>
      <c r="Z625" s="2417">
        <f t="shared" si="29"/>
        <v>0</v>
      </c>
      <c r="AA625" s="2472"/>
      <c r="AB625" s="2472"/>
      <c r="AC625" s="2492"/>
      <c r="AD625" s="2312"/>
      <c r="AE625" s="2312"/>
      <c r="AF625" s="2312"/>
      <c r="AG625" s="2312"/>
      <c r="AH625" s="2312"/>
      <c r="AI625" s="2312"/>
    </row>
    <row r="626" s="18" customFormat="1" ht="76" spans="1:35">
      <c r="A626" s="2294"/>
      <c r="B626" s="2295"/>
      <c r="C626" s="2296"/>
      <c r="D626" s="2293"/>
      <c r="E626" s="2293"/>
      <c r="F626" s="2311"/>
      <c r="G626" s="2312"/>
      <c r="H626" s="2293"/>
      <c r="I626" s="2311"/>
      <c r="J626" s="2293"/>
      <c r="K626" s="2336"/>
      <c r="L626" s="2312"/>
      <c r="M626" s="2312">
        <v>4</v>
      </c>
      <c r="N626" s="2379" t="s">
        <v>5499</v>
      </c>
      <c r="O626" s="2380">
        <v>0.15</v>
      </c>
      <c r="P626" s="2381">
        <f>K623*O626</f>
        <v>515073.75</v>
      </c>
      <c r="Q626" s="2417">
        <v>515073.75</v>
      </c>
      <c r="R626" s="2290" t="s">
        <v>4603</v>
      </c>
      <c r="S626" s="2418">
        <v>45266</v>
      </c>
      <c r="T626" s="2419">
        <v>515073.75</v>
      </c>
      <c r="U626" s="2418">
        <v>45266</v>
      </c>
      <c r="V626" s="2447">
        <v>515073.75</v>
      </c>
      <c r="W626" s="2418">
        <v>45371</v>
      </c>
      <c r="X626" s="2417">
        <v>515073.75</v>
      </c>
      <c r="Y626" s="2418">
        <v>45442</v>
      </c>
      <c r="Z626" s="2417">
        <f t="shared" si="29"/>
        <v>0</v>
      </c>
      <c r="AA626" s="2472"/>
      <c r="AB626" s="2472"/>
      <c r="AC626" s="2492"/>
      <c r="AD626" s="2312"/>
      <c r="AE626" s="2312"/>
      <c r="AF626" s="2312"/>
      <c r="AG626" s="2312"/>
      <c r="AH626" s="2312"/>
      <c r="AI626" s="2312"/>
    </row>
    <row r="627" s="18" customFormat="1" ht="61" spans="1:35">
      <c r="A627" s="2294"/>
      <c r="B627" s="2295"/>
      <c r="C627" s="2296"/>
      <c r="D627" s="2293"/>
      <c r="E627" s="2293"/>
      <c r="F627" s="2311"/>
      <c r="G627" s="2312"/>
      <c r="H627" s="2293"/>
      <c r="I627" s="2311"/>
      <c r="J627" s="2293"/>
      <c r="K627" s="2336"/>
      <c r="L627" s="2312"/>
      <c r="M627" s="2312">
        <v>5</v>
      </c>
      <c r="N627" s="2379" t="s">
        <v>5500</v>
      </c>
      <c r="O627" s="2380">
        <v>0.1</v>
      </c>
      <c r="P627" s="2381">
        <f>K623*O627</f>
        <v>343382.5</v>
      </c>
      <c r="Q627" s="2417">
        <v>343382.5</v>
      </c>
      <c r="R627" s="2290" t="s">
        <v>4603</v>
      </c>
      <c r="S627" s="2418">
        <v>45266</v>
      </c>
      <c r="T627" s="2419">
        <v>343382.5</v>
      </c>
      <c r="U627" s="2418">
        <v>45266</v>
      </c>
      <c r="V627" s="2447">
        <v>343382.5</v>
      </c>
      <c r="W627" s="2418">
        <v>45371</v>
      </c>
      <c r="X627" s="2417">
        <v>343382.5</v>
      </c>
      <c r="Y627" s="2418">
        <v>45442</v>
      </c>
      <c r="Z627" s="2417">
        <f t="shared" si="29"/>
        <v>0</v>
      </c>
      <c r="AA627" s="2472"/>
      <c r="AB627" s="2472"/>
      <c r="AC627" s="2492"/>
      <c r="AD627" s="2312"/>
      <c r="AE627" s="2312"/>
      <c r="AF627" s="2312"/>
      <c r="AG627" s="2312"/>
      <c r="AH627" s="2312"/>
      <c r="AI627" s="2312"/>
    </row>
    <row r="628" s="18" customFormat="1" ht="76" spans="1:35">
      <c r="A628" s="2294"/>
      <c r="B628" s="2295"/>
      <c r="C628" s="2296"/>
      <c r="D628" s="2293"/>
      <c r="E628" s="2293"/>
      <c r="F628" s="2311"/>
      <c r="G628" s="2312"/>
      <c r="H628" s="2293"/>
      <c r="I628" s="2311"/>
      <c r="J628" s="2293"/>
      <c r="K628" s="2336"/>
      <c r="L628" s="2312"/>
      <c r="M628" s="2312">
        <v>6</v>
      </c>
      <c r="N628" s="2379" t="s">
        <v>5501</v>
      </c>
      <c r="O628" s="2380">
        <v>0.05</v>
      </c>
      <c r="P628" s="2381">
        <f>K623*O628</f>
        <v>171691.25</v>
      </c>
      <c r="Q628" s="2420">
        <v>171691.25</v>
      </c>
      <c r="R628" s="2421" t="s">
        <v>349</v>
      </c>
      <c r="S628" s="2422">
        <v>46021</v>
      </c>
      <c r="T628" s="2419"/>
      <c r="U628" s="2418"/>
      <c r="V628" s="2447"/>
      <c r="W628" s="2418"/>
      <c r="X628" s="2420">
        <v>171691.25</v>
      </c>
      <c r="Y628" s="2422">
        <v>46021</v>
      </c>
      <c r="Z628" s="2417">
        <f t="shared" si="29"/>
        <v>0</v>
      </c>
      <c r="AA628" s="2472"/>
      <c r="AB628" s="2472"/>
      <c r="AC628" s="2492"/>
      <c r="AD628" s="2312"/>
      <c r="AE628" s="2312"/>
      <c r="AF628" s="2312"/>
      <c r="AG628" s="2312"/>
      <c r="AH628" s="2312"/>
      <c r="AI628" s="2312"/>
    </row>
    <row r="629" s="18" customFormat="1" ht="92" spans="1:35">
      <c r="A629" s="2294"/>
      <c r="B629" s="2297"/>
      <c r="C629" s="2296"/>
      <c r="D629" s="2293"/>
      <c r="E629" s="2293"/>
      <c r="F629" s="2311"/>
      <c r="G629" s="2312"/>
      <c r="H629" s="2293"/>
      <c r="I629" s="2311"/>
      <c r="J629" s="2293"/>
      <c r="K629" s="2336"/>
      <c r="L629" s="2312"/>
      <c r="M629" s="2312">
        <v>7</v>
      </c>
      <c r="N629" s="2379" t="s">
        <v>5502</v>
      </c>
      <c r="O629" s="2380">
        <v>0.1</v>
      </c>
      <c r="P629" s="2381">
        <f>K623*O629</f>
        <v>343382.5</v>
      </c>
      <c r="Q629" s="2417"/>
      <c r="R629" s="2423"/>
      <c r="S629" s="2418"/>
      <c r="T629" s="2419"/>
      <c r="U629" s="2418"/>
      <c r="V629" s="2447"/>
      <c r="W629" s="2418"/>
      <c r="X629" s="2417"/>
      <c r="Y629" s="2418"/>
      <c r="Z629" s="2417">
        <f t="shared" si="29"/>
        <v>0</v>
      </c>
      <c r="AA629" s="2472"/>
      <c r="AB629" s="2472"/>
      <c r="AC629" s="2492"/>
      <c r="AD629" s="2312"/>
      <c r="AE629" s="2312"/>
      <c r="AF629" s="2312"/>
      <c r="AG629" s="2312"/>
      <c r="AH629" s="2312"/>
      <c r="AI629" s="2312"/>
    </row>
    <row r="630" s="6" customFormat="1" ht="76" spans="1:35">
      <c r="A630" s="2298" t="s">
        <v>1951</v>
      </c>
      <c r="B630" s="2299">
        <v>45133</v>
      </c>
      <c r="C630" s="2300" t="s">
        <v>5489</v>
      </c>
      <c r="D630" s="2301"/>
      <c r="E630" s="2313" t="s">
        <v>5503</v>
      </c>
      <c r="F630" s="2313" t="s">
        <v>5504</v>
      </c>
      <c r="G630" s="2298" t="s">
        <v>3723</v>
      </c>
      <c r="H630" s="2313" t="s">
        <v>5505</v>
      </c>
      <c r="I630" s="2313" t="s">
        <v>5506</v>
      </c>
      <c r="J630" s="2313" t="s">
        <v>2303</v>
      </c>
      <c r="K630" s="2337">
        <v>2759220</v>
      </c>
      <c r="L630" s="2298" t="s">
        <v>126</v>
      </c>
      <c r="M630" s="2315">
        <v>1</v>
      </c>
      <c r="N630" s="2382" t="s">
        <v>5063</v>
      </c>
      <c r="O630" s="2383">
        <v>0.1</v>
      </c>
      <c r="P630" s="2384">
        <f>K630*O630</f>
        <v>275922</v>
      </c>
      <c r="Q630" s="2424">
        <v>275922</v>
      </c>
      <c r="R630" s="2298" t="s">
        <v>4603</v>
      </c>
      <c r="S630" s="2425">
        <v>45160</v>
      </c>
      <c r="T630" s="2424">
        <v>275922</v>
      </c>
      <c r="U630" s="2425">
        <v>45160</v>
      </c>
      <c r="V630" s="2424">
        <v>275922</v>
      </c>
      <c r="W630" s="2425">
        <v>45183</v>
      </c>
      <c r="X630" s="2424">
        <v>275922</v>
      </c>
      <c r="Y630" s="2425">
        <v>45214</v>
      </c>
      <c r="Z630" s="2424">
        <f t="shared" si="29"/>
        <v>0</v>
      </c>
      <c r="AA630" s="2473"/>
      <c r="AB630" s="2473"/>
      <c r="AC630" s="2493"/>
      <c r="AD630" s="2315">
        <f>SUM(Q630:Q640)</f>
        <v>2483298</v>
      </c>
      <c r="AE630" s="2315">
        <f>SUM(V630:V640)</f>
        <v>2483298</v>
      </c>
      <c r="AF630" s="2315">
        <f>SUM(X630:X640)</f>
        <v>2483298</v>
      </c>
      <c r="AG630" s="2315">
        <f>K630-AD630</f>
        <v>275922</v>
      </c>
      <c r="AH630" s="2298" t="s">
        <v>5496</v>
      </c>
      <c r="AI630" s="2298" t="s">
        <v>154</v>
      </c>
    </row>
    <row r="631" s="6" customFormat="1" ht="76" spans="1:35">
      <c r="A631" s="2302"/>
      <c r="B631" s="2303"/>
      <c r="C631" s="2304"/>
      <c r="D631" s="2301"/>
      <c r="E631" s="2301"/>
      <c r="F631" s="2314"/>
      <c r="G631" s="2315"/>
      <c r="H631" s="2301"/>
      <c r="I631" s="2314"/>
      <c r="J631" s="2301"/>
      <c r="K631" s="2337"/>
      <c r="L631" s="2315"/>
      <c r="M631" s="2315">
        <v>2</v>
      </c>
      <c r="N631" s="2382" t="s">
        <v>5507</v>
      </c>
      <c r="O631" s="2385" t="s">
        <v>3330</v>
      </c>
      <c r="P631" s="2384">
        <f>360000*0.4</f>
        <v>144000</v>
      </c>
      <c r="Q631" s="2424">
        <v>144000</v>
      </c>
      <c r="R631" s="2298" t="s">
        <v>4603</v>
      </c>
      <c r="S631" s="2425">
        <v>45160</v>
      </c>
      <c r="T631" s="2424">
        <v>144000</v>
      </c>
      <c r="U631" s="2425">
        <v>45160</v>
      </c>
      <c r="V631" s="2424">
        <v>144000</v>
      </c>
      <c r="W631" s="2425">
        <v>45183</v>
      </c>
      <c r="X631" s="2424">
        <v>144000</v>
      </c>
      <c r="Y631" s="2425">
        <v>45214</v>
      </c>
      <c r="Z631" s="2424">
        <f t="shared" si="29"/>
        <v>0</v>
      </c>
      <c r="AA631" s="2473"/>
      <c r="AB631" s="2473"/>
      <c r="AC631" s="2493"/>
      <c r="AD631" s="2315"/>
      <c r="AE631" s="2315"/>
      <c r="AF631" s="2315"/>
      <c r="AG631" s="2315"/>
      <c r="AH631" s="2315"/>
      <c r="AI631" s="2315"/>
    </row>
    <row r="632" s="6" customFormat="1" ht="76" spans="1:35">
      <c r="A632" s="2302"/>
      <c r="B632" s="2303"/>
      <c r="C632" s="2304"/>
      <c r="D632" s="2301"/>
      <c r="E632" s="2301"/>
      <c r="F632" s="2314"/>
      <c r="G632" s="2315"/>
      <c r="H632" s="2301"/>
      <c r="I632" s="2314"/>
      <c r="J632" s="2301"/>
      <c r="K632" s="2337"/>
      <c r="L632" s="2315"/>
      <c r="M632" s="2315">
        <v>3</v>
      </c>
      <c r="N632" s="2382" t="s">
        <v>5065</v>
      </c>
      <c r="O632" s="2385" t="s">
        <v>3332</v>
      </c>
      <c r="P632" s="2384">
        <f>360000*0.3</f>
        <v>108000</v>
      </c>
      <c r="Q632" s="2424">
        <v>108000</v>
      </c>
      <c r="R632" s="2298" t="s">
        <v>4603</v>
      </c>
      <c r="S632" s="2425">
        <v>45160</v>
      </c>
      <c r="T632" s="2424">
        <v>108000</v>
      </c>
      <c r="U632" s="2425">
        <v>45160</v>
      </c>
      <c r="V632" s="2424">
        <v>108000</v>
      </c>
      <c r="W632" s="2425">
        <v>45183</v>
      </c>
      <c r="X632" s="2424">
        <v>108000</v>
      </c>
      <c r="Y632" s="2425">
        <v>45214</v>
      </c>
      <c r="Z632" s="2424">
        <f t="shared" si="29"/>
        <v>0</v>
      </c>
      <c r="AA632" s="2473"/>
      <c r="AB632" s="2473"/>
      <c r="AC632" s="2493"/>
      <c r="AD632" s="2315"/>
      <c r="AE632" s="2315"/>
      <c r="AF632" s="2315"/>
      <c r="AG632" s="2315"/>
      <c r="AH632" s="2315"/>
      <c r="AI632" s="2315"/>
    </row>
    <row r="633" s="6" customFormat="1" ht="76" spans="1:35">
      <c r="A633" s="2302"/>
      <c r="B633" s="2303"/>
      <c r="C633" s="2304"/>
      <c r="D633" s="2301"/>
      <c r="E633" s="2301"/>
      <c r="F633" s="2314"/>
      <c r="G633" s="2315"/>
      <c r="H633" s="2301"/>
      <c r="I633" s="2314"/>
      <c r="J633" s="2301"/>
      <c r="K633" s="2337"/>
      <c r="L633" s="2315"/>
      <c r="M633" s="2315">
        <v>4</v>
      </c>
      <c r="N633" s="2382" t="s">
        <v>5066</v>
      </c>
      <c r="O633" s="2385" t="s">
        <v>3334</v>
      </c>
      <c r="P633" s="2384">
        <f>360000*0.1</f>
        <v>36000</v>
      </c>
      <c r="Q633" s="2424">
        <v>36000</v>
      </c>
      <c r="R633" s="2298" t="s">
        <v>4603</v>
      </c>
      <c r="S633" s="2425">
        <v>45555</v>
      </c>
      <c r="T633" s="2424">
        <v>36000</v>
      </c>
      <c r="U633" s="2425">
        <v>45555</v>
      </c>
      <c r="V633" s="2424">
        <v>36000</v>
      </c>
      <c r="W633" s="2425">
        <v>45616</v>
      </c>
      <c r="X633" s="2424">
        <v>36000</v>
      </c>
      <c r="Y633" s="2425">
        <v>45624</v>
      </c>
      <c r="Z633" s="2424">
        <f t="shared" si="29"/>
        <v>0</v>
      </c>
      <c r="AA633" s="2473"/>
      <c r="AB633" s="2473"/>
      <c r="AC633" s="2493"/>
      <c r="AD633" s="2315"/>
      <c r="AE633" s="2315"/>
      <c r="AF633" s="2315"/>
      <c r="AG633" s="2315"/>
      <c r="AH633" s="2315"/>
      <c r="AI633" s="2315"/>
    </row>
    <row r="634" s="6" customFormat="1" ht="76" spans="1:35">
      <c r="A634" s="2302"/>
      <c r="B634" s="2303"/>
      <c r="C634" s="2304"/>
      <c r="D634" s="2301"/>
      <c r="E634" s="2301"/>
      <c r="F634" s="2314"/>
      <c r="G634" s="2315"/>
      <c r="H634" s="2301"/>
      <c r="I634" s="2314"/>
      <c r="J634" s="2301"/>
      <c r="K634" s="2337"/>
      <c r="L634" s="2315"/>
      <c r="M634" s="2315">
        <v>5</v>
      </c>
      <c r="N634" s="2382" t="s">
        <v>5067</v>
      </c>
      <c r="O634" s="2385" t="s">
        <v>3336</v>
      </c>
      <c r="P634" s="2384">
        <f>2399220*0.15</f>
        <v>359883</v>
      </c>
      <c r="Q634" s="2424">
        <v>359883</v>
      </c>
      <c r="R634" s="2298" t="s">
        <v>4603</v>
      </c>
      <c r="S634" s="2425">
        <v>45160</v>
      </c>
      <c r="T634" s="2424">
        <v>359883</v>
      </c>
      <c r="U634" s="2425">
        <v>45160</v>
      </c>
      <c r="V634" s="2424">
        <v>359883</v>
      </c>
      <c r="W634" s="2425">
        <v>45183</v>
      </c>
      <c r="X634" s="2424">
        <v>359883</v>
      </c>
      <c r="Y634" s="2425">
        <v>45214</v>
      </c>
      <c r="Z634" s="2424">
        <f t="shared" si="29"/>
        <v>0</v>
      </c>
      <c r="AA634" s="2473"/>
      <c r="AB634" s="2473"/>
      <c r="AC634" s="2493"/>
      <c r="AD634" s="2315"/>
      <c r="AE634" s="2315"/>
      <c r="AF634" s="2315"/>
      <c r="AG634" s="2315"/>
      <c r="AH634" s="2315"/>
      <c r="AI634" s="2315"/>
    </row>
    <row r="635" s="6" customFormat="1" ht="76" spans="1:35">
      <c r="A635" s="2302"/>
      <c r="B635" s="2303"/>
      <c r="C635" s="2304"/>
      <c r="D635" s="2301"/>
      <c r="E635" s="2301"/>
      <c r="F635" s="2314"/>
      <c r="G635" s="2315"/>
      <c r="H635" s="2301"/>
      <c r="I635" s="2314"/>
      <c r="J635" s="2301"/>
      <c r="K635" s="2337"/>
      <c r="L635" s="2315"/>
      <c r="M635" s="2315">
        <v>6</v>
      </c>
      <c r="N635" s="2382" t="s">
        <v>5064</v>
      </c>
      <c r="O635" s="2385" t="s">
        <v>3336</v>
      </c>
      <c r="P635" s="2384">
        <f>2399220*0.15</f>
        <v>359883</v>
      </c>
      <c r="Q635" s="2426">
        <f>2399220*0.15</f>
        <v>359883</v>
      </c>
      <c r="R635" s="2298" t="s">
        <v>4603</v>
      </c>
      <c r="S635" s="2425">
        <v>45266</v>
      </c>
      <c r="T635" s="2427">
        <v>359883</v>
      </c>
      <c r="U635" s="2425">
        <v>45266</v>
      </c>
      <c r="V635" s="2427">
        <v>359883</v>
      </c>
      <c r="W635" s="2425">
        <v>45301</v>
      </c>
      <c r="X635" s="2424">
        <v>359883</v>
      </c>
      <c r="Y635" s="2425">
        <v>45380</v>
      </c>
      <c r="Z635" s="2424">
        <f t="shared" si="29"/>
        <v>0</v>
      </c>
      <c r="AA635" s="2473"/>
      <c r="AB635" s="2473"/>
      <c r="AC635" s="2493"/>
      <c r="AD635" s="2315"/>
      <c r="AE635" s="2315"/>
      <c r="AF635" s="2315"/>
      <c r="AG635" s="2315"/>
      <c r="AH635" s="2315"/>
      <c r="AI635" s="2315"/>
    </row>
    <row r="636" s="6" customFormat="1" ht="76" spans="1:35">
      <c r="A636" s="2302"/>
      <c r="B636" s="2303"/>
      <c r="C636" s="2304"/>
      <c r="D636" s="2301"/>
      <c r="E636" s="2301"/>
      <c r="F636" s="2314"/>
      <c r="G636" s="2315"/>
      <c r="H636" s="2301"/>
      <c r="I636" s="2314"/>
      <c r="J636" s="2301"/>
      <c r="K636" s="2337"/>
      <c r="L636" s="2315"/>
      <c r="M636" s="2315">
        <v>7</v>
      </c>
      <c r="N636" s="2382" t="s">
        <v>5068</v>
      </c>
      <c r="O636" s="2385" t="s">
        <v>3341</v>
      </c>
      <c r="P636" s="2384">
        <f>2399220*0.2</f>
        <v>479844</v>
      </c>
      <c r="Q636" s="2426">
        <f>2399220*0.2</f>
        <v>479844</v>
      </c>
      <c r="R636" s="2298" t="s">
        <v>4603</v>
      </c>
      <c r="S636" s="2425">
        <v>45555</v>
      </c>
      <c r="T636" s="2427">
        <v>479844</v>
      </c>
      <c r="U636" s="2425">
        <v>45555</v>
      </c>
      <c r="V636" s="2427">
        <v>479844</v>
      </c>
      <c r="W636" s="2425">
        <v>45616</v>
      </c>
      <c r="X636" s="2426">
        <f>2399220*0.2</f>
        <v>479844</v>
      </c>
      <c r="Y636" s="2425">
        <v>45624</v>
      </c>
      <c r="Z636" s="2424">
        <f t="shared" si="29"/>
        <v>0</v>
      </c>
      <c r="AA636" s="2473"/>
      <c r="AB636" s="2473"/>
      <c r="AC636" s="2493"/>
      <c r="AD636" s="2315"/>
      <c r="AE636" s="2315"/>
      <c r="AF636" s="2315"/>
      <c r="AG636" s="2315"/>
      <c r="AH636" s="2315"/>
      <c r="AI636" s="2315"/>
    </row>
    <row r="637" s="6" customFormat="1" ht="76" spans="1:35">
      <c r="A637" s="2302"/>
      <c r="B637" s="2303"/>
      <c r="C637" s="2304"/>
      <c r="D637" s="2301"/>
      <c r="E637" s="2301"/>
      <c r="F637" s="2314"/>
      <c r="G637" s="2315"/>
      <c r="H637" s="2301"/>
      <c r="I637" s="2314"/>
      <c r="J637" s="2301"/>
      <c r="K637" s="2337"/>
      <c r="L637" s="2315"/>
      <c r="M637" s="2315">
        <v>8</v>
      </c>
      <c r="N637" s="2382" t="s">
        <v>5065</v>
      </c>
      <c r="O637" s="2385" t="s">
        <v>3341</v>
      </c>
      <c r="P637" s="2384">
        <f>2399220*0.2</f>
        <v>479844</v>
      </c>
      <c r="Q637" s="2424">
        <v>479844</v>
      </c>
      <c r="R637" s="2298" t="s">
        <v>4603</v>
      </c>
      <c r="S637" s="2425">
        <v>45555</v>
      </c>
      <c r="T637" s="2427">
        <v>479844</v>
      </c>
      <c r="U637" s="2425">
        <v>45555</v>
      </c>
      <c r="V637" s="2449">
        <v>479844</v>
      </c>
      <c r="W637" s="2425">
        <v>45638</v>
      </c>
      <c r="X637" s="2424">
        <v>479844</v>
      </c>
      <c r="Y637" s="2425">
        <v>45653</v>
      </c>
      <c r="Z637" s="2424">
        <f t="shared" si="29"/>
        <v>0</v>
      </c>
      <c r="AA637" s="2473"/>
      <c r="AB637" s="2473"/>
      <c r="AC637" s="2493"/>
      <c r="AD637" s="2315"/>
      <c r="AE637" s="2315"/>
      <c r="AF637" s="2315"/>
      <c r="AG637" s="2315"/>
      <c r="AH637" s="2315"/>
      <c r="AI637" s="2315"/>
    </row>
    <row r="638" s="6" customFormat="1" ht="92" spans="1:35">
      <c r="A638" s="2302"/>
      <c r="B638" s="2303"/>
      <c r="C638" s="2304"/>
      <c r="D638" s="2301"/>
      <c r="E638" s="2301"/>
      <c r="F638" s="2314"/>
      <c r="G638" s="2315"/>
      <c r="H638" s="2301"/>
      <c r="I638" s="2314"/>
      <c r="J638" s="2301"/>
      <c r="K638" s="2337"/>
      <c r="L638" s="2315"/>
      <c r="M638" s="2315">
        <v>9</v>
      </c>
      <c r="N638" s="2382" t="s">
        <v>5070</v>
      </c>
      <c r="O638" s="2385" t="s">
        <v>3343</v>
      </c>
      <c r="P638" s="2384">
        <f>2399220*0.05</f>
        <v>119961</v>
      </c>
      <c r="Q638" s="2424">
        <v>119961</v>
      </c>
      <c r="R638" s="2298" t="s">
        <v>4603</v>
      </c>
      <c r="S638" s="2425">
        <v>45978</v>
      </c>
      <c r="T638" s="2427">
        <v>119961</v>
      </c>
      <c r="U638" s="2425">
        <v>45978</v>
      </c>
      <c r="V638" s="2449">
        <v>119961</v>
      </c>
      <c r="W638" s="2425">
        <v>45979</v>
      </c>
      <c r="X638" s="2424">
        <v>119961</v>
      </c>
      <c r="Y638" s="2425">
        <v>45989</v>
      </c>
      <c r="Z638" s="2424">
        <f t="shared" si="29"/>
        <v>0</v>
      </c>
      <c r="AA638" s="2473"/>
      <c r="AB638" s="2473"/>
      <c r="AC638" s="2493"/>
      <c r="AD638" s="2315"/>
      <c r="AE638" s="2315"/>
      <c r="AF638" s="2315"/>
      <c r="AG638" s="2315"/>
      <c r="AH638" s="2315"/>
      <c r="AI638" s="2315"/>
    </row>
    <row r="639" s="6" customFormat="1" ht="92" spans="1:35">
      <c r="A639" s="2302"/>
      <c r="B639" s="2303"/>
      <c r="C639" s="2304"/>
      <c r="D639" s="2301"/>
      <c r="E639" s="2301"/>
      <c r="F639" s="2314"/>
      <c r="G639" s="2315"/>
      <c r="H639" s="2301"/>
      <c r="I639" s="2314"/>
      <c r="J639" s="2301"/>
      <c r="K639" s="2337"/>
      <c r="L639" s="2315"/>
      <c r="M639" s="2315">
        <v>10</v>
      </c>
      <c r="N639" s="2382" t="s">
        <v>5071</v>
      </c>
      <c r="O639" s="2385" t="s">
        <v>3343</v>
      </c>
      <c r="P639" s="2384">
        <f>2399220*0.05</f>
        <v>119961</v>
      </c>
      <c r="Q639" s="2424">
        <v>119961</v>
      </c>
      <c r="R639" s="2298" t="s">
        <v>4603</v>
      </c>
      <c r="S639" s="2425">
        <v>45978</v>
      </c>
      <c r="T639" s="2427">
        <v>119961</v>
      </c>
      <c r="U639" s="2425">
        <v>45978</v>
      </c>
      <c r="V639" s="2449">
        <v>119961</v>
      </c>
      <c r="W639" s="2425">
        <v>45979</v>
      </c>
      <c r="X639" s="2424">
        <v>119961</v>
      </c>
      <c r="Y639" s="2425">
        <v>45989</v>
      </c>
      <c r="Z639" s="2424">
        <f t="shared" si="29"/>
        <v>0</v>
      </c>
      <c r="AA639" s="2473"/>
      <c r="AB639" s="2473"/>
      <c r="AC639" s="2493"/>
      <c r="AD639" s="2315"/>
      <c r="AE639" s="2315"/>
      <c r="AF639" s="2315"/>
      <c r="AG639" s="2315"/>
      <c r="AH639" s="2315"/>
      <c r="AI639" s="2315"/>
    </row>
    <row r="640" s="6" customFormat="1" ht="76" spans="1:35">
      <c r="A640" s="2302"/>
      <c r="B640" s="2305"/>
      <c r="C640" s="2304"/>
      <c r="D640" s="2301"/>
      <c r="E640" s="2301"/>
      <c r="F640" s="2314"/>
      <c r="G640" s="2315"/>
      <c r="H640" s="2301"/>
      <c r="I640" s="2314"/>
      <c r="J640" s="2301"/>
      <c r="K640" s="2337"/>
      <c r="L640" s="2315"/>
      <c r="M640" s="2315">
        <v>11</v>
      </c>
      <c r="N640" s="2382" t="s">
        <v>3347</v>
      </c>
      <c r="O640" s="2383">
        <v>0.1</v>
      </c>
      <c r="P640" s="2384">
        <f>K630*0.1</f>
        <v>275922</v>
      </c>
      <c r="Q640" s="2424"/>
      <c r="R640" s="2428"/>
      <c r="S640" s="2425"/>
      <c r="T640" s="2427"/>
      <c r="U640" s="2425"/>
      <c r="V640" s="2449"/>
      <c r="W640" s="2425"/>
      <c r="X640" s="2424"/>
      <c r="Y640" s="2425"/>
      <c r="Z640" s="2424">
        <f t="shared" si="29"/>
        <v>0</v>
      </c>
      <c r="AA640" s="2473"/>
      <c r="AB640" s="2473"/>
      <c r="AC640" s="2493"/>
      <c r="AD640" s="2315"/>
      <c r="AE640" s="2315"/>
      <c r="AF640" s="2315"/>
      <c r="AG640" s="2315"/>
      <c r="AH640" s="2315"/>
      <c r="AI640" s="2315"/>
    </row>
    <row r="641" s="6" customFormat="1" ht="92" spans="1:35">
      <c r="A641" s="2504" t="s">
        <v>1951</v>
      </c>
      <c r="B641" s="2505">
        <v>45134</v>
      </c>
      <c r="C641" s="2506" t="s">
        <v>5489</v>
      </c>
      <c r="D641" s="2507"/>
      <c r="E641" s="2561" t="s">
        <v>5508</v>
      </c>
      <c r="F641" s="2561" t="s">
        <v>5509</v>
      </c>
      <c r="G641" s="2561" t="s">
        <v>5510</v>
      </c>
      <c r="H641" s="2561" t="s">
        <v>5136</v>
      </c>
      <c r="I641" s="2561" t="s">
        <v>5511</v>
      </c>
      <c r="J641" s="2561" t="s">
        <v>5512</v>
      </c>
      <c r="K641" s="2574">
        <v>959568.51</v>
      </c>
      <c r="L641" s="2504" t="s">
        <v>126</v>
      </c>
      <c r="M641" s="2575">
        <v>1</v>
      </c>
      <c r="N641" s="2594" t="s">
        <v>5513</v>
      </c>
      <c r="O641" s="2595">
        <v>0.15</v>
      </c>
      <c r="P641" s="2596">
        <f>K641*O641</f>
        <v>143935.2765</v>
      </c>
      <c r="Q641" s="2641">
        <v>143935.28</v>
      </c>
      <c r="R641" s="2504" t="s">
        <v>4603</v>
      </c>
      <c r="S641" s="2642">
        <v>45160</v>
      </c>
      <c r="T641" s="2643">
        <v>143935.28</v>
      </c>
      <c r="U641" s="2642">
        <v>45160</v>
      </c>
      <c r="V641" s="2643">
        <v>143935.28</v>
      </c>
      <c r="W641" s="2642">
        <v>45180</v>
      </c>
      <c r="X641" s="2641">
        <v>143935.28</v>
      </c>
      <c r="Y641" s="2642">
        <v>45214</v>
      </c>
      <c r="Z641" s="2641">
        <f t="shared" si="29"/>
        <v>0</v>
      </c>
      <c r="AA641" s="2730"/>
      <c r="AB641" s="2730"/>
      <c r="AC641" s="2742"/>
      <c r="AD641" s="2575"/>
      <c r="AE641" s="2575"/>
      <c r="AF641" s="2575"/>
      <c r="AG641" s="2575"/>
      <c r="AH641" s="2504" t="s">
        <v>5496</v>
      </c>
      <c r="AI641" s="2504" t="s">
        <v>154</v>
      </c>
    </row>
    <row r="642" s="6" customFormat="1" ht="92" spans="1:35">
      <c r="A642" s="2508"/>
      <c r="B642" s="2509"/>
      <c r="C642" s="2510"/>
      <c r="D642" s="2507"/>
      <c r="E642" s="2507"/>
      <c r="F642" s="2562"/>
      <c r="G642" s="2507"/>
      <c r="H642" s="2507"/>
      <c r="I642" s="2562"/>
      <c r="J642" s="2507"/>
      <c r="K642" s="2574"/>
      <c r="L642" s="2575"/>
      <c r="M642" s="2575">
        <v>2</v>
      </c>
      <c r="N642" s="2594" t="s">
        <v>5514</v>
      </c>
      <c r="O642" s="2595">
        <v>0.25</v>
      </c>
      <c r="P642" s="2596">
        <f>K641*O642</f>
        <v>239892.1275</v>
      </c>
      <c r="Q642" s="2641">
        <v>239892.13</v>
      </c>
      <c r="R642" s="2504" t="s">
        <v>4603</v>
      </c>
      <c r="S642" s="2642">
        <v>45160</v>
      </c>
      <c r="T642" s="2643">
        <v>239892.13</v>
      </c>
      <c r="U642" s="2642">
        <v>45160</v>
      </c>
      <c r="V642" s="2643">
        <v>239892.13</v>
      </c>
      <c r="W642" s="2642">
        <v>45180</v>
      </c>
      <c r="X642" s="2641">
        <v>239892.13</v>
      </c>
      <c r="Y642" s="2642">
        <v>45214</v>
      </c>
      <c r="Z642" s="2641">
        <f t="shared" si="29"/>
        <v>0</v>
      </c>
      <c r="AA642" s="2730"/>
      <c r="AB642" s="2730"/>
      <c r="AC642" s="2742"/>
      <c r="AD642" s="2575"/>
      <c r="AE642" s="2575"/>
      <c r="AF642" s="2575"/>
      <c r="AG642" s="2575"/>
      <c r="AH642" s="2575"/>
      <c r="AI642" s="2575"/>
    </row>
    <row r="643" s="6" customFormat="1" ht="92" spans="1:35">
      <c r="A643" s="2508"/>
      <c r="B643" s="2509"/>
      <c r="C643" s="2510"/>
      <c r="D643" s="2507"/>
      <c r="E643" s="2507"/>
      <c r="F643" s="2562"/>
      <c r="G643" s="2507"/>
      <c r="H643" s="2507"/>
      <c r="I643" s="2562"/>
      <c r="J643" s="2507"/>
      <c r="K643" s="2574"/>
      <c r="L643" s="2575"/>
      <c r="M643" s="2575">
        <v>3</v>
      </c>
      <c r="N643" s="2594" t="s">
        <v>5515</v>
      </c>
      <c r="O643" s="2595">
        <v>0.1</v>
      </c>
      <c r="P643" s="2596">
        <f>K641*O643</f>
        <v>95956.851</v>
      </c>
      <c r="Q643" s="2641">
        <v>95956.85</v>
      </c>
      <c r="R643" s="2504" t="s">
        <v>4603</v>
      </c>
      <c r="S643" s="2642">
        <v>45160</v>
      </c>
      <c r="T643" s="2643">
        <v>95956.85</v>
      </c>
      <c r="U643" s="2642">
        <v>45160</v>
      </c>
      <c r="V643" s="2643">
        <v>95956.85</v>
      </c>
      <c r="W643" s="2642">
        <v>45180</v>
      </c>
      <c r="X643" s="2641">
        <v>95956.85</v>
      </c>
      <c r="Y643" s="2642">
        <v>45214</v>
      </c>
      <c r="Z643" s="2641">
        <f t="shared" si="29"/>
        <v>0</v>
      </c>
      <c r="AA643" s="2730"/>
      <c r="AB643" s="2730"/>
      <c r="AC643" s="2742"/>
      <c r="AD643" s="2575"/>
      <c r="AE643" s="2575"/>
      <c r="AF643" s="2575"/>
      <c r="AG643" s="2575"/>
      <c r="AH643" s="2575"/>
      <c r="AI643" s="2575"/>
    </row>
    <row r="644" s="6" customFormat="1" ht="92" spans="1:35">
      <c r="A644" s="2508"/>
      <c r="B644" s="2509"/>
      <c r="C644" s="2510"/>
      <c r="D644" s="2507"/>
      <c r="E644" s="2507"/>
      <c r="F644" s="2562"/>
      <c r="G644" s="2507"/>
      <c r="H644" s="2507"/>
      <c r="I644" s="2562"/>
      <c r="J644" s="2507"/>
      <c r="K644" s="2574"/>
      <c r="L644" s="2575"/>
      <c r="M644" s="2575">
        <v>4</v>
      </c>
      <c r="N644" s="2594" t="s">
        <v>5516</v>
      </c>
      <c r="O644" s="2595">
        <v>0.3</v>
      </c>
      <c r="P644" s="2596">
        <f>K641*O644</f>
        <v>287870.553</v>
      </c>
      <c r="Q644" s="2641">
        <v>287870.55</v>
      </c>
      <c r="R644" s="2504" t="s">
        <v>4603</v>
      </c>
      <c r="S644" s="2642">
        <v>45160</v>
      </c>
      <c r="T644" s="2643">
        <v>287870.55</v>
      </c>
      <c r="U644" s="2642">
        <v>45160</v>
      </c>
      <c r="V644" s="2643">
        <v>287870.55</v>
      </c>
      <c r="W644" s="2642">
        <v>45180</v>
      </c>
      <c r="X644" s="2641">
        <v>287870.55</v>
      </c>
      <c r="Y644" s="2642">
        <v>45214</v>
      </c>
      <c r="Z644" s="2641">
        <f t="shared" si="29"/>
        <v>0</v>
      </c>
      <c r="AA644" s="2730"/>
      <c r="AB644" s="2730"/>
      <c r="AC644" s="2742"/>
      <c r="AD644" s="2575"/>
      <c r="AE644" s="2575"/>
      <c r="AF644" s="2575"/>
      <c r="AG644" s="2575"/>
      <c r="AH644" s="2575"/>
      <c r="AI644" s="2575"/>
    </row>
    <row r="645" s="6" customFormat="1" ht="76" spans="1:35">
      <c r="A645" s="2508"/>
      <c r="B645" s="2509"/>
      <c r="C645" s="2510"/>
      <c r="D645" s="2507"/>
      <c r="E645" s="2507"/>
      <c r="F645" s="2562"/>
      <c r="G645" s="2507"/>
      <c r="H645" s="2507"/>
      <c r="I645" s="2562"/>
      <c r="J645" s="2507"/>
      <c r="K645" s="2574"/>
      <c r="L645" s="2575"/>
      <c r="M645" s="2575">
        <v>5</v>
      </c>
      <c r="N645" s="2594" t="s">
        <v>5517</v>
      </c>
      <c r="O645" s="2595">
        <v>0.05</v>
      </c>
      <c r="P645" s="2596">
        <f>K641*O645</f>
        <v>47978.4255</v>
      </c>
      <c r="Q645" s="2644">
        <v>47978.4255</v>
      </c>
      <c r="R645" s="2645" t="s">
        <v>349</v>
      </c>
      <c r="S645" s="2646">
        <v>46021</v>
      </c>
      <c r="T645" s="2647"/>
      <c r="U645" s="2642"/>
      <c r="V645" s="2705"/>
      <c r="W645" s="2642"/>
      <c r="X645" s="2644">
        <v>47978.4255</v>
      </c>
      <c r="Y645" s="2646">
        <v>46021</v>
      </c>
      <c r="Z645" s="2641">
        <f t="shared" si="29"/>
        <v>0</v>
      </c>
      <c r="AA645" s="2730"/>
      <c r="AB645" s="2730"/>
      <c r="AC645" s="2742"/>
      <c r="AD645" s="2575"/>
      <c r="AE645" s="2575"/>
      <c r="AF645" s="2575"/>
      <c r="AG645" s="2575"/>
      <c r="AH645" s="2575"/>
      <c r="AI645" s="2575"/>
    </row>
    <row r="646" s="6" customFormat="1" ht="76" spans="1:35">
      <c r="A646" s="2508"/>
      <c r="B646" s="2509"/>
      <c r="C646" s="2510"/>
      <c r="D646" s="2507"/>
      <c r="E646" s="2507"/>
      <c r="F646" s="2562"/>
      <c r="G646" s="2507"/>
      <c r="H646" s="2507"/>
      <c r="I646" s="2562"/>
      <c r="J646" s="2507"/>
      <c r="K646" s="2574"/>
      <c r="L646" s="2575"/>
      <c r="M646" s="2575">
        <v>6</v>
      </c>
      <c r="N646" s="2594" t="s">
        <v>3634</v>
      </c>
      <c r="O646" s="2595">
        <v>0.05</v>
      </c>
      <c r="P646" s="2596">
        <f>K641*O646</f>
        <v>47978.4255</v>
      </c>
      <c r="Q646" s="2644">
        <v>195015.6945</v>
      </c>
      <c r="R646" s="2645" t="s">
        <v>349</v>
      </c>
      <c r="S646" s="2646">
        <v>46021</v>
      </c>
      <c r="T646" s="2647"/>
      <c r="U646" s="2642"/>
      <c r="V646" s="2705"/>
      <c r="W646" s="2642"/>
      <c r="X646" s="2644">
        <v>47978.4255</v>
      </c>
      <c r="Y646" s="2646">
        <v>46021</v>
      </c>
      <c r="Z646" s="2641">
        <f t="shared" si="29"/>
        <v>147037.269</v>
      </c>
      <c r="AA646" s="2730"/>
      <c r="AB646" s="2730"/>
      <c r="AC646" s="2742"/>
      <c r="AD646" s="2575"/>
      <c r="AE646" s="2575"/>
      <c r="AF646" s="2575"/>
      <c r="AG646" s="2575"/>
      <c r="AH646" s="2575"/>
      <c r="AI646" s="2575"/>
    </row>
    <row r="647" s="6" customFormat="1" ht="92" spans="1:35">
      <c r="A647" s="2508"/>
      <c r="B647" s="2511"/>
      <c r="C647" s="2510"/>
      <c r="D647" s="2507"/>
      <c r="E647" s="2507"/>
      <c r="F647" s="2562"/>
      <c r="G647" s="2507"/>
      <c r="H647" s="2507"/>
      <c r="I647" s="2562"/>
      <c r="J647" s="2507"/>
      <c r="K647" s="2574"/>
      <c r="L647" s="2575"/>
      <c r="M647" s="2575">
        <v>7</v>
      </c>
      <c r="N647" s="2594" t="s">
        <v>3356</v>
      </c>
      <c r="O647" s="2595">
        <v>0.1</v>
      </c>
      <c r="P647" s="2596">
        <f>K641*O647</f>
        <v>95956.851</v>
      </c>
      <c r="Q647" s="2641"/>
      <c r="R647" s="2643"/>
      <c r="S647" s="2642"/>
      <c r="T647" s="2647"/>
      <c r="U647" s="2642"/>
      <c r="V647" s="2705"/>
      <c r="W647" s="2642"/>
      <c r="X647" s="2641"/>
      <c r="Y647" s="2642"/>
      <c r="Z647" s="2641">
        <f t="shared" si="29"/>
        <v>0</v>
      </c>
      <c r="AA647" s="2730"/>
      <c r="AB647" s="2730"/>
      <c r="AC647" s="2742"/>
      <c r="AD647" s="2575"/>
      <c r="AE647" s="2575"/>
      <c r="AF647" s="2575"/>
      <c r="AG647" s="2575"/>
      <c r="AH647" s="2575"/>
      <c r="AI647" s="2575"/>
    </row>
    <row r="648" s="19" customFormat="1" ht="92" spans="1:35">
      <c r="A648" s="1795" t="s">
        <v>1951</v>
      </c>
      <c r="B648" s="2512">
        <v>45168</v>
      </c>
      <c r="C648" s="1795" t="s">
        <v>5489</v>
      </c>
      <c r="D648" s="2513"/>
      <c r="E648" s="1795" t="s">
        <v>5518</v>
      </c>
      <c r="F648" s="1795" t="s">
        <v>5519</v>
      </c>
      <c r="G648" s="1795" t="s">
        <v>193</v>
      </c>
      <c r="H648" s="1795" t="s">
        <v>5520</v>
      </c>
      <c r="I648" s="1795" t="s">
        <v>5521</v>
      </c>
      <c r="J648" s="1795" t="s">
        <v>5522</v>
      </c>
      <c r="K648" s="2576">
        <v>130912.78</v>
      </c>
      <c r="L648" s="1793" t="s">
        <v>32</v>
      </c>
      <c r="M648" s="1795">
        <v>1</v>
      </c>
      <c r="N648" s="2597" t="s">
        <v>5523</v>
      </c>
      <c r="O648" s="2598">
        <v>0.4</v>
      </c>
      <c r="P648" s="2599">
        <f>K648*O648</f>
        <v>52365.112</v>
      </c>
      <c r="Q648" s="1908">
        <v>52365.11</v>
      </c>
      <c r="R648" s="1793" t="s">
        <v>4603</v>
      </c>
      <c r="S648" s="2648">
        <v>45266</v>
      </c>
      <c r="T648" s="2649">
        <v>52365.11</v>
      </c>
      <c r="U648" s="2648">
        <v>45266</v>
      </c>
      <c r="V648" s="2706">
        <v>52365.11</v>
      </c>
      <c r="W648" s="2648">
        <v>45295</v>
      </c>
      <c r="X648" s="1908">
        <v>52365.11</v>
      </c>
      <c r="Y648" s="2648">
        <v>45310</v>
      </c>
      <c r="Z648" s="1908">
        <f t="shared" si="29"/>
        <v>0</v>
      </c>
      <c r="AA648" s="2731"/>
      <c r="AB648" s="2731"/>
      <c r="AC648" s="2743"/>
      <c r="AD648" s="38"/>
      <c r="AE648" s="38"/>
      <c r="AF648" s="38"/>
      <c r="AG648" s="38"/>
      <c r="AH648" s="38"/>
      <c r="AI648" s="38"/>
    </row>
    <row r="649" s="19" customFormat="1" ht="66.75" customHeight="1" spans="1:35">
      <c r="A649" s="2513"/>
      <c r="B649" s="2514"/>
      <c r="C649" s="2513"/>
      <c r="D649" s="2513"/>
      <c r="E649" s="2513"/>
      <c r="F649" s="2513"/>
      <c r="G649" s="2513"/>
      <c r="H649" s="2513"/>
      <c r="I649" s="2513"/>
      <c r="J649" s="2513"/>
      <c r="K649" s="2576"/>
      <c r="L649" s="2577"/>
      <c r="M649" s="2600">
        <v>2</v>
      </c>
      <c r="N649" s="1976" t="s">
        <v>5524</v>
      </c>
      <c r="O649" s="2601">
        <v>0.55</v>
      </c>
      <c r="P649" s="2602">
        <f>K648*O649</f>
        <v>72002.029</v>
      </c>
      <c r="Q649" s="1903">
        <v>72002.03</v>
      </c>
      <c r="R649" s="2650" t="s">
        <v>4603</v>
      </c>
      <c r="S649" s="2651">
        <v>45266</v>
      </c>
      <c r="T649" s="2652">
        <v>72002.03</v>
      </c>
      <c r="U649" s="2651">
        <v>45266</v>
      </c>
      <c r="V649" s="2707">
        <v>72002.03</v>
      </c>
      <c r="W649" s="2651">
        <v>45363</v>
      </c>
      <c r="X649" s="1908">
        <v>52365.11</v>
      </c>
      <c r="Y649" s="2648">
        <v>45410</v>
      </c>
      <c r="Z649" s="1908">
        <f t="shared" si="29"/>
        <v>19636.92</v>
      </c>
      <c r="AA649" s="2731"/>
      <c r="AB649" s="2731"/>
      <c r="AC649" s="2743"/>
      <c r="AD649" s="38"/>
      <c r="AE649" s="38"/>
      <c r="AF649" s="38"/>
      <c r="AG649" s="38"/>
      <c r="AH649" s="38"/>
      <c r="AI649" s="38"/>
    </row>
    <row r="650" s="19" customFormat="1" ht="51" customHeight="1" spans="1:35">
      <c r="A650" s="2513"/>
      <c r="B650" s="2514"/>
      <c r="C650" s="2513"/>
      <c r="D650" s="2513"/>
      <c r="E650" s="2513"/>
      <c r="F650" s="2513"/>
      <c r="G650" s="2513"/>
      <c r="H650" s="2513"/>
      <c r="I650" s="2513"/>
      <c r="J650" s="2513"/>
      <c r="K650" s="2576"/>
      <c r="L650" s="2577"/>
      <c r="M650" s="2603"/>
      <c r="N650" s="2604"/>
      <c r="O650" s="2605"/>
      <c r="P650" s="2606"/>
      <c r="Q650" s="1907"/>
      <c r="R650" s="2653"/>
      <c r="S650" s="2654"/>
      <c r="T650" s="2655"/>
      <c r="U650" s="2654"/>
      <c r="V650" s="2708"/>
      <c r="W650" s="2654"/>
      <c r="X650" s="1908">
        <v>19636.92</v>
      </c>
      <c r="Y650" s="2648">
        <v>45470</v>
      </c>
      <c r="Z650" s="1908">
        <f t="shared" si="29"/>
        <v>-19636.92</v>
      </c>
      <c r="AA650" s="2731"/>
      <c r="AB650" s="2731"/>
      <c r="AC650" s="2743"/>
      <c r="AD650" s="38"/>
      <c r="AE650" s="38"/>
      <c r="AF650" s="38"/>
      <c r="AG650" s="38"/>
      <c r="AH650" s="38"/>
      <c r="AI650" s="38"/>
    </row>
    <row r="651" s="19" customFormat="1" ht="92" spans="1:35">
      <c r="A651" s="2513"/>
      <c r="B651" s="2515"/>
      <c r="C651" s="2513"/>
      <c r="D651" s="2513"/>
      <c r="E651" s="2513"/>
      <c r="F651" s="2513"/>
      <c r="G651" s="2513"/>
      <c r="H651" s="2513"/>
      <c r="I651" s="2513"/>
      <c r="J651" s="2513"/>
      <c r="K651" s="2576"/>
      <c r="L651" s="2577"/>
      <c r="M651" s="1793">
        <v>3</v>
      </c>
      <c r="N651" s="2597" t="s">
        <v>5525</v>
      </c>
      <c r="O651" s="2598">
        <v>0.05</v>
      </c>
      <c r="P651" s="2599">
        <f>K648*O651</f>
        <v>6545.639</v>
      </c>
      <c r="Q651" s="2656">
        <v>6545.64</v>
      </c>
      <c r="R651" s="2657" t="s">
        <v>349</v>
      </c>
      <c r="S651" s="2658">
        <v>46021</v>
      </c>
      <c r="T651" s="2649"/>
      <c r="U651" s="2648"/>
      <c r="V651" s="2706"/>
      <c r="W651" s="2648"/>
      <c r="X651" s="2656">
        <v>6545.64</v>
      </c>
      <c r="Y651" s="2658">
        <v>46021</v>
      </c>
      <c r="Z651" s="1908">
        <f t="shared" si="29"/>
        <v>0</v>
      </c>
      <c r="AA651" s="2731"/>
      <c r="AB651" s="2731"/>
      <c r="AC651" s="2743"/>
      <c r="AD651" s="38"/>
      <c r="AE651" s="38"/>
      <c r="AF651" s="38"/>
      <c r="AG651" s="38"/>
      <c r="AH651" s="38"/>
      <c r="AI651" s="38"/>
    </row>
    <row r="652" s="6" customFormat="1" ht="107" spans="1:35">
      <c r="A652" s="2516" t="s">
        <v>1951</v>
      </c>
      <c r="B652" s="2517">
        <v>45176</v>
      </c>
      <c r="C652" s="2516" t="s">
        <v>5489</v>
      </c>
      <c r="D652" s="2516"/>
      <c r="E652" s="2516" t="s">
        <v>5526</v>
      </c>
      <c r="F652" s="2516" t="s">
        <v>5527</v>
      </c>
      <c r="G652" s="2516" t="s">
        <v>4338</v>
      </c>
      <c r="H652" s="2516" t="s">
        <v>5294</v>
      </c>
      <c r="I652" s="2516"/>
      <c r="J652" s="2516" t="s">
        <v>997</v>
      </c>
      <c r="K652" s="2578">
        <v>169589</v>
      </c>
      <c r="L652" s="2516" t="s">
        <v>126</v>
      </c>
      <c r="M652" s="2516">
        <v>1</v>
      </c>
      <c r="N652" s="2607" t="s">
        <v>5528</v>
      </c>
      <c r="O652" s="2608">
        <v>0.3</v>
      </c>
      <c r="P652" s="2609">
        <f>K652*O652</f>
        <v>50876.7</v>
      </c>
      <c r="Q652" s="2659">
        <v>50876.7</v>
      </c>
      <c r="R652" s="2610" t="s">
        <v>4603</v>
      </c>
      <c r="S652" s="2660">
        <v>45262</v>
      </c>
      <c r="T652" s="2659">
        <v>50876.7</v>
      </c>
      <c r="U652" s="2660">
        <v>45258</v>
      </c>
      <c r="V652" s="2709">
        <v>50876.7</v>
      </c>
      <c r="W652" s="2710">
        <v>45240</v>
      </c>
      <c r="X652" s="2659">
        <v>50876.7</v>
      </c>
      <c r="Y652" s="2710">
        <v>45285</v>
      </c>
      <c r="Z652" s="2659">
        <f t="shared" si="29"/>
        <v>0</v>
      </c>
      <c r="AA652" s="2732"/>
      <c r="AB652" s="2732"/>
      <c r="AC652" s="2744"/>
      <c r="AD652" s="2745"/>
      <c r="AE652" s="2745"/>
      <c r="AF652" s="2745"/>
      <c r="AG652" s="2745"/>
      <c r="AH652" s="2610" t="s">
        <v>197</v>
      </c>
      <c r="AI652" s="2610" t="s">
        <v>154</v>
      </c>
    </row>
    <row r="653" s="6" customFormat="1" ht="107" spans="1:35">
      <c r="A653" s="2516"/>
      <c r="B653" s="2518"/>
      <c r="C653" s="2516"/>
      <c r="D653" s="2516"/>
      <c r="E653" s="2516"/>
      <c r="F653" s="2516"/>
      <c r="G653" s="2516"/>
      <c r="H653" s="2516"/>
      <c r="I653" s="2516"/>
      <c r="J653" s="2516"/>
      <c r="K653" s="2578"/>
      <c r="L653" s="2516"/>
      <c r="M653" s="2610">
        <v>2</v>
      </c>
      <c r="N653" s="2607" t="s">
        <v>5529</v>
      </c>
      <c r="O653" s="2608">
        <v>0.6</v>
      </c>
      <c r="P653" s="2609">
        <f>K652*O653</f>
        <v>101753.4</v>
      </c>
      <c r="Q653" s="2659">
        <v>101753.4</v>
      </c>
      <c r="R653" s="2610" t="s">
        <v>4603</v>
      </c>
      <c r="S653" s="2660">
        <v>45266</v>
      </c>
      <c r="T653" s="2661">
        <v>101753.4</v>
      </c>
      <c r="U653" s="2710">
        <v>45266</v>
      </c>
      <c r="V653" s="2661">
        <v>101753.4</v>
      </c>
      <c r="W653" s="2710">
        <v>45278</v>
      </c>
      <c r="X653" s="2659">
        <v>101753.4</v>
      </c>
      <c r="Y653" s="2710">
        <v>45380</v>
      </c>
      <c r="Z653" s="2659">
        <f t="shared" si="29"/>
        <v>0</v>
      </c>
      <c r="AA653" s="2732"/>
      <c r="AB653" s="2732"/>
      <c r="AC653" s="2744"/>
      <c r="AD653" s="2745"/>
      <c r="AE653" s="2745"/>
      <c r="AF653" s="2745"/>
      <c r="AG653" s="2745"/>
      <c r="AH653" s="2745"/>
      <c r="AI653" s="2745"/>
    </row>
    <row r="654" s="6" customFormat="1" ht="107" spans="1:35">
      <c r="A654" s="2516"/>
      <c r="B654" s="2519"/>
      <c r="C654" s="2516"/>
      <c r="D654" s="2516"/>
      <c r="E654" s="2516"/>
      <c r="F654" s="2516"/>
      <c r="G654" s="2516"/>
      <c r="H654" s="2516"/>
      <c r="I654" s="2516"/>
      <c r="J654" s="2516"/>
      <c r="K654" s="2578"/>
      <c r="L654" s="2516"/>
      <c r="M654" s="2610">
        <v>3</v>
      </c>
      <c r="N654" s="2607" t="s">
        <v>5530</v>
      </c>
      <c r="O654" s="2608">
        <v>0.1</v>
      </c>
      <c r="P654" s="2609">
        <f>K652*O654</f>
        <v>16958.9</v>
      </c>
      <c r="Q654" s="2662">
        <v>16958.9</v>
      </c>
      <c r="R654" s="2663" t="s">
        <v>349</v>
      </c>
      <c r="S654" s="2664">
        <v>46021</v>
      </c>
      <c r="T654" s="2661"/>
      <c r="U654" s="2710"/>
      <c r="V654" s="2709"/>
      <c r="W654" s="2710"/>
      <c r="X654" s="2662">
        <v>16958.9</v>
      </c>
      <c r="Y654" s="2664">
        <v>46021</v>
      </c>
      <c r="Z654" s="2659">
        <f t="shared" si="29"/>
        <v>0</v>
      </c>
      <c r="AA654" s="2732"/>
      <c r="AB654" s="2732"/>
      <c r="AC654" s="2744"/>
      <c r="AD654" s="2745"/>
      <c r="AE654" s="2745"/>
      <c r="AF654" s="2745"/>
      <c r="AG654" s="2745"/>
      <c r="AH654" s="2745"/>
      <c r="AI654" s="2745"/>
    </row>
    <row r="655" s="6" customFormat="1" ht="45" customHeight="1" spans="1:35">
      <c r="A655" s="2520" t="s">
        <v>1951</v>
      </c>
      <c r="B655" s="2521">
        <v>45188</v>
      </c>
      <c r="C655" s="2285" t="s">
        <v>5489</v>
      </c>
      <c r="D655" s="2522"/>
      <c r="E655" s="1381" t="s">
        <v>5531</v>
      </c>
      <c r="F655" s="1381" t="s">
        <v>5532</v>
      </c>
      <c r="G655" s="2520" t="s">
        <v>5533</v>
      </c>
      <c r="H655" s="1381" t="s">
        <v>5534</v>
      </c>
      <c r="I655" s="2563"/>
      <c r="J655" s="1381" t="s">
        <v>997</v>
      </c>
      <c r="K655" s="2579">
        <v>288000</v>
      </c>
      <c r="L655" s="2520" t="s">
        <v>126</v>
      </c>
      <c r="M655" s="2564">
        <v>1</v>
      </c>
      <c r="N655" s="2611" t="s">
        <v>5535</v>
      </c>
      <c r="O655" s="2612">
        <v>0.2</v>
      </c>
      <c r="P655" s="2613">
        <f>K655*O655</f>
        <v>57600</v>
      </c>
      <c r="Q655" s="2665">
        <v>57600</v>
      </c>
      <c r="R655" s="2520" t="s">
        <v>4603</v>
      </c>
      <c r="S655" s="2666">
        <v>45208</v>
      </c>
      <c r="T655" s="2665">
        <v>57600</v>
      </c>
      <c r="U655" s="2666">
        <v>45208</v>
      </c>
      <c r="V655" s="2711">
        <v>57600</v>
      </c>
      <c r="W655" s="2666">
        <v>45206</v>
      </c>
      <c r="X655" s="2665">
        <v>57600</v>
      </c>
      <c r="Y655" s="2666">
        <v>45219</v>
      </c>
      <c r="Z655" s="2665">
        <f t="shared" si="29"/>
        <v>0</v>
      </c>
      <c r="AA655" s="2733"/>
      <c r="AB655" s="2733"/>
      <c r="AC655" s="2746"/>
      <c r="AD655" s="2564"/>
      <c r="AE655" s="2564"/>
      <c r="AF655" s="2564"/>
      <c r="AG655" s="2564"/>
      <c r="AH655" s="2520" t="s">
        <v>197</v>
      </c>
      <c r="AI655" s="2520" t="s">
        <v>154</v>
      </c>
    </row>
    <row r="656" s="6" customFormat="1" ht="45" customHeight="1" spans="1:35">
      <c r="A656" s="2523"/>
      <c r="B656" s="2524"/>
      <c r="C656" s="2525"/>
      <c r="D656" s="2522"/>
      <c r="E656" s="2522"/>
      <c r="F656" s="2563"/>
      <c r="G656" s="2564"/>
      <c r="H656" s="2522"/>
      <c r="I656" s="2563"/>
      <c r="J656" s="2522"/>
      <c r="K656" s="2579"/>
      <c r="L656" s="2564"/>
      <c r="M656" s="2564">
        <v>2</v>
      </c>
      <c r="N656" s="2611" t="s">
        <v>5536</v>
      </c>
      <c r="O656" s="2612">
        <v>0.6</v>
      </c>
      <c r="P656" s="2613">
        <f>K655*O656</f>
        <v>172800</v>
      </c>
      <c r="Q656" s="2665">
        <v>172800</v>
      </c>
      <c r="R656" s="2520" t="s">
        <v>4603</v>
      </c>
      <c r="S656" s="2666">
        <v>45266</v>
      </c>
      <c r="T656" s="2667">
        <v>172800</v>
      </c>
      <c r="U656" s="2666">
        <v>45266</v>
      </c>
      <c r="V656" s="2667">
        <v>172800</v>
      </c>
      <c r="W656" s="2666">
        <v>45295</v>
      </c>
      <c r="X656" s="2665">
        <v>172800</v>
      </c>
      <c r="Y656" s="2666">
        <v>45380</v>
      </c>
      <c r="Z656" s="2665">
        <f t="shared" si="29"/>
        <v>0</v>
      </c>
      <c r="AA656" s="2733"/>
      <c r="AB656" s="2733"/>
      <c r="AC656" s="2746"/>
      <c r="AD656" s="2564"/>
      <c r="AE656" s="2564"/>
      <c r="AF656" s="2564"/>
      <c r="AG656" s="2564"/>
      <c r="AH656" s="2564"/>
      <c r="AI656" s="2564"/>
    </row>
    <row r="657" s="6" customFormat="1" ht="45" customHeight="1" spans="1:35">
      <c r="A657" s="2523"/>
      <c r="B657" s="2526"/>
      <c r="C657" s="2525"/>
      <c r="D657" s="2522"/>
      <c r="E657" s="2522"/>
      <c r="F657" s="2563"/>
      <c r="G657" s="2564"/>
      <c r="H657" s="2522"/>
      <c r="I657" s="2563"/>
      <c r="J657" s="2522"/>
      <c r="K657" s="2579"/>
      <c r="L657" s="2564"/>
      <c r="M657" s="2564">
        <v>3</v>
      </c>
      <c r="N657" s="2611" t="s">
        <v>5537</v>
      </c>
      <c r="O657" s="2612">
        <v>0.2</v>
      </c>
      <c r="P657" s="2613">
        <f>K655*O657</f>
        <v>57600</v>
      </c>
      <c r="Q657" s="2665">
        <v>57600</v>
      </c>
      <c r="R657" s="2520" t="s">
        <v>4603</v>
      </c>
      <c r="S657" s="2668">
        <v>45975</v>
      </c>
      <c r="T657" s="2667">
        <v>57600</v>
      </c>
      <c r="U657" s="2668">
        <v>45975</v>
      </c>
      <c r="V657" s="2711">
        <v>57600</v>
      </c>
      <c r="W657" s="2668">
        <v>45974</v>
      </c>
      <c r="X657" s="2665">
        <v>57600</v>
      </c>
      <c r="Y657" s="2666">
        <v>45989</v>
      </c>
      <c r="Z657" s="2665">
        <f t="shared" si="29"/>
        <v>0</v>
      </c>
      <c r="AA657" s="2733"/>
      <c r="AB657" s="2733"/>
      <c r="AC657" s="2746"/>
      <c r="AD657" s="2564"/>
      <c r="AE657" s="2564"/>
      <c r="AF657" s="2564"/>
      <c r="AG657" s="2564"/>
      <c r="AH657" s="2564"/>
      <c r="AI657" s="2564"/>
    </row>
    <row r="658" s="6" customFormat="1" ht="92" spans="1:35">
      <c r="A658" s="2527" t="s">
        <v>1951</v>
      </c>
      <c r="B658" s="2528">
        <v>45206</v>
      </c>
      <c r="C658" s="2529" t="s">
        <v>5489</v>
      </c>
      <c r="D658" s="2530"/>
      <c r="E658" s="2565" t="s">
        <v>5538</v>
      </c>
      <c r="F658" s="2565" t="s">
        <v>5539</v>
      </c>
      <c r="G658" s="2527" t="s">
        <v>5540</v>
      </c>
      <c r="H658" s="2565" t="s">
        <v>4626</v>
      </c>
      <c r="I658" s="2580">
        <v>56726</v>
      </c>
      <c r="J658" s="2565" t="s">
        <v>5541</v>
      </c>
      <c r="K658" s="2581">
        <v>374391.6</v>
      </c>
      <c r="L658" s="2527" t="s">
        <v>126</v>
      </c>
      <c r="M658" s="2614">
        <v>1</v>
      </c>
      <c r="N658" s="2615" t="s">
        <v>5542</v>
      </c>
      <c r="O658" s="2616">
        <v>0.2</v>
      </c>
      <c r="P658" s="2617">
        <f>K658*O658</f>
        <v>74878.32</v>
      </c>
      <c r="Q658" s="2669">
        <v>74878.32</v>
      </c>
      <c r="R658" s="2558" t="s">
        <v>4603</v>
      </c>
      <c r="S658" s="2670">
        <v>45262</v>
      </c>
      <c r="T658" s="2671">
        <v>74878.32</v>
      </c>
      <c r="U658" s="2670">
        <v>45258</v>
      </c>
      <c r="V658" s="2712">
        <v>74878.32</v>
      </c>
      <c r="W658" s="2670">
        <v>45398</v>
      </c>
      <c r="X658" s="2703">
        <v>74878.32</v>
      </c>
      <c r="Y658" s="2670">
        <v>45410</v>
      </c>
      <c r="Z658" s="2669"/>
      <c r="AA658" s="2734"/>
      <c r="AB658" s="2734"/>
      <c r="AC658" s="2747"/>
      <c r="AD658" s="2614"/>
      <c r="AE658" s="2614"/>
      <c r="AF658" s="2614"/>
      <c r="AG658" s="2614"/>
      <c r="AH658" s="2527" t="s">
        <v>197</v>
      </c>
      <c r="AI658" s="2527" t="s">
        <v>154</v>
      </c>
    </row>
    <row r="659" s="6" customFormat="1" ht="92" spans="1:35">
      <c r="A659" s="2531"/>
      <c r="B659" s="2532"/>
      <c r="C659" s="2533"/>
      <c r="D659" s="2534"/>
      <c r="E659" s="2534"/>
      <c r="F659" s="2566"/>
      <c r="G659" s="2567"/>
      <c r="H659" s="2534"/>
      <c r="I659" s="2566"/>
      <c r="J659" s="2534"/>
      <c r="K659" s="2582"/>
      <c r="L659" s="2567"/>
      <c r="M659" s="2614">
        <v>2</v>
      </c>
      <c r="N659" s="2615" t="s">
        <v>5543</v>
      </c>
      <c r="O659" s="2616">
        <v>0.3</v>
      </c>
      <c r="P659" s="2617">
        <f>K658*O659</f>
        <v>112317.48</v>
      </c>
      <c r="Q659" s="2669">
        <v>112317.48</v>
      </c>
      <c r="R659" s="2558" t="s">
        <v>4603</v>
      </c>
      <c r="S659" s="2670">
        <v>45262</v>
      </c>
      <c r="T659" s="2671">
        <v>112317.48</v>
      </c>
      <c r="U659" s="2670">
        <v>45258</v>
      </c>
      <c r="V659" s="2712">
        <v>112317.48</v>
      </c>
      <c r="W659" s="2670">
        <v>45398</v>
      </c>
      <c r="X659" s="2703">
        <v>112317.48</v>
      </c>
      <c r="Y659" s="2670">
        <v>45410</v>
      </c>
      <c r="Z659" s="2669"/>
      <c r="AA659" s="2734"/>
      <c r="AB659" s="2734"/>
      <c r="AC659" s="2747"/>
      <c r="AD659" s="2614"/>
      <c r="AE659" s="2614"/>
      <c r="AF659" s="2614"/>
      <c r="AG659" s="2614"/>
      <c r="AH659" s="2567"/>
      <c r="AI659" s="2567"/>
    </row>
    <row r="660" s="6" customFormat="1" ht="92" spans="1:35">
      <c r="A660" s="2531"/>
      <c r="B660" s="2532"/>
      <c r="C660" s="2533"/>
      <c r="D660" s="2534"/>
      <c r="E660" s="2534"/>
      <c r="F660" s="2566"/>
      <c r="G660" s="2567"/>
      <c r="H660" s="2534"/>
      <c r="I660" s="2566"/>
      <c r="J660" s="2534"/>
      <c r="K660" s="2582"/>
      <c r="L660" s="2567"/>
      <c r="M660" s="2614">
        <v>3</v>
      </c>
      <c r="N660" s="2615" t="s">
        <v>5544</v>
      </c>
      <c r="O660" s="2616">
        <v>0.2</v>
      </c>
      <c r="P660" s="2617">
        <f>K658*O660</f>
        <v>74878.32</v>
      </c>
      <c r="Q660" s="2669">
        <v>74878.32</v>
      </c>
      <c r="R660" s="2558" t="s">
        <v>4603</v>
      </c>
      <c r="S660" s="2670">
        <v>45262</v>
      </c>
      <c r="T660" s="2671">
        <v>74878.32</v>
      </c>
      <c r="U660" s="2670">
        <v>45258</v>
      </c>
      <c r="V660" s="2712">
        <v>74878.32</v>
      </c>
      <c r="W660" s="2670">
        <v>45398</v>
      </c>
      <c r="X660" s="2703">
        <v>74878.32</v>
      </c>
      <c r="Y660" s="2670">
        <v>45410</v>
      </c>
      <c r="Z660" s="2669"/>
      <c r="AA660" s="2734"/>
      <c r="AB660" s="2734"/>
      <c r="AC660" s="2747"/>
      <c r="AD660" s="2614"/>
      <c r="AE660" s="2614"/>
      <c r="AF660" s="2614"/>
      <c r="AG660" s="2614"/>
      <c r="AH660" s="2567"/>
      <c r="AI660" s="2567"/>
    </row>
    <row r="661" s="6" customFormat="1" ht="107" spans="1:35">
      <c r="A661" s="2531"/>
      <c r="B661" s="2532"/>
      <c r="C661" s="2533"/>
      <c r="D661" s="2534"/>
      <c r="E661" s="2534"/>
      <c r="F661" s="2566"/>
      <c r="G661" s="2567"/>
      <c r="H661" s="2534"/>
      <c r="I661" s="2566"/>
      <c r="J661" s="2534"/>
      <c r="K661" s="2582"/>
      <c r="L661" s="2567"/>
      <c r="M661" s="2614">
        <v>4</v>
      </c>
      <c r="N661" s="2615" t="s">
        <v>5545</v>
      </c>
      <c r="O661" s="2616">
        <v>0.2</v>
      </c>
      <c r="P661" s="2617">
        <f>K658*O661</f>
        <v>74878.32</v>
      </c>
      <c r="Q661" s="2669">
        <v>74878.32</v>
      </c>
      <c r="R661" s="2558" t="s">
        <v>4603</v>
      </c>
      <c r="S661" s="2670">
        <v>45262</v>
      </c>
      <c r="T661" s="2671">
        <v>74878.32</v>
      </c>
      <c r="U661" s="2670">
        <v>45258</v>
      </c>
      <c r="V661" s="2712">
        <v>74878.32</v>
      </c>
      <c r="W661" s="2670">
        <v>45398</v>
      </c>
      <c r="X661" s="2703">
        <v>74878.32</v>
      </c>
      <c r="Y661" s="2670">
        <v>45410</v>
      </c>
      <c r="Z661" s="2669"/>
      <c r="AA661" s="2734"/>
      <c r="AB661" s="2734"/>
      <c r="AC661" s="2747"/>
      <c r="AD661" s="2614"/>
      <c r="AE661" s="2614"/>
      <c r="AF661" s="2614"/>
      <c r="AG661" s="2614"/>
      <c r="AH661" s="2567"/>
      <c r="AI661" s="2567"/>
    </row>
    <row r="662" s="6" customFormat="1" ht="76" spans="1:35">
      <c r="A662" s="2535"/>
      <c r="B662" s="2536"/>
      <c r="C662" s="2537"/>
      <c r="D662" s="2538"/>
      <c r="E662" s="2538"/>
      <c r="F662" s="2568"/>
      <c r="G662" s="2569"/>
      <c r="H662" s="2538"/>
      <c r="I662" s="2568"/>
      <c r="J662" s="2538"/>
      <c r="K662" s="2583"/>
      <c r="L662" s="2569"/>
      <c r="M662" s="2614">
        <v>5</v>
      </c>
      <c r="N662" s="2615" t="s">
        <v>5546</v>
      </c>
      <c r="O662" s="2616">
        <v>0.1</v>
      </c>
      <c r="P662" s="2617">
        <f>K658*O662</f>
        <v>37439.16</v>
      </c>
      <c r="Q662" s="2672">
        <v>37439.16</v>
      </c>
      <c r="R662" s="2673" t="s">
        <v>349</v>
      </c>
      <c r="S662" s="2674">
        <v>46021</v>
      </c>
      <c r="T662" s="2675"/>
      <c r="U662" s="2670"/>
      <c r="V662" s="2712"/>
      <c r="W662" s="2670"/>
      <c r="X662" s="2672">
        <v>37439.16</v>
      </c>
      <c r="Y662" s="2674">
        <v>46021</v>
      </c>
      <c r="Z662" s="2669"/>
      <c r="AA662" s="2734"/>
      <c r="AB662" s="2734"/>
      <c r="AC662" s="2747"/>
      <c r="AD662" s="2614"/>
      <c r="AE662" s="2614"/>
      <c r="AF662" s="2614"/>
      <c r="AG662" s="2614"/>
      <c r="AH662" s="2569"/>
      <c r="AI662" s="2569"/>
    </row>
    <row r="663" s="6" customFormat="1" ht="33.75" customHeight="1" spans="1:35">
      <c r="A663" s="655" t="s">
        <v>1951</v>
      </c>
      <c r="B663" s="648">
        <v>44211</v>
      </c>
      <c r="C663" s="2286" t="s">
        <v>5483</v>
      </c>
      <c r="D663" s="1096" t="s">
        <v>171</v>
      </c>
      <c r="E663" s="1096" t="s">
        <v>5547</v>
      </c>
      <c r="F663" s="712" t="s">
        <v>5548</v>
      </c>
      <c r="G663" s="34" t="s">
        <v>658</v>
      </c>
      <c r="H663" s="2308" t="s">
        <v>5485</v>
      </c>
      <c r="I663" s="712">
        <v>115868.85</v>
      </c>
      <c r="J663" s="2308" t="s">
        <v>2887</v>
      </c>
      <c r="K663" s="2333">
        <v>350000</v>
      </c>
      <c r="L663" s="34" t="s">
        <v>27</v>
      </c>
      <c r="M663" s="34">
        <v>1</v>
      </c>
      <c r="N663" s="2618" t="s">
        <v>316</v>
      </c>
      <c r="O663" s="2619">
        <v>0.9</v>
      </c>
      <c r="P663" s="2620">
        <f>K663*O663</f>
        <v>315000</v>
      </c>
      <c r="Q663" s="2676">
        <v>315000</v>
      </c>
      <c r="R663" s="2677" t="s">
        <v>206</v>
      </c>
      <c r="S663" s="896">
        <v>44174</v>
      </c>
      <c r="T663" s="2678">
        <v>315000</v>
      </c>
      <c r="U663" s="896">
        <v>44174</v>
      </c>
      <c r="V663" s="857">
        <v>315000</v>
      </c>
      <c r="W663" s="896">
        <v>44214</v>
      </c>
      <c r="X663" s="2676">
        <v>315000</v>
      </c>
      <c r="Y663" s="896">
        <v>44279</v>
      </c>
      <c r="Z663" s="2676">
        <f t="shared" ref="Z663:Z726" si="30">Q663-X663</f>
        <v>0</v>
      </c>
      <c r="AA663" s="30"/>
      <c r="AB663" s="30"/>
      <c r="AC663" s="2748"/>
      <c r="AD663" s="34">
        <f>SUM(Q663:Q664)</f>
        <v>350000</v>
      </c>
      <c r="AE663" s="34">
        <f>SUM(V663:V664)</f>
        <v>315000</v>
      </c>
      <c r="AF663" s="34">
        <f>SUM(X663:X664)</f>
        <v>315000</v>
      </c>
      <c r="AG663" s="34">
        <f>K663-AD663</f>
        <v>0</v>
      </c>
      <c r="AH663" s="34">
        <f>AD663-AE663</f>
        <v>35000</v>
      </c>
      <c r="AI663" s="34">
        <f>AE663-AF663</f>
        <v>0</v>
      </c>
    </row>
    <row r="664" s="6" customFormat="1" ht="31" spans="1:35">
      <c r="A664" s="655"/>
      <c r="B664" s="2539"/>
      <c r="C664" s="2286"/>
      <c r="D664" s="1096"/>
      <c r="E664" s="1096"/>
      <c r="F664" s="712"/>
      <c r="G664" s="34"/>
      <c r="H664" s="2308"/>
      <c r="I664" s="712"/>
      <c r="J664" s="2308"/>
      <c r="K664" s="2333"/>
      <c r="L664" s="34"/>
      <c r="M664" s="34">
        <v>2</v>
      </c>
      <c r="N664" s="2618" t="s">
        <v>317</v>
      </c>
      <c r="O664" s="2619">
        <v>0.1</v>
      </c>
      <c r="P664" s="2620">
        <f>K663*O664</f>
        <v>35000</v>
      </c>
      <c r="Q664" s="2679">
        <v>35000</v>
      </c>
      <c r="R664" s="2414"/>
      <c r="S664" s="2415"/>
      <c r="T664" s="2680"/>
      <c r="U664" s="896"/>
      <c r="V664" s="2713"/>
      <c r="W664" s="2714"/>
      <c r="X664" s="2676">
        <f>SUM(AV664:BF664)</f>
        <v>0</v>
      </c>
      <c r="Y664" s="2461"/>
      <c r="Z664" s="2676">
        <f t="shared" si="30"/>
        <v>35000</v>
      </c>
      <c r="AA664" s="30"/>
      <c r="AB664" s="30"/>
      <c r="AC664" s="2748"/>
      <c r="AD664" s="34"/>
      <c r="AE664" s="34"/>
      <c r="AF664" s="34"/>
      <c r="AG664" s="34"/>
      <c r="AH664" s="34"/>
      <c r="AI664" s="34"/>
    </row>
    <row r="665" s="6" customFormat="1" ht="61" spans="1:35">
      <c r="A665" s="798" t="s">
        <v>1951</v>
      </c>
      <c r="B665" s="2540">
        <v>45247</v>
      </c>
      <c r="C665" s="1261" t="s">
        <v>5549</v>
      </c>
      <c r="D665" s="2541"/>
      <c r="E665" s="728" t="s">
        <v>5550</v>
      </c>
      <c r="F665" s="728" t="s">
        <v>5551</v>
      </c>
      <c r="G665" s="728" t="s">
        <v>240</v>
      </c>
      <c r="H665" s="728" t="s">
        <v>5400</v>
      </c>
      <c r="I665" s="728">
        <v>191699.63</v>
      </c>
      <c r="J665" s="728" t="s">
        <v>5552</v>
      </c>
      <c r="K665" s="2584">
        <v>2567155.5</v>
      </c>
      <c r="L665" s="798" t="s">
        <v>126</v>
      </c>
      <c r="M665" s="418">
        <v>1</v>
      </c>
      <c r="N665" s="480" t="s">
        <v>5495</v>
      </c>
      <c r="O665" s="481">
        <v>0.2</v>
      </c>
      <c r="P665" s="2621">
        <f>K665*O665</f>
        <v>513431.1</v>
      </c>
      <c r="Q665" s="1856">
        <v>513431.1</v>
      </c>
      <c r="R665" s="1713" t="s">
        <v>4603</v>
      </c>
      <c r="S665" s="2681">
        <v>45266</v>
      </c>
      <c r="T665" s="2682">
        <v>513431.1</v>
      </c>
      <c r="U665" s="2715">
        <v>45266</v>
      </c>
      <c r="V665" s="2716">
        <v>513431.1</v>
      </c>
      <c r="W665" s="2717">
        <v>45299</v>
      </c>
      <c r="X665" s="1856">
        <v>513431.1</v>
      </c>
      <c r="Y665" s="2720">
        <v>45310</v>
      </c>
      <c r="Z665" s="1856">
        <f t="shared" si="30"/>
        <v>0</v>
      </c>
      <c r="AA665" s="2735"/>
      <c r="AB665" s="2735"/>
      <c r="AC665" s="2749"/>
      <c r="AD665" s="2750"/>
      <c r="AE665" s="2750"/>
      <c r="AF665" s="2750"/>
      <c r="AG665" s="2750"/>
      <c r="AH665" s="2752"/>
      <c r="AI665" s="2752"/>
    </row>
    <row r="666" s="6" customFormat="1" ht="61" spans="1:35">
      <c r="A666" s="1304"/>
      <c r="B666" s="2542"/>
      <c r="C666" s="1263"/>
      <c r="D666" s="2543"/>
      <c r="E666" s="689"/>
      <c r="F666" s="689"/>
      <c r="G666" s="689"/>
      <c r="H666" s="689"/>
      <c r="I666" s="689"/>
      <c r="J666" s="689"/>
      <c r="K666" s="2585"/>
      <c r="L666" s="1304"/>
      <c r="M666" s="418">
        <v>2</v>
      </c>
      <c r="N666" s="480" t="s">
        <v>5497</v>
      </c>
      <c r="O666" s="481">
        <v>0.2</v>
      </c>
      <c r="P666" s="2621">
        <f>K665*O666</f>
        <v>513431.1</v>
      </c>
      <c r="Q666" s="1856">
        <v>513431.1</v>
      </c>
      <c r="R666" s="1713" t="s">
        <v>4603</v>
      </c>
      <c r="S666" s="2681">
        <v>45266</v>
      </c>
      <c r="T666" s="2682">
        <v>513431.1</v>
      </c>
      <c r="U666" s="2715">
        <v>45266</v>
      </c>
      <c r="V666" s="2716">
        <v>513431.1</v>
      </c>
      <c r="W666" s="2717">
        <v>45299</v>
      </c>
      <c r="X666" s="1856">
        <v>513431.1</v>
      </c>
      <c r="Y666" s="2720">
        <v>45310</v>
      </c>
      <c r="Z666" s="1856">
        <f t="shared" si="30"/>
        <v>0</v>
      </c>
      <c r="AA666" s="2735"/>
      <c r="AB666" s="2735"/>
      <c r="AC666" s="2749"/>
      <c r="AD666" s="2750"/>
      <c r="AE666" s="2750"/>
      <c r="AF666" s="2750"/>
      <c r="AG666" s="2750"/>
      <c r="AH666" s="2759"/>
      <c r="AI666" s="2759"/>
    </row>
    <row r="667" s="6" customFormat="1" ht="61" spans="1:35">
      <c r="A667" s="1304"/>
      <c r="B667" s="2542"/>
      <c r="C667" s="1263"/>
      <c r="D667" s="2543"/>
      <c r="E667" s="689"/>
      <c r="F667" s="689"/>
      <c r="G667" s="689"/>
      <c r="H667" s="689"/>
      <c r="I667" s="689"/>
      <c r="J667" s="689"/>
      <c r="K667" s="2585"/>
      <c r="L667" s="1304"/>
      <c r="M667" s="418">
        <v>3</v>
      </c>
      <c r="N667" s="480" t="s">
        <v>5498</v>
      </c>
      <c r="O667" s="481">
        <v>0.2</v>
      </c>
      <c r="P667" s="2621">
        <f>K665*O667</f>
        <v>513431.1</v>
      </c>
      <c r="Q667" s="1856">
        <v>513431.1</v>
      </c>
      <c r="R667" s="1713" t="s">
        <v>4603</v>
      </c>
      <c r="S667" s="2681">
        <v>45266</v>
      </c>
      <c r="T667" s="2682">
        <v>513431.1</v>
      </c>
      <c r="U667" s="2715">
        <v>45266</v>
      </c>
      <c r="V667" s="2716">
        <v>513431.1</v>
      </c>
      <c r="W667" s="2717">
        <v>45299</v>
      </c>
      <c r="X667" s="1856">
        <v>513431.1</v>
      </c>
      <c r="Y667" s="2720">
        <v>45310</v>
      </c>
      <c r="Z667" s="1856">
        <f t="shared" si="30"/>
        <v>0</v>
      </c>
      <c r="AA667" s="2735"/>
      <c r="AB667" s="2735"/>
      <c r="AC667" s="2749"/>
      <c r="AD667" s="2750"/>
      <c r="AE667" s="2750"/>
      <c r="AF667" s="2750"/>
      <c r="AG667" s="2750"/>
      <c r="AH667" s="2759"/>
      <c r="AI667" s="2759"/>
    </row>
    <row r="668" s="6" customFormat="1" ht="76" spans="1:35">
      <c r="A668" s="1304"/>
      <c r="B668" s="2542"/>
      <c r="C668" s="1263"/>
      <c r="D668" s="2543"/>
      <c r="E668" s="689"/>
      <c r="F668" s="689"/>
      <c r="G668" s="689"/>
      <c r="H668" s="689"/>
      <c r="I668" s="689"/>
      <c r="J668" s="689"/>
      <c r="K668" s="2585"/>
      <c r="L668" s="1304"/>
      <c r="M668" s="418">
        <v>4</v>
      </c>
      <c r="N668" s="480" t="s">
        <v>5499</v>
      </c>
      <c r="O668" s="481">
        <v>0.15</v>
      </c>
      <c r="P668" s="2621">
        <f>K665*O668</f>
        <v>385073.325</v>
      </c>
      <c r="Q668" s="1856">
        <v>385073.33</v>
      </c>
      <c r="R668" s="1713" t="s">
        <v>4603</v>
      </c>
      <c r="S668" s="2681">
        <v>45266</v>
      </c>
      <c r="T668" s="2682">
        <v>385073.33</v>
      </c>
      <c r="U668" s="2715">
        <v>45266</v>
      </c>
      <c r="V668" s="2716">
        <v>385073.33</v>
      </c>
      <c r="W668" s="2717">
        <v>45299</v>
      </c>
      <c r="X668" s="1856">
        <v>385073.33</v>
      </c>
      <c r="Y668" s="2720">
        <v>45310</v>
      </c>
      <c r="Z668" s="1856">
        <f t="shared" si="30"/>
        <v>0</v>
      </c>
      <c r="AA668" s="2735"/>
      <c r="AB668" s="2735"/>
      <c r="AC668" s="2749"/>
      <c r="AD668" s="2750"/>
      <c r="AE668" s="2750"/>
      <c r="AF668" s="2750"/>
      <c r="AG668" s="2750"/>
      <c r="AH668" s="2759"/>
      <c r="AI668" s="2759"/>
    </row>
    <row r="669" s="6" customFormat="1" ht="61" spans="1:35">
      <c r="A669" s="1304"/>
      <c r="B669" s="2542"/>
      <c r="C669" s="1263"/>
      <c r="D669" s="2543"/>
      <c r="E669" s="689"/>
      <c r="F669" s="689"/>
      <c r="G669" s="689"/>
      <c r="H669" s="689"/>
      <c r="I669" s="689"/>
      <c r="J669" s="689"/>
      <c r="K669" s="2585"/>
      <c r="L669" s="1304"/>
      <c r="M669" s="418">
        <v>5</v>
      </c>
      <c r="N669" s="480" t="s">
        <v>5500</v>
      </c>
      <c r="O669" s="481">
        <v>0.1</v>
      </c>
      <c r="P669" s="2621">
        <f>K665*O669</f>
        <v>256715.55</v>
      </c>
      <c r="Q669" s="1856">
        <v>256715.55</v>
      </c>
      <c r="R669" s="1713" t="s">
        <v>4603</v>
      </c>
      <c r="S669" s="2681">
        <v>45266</v>
      </c>
      <c r="T669" s="2682">
        <v>256715.55</v>
      </c>
      <c r="U669" s="2715">
        <v>45266</v>
      </c>
      <c r="V669" s="2716">
        <v>256715.55</v>
      </c>
      <c r="W669" s="2717">
        <v>45299</v>
      </c>
      <c r="X669" s="1856">
        <v>256715.55</v>
      </c>
      <c r="Y669" s="2720">
        <v>45310</v>
      </c>
      <c r="Z669" s="1856">
        <f t="shared" si="30"/>
        <v>0</v>
      </c>
      <c r="AA669" s="2735"/>
      <c r="AB669" s="2735"/>
      <c r="AC669" s="2749"/>
      <c r="AD669" s="2750"/>
      <c r="AE669" s="2750"/>
      <c r="AF669" s="2750"/>
      <c r="AG669" s="2750"/>
      <c r="AH669" s="2759"/>
      <c r="AI669" s="2759"/>
    </row>
    <row r="670" s="6" customFormat="1" ht="76" spans="1:35">
      <c r="A670" s="1304"/>
      <c r="B670" s="2542"/>
      <c r="C670" s="1263"/>
      <c r="D670" s="2543"/>
      <c r="E670" s="689"/>
      <c r="F670" s="689"/>
      <c r="G670" s="689"/>
      <c r="H670" s="689"/>
      <c r="I670" s="689"/>
      <c r="J670" s="689"/>
      <c r="K670" s="2585"/>
      <c r="L670" s="1304"/>
      <c r="M670" s="418">
        <v>6</v>
      </c>
      <c r="N670" s="480" t="s">
        <v>5501</v>
      </c>
      <c r="O670" s="481">
        <v>0.05</v>
      </c>
      <c r="P670" s="2621">
        <f>K665*O670</f>
        <v>128357.775</v>
      </c>
      <c r="Q670" s="2683">
        <v>128357.775</v>
      </c>
      <c r="R670" s="2684" t="s">
        <v>349</v>
      </c>
      <c r="S670" s="2685">
        <v>46021</v>
      </c>
      <c r="T670" s="2682"/>
      <c r="U670" s="2715"/>
      <c r="V670" s="2716"/>
      <c r="W670" s="2717"/>
      <c r="X670" s="2683">
        <v>128357.775</v>
      </c>
      <c r="Y670" s="2685">
        <v>46021</v>
      </c>
      <c r="Z670" s="1856">
        <f t="shared" si="30"/>
        <v>0</v>
      </c>
      <c r="AA670" s="2735"/>
      <c r="AB670" s="2735"/>
      <c r="AC670" s="2749"/>
      <c r="AD670" s="2750"/>
      <c r="AE670" s="2750"/>
      <c r="AF670" s="2750"/>
      <c r="AG670" s="2750"/>
      <c r="AH670" s="2759"/>
      <c r="AI670" s="2759"/>
    </row>
    <row r="671" s="6" customFormat="1" ht="92" spans="1:35">
      <c r="A671" s="1304"/>
      <c r="B671" s="2542"/>
      <c r="C671" s="1263"/>
      <c r="D671" s="2543"/>
      <c r="E671" s="689"/>
      <c r="F671" s="689"/>
      <c r="G671" s="689"/>
      <c r="H671" s="689"/>
      <c r="I671" s="689"/>
      <c r="J671" s="689"/>
      <c r="K671" s="2585"/>
      <c r="L671" s="1304"/>
      <c r="M671" s="728">
        <v>7</v>
      </c>
      <c r="N671" s="2622" t="s">
        <v>5502</v>
      </c>
      <c r="O671" s="2623">
        <v>0.1</v>
      </c>
      <c r="P671" s="2624">
        <f>K665*O671</f>
        <v>256715.55</v>
      </c>
      <c r="Q671" s="1854"/>
      <c r="R671" s="1713"/>
      <c r="S671" s="2681"/>
      <c r="T671" s="2686"/>
      <c r="U671" s="2718"/>
      <c r="V671" s="2719"/>
      <c r="W671" s="2720"/>
      <c r="X671" s="1854"/>
      <c r="Y671" s="2720"/>
      <c r="Z671" s="1856">
        <f t="shared" si="30"/>
        <v>0</v>
      </c>
      <c r="AA671" s="2736"/>
      <c r="AB671" s="2736"/>
      <c r="AC671" s="2751"/>
      <c r="AD671" s="2752"/>
      <c r="AE671" s="2752"/>
      <c r="AF671" s="2752"/>
      <c r="AG671" s="2752"/>
      <c r="AH671" s="2759"/>
      <c r="AI671" s="2759"/>
    </row>
    <row r="672" s="6" customFormat="1" ht="76" spans="1:35">
      <c r="A672" s="2544" t="s">
        <v>1951</v>
      </c>
      <c r="B672" s="2545">
        <v>45233</v>
      </c>
      <c r="C672" s="2546" t="s">
        <v>5549</v>
      </c>
      <c r="D672" s="2547"/>
      <c r="E672" s="2570" t="s">
        <v>5553</v>
      </c>
      <c r="F672" s="2570" t="s">
        <v>5554</v>
      </c>
      <c r="G672" s="2570" t="s">
        <v>3723</v>
      </c>
      <c r="H672" s="2570" t="s">
        <v>5505</v>
      </c>
      <c r="I672" s="2570" t="s">
        <v>5555</v>
      </c>
      <c r="J672" s="2570" t="s">
        <v>2303</v>
      </c>
      <c r="K672" s="2586">
        <v>2981280</v>
      </c>
      <c r="L672" s="2587" t="s">
        <v>126</v>
      </c>
      <c r="M672" s="2625">
        <v>1</v>
      </c>
      <c r="N672" s="2626" t="s">
        <v>5063</v>
      </c>
      <c r="O672" s="2627">
        <v>0.1</v>
      </c>
      <c r="P672" s="2628">
        <f>K672*O672</f>
        <v>298128</v>
      </c>
      <c r="Q672" s="2687">
        <v>298128</v>
      </c>
      <c r="R672" s="2544" t="s">
        <v>4603</v>
      </c>
      <c r="S672" s="2688">
        <v>45266</v>
      </c>
      <c r="T672" s="2689">
        <v>298128</v>
      </c>
      <c r="U672" s="2721">
        <v>45266</v>
      </c>
      <c r="V672" s="2689">
        <v>298128</v>
      </c>
      <c r="W672" s="2722">
        <v>45301</v>
      </c>
      <c r="X672" s="2690">
        <v>298128</v>
      </c>
      <c r="Y672" s="2722">
        <v>45310</v>
      </c>
      <c r="Z672" s="2690">
        <f t="shared" si="30"/>
        <v>0</v>
      </c>
      <c r="AA672" s="2737"/>
      <c r="AB672" s="2737"/>
      <c r="AC672" s="2753"/>
      <c r="AD672" s="2754"/>
      <c r="AE672" s="2754"/>
      <c r="AF672" s="2754"/>
      <c r="AG672" s="2754"/>
      <c r="AH672" s="2754"/>
      <c r="AI672" s="2754"/>
    </row>
    <row r="673" s="6" customFormat="1" ht="76" spans="1:35">
      <c r="A673" s="2544"/>
      <c r="B673" s="2548"/>
      <c r="C673" s="2549"/>
      <c r="D673" s="2550"/>
      <c r="E673" s="2571"/>
      <c r="F673" s="2571"/>
      <c r="G673" s="2571"/>
      <c r="H673" s="2571"/>
      <c r="I673" s="2571"/>
      <c r="J673" s="2571"/>
      <c r="K673" s="2588"/>
      <c r="L673" s="2589"/>
      <c r="M673" s="2625" t="s">
        <v>2033</v>
      </c>
      <c r="N673" s="2626" t="s">
        <v>5064</v>
      </c>
      <c r="O673" s="2629" t="s">
        <v>3330</v>
      </c>
      <c r="P673" s="2628">
        <f>312000*40%</f>
        <v>124800</v>
      </c>
      <c r="Q673" s="2687">
        <f>312000*40%</f>
        <v>124800</v>
      </c>
      <c r="R673" s="2544" t="s">
        <v>4603</v>
      </c>
      <c r="S673" s="2688">
        <v>45266</v>
      </c>
      <c r="T673" s="2689">
        <v>124800</v>
      </c>
      <c r="U673" s="2721">
        <v>45266</v>
      </c>
      <c r="V673" s="2689">
        <v>124800</v>
      </c>
      <c r="W673" s="2722">
        <v>45301</v>
      </c>
      <c r="X673" s="2690">
        <v>124800</v>
      </c>
      <c r="Y673" s="2722">
        <v>45310</v>
      </c>
      <c r="Z673" s="2690">
        <f t="shared" si="30"/>
        <v>0</v>
      </c>
      <c r="AA673" s="2737"/>
      <c r="AB673" s="2737"/>
      <c r="AC673" s="2753"/>
      <c r="AD673" s="2754"/>
      <c r="AE673" s="2754"/>
      <c r="AF673" s="2754"/>
      <c r="AG673" s="2754"/>
      <c r="AH673" s="2754"/>
      <c r="AI673" s="2754"/>
    </row>
    <row r="674" s="6" customFormat="1" ht="76" spans="1:35">
      <c r="A674" s="2544"/>
      <c r="B674" s="2548"/>
      <c r="C674" s="2549"/>
      <c r="D674" s="2550"/>
      <c r="E674" s="2571"/>
      <c r="F674" s="2571"/>
      <c r="G674" s="2571"/>
      <c r="H674" s="2571"/>
      <c r="I674" s="2571"/>
      <c r="J674" s="2571"/>
      <c r="K674" s="2588"/>
      <c r="L674" s="2589"/>
      <c r="M674" s="2625" t="s">
        <v>2036</v>
      </c>
      <c r="N674" s="2626" t="s">
        <v>5065</v>
      </c>
      <c r="O674" s="2629" t="s">
        <v>3332</v>
      </c>
      <c r="P674" s="2628">
        <f>312000*30%</f>
        <v>93600</v>
      </c>
      <c r="Q674" s="2687">
        <f>312000*30%</f>
        <v>93600</v>
      </c>
      <c r="R674" s="2544" t="s">
        <v>4603</v>
      </c>
      <c r="S674" s="2688">
        <v>45266</v>
      </c>
      <c r="T674" s="2689">
        <v>93600</v>
      </c>
      <c r="U674" s="2721">
        <v>45266</v>
      </c>
      <c r="V674" s="2689">
        <v>93600</v>
      </c>
      <c r="W674" s="2722">
        <v>45301</v>
      </c>
      <c r="X674" s="2690">
        <v>93600</v>
      </c>
      <c r="Y674" s="2722">
        <v>45310</v>
      </c>
      <c r="Z674" s="2690">
        <f t="shared" si="30"/>
        <v>0</v>
      </c>
      <c r="AA674" s="2737"/>
      <c r="AB674" s="2737"/>
      <c r="AC674" s="2753"/>
      <c r="AD674" s="2754"/>
      <c r="AE674" s="2754"/>
      <c r="AF674" s="2754"/>
      <c r="AG674" s="2754"/>
      <c r="AH674" s="2754"/>
      <c r="AI674" s="2754"/>
    </row>
    <row r="675" s="6" customFormat="1" ht="76" spans="1:35">
      <c r="A675" s="2544"/>
      <c r="B675" s="2548"/>
      <c r="C675" s="2549"/>
      <c r="D675" s="2550"/>
      <c r="E675" s="2571"/>
      <c r="F675" s="2571"/>
      <c r="G675" s="2571"/>
      <c r="H675" s="2571"/>
      <c r="I675" s="2571"/>
      <c r="J675" s="2571"/>
      <c r="K675" s="2588"/>
      <c r="L675" s="2589"/>
      <c r="M675" s="2625" t="s">
        <v>2039</v>
      </c>
      <c r="N675" s="2626" t="s">
        <v>5066</v>
      </c>
      <c r="O675" s="2629" t="s">
        <v>3334</v>
      </c>
      <c r="P675" s="2628">
        <f>312000*10%</f>
        <v>31200</v>
      </c>
      <c r="Q675" s="2690">
        <v>31200</v>
      </c>
      <c r="R675" s="2544" t="s">
        <v>4603</v>
      </c>
      <c r="S675" s="2688">
        <v>45555</v>
      </c>
      <c r="T675" s="2690">
        <v>31200</v>
      </c>
      <c r="U675" s="2688">
        <v>45555</v>
      </c>
      <c r="V675" s="2690">
        <v>31200</v>
      </c>
      <c r="W675" s="2722">
        <v>45579</v>
      </c>
      <c r="X675" s="2690">
        <v>31200</v>
      </c>
      <c r="Y675" s="2688">
        <v>45624</v>
      </c>
      <c r="Z675" s="2690">
        <f t="shared" si="30"/>
        <v>0</v>
      </c>
      <c r="AA675" s="2737"/>
      <c r="AB675" s="2737"/>
      <c r="AC675" s="2753"/>
      <c r="AD675" s="2754"/>
      <c r="AE675" s="2754"/>
      <c r="AF675" s="2754"/>
      <c r="AG675" s="2754"/>
      <c r="AH675" s="2754"/>
      <c r="AI675" s="2754"/>
    </row>
    <row r="676" s="6" customFormat="1" ht="76" spans="1:35">
      <c r="A676" s="2544"/>
      <c r="B676" s="2548"/>
      <c r="C676" s="2549"/>
      <c r="D676" s="2550"/>
      <c r="E676" s="2571"/>
      <c r="F676" s="2571"/>
      <c r="G676" s="2571"/>
      <c r="H676" s="2571"/>
      <c r="I676" s="2571"/>
      <c r="J676" s="2571"/>
      <c r="K676" s="2588"/>
      <c r="L676" s="2589"/>
      <c r="M676" s="2625" t="s">
        <v>2042</v>
      </c>
      <c r="N676" s="2626" t="s">
        <v>5067</v>
      </c>
      <c r="O676" s="2629" t="s">
        <v>3336</v>
      </c>
      <c r="P676" s="2628">
        <f>2669280*15%</f>
        <v>400392</v>
      </c>
      <c r="Q676" s="2687">
        <f>2669280*15%</f>
        <v>400392</v>
      </c>
      <c r="R676" s="2544" t="s">
        <v>4603</v>
      </c>
      <c r="S676" s="2688">
        <v>45266</v>
      </c>
      <c r="T676" s="2689">
        <v>400392</v>
      </c>
      <c r="U676" s="2721">
        <v>45266</v>
      </c>
      <c r="V676" s="2689">
        <v>400392</v>
      </c>
      <c r="W676" s="2722">
        <v>45301</v>
      </c>
      <c r="X676" s="2690">
        <v>400392</v>
      </c>
      <c r="Y676" s="2722">
        <v>45310</v>
      </c>
      <c r="Z676" s="2690">
        <f t="shared" si="30"/>
        <v>0</v>
      </c>
      <c r="AA676" s="2737"/>
      <c r="AB676" s="2737"/>
      <c r="AC676" s="2753"/>
      <c r="AD676" s="2754"/>
      <c r="AE676" s="2754"/>
      <c r="AF676" s="2754"/>
      <c r="AG676" s="2754"/>
      <c r="AH676" s="2754"/>
      <c r="AI676" s="2754"/>
    </row>
    <row r="677" s="6" customFormat="1" ht="76" spans="1:35">
      <c r="A677" s="2544"/>
      <c r="B677" s="2548"/>
      <c r="C677" s="2549"/>
      <c r="D677" s="2550"/>
      <c r="E677" s="2571"/>
      <c r="F677" s="2571"/>
      <c r="G677" s="2571"/>
      <c r="H677" s="2571"/>
      <c r="I677" s="2571"/>
      <c r="J677" s="2571"/>
      <c r="K677" s="2588"/>
      <c r="L677" s="2589"/>
      <c r="M677" s="2625" t="s">
        <v>2045</v>
      </c>
      <c r="N677" s="2626" t="s">
        <v>5064</v>
      </c>
      <c r="O677" s="2629" t="s">
        <v>3336</v>
      </c>
      <c r="P677" s="2628">
        <f>2669280*15%</f>
        <v>400392</v>
      </c>
      <c r="Q677" s="2687">
        <f>2669280*15%</f>
        <v>400392</v>
      </c>
      <c r="R677" s="2544" t="s">
        <v>4603</v>
      </c>
      <c r="S677" s="2688">
        <v>45266</v>
      </c>
      <c r="T677" s="2689">
        <v>400392</v>
      </c>
      <c r="U677" s="2721">
        <v>45266</v>
      </c>
      <c r="V677" s="2689">
        <v>400392</v>
      </c>
      <c r="W677" s="2722">
        <v>45301</v>
      </c>
      <c r="X677" s="2690">
        <v>400392</v>
      </c>
      <c r="Y677" s="2722">
        <v>45310</v>
      </c>
      <c r="Z677" s="2690">
        <f t="shared" si="30"/>
        <v>0</v>
      </c>
      <c r="AA677" s="2737"/>
      <c r="AB677" s="2737"/>
      <c r="AC677" s="2753"/>
      <c r="AD677" s="2754"/>
      <c r="AE677" s="2754"/>
      <c r="AF677" s="2754"/>
      <c r="AG677" s="2754"/>
      <c r="AH677" s="2754"/>
      <c r="AI677" s="2754"/>
    </row>
    <row r="678" s="6" customFormat="1" ht="76" spans="1:35">
      <c r="A678" s="2544"/>
      <c r="B678" s="2548"/>
      <c r="C678" s="2549"/>
      <c r="D678" s="2550"/>
      <c r="E678" s="2571"/>
      <c r="F678" s="2571"/>
      <c r="G678" s="2571"/>
      <c r="H678" s="2571"/>
      <c r="I678" s="2571"/>
      <c r="J678" s="2571"/>
      <c r="K678" s="2588"/>
      <c r="L678" s="2589"/>
      <c r="M678" s="2625" t="s">
        <v>2048</v>
      </c>
      <c r="N678" s="2626" t="s">
        <v>5068</v>
      </c>
      <c r="O678" s="2629" t="s">
        <v>3341</v>
      </c>
      <c r="P678" s="2628">
        <f>2669280*20%</f>
        <v>533856</v>
      </c>
      <c r="Q678" s="2690">
        <v>533856</v>
      </c>
      <c r="R678" s="2544" t="s">
        <v>4603</v>
      </c>
      <c r="S678" s="2688">
        <v>45469</v>
      </c>
      <c r="T678" s="2689">
        <v>533856</v>
      </c>
      <c r="U678" s="2688">
        <v>45469</v>
      </c>
      <c r="V678" s="2723">
        <v>533856</v>
      </c>
      <c r="W678" s="2722">
        <v>45489</v>
      </c>
      <c r="X678" s="2690">
        <v>533856</v>
      </c>
      <c r="Y678" s="2688">
        <v>45502</v>
      </c>
      <c r="Z678" s="2690">
        <f t="shared" si="30"/>
        <v>0</v>
      </c>
      <c r="AA678" s="2737"/>
      <c r="AB678" s="2737"/>
      <c r="AC678" s="2753"/>
      <c r="AD678" s="2754"/>
      <c r="AE678" s="2754"/>
      <c r="AF678" s="2754"/>
      <c r="AG678" s="2754"/>
      <c r="AH678" s="2754"/>
      <c r="AI678" s="2754"/>
    </row>
    <row r="679" s="6" customFormat="1" ht="76" spans="1:35">
      <c r="A679" s="2544"/>
      <c r="B679" s="2548"/>
      <c r="C679" s="2549"/>
      <c r="D679" s="2550"/>
      <c r="E679" s="2571"/>
      <c r="F679" s="2571"/>
      <c r="G679" s="2571"/>
      <c r="H679" s="2571"/>
      <c r="I679" s="2571"/>
      <c r="J679" s="2571"/>
      <c r="K679" s="2588"/>
      <c r="L679" s="2589"/>
      <c r="M679" s="2625" t="s">
        <v>2050</v>
      </c>
      <c r="N679" s="2626" t="s">
        <v>5065</v>
      </c>
      <c r="O679" s="2629" t="s">
        <v>3341</v>
      </c>
      <c r="P679" s="2628">
        <f>2669280*20%</f>
        <v>533856</v>
      </c>
      <c r="Q679" s="2690">
        <v>533856</v>
      </c>
      <c r="R679" s="2544" t="s">
        <v>4603</v>
      </c>
      <c r="S679" s="2688">
        <v>45555</v>
      </c>
      <c r="T679" s="2690">
        <v>533856</v>
      </c>
      <c r="U679" s="2688">
        <v>45555</v>
      </c>
      <c r="V679" s="2690">
        <v>533856</v>
      </c>
      <c r="W679" s="2722">
        <v>45579</v>
      </c>
      <c r="X679" s="2690">
        <v>533856</v>
      </c>
      <c r="Y679" s="2688">
        <v>45624</v>
      </c>
      <c r="Z679" s="2690">
        <f t="shared" si="30"/>
        <v>0</v>
      </c>
      <c r="AA679" s="2737"/>
      <c r="AB679" s="2737"/>
      <c r="AC679" s="2753"/>
      <c r="AD679" s="2754"/>
      <c r="AE679" s="2754"/>
      <c r="AF679" s="2754"/>
      <c r="AG679" s="2754"/>
      <c r="AH679" s="2754"/>
      <c r="AI679" s="2754"/>
    </row>
    <row r="680" s="6" customFormat="1" ht="92" spans="1:35">
      <c r="A680" s="2544"/>
      <c r="B680" s="2548"/>
      <c r="C680" s="2549"/>
      <c r="D680" s="2550"/>
      <c r="E680" s="2571"/>
      <c r="F680" s="2571"/>
      <c r="G680" s="2571"/>
      <c r="H680" s="2571"/>
      <c r="I680" s="2571"/>
      <c r="J680" s="2571"/>
      <c r="K680" s="2588"/>
      <c r="L680" s="2589"/>
      <c r="M680" s="2625" t="s">
        <v>2052</v>
      </c>
      <c r="N680" s="2626" t="s">
        <v>5070</v>
      </c>
      <c r="O680" s="2629" t="s">
        <v>3343</v>
      </c>
      <c r="P680" s="2628">
        <f>2669280*5%</f>
        <v>133464</v>
      </c>
      <c r="Q680" s="2690">
        <v>133464</v>
      </c>
      <c r="R680" s="2544" t="s">
        <v>4603</v>
      </c>
      <c r="S680" s="2688">
        <v>45953</v>
      </c>
      <c r="T680" s="2690">
        <v>133464</v>
      </c>
      <c r="U680" s="2688">
        <v>45953</v>
      </c>
      <c r="V680" s="2723">
        <v>133464</v>
      </c>
      <c r="W680" s="2688">
        <v>45978</v>
      </c>
      <c r="X680" s="2690">
        <v>133464</v>
      </c>
      <c r="Y680" s="2721">
        <v>45989</v>
      </c>
      <c r="Z680" s="2690">
        <f t="shared" si="30"/>
        <v>0</v>
      </c>
      <c r="AA680" s="2737"/>
      <c r="AB680" s="2737"/>
      <c r="AC680" s="2753"/>
      <c r="AD680" s="2754"/>
      <c r="AE680" s="2754"/>
      <c r="AF680" s="2754"/>
      <c r="AG680" s="2754"/>
      <c r="AH680" s="2754"/>
      <c r="AI680" s="2754"/>
    </row>
    <row r="681" s="6" customFormat="1" ht="92" spans="1:35">
      <c r="A681" s="2544"/>
      <c r="B681" s="2548"/>
      <c r="C681" s="2549"/>
      <c r="D681" s="2550"/>
      <c r="E681" s="2571"/>
      <c r="F681" s="2571"/>
      <c r="G681" s="2571"/>
      <c r="H681" s="2571"/>
      <c r="I681" s="2571"/>
      <c r="J681" s="2571"/>
      <c r="K681" s="2588"/>
      <c r="L681" s="2589"/>
      <c r="M681" s="2625">
        <v>10</v>
      </c>
      <c r="N681" s="2626" t="s">
        <v>5071</v>
      </c>
      <c r="O681" s="2629" t="s">
        <v>3343</v>
      </c>
      <c r="P681" s="2628">
        <f>2669280*5%</f>
        <v>133464</v>
      </c>
      <c r="Q681" s="2690">
        <v>133464</v>
      </c>
      <c r="R681" s="2544" t="s">
        <v>4603</v>
      </c>
      <c r="S681" s="2688">
        <v>45953</v>
      </c>
      <c r="T681" s="2690">
        <v>133464</v>
      </c>
      <c r="U681" s="2688">
        <v>45953</v>
      </c>
      <c r="V681" s="2723">
        <v>133464</v>
      </c>
      <c r="W681" s="2688">
        <v>45978</v>
      </c>
      <c r="X681" s="2690">
        <v>133464</v>
      </c>
      <c r="Y681" s="2688">
        <v>45989</v>
      </c>
      <c r="Z681" s="2690">
        <f t="shared" si="30"/>
        <v>0</v>
      </c>
      <c r="AA681" s="2737"/>
      <c r="AB681" s="2737"/>
      <c r="AC681" s="2753"/>
      <c r="AD681" s="2754"/>
      <c r="AE681" s="2754"/>
      <c r="AF681" s="2754"/>
      <c r="AG681" s="2754"/>
      <c r="AH681" s="2754"/>
      <c r="AI681" s="2754"/>
    </row>
    <row r="682" s="6" customFormat="1" ht="76" spans="1:35">
      <c r="A682" s="2544"/>
      <c r="B682" s="2551"/>
      <c r="C682" s="2552"/>
      <c r="D682" s="2553"/>
      <c r="E682" s="2572"/>
      <c r="F682" s="2572"/>
      <c r="G682" s="2572"/>
      <c r="H682" s="2572"/>
      <c r="I682" s="2572"/>
      <c r="J682" s="2572"/>
      <c r="K682" s="2590"/>
      <c r="L682" s="2591"/>
      <c r="M682" s="2625">
        <v>11</v>
      </c>
      <c r="N682" s="2626" t="s">
        <v>3347</v>
      </c>
      <c r="O682" s="2627">
        <v>0.1</v>
      </c>
      <c r="P682" s="2628">
        <f>2981280*10%</f>
        <v>298128</v>
      </c>
      <c r="Q682" s="2690"/>
      <c r="R682" s="2691"/>
      <c r="S682" s="2688"/>
      <c r="T682" s="2692"/>
      <c r="U682" s="2688"/>
      <c r="V682" s="2723"/>
      <c r="W682" s="2722"/>
      <c r="X682" s="2690"/>
      <c r="Y682" s="2722"/>
      <c r="Z682" s="2690">
        <f t="shared" si="30"/>
        <v>0</v>
      </c>
      <c r="AA682" s="2737"/>
      <c r="AB682" s="2737"/>
      <c r="AC682" s="2753"/>
      <c r="AD682" s="2754"/>
      <c r="AE682" s="2754"/>
      <c r="AF682" s="2754"/>
      <c r="AG682" s="2754"/>
      <c r="AH682" s="2754"/>
      <c r="AI682" s="2754"/>
    </row>
    <row r="683" s="6" customFormat="1" ht="92" spans="1:35">
      <c r="A683" s="2554" t="s">
        <v>1951</v>
      </c>
      <c r="B683" s="2555">
        <v>45222</v>
      </c>
      <c r="C683" s="2556" t="s">
        <v>5549</v>
      </c>
      <c r="D683" s="2557"/>
      <c r="E683" s="1309" t="s">
        <v>5556</v>
      </c>
      <c r="F683" s="1309" t="s">
        <v>5557</v>
      </c>
      <c r="G683" s="1309" t="s">
        <v>1923</v>
      </c>
      <c r="H683" s="1309" t="s">
        <v>5136</v>
      </c>
      <c r="I683" s="1309" t="s">
        <v>5558</v>
      </c>
      <c r="J683" s="1309" t="s">
        <v>976</v>
      </c>
      <c r="K683" s="2592">
        <v>542400</v>
      </c>
      <c r="L683" s="2554" t="s">
        <v>126</v>
      </c>
      <c r="M683" s="1080">
        <v>1</v>
      </c>
      <c r="N683" s="2630" t="s">
        <v>5513</v>
      </c>
      <c r="O683" s="2631">
        <v>0.15</v>
      </c>
      <c r="P683" s="2632">
        <f>K683*O683</f>
        <v>81360</v>
      </c>
      <c r="Q683" s="2693">
        <v>81360</v>
      </c>
      <c r="R683" s="2694" t="s">
        <v>4603</v>
      </c>
      <c r="S683" s="2695">
        <v>45266</v>
      </c>
      <c r="T683" s="2696">
        <v>81360</v>
      </c>
      <c r="U683" s="2695">
        <v>45266</v>
      </c>
      <c r="V683" s="2724">
        <v>81360</v>
      </c>
      <c r="W683" s="2725">
        <v>45295</v>
      </c>
      <c r="X683" s="2632">
        <v>81360</v>
      </c>
      <c r="Y683" s="2725">
        <v>45310</v>
      </c>
      <c r="Z683" s="2632">
        <f t="shared" si="30"/>
        <v>0</v>
      </c>
      <c r="AA683" s="2738"/>
      <c r="AB683" s="2738"/>
      <c r="AC683" s="2755"/>
      <c r="AD683" s="2756"/>
      <c r="AE683" s="2756"/>
      <c r="AF683" s="2756"/>
      <c r="AG683" s="2756"/>
      <c r="AH683" s="2756"/>
      <c r="AI683" s="2756"/>
    </row>
    <row r="684" s="6" customFormat="1" ht="92" spans="1:35">
      <c r="A684" s="2554"/>
      <c r="B684" s="2555"/>
      <c r="C684" s="2556"/>
      <c r="D684" s="2557"/>
      <c r="E684" s="1309"/>
      <c r="F684" s="1309"/>
      <c r="G684" s="1309"/>
      <c r="H684" s="1309"/>
      <c r="I684" s="1309"/>
      <c r="J684" s="1309"/>
      <c r="K684" s="2592"/>
      <c r="L684" s="2554"/>
      <c r="M684" s="1080">
        <v>2</v>
      </c>
      <c r="N684" s="2630" t="s">
        <v>5514</v>
      </c>
      <c r="O684" s="2631">
        <v>0.25</v>
      </c>
      <c r="P684" s="2632">
        <f>K683*O684</f>
        <v>135600</v>
      </c>
      <c r="Q684" s="2693">
        <v>135600</v>
      </c>
      <c r="R684" s="2694" t="s">
        <v>4603</v>
      </c>
      <c r="S684" s="2695">
        <v>45266</v>
      </c>
      <c r="T684" s="2697">
        <v>135600</v>
      </c>
      <c r="U684" s="2695">
        <v>45266</v>
      </c>
      <c r="V684" s="2724">
        <v>135600</v>
      </c>
      <c r="W684" s="2725">
        <v>45295</v>
      </c>
      <c r="X684" s="2632">
        <v>135600</v>
      </c>
      <c r="Y684" s="2725">
        <v>45310</v>
      </c>
      <c r="Z684" s="2632">
        <f t="shared" si="30"/>
        <v>0</v>
      </c>
      <c r="AA684" s="2738"/>
      <c r="AB684" s="2738"/>
      <c r="AC684" s="2755"/>
      <c r="AD684" s="2756"/>
      <c r="AE684" s="2756"/>
      <c r="AF684" s="2756"/>
      <c r="AG684" s="2756"/>
      <c r="AH684" s="2756"/>
      <c r="AI684" s="2756"/>
    </row>
    <row r="685" s="6" customFormat="1" ht="92" spans="1:35">
      <c r="A685" s="2554"/>
      <c r="B685" s="2555"/>
      <c r="C685" s="2556"/>
      <c r="D685" s="2557"/>
      <c r="E685" s="1309"/>
      <c r="F685" s="1309"/>
      <c r="G685" s="1309"/>
      <c r="H685" s="1309"/>
      <c r="I685" s="1309"/>
      <c r="J685" s="1309"/>
      <c r="K685" s="2592"/>
      <c r="L685" s="2554"/>
      <c r="M685" s="1080">
        <v>3</v>
      </c>
      <c r="N685" s="2630" t="s">
        <v>5515</v>
      </c>
      <c r="O685" s="2631">
        <v>0.1</v>
      </c>
      <c r="P685" s="2632">
        <f>K683*O685</f>
        <v>54240</v>
      </c>
      <c r="Q685" s="2693">
        <v>54240</v>
      </c>
      <c r="R685" s="2694" t="s">
        <v>4603</v>
      </c>
      <c r="S685" s="2695">
        <v>45266</v>
      </c>
      <c r="T685" s="2697">
        <v>54240</v>
      </c>
      <c r="U685" s="2695">
        <v>45266</v>
      </c>
      <c r="V685" s="2724">
        <v>54240</v>
      </c>
      <c r="W685" s="2725">
        <v>45295</v>
      </c>
      <c r="X685" s="2632">
        <v>54240</v>
      </c>
      <c r="Y685" s="2725">
        <v>45310</v>
      </c>
      <c r="Z685" s="2632">
        <f t="shared" si="30"/>
        <v>0</v>
      </c>
      <c r="AA685" s="2738"/>
      <c r="AB685" s="2738"/>
      <c r="AC685" s="2755"/>
      <c r="AD685" s="2756"/>
      <c r="AE685" s="2756"/>
      <c r="AF685" s="2756"/>
      <c r="AG685" s="2756"/>
      <c r="AH685" s="2756"/>
      <c r="AI685" s="2756"/>
    </row>
    <row r="686" s="6" customFormat="1" ht="92" spans="1:35">
      <c r="A686" s="2554"/>
      <c r="B686" s="2555"/>
      <c r="C686" s="2556"/>
      <c r="D686" s="2557"/>
      <c r="E686" s="1309"/>
      <c r="F686" s="1309"/>
      <c r="G686" s="1309"/>
      <c r="H686" s="1309"/>
      <c r="I686" s="1309"/>
      <c r="J686" s="1309"/>
      <c r="K686" s="2592"/>
      <c r="L686" s="2554"/>
      <c r="M686" s="1080">
        <v>4</v>
      </c>
      <c r="N686" s="2630" t="s">
        <v>5516</v>
      </c>
      <c r="O686" s="2631">
        <v>0.3</v>
      </c>
      <c r="P686" s="2632">
        <f>K683*O686</f>
        <v>162720</v>
      </c>
      <c r="Q686" s="2693">
        <v>162720</v>
      </c>
      <c r="R686" s="2694" t="s">
        <v>4603</v>
      </c>
      <c r="S686" s="2695">
        <v>45469</v>
      </c>
      <c r="T686" s="2697">
        <v>162720</v>
      </c>
      <c r="U686" s="2695">
        <v>45469</v>
      </c>
      <c r="V686" s="2697">
        <v>162720</v>
      </c>
      <c r="W686" s="2725">
        <v>45464</v>
      </c>
      <c r="X686" s="2693">
        <v>162720</v>
      </c>
      <c r="Y686" s="2695">
        <v>45502</v>
      </c>
      <c r="Z686" s="2632">
        <f t="shared" si="30"/>
        <v>0</v>
      </c>
      <c r="AA686" s="2738"/>
      <c r="AB686" s="2738"/>
      <c r="AC686" s="2755"/>
      <c r="AD686" s="2756"/>
      <c r="AE686" s="2756"/>
      <c r="AF686" s="2756"/>
      <c r="AG686" s="2756"/>
      <c r="AH686" s="2756"/>
      <c r="AI686" s="2756"/>
    </row>
    <row r="687" s="6" customFormat="1" ht="76" spans="1:35">
      <c r="A687" s="2554"/>
      <c r="B687" s="2555"/>
      <c r="C687" s="2556"/>
      <c r="D687" s="2557"/>
      <c r="E687" s="1309"/>
      <c r="F687" s="1309"/>
      <c r="G687" s="1309"/>
      <c r="H687" s="1309"/>
      <c r="I687" s="1309"/>
      <c r="J687" s="1309"/>
      <c r="K687" s="2592"/>
      <c r="L687" s="2554"/>
      <c r="M687" s="1080">
        <v>5</v>
      </c>
      <c r="N687" s="2630" t="s">
        <v>5517</v>
      </c>
      <c r="O687" s="2631">
        <v>0.05</v>
      </c>
      <c r="P687" s="2632">
        <f>K683*O687</f>
        <v>27120</v>
      </c>
      <c r="Q687" s="2693">
        <v>27120</v>
      </c>
      <c r="R687" s="2698" t="s">
        <v>4603</v>
      </c>
      <c r="S687" s="2695">
        <v>45958</v>
      </c>
      <c r="T687" s="2693">
        <v>27120</v>
      </c>
      <c r="U687" s="2695">
        <v>45958</v>
      </c>
      <c r="V687" s="2693">
        <v>27120</v>
      </c>
      <c r="W687" s="2725">
        <v>45978</v>
      </c>
      <c r="X687" s="2693">
        <v>27120</v>
      </c>
      <c r="Y687" s="2695">
        <v>45989</v>
      </c>
      <c r="Z687" s="2632">
        <f t="shared" si="30"/>
        <v>0</v>
      </c>
      <c r="AA687" s="2738"/>
      <c r="AB687" s="2738"/>
      <c r="AC687" s="2755"/>
      <c r="AD687" s="2756"/>
      <c r="AE687" s="2756"/>
      <c r="AF687" s="2756"/>
      <c r="AG687" s="2756"/>
      <c r="AH687" s="2756"/>
      <c r="AI687" s="2756"/>
    </row>
    <row r="688" s="6" customFormat="1" ht="76" spans="1:35">
      <c r="A688" s="2554"/>
      <c r="B688" s="2555"/>
      <c r="C688" s="2556"/>
      <c r="D688" s="2557"/>
      <c r="E688" s="1309"/>
      <c r="F688" s="1309"/>
      <c r="G688" s="1309"/>
      <c r="H688" s="1309"/>
      <c r="I688" s="1309"/>
      <c r="J688" s="1309"/>
      <c r="K688" s="2592"/>
      <c r="L688" s="2554"/>
      <c r="M688" s="1080">
        <v>6</v>
      </c>
      <c r="N688" s="2630" t="s">
        <v>3634</v>
      </c>
      <c r="O688" s="2631">
        <v>0.05</v>
      </c>
      <c r="P688" s="2632">
        <f>K683*O688</f>
        <v>27120</v>
      </c>
      <c r="Q688" s="2693">
        <v>27120</v>
      </c>
      <c r="R688" s="2698" t="s">
        <v>4603</v>
      </c>
      <c r="S688" s="2695">
        <v>45958</v>
      </c>
      <c r="T688" s="2693">
        <v>27120</v>
      </c>
      <c r="U688" s="2695">
        <v>45958</v>
      </c>
      <c r="V688" s="2693">
        <v>27120</v>
      </c>
      <c r="W688" s="2725">
        <v>45978</v>
      </c>
      <c r="X688" s="2693">
        <v>27120</v>
      </c>
      <c r="Y688" s="2695">
        <v>45989</v>
      </c>
      <c r="Z688" s="2632">
        <f t="shared" si="30"/>
        <v>0</v>
      </c>
      <c r="AA688" s="2738"/>
      <c r="AB688" s="2738"/>
      <c r="AC688" s="2755"/>
      <c r="AD688" s="2756"/>
      <c r="AE688" s="2756"/>
      <c r="AF688" s="2756"/>
      <c r="AG688" s="2756"/>
      <c r="AH688" s="2756"/>
      <c r="AI688" s="2756"/>
    </row>
    <row r="689" s="6" customFormat="1" ht="92" spans="1:35">
      <c r="A689" s="2554"/>
      <c r="B689" s="2555"/>
      <c r="C689" s="2556"/>
      <c r="D689" s="2557"/>
      <c r="E689" s="1309"/>
      <c r="F689" s="1309"/>
      <c r="G689" s="1309"/>
      <c r="H689" s="1309"/>
      <c r="I689" s="1309"/>
      <c r="J689" s="1309"/>
      <c r="K689" s="2592"/>
      <c r="L689" s="2554"/>
      <c r="M689" s="1275">
        <v>7</v>
      </c>
      <c r="N689" s="2633" t="s">
        <v>3356</v>
      </c>
      <c r="O689" s="2634">
        <v>0.1</v>
      </c>
      <c r="P689" s="2635">
        <f>K683*O689</f>
        <v>54240</v>
      </c>
      <c r="Q689" s="2699"/>
      <c r="R689" s="2700"/>
      <c r="S689" s="2701"/>
      <c r="T689" s="2702"/>
      <c r="U689" s="2701"/>
      <c r="V689" s="2726"/>
      <c r="W689" s="2727"/>
      <c r="X689" s="2699"/>
      <c r="Y689" s="2727"/>
      <c r="Z689" s="2632">
        <f t="shared" si="30"/>
        <v>0</v>
      </c>
      <c r="AA689" s="2739"/>
      <c r="AB689" s="2739"/>
      <c r="AC689" s="2757"/>
      <c r="AD689" s="2758"/>
      <c r="AE689" s="2758"/>
      <c r="AF689" s="2758"/>
      <c r="AG689" s="2758"/>
      <c r="AH689" s="2758"/>
      <c r="AI689" s="2758"/>
    </row>
    <row r="690" s="6" customFormat="1" ht="76" spans="1:35">
      <c r="A690" s="2558" t="s">
        <v>1951</v>
      </c>
      <c r="B690" s="2528">
        <v>45222</v>
      </c>
      <c r="C690" s="2559" t="s">
        <v>5549</v>
      </c>
      <c r="D690" s="2560"/>
      <c r="E690" s="2573" t="s">
        <v>5559</v>
      </c>
      <c r="F690" s="2573" t="s">
        <v>5560</v>
      </c>
      <c r="G690" s="2573" t="s">
        <v>5561</v>
      </c>
      <c r="H690" s="2573" t="s">
        <v>5562</v>
      </c>
      <c r="I690" s="2573" t="s">
        <v>5563</v>
      </c>
      <c r="J690" s="2573" t="s">
        <v>5564</v>
      </c>
      <c r="K690" s="2593">
        <v>183680</v>
      </c>
      <c r="L690" s="2558" t="s">
        <v>126</v>
      </c>
      <c r="M690" s="2573">
        <v>1</v>
      </c>
      <c r="N690" s="2615" t="s">
        <v>5565</v>
      </c>
      <c r="O690" s="2616">
        <v>0.1</v>
      </c>
      <c r="P690" s="2617">
        <f>K690*O690</f>
        <v>18368</v>
      </c>
      <c r="Q690" s="2703">
        <v>18368</v>
      </c>
      <c r="R690" s="2558" t="s">
        <v>4603</v>
      </c>
      <c r="S690" s="2670">
        <v>45266</v>
      </c>
      <c r="T690" s="2704">
        <v>18368</v>
      </c>
      <c r="U690" s="2670">
        <v>45266</v>
      </c>
      <c r="V690" s="2728">
        <v>18368</v>
      </c>
      <c r="W690" s="2729">
        <v>45302</v>
      </c>
      <c r="X690" s="2669">
        <v>18368</v>
      </c>
      <c r="Y690" s="2729">
        <v>45314</v>
      </c>
      <c r="Z690" s="2669">
        <f t="shared" si="30"/>
        <v>0</v>
      </c>
      <c r="AA690" s="2734"/>
      <c r="AB690" s="2734"/>
      <c r="AC690" s="2747"/>
      <c r="AD690" s="2614"/>
      <c r="AE690" s="2614"/>
      <c r="AF690" s="2614"/>
      <c r="AG690" s="2614"/>
      <c r="AH690" s="2614"/>
      <c r="AI690" s="2614"/>
    </row>
    <row r="691" s="6" customFormat="1" ht="92" spans="1:35">
      <c r="A691" s="2558"/>
      <c r="B691" s="2532"/>
      <c r="C691" s="2559"/>
      <c r="D691" s="2560"/>
      <c r="E691" s="2573"/>
      <c r="F691" s="2573"/>
      <c r="G691" s="2573"/>
      <c r="H691" s="2573"/>
      <c r="I691" s="2573"/>
      <c r="J691" s="2573"/>
      <c r="K691" s="2593"/>
      <c r="L691" s="2558"/>
      <c r="M691" s="2573">
        <v>2</v>
      </c>
      <c r="N691" s="2615" t="s">
        <v>5566</v>
      </c>
      <c r="O691" s="2616">
        <v>0.1</v>
      </c>
      <c r="P691" s="2617">
        <f>K690*O691</f>
        <v>18368</v>
      </c>
      <c r="Q691" s="2703">
        <v>18368</v>
      </c>
      <c r="R691" s="2558" t="s">
        <v>4603</v>
      </c>
      <c r="S691" s="2670">
        <v>45266</v>
      </c>
      <c r="T691" s="2704">
        <v>18368</v>
      </c>
      <c r="U691" s="2670">
        <v>45266</v>
      </c>
      <c r="V691" s="2728">
        <v>18368</v>
      </c>
      <c r="W691" s="2729">
        <v>45302</v>
      </c>
      <c r="X691" s="2669">
        <v>18368</v>
      </c>
      <c r="Y691" s="2729">
        <v>45314</v>
      </c>
      <c r="Z691" s="2669">
        <f t="shared" si="30"/>
        <v>0</v>
      </c>
      <c r="AA691" s="2734"/>
      <c r="AB691" s="2734"/>
      <c r="AC691" s="2747"/>
      <c r="AD691" s="2614"/>
      <c r="AE691" s="2614"/>
      <c r="AF691" s="2614"/>
      <c r="AG691" s="2614"/>
      <c r="AH691" s="2614"/>
      <c r="AI691" s="2614"/>
    </row>
    <row r="692" s="6" customFormat="1" ht="92" spans="1:35">
      <c r="A692" s="2558"/>
      <c r="B692" s="2532"/>
      <c r="C692" s="2559"/>
      <c r="D692" s="2560"/>
      <c r="E692" s="2573"/>
      <c r="F692" s="2573"/>
      <c r="G692" s="2573"/>
      <c r="H692" s="2573"/>
      <c r="I692" s="2573"/>
      <c r="J692" s="2573"/>
      <c r="K692" s="2593"/>
      <c r="L692" s="2558"/>
      <c r="M692" s="2573">
        <v>3</v>
      </c>
      <c r="N692" s="2615" t="s">
        <v>5567</v>
      </c>
      <c r="O692" s="2616">
        <v>0.3</v>
      </c>
      <c r="P692" s="2617">
        <f>K690*O692</f>
        <v>55104</v>
      </c>
      <c r="Q692" s="2703">
        <v>55104</v>
      </c>
      <c r="R692" s="2558" t="s">
        <v>4603</v>
      </c>
      <c r="S692" s="2670">
        <v>45266</v>
      </c>
      <c r="T692" s="2704">
        <v>55104</v>
      </c>
      <c r="U692" s="2670">
        <v>45266</v>
      </c>
      <c r="V692" s="2728">
        <v>55104</v>
      </c>
      <c r="W692" s="2729">
        <v>45302</v>
      </c>
      <c r="X692" s="2669">
        <v>55104</v>
      </c>
      <c r="Y692" s="2729">
        <v>45314</v>
      </c>
      <c r="Z692" s="2669">
        <f t="shared" si="30"/>
        <v>0</v>
      </c>
      <c r="AA692" s="2734"/>
      <c r="AB692" s="2734"/>
      <c r="AC692" s="2747"/>
      <c r="AD692" s="2614"/>
      <c r="AE692" s="2614"/>
      <c r="AF692" s="2614"/>
      <c r="AG692" s="2614"/>
      <c r="AH692" s="2614"/>
      <c r="AI692" s="2614"/>
    </row>
    <row r="693" s="6" customFormat="1" ht="92" spans="1:35">
      <c r="A693" s="2558"/>
      <c r="B693" s="2532"/>
      <c r="C693" s="2559"/>
      <c r="D693" s="2560"/>
      <c r="E693" s="2573"/>
      <c r="F693" s="2573"/>
      <c r="G693" s="2573"/>
      <c r="H693" s="2573"/>
      <c r="I693" s="2573"/>
      <c r="J693" s="2573"/>
      <c r="K693" s="2593"/>
      <c r="L693" s="2558"/>
      <c r="M693" s="2573">
        <v>4</v>
      </c>
      <c r="N693" s="2615" t="s">
        <v>5568</v>
      </c>
      <c r="O693" s="2616">
        <v>0.4</v>
      </c>
      <c r="P693" s="2617">
        <f>K690*O693</f>
        <v>73472</v>
      </c>
      <c r="Q693" s="2703">
        <v>73472</v>
      </c>
      <c r="R693" s="2558" t="s">
        <v>4603</v>
      </c>
      <c r="S693" s="2670">
        <v>45266</v>
      </c>
      <c r="T693" s="2704">
        <v>73472</v>
      </c>
      <c r="U693" s="2670">
        <v>45266</v>
      </c>
      <c r="V693" s="2728">
        <v>73472</v>
      </c>
      <c r="W693" s="2729">
        <v>45302</v>
      </c>
      <c r="X693" s="2669">
        <v>73472</v>
      </c>
      <c r="Y693" s="2729">
        <v>45314</v>
      </c>
      <c r="Z693" s="2669">
        <f t="shared" si="30"/>
        <v>0</v>
      </c>
      <c r="AA693" s="2734"/>
      <c r="AB693" s="2734"/>
      <c r="AC693" s="2747"/>
      <c r="AD693" s="2614"/>
      <c r="AE693" s="2614"/>
      <c r="AF693" s="2614"/>
      <c r="AG693" s="2614"/>
      <c r="AH693" s="2614"/>
      <c r="AI693" s="2614"/>
    </row>
    <row r="694" s="6" customFormat="1" ht="92" spans="1:35">
      <c r="A694" s="2558"/>
      <c r="B694" s="2532"/>
      <c r="C694" s="2559"/>
      <c r="D694" s="2560"/>
      <c r="E694" s="2573"/>
      <c r="F694" s="2573"/>
      <c r="G694" s="2573"/>
      <c r="H694" s="2573"/>
      <c r="I694" s="2573"/>
      <c r="J694" s="2573"/>
      <c r="K694" s="2593"/>
      <c r="L694" s="2558"/>
      <c r="M694" s="2573">
        <v>5</v>
      </c>
      <c r="N694" s="2615" t="s">
        <v>3356</v>
      </c>
      <c r="O694" s="2616">
        <v>0.1</v>
      </c>
      <c r="P694" s="2617">
        <f>K690*O694</f>
        <v>18368</v>
      </c>
      <c r="Q694" s="2672"/>
      <c r="R694" s="2673"/>
      <c r="S694" s="2674"/>
      <c r="T694" s="2704"/>
      <c r="U694" s="2670"/>
      <c r="V694" s="2728"/>
      <c r="W694" s="2729"/>
      <c r="X694" s="2672"/>
      <c r="Y694" s="2674"/>
      <c r="Z694" s="2669">
        <f t="shared" si="30"/>
        <v>0</v>
      </c>
      <c r="AA694" s="2734"/>
      <c r="AB694" s="2734"/>
      <c r="AC694" s="2747"/>
      <c r="AD694" s="2614"/>
      <c r="AE694" s="2614"/>
      <c r="AF694" s="2614"/>
      <c r="AG694" s="2614"/>
      <c r="AH694" s="2614"/>
      <c r="AI694" s="2614"/>
    </row>
    <row r="695" s="6" customFormat="1" ht="76" spans="1:35">
      <c r="A695" s="2558"/>
      <c r="B695" s="2532"/>
      <c r="C695" s="2559"/>
      <c r="D695" s="2560"/>
      <c r="E695" s="2573"/>
      <c r="F695" s="2573"/>
      <c r="G695" s="2573"/>
      <c r="H695" s="2573"/>
      <c r="I695" s="2573"/>
      <c r="J695" s="2573"/>
      <c r="K695" s="2593">
        <v>876778.9</v>
      </c>
      <c r="L695" s="2558"/>
      <c r="M695" s="2573">
        <v>1</v>
      </c>
      <c r="N695" s="2636" t="s">
        <v>5569</v>
      </c>
      <c r="O695" s="2616">
        <v>0.1</v>
      </c>
      <c r="P695" s="2637">
        <f>491650.1*O695</f>
        <v>49165.01</v>
      </c>
      <c r="Q695" s="2669">
        <v>49165.01</v>
      </c>
      <c r="R695" s="2558" t="s">
        <v>4603</v>
      </c>
      <c r="S695" s="2670">
        <v>45266</v>
      </c>
      <c r="T695" s="2704">
        <v>49165.01</v>
      </c>
      <c r="U695" s="2670">
        <v>45266</v>
      </c>
      <c r="V695" s="2728">
        <v>49165.01</v>
      </c>
      <c r="W695" s="2729">
        <v>45302</v>
      </c>
      <c r="X695" s="2669">
        <v>49165.01</v>
      </c>
      <c r="Y695" s="2729">
        <v>45314</v>
      </c>
      <c r="Z695" s="2669">
        <f t="shared" si="30"/>
        <v>0</v>
      </c>
      <c r="AA695" s="2734"/>
      <c r="AB695" s="2734"/>
      <c r="AC695" s="2747"/>
      <c r="AD695" s="2614"/>
      <c r="AE695" s="2614"/>
      <c r="AF695" s="2614"/>
      <c r="AG695" s="2614"/>
      <c r="AH695" s="2614"/>
      <c r="AI695" s="2614"/>
    </row>
    <row r="696" s="6" customFormat="1" ht="76" spans="1:35">
      <c r="A696" s="2558"/>
      <c r="B696" s="2532"/>
      <c r="C696" s="2559"/>
      <c r="D696" s="2560"/>
      <c r="E696" s="2573"/>
      <c r="F696" s="2573"/>
      <c r="G696" s="2573"/>
      <c r="H696" s="2573"/>
      <c r="I696" s="2573"/>
      <c r="J696" s="2573"/>
      <c r="K696" s="2593"/>
      <c r="L696" s="2558"/>
      <c r="M696" s="2573"/>
      <c r="N696" s="2638" t="s">
        <v>5570</v>
      </c>
      <c r="O696" s="2616"/>
      <c r="P696" s="2639">
        <f>310426.4*O695</f>
        <v>31042.64</v>
      </c>
      <c r="Q696" s="2669">
        <v>31042.64</v>
      </c>
      <c r="R696" s="2558" t="s">
        <v>4603</v>
      </c>
      <c r="S696" s="2670">
        <v>45953</v>
      </c>
      <c r="T696" s="2669">
        <v>31042.64</v>
      </c>
      <c r="U696" s="2670">
        <v>45953</v>
      </c>
      <c r="V696" s="2669">
        <v>31042.64</v>
      </c>
      <c r="W696" s="2729">
        <v>45950</v>
      </c>
      <c r="X696" s="2669">
        <v>31042.64</v>
      </c>
      <c r="Y696" s="2670">
        <v>45961</v>
      </c>
      <c r="Z696" s="2669">
        <f t="shared" si="30"/>
        <v>0</v>
      </c>
      <c r="AA696" s="2734"/>
      <c r="AB696" s="2734"/>
      <c r="AC696" s="2747"/>
      <c r="AD696" s="2614"/>
      <c r="AE696" s="2614"/>
      <c r="AF696" s="2614"/>
      <c r="AG696" s="2614"/>
      <c r="AH696" s="2614"/>
      <c r="AI696" s="2614"/>
    </row>
    <row r="697" s="6" customFormat="1" ht="76" spans="1:35">
      <c r="A697" s="2558"/>
      <c r="B697" s="2532"/>
      <c r="C697" s="2559"/>
      <c r="D697" s="2560"/>
      <c r="E697" s="2573"/>
      <c r="F697" s="2573"/>
      <c r="G697" s="2573"/>
      <c r="H697" s="2573"/>
      <c r="I697" s="2573"/>
      <c r="J697" s="2573"/>
      <c r="K697" s="2593"/>
      <c r="L697" s="2558"/>
      <c r="M697" s="2573"/>
      <c r="N697" s="2615" t="s">
        <v>5571</v>
      </c>
      <c r="O697" s="2616"/>
      <c r="P697" s="2617">
        <f>74702.4*O695</f>
        <v>7470.24</v>
      </c>
      <c r="Q697" s="2669">
        <v>7470.24</v>
      </c>
      <c r="R697" s="2558" t="s">
        <v>4603</v>
      </c>
      <c r="S697" s="2670">
        <v>45953</v>
      </c>
      <c r="T697" s="2669">
        <v>7470.24</v>
      </c>
      <c r="U697" s="2670">
        <v>45953</v>
      </c>
      <c r="V697" s="2669">
        <v>7470.24</v>
      </c>
      <c r="W697" s="2729">
        <v>45950</v>
      </c>
      <c r="X697" s="2669">
        <v>7470.24</v>
      </c>
      <c r="Y697" s="2670">
        <v>45961</v>
      </c>
      <c r="Z697" s="2669">
        <f t="shared" si="30"/>
        <v>0</v>
      </c>
      <c r="AA697" s="2734"/>
      <c r="AB697" s="2734"/>
      <c r="AC697" s="2747"/>
      <c r="AD697" s="2614"/>
      <c r="AE697" s="2614"/>
      <c r="AF697" s="2614"/>
      <c r="AG697" s="2614"/>
      <c r="AH697" s="2614"/>
      <c r="AI697" s="2614"/>
    </row>
    <row r="698" s="6" customFormat="1" ht="107" spans="1:35">
      <c r="A698" s="2558"/>
      <c r="B698" s="2532"/>
      <c r="C698" s="2559"/>
      <c r="D698" s="2560"/>
      <c r="E698" s="2573"/>
      <c r="F698" s="2573"/>
      <c r="G698" s="2573"/>
      <c r="H698" s="2573"/>
      <c r="I698" s="2573"/>
      <c r="J698" s="2573"/>
      <c r="K698" s="2593"/>
      <c r="L698" s="2558"/>
      <c r="M698" s="2573">
        <v>2</v>
      </c>
      <c r="N698" s="2636" t="s">
        <v>5572</v>
      </c>
      <c r="O698" s="2616">
        <v>0.1</v>
      </c>
      <c r="P698" s="2637">
        <f>491650.1*O698</f>
        <v>49165.01</v>
      </c>
      <c r="Q698" s="2669">
        <v>49165.01</v>
      </c>
      <c r="R698" s="2558" t="s">
        <v>4603</v>
      </c>
      <c r="S698" s="2670">
        <v>45266</v>
      </c>
      <c r="T698" s="2704">
        <v>49165.01</v>
      </c>
      <c r="U698" s="2670">
        <v>45266</v>
      </c>
      <c r="V698" s="2728">
        <v>49165.01</v>
      </c>
      <c r="W698" s="2729">
        <v>45302</v>
      </c>
      <c r="X698" s="2669">
        <v>49165.01</v>
      </c>
      <c r="Y698" s="2670">
        <v>45314</v>
      </c>
      <c r="Z698" s="2669">
        <f t="shared" si="30"/>
        <v>0</v>
      </c>
      <c r="AA698" s="2740" t="s">
        <v>2343</v>
      </c>
      <c r="AB698" s="2734"/>
      <c r="AC698" s="2747"/>
      <c r="AD698" s="2614"/>
      <c r="AE698" s="2614"/>
      <c r="AF698" s="2614"/>
      <c r="AG698" s="2614"/>
      <c r="AH698" s="2614"/>
      <c r="AI698" s="2614"/>
    </row>
    <row r="699" s="6" customFormat="1" ht="107" spans="1:35">
      <c r="A699" s="2558"/>
      <c r="B699" s="2532"/>
      <c r="C699" s="2559"/>
      <c r="D699" s="2560"/>
      <c r="E699" s="2573"/>
      <c r="F699" s="2573"/>
      <c r="G699" s="2573"/>
      <c r="H699" s="2573"/>
      <c r="I699" s="2573"/>
      <c r="J699" s="2573"/>
      <c r="K699" s="2593"/>
      <c r="L699" s="2558"/>
      <c r="M699" s="2573"/>
      <c r="N699" s="2638" t="s">
        <v>5573</v>
      </c>
      <c r="O699" s="2616"/>
      <c r="P699" s="2640">
        <f>310426.4*O698</f>
        <v>31042.64</v>
      </c>
      <c r="Q699" s="2669">
        <v>31042.64</v>
      </c>
      <c r="R699" s="2558" t="s">
        <v>4603</v>
      </c>
      <c r="S699" s="2670">
        <v>45953</v>
      </c>
      <c r="T699" s="2669">
        <v>31042.64</v>
      </c>
      <c r="U699" s="2670">
        <v>45953</v>
      </c>
      <c r="V699" s="2669">
        <v>31042.64</v>
      </c>
      <c r="W699" s="2729">
        <v>45950</v>
      </c>
      <c r="X699" s="2669">
        <v>31042.64</v>
      </c>
      <c r="Y699" s="2670">
        <v>45961</v>
      </c>
      <c r="Z699" s="2669">
        <f t="shared" si="30"/>
        <v>0</v>
      </c>
      <c r="AA699" s="2734"/>
      <c r="AB699" s="2734"/>
      <c r="AC699" s="2747"/>
      <c r="AD699" s="2614"/>
      <c r="AE699" s="2614"/>
      <c r="AF699" s="2614"/>
      <c r="AG699" s="2614"/>
      <c r="AH699" s="2614"/>
      <c r="AI699" s="2614"/>
    </row>
    <row r="700" s="6" customFormat="1" ht="107" spans="1:35">
      <c r="A700" s="2558"/>
      <c r="B700" s="2532"/>
      <c r="C700" s="2559"/>
      <c r="D700" s="2560"/>
      <c r="E700" s="2573"/>
      <c r="F700" s="2573"/>
      <c r="G700" s="2573"/>
      <c r="H700" s="2573"/>
      <c r="I700" s="2573"/>
      <c r="J700" s="2573"/>
      <c r="K700" s="2593"/>
      <c r="L700" s="2558"/>
      <c r="M700" s="2573"/>
      <c r="N700" s="2615" t="s">
        <v>5574</v>
      </c>
      <c r="O700" s="2616"/>
      <c r="P700" s="2617">
        <f>74702.4*O698</f>
        <v>7470.24</v>
      </c>
      <c r="Q700" s="2669">
        <v>7470.24</v>
      </c>
      <c r="R700" s="2558" t="s">
        <v>4603</v>
      </c>
      <c r="S700" s="2670">
        <v>45953</v>
      </c>
      <c r="T700" s="2669">
        <v>7470.24</v>
      </c>
      <c r="U700" s="2670">
        <v>45953</v>
      </c>
      <c r="V700" s="2669">
        <v>7470.24</v>
      </c>
      <c r="W700" s="2729">
        <v>45950</v>
      </c>
      <c r="X700" s="2669">
        <v>7470.24</v>
      </c>
      <c r="Y700" s="2670">
        <v>45961</v>
      </c>
      <c r="Z700" s="2669">
        <f t="shared" si="30"/>
        <v>0</v>
      </c>
      <c r="AA700" s="2734"/>
      <c r="AB700" s="2734"/>
      <c r="AC700" s="2747"/>
      <c r="AD700" s="2614"/>
      <c r="AE700" s="2614"/>
      <c r="AF700" s="2614"/>
      <c r="AG700" s="2614"/>
      <c r="AH700" s="2614"/>
      <c r="AI700" s="2614"/>
    </row>
    <row r="701" s="6" customFormat="1" ht="107" spans="1:35">
      <c r="A701" s="2558"/>
      <c r="B701" s="2532"/>
      <c r="C701" s="2559"/>
      <c r="D701" s="2560"/>
      <c r="E701" s="2573"/>
      <c r="F701" s="2573"/>
      <c r="G701" s="2573"/>
      <c r="H701" s="2573"/>
      <c r="I701" s="2573"/>
      <c r="J701" s="2573"/>
      <c r="K701" s="2593"/>
      <c r="L701" s="2558"/>
      <c r="M701" s="2573">
        <v>3</v>
      </c>
      <c r="N701" s="2636" t="s">
        <v>5575</v>
      </c>
      <c r="O701" s="2616">
        <v>0.3</v>
      </c>
      <c r="P701" s="2637">
        <f>491650.1*O701</f>
        <v>147495.03</v>
      </c>
      <c r="Q701" s="2669">
        <v>147495.03</v>
      </c>
      <c r="R701" s="2558" t="s">
        <v>4603</v>
      </c>
      <c r="S701" s="2670">
        <v>45266</v>
      </c>
      <c r="T701" s="2704">
        <v>147495.03</v>
      </c>
      <c r="U701" s="2670">
        <v>45266</v>
      </c>
      <c r="V701" s="2728">
        <v>147495.03</v>
      </c>
      <c r="W701" s="2729">
        <v>45302</v>
      </c>
      <c r="X701" s="2703">
        <v>147495.03</v>
      </c>
      <c r="Y701" s="2670">
        <v>45314</v>
      </c>
      <c r="Z701" s="2669">
        <f t="shared" si="30"/>
        <v>0</v>
      </c>
      <c r="AA701" s="2734"/>
      <c r="AB701" s="2734"/>
      <c r="AC701" s="2747"/>
      <c r="AD701" s="2614"/>
      <c r="AE701" s="2614"/>
      <c r="AF701" s="2614"/>
      <c r="AG701" s="2614"/>
      <c r="AH701" s="2614"/>
      <c r="AI701" s="2614"/>
    </row>
    <row r="702" s="6" customFormat="1" ht="107" spans="1:35">
      <c r="A702" s="2558"/>
      <c r="B702" s="2532"/>
      <c r="C702" s="2559"/>
      <c r="D702" s="2560"/>
      <c r="E702" s="2573"/>
      <c r="F702" s="2573"/>
      <c r="G702" s="2573"/>
      <c r="H702" s="2573"/>
      <c r="I702" s="2573"/>
      <c r="J702" s="2573"/>
      <c r="K702" s="2593"/>
      <c r="L702" s="2558"/>
      <c r="M702" s="2573"/>
      <c r="N702" s="2638" t="s">
        <v>5576</v>
      </c>
      <c r="O702" s="2616"/>
      <c r="P702" s="2640">
        <f>310426.4*O701</f>
        <v>93127.92</v>
      </c>
      <c r="Q702" s="2669">
        <v>93127.92</v>
      </c>
      <c r="R702" s="2558" t="s">
        <v>4603</v>
      </c>
      <c r="S702" s="2670">
        <v>45953</v>
      </c>
      <c r="T702" s="2669">
        <v>93127.92</v>
      </c>
      <c r="U702" s="2670">
        <v>45953</v>
      </c>
      <c r="V702" s="2669">
        <v>93127.92</v>
      </c>
      <c r="W702" s="2729">
        <v>45950</v>
      </c>
      <c r="X702" s="2669">
        <v>93127.92</v>
      </c>
      <c r="Y702" s="2670">
        <v>45961</v>
      </c>
      <c r="Z702" s="2669">
        <f t="shared" si="30"/>
        <v>0</v>
      </c>
      <c r="AA702" s="2734"/>
      <c r="AB702" s="2734"/>
      <c r="AC702" s="2747"/>
      <c r="AD702" s="2614"/>
      <c r="AE702" s="2614"/>
      <c r="AF702" s="2614"/>
      <c r="AG702" s="2614"/>
      <c r="AH702" s="2614"/>
      <c r="AI702" s="2614"/>
    </row>
    <row r="703" s="6" customFormat="1" ht="107" spans="1:35">
      <c r="A703" s="2558"/>
      <c r="B703" s="2532"/>
      <c r="C703" s="2559"/>
      <c r="D703" s="2560"/>
      <c r="E703" s="2573"/>
      <c r="F703" s="2573"/>
      <c r="G703" s="2573"/>
      <c r="H703" s="2573"/>
      <c r="I703" s="2573"/>
      <c r="J703" s="2573"/>
      <c r="K703" s="2593"/>
      <c r="L703" s="2558"/>
      <c r="M703" s="2573"/>
      <c r="N703" s="2615" t="s">
        <v>5577</v>
      </c>
      <c r="O703" s="2616"/>
      <c r="P703" s="2617">
        <f>74702.4*O701</f>
        <v>22410.72</v>
      </c>
      <c r="Q703" s="2669">
        <v>22410.72</v>
      </c>
      <c r="R703" s="2558" t="s">
        <v>4603</v>
      </c>
      <c r="S703" s="2670">
        <v>45953</v>
      </c>
      <c r="T703" s="2669">
        <v>22410.72</v>
      </c>
      <c r="U703" s="2670">
        <v>45953</v>
      </c>
      <c r="V703" s="2669">
        <v>22410.72</v>
      </c>
      <c r="W703" s="2729">
        <v>45950</v>
      </c>
      <c r="X703" s="2669">
        <v>22410.72</v>
      </c>
      <c r="Y703" s="2670">
        <v>45961</v>
      </c>
      <c r="Z703" s="2669">
        <f t="shared" si="30"/>
        <v>0</v>
      </c>
      <c r="AA703" s="2734"/>
      <c r="AB703" s="2734"/>
      <c r="AC703" s="2747"/>
      <c r="AD703" s="2614"/>
      <c r="AE703" s="2614"/>
      <c r="AF703" s="2614"/>
      <c r="AG703" s="2614"/>
      <c r="AH703" s="2614"/>
      <c r="AI703" s="2614"/>
    </row>
    <row r="704" s="6" customFormat="1" ht="107" spans="1:35">
      <c r="A704" s="2558"/>
      <c r="B704" s="2532"/>
      <c r="C704" s="2559"/>
      <c r="D704" s="2560"/>
      <c r="E704" s="2573"/>
      <c r="F704" s="2573"/>
      <c r="G704" s="2573"/>
      <c r="H704" s="2573"/>
      <c r="I704" s="2573"/>
      <c r="J704" s="2573"/>
      <c r="K704" s="2593"/>
      <c r="L704" s="2558"/>
      <c r="M704" s="2573">
        <v>4</v>
      </c>
      <c r="N704" s="2636" t="s">
        <v>5578</v>
      </c>
      <c r="O704" s="2616">
        <v>0.3</v>
      </c>
      <c r="P704" s="2637">
        <f>491650.1*O704</f>
        <v>147495.03</v>
      </c>
      <c r="Q704" s="2669">
        <v>147495.03</v>
      </c>
      <c r="R704" s="2558" t="s">
        <v>4603</v>
      </c>
      <c r="S704" s="2670">
        <v>45469</v>
      </c>
      <c r="T704" s="2704">
        <v>147495.03</v>
      </c>
      <c r="U704" s="2670">
        <v>45469</v>
      </c>
      <c r="V704" s="2728">
        <v>147495.03</v>
      </c>
      <c r="W704" s="2729">
        <v>45485</v>
      </c>
      <c r="X704" s="2669">
        <v>147495.03</v>
      </c>
      <c r="Y704" s="2741">
        <v>45502</v>
      </c>
      <c r="Z704" s="2669">
        <f t="shared" si="30"/>
        <v>0</v>
      </c>
      <c r="AA704" s="2734"/>
      <c r="AB704" s="2734"/>
      <c r="AC704" s="2747"/>
      <c r="AD704" s="2614"/>
      <c r="AE704" s="2614"/>
      <c r="AF704" s="2614"/>
      <c r="AG704" s="2614"/>
      <c r="AH704" s="2614"/>
      <c r="AI704" s="2614"/>
    </row>
    <row r="705" s="6" customFormat="1" ht="107" spans="1:35">
      <c r="A705" s="2558"/>
      <c r="B705" s="2532"/>
      <c r="C705" s="2559"/>
      <c r="D705" s="2560"/>
      <c r="E705" s="2573"/>
      <c r="F705" s="2573"/>
      <c r="G705" s="2573"/>
      <c r="H705" s="2573"/>
      <c r="I705" s="2573"/>
      <c r="J705" s="2573"/>
      <c r="K705" s="2593"/>
      <c r="L705" s="2558"/>
      <c r="M705" s="2573"/>
      <c r="N705" s="2638" t="s">
        <v>5579</v>
      </c>
      <c r="O705" s="2616"/>
      <c r="P705" s="2640">
        <f>310426.4*O704</f>
        <v>93127.92</v>
      </c>
      <c r="Q705" s="2669">
        <v>93127.92</v>
      </c>
      <c r="R705" s="2558" t="s">
        <v>4603</v>
      </c>
      <c r="S705" s="2670">
        <v>45953</v>
      </c>
      <c r="T705" s="2669">
        <v>93127.92</v>
      </c>
      <c r="U705" s="2670">
        <v>45953</v>
      </c>
      <c r="V705" s="2669">
        <v>93127.92</v>
      </c>
      <c r="W705" s="2729">
        <v>45950</v>
      </c>
      <c r="X705" s="2669">
        <v>93127.92</v>
      </c>
      <c r="Y705" s="2670">
        <v>45961</v>
      </c>
      <c r="Z705" s="2669">
        <f t="shared" si="30"/>
        <v>0</v>
      </c>
      <c r="AA705" s="2734"/>
      <c r="AB705" s="2734"/>
      <c r="AC705" s="2747"/>
      <c r="AD705" s="2614"/>
      <c r="AE705" s="2614"/>
      <c r="AF705" s="2614"/>
      <c r="AG705" s="2614"/>
      <c r="AH705" s="2614"/>
      <c r="AI705" s="2614"/>
    </row>
    <row r="706" s="6" customFormat="1" ht="92" spans="1:35">
      <c r="A706" s="2558"/>
      <c r="B706" s="2532"/>
      <c r="C706" s="2559"/>
      <c r="D706" s="2560"/>
      <c r="E706" s="2573"/>
      <c r="F706" s="2573"/>
      <c r="G706" s="2573"/>
      <c r="H706" s="2573"/>
      <c r="I706" s="2573"/>
      <c r="J706" s="2573"/>
      <c r="K706" s="2593"/>
      <c r="L706" s="2558"/>
      <c r="M706" s="2573"/>
      <c r="N706" s="2615" t="s">
        <v>5580</v>
      </c>
      <c r="O706" s="2616"/>
      <c r="P706" s="2617">
        <f>74702.4*O704</f>
        <v>22410.72</v>
      </c>
      <c r="Q706" s="2669">
        <v>22410.72</v>
      </c>
      <c r="R706" s="2558" t="s">
        <v>4603</v>
      </c>
      <c r="S706" s="2670">
        <v>45953</v>
      </c>
      <c r="T706" s="2669">
        <v>22410.72</v>
      </c>
      <c r="U706" s="2670">
        <v>45953</v>
      </c>
      <c r="V706" s="2669">
        <v>22410.72</v>
      </c>
      <c r="W706" s="2729">
        <v>45950</v>
      </c>
      <c r="X706" s="2669">
        <v>22410.72</v>
      </c>
      <c r="Y706" s="2670">
        <v>45961</v>
      </c>
      <c r="Z706" s="2669">
        <f t="shared" si="30"/>
        <v>0</v>
      </c>
      <c r="AA706" s="2734"/>
      <c r="AB706" s="2734"/>
      <c r="AC706" s="2747"/>
      <c r="AD706" s="2614"/>
      <c r="AE706" s="2614"/>
      <c r="AF706" s="2614"/>
      <c r="AG706" s="2614"/>
      <c r="AH706" s="2614"/>
      <c r="AI706" s="2614"/>
    </row>
    <row r="707" s="6" customFormat="1" ht="137" spans="1:35">
      <c r="A707" s="2558"/>
      <c r="B707" s="2532"/>
      <c r="C707" s="2559"/>
      <c r="D707" s="2560"/>
      <c r="E707" s="2573"/>
      <c r="F707" s="2573"/>
      <c r="G707" s="2573"/>
      <c r="H707" s="2573"/>
      <c r="I707" s="2573"/>
      <c r="J707" s="2573"/>
      <c r="K707" s="2593"/>
      <c r="L707" s="2558"/>
      <c r="M707" s="2565">
        <v>5</v>
      </c>
      <c r="N707" s="2636" t="s">
        <v>5581</v>
      </c>
      <c r="O707" s="2800">
        <v>0.1</v>
      </c>
      <c r="P707" s="2617">
        <v>49165.01</v>
      </c>
      <c r="Q707" s="2669">
        <v>49165.01</v>
      </c>
      <c r="R707" s="2558" t="s">
        <v>4603</v>
      </c>
      <c r="S707" s="2670">
        <v>45953</v>
      </c>
      <c r="T707" s="2669">
        <v>49165.01</v>
      </c>
      <c r="U707" s="2670">
        <v>45953</v>
      </c>
      <c r="V707" s="2669">
        <v>49165.01</v>
      </c>
      <c r="W707" s="2729">
        <v>45950</v>
      </c>
      <c r="X707" s="2669">
        <v>49165.01</v>
      </c>
      <c r="Y707" s="2670">
        <v>45961</v>
      </c>
      <c r="Z707" s="2669">
        <f t="shared" si="30"/>
        <v>0</v>
      </c>
      <c r="AA707" s="2734"/>
      <c r="AB707" s="2734"/>
      <c r="AC707" s="2747"/>
      <c r="AD707" s="2614"/>
      <c r="AE707" s="2614"/>
      <c r="AF707" s="2614"/>
      <c r="AG707" s="2614"/>
      <c r="AH707" s="2614"/>
      <c r="AI707" s="2614"/>
    </row>
    <row r="708" s="6" customFormat="1" ht="137" spans="1:35">
      <c r="A708" s="2558"/>
      <c r="B708" s="2532"/>
      <c r="C708" s="2559"/>
      <c r="D708" s="2560"/>
      <c r="E708" s="2573"/>
      <c r="F708" s="2573"/>
      <c r="G708" s="2573"/>
      <c r="H708" s="2573"/>
      <c r="I708" s="2573"/>
      <c r="J708" s="2573"/>
      <c r="K708" s="2593"/>
      <c r="L708" s="2558"/>
      <c r="M708" s="2785"/>
      <c r="N708" s="2638" t="s">
        <v>5582</v>
      </c>
      <c r="O708" s="2801"/>
      <c r="P708" s="2617">
        <v>31042.64</v>
      </c>
      <c r="Q708" s="2669">
        <v>31042.64</v>
      </c>
      <c r="R708" s="2558" t="s">
        <v>4603</v>
      </c>
      <c r="S708" s="2670">
        <v>45953</v>
      </c>
      <c r="T708" s="2669">
        <v>31042.64</v>
      </c>
      <c r="U708" s="2670">
        <v>45953</v>
      </c>
      <c r="V708" s="2669">
        <v>31042.64</v>
      </c>
      <c r="W708" s="2729">
        <v>45950</v>
      </c>
      <c r="X708" s="2669">
        <v>31042.64</v>
      </c>
      <c r="Y708" s="2670">
        <v>45961</v>
      </c>
      <c r="Z708" s="2669">
        <f t="shared" si="30"/>
        <v>0</v>
      </c>
      <c r="AA708" s="2734"/>
      <c r="AB708" s="2734"/>
      <c r="AC708" s="2747"/>
      <c r="AD708" s="2614"/>
      <c r="AE708" s="2614"/>
      <c r="AF708" s="2614"/>
      <c r="AG708" s="2614"/>
      <c r="AH708" s="2614"/>
      <c r="AI708" s="2614"/>
    </row>
    <row r="709" s="6" customFormat="1" ht="137" spans="1:35">
      <c r="A709" s="2558"/>
      <c r="B709" s="2532"/>
      <c r="C709" s="2559"/>
      <c r="D709" s="2560"/>
      <c r="E709" s="2573"/>
      <c r="F709" s="2573"/>
      <c r="G709" s="2573"/>
      <c r="H709" s="2573"/>
      <c r="I709" s="2573"/>
      <c r="J709" s="2573"/>
      <c r="K709" s="2593"/>
      <c r="L709" s="2558"/>
      <c r="M709" s="2786"/>
      <c r="N709" s="2615" t="s">
        <v>5583</v>
      </c>
      <c r="O709" s="2802"/>
      <c r="P709" s="2617">
        <v>7470.24</v>
      </c>
      <c r="Q709" s="2669">
        <v>7470.24</v>
      </c>
      <c r="R709" s="2558" t="s">
        <v>4603</v>
      </c>
      <c r="S709" s="2670">
        <v>45953</v>
      </c>
      <c r="T709" s="2669">
        <v>7470.24</v>
      </c>
      <c r="U709" s="2670">
        <v>45953</v>
      </c>
      <c r="V709" s="2669">
        <v>7470.24</v>
      </c>
      <c r="W709" s="2729">
        <v>45950</v>
      </c>
      <c r="X709" s="2669">
        <v>7470.24</v>
      </c>
      <c r="Y709" s="2670">
        <v>45961</v>
      </c>
      <c r="Z709" s="2669">
        <f t="shared" si="30"/>
        <v>0</v>
      </c>
      <c r="AA709" s="2734"/>
      <c r="AB709" s="2734"/>
      <c r="AC709" s="2747"/>
      <c r="AD709" s="2614"/>
      <c r="AE709" s="2614"/>
      <c r="AF709" s="2614"/>
      <c r="AG709" s="2614"/>
      <c r="AH709" s="2614"/>
      <c r="AI709" s="2614"/>
    </row>
    <row r="710" s="6" customFormat="1" ht="92" spans="1:35">
      <c r="A710" s="2558"/>
      <c r="B710" s="2532"/>
      <c r="C710" s="2559"/>
      <c r="D710" s="2560"/>
      <c r="E710" s="2573"/>
      <c r="F710" s="2573"/>
      <c r="G710" s="2573"/>
      <c r="H710" s="2573"/>
      <c r="I710" s="2573"/>
      <c r="J710" s="2573"/>
      <c r="K710" s="2593"/>
      <c r="L710" s="2558"/>
      <c r="M710" s="2573">
        <v>6</v>
      </c>
      <c r="N710" s="2636" t="s">
        <v>3356</v>
      </c>
      <c r="O710" s="2616">
        <v>0.1</v>
      </c>
      <c r="P710" s="2637">
        <f>491650.1*O710</f>
        <v>49165.01</v>
      </c>
      <c r="Q710" s="2669"/>
      <c r="R710" s="2558"/>
      <c r="S710" s="2670"/>
      <c r="T710" s="2704"/>
      <c r="U710" s="2670"/>
      <c r="V710" s="2728"/>
      <c r="W710" s="2729"/>
      <c r="X710" s="2669"/>
      <c r="Y710" s="2729"/>
      <c r="Z710" s="2669">
        <f t="shared" si="30"/>
        <v>0</v>
      </c>
      <c r="AA710" s="2734"/>
      <c r="AB710" s="2734"/>
      <c r="AC710" s="2747"/>
      <c r="AD710" s="2614"/>
      <c r="AE710" s="2614"/>
      <c r="AF710" s="2614"/>
      <c r="AG710" s="2614"/>
      <c r="AH710" s="2614"/>
      <c r="AI710" s="2614"/>
    </row>
    <row r="711" s="6" customFormat="1" ht="92" spans="1:35">
      <c r="A711" s="2558"/>
      <c r="B711" s="2532"/>
      <c r="C711" s="2559"/>
      <c r="D711" s="2560"/>
      <c r="E711" s="2573"/>
      <c r="F711" s="2573"/>
      <c r="G711" s="2573"/>
      <c r="H711" s="2573"/>
      <c r="I711" s="2573"/>
      <c r="J711" s="2573"/>
      <c r="K711" s="2593"/>
      <c r="L711" s="2558"/>
      <c r="M711" s="2573"/>
      <c r="N711" s="2638" t="s">
        <v>3356</v>
      </c>
      <c r="O711" s="2616"/>
      <c r="P711" s="2640">
        <f>310426.4*O710</f>
        <v>31042.64</v>
      </c>
      <c r="Q711" s="2669"/>
      <c r="R711" s="2558"/>
      <c r="S711" s="2670"/>
      <c r="T711" s="2704"/>
      <c r="U711" s="2670"/>
      <c r="V711" s="2728"/>
      <c r="W711" s="2729"/>
      <c r="X711" s="2669"/>
      <c r="Y711" s="2729"/>
      <c r="Z711" s="2669">
        <f t="shared" si="30"/>
        <v>0</v>
      </c>
      <c r="AA711" s="2734"/>
      <c r="AB711" s="2734"/>
      <c r="AC711" s="2747"/>
      <c r="AD711" s="2614"/>
      <c r="AE711" s="2614"/>
      <c r="AF711" s="2614"/>
      <c r="AG711" s="2614"/>
      <c r="AH711" s="2614"/>
      <c r="AI711" s="2614"/>
    </row>
    <row r="712" s="6" customFormat="1" ht="92" spans="1:35">
      <c r="A712" s="2558"/>
      <c r="B712" s="2536"/>
      <c r="C712" s="2559"/>
      <c r="D712" s="2560"/>
      <c r="E712" s="2573"/>
      <c r="F712" s="2573"/>
      <c r="G712" s="2573"/>
      <c r="H712" s="2573"/>
      <c r="I712" s="2573"/>
      <c r="J712" s="2573"/>
      <c r="K712" s="2593"/>
      <c r="L712" s="2558"/>
      <c r="M712" s="2573"/>
      <c r="N712" s="2615" t="s">
        <v>3356</v>
      </c>
      <c r="O712" s="2616"/>
      <c r="P712" s="2617">
        <f>74702.4*O710</f>
        <v>7470.24</v>
      </c>
      <c r="Q712" s="2669"/>
      <c r="R712" s="2558"/>
      <c r="S712" s="2670"/>
      <c r="T712" s="2704"/>
      <c r="U712" s="2670"/>
      <c r="V712" s="2728"/>
      <c r="W712" s="2729"/>
      <c r="X712" s="2669"/>
      <c r="Y712" s="2729"/>
      <c r="Z712" s="2669">
        <f t="shared" si="30"/>
        <v>0</v>
      </c>
      <c r="AA712" s="2734"/>
      <c r="AB712" s="2734"/>
      <c r="AC712" s="2747"/>
      <c r="AD712" s="2614"/>
      <c r="AE712" s="2614"/>
      <c r="AF712" s="2614"/>
      <c r="AG712" s="2614"/>
      <c r="AH712" s="2614"/>
      <c r="AI712" s="2614"/>
    </row>
    <row r="713" s="6" customFormat="1" ht="107" spans="1:35">
      <c r="A713" s="393" t="s">
        <v>1951</v>
      </c>
      <c r="B713" s="2540">
        <v>45236</v>
      </c>
      <c r="C713" s="395" t="s">
        <v>5549</v>
      </c>
      <c r="D713" s="2543"/>
      <c r="E713" s="418" t="s">
        <v>5584</v>
      </c>
      <c r="F713" s="418" t="s">
        <v>5585</v>
      </c>
      <c r="G713" s="418" t="s">
        <v>4676</v>
      </c>
      <c r="H713" s="418" t="s">
        <v>5586</v>
      </c>
      <c r="I713" s="418">
        <v>54819.78</v>
      </c>
      <c r="J713" s="418" t="s">
        <v>5587</v>
      </c>
      <c r="K713" s="2788">
        <v>148013.41</v>
      </c>
      <c r="L713" s="393" t="s">
        <v>32</v>
      </c>
      <c r="M713" s="418">
        <v>1</v>
      </c>
      <c r="N713" s="480" t="s">
        <v>5588</v>
      </c>
      <c r="O713" s="481">
        <v>0.4</v>
      </c>
      <c r="P713" s="2621">
        <f>K713*O713</f>
        <v>59205.364</v>
      </c>
      <c r="Q713" s="1856">
        <v>59205.364</v>
      </c>
      <c r="R713" s="393" t="s">
        <v>4603</v>
      </c>
      <c r="S713" s="2715">
        <v>45267</v>
      </c>
      <c r="T713" s="2682">
        <v>59205.364</v>
      </c>
      <c r="U713" s="2715">
        <v>45267</v>
      </c>
      <c r="V713" s="2682">
        <v>59205.364</v>
      </c>
      <c r="W713" s="2717">
        <v>45296</v>
      </c>
      <c r="X713" s="1856">
        <v>59205.36</v>
      </c>
      <c r="Y713" s="2717">
        <v>45439</v>
      </c>
      <c r="Z713" s="1856">
        <f t="shared" si="30"/>
        <v>0.00400000000081491</v>
      </c>
      <c r="AA713" s="2735"/>
      <c r="AB713" s="2735"/>
      <c r="AC713" s="2749"/>
      <c r="AD713" s="2750"/>
      <c r="AE713" s="2750"/>
      <c r="AF713" s="2750"/>
      <c r="AG713" s="2750"/>
      <c r="AH713" s="2750"/>
      <c r="AI713" s="2750"/>
    </row>
    <row r="714" s="6" customFormat="1" ht="122" spans="1:35">
      <c r="A714" s="393"/>
      <c r="B714" s="2542"/>
      <c r="C714" s="395"/>
      <c r="D714" s="2543"/>
      <c r="E714" s="418"/>
      <c r="F714" s="418"/>
      <c r="G714" s="418"/>
      <c r="H714" s="418"/>
      <c r="I714" s="418"/>
      <c r="J714" s="418"/>
      <c r="K714" s="2788"/>
      <c r="L714" s="393"/>
      <c r="M714" s="418">
        <v>2</v>
      </c>
      <c r="N714" s="480" t="s">
        <v>5589</v>
      </c>
      <c r="O714" s="481">
        <v>0.55</v>
      </c>
      <c r="P714" s="2621">
        <f>K713*O714</f>
        <v>81407.3755</v>
      </c>
      <c r="Q714" s="1856">
        <v>81407.3755</v>
      </c>
      <c r="R714" s="393" t="s">
        <v>4603</v>
      </c>
      <c r="S714" s="2715">
        <v>45267</v>
      </c>
      <c r="T714" s="2682">
        <v>81407.3755</v>
      </c>
      <c r="U714" s="2715">
        <v>45267</v>
      </c>
      <c r="V714" s="2682">
        <v>81407.3755</v>
      </c>
      <c r="W714" s="2717">
        <v>45296</v>
      </c>
      <c r="X714" s="1856">
        <v>81407.3755</v>
      </c>
      <c r="Y714" s="2717">
        <v>45470</v>
      </c>
      <c r="Z714" s="1856">
        <f t="shared" si="30"/>
        <v>0</v>
      </c>
      <c r="AA714" s="2735"/>
      <c r="AB714" s="2735"/>
      <c r="AC714" s="2749"/>
      <c r="AD714" s="2750"/>
      <c r="AE714" s="2750"/>
      <c r="AF714" s="2750"/>
      <c r="AG714" s="2750"/>
      <c r="AH714" s="2750"/>
      <c r="AI714" s="2750"/>
    </row>
    <row r="715" s="6" customFormat="1" ht="107" spans="1:35">
      <c r="A715" s="393"/>
      <c r="B715" s="2760"/>
      <c r="C715" s="395"/>
      <c r="D715" s="2543"/>
      <c r="E715" s="418"/>
      <c r="F715" s="418"/>
      <c r="G715" s="418"/>
      <c r="H715" s="418"/>
      <c r="I715" s="418"/>
      <c r="J715" s="418"/>
      <c r="K715" s="2788"/>
      <c r="L715" s="393"/>
      <c r="M715" s="418">
        <v>3</v>
      </c>
      <c r="N715" s="480" t="s">
        <v>5590</v>
      </c>
      <c r="O715" s="481">
        <v>0.05</v>
      </c>
      <c r="P715" s="2621">
        <f>K713*O715</f>
        <v>7400.6705</v>
      </c>
      <c r="Q715" s="2683">
        <v>7400.6705</v>
      </c>
      <c r="R715" s="519" t="s">
        <v>349</v>
      </c>
      <c r="S715" s="2819">
        <v>46021</v>
      </c>
      <c r="T715" s="2682"/>
      <c r="U715" s="2715"/>
      <c r="V715" s="2716"/>
      <c r="W715" s="2717"/>
      <c r="X715" s="2683">
        <v>7400.6705</v>
      </c>
      <c r="Y715" s="2819">
        <v>46021</v>
      </c>
      <c r="Z715" s="1856">
        <f t="shared" si="30"/>
        <v>0</v>
      </c>
      <c r="AA715" s="2735"/>
      <c r="AB715" s="2735"/>
      <c r="AC715" s="2749"/>
      <c r="AD715" s="2750"/>
      <c r="AE715" s="2750"/>
      <c r="AF715" s="2750"/>
      <c r="AG715" s="2750"/>
      <c r="AH715" s="2750"/>
      <c r="AI715" s="2750"/>
    </row>
    <row r="716" s="6" customFormat="1" ht="76" spans="1:35">
      <c r="A716" s="852" t="s">
        <v>1951</v>
      </c>
      <c r="B716" s="630">
        <v>45287</v>
      </c>
      <c r="C716" s="2761" t="s">
        <v>5549</v>
      </c>
      <c r="D716" s="2762"/>
      <c r="E716" s="680" t="s">
        <v>5591</v>
      </c>
      <c r="F716" s="680" t="s">
        <v>5592</v>
      </c>
      <c r="G716" s="680" t="s">
        <v>5540</v>
      </c>
      <c r="H716" s="680" t="s">
        <v>1891</v>
      </c>
      <c r="I716" s="680">
        <v>54784.26</v>
      </c>
      <c r="J716" s="680" t="s">
        <v>5593</v>
      </c>
      <c r="K716" s="2789">
        <v>400000</v>
      </c>
      <c r="L716" s="2790" t="s">
        <v>126</v>
      </c>
      <c r="M716" s="678">
        <v>1</v>
      </c>
      <c r="N716" s="2339" t="s">
        <v>5594</v>
      </c>
      <c r="O716" s="2803">
        <v>0.2</v>
      </c>
      <c r="P716" s="2804">
        <f>K716*O716</f>
        <v>80000</v>
      </c>
      <c r="Q716" s="2804">
        <v>80000</v>
      </c>
      <c r="R716" s="893" t="s">
        <v>4603</v>
      </c>
      <c r="S716" s="2820">
        <v>45288</v>
      </c>
      <c r="T716" s="2804">
        <v>80000</v>
      </c>
      <c r="U716" s="2820">
        <v>45288</v>
      </c>
      <c r="V716" s="2844">
        <v>80000</v>
      </c>
      <c r="W716" s="2845">
        <v>45307</v>
      </c>
      <c r="X716" s="2804">
        <v>80000</v>
      </c>
      <c r="Y716" s="2845">
        <v>45316</v>
      </c>
      <c r="Z716" s="2804">
        <f t="shared" si="30"/>
        <v>0</v>
      </c>
      <c r="AA716" s="9"/>
      <c r="AB716" s="9"/>
      <c r="AC716" s="2858"/>
      <c r="AD716" s="39"/>
      <c r="AE716" s="39"/>
      <c r="AF716" s="39"/>
      <c r="AG716" s="39"/>
      <c r="AH716" s="39"/>
      <c r="AI716" s="39"/>
    </row>
    <row r="717" s="6" customFormat="1" ht="76" spans="1:35">
      <c r="A717" s="852"/>
      <c r="B717" s="2763"/>
      <c r="C717" s="2764"/>
      <c r="D717" s="2765"/>
      <c r="E717" s="2783"/>
      <c r="F717" s="2783"/>
      <c r="G717" s="2783"/>
      <c r="H717" s="2783"/>
      <c r="I717" s="2783"/>
      <c r="J717" s="2783"/>
      <c r="K717" s="2791"/>
      <c r="L717" s="2792"/>
      <c r="M717" s="678">
        <v>2</v>
      </c>
      <c r="N717" s="2339" t="s">
        <v>5595</v>
      </c>
      <c r="O717" s="2803">
        <v>0.3</v>
      </c>
      <c r="P717" s="2804">
        <f>K716*O717</f>
        <v>120000</v>
      </c>
      <c r="Q717" s="2804">
        <v>120000</v>
      </c>
      <c r="R717" s="893" t="s">
        <v>4603</v>
      </c>
      <c r="S717" s="2820">
        <v>45288</v>
      </c>
      <c r="T717" s="2804">
        <v>120000</v>
      </c>
      <c r="U717" s="2820">
        <v>45288</v>
      </c>
      <c r="V717" s="2844">
        <v>120000</v>
      </c>
      <c r="W717" s="2845">
        <v>45307</v>
      </c>
      <c r="X717" s="2804">
        <v>120000</v>
      </c>
      <c r="Y717" s="2845">
        <v>45316</v>
      </c>
      <c r="Z717" s="2804">
        <f t="shared" si="30"/>
        <v>0</v>
      </c>
      <c r="AA717" s="9"/>
      <c r="AB717" s="9"/>
      <c r="AC717" s="2858"/>
      <c r="AD717" s="39"/>
      <c r="AE717" s="39"/>
      <c r="AF717" s="39"/>
      <c r="AG717" s="39"/>
      <c r="AH717" s="39"/>
      <c r="AI717" s="39"/>
    </row>
    <row r="718" s="6" customFormat="1" ht="76" spans="1:35">
      <c r="A718" s="852"/>
      <c r="B718" s="2763"/>
      <c r="C718" s="2764"/>
      <c r="D718" s="2765"/>
      <c r="E718" s="2783"/>
      <c r="F718" s="2783"/>
      <c r="G718" s="2783"/>
      <c r="H718" s="2783"/>
      <c r="I718" s="2783"/>
      <c r="J718" s="2783"/>
      <c r="K718" s="2791"/>
      <c r="L718" s="2792"/>
      <c r="M718" s="678">
        <v>3</v>
      </c>
      <c r="N718" s="2339" t="s">
        <v>5596</v>
      </c>
      <c r="O718" s="2803">
        <v>0.2</v>
      </c>
      <c r="P718" s="2804">
        <f>K716*O718</f>
        <v>80000</v>
      </c>
      <c r="Q718" s="2804">
        <v>80000</v>
      </c>
      <c r="R718" s="893" t="s">
        <v>4603</v>
      </c>
      <c r="S718" s="2820">
        <v>45288</v>
      </c>
      <c r="T718" s="2804">
        <v>80000</v>
      </c>
      <c r="U718" s="2820">
        <v>45288</v>
      </c>
      <c r="V718" s="2844">
        <v>80000</v>
      </c>
      <c r="W718" s="2845">
        <v>45307</v>
      </c>
      <c r="X718" s="2846">
        <v>80000</v>
      </c>
      <c r="Y718" s="2845">
        <v>45410</v>
      </c>
      <c r="Z718" s="2804">
        <f t="shared" si="30"/>
        <v>0</v>
      </c>
      <c r="AA718" s="9"/>
      <c r="AB718" s="9"/>
      <c r="AC718" s="2858"/>
      <c r="AD718" s="39"/>
      <c r="AE718" s="39"/>
      <c r="AF718" s="39"/>
      <c r="AG718" s="39"/>
      <c r="AH718" s="39"/>
      <c r="AI718" s="39"/>
    </row>
    <row r="719" s="6" customFormat="1" ht="92" spans="1:35">
      <c r="A719" s="852"/>
      <c r="B719" s="2763"/>
      <c r="C719" s="2764"/>
      <c r="D719" s="2765"/>
      <c r="E719" s="2783"/>
      <c r="F719" s="2783"/>
      <c r="G719" s="2783"/>
      <c r="H719" s="2783"/>
      <c r="I719" s="2783"/>
      <c r="J719" s="2783"/>
      <c r="K719" s="2791"/>
      <c r="L719" s="2792"/>
      <c r="M719" s="678">
        <v>4</v>
      </c>
      <c r="N719" s="2339" t="s">
        <v>5597</v>
      </c>
      <c r="O719" s="2803">
        <v>0.25</v>
      </c>
      <c r="P719" s="2804">
        <f>K716*O719</f>
        <v>100000</v>
      </c>
      <c r="Q719" s="2804">
        <v>100000</v>
      </c>
      <c r="R719" s="893" t="s">
        <v>4603</v>
      </c>
      <c r="S719" s="2820">
        <v>45288</v>
      </c>
      <c r="T719" s="2804">
        <v>100000</v>
      </c>
      <c r="U719" s="2820">
        <v>45288</v>
      </c>
      <c r="V719" s="2844">
        <v>100000</v>
      </c>
      <c r="W719" s="2845">
        <v>45307</v>
      </c>
      <c r="X719" s="2846">
        <v>100000</v>
      </c>
      <c r="Y719" s="2845">
        <v>45410</v>
      </c>
      <c r="Z719" s="2804">
        <f t="shared" si="30"/>
        <v>0</v>
      </c>
      <c r="AA719" s="9"/>
      <c r="AB719" s="9"/>
      <c r="AC719" s="2858"/>
      <c r="AD719" s="39"/>
      <c r="AE719" s="39"/>
      <c r="AF719" s="39"/>
      <c r="AG719" s="39"/>
      <c r="AH719" s="39"/>
      <c r="AI719" s="39"/>
    </row>
    <row r="720" s="6" customFormat="1" ht="61" spans="1:35">
      <c r="A720" s="852"/>
      <c r="B720" s="2766"/>
      <c r="C720" s="2767"/>
      <c r="D720" s="2768"/>
      <c r="E720" s="1110"/>
      <c r="F720" s="1110"/>
      <c r="G720" s="1110"/>
      <c r="H720" s="1110"/>
      <c r="I720" s="1110"/>
      <c r="J720" s="1110"/>
      <c r="K720" s="2793"/>
      <c r="L720" s="2794"/>
      <c r="M720" s="678">
        <v>5</v>
      </c>
      <c r="N720" s="2339" t="s">
        <v>5598</v>
      </c>
      <c r="O720" s="2803">
        <v>0.05</v>
      </c>
      <c r="P720" s="2804">
        <f>K716*O720</f>
        <v>20000</v>
      </c>
      <c r="Q720" s="2821">
        <v>20000</v>
      </c>
      <c r="R720" s="2822" t="s">
        <v>349</v>
      </c>
      <c r="S720" s="2823"/>
      <c r="T720" s="2824"/>
      <c r="U720" s="2820"/>
      <c r="V720" s="2844"/>
      <c r="W720" s="2845"/>
      <c r="X720" s="2821">
        <v>20000</v>
      </c>
      <c r="Y720" s="2823"/>
      <c r="Z720" s="2804">
        <f t="shared" si="30"/>
        <v>0</v>
      </c>
      <c r="AA720" s="9"/>
      <c r="AB720" s="9"/>
      <c r="AC720" s="2858"/>
      <c r="AD720" s="39"/>
      <c r="AE720" s="39"/>
      <c r="AF720" s="39"/>
      <c r="AG720" s="39"/>
      <c r="AH720" s="39"/>
      <c r="AI720" s="39"/>
    </row>
    <row r="721" s="6" customFormat="1" ht="30" customHeight="1" spans="1:35">
      <c r="A721" s="2769" t="s">
        <v>1951</v>
      </c>
      <c r="B721" s="2524">
        <v>45425</v>
      </c>
      <c r="C721" s="2770" t="s">
        <v>5599</v>
      </c>
      <c r="D721" s="2770"/>
      <c r="E721" s="2784" t="s">
        <v>5600</v>
      </c>
      <c r="F721" s="2784" t="s">
        <v>5601</v>
      </c>
      <c r="G721" s="2784" t="s">
        <v>240</v>
      </c>
      <c r="H721" s="2784" t="s">
        <v>4638</v>
      </c>
      <c r="I721" s="2784" t="s">
        <v>5602</v>
      </c>
      <c r="J721" s="2784" t="s">
        <v>5603</v>
      </c>
      <c r="K721" s="2579">
        <f>4546292.05-K726-K730</f>
        <v>1346292.05</v>
      </c>
      <c r="L721" s="1381" t="s">
        <v>126</v>
      </c>
      <c r="M721" s="1381">
        <v>1</v>
      </c>
      <c r="N721" s="2611" t="s">
        <v>3320</v>
      </c>
      <c r="O721" s="2612">
        <v>0.2</v>
      </c>
      <c r="P721" s="2613">
        <f>K721*O721</f>
        <v>269258.41</v>
      </c>
      <c r="Q721" s="2825">
        <v>269258.41</v>
      </c>
      <c r="R721" s="2520" t="s">
        <v>4603</v>
      </c>
      <c r="S721" s="2666">
        <v>45442</v>
      </c>
      <c r="T721" s="2826">
        <v>269258.41</v>
      </c>
      <c r="U721" s="2666">
        <v>45442</v>
      </c>
      <c r="V721" s="2847">
        <v>269258.41</v>
      </c>
      <c r="W721" s="2848">
        <v>45485</v>
      </c>
      <c r="X721" s="2665">
        <v>269258.41</v>
      </c>
      <c r="Y721" s="2666">
        <v>45502</v>
      </c>
      <c r="Z721" s="2665">
        <f t="shared" si="30"/>
        <v>0</v>
      </c>
      <c r="AA721" s="2733"/>
      <c r="AB721" s="2733"/>
      <c r="AC721" s="2746"/>
      <c r="AD721" s="2564"/>
      <c r="AE721" s="2564"/>
      <c r="AF721" s="2564"/>
      <c r="AG721" s="2564"/>
      <c r="AH721" s="2863"/>
      <c r="AI721" s="2863"/>
    </row>
    <row r="722" s="6" customFormat="1" ht="30" customHeight="1" spans="1:35">
      <c r="A722" s="2771"/>
      <c r="B722" s="2524"/>
      <c r="C722" s="2770"/>
      <c r="D722" s="2770"/>
      <c r="E722" s="2784"/>
      <c r="F722" s="2784"/>
      <c r="G722" s="2784"/>
      <c r="H722" s="2784"/>
      <c r="I722" s="2784"/>
      <c r="J722" s="2784"/>
      <c r="K722" s="2579"/>
      <c r="L722" s="1381"/>
      <c r="M722" s="2805">
        <v>2</v>
      </c>
      <c r="N722" s="2805" t="s">
        <v>3321</v>
      </c>
      <c r="O722" s="2806">
        <v>0.2</v>
      </c>
      <c r="P722" s="2613">
        <v>58516.82</v>
      </c>
      <c r="Q722" s="2825">
        <v>58516.82</v>
      </c>
      <c r="R722" s="2520" t="s">
        <v>4603</v>
      </c>
      <c r="S722" s="2666">
        <v>45442</v>
      </c>
      <c r="T722" s="2826">
        <v>58516.82</v>
      </c>
      <c r="U722" s="2666">
        <v>45442</v>
      </c>
      <c r="V722" s="2847">
        <v>58516.82</v>
      </c>
      <c r="W722" s="2848">
        <v>45485</v>
      </c>
      <c r="X722" s="2665">
        <v>58516.82</v>
      </c>
      <c r="Y722" s="2666">
        <v>45502</v>
      </c>
      <c r="Z722" s="2665">
        <f t="shared" si="30"/>
        <v>0</v>
      </c>
      <c r="AA722" s="2733"/>
      <c r="AB722" s="2733"/>
      <c r="AC722" s="2746"/>
      <c r="AD722" s="2564"/>
      <c r="AE722" s="2564"/>
      <c r="AF722" s="2564"/>
      <c r="AG722" s="2564"/>
      <c r="AH722" s="2863"/>
      <c r="AI722" s="2863"/>
    </row>
    <row r="723" s="6" customFormat="1" ht="46" spans="1:35">
      <c r="A723" s="2771"/>
      <c r="B723" s="2524"/>
      <c r="C723" s="2770"/>
      <c r="D723" s="2770"/>
      <c r="E723" s="2784"/>
      <c r="F723" s="2784"/>
      <c r="G723" s="2784"/>
      <c r="H723" s="2784"/>
      <c r="I723" s="2784"/>
      <c r="J723" s="2784"/>
      <c r="K723" s="2579"/>
      <c r="L723" s="1381"/>
      <c r="M723" s="1381">
        <v>3</v>
      </c>
      <c r="N723" s="2611" t="s">
        <v>5054</v>
      </c>
      <c r="O723" s="2612">
        <v>0.1</v>
      </c>
      <c r="P723" s="2613">
        <v>336573.0125</v>
      </c>
      <c r="Q723" s="2665">
        <v>336573.0125</v>
      </c>
      <c r="R723" s="2520" t="s">
        <v>4603</v>
      </c>
      <c r="S723" s="2666">
        <v>45652</v>
      </c>
      <c r="T723" s="2579">
        <v>336573.0125</v>
      </c>
      <c r="U723" s="2666">
        <v>45652</v>
      </c>
      <c r="V723" s="2847"/>
      <c r="W723" s="2848"/>
      <c r="X723" s="2834">
        <v>336573.0125</v>
      </c>
      <c r="Y723" s="2854">
        <v>46052</v>
      </c>
      <c r="Z723" s="2665">
        <f t="shared" si="30"/>
        <v>0</v>
      </c>
      <c r="AA723" s="2733"/>
      <c r="AB723" s="2733"/>
      <c r="AC723" s="2746"/>
      <c r="AD723" s="2564"/>
      <c r="AE723" s="2564"/>
      <c r="AF723" s="2564"/>
      <c r="AG723" s="2564"/>
      <c r="AH723" s="2863"/>
      <c r="AI723" s="2863"/>
    </row>
    <row r="724" s="6" customFormat="1" ht="61" spans="1:35">
      <c r="A724" s="2771"/>
      <c r="B724" s="2524"/>
      <c r="C724" s="2770"/>
      <c r="D724" s="2770"/>
      <c r="E724" s="2784"/>
      <c r="F724" s="2784"/>
      <c r="G724" s="2784"/>
      <c r="H724" s="2784"/>
      <c r="I724" s="2784"/>
      <c r="J724" s="2784"/>
      <c r="K724" s="2579"/>
      <c r="L724" s="1381"/>
      <c r="M724" s="1381">
        <v>4</v>
      </c>
      <c r="N724" s="2611" t="s">
        <v>5604</v>
      </c>
      <c r="O724" s="2612">
        <v>0.05</v>
      </c>
      <c r="P724" s="2613">
        <f>SUM(K721:K732)*0.05</f>
        <v>227314.6025</v>
      </c>
      <c r="Q724" s="2665"/>
      <c r="R724" s="2520"/>
      <c r="S724" s="2666"/>
      <c r="T724" s="2826"/>
      <c r="U724" s="2666"/>
      <c r="V724" s="2847"/>
      <c r="W724" s="2848"/>
      <c r="X724" s="2579"/>
      <c r="Y724" s="2848"/>
      <c r="Z724" s="2665">
        <f t="shared" si="30"/>
        <v>0</v>
      </c>
      <c r="AA724" s="2733"/>
      <c r="AB724" s="2733"/>
      <c r="AC724" s="2746"/>
      <c r="AD724" s="2564"/>
      <c r="AE724" s="2564"/>
      <c r="AF724" s="2564"/>
      <c r="AG724" s="2564"/>
      <c r="AH724" s="2863"/>
      <c r="AI724" s="2863"/>
    </row>
    <row r="725" s="6" customFormat="1" ht="76" spans="1:35">
      <c r="A725" s="2771"/>
      <c r="B725" s="2524"/>
      <c r="C725" s="2770"/>
      <c r="D725" s="2770"/>
      <c r="E725" s="2784"/>
      <c r="F725" s="2784"/>
      <c r="G725" s="2784"/>
      <c r="H725" s="2784"/>
      <c r="I725" s="2784"/>
      <c r="J725" s="2784"/>
      <c r="K725" s="2579"/>
      <c r="L725" s="1381"/>
      <c r="M725" s="1381">
        <v>5</v>
      </c>
      <c r="N725" s="2611" t="s">
        <v>3325</v>
      </c>
      <c r="O725" s="2612">
        <v>0.1</v>
      </c>
      <c r="P725" s="2613">
        <f>SUM(K721:K732)*0.1</f>
        <v>454629.205</v>
      </c>
      <c r="Q725" s="2665"/>
      <c r="R725" s="2520"/>
      <c r="S725" s="2666"/>
      <c r="T725" s="2826"/>
      <c r="U725" s="2666"/>
      <c r="V725" s="2847"/>
      <c r="W725" s="2848"/>
      <c r="X725" s="2579"/>
      <c r="Y725" s="2848"/>
      <c r="Z725" s="2665">
        <f t="shared" si="30"/>
        <v>0</v>
      </c>
      <c r="AA725" s="2733"/>
      <c r="AB725" s="2733"/>
      <c r="AC725" s="2746"/>
      <c r="AD725" s="2564"/>
      <c r="AE725" s="2564"/>
      <c r="AF725" s="2564"/>
      <c r="AG725" s="2564"/>
      <c r="AH725" s="2863"/>
      <c r="AI725" s="2863"/>
    </row>
    <row r="726" s="6" customFormat="1" ht="30" customHeight="1" spans="1:35">
      <c r="A726" s="2771"/>
      <c r="B726" s="2524"/>
      <c r="C726" s="2770"/>
      <c r="D726" s="2770"/>
      <c r="E726" s="2784"/>
      <c r="F726" s="2784"/>
      <c r="G726" s="2784"/>
      <c r="H726" s="2784"/>
      <c r="I726" s="2784"/>
      <c r="J726" s="2784"/>
      <c r="K726" s="2579">
        <v>1400000</v>
      </c>
      <c r="L726" s="1381" t="s">
        <v>26</v>
      </c>
      <c r="M726" s="1381">
        <v>1</v>
      </c>
      <c r="N726" s="2611" t="s">
        <v>3320</v>
      </c>
      <c r="O726" s="2612">
        <v>0.35</v>
      </c>
      <c r="P726" s="2613">
        <f>K726*O726</f>
        <v>490000</v>
      </c>
      <c r="Q726" s="2665">
        <v>490000</v>
      </c>
      <c r="R726" s="2520" t="s">
        <v>4603</v>
      </c>
      <c r="S726" s="2666">
        <v>45442</v>
      </c>
      <c r="T726" s="2826">
        <v>490000</v>
      </c>
      <c r="U726" s="2666">
        <v>45442</v>
      </c>
      <c r="V726" s="2826">
        <v>490000</v>
      </c>
      <c r="W726" s="2848">
        <v>45664</v>
      </c>
      <c r="X726" s="2579">
        <v>490000</v>
      </c>
      <c r="Y726" s="2666">
        <v>45680</v>
      </c>
      <c r="Z726" s="2665">
        <f t="shared" si="30"/>
        <v>0</v>
      </c>
      <c r="AA726" s="2733"/>
      <c r="AB726" s="2733"/>
      <c r="AC726" s="2746"/>
      <c r="AD726" s="2564"/>
      <c r="AE726" s="2564"/>
      <c r="AF726" s="2564"/>
      <c r="AG726" s="2564"/>
      <c r="AH726" s="2863"/>
      <c r="AI726" s="2863"/>
    </row>
    <row r="727" s="6" customFormat="1" ht="30" customHeight="1" spans="1:35">
      <c r="A727" s="2771"/>
      <c r="B727" s="2524"/>
      <c r="C727" s="2770"/>
      <c r="D727" s="2770"/>
      <c r="E727" s="2784"/>
      <c r="F727" s="2784"/>
      <c r="G727" s="2784"/>
      <c r="H727" s="2784"/>
      <c r="I727" s="2784"/>
      <c r="J727" s="2784"/>
      <c r="K727" s="2579"/>
      <c r="L727" s="1381"/>
      <c r="M727" s="2805">
        <v>2</v>
      </c>
      <c r="N727" s="2805" t="s">
        <v>3321</v>
      </c>
      <c r="O727" s="2806">
        <v>0.4</v>
      </c>
      <c r="P727" s="2807">
        <f>K726*O727</f>
        <v>560000</v>
      </c>
      <c r="Q727" s="2827">
        <v>560000</v>
      </c>
      <c r="R727" s="2769" t="s">
        <v>4603</v>
      </c>
      <c r="S727" s="2828">
        <v>45442</v>
      </c>
      <c r="T727" s="2829">
        <v>560000</v>
      </c>
      <c r="U727" s="2828">
        <v>45442</v>
      </c>
      <c r="V727" s="2826">
        <v>510000</v>
      </c>
      <c r="W727" s="2848">
        <v>45664</v>
      </c>
      <c r="X727" s="2579">
        <v>510000</v>
      </c>
      <c r="Y727" s="2666">
        <v>45680</v>
      </c>
      <c r="Z727" s="2827">
        <f>Q727-X727-X728</f>
        <v>0</v>
      </c>
      <c r="AA727" s="2733"/>
      <c r="AB727" s="2733"/>
      <c r="AC727" s="2746"/>
      <c r="AD727" s="2564"/>
      <c r="AE727" s="2564"/>
      <c r="AF727" s="2564"/>
      <c r="AG727" s="2564"/>
      <c r="AH727" s="2863"/>
      <c r="AI727" s="2863"/>
    </row>
    <row r="728" s="6" customFormat="1" ht="30" customHeight="1" spans="1:35">
      <c r="A728" s="2771"/>
      <c r="B728" s="2524"/>
      <c r="C728" s="2770"/>
      <c r="D728" s="2770"/>
      <c r="E728" s="2784"/>
      <c r="F728" s="2784"/>
      <c r="G728" s="2784"/>
      <c r="H728" s="2784"/>
      <c r="I728" s="2784"/>
      <c r="J728" s="2784"/>
      <c r="K728" s="2579"/>
      <c r="L728" s="1381"/>
      <c r="M728" s="2284"/>
      <c r="N728" s="2808"/>
      <c r="O728" s="2809"/>
      <c r="P728" s="2810"/>
      <c r="Q728" s="2830"/>
      <c r="R728" s="2773"/>
      <c r="S728" s="2831"/>
      <c r="T728" s="2832"/>
      <c r="U728" s="2831"/>
      <c r="V728" s="2667">
        <v>50000</v>
      </c>
      <c r="W728" s="2666">
        <v>45757</v>
      </c>
      <c r="X728" s="2665">
        <v>50000</v>
      </c>
      <c r="Y728" s="2666">
        <v>45777</v>
      </c>
      <c r="Z728" s="2830"/>
      <c r="AA728" s="2733"/>
      <c r="AB728" s="2733"/>
      <c r="AC728" s="2746"/>
      <c r="AD728" s="2564"/>
      <c r="AE728" s="2564"/>
      <c r="AF728" s="2564"/>
      <c r="AG728" s="2564"/>
      <c r="AH728" s="2863"/>
      <c r="AI728" s="2863"/>
    </row>
    <row r="729" s="10" customFormat="1" ht="30" customHeight="1" spans="1:35">
      <c r="A729" s="2771"/>
      <c r="B729" s="2772"/>
      <c r="C729" s="2770"/>
      <c r="D729" s="2770"/>
      <c r="E729" s="2784"/>
      <c r="F729" s="2784"/>
      <c r="G729" s="2784"/>
      <c r="H729" s="2784"/>
      <c r="I729" s="2784"/>
      <c r="J729" s="2784"/>
      <c r="K729" s="2665"/>
      <c r="L729" s="1381"/>
      <c r="M729" s="1381">
        <v>3</v>
      </c>
      <c r="N729" s="2611" t="s">
        <v>3322</v>
      </c>
      <c r="O729" s="2811">
        <v>0.25</v>
      </c>
      <c r="P729" s="2812">
        <f>K726*O729</f>
        <v>350000</v>
      </c>
      <c r="Q729" s="2665">
        <v>350000</v>
      </c>
      <c r="R729" s="2520" t="s">
        <v>4603</v>
      </c>
      <c r="S729" s="2666">
        <v>45651</v>
      </c>
      <c r="T729" s="2665">
        <v>350000</v>
      </c>
      <c r="U729" s="2666">
        <v>45651</v>
      </c>
      <c r="V729" s="2711"/>
      <c r="W729" s="2666"/>
      <c r="X729" s="2834">
        <v>350000</v>
      </c>
      <c r="Y729" s="2854">
        <v>46052</v>
      </c>
      <c r="Z729" s="2665">
        <f t="shared" ref="Z729:Z792" si="31">Q729-X729</f>
        <v>0</v>
      </c>
      <c r="AA729" s="2855"/>
      <c r="AB729" s="2855"/>
      <c r="AC729" s="2859"/>
      <c r="AD729" s="2860"/>
      <c r="AE729" s="2860"/>
      <c r="AF729" s="2860"/>
      <c r="AG729" s="2860"/>
      <c r="AH729" s="2864"/>
      <c r="AI729" s="2864"/>
    </row>
    <row r="730" s="6" customFormat="1" ht="30" customHeight="1" spans="1:35">
      <c r="A730" s="2771"/>
      <c r="B730" s="2524"/>
      <c r="C730" s="2770"/>
      <c r="D730" s="2770"/>
      <c r="E730" s="2784"/>
      <c r="F730" s="2784"/>
      <c r="G730" s="2784"/>
      <c r="H730" s="2784"/>
      <c r="I730" s="2784"/>
      <c r="J730" s="2784"/>
      <c r="K730" s="2579">
        <v>1800000</v>
      </c>
      <c r="L730" s="1381" t="s">
        <v>27</v>
      </c>
      <c r="M730" s="1381">
        <v>1</v>
      </c>
      <c r="N730" s="2611" t="s">
        <v>3320</v>
      </c>
      <c r="O730" s="2612">
        <v>0.35</v>
      </c>
      <c r="P730" s="2613">
        <f>K730*O730</f>
        <v>630000</v>
      </c>
      <c r="Q730" s="2665">
        <v>630000</v>
      </c>
      <c r="R730" s="2520" t="s">
        <v>4603</v>
      </c>
      <c r="S730" s="2666">
        <v>45442</v>
      </c>
      <c r="T730" s="2665">
        <v>630000</v>
      </c>
      <c r="U730" s="2666">
        <v>45442</v>
      </c>
      <c r="V730" s="2847">
        <v>630000</v>
      </c>
      <c r="W730" s="2848">
        <v>45638</v>
      </c>
      <c r="X730" s="2665">
        <v>630000</v>
      </c>
      <c r="Y730" s="2666">
        <v>45653</v>
      </c>
      <c r="Z730" s="2665">
        <f t="shared" si="31"/>
        <v>0</v>
      </c>
      <c r="AA730" s="2733"/>
      <c r="AB730" s="2733"/>
      <c r="AC730" s="2746"/>
      <c r="AD730" s="2564"/>
      <c r="AE730" s="2564"/>
      <c r="AF730" s="2564"/>
      <c r="AG730" s="2564"/>
      <c r="AH730" s="2863"/>
      <c r="AI730" s="2863"/>
    </row>
    <row r="731" s="6" customFormat="1" ht="30" customHeight="1" spans="1:35">
      <c r="A731" s="2771"/>
      <c r="B731" s="2524"/>
      <c r="C731" s="2770"/>
      <c r="D731" s="2770"/>
      <c r="E731" s="2784"/>
      <c r="F731" s="2784"/>
      <c r="G731" s="2784"/>
      <c r="H731" s="2784"/>
      <c r="I731" s="2784"/>
      <c r="J731" s="2784"/>
      <c r="K731" s="2579"/>
      <c r="L731" s="1381"/>
      <c r="M731" s="1381">
        <v>2</v>
      </c>
      <c r="N731" s="2611" t="s">
        <v>3321</v>
      </c>
      <c r="O731" s="2612">
        <v>0.4</v>
      </c>
      <c r="P731" s="2613">
        <f>K730*O731</f>
        <v>720000</v>
      </c>
      <c r="Q731" s="2665">
        <v>720000</v>
      </c>
      <c r="R731" s="2520" t="s">
        <v>4603</v>
      </c>
      <c r="S731" s="2666">
        <v>45442</v>
      </c>
      <c r="T731" s="2665">
        <v>720000</v>
      </c>
      <c r="U731" s="2666">
        <v>45442</v>
      </c>
      <c r="V731" s="2665">
        <v>720000</v>
      </c>
      <c r="W731" s="2666">
        <v>45757</v>
      </c>
      <c r="X731" s="2665">
        <v>720000</v>
      </c>
      <c r="Y731" s="2666">
        <v>45777</v>
      </c>
      <c r="Z731" s="2665">
        <f t="shared" si="31"/>
        <v>0</v>
      </c>
      <c r="AA731" s="2733"/>
      <c r="AB731" s="2733"/>
      <c r="AC731" s="2746"/>
      <c r="AD731" s="2564"/>
      <c r="AE731" s="2564"/>
      <c r="AF731" s="2564"/>
      <c r="AG731" s="2564"/>
      <c r="AH731" s="2863"/>
      <c r="AI731" s="2863"/>
    </row>
    <row r="732" s="10" customFormat="1" ht="30" customHeight="1" spans="1:35">
      <c r="A732" s="2773"/>
      <c r="B732" s="2772"/>
      <c r="C732" s="2770"/>
      <c r="D732" s="2770"/>
      <c r="E732" s="2784"/>
      <c r="F732" s="2784"/>
      <c r="G732" s="2784"/>
      <c r="H732" s="2784"/>
      <c r="I732" s="2784"/>
      <c r="J732" s="2784"/>
      <c r="K732" s="2665"/>
      <c r="L732" s="1381"/>
      <c r="M732" s="1381">
        <v>3</v>
      </c>
      <c r="N732" s="2611" t="s">
        <v>3322</v>
      </c>
      <c r="O732" s="2811">
        <v>0.25</v>
      </c>
      <c r="P732" s="2812">
        <f>K730*O732</f>
        <v>450000</v>
      </c>
      <c r="Q732" s="2665">
        <v>450000</v>
      </c>
      <c r="R732" s="2520" t="s">
        <v>4603</v>
      </c>
      <c r="S732" s="2666">
        <v>45652</v>
      </c>
      <c r="T732" s="2665">
        <v>450000</v>
      </c>
      <c r="U732" s="2666">
        <v>45652</v>
      </c>
      <c r="V732" s="2711"/>
      <c r="W732" s="2666"/>
      <c r="X732" s="2834">
        <v>450000</v>
      </c>
      <c r="Y732" s="2854">
        <v>46052</v>
      </c>
      <c r="Z732" s="2665">
        <f t="shared" si="31"/>
        <v>0</v>
      </c>
      <c r="AA732" s="2855"/>
      <c r="AB732" s="2855"/>
      <c r="AC732" s="2859"/>
      <c r="AD732" s="2860"/>
      <c r="AE732" s="2860"/>
      <c r="AF732" s="2860"/>
      <c r="AG732" s="2860"/>
      <c r="AH732" s="2864"/>
      <c r="AI732" s="2864"/>
    </row>
    <row r="733" s="6" customFormat="1" ht="31" spans="1:35">
      <c r="A733" s="2558" t="s">
        <v>1951</v>
      </c>
      <c r="B733" s="2528">
        <v>45278</v>
      </c>
      <c r="C733" s="2529" t="s">
        <v>5599</v>
      </c>
      <c r="D733" s="2530"/>
      <c r="E733" s="2565" t="s">
        <v>5605</v>
      </c>
      <c r="F733" s="2565" t="s">
        <v>5606</v>
      </c>
      <c r="G733" s="2565" t="s">
        <v>3579</v>
      </c>
      <c r="H733" s="2565" t="s">
        <v>5607</v>
      </c>
      <c r="I733" s="2565" t="s">
        <v>5608</v>
      </c>
      <c r="J733" s="2565" t="s">
        <v>5609</v>
      </c>
      <c r="K733" s="2581">
        <v>1715044</v>
      </c>
      <c r="L733" s="2527" t="s">
        <v>126</v>
      </c>
      <c r="M733" s="2573">
        <v>1</v>
      </c>
      <c r="N733" s="2615" t="s">
        <v>5610</v>
      </c>
      <c r="O733" s="2616">
        <v>0.1</v>
      </c>
      <c r="P733" s="2617">
        <f>K733*O733</f>
        <v>171504.4</v>
      </c>
      <c r="Q733" s="2669">
        <v>171504.4</v>
      </c>
      <c r="R733" s="2558" t="s">
        <v>4603</v>
      </c>
      <c r="S733" s="2670">
        <v>45285</v>
      </c>
      <c r="T733" s="2704">
        <v>171504.4</v>
      </c>
      <c r="U733" s="2670">
        <v>45285</v>
      </c>
      <c r="V733" s="2728">
        <v>171504.4</v>
      </c>
      <c r="W733" s="2729">
        <v>45307</v>
      </c>
      <c r="X733" s="2669">
        <v>171504.4</v>
      </c>
      <c r="Y733" s="2729">
        <v>45345</v>
      </c>
      <c r="Z733" s="2669">
        <f t="shared" si="31"/>
        <v>0</v>
      </c>
      <c r="AA733" s="2734"/>
      <c r="AB733" s="2734"/>
      <c r="AC733" s="2747"/>
      <c r="AD733" s="2614"/>
      <c r="AE733" s="2614"/>
      <c r="AF733" s="2614"/>
      <c r="AG733" s="2614"/>
      <c r="AH733" s="2865"/>
      <c r="AI733" s="2865"/>
    </row>
    <row r="734" s="6" customFormat="1" ht="27" customHeight="1" spans="1:35">
      <c r="A734" s="2558"/>
      <c r="B734" s="2532"/>
      <c r="C734" s="2774"/>
      <c r="D734" s="2534"/>
      <c r="E734" s="2785"/>
      <c r="F734" s="2785"/>
      <c r="G734" s="2785"/>
      <c r="H734" s="2785"/>
      <c r="I734" s="2785"/>
      <c r="J734" s="2785"/>
      <c r="K734" s="2582"/>
      <c r="L734" s="2795"/>
      <c r="M734" s="2573">
        <v>2</v>
      </c>
      <c r="N734" s="2615" t="s">
        <v>5611</v>
      </c>
      <c r="O734" s="2813" t="s">
        <v>3330</v>
      </c>
      <c r="P734" s="2617">
        <f>337500*40%</f>
        <v>135000</v>
      </c>
      <c r="Q734" s="2669">
        <v>135000</v>
      </c>
      <c r="R734" s="2558" t="s">
        <v>4603</v>
      </c>
      <c r="S734" s="2670">
        <v>45285</v>
      </c>
      <c r="T734" s="2704">
        <v>135000</v>
      </c>
      <c r="U734" s="2670">
        <v>45285</v>
      </c>
      <c r="V734" s="2728">
        <v>135000</v>
      </c>
      <c r="W734" s="2729">
        <v>45307</v>
      </c>
      <c r="X734" s="2669">
        <v>135000</v>
      </c>
      <c r="Y734" s="2729">
        <v>45345</v>
      </c>
      <c r="Z734" s="2669">
        <f t="shared" si="31"/>
        <v>0</v>
      </c>
      <c r="AA734" s="2734"/>
      <c r="AB734" s="2734"/>
      <c r="AC734" s="2747"/>
      <c r="AD734" s="2614"/>
      <c r="AE734" s="2614"/>
      <c r="AF734" s="2614"/>
      <c r="AG734" s="2614"/>
      <c r="AH734" s="2567"/>
      <c r="AI734" s="2567"/>
    </row>
    <row r="735" s="6" customFormat="1" ht="27" customHeight="1" spans="1:35">
      <c r="A735" s="2558"/>
      <c r="B735" s="2532"/>
      <c r="C735" s="2774"/>
      <c r="D735" s="2534"/>
      <c r="E735" s="2785"/>
      <c r="F735" s="2785"/>
      <c r="G735" s="2785"/>
      <c r="H735" s="2785"/>
      <c r="I735" s="2785"/>
      <c r="J735" s="2785"/>
      <c r="K735" s="2582"/>
      <c r="L735" s="2795"/>
      <c r="M735" s="2573">
        <v>3</v>
      </c>
      <c r="N735" s="2615" t="s">
        <v>5612</v>
      </c>
      <c r="O735" s="2813" t="s">
        <v>3332</v>
      </c>
      <c r="P735" s="2617">
        <f>337500*30%</f>
        <v>101250</v>
      </c>
      <c r="Q735" s="2669">
        <v>101250</v>
      </c>
      <c r="R735" s="2558" t="s">
        <v>4603</v>
      </c>
      <c r="S735" s="2670">
        <v>45285</v>
      </c>
      <c r="T735" s="2704">
        <v>101250</v>
      </c>
      <c r="U735" s="2670">
        <v>45285</v>
      </c>
      <c r="V735" s="2728">
        <v>101250</v>
      </c>
      <c r="W735" s="2729">
        <v>45307</v>
      </c>
      <c r="X735" s="2669">
        <v>101250</v>
      </c>
      <c r="Y735" s="2729">
        <v>45345</v>
      </c>
      <c r="Z735" s="2669">
        <f t="shared" si="31"/>
        <v>0</v>
      </c>
      <c r="AA735" s="2734"/>
      <c r="AB735" s="2734"/>
      <c r="AC735" s="2747"/>
      <c r="AD735" s="2614"/>
      <c r="AE735" s="2614"/>
      <c r="AF735" s="2614"/>
      <c r="AG735" s="2614"/>
      <c r="AH735" s="2567"/>
      <c r="AI735" s="2567"/>
    </row>
    <row r="736" s="6" customFormat="1" ht="27" customHeight="1" spans="1:35">
      <c r="A736" s="2558"/>
      <c r="B736" s="2532"/>
      <c r="C736" s="2774"/>
      <c r="D736" s="2534"/>
      <c r="E736" s="2785"/>
      <c r="F736" s="2785"/>
      <c r="G736" s="2785"/>
      <c r="H736" s="2785"/>
      <c r="I736" s="2785"/>
      <c r="J736" s="2785"/>
      <c r="K736" s="2582"/>
      <c r="L736" s="2795"/>
      <c r="M736" s="2573">
        <v>4</v>
      </c>
      <c r="N736" s="2615" t="s">
        <v>5613</v>
      </c>
      <c r="O736" s="2813" t="s">
        <v>3334</v>
      </c>
      <c r="P736" s="2617">
        <f>337500*10%</f>
        <v>33750</v>
      </c>
      <c r="Q736" s="2669">
        <v>33750</v>
      </c>
      <c r="R736" s="2558" t="s">
        <v>4603</v>
      </c>
      <c r="S736" s="2670">
        <v>45285</v>
      </c>
      <c r="T736" s="2704">
        <v>33750</v>
      </c>
      <c r="U736" s="2670">
        <v>45285</v>
      </c>
      <c r="V736" s="2728">
        <v>33750</v>
      </c>
      <c r="W736" s="2729">
        <v>45307</v>
      </c>
      <c r="X736" s="2669">
        <v>33750</v>
      </c>
      <c r="Y736" s="2729">
        <v>45345</v>
      </c>
      <c r="Z736" s="2669">
        <f t="shared" si="31"/>
        <v>0</v>
      </c>
      <c r="AA736" s="2734"/>
      <c r="AB736" s="2734"/>
      <c r="AC736" s="2747"/>
      <c r="AD736" s="2614"/>
      <c r="AE736" s="2614"/>
      <c r="AF736" s="2614"/>
      <c r="AG736" s="2614"/>
      <c r="AH736" s="2567"/>
      <c r="AI736" s="2567"/>
    </row>
    <row r="737" s="6" customFormat="1" ht="27" customHeight="1" spans="1:35">
      <c r="A737" s="2558"/>
      <c r="B737" s="2532"/>
      <c r="C737" s="2774"/>
      <c r="D737" s="2534"/>
      <c r="E737" s="2785"/>
      <c r="F737" s="2785"/>
      <c r="G737" s="2785"/>
      <c r="H737" s="2785"/>
      <c r="I737" s="2785"/>
      <c r="J737" s="2785"/>
      <c r="K737" s="2582"/>
      <c r="L737" s="2795"/>
      <c r="M737" s="2573">
        <v>5</v>
      </c>
      <c r="N737" s="2615" t="s">
        <v>5614</v>
      </c>
      <c r="O737" s="2813" t="s">
        <v>3341</v>
      </c>
      <c r="P737" s="2617">
        <f>1377544*20%</f>
        <v>275508.8</v>
      </c>
      <c r="Q737" s="2669">
        <v>275508.8</v>
      </c>
      <c r="R737" s="2558" t="s">
        <v>4603</v>
      </c>
      <c r="S737" s="2670">
        <v>45285</v>
      </c>
      <c r="T737" s="2704">
        <v>275508.8</v>
      </c>
      <c r="U737" s="2670">
        <v>45285</v>
      </c>
      <c r="V737" s="2728">
        <v>275508.8</v>
      </c>
      <c r="W737" s="2729">
        <v>45307</v>
      </c>
      <c r="X737" s="2669">
        <v>275508.8</v>
      </c>
      <c r="Y737" s="2729">
        <v>45345</v>
      </c>
      <c r="Z737" s="2669">
        <f t="shared" si="31"/>
        <v>0</v>
      </c>
      <c r="AA737" s="2734"/>
      <c r="AB737" s="2734"/>
      <c r="AC737" s="2747"/>
      <c r="AD737" s="2614"/>
      <c r="AE737" s="2614"/>
      <c r="AF737" s="2614"/>
      <c r="AG737" s="2614"/>
      <c r="AH737" s="2567"/>
      <c r="AI737" s="2567"/>
    </row>
    <row r="738" s="6" customFormat="1" ht="27" customHeight="1" spans="1:35">
      <c r="A738" s="2558"/>
      <c r="B738" s="2532"/>
      <c r="C738" s="2774"/>
      <c r="D738" s="2534"/>
      <c r="E738" s="2785"/>
      <c r="F738" s="2785"/>
      <c r="G738" s="2785"/>
      <c r="H738" s="2785"/>
      <c r="I738" s="2785"/>
      <c r="J738" s="2785"/>
      <c r="K738" s="2582"/>
      <c r="L738" s="2795"/>
      <c r="M738" s="2573">
        <v>6</v>
      </c>
      <c r="N738" s="2615" t="s">
        <v>5611</v>
      </c>
      <c r="O738" s="2813" t="s">
        <v>3336</v>
      </c>
      <c r="P738" s="2617">
        <f>1377544*15%</f>
        <v>206631.6</v>
      </c>
      <c r="Q738" s="2669">
        <v>206631.6</v>
      </c>
      <c r="R738" s="2558" t="s">
        <v>4603</v>
      </c>
      <c r="S738" s="2670">
        <v>45285</v>
      </c>
      <c r="T738" s="2704">
        <v>206631.6</v>
      </c>
      <c r="U738" s="2670">
        <v>45285</v>
      </c>
      <c r="V738" s="2728">
        <v>206631.6</v>
      </c>
      <c r="W738" s="2729">
        <v>45488</v>
      </c>
      <c r="X738" s="2669">
        <v>206631.6</v>
      </c>
      <c r="Y738" s="2729">
        <v>45502</v>
      </c>
      <c r="Z738" s="2669">
        <f t="shared" si="31"/>
        <v>0</v>
      </c>
      <c r="AA738" s="2734"/>
      <c r="AB738" s="2734"/>
      <c r="AC738" s="2747"/>
      <c r="AD738" s="2614"/>
      <c r="AE738" s="2614"/>
      <c r="AF738" s="2614"/>
      <c r="AG738" s="2614"/>
      <c r="AH738" s="2567"/>
      <c r="AI738" s="2567"/>
    </row>
    <row r="739" s="6" customFormat="1" ht="27" customHeight="1" spans="1:35">
      <c r="A739" s="2558"/>
      <c r="B739" s="2532"/>
      <c r="C739" s="2774"/>
      <c r="D739" s="2534"/>
      <c r="E739" s="2785"/>
      <c r="F739" s="2785"/>
      <c r="G739" s="2785"/>
      <c r="H739" s="2785"/>
      <c r="I739" s="2785"/>
      <c r="J739" s="2785"/>
      <c r="K739" s="2582"/>
      <c r="L739" s="2795"/>
      <c r="M739" s="2573">
        <v>7</v>
      </c>
      <c r="N739" s="2615" t="s">
        <v>5615</v>
      </c>
      <c r="O739" s="2813" t="s">
        <v>3341</v>
      </c>
      <c r="P739" s="2617">
        <f>1377544*20%</f>
        <v>275508.8</v>
      </c>
      <c r="Q739" s="2669">
        <v>275508.8</v>
      </c>
      <c r="R739" s="2558" t="s">
        <v>4603</v>
      </c>
      <c r="S739" s="2670">
        <v>45469</v>
      </c>
      <c r="T739" s="2704">
        <v>275508.8</v>
      </c>
      <c r="U739" s="2670">
        <v>45469</v>
      </c>
      <c r="V739" s="2728">
        <v>275508.8</v>
      </c>
      <c r="W739" s="2729">
        <v>45665</v>
      </c>
      <c r="X739" s="2669">
        <v>275508.8</v>
      </c>
      <c r="Y739" s="2729">
        <v>45680</v>
      </c>
      <c r="Z739" s="2669">
        <f t="shared" si="31"/>
        <v>0</v>
      </c>
      <c r="AA739" s="2734"/>
      <c r="AB739" s="2734"/>
      <c r="AC739" s="2747"/>
      <c r="AD739" s="2614"/>
      <c r="AE739" s="2614"/>
      <c r="AF739" s="2614"/>
      <c r="AG739" s="2614"/>
      <c r="AH739" s="2567"/>
      <c r="AI739" s="2567"/>
    </row>
    <row r="740" s="10" customFormat="1" ht="27" customHeight="1" spans="1:35">
      <c r="A740" s="2558"/>
      <c r="B740" s="2775"/>
      <c r="C740" s="2774"/>
      <c r="D740" s="2534"/>
      <c r="E740" s="2785"/>
      <c r="F740" s="2785"/>
      <c r="G740" s="2785"/>
      <c r="H740" s="2785"/>
      <c r="I740" s="2785"/>
      <c r="J740" s="2785"/>
      <c r="K740" s="2796"/>
      <c r="L740" s="2795"/>
      <c r="M740" s="2573">
        <v>8</v>
      </c>
      <c r="N740" s="2615" t="s">
        <v>5612</v>
      </c>
      <c r="O740" s="2813" t="s">
        <v>3336</v>
      </c>
      <c r="P740" s="2703">
        <f>1377544*15%</f>
        <v>206631.6</v>
      </c>
      <c r="Q740" s="2669">
        <v>206631.6</v>
      </c>
      <c r="R740" s="2558" t="s">
        <v>4603</v>
      </c>
      <c r="S740" s="2670">
        <v>45652</v>
      </c>
      <c r="T740" s="2669">
        <v>206631.6</v>
      </c>
      <c r="U740" s="2670">
        <v>45652</v>
      </c>
      <c r="V740" s="2712"/>
      <c r="W740" s="2670"/>
      <c r="X740" s="2672">
        <v>206631.6</v>
      </c>
      <c r="Y740" s="2674">
        <v>46052</v>
      </c>
      <c r="Z740" s="2669">
        <f t="shared" si="31"/>
        <v>0</v>
      </c>
      <c r="AA740" s="2856"/>
      <c r="AB740" s="2856"/>
      <c r="AC740" s="2861"/>
      <c r="AD740" s="2671"/>
      <c r="AE740" s="2671"/>
      <c r="AF740" s="2671"/>
      <c r="AG740" s="2671"/>
      <c r="AH740" s="2866"/>
      <c r="AI740" s="2866"/>
    </row>
    <row r="741" s="6" customFormat="1" ht="27" customHeight="1" spans="1:35">
      <c r="A741" s="2558"/>
      <c r="B741" s="2532"/>
      <c r="C741" s="2774"/>
      <c r="D741" s="2534"/>
      <c r="E741" s="2785"/>
      <c r="F741" s="2785"/>
      <c r="G741" s="2785"/>
      <c r="H741" s="2785"/>
      <c r="I741" s="2785"/>
      <c r="J741" s="2785"/>
      <c r="K741" s="2582"/>
      <c r="L741" s="2795"/>
      <c r="M741" s="2573">
        <v>9</v>
      </c>
      <c r="N741" s="2615" t="s">
        <v>5616</v>
      </c>
      <c r="O741" s="2813" t="s">
        <v>3343</v>
      </c>
      <c r="P741" s="2617">
        <f>1377544*5%</f>
        <v>68877.2</v>
      </c>
      <c r="Q741" s="2672">
        <v>68877.2</v>
      </c>
      <c r="R741" s="2673" t="s">
        <v>349</v>
      </c>
      <c r="S741" s="2674">
        <v>46021</v>
      </c>
      <c r="T741" s="2833"/>
      <c r="U741" s="2674"/>
      <c r="V741" s="2849"/>
      <c r="W741" s="2674"/>
      <c r="X741" s="2672">
        <v>68877.2</v>
      </c>
      <c r="Y741" s="2674">
        <v>46052</v>
      </c>
      <c r="Z741" s="2669">
        <f t="shared" si="31"/>
        <v>0</v>
      </c>
      <c r="AA741" s="2734"/>
      <c r="AB741" s="2734"/>
      <c r="AC741" s="2747"/>
      <c r="AD741" s="2614"/>
      <c r="AE741" s="2614"/>
      <c r="AF741" s="2614"/>
      <c r="AG741" s="2614"/>
      <c r="AH741" s="2567"/>
      <c r="AI741" s="2567"/>
    </row>
    <row r="742" s="6" customFormat="1" ht="46" spans="1:35">
      <c r="A742" s="2558"/>
      <c r="B742" s="2532"/>
      <c r="C742" s="2774"/>
      <c r="D742" s="2534"/>
      <c r="E742" s="2785"/>
      <c r="F742" s="2785"/>
      <c r="G742" s="2785"/>
      <c r="H742" s="2785"/>
      <c r="I742" s="2785"/>
      <c r="J742" s="2785"/>
      <c r="K742" s="2582"/>
      <c r="L742" s="2795"/>
      <c r="M742" s="2573">
        <v>10</v>
      </c>
      <c r="N742" s="2615" t="s">
        <v>5617</v>
      </c>
      <c r="O742" s="2813" t="s">
        <v>3343</v>
      </c>
      <c r="P742" s="2617">
        <f>1377544*5%</f>
        <v>68877.2</v>
      </c>
      <c r="Q742" s="2669"/>
      <c r="R742" s="2558"/>
      <c r="S742" s="2670"/>
      <c r="T742" s="2704"/>
      <c r="U742" s="2670"/>
      <c r="V742" s="2728"/>
      <c r="W742" s="2729"/>
      <c r="X742" s="2669"/>
      <c r="Y742" s="2729"/>
      <c r="Z742" s="2669">
        <f t="shared" si="31"/>
        <v>0</v>
      </c>
      <c r="AA742" s="2734"/>
      <c r="AB742" s="2734"/>
      <c r="AC742" s="2747"/>
      <c r="AD742" s="2614"/>
      <c r="AE742" s="2614"/>
      <c r="AF742" s="2614"/>
      <c r="AG742" s="2614"/>
      <c r="AH742" s="2567"/>
      <c r="AI742" s="2567"/>
    </row>
    <row r="743" s="6" customFormat="1" ht="46" spans="1:35">
      <c r="A743" s="2558"/>
      <c r="B743" s="2536"/>
      <c r="C743" s="2776"/>
      <c r="D743" s="2538"/>
      <c r="E743" s="2786"/>
      <c r="F743" s="2786"/>
      <c r="G743" s="2786"/>
      <c r="H743" s="2786"/>
      <c r="I743" s="2786"/>
      <c r="J743" s="2786"/>
      <c r="K743" s="2583"/>
      <c r="L743" s="2797"/>
      <c r="M743" s="2573">
        <v>11</v>
      </c>
      <c r="N743" s="2615" t="s">
        <v>5081</v>
      </c>
      <c r="O743" s="2616">
        <v>0.1</v>
      </c>
      <c r="P743" s="2617">
        <f>K733*O743</f>
        <v>171504.4</v>
      </c>
      <c r="Q743" s="2669"/>
      <c r="R743" s="2558"/>
      <c r="S743" s="2670"/>
      <c r="T743" s="2704"/>
      <c r="U743" s="2670"/>
      <c r="V743" s="2728"/>
      <c r="W743" s="2729"/>
      <c r="X743" s="2669"/>
      <c r="Y743" s="2729"/>
      <c r="Z743" s="2669">
        <f t="shared" si="31"/>
        <v>0</v>
      </c>
      <c r="AA743" s="2734"/>
      <c r="AB743" s="2734"/>
      <c r="AC743" s="2747"/>
      <c r="AD743" s="2614"/>
      <c r="AE743" s="2614"/>
      <c r="AF743" s="2614"/>
      <c r="AG743" s="2614"/>
      <c r="AH743" s="2569"/>
      <c r="AI743" s="2569"/>
    </row>
    <row r="744" s="6" customFormat="1" ht="30" customHeight="1" spans="1:35">
      <c r="A744" s="2520" t="s">
        <v>1951</v>
      </c>
      <c r="B744" s="2521">
        <v>45275</v>
      </c>
      <c r="C744" s="2285" t="s">
        <v>5599</v>
      </c>
      <c r="D744" s="2522"/>
      <c r="E744" s="1381" t="s">
        <v>5618</v>
      </c>
      <c r="F744" s="1381" t="s">
        <v>5619</v>
      </c>
      <c r="G744" s="1381" t="s">
        <v>5620</v>
      </c>
      <c r="H744" s="1381" t="s">
        <v>5136</v>
      </c>
      <c r="I744" s="1381"/>
      <c r="J744" s="1381" t="s">
        <v>5621</v>
      </c>
      <c r="K744" s="2579">
        <v>1884576</v>
      </c>
      <c r="L744" s="2520" t="s">
        <v>126</v>
      </c>
      <c r="M744" s="1381">
        <v>1</v>
      </c>
      <c r="N744" s="2611" t="s">
        <v>5622</v>
      </c>
      <c r="O744" s="2811" t="s">
        <v>5095</v>
      </c>
      <c r="P744" s="2613">
        <f>1672100*15%</f>
        <v>250815</v>
      </c>
      <c r="Q744" s="2665">
        <v>250815</v>
      </c>
      <c r="R744" s="2520" t="s">
        <v>4603</v>
      </c>
      <c r="S744" s="2666">
        <v>45285</v>
      </c>
      <c r="T744" s="2826">
        <v>250815</v>
      </c>
      <c r="U744" s="2666">
        <v>45285</v>
      </c>
      <c r="V744" s="2847">
        <v>250815</v>
      </c>
      <c r="W744" s="2848">
        <v>45314</v>
      </c>
      <c r="X744" s="2613">
        <v>250815</v>
      </c>
      <c r="Y744" s="2848">
        <v>45345</v>
      </c>
      <c r="Z744" s="2613">
        <f t="shared" si="31"/>
        <v>0</v>
      </c>
      <c r="AA744" s="2733"/>
      <c r="AB744" s="2733"/>
      <c r="AC744" s="2746"/>
      <c r="AD744" s="2564"/>
      <c r="AE744" s="2564"/>
      <c r="AF744" s="2564"/>
      <c r="AG744" s="2564"/>
      <c r="AH744" s="2564"/>
      <c r="AI744" s="2564"/>
    </row>
    <row r="745" s="6" customFormat="1" ht="46" spans="1:35">
      <c r="A745" s="2520"/>
      <c r="B745" s="2524"/>
      <c r="C745" s="2285"/>
      <c r="D745" s="2522"/>
      <c r="E745" s="1381"/>
      <c r="F745" s="1381"/>
      <c r="G745" s="1381"/>
      <c r="H745" s="1381"/>
      <c r="I745" s="1381"/>
      <c r="J745" s="1381"/>
      <c r="K745" s="2579"/>
      <c r="L745" s="2520"/>
      <c r="M745" s="1381">
        <v>2</v>
      </c>
      <c r="N745" s="2611" t="s">
        <v>5623</v>
      </c>
      <c r="O745" s="2811" t="s">
        <v>5099</v>
      </c>
      <c r="P745" s="2613">
        <f>1672100*25%</f>
        <v>418025</v>
      </c>
      <c r="Q745" s="2665">
        <v>418025</v>
      </c>
      <c r="R745" s="2520" t="s">
        <v>4603</v>
      </c>
      <c r="S745" s="2666">
        <v>45285</v>
      </c>
      <c r="T745" s="2826">
        <v>418025</v>
      </c>
      <c r="U745" s="2666">
        <v>45285</v>
      </c>
      <c r="V745" s="2847">
        <v>418025</v>
      </c>
      <c r="W745" s="2848">
        <v>45314</v>
      </c>
      <c r="X745" s="2613">
        <v>418025</v>
      </c>
      <c r="Y745" s="2848">
        <v>45345</v>
      </c>
      <c r="Z745" s="2613">
        <f t="shared" si="31"/>
        <v>0</v>
      </c>
      <c r="AA745" s="2733"/>
      <c r="AB745" s="2733"/>
      <c r="AC745" s="2746"/>
      <c r="AD745" s="2564"/>
      <c r="AE745" s="2564"/>
      <c r="AF745" s="2564"/>
      <c r="AG745" s="2564"/>
      <c r="AH745" s="2564"/>
      <c r="AI745" s="2564"/>
    </row>
    <row r="746" s="6" customFormat="1" ht="46" spans="1:35">
      <c r="A746" s="2520"/>
      <c r="B746" s="2524"/>
      <c r="C746" s="2285"/>
      <c r="D746" s="2522"/>
      <c r="E746" s="1381"/>
      <c r="F746" s="1381"/>
      <c r="G746" s="1381"/>
      <c r="H746" s="1381"/>
      <c r="I746" s="1381"/>
      <c r="J746" s="1381"/>
      <c r="K746" s="2579"/>
      <c r="L746" s="2520"/>
      <c r="M746" s="1381">
        <v>3</v>
      </c>
      <c r="N746" s="2611" t="s">
        <v>5077</v>
      </c>
      <c r="O746" s="2811" t="s">
        <v>3334</v>
      </c>
      <c r="P746" s="2812">
        <f>1672100*10%</f>
        <v>167210</v>
      </c>
      <c r="Q746" s="2665">
        <v>167210</v>
      </c>
      <c r="R746" s="2520" t="s">
        <v>4603</v>
      </c>
      <c r="S746" s="2666">
        <v>45285</v>
      </c>
      <c r="T746" s="2826">
        <v>167210</v>
      </c>
      <c r="U746" s="2666">
        <v>45285</v>
      </c>
      <c r="V746" s="2847">
        <v>167210</v>
      </c>
      <c r="W746" s="2848">
        <v>45314</v>
      </c>
      <c r="X746" s="2613">
        <v>167210</v>
      </c>
      <c r="Y746" s="2848">
        <v>45345</v>
      </c>
      <c r="Z746" s="2613">
        <f t="shared" si="31"/>
        <v>0</v>
      </c>
      <c r="AA746" s="2733"/>
      <c r="AB746" s="2733"/>
      <c r="AC746" s="2746"/>
      <c r="AD746" s="2564"/>
      <c r="AE746" s="2564"/>
      <c r="AF746" s="2564"/>
      <c r="AG746" s="2564"/>
      <c r="AH746" s="2564"/>
      <c r="AI746" s="2564"/>
    </row>
    <row r="747" s="6" customFormat="1" ht="46" spans="1:35">
      <c r="A747" s="2520"/>
      <c r="B747" s="2524"/>
      <c r="C747" s="2285"/>
      <c r="D747" s="2522"/>
      <c r="E747" s="1381"/>
      <c r="F747" s="1381"/>
      <c r="G747" s="1381"/>
      <c r="H747" s="1381"/>
      <c r="I747" s="1381"/>
      <c r="J747" s="1381"/>
      <c r="K747" s="2579"/>
      <c r="L747" s="2520"/>
      <c r="M747" s="1381">
        <v>4</v>
      </c>
      <c r="N747" s="2611" t="s">
        <v>5624</v>
      </c>
      <c r="O747" s="2811" t="s">
        <v>3332</v>
      </c>
      <c r="P747" s="2613">
        <f>1672100*30%</f>
        <v>501630</v>
      </c>
      <c r="Q747" s="2825">
        <v>501630</v>
      </c>
      <c r="R747" s="2520" t="s">
        <v>4603</v>
      </c>
      <c r="S747" s="2668">
        <v>45469</v>
      </c>
      <c r="T747" s="2826">
        <v>501630</v>
      </c>
      <c r="U747" s="2666">
        <v>45469</v>
      </c>
      <c r="V747" s="2826">
        <v>501630</v>
      </c>
      <c r="W747" s="2848">
        <v>45665</v>
      </c>
      <c r="X747" s="2665">
        <v>501630</v>
      </c>
      <c r="Y747" s="2666">
        <v>45680</v>
      </c>
      <c r="Z747" s="2613">
        <f t="shared" si="31"/>
        <v>0</v>
      </c>
      <c r="AA747" s="2733"/>
      <c r="AB747" s="2733"/>
      <c r="AC747" s="2746"/>
      <c r="AD747" s="2564"/>
      <c r="AE747" s="2564"/>
      <c r="AF747" s="2564"/>
      <c r="AG747" s="2564"/>
      <c r="AH747" s="2564"/>
      <c r="AI747" s="2564"/>
    </row>
    <row r="748" s="6" customFormat="1" ht="30" customHeight="1" spans="1:35">
      <c r="A748" s="2520"/>
      <c r="B748" s="2524"/>
      <c r="C748" s="2285"/>
      <c r="D748" s="2522"/>
      <c r="E748" s="1381"/>
      <c r="F748" s="1381"/>
      <c r="G748" s="1381"/>
      <c r="H748" s="1381"/>
      <c r="I748" s="1381"/>
      <c r="J748" s="1381"/>
      <c r="K748" s="2579"/>
      <c r="L748" s="2520"/>
      <c r="M748" s="1381">
        <v>5</v>
      </c>
      <c r="N748" s="2611" t="s">
        <v>5625</v>
      </c>
      <c r="O748" s="2811" t="s">
        <v>5108</v>
      </c>
      <c r="P748" s="2814">
        <f>1672100*5%</f>
        <v>83605</v>
      </c>
      <c r="Q748" s="2834">
        <v>83605</v>
      </c>
      <c r="R748" s="2835" t="s">
        <v>5015</v>
      </c>
      <c r="S748" s="2836">
        <v>46021</v>
      </c>
      <c r="T748" s="2826"/>
      <c r="U748" s="2666"/>
      <c r="V748" s="2847"/>
      <c r="W748" s="2848"/>
      <c r="X748" s="2834">
        <v>83605</v>
      </c>
      <c r="Y748" s="2836">
        <v>46052</v>
      </c>
      <c r="Z748" s="2613">
        <f t="shared" si="31"/>
        <v>0</v>
      </c>
      <c r="AA748" s="2733"/>
      <c r="AB748" s="2733"/>
      <c r="AC748" s="2746"/>
      <c r="AD748" s="2564"/>
      <c r="AE748" s="2564"/>
      <c r="AF748" s="2564"/>
      <c r="AG748" s="2564"/>
      <c r="AH748" s="2564"/>
      <c r="AI748" s="2564"/>
    </row>
    <row r="749" s="6" customFormat="1" ht="30" customHeight="1" spans="1:35">
      <c r="A749" s="2520"/>
      <c r="B749" s="2524"/>
      <c r="C749" s="2285"/>
      <c r="D749" s="2522"/>
      <c r="E749" s="1381"/>
      <c r="F749" s="1381"/>
      <c r="G749" s="1381"/>
      <c r="H749" s="1381"/>
      <c r="I749" s="1381"/>
      <c r="J749" s="1381"/>
      <c r="K749" s="2579"/>
      <c r="L749" s="2520"/>
      <c r="M749" s="1381">
        <v>6</v>
      </c>
      <c r="N749" s="2611" t="s">
        <v>5080</v>
      </c>
      <c r="O749" s="2811" t="s">
        <v>5108</v>
      </c>
      <c r="P749" s="2814">
        <f>1672100*5%</f>
        <v>83605</v>
      </c>
      <c r="Q749" s="2834">
        <v>83605</v>
      </c>
      <c r="R749" s="2835" t="s">
        <v>5015</v>
      </c>
      <c r="S749" s="2836">
        <v>46111</v>
      </c>
      <c r="T749" s="2826"/>
      <c r="U749" s="2666"/>
      <c r="V749" s="2847"/>
      <c r="W749" s="2848"/>
      <c r="X749" s="2834">
        <v>83605</v>
      </c>
      <c r="Y749" s="2836">
        <v>46142</v>
      </c>
      <c r="Z749" s="2613">
        <f t="shared" si="31"/>
        <v>0</v>
      </c>
      <c r="AA749" s="2733"/>
      <c r="AB749" s="2733"/>
      <c r="AC749" s="2746"/>
      <c r="AD749" s="2564"/>
      <c r="AE749" s="2564"/>
      <c r="AF749" s="2564"/>
      <c r="AG749" s="2564"/>
      <c r="AH749" s="2564"/>
      <c r="AI749" s="2564"/>
    </row>
    <row r="750" s="6" customFormat="1" ht="30" customHeight="1" spans="1:35">
      <c r="A750" s="2520"/>
      <c r="B750" s="2524"/>
      <c r="C750" s="2285"/>
      <c r="D750" s="2522"/>
      <c r="E750" s="1381"/>
      <c r="F750" s="1381"/>
      <c r="G750" s="1381"/>
      <c r="H750" s="1381"/>
      <c r="I750" s="1381"/>
      <c r="J750" s="1381"/>
      <c r="K750" s="2579"/>
      <c r="L750" s="2520"/>
      <c r="M750" s="1381">
        <v>7</v>
      </c>
      <c r="N750" s="2611" t="s">
        <v>5622</v>
      </c>
      <c r="O750" s="2811" t="s">
        <v>3336</v>
      </c>
      <c r="P750" s="2613">
        <f>212476*15%</f>
        <v>31871.4</v>
      </c>
      <c r="Q750" s="2665">
        <v>31871.4</v>
      </c>
      <c r="R750" s="2520" t="s">
        <v>4603</v>
      </c>
      <c r="S750" s="2666">
        <v>45285</v>
      </c>
      <c r="T750" s="2826">
        <v>31871.4</v>
      </c>
      <c r="U750" s="2666">
        <v>45285</v>
      </c>
      <c r="V750" s="2847">
        <v>31871.4</v>
      </c>
      <c r="W750" s="2848">
        <v>45314</v>
      </c>
      <c r="X750" s="2613">
        <v>31871.4</v>
      </c>
      <c r="Y750" s="2848">
        <v>45345</v>
      </c>
      <c r="Z750" s="2613">
        <f t="shared" si="31"/>
        <v>0</v>
      </c>
      <c r="AA750" s="2733"/>
      <c r="AB750" s="2733"/>
      <c r="AC750" s="2746"/>
      <c r="AD750" s="2564"/>
      <c r="AE750" s="2564"/>
      <c r="AF750" s="2564"/>
      <c r="AG750" s="2564"/>
      <c r="AH750" s="2564"/>
      <c r="AI750" s="2564"/>
    </row>
    <row r="751" s="6" customFormat="1" ht="46" spans="1:35">
      <c r="A751" s="2520"/>
      <c r="B751" s="2524"/>
      <c r="C751" s="2285"/>
      <c r="D751" s="2522"/>
      <c r="E751" s="1381"/>
      <c r="F751" s="1381"/>
      <c r="G751" s="1381"/>
      <c r="H751" s="1381"/>
      <c r="I751" s="1381"/>
      <c r="J751" s="1381"/>
      <c r="K751" s="2579"/>
      <c r="L751" s="2520"/>
      <c r="M751" s="1381">
        <v>8</v>
      </c>
      <c r="N751" s="2611" t="s">
        <v>5626</v>
      </c>
      <c r="O751" s="2811" t="s">
        <v>3341</v>
      </c>
      <c r="P751" s="2613">
        <f>212476*20%</f>
        <v>42495.2</v>
      </c>
      <c r="Q751" s="2665">
        <v>42495.2</v>
      </c>
      <c r="R751" s="2520" t="s">
        <v>4603</v>
      </c>
      <c r="S751" s="2666">
        <v>45285</v>
      </c>
      <c r="T751" s="2826">
        <v>42495.2</v>
      </c>
      <c r="U751" s="2666">
        <v>45285</v>
      </c>
      <c r="V751" s="2847">
        <v>42495.2</v>
      </c>
      <c r="W751" s="2848">
        <v>45314</v>
      </c>
      <c r="X751" s="2613">
        <v>42495.2</v>
      </c>
      <c r="Y751" s="2848">
        <v>45345</v>
      </c>
      <c r="Z751" s="2613">
        <f t="shared" si="31"/>
        <v>0</v>
      </c>
      <c r="AA751" s="2733"/>
      <c r="AB751" s="2733"/>
      <c r="AC751" s="2746"/>
      <c r="AD751" s="2564"/>
      <c r="AE751" s="2564"/>
      <c r="AF751" s="2564"/>
      <c r="AG751" s="2564"/>
      <c r="AH751" s="2564"/>
      <c r="AI751" s="2564"/>
    </row>
    <row r="752" s="6" customFormat="1" ht="46" spans="1:35">
      <c r="A752" s="2520"/>
      <c r="B752" s="2524"/>
      <c r="C752" s="2285"/>
      <c r="D752" s="2522"/>
      <c r="E752" s="1381"/>
      <c r="F752" s="1381"/>
      <c r="G752" s="1381"/>
      <c r="H752" s="1381"/>
      <c r="I752" s="1381"/>
      <c r="J752" s="1381"/>
      <c r="K752" s="2579"/>
      <c r="L752" s="2520"/>
      <c r="M752" s="2805">
        <v>9</v>
      </c>
      <c r="N752" s="2611" t="s">
        <v>5627</v>
      </c>
      <c r="O752" s="2815" t="s">
        <v>3336</v>
      </c>
      <c r="P752" s="2807">
        <f>212476*15%</f>
        <v>31871.4</v>
      </c>
      <c r="Q752" s="2665">
        <v>27057</v>
      </c>
      <c r="R752" s="2520" t="s">
        <v>4603</v>
      </c>
      <c r="S752" s="2666">
        <v>45285</v>
      </c>
      <c r="T752" s="2826">
        <v>27057</v>
      </c>
      <c r="U752" s="2666">
        <v>45285</v>
      </c>
      <c r="V752" s="2826">
        <v>27057</v>
      </c>
      <c r="W752" s="2848">
        <v>45665</v>
      </c>
      <c r="X752" s="2665">
        <v>27057</v>
      </c>
      <c r="Y752" s="2666">
        <v>45680</v>
      </c>
      <c r="Z752" s="2613">
        <f t="shared" si="31"/>
        <v>0</v>
      </c>
      <c r="AA752" s="2733"/>
      <c r="AB752" s="2733"/>
      <c r="AC752" s="2746"/>
      <c r="AD752" s="2564"/>
      <c r="AE752" s="2564"/>
      <c r="AF752" s="2564"/>
      <c r="AG752" s="2564"/>
      <c r="AH752" s="2564"/>
      <c r="AI752" s="2564"/>
    </row>
    <row r="753" s="6" customFormat="1" ht="46" spans="1:35">
      <c r="A753" s="2520"/>
      <c r="B753" s="2524"/>
      <c r="C753" s="2285"/>
      <c r="D753" s="2522"/>
      <c r="E753" s="1381"/>
      <c r="F753" s="1381"/>
      <c r="G753" s="1381"/>
      <c r="H753" s="1381"/>
      <c r="I753" s="1381"/>
      <c r="J753" s="1381"/>
      <c r="K753" s="2579"/>
      <c r="L753" s="2520"/>
      <c r="M753" s="2284"/>
      <c r="N753" s="2611" t="s">
        <v>5628</v>
      </c>
      <c r="O753" s="2816"/>
      <c r="P753" s="2817"/>
      <c r="Q753" s="2834">
        <v>4814.4</v>
      </c>
      <c r="R753" s="2835" t="s">
        <v>5015</v>
      </c>
      <c r="S753" s="2836">
        <v>46021</v>
      </c>
      <c r="T753" s="2826"/>
      <c r="U753" s="2666"/>
      <c r="V753" s="2847"/>
      <c r="W753" s="2848"/>
      <c r="X753" s="2834">
        <v>4814.4</v>
      </c>
      <c r="Y753" s="2836">
        <v>46052</v>
      </c>
      <c r="Z753" s="2613">
        <f t="shared" si="31"/>
        <v>0</v>
      </c>
      <c r="AA753" s="2733"/>
      <c r="AB753" s="2733"/>
      <c r="AC753" s="2746"/>
      <c r="AD753" s="2564"/>
      <c r="AE753" s="2564"/>
      <c r="AF753" s="2564"/>
      <c r="AG753" s="2564"/>
      <c r="AH753" s="2564"/>
      <c r="AI753" s="2564"/>
    </row>
    <row r="754" s="6" customFormat="1" ht="46" spans="1:35">
      <c r="A754" s="2520"/>
      <c r="B754" s="2524"/>
      <c r="C754" s="2285"/>
      <c r="D754" s="2522"/>
      <c r="E754" s="1381"/>
      <c r="F754" s="1381"/>
      <c r="G754" s="1381"/>
      <c r="H754" s="1381"/>
      <c r="I754" s="1381"/>
      <c r="J754" s="1381"/>
      <c r="K754" s="2579"/>
      <c r="L754" s="2520"/>
      <c r="M754" s="1381">
        <v>10</v>
      </c>
      <c r="N754" s="2611" t="s">
        <v>5629</v>
      </c>
      <c r="O754" s="2811" t="s">
        <v>5630</v>
      </c>
      <c r="P754" s="2814">
        <f>212476*30%</f>
        <v>63742.8</v>
      </c>
      <c r="Q754" s="2834">
        <v>63742.8</v>
      </c>
      <c r="R754" s="2835" t="s">
        <v>5015</v>
      </c>
      <c r="S754" s="2836">
        <v>46021</v>
      </c>
      <c r="T754" s="2826"/>
      <c r="U754" s="2666"/>
      <c r="V754" s="2847"/>
      <c r="W754" s="2848"/>
      <c r="X754" s="2834">
        <v>63742.8</v>
      </c>
      <c r="Y754" s="2836">
        <v>46052</v>
      </c>
      <c r="Z754" s="2613">
        <f t="shared" si="31"/>
        <v>0</v>
      </c>
      <c r="AA754" s="2733"/>
      <c r="AB754" s="2733"/>
      <c r="AC754" s="2746"/>
      <c r="AD754" s="2564"/>
      <c r="AE754" s="2564"/>
      <c r="AF754" s="2564"/>
      <c r="AG754" s="2564"/>
      <c r="AH754" s="2564"/>
      <c r="AI754" s="2564"/>
    </row>
    <row r="755" s="6" customFormat="1" ht="30" customHeight="1" spans="1:35">
      <c r="A755" s="2520"/>
      <c r="B755" s="2524"/>
      <c r="C755" s="2285"/>
      <c r="D755" s="2522"/>
      <c r="E755" s="1381"/>
      <c r="F755" s="1381"/>
      <c r="G755" s="1381"/>
      <c r="H755" s="1381"/>
      <c r="I755" s="1381"/>
      <c r="J755" s="1381"/>
      <c r="K755" s="2579"/>
      <c r="L755" s="2520"/>
      <c r="M755" s="1381">
        <v>11</v>
      </c>
      <c r="N755" s="2611" t="s">
        <v>5631</v>
      </c>
      <c r="O755" s="2811" t="s">
        <v>3343</v>
      </c>
      <c r="P755" s="2814">
        <f>212476*5%</f>
        <v>10623.8</v>
      </c>
      <c r="Q755" s="2834">
        <v>10623.8</v>
      </c>
      <c r="R755" s="2835" t="s">
        <v>5015</v>
      </c>
      <c r="S755" s="2836"/>
      <c r="T755" s="2826"/>
      <c r="U755" s="2666"/>
      <c r="V755" s="2847"/>
      <c r="W755" s="2848"/>
      <c r="X755" s="2834">
        <v>10623.8</v>
      </c>
      <c r="Y755" s="2836"/>
      <c r="Z755" s="2613">
        <f t="shared" si="31"/>
        <v>0</v>
      </c>
      <c r="AA755" s="2733"/>
      <c r="AB755" s="2733"/>
      <c r="AC755" s="2746"/>
      <c r="AD755" s="2564"/>
      <c r="AE755" s="2564"/>
      <c r="AF755" s="2564"/>
      <c r="AG755" s="2564"/>
      <c r="AH755" s="2564"/>
      <c r="AI755" s="2564"/>
    </row>
    <row r="756" s="6" customFormat="1" ht="30" customHeight="1" spans="1:35">
      <c r="A756" s="2520"/>
      <c r="B756" s="2524"/>
      <c r="C756" s="2285"/>
      <c r="D756" s="2522"/>
      <c r="E756" s="1381"/>
      <c r="F756" s="1381"/>
      <c r="G756" s="1381"/>
      <c r="H756" s="1381"/>
      <c r="I756" s="1381"/>
      <c r="J756" s="1381"/>
      <c r="K756" s="2579"/>
      <c r="L756" s="2520"/>
      <c r="M756" s="1381">
        <v>12</v>
      </c>
      <c r="N756" s="2611" t="s">
        <v>5080</v>
      </c>
      <c r="O756" s="2811" t="s">
        <v>3343</v>
      </c>
      <c r="P756" s="2814">
        <f>212476*5%</f>
        <v>10623.8</v>
      </c>
      <c r="Q756" s="2834">
        <v>10623.8</v>
      </c>
      <c r="R756" s="2835" t="s">
        <v>5015</v>
      </c>
      <c r="S756" s="2836"/>
      <c r="T756" s="2826"/>
      <c r="U756" s="2666"/>
      <c r="V756" s="2847"/>
      <c r="W756" s="2848"/>
      <c r="X756" s="2834">
        <v>10623.8</v>
      </c>
      <c r="Y756" s="2836"/>
      <c r="Z756" s="2613">
        <f t="shared" si="31"/>
        <v>0</v>
      </c>
      <c r="AA756" s="2733"/>
      <c r="AB756" s="2733"/>
      <c r="AC756" s="2746"/>
      <c r="AD756" s="2564"/>
      <c r="AE756" s="2564"/>
      <c r="AF756" s="2564"/>
      <c r="AG756" s="2564"/>
      <c r="AH756" s="2564"/>
      <c r="AI756" s="2564"/>
    </row>
    <row r="757" s="6" customFormat="1" ht="46" spans="1:35">
      <c r="A757" s="2520"/>
      <c r="B757" s="2526"/>
      <c r="C757" s="2285"/>
      <c r="D757" s="2522"/>
      <c r="E757" s="1381"/>
      <c r="F757" s="1381"/>
      <c r="G757" s="1381"/>
      <c r="H757" s="1381"/>
      <c r="I757" s="1381"/>
      <c r="J757" s="1381"/>
      <c r="K757" s="2579"/>
      <c r="L757" s="2520"/>
      <c r="M757" s="1381">
        <v>13</v>
      </c>
      <c r="N757" s="2611" t="s">
        <v>5081</v>
      </c>
      <c r="O757" s="2612">
        <v>0.1</v>
      </c>
      <c r="P757" s="2613">
        <f>K744*O757</f>
        <v>188457.6</v>
      </c>
      <c r="Q757" s="2665"/>
      <c r="R757" s="2520"/>
      <c r="S757" s="2666"/>
      <c r="T757" s="2826"/>
      <c r="U757" s="2666"/>
      <c r="V757" s="2847"/>
      <c r="W757" s="2848"/>
      <c r="X757" s="2665"/>
      <c r="Y757" s="2848"/>
      <c r="Z757" s="2613">
        <f t="shared" si="31"/>
        <v>0</v>
      </c>
      <c r="AA757" s="2733"/>
      <c r="AB757" s="2733"/>
      <c r="AC757" s="2746"/>
      <c r="AD757" s="2564"/>
      <c r="AE757" s="2564"/>
      <c r="AF757" s="2564"/>
      <c r="AG757" s="2564"/>
      <c r="AH757" s="2564"/>
      <c r="AI757" s="2564"/>
    </row>
    <row r="758" s="6" customFormat="1" ht="92" spans="1:35">
      <c r="A758" s="2650" t="s">
        <v>1951</v>
      </c>
      <c r="B758" s="2777">
        <v>45389</v>
      </c>
      <c r="C758" s="2778" t="s">
        <v>5599</v>
      </c>
      <c r="D758" s="2778"/>
      <c r="E758" s="1976" t="s">
        <v>5632</v>
      </c>
      <c r="F758" s="1976" t="s">
        <v>5633</v>
      </c>
      <c r="G758" s="1976" t="s">
        <v>3620</v>
      </c>
      <c r="H758" s="1976" t="s">
        <v>5634</v>
      </c>
      <c r="I758" s="1976" t="s">
        <v>5635</v>
      </c>
      <c r="J758" s="1976" t="s">
        <v>5636</v>
      </c>
      <c r="K758" s="2798">
        <v>906640</v>
      </c>
      <c r="L758" s="2650" t="s">
        <v>126</v>
      </c>
      <c r="M758" s="1795">
        <v>1</v>
      </c>
      <c r="N758" s="2597" t="s">
        <v>5637</v>
      </c>
      <c r="O758" s="2598">
        <v>0.15</v>
      </c>
      <c r="P758" s="2599">
        <f>K758*O758</f>
        <v>135996</v>
      </c>
      <c r="Q758" s="2837">
        <v>135996</v>
      </c>
      <c r="R758" s="1793" t="s">
        <v>4603</v>
      </c>
      <c r="S758" s="2648">
        <v>45469</v>
      </c>
      <c r="T758" s="2838">
        <v>135996</v>
      </c>
      <c r="U758" s="2648">
        <v>45469</v>
      </c>
      <c r="V758" s="2850">
        <v>135996</v>
      </c>
      <c r="W758" s="2851">
        <v>45666</v>
      </c>
      <c r="X758" s="1908">
        <v>135996</v>
      </c>
      <c r="Y758" s="2648">
        <v>45680</v>
      </c>
      <c r="Z758" s="1908">
        <f t="shared" si="31"/>
        <v>0</v>
      </c>
      <c r="AA758" s="2731"/>
      <c r="AB758" s="2731"/>
      <c r="AC758" s="2743"/>
      <c r="AD758" s="38"/>
      <c r="AE758" s="38"/>
      <c r="AF758" s="38"/>
      <c r="AG758" s="38"/>
      <c r="AH758" s="2600"/>
      <c r="AI758" s="2600"/>
    </row>
    <row r="759" s="6" customFormat="1" ht="92" spans="1:35">
      <c r="A759" s="2779"/>
      <c r="B759" s="2780"/>
      <c r="C759" s="2781"/>
      <c r="D759" s="2781"/>
      <c r="E759" s="2787"/>
      <c r="F759" s="2787"/>
      <c r="G759" s="2787"/>
      <c r="H759" s="2787"/>
      <c r="I759" s="2787"/>
      <c r="J759" s="2787"/>
      <c r="K759" s="2799"/>
      <c r="L759" s="2779"/>
      <c r="M759" s="1795">
        <v>2</v>
      </c>
      <c r="N759" s="2597" t="s">
        <v>5638</v>
      </c>
      <c r="O759" s="2598">
        <v>0.2</v>
      </c>
      <c r="P759" s="2599">
        <f>K758*O759</f>
        <v>181328</v>
      </c>
      <c r="Q759" s="2837">
        <v>181328</v>
      </c>
      <c r="R759" s="1793" t="s">
        <v>4603</v>
      </c>
      <c r="S759" s="2648">
        <v>45469</v>
      </c>
      <c r="T759" s="2838">
        <v>181328</v>
      </c>
      <c r="U759" s="2648">
        <v>45469</v>
      </c>
      <c r="V759" s="2850">
        <v>181328</v>
      </c>
      <c r="W759" s="2851">
        <v>45666</v>
      </c>
      <c r="X759" s="1908">
        <v>181328</v>
      </c>
      <c r="Y759" s="2648">
        <v>45680</v>
      </c>
      <c r="Z759" s="1908">
        <f t="shared" si="31"/>
        <v>0</v>
      </c>
      <c r="AA759" s="2731"/>
      <c r="AB759" s="2731"/>
      <c r="AC759" s="2743"/>
      <c r="AD759" s="38"/>
      <c r="AE759" s="38"/>
      <c r="AF759" s="38"/>
      <c r="AG759" s="38"/>
      <c r="AH759" s="2867"/>
      <c r="AI759" s="2867"/>
    </row>
    <row r="760" s="6" customFormat="1" ht="92" spans="1:35">
      <c r="A760" s="2779"/>
      <c r="B760" s="2780"/>
      <c r="C760" s="2781"/>
      <c r="D760" s="2781"/>
      <c r="E760" s="2787"/>
      <c r="F760" s="2787"/>
      <c r="G760" s="2787"/>
      <c r="H760" s="2787"/>
      <c r="I760" s="2787"/>
      <c r="J760" s="2787"/>
      <c r="K760" s="2799"/>
      <c r="L760" s="2779"/>
      <c r="M760" s="1795">
        <v>3</v>
      </c>
      <c r="N760" s="2597" t="s">
        <v>5639</v>
      </c>
      <c r="O760" s="2598">
        <v>0.15</v>
      </c>
      <c r="P760" s="2599">
        <f>K758*O760</f>
        <v>135996</v>
      </c>
      <c r="Q760" s="2837">
        <v>135996</v>
      </c>
      <c r="R760" s="1793" t="s">
        <v>4603</v>
      </c>
      <c r="S760" s="2648">
        <v>45469</v>
      </c>
      <c r="T760" s="2838">
        <v>135996</v>
      </c>
      <c r="U760" s="2648">
        <v>45469</v>
      </c>
      <c r="V760" s="2850">
        <v>135996</v>
      </c>
      <c r="W760" s="2851">
        <v>45666</v>
      </c>
      <c r="X760" s="1908">
        <v>135996</v>
      </c>
      <c r="Y760" s="2648">
        <v>45680</v>
      </c>
      <c r="Z760" s="1908">
        <f t="shared" si="31"/>
        <v>0</v>
      </c>
      <c r="AA760" s="2731"/>
      <c r="AB760" s="2731"/>
      <c r="AC760" s="2743"/>
      <c r="AD760" s="38"/>
      <c r="AE760" s="38"/>
      <c r="AF760" s="38"/>
      <c r="AG760" s="38"/>
      <c r="AH760" s="2867"/>
      <c r="AI760" s="2867"/>
    </row>
    <row r="761" s="6" customFormat="1" ht="92" spans="1:35">
      <c r="A761" s="2779"/>
      <c r="B761" s="2780"/>
      <c r="C761" s="2781"/>
      <c r="D761" s="2781"/>
      <c r="E761" s="2787"/>
      <c r="F761" s="2787"/>
      <c r="G761" s="2787"/>
      <c r="H761" s="2787"/>
      <c r="I761" s="2787"/>
      <c r="J761" s="2787"/>
      <c r="K761" s="2799"/>
      <c r="L761" s="2779"/>
      <c r="M761" s="1795">
        <v>4</v>
      </c>
      <c r="N761" s="2597" t="s">
        <v>5640</v>
      </c>
      <c r="O761" s="2598">
        <v>0.3</v>
      </c>
      <c r="P761" s="2599">
        <f>K758*O761</f>
        <v>271992</v>
      </c>
      <c r="Q761" s="1908">
        <v>271992</v>
      </c>
      <c r="R761" s="1793" t="s">
        <v>4603</v>
      </c>
      <c r="S761" s="2648">
        <v>45653</v>
      </c>
      <c r="T761" s="2839">
        <v>271992</v>
      </c>
      <c r="U761" s="2648">
        <v>45653</v>
      </c>
      <c r="V761" s="2850"/>
      <c r="W761" s="2851"/>
      <c r="X761" s="2656">
        <v>271992</v>
      </c>
      <c r="Y761" s="2658">
        <v>46052</v>
      </c>
      <c r="Z761" s="1908">
        <f t="shared" si="31"/>
        <v>0</v>
      </c>
      <c r="AA761" s="2731"/>
      <c r="AB761" s="2731"/>
      <c r="AC761" s="2743"/>
      <c r="AD761" s="38"/>
      <c r="AE761" s="38"/>
      <c r="AF761" s="38"/>
      <c r="AG761" s="38"/>
      <c r="AH761" s="2867"/>
      <c r="AI761" s="2867"/>
    </row>
    <row r="762" s="6" customFormat="1" ht="92" spans="1:35">
      <c r="A762" s="2779"/>
      <c r="B762" s="2780"/>
      <c r="C762" s="2781"/>
      <c r="D762" s="2781"/>
      <c r="E762" s="2787"/>
      <c r="F762" s="2787"/>
      <c r="G762" s="2787"/>
      <c r="H762" s="2787"/>
      <c r="I762" s="2787"/>
      <c r="J762" s="2787"/>
      <c r="K762" s="2799"/>
      <c r="L762" s="2779"/>
      <c r="M762" s="1795">
        <v>5</v>
      </c>
      <c r="N762" s="2597" t="s">
        <v>5641</v>
      </c>
      <c r="O762" s="2598">
        <v>0.05</v>
      </c>
      <c r="P762" s="2599">
        <f>K758*O762</f>
        <v>45332</v>
      </c>
      <c r="Q762" s="1908">
        <v>45332</v>
      </c>
      <c r="R762" s="1793" t="s">
        <v>4603</v>
      </c>
      <c r="S762" s="2648">
        <v>45653</v>
      </c>
      <c r="T762" s="2839">
        <v>45332</v>
      </c>
      <c r="U762" s="2648">
        <v>45653</v>
      </c>
      <c r="V762" s="2850"/>
      <c r="W762" s="2851"/>
      <c r="X762" s="2656">
        <v>45332</v>
      </c>
      <c r="Y762" s="2658"/>
      <c r="Z762" s="1908">
        <f t="shared" si="31"/>
        <v>0</v>
      </c>
      <c r="AA762" s="2731"/>
      <c r="AB762" s="2731"/>
      <c r="AC762" s="2743"/>
      <c r="AD762" s="38"/>
      <c r="AE762" s="38"/>
      <c r="AF762" s="38"/>
      <c r="AG762" s="38"/>
      <c r="AH762" s="2867"/>
      <c r="AI762" s="2867"/>
    </row>
    <row r="763" s="6" customFormat="1" ht="76" spans="1:35">
      <c r="A763" s="2779"/>
      <c r="B763" s="2780"/>
      <c r="C763" s="2781"/>
      <c r="D763" s="2781"/>
      <c r="E763" s="2787"/>
      <c r="F763" s="2787"/>
      <c r="G763" s="2787"/>
      <c r="H763" s="2787"/>
      <c r="I763" s="2787"/>
      <c r="J763" s="2787"/>
      <c r="K763" s="2799"/>
      <c r="L763" s="2779"/>
      <c r="M763" s="1795">
        <v>6</v>
      </c>
      <c r="N763" s="2597" t="s">
        <v>5642</v>
      </c>
      <c r="O763" s="2598">
        <v>0.05</v>
      </c>
      <c r="P763" s="2599">
        <f>K758*O763</f>
        <v>45332</v>
      </c>
      <c r="Q763" s="1908"/>
      <c r="R763" s="1793"/>
      <c r="S763" s="2648"/>
      <c r="T763" s="2838"/>
      <c r="U763" s="2648"/>
      <c r="V763" s="2850"/>
      <c r="W763" s="2851"/>
      <c r="X763" s="1908"/>
      <c r="Y763" s="2851"/>
      <c r="Z763" s="1908">
        <f t="shared" si="31"/>
        <v>0</v>
      </c>
      <c r="AA763" s="2731"/>
      <c r="AB763" s="2731"/>
      <c r="AC763" s="2743"/>
      <c r="AD763" s="38"/>
      <c r="AE763" s="38"/>
      <c r="AF763" s="38"/>
      <c r="AG763" s="38"/>
      <c r="AH763" s="2867"/>
      <c r="AI763" s="2867"/>
    </row>
    <row r="764" s="6" customFormat="1" ht="107" spans="1:35">
      <c r="A764" s="2779"/>
      <c r="B764" s="2780"/>
      <c r="C764" s="2781"/>
      <c r="D764" s="2781"/>
      <c r="E764" s="2787"/>
      <c r="F764" s="2787"/>
      <c r="G764" s="2787"/>
      <c r="H764" s="2787"/>
      <c r="I764" s="2787"/>
      <c r="J764" s="2787"/>
      <c r="K764" s="2799"/>
      <c r="L764" s="2779"/>
      <c r="M764" s="1976">
        <v>7</v>
      </c>
      <c r="N764" s="2818" t="s">
        <v>5643</v>
      </c>
      <c r="O764" s="2601">
        <v>0.1</v>
      </c>
      <c r="P764" s="2602">
        <f>K758*O764</f>
        <v>90664</v>
      </c>
      <c r="Q764" s="1903"/>
      <c r="R764" s="2650"/>
      <c r="S764" s="2651"/>
      <c r="T764" s="2840"/>
      <c r="U764" s="2651"/>
      <c r="V764" s="2852"/>
      <c r="W764" s="2853"/>
      <c r="X764" s="1903"/>
      <c r="Y764" s="2853"/>
      <c r="Z764" s="1908">
        <f t="shared" si="31"/>
        <v>0</v>
      </c>
      <c r="AA764" s="2857"/>
      <c r="AB764" s="2857"/>
      <c r="AC764" s="2862"/>
      <c r="AD764" s="2600"/>
      <c r="AE764" s="2600"/>
      <c r="AF764" s="2600"/>
      <c r="AG764" s="2600"/>
      <c r="AH764" s="2867"/>
      <c r="AI764" s="2867"/>
    </row>
    <row r="765" s="6" customFormat="1" ht="61" spans="1:35">
      <c r="A765" s="1074" t="s">
        <v>1951</v>
      </c>
      <c r="B765" s="2782">
        <v>45421</v>
      </c>
      <c r="C765" s="1076" t="s">
        <v>5599</v>
      </c>
      <c r="D765" s="1076"/>
      <c r="E765" s="1080" t="s">
        <v>5644</v>
      </c>
      <c r="F765" s="1080" t="s">
        <v>5645</v>
      </c>
      <c r="G765" s="1080" t="s">
        <v>5540</v>
      </c>
      <c r="H765" s="1080" t="s">
        <v>4626</v>
      </c>
      <c r="I765" s="1080" t="s">
        <v>5646</v>
      </c>
      <c r="J765" s="1080" t="s">
        <v>393</v>
      </c>
      <c r="K765" s="2696">
        <v>399000</v>
      </c>
      <c r="L765" s="1074" t="s">
        <v>126</v>
      </c>
      <c r="M765" s="1080">
        <v>1</v>
      </c>
      <c r="N765" s="2630" t="s">
        <v>5647</v>
      </c>
      <c r="O765" s="2631">
        <v>0.2</v>
      </c>
      <c r="P765" s="2632">
        <f>K765*O765</f>
        <v>79800</v>
      </c>
      <c r="Q765" s="2693">
        <v>79800</v>
      </c>
      <c r="R765" s="1074" t="s">
        <v>4603</v>
      </c>
      <c r="S765" s="2695">
        <v>45617</v>
      </c>
      <c r="T765" s="2697">
        <v>79800</v>
      </c>
      <c r="U765" s="2695">
        <v>45617</v>
      </c>
      <c r="V765" s="2724">
        <v>79800</v>
      </c>
      <c r="W765" s="2695">
        <v>45616</v>
      </c>
      <c r="X765" s="2632">
        <v>79800</v>
      </c>
      <c r="Y765" s="2725">
        <v>45624</v>
      </c>
      <c r="Z765" s="2632">
        <f t="shared" si="31"/>
        <v>0</v>
      </c>
      <c r="AA765" s="2738"/>
      <c r="AB765" s="2738"/>
      <c r="AC765" s="2755"/>
      <c r="AD765" s="2756"/>
      <c r="AE765" s="2756"/>
      <c r="AF765" s="2756"/>
      <c r="AG765" s="2756"/>
      <c r="AH765" s="2756"/>
      <c r="AI765" s="2756"/>
    </row>
    <row r="766" s="6" customFormat="1" ht="46" spans="1:35">
      <c r="A766" s="1074"/>
      <c r="B766" s="2555"/>
      <c r="C766" s="1076"/>
      <c r="D766" s="1076"/>
      <c r="E766" s="1080"/>
      <c r="F766" s="1080"/>
      <c r="G766" s="1080"/>
      <c r="H766" s="1080"/>
      <c r="I766" s="1080"/>
      <c r="J766" s="1080"/>
      <c r="K766" s="2696"/>
      <c r="L766" s="1074"/>
      <c r="M766" s="1080">
        <v>2</v>
      </c>
      <c r="N766" s="2630" t="s">
        <v>5648</v>
      </c>
      <c r="O766" s="2631">
        <v>0.3</v>
      </c>
      <c r="P766" s="2632">
        <f>K765*O766</f>
        <v>119700</v>
      </c>
      <c r="Q766" s="2693">
        <v>119700</v>
      </c>
      <c r="R766" s="1074" t="s">
        <v>4603</v>
      </c>
      <c r="S766" s="2695">
        <v>45617</v>
      </c>
      <c r="T766" s="2697">
        <v>119700</v>
      </c>
      <c r="U766" s="2695">
        <v>45617</v>
      </c>
      <c r="V766" s="2724">
        <v>119700</v>
      </c>
      <c r="W766" s="2695">
        <v>45616</v>
      </c>
      <c r="X766" s="2632">
        <v>119700</v>
      </c>
      <c r="Y766" s="2725">
        <v>45624</v>
      </c>
      <c r="Z766" s="2632">
        <f t="shared" si="31"/>
        <v>0</v>
      </c>
      <c r="AA766" s="2738"/>
      <c r="AB766" s="2738"/>
      <c r="AC766" s="2755"/>
      <c r="AD766" s="2756"/>
      <c r="AE766" s="2756"/>
      <c r="AF766" s="2756"/>
      <c r="AG766" s="2756"/>
      <c r="AH766" s="2756"/>
      <c r="AI766" s="2756"/>
    </row>
    <row r="767" s="6" customFormat="1" ht="61" spans="1:35">
      <c r="A767" s="1074"/>
      <c r="B767" s="2555"/>
      <c r="C767" s="1076"/>
      <c r="D767" s="1076"/>
      <c r="E767" s="1080"/>
      <c r="F767" s="1080"/>
      <c r="G767" s="1080"/>
      <c r="H767" s="1080"/>
      <c r="I767" s="1080"/>
      <c r="J767" s="1080"/>
      <c r="K767" s="2696"/>
      <c r="L767" s="1074"/>
      <c r="M767" s="1080">
        <v>3</v>
      </c>
      <c r="N767" s="2630" t="s">
        <v>5649</v>
      </c>
      <c r="O767" s="2631">
        <v>0.2</v>
      </c>
      <c r="P767" s="2632">
        <f>K765*O767</f>
        <v>79800</v>
      </c>
      <c r="Q767" s="2693">
        <v>79800</v>
      </c>
      <c r="R767" s="1074" t="s">
        <v>4603</v>
      </c>
      <c r="S767" s="2695">
        <v>45617</v>
      </c>
      <c r="T767" s="2697">
        <v>79800</v>
      </c>
      <c r="U767" s="2695">
        <v>45617</v>
      </c>
      <c r="V767" s="2697">
        <v>79800</v>
      </c>
      <c r="W767" s="2725">
        <v>45666</v>
      </c>
      <c r="X767" s="2693">
        <v>79800</v>
      </c>
      <c r="Y767" s="2725">
        <v>45680</v>
      </c>
      <c r="Z767" s="2632">
        <f t="shared" si="31"/>
        <v>0</v>
      </c>
      <c r="AA767" s="2738"/>
      <c r="AB767" s="2738"/>
      <c r="AC767" s="2755"/>
      <c r="AD767" s="2756"/>
      <c r="AE767" s="2756"/>
      <c r="AF767" s="2756"/>
      <c r="AG767" s="2756"/>
      <c r="AH767" s="2756"/>
      <c r="AI767" s="2756"/>
    </row>
    <row r="768" s="6" customFormat="1" ht="76" spans="1:35">
      <c r="A768" s="1074"/>
      <c r="B768" s="2555"/>
      <c r="C768" s="1076"/>
      <c r="D768" s="1076"/>
      <c r="E768" s="1080"/>
      <c r="F768" s="1080"/>
      <c r="G768" s="1080"/>
      <c r="H768" s="1080"/>
      <c r="I768" s="1080"/>
      <c r="J768" s="1080"/>
      <c r="K768" s="2696"/>
      <c r="L768" s="1074"/>
      <c r="M768" s="1080">
        <v>4</v>
      </c>
      <c r="N768" s="2630" t="s">
        <v>5650</v>
      </c>
      <c r="O768" s="2631">
        <v>0.2</v>
      </c>
      <c r="P768" s="1370">
        <f>K765*O768</f>
        <v>79800</v>
      </c>
      <c r="Q768" s="2841">
        <v>79800</v>
      </c>
      <c r="R768" s="2842" t="s">
        <v>5015</v>
      </c>
      <c r="S768" s="2843">
        <v>46021</v>
      </c>
      <c r="T768" s="2697"/>
      <c r="U768" s="2695"/>
      <c r="V768" s="2724"/>
      <c r="W768" s="2725"/>
      <c r="X768" s="2841">
        <v>79800</v>
      </c>
      <c r="Y768" s="2843">
        <v>46052</v>
      </c>
      <c r="Z768" s="2632">
        <f t="shared" si="31"/>
        <v>0</v>
      </c>
      <c r="AA768" s="2738"/>
      <c r="AB768" s="2738"/>
      <c r="AC768" s="2755"/>
      <c r="AD768" s="2756"/>
      <c r="AE768" s="2756"/>
      <c r="AF768" s="2756"/>
      <c r="AG768" s="2756"/>
      <c r="AH768" s="2756"/>
      <c r="AI768" s="2756"/>
    </row>
    <row r="769" s="6" customFormat="1" ht="26.25" customHeight="1" spans="1:35">
      <c r="A769" s="1074"/>
      <c r="B769" s="2868"/>
      <c r="C769" s="1076"/>
      <c r="D769" s="1076"/>
      <c r="E769" s="1080"/>
      <c r="F769" s="1080"/>
      <c r="G769" s="1080"/>
      <c r="H769" s="1080"/>
      <c r="I769" s="1080"/>
      <c r="J769" s="1080"/>
      <c r="K769" s="2696"/>
      <c r="L769" s="1074"/>
      <c r="M769" s="1080">
        <v>5</v>
      </c>
      <c r="N769" s="2630" t="s">
        <v>5651</v>
      </c>
      <c r="O769" s="2631">
        <v>0.1</v>
      </c>
      <c r="P769" s="2632">
        <f>K765*O769</f>
        <v>39900</v>
      </c>
      <c r="Q769" s="2693"/>
      <c r="R769" s="1074"/>
      <c r="S769" s="2695"/>
      <c r="T769" s="2697"/>
      <c r="U769" s="2695"/>
      <c r="V769" s="2724"/>
      <c r="W769" s="2725"/>
      <c r="X769" s="2693"/>
      <c r="Y769" s="2725"/>
      <c r="Z769" s="2632">
        <f t="shared" si="31"/>
        <v>0</v>
      </c>
      <c r="AA769" s="2738"/>
      <c r="AB769" s="2738"/>
      <c r="AC769" s="2755"/>
      <c r="AD769" s="2756"/>
      <c r="AE769" s="2756"/>
      <c r="AF769" s="2756"/>
      <c r="AG769" s="2756"/>
      <c r="AH769" s="2756"/>
      <c r="AI769" s="2756"/>
    </row>
    <row r="770" s="6" customFormat="1" ht="48.75" customHeight="1" spans="1:35">
      <c r="A770" s="393" t="s">
        <v>1951</v>
      </c>
      <c r="B770" s="2540">
        <v>45369</v>
      </c>
      <c r="C770" s="1261" t="s">
        <v>5599</v>
      </c>
      <c r="D770" s="1261"/>
      <c r="E770" s="728" t="s">
        <v>5652</v>
      </c>
      <c r="F770" s="728" t="s">
        <v>5653</v>
      </c>
      <c r="G770" s="728" t="s">
        <v>4676</v>
      </c>
      <c r="H770" s="728" t="s">
        <v>5586</v>
      </c>
      <c r="I770" s="418"/>
      <c r="J770" s="418"/>
      <c r="K770" s="2788">
        <v>151703.69</v>
      </c>
      <c r="L770" s="798" t="s">
        <v>32</v>
      </c>
      <c r="M770" s="418">
        <v>1</v>
      </c>
      <c r="N770" s="480" t="s">
        <v>5654</v>
      </c>
      <c r="O770" s="481">
        <v>0.4</v>
      </c>
      <c r="P770" s="2621">
        <f>K770*O770</f>
        <v>60681.476</v>
      </c>
      <c r="Q770" s="1856">
        <v>60681.48</v>
      </c>
      <c r="R770" s="393" t="s">
        <v>4603</v>
      </c>
      <c r="S770" s="2715">
        <v>45429</v>
      </c>
      <c r="T770" s="2682">
        <v>60681.48</v>
      </c>
      <c r="U770" s="2715">
        <v>45429</v>
      </c>
      <c r="V770" s="2716">
        <v>60681.48</v>
      </c>
      <c r="W770" s="2717">
        <v>45432</v>
      </c>
      <c r="X770" s="1856">
        <v>60681.48</v>
      </c>
      <c r="Y770" s="2717">
        <v>45470</v>
      </c>
      <c r="Z770" s="1856">
        <f t="shared" si="31"/>
        <v>0</v>
      </c>
      <c r="AA770" s="2735"/>
      <c r="AB770" s="2735"/>
      <c r="AC770" s="2749"/>
      <c r="AD770" s="2750"/>
      <c r="AE770" s="2750"/>
      <c r="AF770" s="2750"/>
      <c r="AG770" s="2750"/>
      <c r="AH770" s="2750"/>
      <c r="AI770" s="2750"/>
    </row>
    <row r="771" s="6" customFormat="1" ht="48.75" customHeight="1" spans="1:35">
      <c r="A771" s="393"/>
      <c r="B771" s="2542"/>
      <c r="C771" s="1263"/>
      <c r="D771" s="1263"/>
      <c r="E771" s="689"/>
      <c r="F771" s="689"/>
      <c r="G771" s="689"/>
      <c r="H771" s="689"/>
      <c r="I771" s="418"/>
      <c r="J771" s="418"/>
      <c r="K771" s="2788"/>
      <c r="L771" s="1304"/>
      <c r="M771" s="728">
        <v>2</v>
      </c>
      <c r="N771" s="728" t="s">
        <v>5655</v>
      </c>
      <c r="O771" s="2623">
        <v>0.55</v>
      </c>
      <c r="P771" s="2621">
        <f>K770*0.3</f>
        <v>45511.107</v>
      </c>
      <c r="Q771" s="1856">
        <v>45511.107</v>
      </c>
      <c r="R771" s="393" t="s">
        <v>4603</v>
      </c>
      <c r="S771" s="2715">
        <v>45588</v>
      </c>
      <c r="T771" s="2682">
        <v>45511.107</v>
      </c>
      <c r="U771" s="2715">
        <v>45588</v>
      </c>
      <c r="V771" s="2716">
        <v>45511.107</v>
      </c>
      <c r="W771" s="2717">
        <v>45659</v>
      </c>
      <c r="X771" s="2621">
        <v>45511.107</v>
      </c>
      <c r="Y771" s="2717">
        <v>45680</v>
      </c>
      <c r="Z771" s="1856">
        <f t="shared" si="31"/>
        <v>0</v>
      </c>
      <c r="AA771" s="2735"/>
      <c r="AB771" s="2735"/>
      <c r="AC771" s="2749"/>
      <c r="AD771" s="2750"/>
      <c r="AE771" s="2750"/>
      <c r="AF771" s="2750"/>
      <c r="AG771" s="2750"/>
      <c r="AH771" s="2750"/>
      <c r="AI771" s="2750"/>
    </row>
    <row r="772" s="6" customFormat="1" ht="48.75" customHeight="1" spans="1:35">
      <c r="A772" s="393"/>
      <c r="B772" s="2542"/>
      <c r="C772" s="1263"/>
      <c r="D772" s="1263"/>
      <c r="E772" s="689"/>
      <c r="F772" s="689"/>
      <c r="G772" s="689"/>
      <c r="H772" s="689"/>
      <c r="I772" s="418"/>
      <c r="J772" s="418"/>
      <c r="K772" s="2788"/>
      <c r="L772" s="1304"/>
      <c r="M772" s="691"/>
      <c r="N772" s="691"/>
      <c r="O772" s="2928"/>
      <c r="P772" s="516">
        <f>K770*0.25</f>
        <v>37925.9225</v>
      </c>
      <c r="Q772" s="1856">
        <v>37925.9225</v>
      </c>
      <c r="R772" s="393" t="s">
        <v>4603</v>
      </c>
      <c r="S772" s="2715">
        <v>45776</v>
      </c>
      <c r="T772" s="1856">
        <v>37925.9225</v>
      </c>
      <c r="U772" s="2715">
        <v>45776</v>
      </c>
      <c r="V772" s="2716">
        <v>37925.92</v>
      </c>
      <c r="W772" s="2717">
        <v>45659</v>
      </c>
      <c r="X772" s="2980">
        <v>37925.9225</v>
      </c>
      <c r="Y772" s="2715">
        <v>45806</v>
      </c>
      <c r="Z772" s="1856">
        <f t="shared" si="31"/>
        <v>0</v>
      </c>
      <c r="AA772" s="2735"/>
      <c r="AB772" s="2735"/>
      <c r="AC772" s="2749"/>
      <c r="AD772" s="2750"/>
      <c r="AE772" s="2750"/>
      <c r="AF772" s="2750"/>
      <c r="AG772" s="2750"/>
      <c r="AH772" s="2750"/>
      <c r="AI772" s="2750"/>
    </row>
    <row r="773" s="6" customFormat="1" ht="48.75" customHeight="1" spans="1:35">
      <c r="A773" s="393"/>
      <c r="B773" s="2760"/>
      <c r="C773" s="1738"/>
      <c r="D773" s="1738"/>
      <c r="E773" s="691"/>
      <c r="F773" s="691"/>
      <c r="G773" s="691"/>
      <c r="H773" s="691"/>
      <c r="I773" s="418"/>
      <c r="J773" s="418"/>
      <c r="K773" s="2788"/>
      <c r="L773" s="801"/>
      <c r="M773" s="418">
        <v>3</v>
      </c>
      <c r="N773" s="480" t="s">
        <v>5656</v>
      </c>
      <c r="O773" s="481">
        <v>0.05</v>
      </c>
      <c r="P773" s="2621">
        <f>K770*O773</f>
        <v>7585.1845</v>
      </c>
      <c r="Q773" s="1856"/>
      <c r="R773" s="393"/>
      <c r="S773" s="2715"/>
      <c r="T773" s="2682"/>
      <c r="U773" s="2715"/>
      <c r="V773" s="2716"/>
      <c r="W773" s="2717"/>
      <c r="X773" s="1856"/>
      <c r="Y773" s="2717"/>
      <c r="Z773" s="1856">
        <f t="shared" si="31"/>
        <v>0</v>
      </c>
      <c r="AA773" s="2735"/>
      <c r="AB773" s="2735"/>
      <c r="AC773" s="2749"/>
      <c r="AD773" s="2750"/>
      <c r="AE773" s="2750"/>
      <c r="AF773" s="2750"/>
      <c r="AG773" s="2750"/>
      <c r="AH773" s="2750"/>
      <c r="AI773" s="2750"/>
    </row>
    <row r="774" s="6" customFormat="1" ht="61" spans="1:35">
      <c r="A774" s="1793" t="s">
        <v>1951</v>
      </c>
      <c r="B774" s="2777">
        <v>45460</v>
      </c>
      <c r="C774" s="2778" t="s">
        <v>2207</v>
      </c>
      <c r="D774" s="2778"/>
      <c r="E774" s="1976" t="s">
        <v>5657</v>
      </c>
      <c r="F774" s="1976" t="s">
        <v>5658</v>
      </c>
      <c r="G774" s="1976" t="s">
        <v>240</v>
      </c>
      <c r="H774" s="1976" t="s">
        <v>5492</v>
      </c>
      <c r="I774" s="1976" t="s">
        <v>5659</v>
      </c>
      <c r="J774" s="1976" t="s">
        <v>5660</v>
      </c>
      <c r="K774" s="2798">
        <v>2484539</v>
      </c>
      <c r="L774" s="2650" t="s">
        <v>126</v>
      </c>
      <c r="M774" s="1795">
        <v>1</v>
      </c>
      <c r="N774" s="2597" t="s">
        <v>5495</v>
      </c>
      <c r="O774" s="2598">
        <v>0.2</v>
      </c>
      <c r="P774" s="2599">
        <f>K774*O774</f>
        <v>496907.8</v>
      </c>
      <c r="Q774" s="1908">
        <v>496907.8</v>
      </c>
      <c r="R774" s="1793" t="s">
        <v>4603</v>
      </c>
      <c r="S774" s="2648">
        <v>45555</v>
      </c>
      <c r="T774" s="2649">
        <v>496907.8</v>
      </c>
      <c r="U774" s="2648">
        <v>45555</v>
      </c>
      <c r="V774" s="2850">
        <v>496907.8</v>
      </c>
      <c r="W774" s="2851">
        <v>45670</v>
      </c>
      <c r="X774" s="1908">
        <v>496907.8</v>
      </c>
      <c r="Y774" s="2851">
        <v>45680</v>
      </c>
      <c r="Z774" s="2649">
        <f t="shared" si="31"/>
        <v>0</v>
      </c>
      <c r="AA774" s="2731"/>
      <c r="AB774" s="2731"/>
      <c r="AC774" s="2743"/>
      <c r="AD774" s="38"/>
      <c r="AE774" s="38"/>
      <c r="AF774" s="38"/>
      <c r="AG774" s="38"/>
      <c r="AH774" s="38"/>
      <c r="AI774" s="38"/>
    </row>
    <row r="775" s="6" customFormat="1" ht="61" spans="1:35">
      <c r="A775" s="1793"/>
      <c r="B775" s="2780"/>
      <c r="C775" s="2781"/>
      <c r="D775" s="2781"/>
      <c r="E775" s="2787"/>
      <c r="F775" s="2787"/>
      <c r="G775" s="2787"/>
      <c r="H775" s="2787"/>
      <c r="I775" s="2787"/>
      <c r="J775" s="2787"/>
      <c r="K775" s="2799"/>
      <c r="L775" s="2779"/>
      <c r="M775" s="1795">
        <v>2</v>
      </c>
      <c r="N775" s="2597" t="s">
        <v>5497</v>
      </c>
      <c r="O775" s="2598">
        <v>0.2</v>
      </c>
      <c r="P775" s="2599">
        <f>K774*O775</f>
        <v>496907.8</v>
      </c>
      <c r="Q775" s="1908">
        <v>496907.8</v>
      </c>
      <c r="R775" s="1793" t="s">
        <v>4603</v>
      </c>
      <c r="S775" s="2648">
        <v>45555</v>
      </c>
      <c r="T775" s="2649">
        <v>496907.8</v>
      </c>
      <c r="U775" s="2648">
        <v>45555</v>
      </c>
      <c r="V775" s="2850">
        <v>496907.8</v>
      </c>
      <c r="W775" s="2851">
        <v>45670</v>
      </c>
      <c r="X775" s="1908">
        <v>496907.8</v>
      </c>
      <c r="Y775" s="2851">
        <v>45680</v>
      </c>
      <c r="Z775" s="2649">
        <f t="shared" si="31"/>
        <v>0</v>
      </c>
      <c r="AA775" s="2731"/>
      <c r="AB775" s="2731"/>
      <c r="AC775" s="2743"/>
      <c r="AD775" s="38"/>
      <c r="AE775" s="38"/>
      <c r="AF775" s="38"/>
      <c r="AG775" s="38"/>
      <c r="AH775" s="38"/>
      <c r="AI775" s="38"/>
    </row>
    <row r="776" s="6" customFormat="1" ht="61" spans="1:35">
      <c r="A776" s="1793"/>
      <c r="B776" s="2780"/>
      <c r="C776" s="2781"/>
      <c r="D776" s="2781"/>
      <c r="E776" s="2787"/>
      <c r="F776" s="2787"/>
      <c r="G776" s="2787"/>
      <c r="H776" s="2787"/>
      <c r="I776" s="2787"/>
      <c r="J776" s="2787"/>
      <c r="K776" s="2799"/>
      <c r="L776" s="2779"/>
      <c r="M776" s="1795">
        <v>3</v>
      </c>
      <c r="N776" s="2597" t="s">
        <v>5498</v>
      </c>
      <c r="O776" s="2598">
        <v>0.2</v>
      </c>
      <c r="P776" s="2599">
        <f>K774*O776</f>
        <v>496907.8</v>
      </c>
      <c r="Q776" s="1908">
        <v>496907.8</v>
      </c>
      <c r="R776" s="1793" t="s">
        <v>4603</v>
      </c>
      <c r="S776" s="2648">
        <v>45555</v>
      </c>
      <c r="T776" s="2649">
        <v>496907.8</v>
      </c>
      <c r="U776" s="2648">
        <v>45555</v>
      </c>
      <c r="V776" s="2850">
        <v>496907.8</v>
      </c>
      <c r="W776" s="2851">
        <v>45670</v>
      </c>
      <c r="X776" s="1908">
        <v>496907.8</v>
      </c>
      <c r="Y776" s="2851">
        <v>45680</v>
      </c>
      <c r="Z776" s="2649">
        <f t="shared" si="31"/>
        <v>0</v>
      </c>
      <c r="AA776" s="2731"/>
      <c r="AB776" s="2731"/>
      <c r="AC776" s="2743"/>
      <c r="AD776" s="38"/>
      <c r="AE776" s="38"/>
      <c r="AF776" s="38"/>
      <c r="AG776" s="38"/>
      <c r="AH776" s="38"/>
      <c r="AI776" s="38"/>
    </row>
    <row r="777" s="6" customFormat="1" ht="76" spans="1:35">
      <c r="A777" s="1793"/>
      <c r="B777" s="2780"/>
      <c r="C777" s="2781"/>
      <c r="D777" s="2781"/>
      <c r="E777" s="2787"/>
      <c r="F777" s="2787"/>
      <c r="G777" s="2787"/>
      <c r="H777" s="2787"/>
      <c r="I777" s="2787"/>
      <c r="J777" s="2787"/>
      <c r="K777" s="2799"/>
      <c r="L777" s="2779"/>
      <c r="M777" s="1795">
        <v>4</v>
      </c>
      <c r="N777" s="2597" t="s">
        <v>5499</v>
      </c>
      <c r="O777" s="2598">
        <v>0.15</v>
      </c>
      <c r="P777" s="2929">
        <f>K774*O777</f>
        <v>372680.85</v>
      </c>
      <c r="Q777" s="2656">
        <v>372680.85</v>
      </c>
      <c r="R777" s="2657" t="s">
        <v>349</v>
      </c>
      <c r="S777" s="2658">
        <v>46021</v>
      </c>
      <c r="T777" s="2838"/>
      <c r="U777" s="2648"/>
      <c r="V777" s="2850"/>
      <c r="W777" s="2851"/>
      <c r="X777" s="2656">
        <v>372680.85</v>
      </c>
      <c r="Y777" s="2658">
        <v>46078</v>
      </c>
      <c r="Z777" s="2649">
        <f t="shared" si="31"/>
        <v>0</v>
      </c>
      <c r="AA777" s="2731"/>
      <c r="AB777" s="2731"/>
      <c r="AC777" s="2743"/>
      <c r="AD777" s="38"/>
      <c r="AE777" s="38"/>
      <c r="AF777" s="38"/>
      <c r="AG777" s="38"/>
      <c r="AH777" s="38"/>
      <c r="AI777" s="38"/>
    </row>
    <row r="778" s="6" customFormat="1" ht="61" spans="1:35">
      <c r="A778" s="1793"/>
      <c r="B778" s="2780"/>
      <c r="C778" s="2781"/>
      <c r="D778" s="2781"/>
      <c r="E778" s="2787"/>
      <c r="F778" s="2787"/>
      <c r="G778" s="2787"/>
      <c r="H778" s="2787"/>
      <c r="I778" s="2787"/>
      <c r="J778" s="2787"/>
      <c r="K778" s="2799"/>
      <c r="L778" s="2779"/>
      <c r="M778" s="1795">
        <v>5</v>
      </c>
      <c r="N778" s="2597" t="s">
        <v>5500</v>
      </c>
      <c r="O778" s="2598">
        <v>0.1</v>
      </c>
      <c r="P778" s="2929">
        <f>K774*O778</f>
        <v>248453.9</v>
      </c>
      <c r="Q778" s="2656">
        <v>248453.9</v>
      </c>
      <c r="R778" s="2657" t="s">
        <v>349</v>
      </c>
      <c r="S778" s="2658">
        <v>46021</v>
      </c>
      <c r="T778" s="2838"/>
      <c r="U778" s="2648"/>
      <c r="V778" s="2850"/>
      <c r="W778" s="2851"/>
      <c r="X778" s="2656">
        <v>248453.9</v>
      </c>
      <c r="Y778" s="2658">
        <v>46078</v>
      </c>
      <c r="Z778" s="2649">
        <f t="shared" si="31"/>
        <v>0</v>
      </c>
      <c r="AA778" s="2731"/>
      <c r="AB778" s="2731"/>
      <c r="AC778" s="2743"/>
      <c r="AD778" s="38"/>
      <c r="AE778" s="38"/>
      <c r="AF778" s="38"/>
      <c r="AG778" s="38"/>
      <c r="AH778" s="38"/>
      <c r="AI778" s="38"/>
    </row>
    <row r="779" s="6" customFormat="1" ht="76" spans="1:35">
      <c r="A779" s="1793"/>
      <c r="B779" s="2780"/>
      <c r="C779" s="2781"/>
      <c r="D779" s="2781"/>
      <c r="E779" s="2787"/>
      <c r="F779" s="2787"/>
      <c r="G779" s="2787"/>
      <c r="H779" s="2787"/>
      <c r="I779" s="2787"/>
      <c r="J779" s="2787"/>
      <c r="K779" s="2799"/>
      <c r="L779" s="2779"/>
      <c r="M779" s="1795">
        <v>6</v>
      </c>
      <c r="N779" s="2597" t="s">
        <v>5501</v>
      </c>
      <c r="O779" s="2598">
        <v>0.05</v>
      </c>
      <c r="P779" s="2599">
        <f>K774*O779</f>
        <v>124226.95</v>
      </c>
      <c r="Q779" s="1908"/>
      <c r="R779" s="1793"/>
      <c r="S779" s="2648"/>
      <c r="T779" s="2838"/>
      <c r="U779" s="2648"/>
      <c r="V779" s="2850"/>
      <c r="W779" s="2851"/>
      <c r="X779" s="1908"/>
      <c r="Y779" s="2851"/>
      <c r="Z779" s="2649">
        <f t="shared" si="31"/>
        <v>0</v>
      </c>
      <c r="AA779" s="2731"/>
      <c r="AB779" s="2731"/>
      <c r="AC779" s="2743"/>
      <c r="AD779" s="38"/>
      <c r="AE779" s="38"/>
      <c r="AF779" s="38"/>
      <c r="AG779" s="38"/>
      <c r="AH779" s="38"/>
      <c r="AI779" s="38"/>
    </row>
    <row r="780" s="6" customFormat="1" ht="92" spans="1:35">
      <c r="A780" s="1793"/>
      <c r="B780" s="2869"/>
      <c r="C780" s="2870"/>
      <c r="D780" s="2870"/>
      <c r="E780" s="2604"/>
      <c r="F780" s="2604"/>
      <c r="G780" s="2604"/>
      <c r="H780" s="2604"/>
      <c r="I780" s="2604"/>
      <c r="J780" s="2604"/>
      <c r="K780" s="2903"/>
      <c r="L780" s="2653"/>
      <c r="M780" s="1795">
        <v>7</v>
      </c>
      <c r="N780" s="2597" t="s">
        <v>5502</v>
      </c>
      <c r="O780" s="2598">
        <v>0.1</v>
      </c>
      <c r="P780" s="2599">
        <f>K774*O780</f>
        <v>248453.9</v>
      </c>
      <c r="Q780" s="1908"/>
      <c r="R780" s="1793"/>
      <c r="S780" s="2648"/>
      <c r="T780" s="2838"/>
      <c r="U780" s="2648"/>
      <c r="V780" s="2850"/>
      <c r="W780" s="2851"/>
      <c r="X780" s="1908"/>
      <c r="Y780" s="2851"/>
      <c r="Z780" s="2649">
        <f t="shared" si="31"/>
        <v>0</v>
      </c>
      <c r="AA780" s="2731"/>
      <c r="AB780" s="2731"/>
      <c r="AC780" s="2743"/>
      <c r="AD780" s="38"/>
      <c r="AE780" s="38"/>
      <c r="AF780" s="38"/>
      <c r="AG780" s="38"/>
      <c r="AH780" s="38"/>
      <c r="AI780" s="38"/>
    </row>
    <row r="781" s="6" customFormat="1" ht="92" spans="1:35">
      <c r="A781" s="393" t="s">
        <v>1951</v>
      </c>
      <c r="B781" s="2540">
        <v>45460</v>
      </c>
      <c r="C781" s="395" t="s">
        <v>2207</v>
      </c>
      <c r="D781" s="395"/>
      <c r="E781" s="728" t="s">
        <v>5661</v>
      </c>
      <c r="F781" s="728" t="s">
        <v>5662</v>
      </c>
      <c r="G781" s="728" t="s">
        <v>3579</v>
      </c>
      <c r="H781" s="728" t="s">
        <v>5663</v>
      </c>
      <c r="I781" s="728" t="s">
        <v>2215</v>
      </c>
      <c r="J781" s="728" t="s">
        <v>2216</v>
      </c>
      <c r="K781" s="2584">
        <v>1131400</v>
      </c>
      <c r="L781" s="798" t="s">
        <v>126</v>
      </c>
      <c r="M781" s="418">
        <v>1</v>
      </c>
      <c r="N781" s="480" t="s">
        <v>5664</v>
      </c>
      <c r="O781" s="481">
        <v>0.1</v>
      </c>
      <c r="P781" s="2621">
        <f>K781*O781</f>
        <v>113140</v>
      </c>
      <c r="Q781" s="1856">
        <v>113140</v>
      </c>
      <c r="R781" s="393" t="s">
        <v>4603</v>
      </c>
      <c r="S781" s="2715">
        <v>45555</v>
      </c>
      <c r="T781" s="2957">
        <v>113140</v>
      </c>
      <c r="U781" s="2715">
        <v>45555</v>
      </c>
      <c r="V781" s="2716">
        <v>113140</v>
      </c>
      <c r="W781" s="2717">
        <v>45595</v>
      </c>
      <c r="X781" s="2621">
        <v>113140</v>
      </c>
      <c r="Y781" s="2717">
        <v>45624</v>
      </c>
      <c r="Z781" s="2716">
        <f t="shared" si="31"/>
        <v>0</v>
      </c>
      <c r="AA781" s="2735"/>
      <c r="AB781" s="2735"/>
      <c r="AC781" s="2749"/>
      <c r="AD781" s="2750"/>
      <c r="AE781" s="2750"/>
      <c r="AF781" s="2750"/>
      <c r="AG781" s="2750"/>
      <c r="AH781" s="2750"/>
      <c r="AI781" s="2750"/>
    </row>
    <row r="782" s="6" customFormat="1" ht="76" spans="1:35">
      <c r="A782" s="393"/>
      <c r="B782" s="2542"/>
      <c r="C782" s="395"/>
      <c r="D782" s="395"/>
      <c r="E782" s="689"/>
      <c r="F782" s="689"/>
      <c r="G782" s="689"/>
      <c r="H782" s="689"/>
      <c r="I782" s="689"/>
      <c r="J782" s="689"/>
      <c r="K782" s="2585"/>
      <c r="L782" s="1304"/>
      <c r="M782" s="418" t="s">
        <v>2033</v>
      </c>
      <c r="N782" s="480" t="s">
        <v>5064</v>
      </c>
      <c r="O782" s="2930" t="s">
        <v>3330</v>
      </c>
      <c r="P782" s="2621">
        <f>192000*40%</f>
        <v>76800</v>
      </c>
      <c r="Q782" s="1856">
        <v>76800</v>
      </c>
      <c r="R782" s="393" t="s">
        <v>4603</v>
      </c>
      <c r="S782" s="2715">
        <v>45555</v>
      </c>
      <c r="T782" s="2957">
        <v>76800</v>
      </c>
      <c r="U782" s="2715">
        <v>45555</v>
      </c>
      <c r="V782" s="2716">
        <v>76800</v>
      </c>
      <c r="W782" s="2717">
        <v>45595</v>
      </c>
      <c r="X782" s="2621">
        <v>76800</v>
      </c>
      <c r="Y782" s="2717">
        <v>45624</v>
      </c>
      <c r="Z782" s="2716">
        <f t="shared" si="31"/>
        <v>0</v>
      </c>
      <c r="AA782" s="2735"/>
      <c r="AB782" s="2735"/>
      <c r="AC782" s="2749"/>
      <c r="AD782" s="2750"/>
      <c r="AE782" s="2750"/>
      <c r="AF782" s="2750"/>
      <c r="AG782" s="2750"/>
      <c r="AH782" s="2750"/>
      <c r="AI782" s="2750"/>
    </row>
    <row r="783" s="6" customFormat="1" ht="76" spans="1:35">
      <c r="A783" s="393"/>
      <c r="B783" s="2542"/>
      <c r="C783" s="395"/>
      <c r="D783" s="395"/>
      <c r="E783" s="689"/>
      <c r="F783" s="689"/>
      <c r="G783" s="689"/>
      <c r="H783" s="689"/>
      <c r="I783" s="689"/>
      <c r="J783" s="689"/>
      <c r="K783" s="2585"/>
      <c r="L783" s="1304"/>
      <c r="M783" s="418" t="s">
        <v>2036</v>
      </c>
      <c r="N783" s="480" t="s">
        <v>5065</v>
      </c>
      <c r="O783" s="2930" t="s">
        <v>3332</v>
      </c>
      <c r="P783" s="2621">
        <f>192000*30%</f>
        <v>57600</v>
      </c>
      <c r="Q783" s="1856">
        <v>57600</v>
      </c>
      <c r="R783" s="393" t="s">
        <v>4603</v>
      </c>
      <c r="S783" s="2715">
        <v>45555</v>
      </c>
      <c r="T783" s="2957">
        <v>57600</v>
      </c>
      <c r="U783" s="2715">
        <v>45555</v>
      </c>
      <c r="V783" s="2716">
        <v>57600</v>
      </c>
      <c r="W783" s="2717">
        <v>45595</v>
      </c>
      <c r="X783" s="2621">
        <v>57600</v>
      </c>
      <c r="Y783" s="2717">
        <v>45624</v>
      </c>
      <c r="Z783" s="2716">
        <f t="shared" si="31"/>
        <v>0</v>
      </c>
      <c r="AA783" s="2735"/>
      <c r="AB783" s="2735"/>
      <c r="AC783" s="2749"/>
      <c r="AD783" s="2750"/>
      <c r="AE783" s="2750"/>
      <c r="AF783" s="2750"/>
      <c r="AG783" s="2750"/>
      <c r="AH783" s="2750"/>
      <c r="AI783" s="2750"/>
    </row>
    <row r="784" s="6" customFormat="1" ht="76" spans="1:35">
      <c r="A784" s="393"/>
      <c r="B784" s="2542"/>
      <c r="C784" s="395"/>
      <c r="D784" s="395"/>
      <c r="E784" s="689"/>
      <c r="F784" s="689"/>
      <c r="G784" s="689"/>
      <c r="H784" s="689"/>
      <c r="I784" s="689"/>
      <c r="J784" s="689"/>
      <c r="K784" s="2585"/>
      <c r="L784" s="1304"/>
      <c r="M784" s="418" t="s">
        <v>2039</v>
      </c>
      <c r="N784" s="480" t="s">
        <v>5066</v>
      </c>
      <c r="O784" s="2930" t="s">
        <v>3334</v>
      </c>
      <c r="P784" s="2621">
        <f>192000*10%</f>
        <v>19200</v>
      </c>
      <c r="Q784" s="1856">
        <v>19200</v>
      </c>
      <c r="R784" s="393" t="s">
        <v>4603</v>
      </c>
      <c r="S784" s="2715">
        <v>45555</v>
      </c>
      <c r="T784" s="2957">
        <v>19200</v>
      </c>
      <c r="U784" s="2715">
        <v>45555</v>
      </c>
      <c r="V784" s="2716">
        <v>19200</v>
      </c>
      <c r="W784" s="2717">
        <v>45595</v>
      </c>
      <c r="X784" s="2621">
        <v>19200</v>
      </c>
      <c r="Y784" s="2717">
        <v>45624</v>
      </c>
      <c r="Z784" s="2716">
        <f t="shared" si="31"/>
        <v>0</v>
      </c>
      <c r="AA784" s="2735"/>
      <c r="AB784" s="2735"/>
      <c r="AC784" s="2749"/>
      <c r="AD784" s="2750"/>
      <c r="AE784" s="2750"/>
      <c r="AF784" s="2750"/>
      <c r="AG784" s="2750"/>
      <c r="AH784" s="2750"/>
      <c r="AI784" s="2750"/>
    </row>
    <row r="785" s="6" customFormat="1" ht="76" spans="1:35">
      <c r="A785" s="393"/>
      <c r="B785" s="2542"/>
      <c r="C785" s="395"/>
      <c r="D785" s="395"/>
      <c r="E785" s="689"/>
      <c r="F785" s="689"/>
      <c r="G785" s="689"/>
      <c r="H785" s="689"/>
      <c r="I785" s="689"/>
      <c r="J785" s="689"/>
      <c r="K785" s="2585"/>
      <c r="L785" s="1304"/>
      <c r="M785" s="418" t="s">
        <v>2042</v>
      </c>
      <c r="N785" s="480" t="s">
        <v>5067</v>
      </c>
      <c r="O785" s="2930" t="s">
        <v>3341</v>
      </c>
      <c r="P785" s="2621">
        <f>939400*20%</f>
        <v>187880</v>
      </c>
      <c r="Q785" s="1856">
        <v>187880</v>
      </c>
      <c r="R785" s="393" t="s">
        <v>4603</v>
      </c>
      <c r="S785" s="2715">
        <v>45555</v>
      </c>
      <c r="T785" s="2957">
        <v>187880</v>
      </c>
      <c r="U785" s="2715">
        <v>45555</v>
      </c>
      <c r="V785" s="2716">
        <v>187880</v>
      </c>
      <c r="W785" s="2717">
        <v>45595</v>
      </c>
      <c r="X785" s="2621">
        <v>187880</v>
      </c>
      <c r="Y785" s="2717">
        <v>45624</v>
      </c>
      <c r="Z785" s="2716">
        <f t="shared" si="31"/>
        <v>0</v>
      </c>
      <c r="AA785" s="2735"/>
      <c r="AB785" s="2735"/>
      <c r="AC785" s="2749"/>
      <c r="AD785" s="2750"/>
      <c r="AE785" s="2750"/>
      <c r="AF785" s="2750"/>
      <c r="AG785" s="2750"/>
      <c r="AH785" s="2750"/>
      <c r="AI785" s="2750"/>
    </row>
    <row r="786" s="6" customFormat="1" ht="76" spans="1:35">
      <c r="A786" s="393"/>
      <c r="B786" s="2542"/>
      <c r="C786" s="395"/>
      <c r="D786" s="395"/>
      <c r="E786" s="689"/>
      <c r="F786" s="689"/>
      <c r="G786" s="689"/>
      <c r="H786" s="689"/>
      <c r="I786" s="689"/>
      <c r="J786" s="689"/>
      <c r="K786" s="2585"/>
      <c r="L786" s="1304"/>
      <c r="M786" s="418" t="s">
        <v>2045</v>
      </c>
      <c r="N786" s="480" t="s">
        <v>5064</v>
      </c>
      <c r="O786" s="2930" t="s">
        <v>3336</v>
      </c>
      <c r="P786" s="2621">
        <f>939400*15%</f>
        <v>140910</v>
      </c>
      <c r="Q786" s="1856">
        <v>140910</v>
      </c>
      <c r="R786" s="393" t="s">
        <v>4603</v>
      </c>
      <c r="S786" s="2715">
        <v>45555</v>
      </c>
      <c r="T786" s="2957">
        <v>140910</v>
      </c>
      <c r="U786" s="2715">
        <v>45555</v>
      </c>
      <c r="V786" s="2716">
        <v>140910</v>
      </c>
      <c r="W786" s="2717">
        <v>45595</v>
      </c>
      <c r="X786" s="2621">
        <v>140910</v>
      </c>
      <c r="Y786" s="2717">
        <v>45624</v>
      </c>
      <c r="Z786" s="2716">
        <f t="shared" si="31"/>
        <v>0</v>
      </c>
      <c r="AA786" s="2735"/>
      <c r="AB786" s="2735"/>
      <c r="AC786" s="2749"/>
      <c r="AD786" s="2750"/>
      <c r="AE786" s="2750"/>
      <c r="AF786" s="2750"/>
      <c r="AG786" s="2750"/>
      <c r="AH786" s="2750"/>
      <c r="AI786" s="2750"/>
    </row>
    <row r="787" s="6" customFormat="1" ht="76" spans="1:35">
      <c r="A787" s="393"/>
      <c r="B787" s="2542"/>
      <c r="C787" s="395"/>
      <c r="D787" s="395"/>
      <c r="E787" s="689"/>
      <c r="F787" s="689"/>
      <c r="G787" s="689"/>
      <c r="H787" s="689"/>
      <c r="I787" s="689"/>
      <c r="J787" s="689"/>
      <c r="K787" s="2585"/>
      <c r="L787" s="1304"/>
      <c r="M787" s="418" t="s">
        <v>2048</v>
      </c>
      <c r="N787" s="480" t="s">
        <v>5068</v>
      </c>
      <c r="O787" s="2930" t="s">
        <v>3341</v>
      </c>
      <c r="P787" s="2621">
        <f>939400*20%</f>
        <v>187880</v>
      </c>
      <c r="Q787" s="2683">
        <v>187880</v>
      </c>
      <c r="R787" s="519" t="s">
        <v>349</v>
      </c>
      <c r="S787" s="2819">
        <v>46021</v>
      </c>
      <c r="T787" s="2682"/>
      <c r="U787" s="2715"/>
      <c r="V787" s="2716"/>
      <c r="W787" s="2717"/>
      <c r="X787" s="2683">
        <v>187880</v>
      </c>
      <c r="Y787" s="2819">
        <v>46078</v>
      </c>
      <c r="Z787" s="2716">
        <f t="shared" si="31"/>
        <v>0</v>
      </c>
      <c r="AA787" s="2735"/>
      <c r="AB787" s="2735"/>
      <c r="AC787" s="2749"/>
      <c r="AD787" s="2750"/>
      <c r="AE787" s="2750"/>
      <c r="AF787" s="2750"/>
      <c r="AG787" s="2750"/>
      <c r="AH787" s="2750"/>
      <c r="AI787" s="2750"/>
    </row>
    <row r="788" s="6" customFormat="1" ht="76" spans="1:35">
      <c r="A788" s="393"/>
      <c r="B788" s="2542"/>
      <c r="C788" s="395"/>
      <c r="D788" s="395"/>
      <c r="E788" s="689"/>
      <c r="F788" s="689"/>
      <c r="G788" s="689"/>
      <c r="H788" s="689"/>
      <c r="I788" s="689"/>
      <c r="J788" s="689"/>
      <c r="K788" s="2585"/>
      <c r="L788" s="1304"/>
      <c r="M788" s="418" t="s">
        <v>2050</v>
      </c>
      <c r="N788" s="480" t="s">
        <v>5065</v>
      </c>
      <c r="O788" s="2930" t="s">
        <v>3336</v>
      </c>
      <c r="P788" s="2621">
        <f>939400*15%</f>
        <v>140910</v>
      </c>
      <c r="Q788" s="2683">
        <v>140910</v>
      </c>
      <c r="R788" s="519" t="s">
        <v>349</v>
      </c>
      <c r="S788" s="2819">
        <v>46021</v>
      </c>
      <c r="T788" s="2682"/>
      <c r="U788" s="2715"/>
      <c r="V788" s="2716"/>
      <c r="W788" s="2717"/>
      <c r="X788" s="2683">
        <v>140910</v>
      </c>
      <c r="Y788" s="2819">
        <v>46078</v>
      </c>
      <c r="Z788" s="2716">
        <f t="shared" si="31"/>
        <v>0</v>
      </c>
      <c r="AA788" s="2735"/>
      <c r="AB788" s="2735"/>
      <c r="AC788" s="2749"/>
      <c r="AD788" s="2750"/>
      <c r="AE788" s="2750"/>
      <c r="AF788" s="2750"/>
      <c r="AG788" s="2750"/>
      <c r="AH788" s="2750"/>
      <c r="AI788" s="2750"/>
    </row>
    <row r="789" s="6" customFormat="1" ht="92" spans="1:35">
      <c r="A789" s="393"/>
      <c r="B789" s="2542"/>
      <c r="C789" s="395"/>
      <c r="D789" s="395"/>
      <c r="E789" s="689"/>
      <c r="F789" s="689"/>
      <c r="G789" s="689"/>
      <c r="H789" s="689"/>
      <c r="I789" s="689"/>
      <c r="J789" s="689"/>
      <c r="K789" s="2585"/>
      <c r="L789" s="1304"/>
      <c r="M789" s="418" t="s">
        <v>2052</v>
      </c>
      <c r="N789" s="480" t="s">
        <v>5070</v>
      </c>
      <c r="O789" s="2930" t="s">
        <v>3343</v>
      </c>
      <c r="P789" s="2621">
        <f>939400*5%</f>
        <v>46970</v>
      </c>
      <c r="Q789" s="1856"/>
      <c r="R789" s="393"/>
      <c r="S789" s="2715"/>
      <c r="T789" s="2682"/>
      <c r="U789" s="2715"/>
      <c r="V789" s="2716"/>
      <c r="W789" s="2717"/>
      <c r="X789" s="1856"/>
      <c r="Y789" s="2717"/>
      <c r="Z789" s="2716">
        <f t="shared" si="31"/>
        <v>0</v>
      </c>
      <c r="AA789" s="2735"/>
      <c r="AB789" s="2735"/>
      <c r="AC789" s="2749"/>
      <c r="AD789" s="2750"/>
      <c r="AE789" s="2750"/>
      <c r="AF789" s="2750"/>
      <c r="AG789" s="2750"/>
      <c r="AH789" s="2750"/>
      <c r="AI789" s="2750"/>
    </row>
    <row r="790" s="6" customFormat="1" ht="92" spans="1:35">
      <c r="A790" s="393"/>
      <c r="B790" s="2542"/>
      <c r="C790" s="395"/>
      <c r="D790" s="395"/>
      <c r="E790" s="689"/>
      <c r="F790" s="689"/>
      <c r="G790" s="689"/>
      <c r="H790" s="689"/>
      <c r="I790" s="689"/>
      <c r="J790" s="689"/>
      <c r="K790" s="2585"/>
      <c r="L790" s="1304"/>
      <c r="M790" s="418">
        <v>10</v>
      </c>
      <c r="N790" s="480" t="s">
        <v>5071</v>
      </c>
      <c r="O790" s="2930" t="s">
        <v>3343</v>
      </c>
      <c r="P790" s="2621">
        <f>939400*5%</f>
        <v>46970</v>
      </c>
      <c r="Q790" s="1856"/>
      <c r="R790" s="393"/>
      <c r="S790" s="2715"/>
      <c r="T790" s="2682"/>
      <c r="U790" s="2715"/>
      <c r="V790" s="2716"/>
      <c r="W790" s="2717"/>
      <c r="X790" s="1856"/>
      <c r="Y790" s="2717"/>
      <c r="Z790" s="2716">
        <f t="shared" si="31"/>
        <v>0</v>
      </c>
      <c r="AA790" s="2735"/>
      <c r="AB790" s="2735"/>
      <c r="AC790" s="2749"/>
      <c r="AD790" s="2750"/>
      <c r="AE790" s="2750"/>
      <c r="AF790" s="2750"/>
      <c r="AG790" s="2750"/>
      <c r="AH790" s="2750"/>
      <c r="AI790" s="2750"/>
    </row>
    <row r="791" s="6" customFormat="1" ht="76" spans="1:35">
      <c r="A791" s="393"/>
      <c r="B791" s="2760"/>
      <c r="C791" s="395"/>
      <c r="D791" s="395"/>
      <c r="E791" s="691"/>
      <c r="F791" s="691"/>
      <c r="G791" s="691"/>
      <c r="H791" s="691"/>
      <c r="I791" s="691"/>
      <c r="J791" s="691"/>
      <c r="K791" s="2904"/>
      <c r="L791" s="801"/>
      <c r="M791" s="418">
        <v>11</v>
      </c>
      <c r="N791" s="480" t="s">
        <v>3347</v>
      </c>
      <c r="O791" s="481">
        <v>0.1</v>
      </c>
      <c r="P791" s="2621">
        <f>K781*O791</f>
        <v>113140</v>
      </c>
      <c r="Q791" s="1856"/>
      <c r="R791" s="393"/>
      <c r="S791" s="2715"/>
      <c r="T791" s="2682"/>
      <c r="U791" s="2715"/>
      <c r="V791" s="2716"/>
      <c r="W791" s="2717"/>
      <c r="X791" s="1856"/>
      <c r="Y791" s="2717"/>
      <c r="Z791" s="2716">
        <f t="shared" si="31"/>
        <v>0</v>
      </c>
      <c r="AA791" s="2735"/>
      <c r="AB791" s="2735"/>
      <c r="AC791" s="2749"/>
      <c r="AD791" s="2750"/>
      <c r="AE791" s="2750"/>
      <c r="AF791" s="2750"/>
      <c r="AG791" s="2750"/>
      <c r="AH791" s="2750"/>
      <c r="AI791" s="2750"/>
    </row>
    <row r="792" s="6" customFormat="1" ht="46" spans="1:35">
      <c r="A792" s="745" t="s">
        <v>1951</v>
      </c>
      <c r="B792" s="640">
        <v>45460</v>
      </c>
      <c r="C792" s="641" t="s">
        <v>2207</v>
      </c>
      <c r="D792" s="641"/>
      <c r="E792" s="639" t="s">
        <v>5665</v>
      </c>
      <c r="F792" s="639" t="s">
        <v>5666</v>
      </c>
      <c r="G792" s="639" t="s">
        <v>5667</v>
      </c>
      <c r="H792" s="639" t="s">
        <v>5136</v>
      </c>
      <c r="I792" s="639" t="s">
        <v>5668</v>
      </c>
      <c r="J792" s="639" t="s">
        <v>5669</v>
      </c>
      <c r="K792" s="2905">
        <v>647150</v>
      </c>
      <c r="L792" s="926" t="s">
        <v>126</v>
      </c>
      <c r="M792" s="639">
        <v>1</v>
      </c>
      <c r="N792" s="2931" t="s">
        <v>5670</v>
      </c>
      <c r="O792" s="2932">
        <v>0.15</v>
      </c>
      <c r="P792" s="2933">
        <f>K792*O792</f>
        <v>97072.5</v>
      </c>
      <c r="Q792" s="2958">
        <f>547000*O792</f>
        <v>82050</v>
      </c>
      <c r="R792" s="745" t="s">
        <v>4603</v>
      </c>
      <c r="S792" s="2959">
        <v>45555</v>
      </c>
      <c r="T792" s="2960">
        <v>82050</v>
      </c>
      <c r="U792" s="2959">
        <v>45555</v>
      </c>
      <c r="V792" s="2960">
        <v>82050</v>
      </c>
      <c r="W792" s="2981">
        <v>45665</v>
      </c>
      <c r="X792" s="2958">
        <v>82050</v>
      </c>
      <c r="Y792" s="2981">
        <v>45680</v>
      </c>
      <c r="Z792" s="2960">
        <f t="shared" si="31"/>
        <v>0</v>
      </c>
      <c r="AA792" s="62"/>
      <c r="AB792" s="62"/>
      <c r="AC792" s="2994"/>
      <c r="AD792" s="2995"/>
      <c r="AE792" s="2995"/>
      <c r="AF792" s="2995"/>
      <c r="AG792" s="2995"/>
      <c r="AH792" s="2995"/>
      <c r="AI792" s="2995"/>
    </row>
    <row r="793" s="6" customFormat="1" ht="46" spans="1:35">
      <c r="A793" s="745"/>
      <c r="B793" s="2871"/>
      <c r="C793" s="2872"/>
      <c r="D793" s="2872"/>
      <c r="E793" s="683"/>
      <c r="F793" s="683"/>
      <c r="G793" s="683"/>
      <c r="H793" s="683"/>
      <c r="I793" s="683"/>
      <c r="J793" s="683"/>
      <c r="K793" s="2906"/>
      <c r="L793" s="2907"/>
      <c r="M793" s="2895"/>
      <c r="N793" s="2931" t="s">
        <v>5671</v>
      </c>
      <c r="O793" s="2934"/>
      <c r="P793" s="2935"/>
      <c r="Q793" s="2961">
        <v>15022.5</v>
      </c>
      <c r="R793" s="821" t="s">
        <v>349</v>
      </c>
      <c r="S793" s="2962">
        <v>46021</v>
      </c>
      <c r="T793" s="2960"/>
      <c r="U793" s="2959"/>
      <c r="V793" s="2960"/>
      <c r="W793" s="2981"/>
      <c r="X793" s="2961">
        <v>15022.5</v>
      </c>
      <c r="Y793" s="2962">
        <v>46078</v>
      </c>
      <c r="Z793" s="2960">
        <f t="shared" ref="Z793:Z813" si="32">Q793-X793</f>
        <v>0</v>
      </c>
      <c r="AA793" s="62"/>
      <c r="AB793" s="62"/>
      <c r="AC793" s="2994"/>
      <c r="AD793" s="2995"/>
      <c r="AE793" s="2995"/>
      <c r="AF793" s="2995"/>
      <c r="AG793" s="2995"/>
      <c r="AH793" s="2995"/>
      <c r="AI793" s="2995"/>
    </row>
    <row r="794" s="6" customFormat="1" ht="46" spans="1:35">
      <c r="A794" s="745"/>
      <c r="B794" s="2871"/>
      <c r="C794" s="2872"/>
      <c r="D794" s="2872"/>
      <c r="E794" s="683"/>
      <c r="F794" s="683"/>
      <c r="G794" s="683"/>
      <c r="H794" s="683"/>
      <c r="I794" s="683"/>
      <c r="J794" s="683"/>
      <c r="K794" s="2906"/>
      <c r="L794" s="2907"/>
      <c r="M794" s="639">
        <v>2</v>
      </c>
      <c r="N794" s="2931" t="s">
        <v>5672</v>
      </c>
      <c r="O794" s="2932">
        <v>0.25</v>
      </c>
      <c r="P794" s="2933">
        <f>K792*O794</f>
        <v>161787.5</v>
      </c>
      <c r="Q794" s="2958">
        <f>547000*O794</f>
        <v>136750</v>
      </c>
      <c r="R794" s="745" t="s">
        <v>4603</v>
      </c>
      <c r="S794" s="2959">
        <v>45555</v>
      </c>
      <c r="T794" s="2960">
        <v>136750</v>
      </c>
      <c r="U794" s="2959">
        <v>45555</v>
      </c>
      <c r="V794" s="2960">
        <v>136750</v>
      </c>
      <c r="W794" s="2981">
        <v>45665</v>
      </c>
      <c r="X794" s="2958">
        <v>136750</v>
      </c>
      <c r="Y794" s="2981">
        <v>45680</v>
      </c>
      <c r="Z794" s="2960">
        <f t="shared" si="32"/>
        <v>0</v>
      </c>
      <c r="AA794" s="62"/>
      <c r="AB794" s="62"/>
      <c r="AC794" s="2994"/>
      <c r="AD794" s="2995"/>
      <c r="AE794" s="2995"/>
      <c r="AF794" s="2995"/>
      <c r="AG794" s="2995"/>
      <c r="AH794" s="2995"/>
      <c r="AI794" s="2995"/>
    </row>
    <row r="795" s="6" customFormat="1" ht="46" spans="1:35">
      <c r="A795" s="745"/>
      <c r="B795" s="2871"/>
      <c r="C795" s="2872"/>
      <c r="D795" s="2872"/>
      <c r="E795" s="683"/>
      <c r="F795" s="683"/>
      <c r="G795" s="683"/>
      <c r="H795" s="683"/>
      <c r="I795" s="683"/>
      <c r="J795" s="683"/>
      <c r="K795" s="2906"/>
      <c r="L795" s="2907"/>
      <c r="M795" s="2895"/>
      <c r="N795" s="2931" t="s">
        <v>5673</v>
      </c>
      <c r="O795" s="2934"/>
      <c r="P795" s="2935"/>
      <c r="Q795" s="2961">
        <v>25037.5</v>
      </c>
      <c r="R795" s="821" t="s">
        <v>349</v>
      </c>
      <c r="S795" s="2962">
        <v>46021</v>
      </c>
      <c r="T795" s="2960"/>
      <c r="U795" s="2959"/>
      <c r="V795" s="2960"/>
      <c r="W795" s="2981"/>
      <c r="X795" s="2961">
        <v>25037.5</v>
      </c>
      <c r="Y795" s="2962">
        <v>46078</v>
      </c>
      <c r="Z795" s="2960">
        <f t="shared" si="32"/>
        <v>0</v>
      </c>
      <c r="AA795" s="62"/>
      <c r="AB795" s="62"/>
      <c r="AC795" s="2994"/>
      <c r="AD795" s="2995"/>
      <c r="AE795" s="2995"/>
      <c r="AF795" s="2995"/>
      <c r="AG795" s="2995"/>
      <c r="AH795" s="2995"/>
      <c r="AI795" s="2995"/>
    </row>
    <row r="796" s="6" customFormat="1" ht="46" spans="1:35">
      <c r="A796" s="745"/>
      <c r="B796" s="2871"/>
      <c r="C796" s="2872"/>
      <c r="D796" s="2872"/>
      <c r="E796" s="683"/>
      <c r="F796" s="683"/>
      <c r="G796" s="683"/>
      <c r="H796" s="683"/>
      <c r="I796" s="683"/>
      <c r="J796" s="683"/>
      <c r="K796" s="2906"/>
      <c r="L796" s="2907"/>
      <c r="M796" s="639">
        <v>3</v>
      </c>
      <c r="N796" s="2931" t="s">
        <v>5674</v>
      </c>
      <c r="O796" s="2932">
        <v>0.1</v>
      </c>
      <c r="P796" s="2933">
        <f>K792*O796</f>
        <v>64715</v>
      </c>
      <c r="Q796" s="2958">
        <f>547000*O796</f>
        <v>54700</v>
      </c>
      <c r="R796" s="745" t="s">
        <v>4603</v>
      </c>
      <c r="S796" s="2959">
        <v>45555</v>
      </c>
      <c r="T796" s="2960">
        <v>54700</v>
      </c>
      <c r="U796" s="2959">
        <v>45555</v>
      </c>
      <c r="V796" s="2960">
        <v>54700</v>
      </c>
      <c r="W796" s="2981">
        <v>45665</v>
      </c>
      <c r="X796" s="2958">
        <v>54700</v>
      </c>
      <c r="Y796" s="2981">
        <v>45680</v>
      </c>
      <c r="Z796" s="2960">
        <f t="shared" si="32"/>
        <v>0</v>
      </c>
      <c r="AA796" s="62"/>
      <c r="AB796" s="62"/>
      <c r="AC796" s="2994"/>
      <c r="AD796" s="2995"/>
      <c r="AE796" s="2995"/>
      <c r="AF796" s="2995"/>
      <c r="AG796" s="2995"/>
      <c r="AH796" s="2995"/>
      <c r="AI796" s="2995"/>
    </row>
    <row r="797" s="6" customFormat="1" ht="46" spans="1:35">
      <c r="A797" s="745"/>
      <c r="B797" s="2871"/>
      <c r="C797" s="2872"/>
      <c r="D797" s="2872"/>
      <c r="E797" s="683"/>
      <c r="F797" s="683"/>
      <c r="G797" s="683"/>
      <c r="H797" s="683"/>
      <c r="I797" s="683"/>
      <c r="J797" s="683"/>
      <c r="K797" s="2906"/>
      <c r="L797" s="2907"/>
      <c r="M797" s="2895"/>
      <c r="N797" s="2931" t="s">
        <v>5675</v>
      </c>
      <c r="O797" s="2934"/>
      <c r="P797" s="2935"/>
      <c r="Q797" s="2961">
        <v>10015</v>
      </c>
      <c r="R797" s="821" t="s">
        <v>349</v>
      </c>
      <c r="S797" s="2962">
        <v>46021</v>
      </c>
      <c r="T797" s="2960"/>
      <c r="U797" s="2959"/>
      <c r="V797" s="2960"/>
      <c r="W797" s="2981"/>
      <c r="X797" s="2961">
        <v>10015</v>
      </c>
      <c r="Y797" s="2962">
        <v>46078</v>
      </c>
      <c r="Z797" s="2960">
        <f t="shared" si="32"/>
        <v>0</v>
      </c>
      <c r="AA797" s="62"/>
      <c r="AB797" s="62"/>
      <c r="AC797" s="2994"/>
      <c r="AD797" s="2995"/>
      <c r="AE797" s="2995"/>
      <c r="AF797" s="2995"/>
      <c r="AG797" s="2995"/>
      <c r="AH797" s="2995"/>
      <c r="AI797" s="2995"/>
    </row>
    <row r="798" s="6" customFormat="1" ht="46" spans="1:35">
      <c r="A798" s="745"/>
      <c r="B798" s="2871"/>
      <c r="C798" s="2872"/>
      <c r="D798" s="2872"/>
      <c r="E798" s="683"/>
      <c r="F798" s="683"/>
      <c r="G798" s="683"/>
      <c r="H798" s="683"/>
      <c r="I798" s="683"/>
      <c r="J798" s="683"/>
      <c r="K798" s="2906"/>
      <c r="L798" s="2907"/>
      <c r="M798" s="639">
        <v>4</v>
      </c>
      <c r="N798" s="2931" t="s">
        <v>5676</v>
      </c>
      <c r="O798" s="2932">
        <v>0.3</v>
      </c>
      <c r="P798" s="2933">
        <f>K792*O798</f>
        <v>194145</v>
      </c>
      <c r="Q798" s="2958">
        <f>547000*O798</f>
        <v>164100</v>
      </c>
      <c r="R798" s="745" t="s">
        <v>4603</v>
      </c>
      <c r="S798" s="2959">
        <v>45555</v>
      </c>
      <c r="T798" s="2960">
        <v>164100</v>
      </c>
      <c r="U798" s="2959">
        <v>45555</v>
      </c>
      <c r="V798" s="2960">
        <v>164100</v>
      </c>
      <c r="W798" s="2981">
        <v>45665</v>
      </c>
      <c r="X798" s="2958">
        <v>164100</v>
      </c>
      <c r="Y798" s="2981">
        <v>45680</v>
      </c>
      <c r="Z798" s="2960">
        <f t="shared" si="32"/>
        <v>0</v>
      </c>
      <c r="AA798" s="62"/>
      <c r="AB798" s="62"/>
      <c r="AC798" s="2994"/>
      <c r="AD798" s="2995"/>
      <c r="AE798" s="2995"/>
      <c r="AF798" s="2995"/>
      <c r="AG798" s="2995"/>
      <c r="AH798" s="2995"/>
      <c r="AI798" s="2995"/>
    </row>
    <row r="799" s="6" customFormat="1" ht="46" spans="1:35">
      <c r="A799" s="745"/>
      <c r="B799" s="2871"/>
      <c r="C799" s="2872"/>
      <c r="D799" s="2872"/>
      <c r="E799" s="683"/>
      <c r="F799" s="683"/>
      <c r="G799" s="683"/>
      <c r="H799" s="683"/>
      <c r="I799" s="683"/>
      <c r="J799" s="683"/>
      <c r="K799" s="2906"/>
      <c r="L799" s="2907"/>
      <c r="M799" s="2895"/>
      <c r="N799" s="2931" t="s">
        <v>5677</v>
      </c>
      <c r="O799" s="2934"/>
      <c r="P799" s="2935"/>
      <c r="Q799" s="2961">
        <v>30045</v>
      </c>
      <c r="R799" s="821" t="s">
        <v>349</v>
      </c>
      <c r="S799" s="2962">
        <v>46021</v>
      </c>
      <c r="T799" s="2963"/>
      <c r="U799" s="2959"/>
      <c r="V799" s="2982"/>
      <c r="W799" s="2981"/>
      <c r="X799" s="2961">
        <v>30045</v>
      </c>
      <c r="Y799" s="2962">
        <v>46078</v>
      </c>
      <c r="Z799" s="2960">
        <f t="shared" si="32"/>
        <v>0</v>
      </c>
      <c r="AA799" s="62"/>
      <c r="AB799" s="62"/>
      <c r="AC799" s="2994"/>
      <c r="AD799" s="2995"/>
      <c r="AE799" s="2995"/>
      <c r="AF799" s="2995"/>
      <c r="AG799" s="2995"/>
      <c r="AH799" s="2995"/>
      <c r="AI799" s="2995"/>
    </row>
    <row r="800" s="6" customFormat="1" ht="46" spans="1:35">
      <c r="A800" s="745"/>
      <c r="B800" s="2871"/>
      <c r="C800" s="2872"/>
      <c r="D800" s="2872"/>
      <c r="E800" s="683"/>
      <c r="F800" s="683"/>
      <c r="G800" s="683"/>
      <c r="H800" s="683"/>
      <c r="I800" s="683"/>
      <c r="J800" s="683"/>
      <c r="K800" s="2906"/>
      <c r="L800" s="2907"/>
      <c r="M800" s="636">
        <v>5</v>
      </c>
      <c r="N800" s="2931" t="s">
        <v>5678</v>
      </c>
      <c r="O800" s="743">
        <v>0.1</v>
      </c>
      <c r="P800" s="2936">
        <f>K792*O800</f>
        <v>64715</v>
      </c>
      <c r="Q800" s="2958"/>
      <c r="R800" s="745"/>
      <c r="S800" s="2959"/>
      <c r="T800" s="2963"/>
      <c r="U800" s="2959"/>
      <c r="V800" s="2982"/>
      <c r="W800" s="2981"/>
      <c r="X800" s="2958"/>
      <c r="Y800" s="2981"/>
      <c r="Z800" s="2960">
        <f t="shared" si="32"/>
        <v>0</v>
      </c>
      <c r="AA800" s="62"/>
      <c r="AB800" s="62"/>
      <c r="AC800" s="2994"/>
      <c r="AD800" s="2995"/>
      <c r="AE800" s="2995"/>
      <c r="AF800" s="2995"/>
      <c r="AG800" s="2995"/>
      <c r="AH800" s="2995"/>
      <c r="AI800" s="2995"/>
    </row>
    <row r="801" s="6" customFormat="1" ht="92" spans="1:35">
      <c r="A801" s="745"/>
      <c r="B801" s="644"/>
      <c r="C801" s="2873"/>
      <c r="D801" s="2873"/>
      <c r="E801" s="2895"/>
      <c r="F801" s="2895"/>
      <c r="G801" s="2895"/>
      <c r="H801" s="2895"/>
      <c r="I801" s="2895"/>
      <c r="J801" s="2895"/>
      <c r="K801" s="2908"/>
      <c r="L801" s="2909"/>
      <c r="M801" s="636">
        <v>6</v>
      </c>
      <c r="N801" s="743" t="s">
        <v>3356</v>
      </c>
      <c r="O801" s="743">
        <v>0.1</v>
      </c>
      <c r="P801" s="2936">
        <f>K792*O801</f>
        <v>64715</v>
      </c>
      <c r="Q801" s="2958"/>
      <c r="R801" s="745"/>
      <c r="S801" s="2959"/>
      <c r="T801" s="2963"/>
      <c r="U801" s="2959"/>
      <c r="V801" s="2982"/>
      <c r="W801" s="2981"/>
      <c r="X801" s="2958"/>
      <c r="Y801" s="2981"/>
      <c r="Z801" s="2960">
        <f t="shared" si="32"/>
        <v>0</v>
      </c>
      <c r="AA801" s="62"/>
      <c r="AB801" s="62"/>
      <c r="AC801" s="2994"/>
      <c r="AD801" s="2995"/>
      <c r="AE801" s="2995"/>
      <c r="AF801" s="2995"/>
      <c r="AG801" s="2995"/>
      <c r="AH801" s="2995"/>
      <c r="AI801" s="2995"/>
    </row>
    <row r="802" s="6" customFormat="1" ht="46" spans="1:35">
      <c r="A802" s="2874" t="s">
        <v>1951</v>
      </c>
      <c r="B802" s="2875">
        <v>45460</v>
      </c>
      <c r="C802" s="2876" t="s">
        <v>2207</v>
      </c>
      <c r="D802" s="2876"/>
      <c r="E802" s="2896" t="s">
        <v>5679</v>
      </c>
      <c r="F802" s="2896" t="s">
        <v>5680</v>
      </c>
      <c r="G802" s="2896" t="s">
        <v>1923</v>
      </c>
      <c r="H802" s="2896" t="s">
        <v>5074</v>
      </c>
      <c r="I802" s="2896" t="s">
        <v>5681</v>
      </c>
      <c r="J802" s="2896" t="s">
        <v>5682</v>
      </c>
      <c r="K802" s="2910">
        <v>418500</v>
      </c>
      <c r="L802" s="2911" t="s">
        <v>126</v>
      </c>
      <c r="M802" s="2937">
        <v>1</v>
      </c>
      <c r="N802" s="2938" t="s">
        <v>5075</v>
      </c>
      <c r="O802" s="2939">
        <v>0.15</v>
      </c>
      <c r="P802" s="2940">
        <f>K802*O802</f>
        <v>62775</v>
      </c>
      <c r="Q802" s="2964">
        <v>62775</v>
      </c>
      <c r="R802" s="2874" t="s">
        <v>4603</v>
      </c>
      <c r="S802" s="2965">
        <v>45555</v>
      </c>
      <c r="T802" s="2966">
        <v>62775</v>
      </c>
      <c r="U802" s="2965">
        <v>45555</v>
      </c>
      <c r="V802" s="2983">
        <v>62775</v>
      </c>
      <c r="W802" s="2984">
        <v>45665</v>
      </c>
      <c r="X802" s="2940">
        <v>62775</v>
      </c>
      <c r="Y802" s="2984">
        <v>45680</v>
      </c>
      <c r="Z802" s="2966">
        <f t="shared" si="32"/>
        <v>0</v>
      </c>
      <c r="AA802" s="2990"/>
      <c r="AB802" s="2990"/>
      <c r="AC802" s="2996"/>
      <c r="AD802" s="2997"/>
      <c r="AE802" s="2997"/>
      <c r="AF802" s="2997"/>
      <c r="AG802" s="2997"/>
      <c r="AH802" s="2997"/>
      <c r="AI802" s="2997"/>
    </row>
    <row r="803" s="6" customFormat="1" ht="46" spans="1:35">
      <c r="A803" s="2874"/>
      <c r="B803" s="2877"/>
      <c r="C803" s="2878"/>
      <c r="D803" s="2878"/>
      <c r="E803" s="2897"/>
      <c r="F803" s="2897"/>
      <c r="G803" s="2897"/>
      <c r="H803" s="2897"/>
      <c r="I803" s="2897"/>
      <c r="J803" s="2897"/>
      <c r="K803" s="2912"/>
      <c r="L803" s="2913"/>
      <c r="M803" s="2937">
        <v>2</v>
      </c>
      <c r="N803" s="2938" t="s">
        <v>5683</v>
      </c>
      <c r="O803" s="2939">
        <v>0.2</v>
      </c>
      <c r="P803" s="2940">
        <f>K802*O803</f>
        <v>83700</v>
      </c>
      <c r="Q803" s="2964">
        <v>83700</v>
      </c>
      <c r="R803" s="2874" t="s">
        <v>4603</v>
      </c>
      <c r="S803" s="2965">
        <v>45555</v>
      </c>
      <c r="T803" s="2966">
        <v>83700</v>
      </c>
      <c r="U803" s="2965">
        <v>45555</v>
      </c>
      <c r="V803" s="2983">
        <v>83700</v>
      </c>
      <c r="W803" s="2984">
        <v>45665</v>
      </c>
      <c r="X803" s="2940">
        <v>83700</v>
      </c>
      <c r="Y803" s="2984">
        <v>45680</v>
      </c>
      <c r="Z803" s="2966">
        <f t="shared" si="32"/>
        <v>0</v>
      </c>
      <c r="AA803" s="2990"/>
      <c r="AB803" s="2990"/>
      <c r="AC803" s="2996"/>
      <c r="AD803" s="2997"/>
      <c r="AE803" s="2997"/>
      <c r="AF803" s="2997"/>
      <c r="AG803" s="2997"/>
      <c r="AH803" s="2997"/>
      <c r="AI803" s="2997"/>
    </row>
    <row r="804" s="6" customFormat="1" ht="46" spans="1:35">
      <c r="A804" s="2874"/>
      <c r="B804" s="2877"/>
      <c r="C804" s="2878"/>
      <c r="D804" s="2878"/>
      <c r="E804" s="2897"/>
      <c r="F804" s="2897"/>
      <c r="G804" s="2897"/>
      <c r="H804" s="2897"/>
      <c r="I804" s="2897"/>
      <c r="J804" s="2897"/>
      <c r="K804" s="2912"/>
      <c r="L804" s="2913"/>
      <c r="M804" s="2937">
        <v>3</v>
      </c>
      <c r="N804" s="2938" t="s">
        <v>5684</v>
      </c>
      <c r="O804" s="2939">
        <v>0.15</v>
      </c>
      <c r="P804" s="2940">
        <f>K802*O804</f>
        <v>62775</v>
      </c>
      <c r="Q804" s="2964">
        <v>62775</v>
      </c>
      <c r="R804" s="2874" t="s">
        <v>4603</v>
      </c>
      <c r="S804" s="2965">
        <v>45555</v>
      </c>
      <c r="T804" s="2966">
        <v>62775</v>
      </c>
      <c r="U804" s="2965">
        <v>45555</v>
      </c>
      <c r="V804" s="2983">
        <v>62775</v>
      </c>
      <c r="W804" s="2984">
        <v>45665</v>
      </c>
      <c r="X804" s="2940">
        <v>62775</v>
      </c>
      <c r="Y804" s="2984">
        <v>45680</v>
      </c>
      <c r="Z804" s="2966">
        <f t="shared" si="32"/>
        <v>0</v>
      </c>
      <c r="AA804" s="2990"/>
      <c r="AB804" s="2990"/>
      <c r="AC804" s="2996"/>
      <c r="AD804" s="2997"/>
      <c r="AE804" s="2997"/>
      <c r="AF804" s="2997"/>
      <c r="AG804" s="2997"/>
      <c r="AH804" s="2997"/>
      <c r="AI804" s="2997"/>
    </row>
    <row r="805" s="6" customFormat="1" ht="46" spans="1:35">
      <c r="A805" s="2874"/>
      <c r="B805" s="2877"/>
      <c r="C805" s="2878"/>
      <c r="D805" s="2878"/>
      <c r="E805" s="2897"/>
      <c r="F805" s="2897"/>
      <c r="G805" s="2897"/>
      <c r="H805" s="2897"/>
      <c r="I805" s="2897"/>
      <c r="J805" s="2897"/>
      <c r="K805" s="2912"/>
      <c r="L805" s="2913"/>
      <c r="M805" s="2937">
        <v>4</v>
      </c>
      <c r="N805" s="2938" t="s">
        <v>5685</v>
      </c>
      <c r="O805" s="2939">
        <v>0.3</v>
      </c>
      <c r="P805" s="2940">
        <f>K802*O805</f>
        <v>125550</v>
      </c>
      <c r="Q805" s="2964">
        <v>125550</v>
      </c>
      <c r="R805" s="2874" t="s">
        <v>4603</v>
      </c>
      <c r="S805" s="2965">
        <v>45555</v>
      </c>
      <c r="T805" s="2966">
        <v>125550</v>
      </c>
      <c r="U805" s="2965">
        <v>45555</v>
      </c>
      <c r="V805" s="2983">
        <v>125550</v>
      </c>
      <c r="W805" s="2984">
        <v>45665</v>
      </c>
      <c r="X805" s="2940">
        <v>125550</v>
      </c>
      <c r="Y805" s="2984">
        <v>45680</v>
      </c>
      <c r="Z805" s="2966">
        <f t="shared" si="32"/>
        <v>0</v>
      </c>
      <c r="AA805" s="2990"/>
      <c r="AB805" s="2990"/>
      <c r="AC805" s="2996"/>
      <c r="AD805" s="2997"/>
      <c r="AE805" s="2997"/>
      <c r="AF805" s="2997"/>
      <c r="AG805" s="2997"/>
      <c r="AH805" s="2997"/>
      <c r="AI805" s="2997"/>
    </row>
    <row r="806" s="6" customFormat="1" ht="31" spans="1:35">
      <c r="A806" s="2874"/>
      <c r="B806" s="2877"/>
      <c r="C806" s="2878"/>
      <c r="D806" s="2878"/>
      <c r="E806" s="2897"/>
      <c r="F806" s="2897"/>
      <c r="G806" s="2897"/>
      <c r="H806" s="2897"/>
      <c r="I806" s="2897"/>
      <c r="J806" s="2897"/>
      <c r="K806" s="2912"/>
      <c r="L806" s="2913"/>
      <c r="M806" s="2937">
        <v>5</v>
      </c>
      <c r="N806" s="2938" t="s">
        <v>5686</v>
      </c>
      <c r="O806" s="2939">
        <v>0.1</v>
      </c>
      <c r="P806" s="2940">
        <f>K802*O806</f>
        <v>41850</v>
      </c>
      <c r="Q806" s="2964"/>
      <c r="R806" s="2874"/>
      <c r="S806" s="2965"/>
      <c r="T806" s="2967"/>
      <c r="U806" s="2965"/>
      <c r="V806" s="2983"/>
      <c r="W806" s="2984"/>
      <c r="X806" s="2964"/>
      <c r="Y806" s="2984"/>
      <c r="Z806" s="2966">
        <f t="shared" si="32"/>
        <v>0</v>
      </c>
      <c r="AA806" s="2990"/>
      <c r="AB806" s="2990"/>
      <c r="AC806" s="2996"/>
      <c r="AD806" s="2997"/>
      <c r="AE806" s="2997"/>
      <c r="AF806" s="2997"/>
      <c r="AG806" s="2997"/>
      <c r="AH806" s="2997"/>
      <c r="AI806" s="2997"/>
    </row>
    <row r="807" s="6" customFormat="1" ht="107" spans="1:35">
      <c r="A807" s="2874"/>
      <c r="B807" s="2879"/>
      <c r="C807" s="2880"/>
      <c r="D807" s="2880"/>
      <c r="E807" s="2898"/>
      <c r="F807" s="2898"/>
      <c r="G807" s="2898"/>
      <c r="H807" s="2898"/>
      <c r="I807" s="2898"/>
      <c r="J807" s="2898"/>
      <c r="K807" s="2914"/>
      <c r="L807" s="2915"/>
      <c r="M807" s="2937">
        <v>6</v>
      </c>
      <c r="N807" s="2938" t="s">
        <v>5643</v>
      </c>
      <c r="O807" s="2939">
        <v>0.1</v>
      </c>
      <c r="P807" s="2940">
        <f>K802*O807</f>
        <v>41850</v>
      </c>
      <c r="Q807" s="2964"/>
      <c r="R807" s="2874"/>
      <c r="S807" s="2965"/>
      <c r="T807" s="2967"/>
      <c r="U807" s="2965"/>
      <c r="V807" s="2983"/>
      <c r="W807" s="2984"/>
      <c r="X807" s="2964"/>
      <c r="Y807" s="2984"/>
      <c r="Z807" s="2966">
        <f t="shared" si="32"/>
        <v>0</v>
      </c>
      <c r="AA807" s="2990"/>
      <c r="AB807" s="2990"/>
      <c r="AC807" s="2996"/>
      <c r="AD807" s="2997"/>
      <c r="AE807" s="2997"/>
      <c r="AF807" s="2997"/>
      <c r="AG807" s="2997"/>
      <c r="AH807" s="2997"/>
      <c r="AI807" s="2997"/>
    </row>
    <row r="808" s="6" customFormat="1" ht="52.5" customHeight="1" spans="1:35">
      <c r="A808" s="1224" t="s">
        <v>1951</v>
      </c>
      <c r="B808" s="2881">
        <v>45460</v>
      </c>
      <c r="C808" s="2058" t="s">
        <v>2207</v>
      </c>
      <c r="D808" s="2058"/>
      <c r="E808" s="1270" t="s">
        <v>5687</v>
      </c>
      <c r="F808" s="1270" t="s">
        <v>5688</v>
      </c>
      <c r="G808" s="1270" t="s">
        <v>5689</v>
      </c>
      <c r="H808" s="1270" t="s">
        <v>5634</v>
      </c>
      <c r="I808" s="1270" t="s">
        <v>5690</v>
      </c>
      <c r="J808" s="1270" t="s">
        <v>5691</v>
      </c>
      <c r="K808" s="2916">
        <v>891914.3</v>
      </c>
      <c r="L808" s="1268" t="s">
        <v>126</v>
      </c>
      <c r="M808" s="1270">
        <v>1</v>
      </c>
      <c r="N808" s="1274" t="s">
        <v>5692</v>
      </c>
      <c r="O808" s="2941">
        <v>0.15</v>
      </c>
      <c r="P808" s="2942">
        <f>K808*O808</f>
        <v>133787.145</v>
      </c>
      <c r="Q808" s="2968">
        <f>120000*O808</f>
        <v>18000</v>
      </c>
      <c r="R808" s="1224" t="s">
        <v>4603</v>
      </c>
      <c r="S808" s="2969">
        <v>45657</v>
      </c>
      <c r="T808" s="2968">
        <v>18000</v>
      </c>
      <c r="U808" s="2969">
        <v>45657</v>
      </c>
      <c r="V808" s="2968">
        <v>18000</v>
      </c>
      <c r="W808" s="2985">
        <v>45665</v>
      </c>
      <c r="X808" s="2968">
        <v>18000</v>
      </c>
      <c r="Y808" s="2985">
        <v>45680</v>
      </c>
      <c r="Z808" s="2970">
        <f t="shared" si="32"/>
        <v>0</v>
      </c>
      <c r="AA808" s="2991"/>
      <c r="AB808" s="2991"/>
      <c r="AC808" s="2998"/>
      <c r="AD808" s="2999"/>
      <c r="AE808" s="2999"/>
      <c r="AF808" s="2999"/>
      <c r="AG808" s="2999"/>
      <c r="AH808" s="2999"/>
      <c r="AI808" s="2999"/>
    </row>
    <row r="809" s="6" customFormat="1" ht="52.5" customHeight="1" spans="1:35">
      <c r="A809" s="1224"/>
      <c r="B809" s="2882"/>
      <c r="C809" s="2883"/>
      <c r="D809" s="2883"/>
      <c r="E809" s="1273"/>
      <c r="F809" s="1273"/>
      <c r="G809" s="1273"/>
      <c r="H809" s="1273"/>
      <c r="I809" s="1273"/>
      <c r="J809" s="1273"/>
      <c r="K809" s="2917"/>
      <c r="L809" s="1271"/>
      <c r="M809" s="2899"/>
      <c r="N809" s="1274" t="s">
        <v>5075</v>
      </c>
      <c r="O809" s="2943"/>
      <c r="P809" s="2944"/>
      <c r="Q809" s="2970">
        <v>115787.145</v>
      </c>
      <c r="R809" s="2971" t="s">
        <v>349</v>
      </c>
      <c r="S809" s="2972">
        <v>46021</v>
      </c>
      <c r="T809" s="2973"/>
      <c r="U809" s="2969"/>
      <c r="V809" s="2973"/>
      <c r="W809" s="2985"/>
      <c r="X809" s="2970">
        <v>115787.145</v>
      </c>
      <c r="Y809" s="2972">
        <v>46078</v>
      </c>
      <c r="Z809" s="2970">
        <f t="shared" si="32"/>
        <v>0</v>
      </c>
      <c r="AA809" s="2991"/>
      <c r="AB809" s="2991"/>
      <c r="AC809" s="2998"/>
      <c r="AD809" s="2999"/>
      <c r="AE809" s="2999"/>
      <c r="AF809" s="2999"/>
      <c r="AG809" s="2999"/>
      <c r="AH809" s="2999"/>
      <c r="AI809" s="2999"/>
    </row>
    <row r="810" s="6" customFormat="1" ht="52.5" customHeight="1" spans="1:35">
      <c r="A810" s="1224"/>
      <c r="B810" s="2882"/>
      <c r="C810" s="2883"/>
      <c r="D810" s="2883"/>
      <c r="E810" s="1273"/>
      <c r="F810" s="1273"/>
      <c r="G810" s="1273"/>
      <c r="H810" s="1273"/>
      <c r="I810" s="1273"/>
      <c r="J810" s="1273"/>
      <c r="K810" s="2917"/>
      <c r="L810" s="1271"/>
      <c r="M810" s="1270">
        <v>2</v>
      </c>
      <c r="N810" s="1274" t="s">
        <v>5693</v>
      </c>
      <c r="O810" s="2941">
        <v>0.2</v>
      </c>
      <c r="P810" s="2942">
        <f>K808*O810</f>
        <v>178382.86</v>
      </c>
      <c r="Q810" s="2968">
        <f>120000*O810</f>
        <v>24000</v>
      </c>
      <c r="R810" s="1224" t="s">
        <v>4603</v>
      </c>
      <c r="S810" s="2969">
        <v>45657</v>
      </c>
      <c r="T810" s="2968">
        <v>24000</v>
      </c>
      <c r="U810" s="2969">
        <v>45657</v>
      </c>
      <c r="V810" s="2968">
        <v>24000</v>
      </c>
      <c r="W810" s="2985">
        <v>45665</v>
      </c>
      <c r="X810" s="2968">
        <v>24000</v>
      </c>
      <c r="Y810" s="2985">
        <v>45680</v>
      </c>
      <c r="Z810" s="2970">
        <f t="shared" si="32"/>
        <v>0</v>
      </c>
      <c r="AA810" s="2991"/>
      <c r="AB810" s="2991"/>
      <c r="AC810" s="2998"/>
      <c r="AD810" s="2999"/>
      <c r="AE810" s="2999"/>
      <c r="AF810" s="2999"/>
      <c r="AG810" s="2999"/>
      <c r="AH810" s="2999"/>
      <c r="AI810" s="2999"/>
    </row>
    <row r="811" s="6" customFormat="1" ht="52.5" customHeight="1" spans="1:35">
      <c r="A811" s="1224"/>
      <c r="B811" s="2882"/>
      <c r="C811" s="2883"/>
      <c r="D811" s="2883"/>
      <c r="E811" s="1273"/>
      <c r="F811" s="1273"/>
      <c r="G811" s="1273"/>
      <c r="H811" s="1273"/>
      <c r="I811" s="1273"/>
      <c r="J811" s="1273"/>
      <c r="K811" s="2917"/>
      <c r="L811" s="1271"/>
      <c r="M811" s="2899"/>
      <c r="N811" s="1274" t="s">
        <v>5683</v>
      </c>
      <c r="O811" s="2943"/>
      <c r="P811" s="2944"/>
      <c r="Q811" s="2970">
        <v>154382.86</v>
      </c>
      <c r="R811" s="2971" t="s">
        <v>349</v>
      </c>
      <c r="S811" s="2972">
        <v>46021</v>
      </c>
      <c r="T811" s="2973"/>
      <c r="U811" s="2969"/>
      <c r="V811" s="2973"/>
      <c r="W811" s="2985"/>
      <c r="X811" s="2970">
        <v>154382.86</v>
      </c>
      <c r="Y811" s="2972">
        <v>46078</v>
      </c>
      <c r="Z811" s="2970">
        <f t="shared" si="32"/>
        <v>0</v>
      </c>
      <c r="AA811" s="2991"/>
      <c r="AB811" s="2991"/>
      <c r="AC811" s="2998"/>
      <c r="AD811" s="2999"/>
      <c r="AE811" s="2999"/>
      <c r="AF811" s="2999"/>
      <c r="AG811" s="2999"/>
      <c r="AH811" s="2999"/>
      <c r="AI811" s="2999"/>
    </row>
    <row r="812" s="6" customFormat="1" ht="52.5" customHeight="1" spans="1:35">
      <c r="A812" s="1224"/>
      <c r="B812" s="2882"/>
      <c r="C812" s="2883"/>
      <c r="D812" s="2883"/>
      <c r="E812" s="1273"/>
      <c r="F812" s="1273"/>
      <c r="G812" s="1273"/>
      <c r="H812" s="1273"/>
      <c r="I812" s="1273"/>
      <c r="J812" s="1273"/>
      <c r="K812" s="2917"/>
      <c r="L812" s="1271"/>
      <c r="M812" s="1270">
        <v>3</v>
      </c>
      <c r="N812" s="1274" t="s">
        <v>5694</v>
      </c>
      <c r="O812" s="2941">
        <v>0.15</v>
      </c>
      <c r="P812" s="2942">
        <f>K808*O812</f>
        <v>133787.145</v>
      </c>
      <c r="Q812" s="2968">
        <f>120000*O812</f>
        <v>18000</v>
      </c>
      <c r="R812" s="1224" t="s">
        <v>4603</v>
      </c>
      <c r="S812" s="2969">
        <v>45657</v>
      </c>
      <c r="T812" s="2968">
        <v>18000</v>
      </c>
      <c r="U812" s="2969">
        <v>45657</v>
      </c>
      <c r="V812" s="2968">
        <v>18000</v>
      </c>
      <c r="W812" s="2985">
        <v>45665</v>
      </c>
      <c r="X812" s="2968">
        <v>18000</v>
      </c>
      <c r="Y812" s="2985">
        <v>45680</v>
      </c>
      <c r="Z812" s="2970">
        <f t="shared" si="32"/>
        <v>0</v>
      </c>
      <c r="AA812" s="2991"/>
      <c r="AB812" s="2991"/>
      <c r="AC812" s="2998"/>
      <c r="AD812" s="2999"/>
      <c r="AE812" s="2999"/>
      <c r="AF812" s="2999"/>
      <c r="AG812" s="2999"/>
      <c r="AH812" s="2999"/>
      <c r="AI812" s="2999"/>
    </row>
    <row r="813" s="6" customFormat="1" ht="52.5" customHeight="1" spans="1:35">
      <c r="A813" s="1224"/>
      <c r="B813" s="2882"/>
      <c r="C813" s="2883"/>
      <c r="D813" s="2883"/>
      <c r="E813" s="1273"/>
      <c r="F813" s="1273"/>
      <c r="G813" s="1273"/>
      <c r="H813" s="1273"/>
      <c r="I813" s="1273"/>
      <c r="J813" s="1273"/>
      <c r="K813" s="2917"/>
      <c r="L813" s="1271"/>
      <c r="M813" s="2899"/>
      <c r="N813" s="1274" t="s">
        <v>5684</v>
      </c>
      <c r="O813" s="2943"/>
      <c r="P813" s="2944"/>
      <c r="Q813" s="2970">
        <v>115787.145</v>
      </c>
      <c r="R813" s="2971" t="s">
        <v>349</v>
      </c>
      <c r="S813" s="2972">
        <v>46021</v>
      </c>
      <c r="T813" s="2973"/>
      <c r="U813" s="2969"/>
      <c r="V813" s="2986"/>
      <c r="W813" s="2985"/>
      <c r="X813" s="2970">
        <v>115787.145</v>
      </c>
      <c r="Y813" s="2972">
        <v>46078</v>
      </c>
      <c r="Z813" s="2970">
        <f t="shared" si="32"/>
        <v>0</v>
      </c>
      <c r="AA813" s="2991"/>
      <c r="AB813" s="2991"/>
      <c r="AC813" s="2998"/>
      <c r="AD813" s="2999"/>
      <c r="AE813" s="2999"/>
      <c r="AF813" s="2999"/>
      <c r="AG813" s="2999"/>
      <c r="AH813" s="2999"/>
      <c r="AI813" s="2999"/>
    </row>
    <row r="814" s="6" customFormat="1" ht="52.5" customHeight="1" spans="1:35">
      <c r="A814" s="1224"/>
      <c r="B814" s="2882"/>
      <c r="C814" s="2883"/>
      <c r="D814" s="2883"/>
      <c r="E814" s="1273"/>
      <c r="F814" s="1273"/>
      <c r="G814" s="1273"/>
      <c r="H814" s="1273"/>
      <c r="I814" s="1273"/>
      <c r="J814" s="1273"/>
      <c r="K814" s="2917"/>
      <c r="L814" s="1271"/>
      <c r="M814" s="1273">
        <v>4</v>
      </c>
      <c r="N814" s="1270" t="s">
        <v>5695</v>
      </c>
      <c r="O814" s="2945">
        <v>0.4</v>
      </c>
      <c r="P814" s="2946">
        <f>K808*O814</f>
        <v>356765.72</v>
      </c>
      <c r="Q814" s="2970">
        <v>267574.29</v>
      </c>
      <c r="R814" s="2971" t="s">
        <v>349</v>
      </c>
      <c r="S814" s="2974">
        <v>46203</v>
      </c>
      <c r="T814" s="2973"/>
      <c r="U814" s="2969"/>
      <c r="V814" s="2986"/>
      <c r="W814" s="2985"/>
      <c r="X814" s="2970">
        <v>267574.29</v>
      </c>
      <c r="Y814" s="2974">
        <v>46233</v>
      </c>
      <c r="Z814" s="2970"/>
      <c r="AA814" s="2991"/>
      <c r="AB814" s="2991"/>
      <c r="AC814" s="2998"/>
      <c r="AD814" s="2999"/>
      <c r="AE814" s="2999"/>
      <c r="AF814" s="2999"/>
      <c r="AG814" s="2999"/>
      <c r="AH814" s="2999"/>
      <c r="AI814" s="2999"/>
    </row>
    <row r="815" s="6" customFormat="1" ht="52.5" customHeight="1" spans="1:35">
      <c r="A815" s="1224"/>
      <c r="B815" s="2882"/>
      <c r="C815" s="2883"/>
      <c r="D815" s="2883"/>
      <c r="E815" s="1273"/>
      <c r="F815" s="1273"/>
      <c r="G815" s="1273"/>
      <c r="H815" s="1273"/>
      <c r="I815" s="1273"/>
      <c r="J815" s="1273"/>
      <c r="K815" s="2917"/>
      <c r="L815" s="1271"/>
      <c r="M815" s="2899"/>
      <c r="N815" s="2899"/>
      <c r="O815" s="2943"/>
      <c r="P815" s="2944"/>
      <c r="Q815" s="2968"/>
      <c r="R815" s="1224"/>
      <c r="S815" s="2969"/>
      <c r="T815" s="2973"/>
      <c r="U815" s="2969"/>
      <c r="V815" s="2986"/>
      <c r="W815" s="2985"/>
      <c r="X815" s="2968"/>
      <c r="Y815" s="2985"/>
      <c r="Z815" s="2970">
        <f t="shared" ref="Z815:Z857" si="33">Q815-X815</f>
        <v>0</v>
      </c>
      <c r="AA815" s="2991"/>
      <c r="AB815" s="2991"/>
      <c r="AC815" s="2998"/>
      <c r="AD815" s="2999"/>
      <c r="AE815" s="2999"/>
      <c r="AF815" s="2999"/>
      <c r="AG815" s="2999"/>
      <c r="AH815" s="2999"/>
      <c r="AI815" s="2999"/>
    </row>
    <row r="816" s="6" customFormat="1" ht="107" spans="1:35">
      <c r="A816" s="1224"/>
      <c r="B816" s="2884"/>
      <c r="C816" s="2885"/>
      <c r="D816" s="2885"/>
      <c r="E816" s="2899"/>
      <c r="F816" s="2899"/>
      <c r="G816" s="2899"/>
      <c r="H816" s="2899"/>
      <c r="I816" s="2899"/>
      <c r="J816" s="2899"/>
      <c r="K816" s="2918"/>
      <c r="L816" s="1440"/>
      <c r="M816" s="1274">
        <v>5</v>
      </c>
      <c r="N816" s="1274" t="s">
        <v>5643</v>
      </c>
      <c r="O816" s="2947">
        <v>0.1</v>
      </c>
      <c r="P816" s="2948">
        <f>K808*O816</f>
        <v>89191.43</v>
      </c>
      <c r="Q816" s="2968"/>
      <c r="R816" s="1224"/>
      <c r="S816" s="2969"/>
      <c r="T816" s="2973"/>
      <c r="U816" s="2969"/>
      <c r="V816" s="2986"/>
      <c r="W816" s="2985"/>
      <c r="X816" s="2968"/>
      <c r="Y816" s="2985"/>
      <c r="Z816" s="2970">
        <f t="shared" si="33"/>
        <v>0</v>
      </c>
      <c r="AA816" s="2991"/>
      <c r="AB816" s="2991"/>
      <c r="AC816" s="2998"/>
      <c r="AD816" s="2999"/>
      <c r="AE816" s="2999"/>
      <c r="AF816" s="2999"/>
      <c r="AG816" s="2999"/>
      <c r="AH816" s="2999"/>
      <c r="AI816" s="2999"/>
    </row>
    <row r="817" s="6" customFormat="1" ht="35.85" customHeight="1" spans="1:35">
      <c r="A817" s="2520" t="s">
        <v>1951</v>
      </c>
      <c r="B817" s="2521">
        <v>45531</v>
      </c>
      <c r="C817" s="2886" t="s">
        <v>5696</v>
      </c>
      <c r="D817" s="2886"/>
      <c r="E817" s="2805" t="s">
        <v>5697</v>
      </c>
      <c r="F817" s="2805" t="s">
        <v>5698</v>
      </c>
      <c r="G817" s="2805" t="s">
        <v>4676</v>
      </c>
      <c r="H817" s="2805" t="s">
        <v>5520</v>
      </c>
      <c r="I817" s="2805" t="s">
        <v>5699</v>
      </c>
      <c r="J817" s="2805">
        <v>2.38</v>
      </c>
      <c r="K817" s="2919">
        <v>136295.91</v>
      </c>
      <c r="L817" s="2769" t="s">
        <v>32</v>
      </c>
      <c r="M817" s="2805">
        <v>1</v>
      </c>
      <c r="N817" s="2805" t="s">
        <v>5700</v>
      </c>
      <c r="O817" s="2815">
        <v>0.4</v>
      </c>
      <c r="P817" s="2812">
        <f>K817*20%</f>
        <v>27259.182</v>
      </c>
      <c r="Q817" s="2825">
        <v>27259.18</v>
      </c>
      <c r="R817" s="2520" t="s">
        <v>4603</v>
      </c>
      <c r="S817" s="2666">
        <v>45666</v>
      </c>
      <c r="T817" s="2667">
        <v>27259.18</v>
      </c>
      <c r="U817" s="2666">
        <v>45666</v>
      </c>
      <c r="V817" s="2667">
        <v>27259.18</v>
      </c>
      <c r="W817" s="2848">
        <v>45666</v>
      </c>
      <c r="X817" s="2665">
        <v>27259.18</v>
      </c>
      <c r="Y817" s="2848">
        <v>45681</v>
      </c>
      <c r="Z817" s="2834">
        <f t="shared" si="33"/>
        <v>0</v>
      </c>
      <c r="AA817" s="2733"/>
      <c r="AB817" s="2733"/>
      <c r="AC817" s="2746"/>
      <c r="AD817" s="2564"/>
      <c r="AE817" s="2564"/>
      <c r="AF817" s="2564"/>
      <c r="AG817" s="2564"/>
      <c r="AH817" s="2564"/>
      <c r="AI817" s="2564"/>
    </row>
    <row r="818" s="6" customFormat="1" ht="32.5" customHeight="1" spans="1:35">
      <c r="A818" s="2520"/>
      <c r="B818" s="2524"/>
      <c r="C818" s="2770"/>
      <c r="D818" s="2770"/>
      <c r="E818" s="2784"/>
      <c r="F818" s="2784"/>
      <c r="G818" s="2784"/>
      <c r="H818" s="2784"/>
      <c r="I818" s="2784"/>
      <c r="J818" s="2784"/>
      <c r="K818" s="2920"/>
      <c r="L818" s="2771"/>
      <c r="M818" s="2284"/>
      <c r="N818" s="2284"/>
      <c r="O818" s="2816"/>
      <c r="P818" s="2812">
        <f>K817*20%</f>
        <v>27259.182</v>
      </c>
      <c r="Q818" s="2825">
        <v>27259.18</v>
      </c>
      <c r="R818" s="2520" t="s">
        <v>4603</v>
      </c>
      <c r="S818" s="2666">
        <v>45666</v>
      </c>
      <c r="T818" s="2667">
        <v>27259.18</v>
      </c>
      <c r="U818" s="2666">
        <v>45666</v>
      </c>
      <c r="V818" s="2667">
        <v>27259.18</v>
      </c>
      <c r="W818" s="2848">
        <v>45793</v>
      </c>
      <c r="X818" s="2825">
        <v>27259.18</v>
      </c>
      <c r="Y818" s="2666">
        <v>45806</v>
      </c>
      <c r="Z818" s="2834">
        <f t="shared" si="33"/>
        <v>0</v>
      </c>
      <c r="AA818" s="2733"/>
      <c r="AB818" s="2733"/>
      <c r="AC818" s="2746"/>
      <c r="AD818" s="2564"/>
      <c r="AE818" s="2564"/>
      <c r="AF818" s="2564"/>
      <c r="AG818" s="2564"/>
      <c r="AH818" s="2564"/>
      <c r="AI818" s="2564"/>
    </row>
    <row r="819" s="6" customFormat="1" ht="76" spans="1:35">
      <c r="A819" s="2520"/>
      <c r="B819" s="2524"/>
      <c r="C819" s="2770"/>
      <c r="D819" s="2770"/>
      <c r="E819" s="2784"/>
      <c r="F819" s="2784"/>
      <c r="G819" s="2784"/>
      <c r="H819" s="2784"/>
      <c r="I819" s="2784"/>
      <c r="J819" s="2784"/>
      <c r="K819" s="2920"/>
      <c r="L819" s="2771"/>
      <c r="M819" s="1381">
        <v>2</v>
      </c>
      <c r="N819" s="2611" t="s">
        <v>5701</v>
      </c>
      <c r="O819" s="2811">
        <v>0.55</v>
      </c>
      <c r="P819" s="2814">
        <f>K817*O819</f>
        <v>74962.7505</v>
      </c>
      <c r="Q819" s="2834">
        <v>74962.7505</v>
      </c>
      <c r="R819" s="2835" t="s">
        <v>5015</v>
      </c>
      <c r="S819" s="2836">
        <v>46021</v>
      </c>
      <c r="T819" s="2667"/>
      <c r="U819" s="2666"/>
      <c r="V819" s="2847"/>
      <c r="W819" s="2848"/>
      <c r="X819" s="2834">
        <v>74962.7505</v>
      </c>
      <c r="Y819" s="2836">
        <v>46021</v>
      </c>
      <c r="Z819" s="2834">
        <f t="shared" si="33"/>
        <v>0</v>
      </c>
      <c r="AA819" s="2733"/>
      <c r="AB819" s="2733"/>
      <c r="AC819" s="2746"/>
      <c r="AD819" s="2564"/>
      <c r="AE819" s="2564"/>
      <c r="AF819" s="2564"/>
      <c r="AG819" s="2564"/>
      <c r="AH819" s="2564"/>
      <c r="AI819" s="2564"/>
    </row>
    <row r="820" s="6" customFormat="1" ht="76" spans="1:35">
      <c r="A820" s="2520"/>
      <c r="B820" s="2526"/>
      <c r="C820" s="2887"/>
      <c r="D820" s="2887"/>
      <c r="E820" s="2284"/>
      <c r="F820" s="2284"/>
      <c r="G820" s="2284"/>
      <c r="H820" s="2284"/>
      <c r="I820" s="2284"/>
      <c r="J820" s="2284"/>
      <c r="K820" s="2921"/>
      <c r="L820" s="2773"/>
      <c r="M820" s="1381">
        <v>3</v>
      </c>
      <c r="N820" s="2611" t="s">
        <v>5702</v>
      </c>
      <c r="O820" s="2811">
        <v>0.05</v>
      </c>
      <c r="P820" s="2812">
        <f>K817*O820</f>
        <v>6814.7955</v>
      </c>
      <c r="Q820" s="2665"/>
      <c r="R820" s="2520"/>
      <c r="S820" s="2666"/>
      <c r="T820" s="2667"/>
      <c r="U820" s="2666"/>
      <c r="V820" s="2847"/>
      <c r="W820" s="2848"/>
      <c r="X820" s="2665"/>
      <c r="Y820" s="2848"/>
      <c r="Z820" s="2834">
        <f t="shared" si="33"/>
        <v>0</v>
      </c>
      <c r="AA820" s="2733"/>
      <c r="AB820" s="2733"/>
      <c r="AC820" s="2746"/>
      <c r="AD820" s="2564"/>
      <c r="AE820" s="2564"/>
      <c r="AF820" s="2564"/>
      <c r="AG820" s="2564"/>
      <c r="AH820" s="2564"/>
      <c r="AI820" s="2564"/>
    </row>
    <row r="821" s="6" customFormat="1" ht="26.25" customHeight="1" spans="1:35">
      <c r="A821" s="2888" t="s">
        <v>1951</v>
      </c>
      <c r="B821" s="2889">
        <v>45466</v>
      </c>
      <c r="C821" s="2890" t="s">
        <v>5703</v>
      </c>
      <c r="D821" s="2890"/>
      <c r="E821" s="2900" t="s">
        <v>5704</v>
      </c>
      <c r="F821" s="2900" t="s">
        <v>5705</v>
      </c>
      <c r="G821" s="2900" t="s">
        <v>3569</v>
      </c>
      <c r="H821" s="2900" t="s">
        <v>5400</v>
      </c>
      <c r="I821" s="2900" t="s">
        <v>5706</v>
      </c>
      <c r="J821" s="2900" t="s">
        <v>5707</v>
      </c>
      <c r="K821" s="2922">
        <v>1466871.2</v>
      </c>
      <c r="L821" s="2923" t="s">
        <v>126</v>
      </c>
      <c r="M821" s="2949">
        <v>1</v>
      </c>
      <c r="N821" s="2950" t="s">
        <v>3320</v>
      </c>
      <c r="O821" s="2951">
        <v>0.2</v>
      </c>
      <c r="P821" s="2952">
        <f>K821*O821</f>
        <v>293374.24</v>
      </c>
      <c r="Q821" s="2975">
        <v>293374.24</v>
      </c>
      <c r="R821" s="2888" t="s">
        <v>4603</v>
      </c>
      <c r="S821" s="2976">
        <v>45555</v>
      </c>
      <c r="T821" s="2977">
        <v>293374.24</v>
      </c>
      <c r="U821" s="2976">
        <v>45555</v>
      </c>
      <c r="V821" s="2987">
        <v>293374.24</v>
      </c>
      <c r="W821" s="2988">
        <v>45589</v>
      </c>
      <c r="X821" s="2975">
        <v>293374.24</v>
      </c>
      <c r="Y821" s="2988">
        <v>45596</v>
      </c>
      <c r="Z821" s="2975">
        <f t="shared" si="33"/>
        <v>0</v>
      </c>
      <c r="AA821" s="2992"/>
      <c r="AB821" s="2992"/>
      <c r="AC821" s="3000"/>
      <c r="AD821" s="3001"/>
      <c r="AE821" s="3001"/>
      <c r="AF821" s="3001"/>
      <c r="AG821" s="3001"/>
      <c r="AH821" s="3001"/>
      <c r="AI821" s="3001"/>
    </row>
    <row r="822" s="6" customFormat="1" ht="26.25" customHeight="1" spans="1:35">
      <c r="A822" s="2888"/>
      <c r="B822" s="2891"/>
      <c r="C822" s="2892"/>
      <c r="D822" s="2892"/>
      <c r="E822" s="2901"/>
      <c r="F822" s="2901"/>
      <c r="G822" s="2901"/>
      <c r="H822" s="2901"/>
      <c r="I822" s="2901"/>
      <c r="J822" s="2901"/>
      <c r="K822" s="2924"/>
      <c r="L822" s="2925"/>
      <c r="M822" s="2949">
        <v>2</v>
      </c>
      <c r="N822" s="2950" t="s">
        <v>3321</v>
      </c>
      <c r="O822" s="2951">
        <v>0.3</v>
      </c>
      <c r="P822" s="2952">
        <f>K821*O822</f>
        <v>440061.36</v>
      </c>
      <c r="Q822" s="2975">
        <v>440061.36</v>
      </c>
      <c r="R822" s="2888" t="s">
        <v>4603</v>
      </c>
      <c r="S822" s="2976">
        <v>45555</v>
      </c>
      <c r="T822" s="2977">
        <v>440061.36</v>
      </c>
      <c r="U822" s="2976">
        <v>45555</v>
      </c>
      <c r="V822" s="2987">
        <v>440061.36</v>
      </c>
      <c r="W822" s="2988">
        <v>45589</v>
      </c>
      <c r="X822" s="2975">
        <v>440061.36</v>
      </c>
      <c r="Y822" s="2988">
        <v>45596</v>
      </c>
      <c r="Z822" s="2975">
        <f t="shared" si="33"/>
        <v>0</v>
      </c>
      <c r="AA822" s="2992"/>
      <c r="AB822" s="2992"/>
      <c r="AC822" s="3000"/>
      <c r="AD822" s="3001"/>
      <c r="AE822" s="3001"/>
      <c r="AF822" s="3001"/>
      <c r="AG822" s="3001"/>
      <c r="AH822" s="3001"/>
      <c r="AI822" s="3001"/>
    </row>
    <row r="823" s="6" customFormat="1" ht="26.25" customHeight="1" spans="1:35">
      <c r="A823" s="2888"/>
      <c r="B823" s="2891"/>
      <c r="C823" s="2892"/>
      <c r="D823" s="2892"/>
      <c r="E823" s="2901"/>
      <c r="F823" s="2901"/>
      <c r="G823" s="2901"/>
      <c r="H823" s="2901"/>
      <c r="I823" s="2901"/>
      <c r="J823" s="2901"/>
      <c r="K823" s="2924"/>
      <c r="L823" s="2925"/>
      <c r="M823" s="2949">
        <v>3</v>
      </c>
      <c r="N823" s="2950" t="s">
        <v>3322</v>
      </c>
      <c r="O823" s="2951">
        <v>0.2</v>
      </c>
      <c r="P823" s="2952">
        <f>K821*O823</f>
        <v>293374.24</v>
      </c>
      <c r="Q823" s="2975">
        <v>293374.24</v>
      </c>
      <c r="R823" s="2888" t="s">
        <v>4603</v>
      </c>
      <c r="S823" s="2976">
        <v>45555</v>
      </c>
      <c r="T823" s="2977">
        <v>293374.24</v>
      </c>
      <c r="U823" s="2976">
        <v>45555</v>
      </c>
      <c r="V823" s="2977">
        <v>293374.24</v>
      </c>
      <c r="W823" s="2988">
        <v>45642</v>
      </c>
      <c r="X823" s="2975">
        <v>293374.24</v>
      </c>
      <c r="Y823" s="2988">
        <v>45681</v>
      </c>
      <c r="Z823" s="2975">
        <f t="shared" si="33"/>
        <v>0</v>
      </c>
      <c r="AA823" s="2992"/>
      <c r="AB823" s="2992"/>
      <c r="AC823" s="3000"/>
      <c r="AD823" s="3001"/>
      <c r="AE823" s="3001"/>
      <c r="AF823" s="3001"/>
      <c r="AG823" s="3001"/>
      <c r="AH823" s="3001"/>
      <c r="AI823" s="3001"/>
    </row>
    <row r="824" s="6" customFormat="1" ht="61" spans="1:35">
      <c r="A824" s="2888"/>
      <c r="B824" s="2891"/>
      <c r="C824" s="2892"/>
      <c r="D824" s="2892"/>
      <c r="E824" s="2901"/>
      <c r="F824" s="2901"/>
      <c r="G824" s="2901"/>
      <c r="H824" s="2901"/>
      <c r="I824" s="2901"/>
      <c r="J824" s="2901"/>
      <c r="K824" s="2924"/>
      <c r="L824" s="2925"/>
      <c r="M824" s="2949">
        <v>4</v>
      </c>
      <c r="N824" s="2950" t="s">
        <v>5166</v>
      </c>
      <c r="O824" s="2951">
        <v>0.05</v>
      </c>
      <c r="P824" s="2952">
        <f>K821*O824</f>
        <v>73343.56</v>
      </c>
      <c r="Q824" s="2975">
        <v>73343.56</v>
      </c>
      <c r="R824" s="2888" t="s">
        <v>4603</v>
      </c>
      <c r="S824" s="2976">
        <v>45555</v>
      </c>
      <c r="T824" s="2977">
        <v>73343.56</v>
      </c>
      <c r="U824" s="2976">
        <v>45555</v>
      </c>
      <c r="V824" s="2977">
        <v>73343.56</v>
      </c>
      <c r="W824" s="2988">
        <v>45642</v>
      </c>
      <c r="X824" s="2975">
        <v>73343.56</v>
      </c>
      <c r="Y824" s="2988">
        <v>45681</v>
      </c>
      <c r="Z824" s="2975">
        <f t="shared" si="33"/>
        <v>0</v>
      </c>
      <c r="AA824" s="2992"/>
      <c r="AB824" s="2992"/>
      <c r="AC824" s="3000"/>
      <c r="AD824" s="3001"/>
      <c r="AE824" s="3001"/>
      <c r="AF824" s="3001"/>
      <c r="AG824" s="3001"/>
      <c r="AH824" s="3001"/>
      <c r="AI824" s="3001"/>
    </row>
    <row r="825" s="6" customFormat="1" ht="46" spans="1:35">
      <c r="A825" s="2888"/>
      <c r="B825" s="2891"/>
      <c r="C825" s="2892"/>
      <c r="D825" s="2892"/>
      <c r="E825" s="2901"/>
      <c r="F825" s="2901"/>
      <c r="G825" s="2901"/>
      <c r="H825" s="2901"/>
      <c r="I825" s="2901"/>
      <c r="J825" s="2901"/>
      <c r="K825" s="2924"/>
      <c r="L825" s="2925"/>
      <c r="M825" s="2949">
        <v>5</v>
      </c>
      <c r="N825" s="2950" t="s">
        <v>5054</v>
      </c>
      <c r="O825" s="2953">
        <v>0.1</v>
      </c>
      <c r="P825" s="2952">
        <f>K821*O825</f>
        <v>146687.12</v>
      </c>
      <c r="Q825" s="2975">
        <v>146687.12</v>
      </c>
      <c r="R825" s="2888" t="s">
        <v>4603</v>
      </c>
      <c r="S825" s="2976">
        <v>45657</v>
      </c>
      <c r="T825" s="2977">
        <v>146687.12</v>
      </c>
      <c r="U825" s="2976">
        <v>45657</v>
      </c>
      <c r="V825" s="2987">
        <v>146687.12</v>
      </c>
      <c r="W825" s="2988">
        <v>45765</v>
      </c>
      <c r="X825" s="2989">
        <v>146687.12</v>
      </c>
      <c r="Y825" s="2976">
        <v>45777</v>
      </c>
      <c r="Z825" s="2975">
        <f t="shared" si="33"/>
        <v>0</v>
      </c>
      <c r="AA825" s="2992"/>
      <c r="AB825" s="2992"/>
      <c r="AC825" s="3000"/>
      <c r="AD825" s="3001"/>
      <c r="AE825" s="3001"/>
      <c r="AF825" s="3001"/>
      <c r="AG825" s="3001"/>
      <c r="AH825" s="3001"/>
      <c r="AI825" s="3001"/>
    </row>
    <row r="826" s="6" customFormat="1" ht="61" spans="1:35">
      <c r="A826" s="2888"/>
      <c r="B826" s="2891"/>
      <c r="C826" s="2892"/>
      <c r="D826" s="2892"/>
      <c r="E826" s="2901"/>
      <c r="F826" s="2901"/>
      <c r="G826" s="2901"/>
      <c r="H826" s="2901"/>
      <c r="I826" s="2901"/>
      <c r="J826" s="2901"/>
      <c r="K826" s="2924"/>
      <c r="L826" s="2925"/>
      <c r="M826" s="2949">
        <v>6</v>
      </c>
      <c r="N826" s="2950" t="s">
        <v>5167</v>
      </c>
      <c r="O826" s="2953">
        <v>0.05</v>
      </c>
      <c r="P826" s="2954">
        <f>K821*O826</f>
        <v>73343.56</v>
      </c>
      <c r="Q826" s="2975"/>
      <c r="R826" s="2888"/>
      <c r="S826" s="2976"/>
      <c r="T826" s="2978"/>
      <c r="U826" s="2976"/>
      <c r="V826" s="2987"/>
      <c r="W826" s="2988"/>
      <c r="X826" s="2975"/>
      <c r="Y826" s="2988"/>
      <c r="Z826" s="2975">
        <f t="shared" si="33"/>
        <v>0</v>
      </c>
      <c r="AA826" s="2992"/>
      <c r="AB826" s="2992"/>
      <c r="AC826" s="3000"/>
      <c r="AD826" s="3001"/>
      <c r="AE826" s="3001"/>
      <c r="AF826" s="3001"/>
      <c r="AG826" s="3001"/>
      <c r="AH826" s="3001"/>
      <c r="AI826" s="3001"/>
    </row>
    <row r="827" s="6" customFormat="1" ht="76" spans="1:35">
      <c r="A827" s="2888"/>
      <c r="B827" s="2893"/>
      <c r="C827" s="2894"/>
      <c r="D827" s="2894"/>
      <c r="E827" s="2902"/>
      <c r="F827" s="2902"/>
      <c r="G827" s="2902"/>
      <c r="H827" s="2902"/>
      <c r="I827" s="2902"/>
      <c r="J827" s="2902"/>
      <c r="K827" s="2926"/>
      <c r="L827" s="2927"/>
      <c r="M827" s="2949">
        <v>7</v>
      </c>
      <c r="N827" s="2950" t="s">
        <v>3325</v>
      </c>
      <c r="O827" s="2953">
        <v>0.1</v>
      </c>
      <c r="P827" s="2954">
        <f>K821*O827</f>
        <v>146687.12</v>
      </c>
      <c r="Q827" s="2975"/>
      <c r="R827" s="2888"/>
      <c r="S827" s="2976"/>
      <c r="T827" s="2978"/>
      <c r="U827" s="2976"/>
      <c r="V827" s="2987"/>
      <c r="W827" s="2988"/>
      <c r="X827" s="2975"/>
      <c r="Y827" s="2988"/>
      <c r="Z827" s="2975">
        <f t="shared" si="33"/>
        <v>0</v>
      </c>
      <c r="AA827" s="2992"/>
      <c r="AB827" s="2992"/>
      <c r="AC827" s="3000"/>
      <c r="AD827" s="3001"/>
      <c r="AE827" s="3001"/>
      <c r="AF827" s="3001"/>
      <c r="AG827" s="3001"/>
      <c r="AH827" s="3001"/>
      <c r="AI827" s="3001"/>
    </row>
    <row r="828" s="10" customFormat="1" ht="30" customHeight="1" spans="1:35">
      <c r="A828" s="393" t="s">
        <v>1951</v>
      </c>
      <c r="B828" s="799">
        <v>45542</v>
      </c>
      <c r="C828" s="1261" t="s">
        <v>5703</v>
      </c>
      <c r="D828" s="1261"/>
      <c r="E828" s="728" t="s">
        <v>5708</v>
      </c>
      <c r="F828" s="728" t="s">
        <v>5709</v>
      </c>
      <c r="G828" s="728" t="s">
        <v>3579</v>
      </c>
      <c r="H828" s="728" t="s">
        <v>5710</v>
      </c>
      <c r="I828" s="728" t="s">
        <v>2183</v>
      </c>
      <c r="J828" s="728">
        <v>42.5</v>
      </c>
      <c r="K828" s="1854">
        <v>875500</v>
      </c>
      <c r="L828" s="798" t="s">
        <v>126</v>
      </c>
      <c r="M828" s="418">
        <v>1</v>
      </c>
      <c r="N828" s="480" t="s">
        <v>5711</v>
      </c>
      <c r="O828" s="2930">
        <v>0.1</v>
      </c>
      <c r="P828" s="516">
        <f>K828*O828</f>
        <v>87550</v>
      </c>
      <c r="Q828" s="1856">
        <v>87550</v>
      </c>
      <c r="R828" s="393" t="s">
        <v>4603</v>
      </c>
      <c r="S828" s="2715">
        <v>45652</v>
      </c>
      <c r="T828" s="1856">
        <v>87550</v>
      </c>
      <c r="U828" s="2715">
        <v>45652</v>
      </c>
      <c r="V828" s="1856">
        <v>87550</v>
      </c>
      <c r="W828" s="2715">
        <v>45726</v>
      </c>
      <c r="X828" s="2980">
        <v>87550</v>
      </c>
      <c r="Y828" s="2715">
        <v>45744</v>
      </c>
      <c r="Z828" s="1856">
        <f t="shared" si="33"/>
        <v>0</v>
      </c>
      <c r="AA828" s="2993"/>
      <c r="AB828" s="2993"/>
      <c r="AC828" s="3002"/>
      <c r="AD828" s="3003"/>
      <c r="AE828" s="3003"/>
      <c r="AF828" s="3003"/>
      <c r="AG828" s="3003"/>
      <c r="AH828" s="3003"/>
      <c r="AI828" s="3003"/>
    </row>
    <row r="829" s="10" customFormat="1" ht="30" customHeight="1" spans="1:35">
      <c r="A829" s="393"/>
      <c r="B829" s="1782"/>
      <c r="C829" s="1263"/>
      <c r="D829" s="1263"/>
      <c r="E829" s="689"/>
      <c r="F829" s="689"/>
      <c r="G829" s="689"/>
      <c r="H829" s="689"/>
      <c r="I829" s="689"/>
      <c r="J829" s="689"/>
      <c r="K829" s="1888"/>
      <c r="L829" s="1304"/>
      <c r="M829" s="728">
        <v>2</v>
      </c>
      <c r="N829" s="728" t="s">
        <v>5712</v>
      </c>
      <c r="O829" s="2955">
        <v>0.35</v>
      </c>
      <c r="P829" s="797">
        <f>K828*O829</f>
        <v>306425</v>
      </c>
      <c r="Q829" s="1854">
        <v>306425</v>
      </c>
      <c r="R829" s="798" t="s">
        <v>4603</v>
      </c>
      <c r="S829" s="2718">
        <v>45652</v>
      </c>
      <c r="T829" s="1854">
        <v>306425</v>
      </c>
      <c r="U829" s="2718">
        <v>45652</v>
      </c>
      <c r="V829" s="600">
        <v>200000</v>
      </c>
      <c r="W829" s="2715">
        <v>45706</v>
      </c>
      <c r="X829" s="2008">
        <v>200000</v>
      </c>
      <c r="Y829" s="2715">
        <v>45716</v>
      </c>
      <c r="Z829" s="1856">
        <f t="shared" si="33"/>
        <v>106425</v>
      </c>
      <c r="AA829" s="2993"/>
      <c r="AB829" s="2993"/>
      <c r="AC829" s="3002"/>
      <c r="AD829" s="3003"/>
      <c r="AE829" s="3003"/>
      <c r="AF829" s="3003"/>
      <c r="AG829" s="3003"/>
      <c r="AH829" s="3003"/>
      <c r="AI829" s="3003"/>
    </row>
    <row r="830" s="10" customFormat="1" ht="30" customHeight="1" spans="1:35">
      <c r="A830" s="393"/>
      <c r="B830" s="1782"/>
      <c r="C830" s="1263"/>
      <c r="D830" s="1263"/>
      <c r="E830" s="689"/>
      <c r="F830" s="689"/>
      <c r="G830" s="689"/>
      <c r="H830" s="689"/>
      <c r="I830" s="689"/>
      <c r="J830" s="689"/>
      <c r="K830" s="1888"/>
      <c r="L830" s="1304"/>
      <c r="M830" s="691"/>
      <c r="N830" s="691"/>
      <c r="O830" s="2956"/>
      <c r="P830" s="800"/>
      <c r="Q830" s="1889"/>
      <c r="R830" s="801"/>
      <c r="S830" s="2979"/>
      <c r="T830" s="1889"/>
      <c r="U830" s="2979"/>
      <c r="V830" s="600">
        <f>T829-V829</f>
        <v>106425</v>
      </c>
      <c r="W830" s="2715">
        <v>45726</v>
      </c>
      <c r="X830" s="2008">
        <v>106425</v>
      </c>
      <c r="Y830" s="2715">
        <v>45744</v>
      </c>
      <c r="Z830" s="1856">
        <f t="shared" si="33"/>
        <v>-106425</v>
      </c>
      <c r="AA830" s="2993"/>
      <c r="AB830" s="2993"/>
      <c r="AC830" s="3002"/>
      <c r="AD830" s="3003"/>
      <c r="AE830" s="3003"/>
      <c r="AF830" s="3003"/>
      <c r="AG830" s="3003"/>
      <c r="AH830" s="3003"/>
      <c r="AI830" s="3003"/>
    </row>
    <row r="831" s="10" customFormat="1" ht="30" customHeight="1" spans="1:35">
      <c r="A831" s="393"/>
      <c r="B831" s="1782"/>
      <c r="C831" s="1263"/>
      <c r="D831" s="1263"/>
      <c r="E831" s="689"/>
      <c r="F831" s="689"/>
      <c r="G831" s="689"/>
      <c r="H831" s="689"/>
      <c r="I831" s="689"/>
      <c r="J831" s="689"/>
      <c r="K831" s="1888"/>
      <c r="L831" s="1304"/>
      <c r="M831" s="418">
        <v>3</v>
      </c>
      <c r="N831" s="480" t="s">
        <v>5713</v>
      </c>
      <c r="O831" s="2930">
        <v>0.15</v>
      </c>
      <c r="P831" s="516">
        <f>K828*O831</f>
        <v>131325</v>
      </c>
      <c r="Q831" s="1856">
        <v>131325</v>
      </c>
      <c r="R831" s="393" t="s">
        <v>4603</v>
      </c>
      <c r="S831" s="2715">
        <v>45652</v>
      </c>
      <c r="T831" s="1856">
        <v>131325</v>
      </c>
      <c r="U831" s="2715">
        <v>45652</v>
      </c>
      <c r="V831" s="1856">
        <v>131325</v>
      </c>
      <c r="W831" s="2715">
        <v>45726</v>
      </c>
      <c r="X831" s="2980">
        <v>131325</v>
      </c>
      <c r="Y831" s="2715">
        <v>45744</v>
      </c>
      <c r="Z831" s="1856">
        <f t="shared" si="33"/>
        <v>0</v>
      </c>
      <c r="AA831" s="2993"/>
      <c r="AB831" s="2993"/>
      <c r="AC831" s="3002"/>
      <c r="AD831" s="3003"/>
      <c r="AE831" s="3003"/>
      <c r="AF831" s="3003"/>
      <c r="AG831" s="3003"/>
      <c r="AH831" s="3003"/>
      <c r="AI831" s="3003"/>
    </row>
    <row r="832" s="10" customFormat="1" ht="30" customHeight="1" spans="1:35">
      <c r="A832" s="393"/>
      <c r="B832" s="1782"/>
      <c r="C832" s="1263"/>
      <c r="D832" s="1263"/>
      <c r="E832" s="689"/>
      <c r="F832" s="689"/>
      <c r="G832" s="689"/>
      <c r="H832" s="689"/>
      <c r="I832" s="689"/>
      <c r="J832" s="689"/>
      <c r="K832" s="1888"/>
      <c r="L832" s="1304"/>
      <c r="M832" s="418">
        <v>4</v>
      </c>
      <c r="N832" s="480" t="s">
        <v>5714</v>
      </c>
      <c r="O832" s="2930">
        <v>0.25</v>
      </c>
      <c r="P832" s="516">
        <f>K828*O832</f>
        <v>218875</v>
      </c>
      <c r="Q832" s="1856">
        <v>218875</v>
      </c>
      <c r="R832" s="393" t="s">
        <v>4603</v>
      </c>
      <c r="S832" s="2715">
        <v>45652</v>
      </c>
      <c r="T832" s="1856">
        <v>218875</v>
      </c>
      <c r="U832" s="2715">
        <v>45652</v>
      </c>
      <c r="V832" s="1856">
        <v>218875</v>
      </c>
      <c r="W832" s="2715">
        <v>45726</v>
      </c>
      <c r="X832" s="2980">
        <v>218875</v>
      </c>
      <c r="Y832" s="2715">
        <v>45744</v>
      </c>
      <c r="Z832" s="1856">
        <f t="shared" si="33"/>
        <v>0</v>
      </c>
      <c r="AA832" s="2993"/>
      <c r="AB832" s="2993"/>
      <c r="AC832" s="3002"/>
      <c r="AD832" s="3003"/>
      <c r="AE832" s="3003"/>
      <c r="AF832" s="3003"/>
      <c r="AG832" s="3003"/>
      <c r="AH832" s="3003"/>
      <c r="AI832" s="3003"/>
    </row>
    <row r="833" s="6" customFormat="1" ht="30" customHeight="1" spans="1:35">
      <c r="A833" s="393"/>
      <c r="B833" s="2760"/>
      <c r="C833" s="1738"/>
      <c r="D833" s="1738"/>
      <c r="E833" s="691"/>
      <c r="F833" s="691"/>
      <c r="G833" s="691"/>
      <c r="H833" s="691"/>
      <c r="I833" s="691"/>
      <c r="J833" s="691"/>
      <c r="K833" s="2904"/>
      <c r="L833" s="801"/>
      <c r="M833" s="418">
        <v>5</v>
      </c>
      <c r="N833" s="480" t="s">
        <v>5715</v>
      </c>
      <c r="O833" s="481">
        <v>0.15</v>
      </c>
      <c r="P833" s="2621">
        <f>K828*O833</f>
        <v>131325</v>
      </c>
      <c r="Q833" s="2683"/>
      <c r="R833" s="519"/>
      <c r="S833" s="2819"/>
      <c r="T833" s="2682"/>
      <c r="U833" s="2715"/>
      <c r="V833" s="2716"/>
      <c r="W833" s="2717"/>
      <c r="X833" s="1856"/>
      <c r="Y833" s="2717"/>
      <c r="Z833" s="1856">
        <f t="shared" si="33"/>
        <v>0</v>
      </c>
      <c r="AA833" s="2735"/>
      <c r="AB833" s="2735"/>
      <c r="AC833" s="2749"/>
      <c r="AD833" s="2750"/>
      <c r="AE833" s="2750"/>
      <c r="AF833" s="2750"/>
      <c r="AG833" s="2750"/>
      <c r="AH833" s="2750"/>
      <c r="AI833" s="2750"/>
    </row>
    <row r="834" s="6" customFormat="1" ht="46" spans="1:35">
      <c r="A834" s="428" t="s">
        <v>1951</v>
      </c>
      <c r="B834" s="377">
        <v>45468</v>
      </c>
      <c r="C834" s="378" t="s">
        <v>5703</v>
      </c>
      <c r="D834" s="378"/>
      <c r="E834" s="407" t="s">
        <v>5716</v>
      </c>
      <c r="F834" s="407" t="s">
        <v>5717</v>
      </c>
      <c r="G834" s="407" t="s">
        <v>5718</v>
      </c>
      <c r="H834" s="407" t="s">
        <v>5128</v>
      </c>
      <c r="I834" s="407" t="s">
        <v>5719</v>
      </c>
      <c r="J834" s="407" t="s">
        <v>5720</v>
      </c>
      <c r="K834" s="3019">
        <v>610710.3</v>
      </c>
      <c r="L834" s="501" t="s">
        <v>126</v>
      </c>
      <c r="M834" s="413">
        <v>1</v>
      </c>
      <c r="N834" s="3030" t="s">
        <v>5075</v>
      </c>
      <c r="O834" s="457">
        <v>0.15</v>
      </c>
      <c r="P834" s="3031">
        <f>K834*O834</f>
        <v>91606.545</v>
      </c>
      <c r="Q834" s="1916">
        <v>91606.545</v>
      </c>
      <c r="R834" s="428" t="s">
        <v>4603</v>
      </c>
      <c r="S834" s="1126">
        <v>45555</v>
      </c>
      <c r="T834" s="3057">
        <v>91606.545</v>
      </c>
      <c r="U834" s="1126">
        <v>45555</v>
      </c>
      <c r="V834" s="3057">
        <v>91606.545</v>
      </c>
      <c r="W834" s="3090">
        <v>45614</v>
      </c>
      <c r="X834" s="1916">
        <v>91606.545</v>
      </c>
      <c r="Y834" s="3090">
        <v>45624</v>
      </c>
      <c r="Z834" s="3057">
        <f t="shared" si="33"/>
        <v>0</v>
      </c>
      <c r="AA834" s="7"/>
      <c r="AB834" s="7"/>
      <c r="AC834" s="3115"/>
      <c r="AD834" s="769"/>
      <c r="AE834" s="769"/>
      <c r="AF834" s="769"/>
      <c r="AG834" s="769"/>
      <c r="AH834" s="769"/>
      <c r="AI834" s="769"/>
    </row>
    <row r="835" s="6" customFormat="1" ht="26.25" customHeight="1" spans="1:35">
      <c r="A835" s="428"/>
      <c r="B835" s="380"/>
      <c r="C835" s="657"/>
      <c r="D835" s="657"/>
      <c r="E835" s="409"/>
      <c r="F835" s="409"/>
      <c r="G835" s="409"/>
      <c r="H835" s="409"/>
      <c r="I835" s="409"/>
      <c r="J835" s="409"/>
      <c r="K835" s="3020"/>
      <c r="L835" s="433"/>
      <c r="M835" s="413">
        <v>2</v>
      </c>
      <c r="N835" s="3030" t="s">
        <v>5683</v>
      </c>
      <c r="O835" s="457">
        <v>0.25</v>
      </c>
      <c r="P835" s="3031">
        <f>K834*O835</f>
        <v>152677.575</v>
      </c>
      <c r="Q835" s="1916">
        <v>152677.575</v>
      </c>
      <c r="R835" s="428" t="s">
        <v>4603</v>
      </c>
      <c r="S835" s="1126">
        <v>45555</v>
      </c>
      <c r="T835" s="3057">
        <v>152677.575</v>
      </c>
      <c r="U835" s="1126">
        <v>45555</v>
      </c>
      <c r="V835" s="3057">
        <v>152677.575</v>
      </c>
      <c r="W835" s="3090">
        <v>45614</v>
      </c>
      <c r="X835" s="1916">
        <v>152677.575</v>
      </c>
      <c r="Y835" s="3090">
        <v>45624</v>
      </c>
      <c r="Z835" s="3057">
        <f t="shared" si="33"/>
        <v>0</v>
      </c>
      <c r="AA835" s="7"/>
      <c r="AB835" s="7"/>
      <c r="AC835" s="3115"/>
      <c r="AD835" s="769"/>
      <c r="AE835" s="769"/>
      <c r="AF835" s="769"/>
      <c r="AG835" s="769"/>
      <c r="AH835" s="769"/>
      <c r="AI835" s="769"/>
    </row>
    <row r="836" s="6" customFormat="1" ht="26.25" customHeight="1" spans="1:35">
      <c r="A836" s="428"/>
      <c r="B836" s="380"/>
      <c r="C836" s="657"/>
      <c r="D836" s="657"/>
      <c r="E836" s="409"/>
      <c r="F836" s="409"/>
      <c r="G836" s="409"/>
      <c r="H836" s="409"/>
      <c r="I836" s="409"/>
      <c r="J836" s="409"/>
      <c r="K836" s="3020"/>
      <c r="L836" s="433"/>
      <c r="M836" s="413">
        <v>3</v>
      </c>
      <c r="N836" s="3030" t="s">
        <v>5684</v>
      </c>
      <c r="O836" s="457">
        <v>0.2</v>
      </c>
      <c r="P836" s="3031">
        <f>K834*O836</f>
        <v>122142.06</v>
      </c>
      <c r="Q836" s="1916">
        <v>122142.06</v>
      </c>
      <c r="R836" s="428" t="s">
        <v>4603</v>
      </c>
      <c r="S836" s="1126">
        <v>45555</v>
      </c>
      <c r="T836" s="3057">
        <v>122142.06</v>
      </c>
      <c r="U836" s="1126">
        <v>45555</v>
      </c>
      <c r="V836" s="3057">
        <v>122142.06</v>
      </c>
      <c r="W836" s="3090">
        <v>45614</v>
      </c>
      <c r="X836" s="1916">
        <v>122142.06</v>
      </c>
      <c r="Y836" s="3090">
        <v>45624</v>
      </c>
      <c r="Z836" s="3057">
        <f t="shared" si="33"/>
        <v>0</v>
      </c>
      <c r="AA836" s="7"/>
      <c r="AB836" s="7"/>
      <c r="AC836" s="3115"/>
      <c r="AD836" s="769"/>
      <c r="AE836" s="769"/>
      <c r="AF836" s="769"/>
      <c r="AG836" s="769"/>
      <c r="AH836" s="769"/>
      <c r="AI836" s="769"/>
    </row>
    <row r="837" s="6" customFormat="1" ht="26.25" customHeight="1" spans="1:35">
      <c r="A837" s="428"/>
      <c r="B837" s="380"/>
      <c r="C837" s="657"/>
      <c r="D837" s="657"/>
      <c r="E837" s="409"/>
      <c r="F837" s="409"/>
      <c r="G837" s="409"/>
      <c r="H837" s="409"/>
      <c r="I837" s="409"/>
      <c r="J837" s="409"/>
      <c r="K837" s="3020"/>
      <c r="L837" s="433"/>
      <c r="M837" s="413">
        <v>4</v>
      </c>
      <c r="N837" s="3030" t="s">
        <v>5685</v>
      </c>
      <c r="O837" s="457">
        <v>0.2</v>
      </c>
      <c r="P837" s="3031">
        <f>K834*O837</f>
        <v>122142.06</v>
      </c>
      <c r="Q837" s="1916">
        <v>122142.06</v>
      </c>
      <c r="R837" s="428" t="s">
        <v>4603</v>
      </c>
      <c r="S837" s="1126">
        <v>45555</v>
      </c>
      <c r="T837" s="3057">
        <v>122142.06</v>
      </c>
      <c r="U837" s="1126">
        <v>45555</v>
      </c>
      <c r="V837" s="3091">
        <v>122142.06</v>
      </c>
      <c r="W837" s="3090">
        <v>45642</v>
      </c>
      <c r="X837" s="3031">
        <v>122142.06</v>
      </c>
      <c r="Y837" s="3090">
        <v>45656</v>
      </c>
      <c r="Z837" s="3057">
        <f t="shared" si="33"/>
        <v>0</v>
      </c>
      <c r="AA837" s="7"/>
      <c r="AB837" s="7"/>
      <c r="AC837" s="3115"/>
      <c r="AD837" s="769"/>
      <c r="AE837" s="769"/>
      <c r="AF837" s="769"/>
      <c r="AG837" s="769"/>
      <c r="AH837" s="769"/>
      <c r="AI837" s="769"/>
    </row>
    <row r="838" s="6" customFormat="1" ht="26.25" customHeight="1" spans="1:35">
      <c r="A838" s="428"/>
      <c r="B838" s="380"/>
      <c r="C838" s="657"/>
      <c r="D838" s="657"/>
      <c r="E838" s="409"/>
      <c r="F838" s="409"/>
      <c r="G838" s="409"/>
      <c r="H838" s="409"/>
      <c r="I838" s="409"/>
      <c r="J838" s="409"/>
      <c r="K838" s="3020"/>
      <c r="L838" s="433"/>
      <c r="M838" s="407">
        <v>5</v>
      </c>
      <c r="N838" s="3030" t="s">
        <v>5721</v>
      </c>
      <c r="O838" s="3032">
        <v>0.05</v>
      </c>
      <c r="P838" s="3033">
        <f>K834*O838</f>
        <v>30535.515</v>
      </c>
      <c r="Q838" s="1916">
        <v>13699.65</v>
      </c>
      <c r="R838" s="428" t="s">
        <v>4603</v>
      </c>
      <c r="S838" s="1126">
        <v>45555</v>
      </c>
      <c r="T838" s="3057">
        <v>13699.65</v>
      </c>
      <c r="U838" s="1126">
        <v>45555</v>
      </c>
      <c r="V838" s="3091">
        <v>13699.65</v>
      </c>
      <c r="W838" s="3090">
        <v>45642</v>
      </c>
      <c r="X838" s="3031">
        <v>13699.65</v>
      </c>
      <c r="Y838" s="3090">
        <v>45656</v>
      </c>
      <c r="Z838" s="3057">
        <f t="shared" si="33"/>
        <v>0</v>
      </c>
      <c r="AA838" s="7"/>
      <c r="AB838" s="7"/>
      <c r="AC838" s="3115"/>
      <c r="AD838" s="769"/>
      <c r="AE838" s="769"/>
      <c r="AF838" s="769"/>
      <c r="AG838" s="769"/>
      <c r="AH838" s="769"/>
      <c r="AI838" s="769"/>
    </row>
    <row r="839" s="6" customFormat="1" ht="26.25" customHeight="1" spans="1:35">
      <c r="A839" s="428"/>
      <c r="B839" s="380"/>
      <c r="C839" s="657"/>
      <c r="D839" s="657"/>
      <c r="E839" s="409"/>
      <c r="F839" s="409"/>
      <c r="G839" s="409"/>
      <c r="H839" s="409"/>
      <c r="I839" s="409"/>
      <c r="J839" s="409"/>
      <c r="K839" s="3020"/>
      <c r="L839" s="433"/>
      <c r="M839" s="411"/>
      <c r="N839" s="3030" t="s">
        <v>5722</v>
      </c>
      <c r="O839" s="465"/>
      <c r="P839" s="3034"/>
      <c r="Q839" s="1916"/>
      <c r="R839" s="428"/>
      <c r="S839" s="1126"/>
      <c r="T839" s="3058"/>
      <c r="U839" s="1126"/>
      <c r="V839" s="3091"/>
      <c r="W839" s="3090"/>
      <c r="X839" s="1916"/>
      <c r="Y839" s="3090"/>
      <c r="Z839" s="3057">
        <f t="shared" si="33"/>
        <v>0</v>
      </c>
      <c r="AA839" s="7"/>
      <c r="AB839" s="7"/>
      <c r="AC839" s="3115"/>
      <c r="AD839" s="769"/>
      <c r="AE839" s="769"/>
      <c r="AF839" s="769"/>
      <c r="AG839" s="769"/>
      <c r="AH839" s="769"/>
      <c r="AI839" s="769"/>
    </row>
    <row r="840" s="6" customFormat="1" ht="26.25" customHeight="1" spans="1:35">
      <c r="A840" s="428"/>
      <c r="B840" s="380"/>
      <c r="C840" s="657"/>
      <c r="D840" s="657"/>
      <c r="E840" s="409"/>
      <c r="F840" s="409"/>
      <c r="G840" s="409"/>
      <c r="H840" s="409"/>
      <c r="I840" s="409"/>
      <c r="J840" s="409"/>
      <c r="K840" s="3020"/>
      <c r="L840" s="433"/>
      <c r="M840" s="413">
        <v>6</v>
      </c>
      <c r="N840" s="3030" t="s">
        <v>5151</v>
      </c>
      <c r="O840" s="457">
        <v>0.05</v>
      </c>
      <c r="P840" s="3031">
        <f>K834*O840</f>
        <v>30535.515</v>
      </c>
      <c r="Q840" s="1916"/>
      <c r="R840" s="428"/>
      <c r="S840" s="1126"/>
      <c r="T840" s="3058"/>
      <c r="U840" s="1126"/>
      <c r="V840" s="3091"/>
      <c r="W840" s="3090"/>
      <c r="X840" s="1916"/>
      <c r="Y840" s="3090"/>
      <c r="Z840" s="3057">
        <f t="shared" si="33"/>
        <v>0</v>
      </c>
      <c r="AA840" s="7"/>
      <c r="AB840" s="7"/>
      <c r="AC840" s="3115"/>
      <c r="AD840" s="769"/>
      <c r="AE840" s="769"/>
      <c r="AF840" s="769"/>
      <c r="AG840" s="769"/>
      <c r="AH840" s="769"/>
      <c r="AI840" s="769"/>
    </row>
    <row r="841" s="6" customFormat="1" ht="107" spans="1:35">
      <c r="A841" s="428"/>
      <c r="B841" s="380"/>
      <c r="C841" s="657"/>
      <c r="D841" s="657"/>
      <c r="E841" s="409"/>
      <c r="F841" s="409"/>
      <c r="G841" s="409"/>
      <c r="H841" s="409"/>
      <c r="I841" s="409"/>
      <c r="J841" s="409"/>
      <c r="K841" s="3021"/>
      <c r="L841" s="433"/>
      <c r="M841" s="413">
        <v>7</v>
      </c>
      <c r="N841" s="3030" t="s">
        <v>5643</v>
      </c>
      <c r="O841" s="457">
        <v>0.1</v>
      </c>
      <c r="P841" s="3031">
        <f>K834*O841</f>
        <v>61071.03</v>
      </c>
      <c r="Q841" s="1916"/>
      <c r="R841" s="428"/>
      <c r="S841" s="1126"/>
      <c r="T841" s="3058"/>
      <c r="U841" s="1126"/>
      <c r="V841" s="3091"/>
      <c r="W841" s="3090"/>
      <c r="X841" s="1916"/>
      <c r="Y841" s="3090"/>
      <c r="Z841" s="3057">
        <f t="shared" si="33"/>
        <v>0</v>
      </c>
      <c r="AA841" s="7"/>
      <c r="AB841" s="7"/>
      <c r="AC841" s="3115"/>
      <c r="AD841" s="769"/>
      <c r="AE841" s="769"/>
      <c r="AF841" s="769"/>
      <c r="AG841" s="769"/>
      <c r="AH841" s="769"/>
      <c r="AI841" s="769"/>
    </row>
    <row r="842" s="6" customFormat="1" ht="26.25" customHeight="1" spans="1:35">
      <c r="A842" s="428"/>
      <c r="B842" s="380"/>
      <c r="C842" s="657"/>
      <c r="D842" s="657"/>
      <c r="E842" s="409"/>
      <c r="F842" s="409"/>
      <c r="G842" s="409"/>
      <c r="H842" s="409"/>
      <c r="I842" s="409"/>
      <c r="J842" s="409"/>
      <c r="K842" s="3019">
        <v>225200</v>
      </c>
      <c r="L842" s="433"/>
      <c r="M842" s="413">
        <v>1</v>
      </c>
      <c r="N842" s="3030" t="s">
        <v>5075</v>
      </c>
      <c r="O842" s="457">
        <v>0.15</v>
      </c>
      <c r="P842" s="3031">
        <f>K842*O842</f>
        <v>33780</v>
      </c>
      <c r="Q842" s="1916">
        <v>33780</v>
      </c>
      <c r="R842" s="428" t="s">
        <v>4603</v>
      </c>
      <c r="S842" s="1126">
        <v>45791</v>
      </c>
      <c r="T842" s="1916">
        <v>33780</v>
      </c>
      <c r="U842" s="1126">
        <v>45791</v>
      </c>
      <c r="V842" s="3091">
        <v>33780</v>
      </c>
      <c r="W842" s="3090">
        <v>45791</v>
      </c>
      <c r="X842" s="3092">
        <v>33780</v>
      </c>
      <c r="Y842" s="3090">
        <v>45806</v>
      </c>
      <c r="Z842" s="3057">
        <f t="shared" si="33"/>
        <v>0</v>
      </c>
      <c r="AA842" s="7"/>
      <c r="AB842" s="7"/>
      <c r="AC842" s="3115"/>
      <c r="AD842" s="769"/>
      <c r="AE842" s="769"/>
      <c r="AF842" s="769"/>
      <c r="AG842" s="769"/>
      <c r="AH842" s="769"/>
      <c r="AI842" s="769"/>
    </row>
    <row r="843" s="6" customFormat="1" ht="26.25" customHeight="1" spans="1:35">
      <c r="A843" s="428"/>
      <c r="B843" s="380"/>
      <c r="C843" s="657"/>
      <c r="D843" s="657"/>
      <c r="E843" s="409"/>
      <c r="F843" s="409"/>
      <c r="G843" s="409"/>
      <c r="H843" s="409"/>
      <c r="I843" s="409"/>
      <c r="J843" s="409"/>
      <c r="K843" s="3020"/>
      <c r="L843" s="433"/>
      <c r="M843" s="413">
        <v>2</v>
      </c>
      <c r="N843" s="3030" t="s">
        <v>5683</v>
      </c>
      <c r="O843" s="457">
        <v>0.25</v>
      </c>
      <c r="P843" s="3031">
        <f>K842*O843</f>
        <v>56300</v>
      </c>
      <c r="Q843" s="1916">
        <v>56300</v>
      </c>
      <c r="R843" s="428" t="s">
        <v>4603</v>
      </c>
      <c r="S843" s="1126">
        <v>45791</v>
      </c>
      <c r="T843" s="1916">
        <v>56300</v>
      </c>
      <c r="U843" s="1126">
        <v>45791</v>
      </c>
      <c r="V843" s="3091">
        <v>56300</v>
      </c>
      <c r="W843" s="3090">
        <v>45791</v>
      </c>
      <c r="X843" s="3092">
        <v>56300</v>
      </c>
      <c r="Y843" s="3090">
        <v>45806</v>
      </c>
      <c r="Z843" s="3057">
        <f t="shared" si="33"/>
        <v>0</v>
      </c>
      <c r="AA843" s="7"/>
      <c r="AB843" s="7"/>
      <c r="AC843" s="3115"/>
      <c r="AD843" s="769"/>
      <c r="AE843" s="769"/>
      <c r="AF843" s="769"/>
      <c r="AG843" s="769"/>
      <c r="AH843" s="769"/>
      <c r="AI843" s="769"/>
    </row>
    <row r="844" s="6" customFormat="1" ht="26.25" customHeight="1" spans="1:35">
      <c r="A844" s="428"/>
      <c r="B844" s="380"/>
      <c r="C844" s="657"/>
      <c r="D844" s="657"/>
      <c r="E844" s="409"/>
      <c r="F844" s="409"/>
      <c r="G844" s="409"/>
      <c r="H844" s="409"/>
      <c r="I844" s="409"/>
      <c r="J844" s="409"/>
      <c r="K844" s="3020"/>
      <c r="L844" s="433"/>
      <c r="M844" s="413">
        <v>3</v>
      </c>
      <c r="N844" s="3030" t="s">
        <v>5684</v>
      </c>
      <c r="O844" s="457">
        <v>0.2</v>
      </c>
      <c r="P844" s="3031">
        <f>K842*O844</f>
        <v>45040</v>
      </c>
      <c r="Q844" s="1916">
        <v>45040</v>
      </c>
      <c r="R844" s="428" t="s">
        <v>4603</v>
      </c>
      <c r="S844" s="1126">
        <v>45791</v>
      </c>
      <c r="T844" s="1916">
        <v>45040</v>
      </c>
      <c r="U844" s="1126">
        <v>45791</v>
      </c>
      <c r="V844" s="3091">
        <v>45040</v>
      </c>
      <c r="W844" s="3090">
        <v>45791</v>
      </c>
      <c r="X844" s="3092">
        <v>45040</v>
      </c>
      <c r="Y844" s="3090">
        <v>45806</v>
      </c>
      <c r="Z844" s="3057">
        <f t="shared" si="33"/>
        <v>0</v>
      </c>
      <c r="AA844" s="7"/>
      <c r="AB844" s="7"/>
      <c r="AC844" s="3115"/>
      <c r="AD844" s="769"/>
      <c r="AE844" s="769"/>
      <c r="AF844" s="769"/>
      <c r="AG844" s="769"/>
      <c r="AH844" s="769"/>
      <c r="AI844" s="769"/>
    </row>
    <row r="845" s="6" customFormat="1" ht="26.25" customHeight="1" spans="1:35">
      <c r="A845" s="428"/>
      <c r="B845" s="380"/>
      <c r="C845" s="657"/>
      <c r="D845" s="657"/>
      <c r="E845" s="409"/>
      <c r="F845" s="409"/>
      <c r="G845" s="409"/>
      <c r="H845" s="409"/>
      <c r="I845" s="409"/>
      <c r="J845" s="409"/>
      <c r="K845" s="3020"/>
      <c r="L845" s="433"/>
      <c r="M845" s="413">
        <v>4</v>
      </c>
      <c r="N845" s="3030" t="s">
        <v>5685</v>
      </c>
      <c r="O845" s="457">
        <v>0.2</v>
      </c>
      <c r="P845" s="3031">
        <f>K842*O845</f>
        <v>45040</v>
      </c>
      <c r="Q845" s="1916">
        <v>45040</v>
      </c>
      <c r="R845" s="428" t="s">
        <v>4603</v>
      </c>
      <c r="S845" s="1126">
        <v>45791</v>
      </c>
      <c r="T845" s="1916">
        <v>45040</v>
      </c>
      <c r="U845" s="1126">
        <v>45791</v>
      </c>
      <c r="V845" s="3091">
        <v>45040</v>
      </c>
      <c r="W845" s="3090">
        <v>45791</v>
      </c>
      <c r="X845" s="3092">
        <v>45040</v>
      </c>
      <c r="Y845" s="3090">
        <v>45806</v>
      </c>
      <c r="Z845" s="3057">
        <f t="shared" si="33"/>
        <v>0</v>
      </c>
      <c r="AA845" s="7"/>
      <c r="AB845" s="7"/>
      <c r="AC845" s="3115"/>
      <c r="AD845" s="769"/>
      <c r="AE845" s="769"/>
      <c r="AF845" s="769"/>
      <c r="AG845" s="769"/>
      <c r="AH845" s="769"/>
      <c r="AI845" s="769"/>
    </row>
    <row r="846" s="6" customFormat="1" ht="26.25" customHeight="1" spans="1:35">
      <c r="A846" s="428"/>
      <c r="B846" s="380"/>
      <c r="C846" s="657"/>
      <c r="D846" s="657"/>
      <c r="E846" s="409"/>
      <c r="F846" s="409"/>
      <c r="G846" s="409"/>
      <c r="H846" s="409"/>
      <c r="I846" s="409"/>
      <c r="J846" s="409"/>
      <c r="K846" s="3020"/>
      <c r="L846" s="433"/>
      <c r="M846" s="413">
        <v>5</v>
      </c>
      <c r="N846" s="3030" t="s">
        <v>5723</v>
      </c>
      <c r="O846" s="457">
        <v>0.05</v>
      </c>
      <c r="P846" s="3031">
        <f>K842*O846</f>
        <v>11260</v>
      </c>
      <c r="Q846" s="1916"/>
      <c r="R846" s="428"/>
      <c r="S846" s="1126"/>
      <c r="T846" s="3058"/>
      <c r="U846" s="1126"/>
      <c r="V846" s="3091"/>
      <c r="W846" s="3090"/>
      <c r="X846" s="1916"/>
      <c r="Y846" s="3090"/>
      <c r="Z846" s="3057">
        <f t="shared" si="33"/>
        <v>0</v>
      </c>
      <c r="AA846" s="7"/>
      <c r="AB846" s="7"/>
      <c r="AC846" s="3115"/>
      <c r="AD846" s="769"/>
      <c r="AE846" s="769"/>
      <c r="AF846" s="769"/>
      <c r="AG846" s="769"/>
      <c r="AH846" s="769"/>
      <c r="AI846" s="769"/>
    </row>
    <row r="847" s="6" customFormat="1" ht="26.25" customHeight="1" spans="1:35">
      <c r="A847" s="428"/>
      <c r="B847" s="380"/>
      <c r="C847" s="657"/>
      <c r="D847" s="657"/>
      <c r="E847" s="409"/>
      <c r="F847" s="409"/>
      <c r="G847" s="409"/>
      <c r="H847" s="409"/>
      <c r="I847" s="409"/>
      <c r="J847" s="409"/>
      <c r="K847" s="3020"/>
      <c r="L847" s="433"/>
      <c r="M847" s="413">
        <v>6</v>
      </c>
      <c r="N847" s="3030" t="s">
        <v>5151</v>
      </c>
      <c r="O847" s="457">
        <v>0.05</v>
      </c>
      <c r="P847" s="3031">
        <f>K842*O847</f>
        <v>11260</v>
      </c>
      <c r="Q847" s="1916"/>
      <c r="R847" s="428"/>
      <c r="S847" s="1126"/>
      <c r="T847" s="3058"/>
      <c r="U847" s="1126"/>
      <c r="V847" s="3091"/>
      <c r="W847" s="3090"/>
      <c r="X847" s="1916"/>
      <c r="Y847" s="3090"/>
      <c r="Z847" s="3057">
        <f t="shared" si="33"/>
        <v>0</v>
      </c>
      <c r="AA847" s="7"/>
      <c r="AB847" s="7"/>
      <c r="AC847" s="3115"/>
      <c r="AD847" s="769"/>
      <c r="AE847" s="769"/>
      <c r="AF847" s="769"/>
      <c r="AG847" s="769"/>
      <c r="AH847" s="769"/>
      <c r="AI847" s="769"/>
    </row>
    <row r="848" s="6" customFormat="1" ht="107" spans="1:35">
      <c r="A848" s="428"/>
      <c r="B848" s="383"/>
      <c r="C848" s="3004"/>
      <c r="D848" s="3004"/>
      <c r="E848" s="411"/>
      <c r="F848" s="411"/>
      <c r="G848" s="411"/>
      <c r="H848" s="411"/>
      <c r="I848" s="411"/>
      <c r="J848" s="411"/>
      <c r="K848" s="3021"/>
      <c r="L848" s="503"/>
      <c r="M848" s="413">
        <v>7</v>
      </c>
      <c r="N848" s="3030" t="s">
        <v>5643</v>
      </c>
      <c r="O848" s="457">
        <v>0.1</v>
      </c>
      <c r="P848" s="3031">
        <f>K842*O848</f>
        <v>22520</v>
      </c>
      <c r="Q848" s="1916"/>
      <c r="R848" s="428"/>
      <c r="S848" s="1126"/>
      <c r="T848" s="3058"/>
      <c r="U848" s="1126"/>
      <c r="V848" s="3091"/>
      <c r="W848" s="3090"/>
      <c r="X848" s="1916"/>
      <c r="Y848" s="3090"/>
      <c r="Z848" s="3057">
        <f t="shared" si="33"/>
        <v>0</v>
      </c>
      <c r="AA848" s="7"/>
      <c r="AB848" s="7"/>
      <c r="AC848" s="3115"/>
      <c r="AD848" s="769"/>
      <c r="AE848" s="769"/>
      <c r="AF848" s="769"/>
      <c r="AG848" s="769"/>
      <c r="AH848" s="769"/>
      <c r="AI848" s="769"/>
    </row>
    <row r="849" s="6" customFormat="1" ht="92" spans="1:35">
      <c r="A849" s="393" t="s">
        <v>1951</v>
      </c>
      <c r="B849" s="2540">
        <v>45485</v>
      </c>
      <c r="C849" s="1261" t="s">
        <v>5703</v>
      </c>
      <c r="D849" s="1261"/>
      <c r="E849" s="728" t="s">
        <v>5724</v>
      </c>
      <c r="F849" s="728" t="s">
        <v>5725</v>
      </c>
      <c r="G849" s="728" t="s">
        <v>193</v>
      </c>
      <c r="H849" s="728" t="s">
        <v>5520</v>
      </c>
      <c r="I849" s="728">
        <v>25091.08</v>
      </c>
      <c r="J849" s="728" t="s">
        <v>5726</v>
      </c>
      <c r="K849" s="2584">
        <v>63982.25</v>
      </c>
      <c r="L849" s="798" t="s">
        <v>32</v>
      </c>
      <c r="M849" s="418">
        <v>1</v>
      </c>
      <c r="N849" s="480" t="s">
        <v>5727</v>
      </c>
      <c r="O849" s="481">
        <v>0.2</v>
      </c>
      <c r="P849" s="2621">
        <f>K849*O849</f>
        <v>12796.45</v>
      </c>
      <c r="Q849" s="1856">
        <v>12796.45</v>
      </c>
      <c r="R849" s="393" t="s">
        <v>4603</v>
      </c>
      <c r="S849" s="2715">
        <v>45588</v>
      </c>
      <c r="T849" s="2682">
        <v>12796.45</v>
      </c>
      <c r="U849" s="2715">
        <v>45588</v>
      </c>
      <c r="V849" s="2716">
        <v>12796.45</v>
      </c>
      <c r="W849" s="2715">
        <v>45588</v>
      </c>
      <c r="X849" s="1856">
        <v>12796.45</v>
      </c>
      <c r="Y849" s="2717">
        <v>45594</v>
      </c>
      <c r="Z849" s="1856">
        <f t="shared" si="33"/>
        <v>0</v>
      </c>
      <c r="AA849" s="2735"/>
      <c r="AB849" s="2735"/>
      <c r="AC849" s="2749"/>
      <c r="AD849" s="2750"/>
      <c r="AE849" s="2750"/>
      <c r="AF849" s="2750"/>
      <c r="AG849" s="2750"/>
      <c r="AH849" s="2750"/>
      <c r="AI849" s="2750"/>
    </row>
    <row r="850" s="6" customFormat="1" ht="92" spans="1:35">
      <c r="A850" s="393"/>
      <c r="B850" s="2542"/>
      <c r="C850" s="1263"/>
      <c r="D850" s="1263"/>
      <c r="E850" s="689"/>
      <c r="F850" s="689"/>
      <c r="G850" s="689"/>
      <c r="H850" s="689"/>
      <c r="I850" s="689"/>
      <c r="J850" s="689"/>
      <c r="K850" s="2585"/>
      <c r="L850" s="1304"/>
      <c r="M850" s="418">
        <v>2</v>
      </c>
      <c r="N850" s="480" t="s">
        <v>5728</v>
      </c>
      <c r="O850" s="481">
        <v>0.3</v>
      </c>
      <c r="P850" s="2621">
        <f>K849*O850</f>
        <v>19194.675</v>
      </c>
      <c r="Q850" s="1856">
        <v>19194.675</v>
      </c>
      <c r="R850" s="393" t="s">
        <v>4603</v>
      </c>
      <c r="S850" s="2715">
        <v>45588</v>
      </c>
      <c r="T850" s="1856">
        <v>19194.675</v>
      </c>
      <c r="U850" s="2715">
        <v>45588</v>
      </c>
      <c r="V850" s="2716">
        <v>19194.675</v>
      </c>
      <c r="W850" s="2717">
        <v>45793</v>
      </c>
      <c r="X850" s="2980">
        <v>19194.675</v>
      </c>
      <c r="Y850" s="2715">
        <v>45806</v>
      </c>
      <c r="Z850" s="1856">
        <f t="shared" si="33"/>
        <v>0</v>
      </c>
      <c r="AA850" s="2735"/>
      <c r="AB850" s="2735"/>
      <c r="AC850" s="2749"/>
      <c r="AD850" s="2750"/>
      <c r="AE850" s="2750"/>
      <c r="AF850" s="2750"/>
      <c r="AG850" s="2750"/>
      <c r="AH850" s="2750"/>
      <c r="AI850" s="2750"/>
    </row>
    <row r="851" s="6" customFormat="1" ht="122" spans="1:35">
      <c r="A851" s="393"/>
      <c r="B851" s="2542"/>
      <c r="C851" s="1263"/>
      <c r="D851" s="1263"/>
      <c r="E851" s="689"/>
      <c r="F851" s="689"/>
      <c r="G851" s="689"/>
      <c r="H851" s="689"/>
      <c r="I851" s="689"/>
      <c r="J851" s="689"/>
      <c r="K851" s="2585"/>
      <c r="L851" s="1304"/>
      <c r="M851" s="418">
        <v>3</v>
      </c>
      <c r="N851" s="480" t="s">
        <v>5589</v>
      </c>
      <c r="O851" s="481">
        <v>0.45</v>
      </c>
      <c r="P851" s="516">
        <f>K849*O851</f>
        <v>28792.0125</v>
      </c>
      <c r="Q851" s="1856">
        <v>28792.0125</v>
      </c>
      <c r="R851" s="393" t="s">
        <v>4603</v>
      </c>
      <c r="S851" s="2715">
        <v>45919</v>
      </c>
      <c r="T851" s="1856">
        <v>28792.0125</v>
      </c>
      <c r="U851" s="2715">
        <v>45919</v>
      </c>
      <c r="V851" s="2716">
        <v>28792.0125</v>
      </c>
      <c r="W851" s="2717">
        <v>45919</v>
      </c>
      <c r="X851" s="1856">
        <v>28792.0125</v>
      </c>
      <c r="Y851" s="2717">
        <v>45928</v>
      </c>
      <c r="Z851" s="1856">
        <f t="shared" si="33"/>
        <v>0</v>
      </c>
      <c r="AA851" s="2735"/>
      <c r="AB851" s="2735"/>
      <c r="AC851" s="2749"/>
      <c r="AD851" s="2750"/>
      <c r="AE851" s="2750"/>
      <c r="AF851" s="2750"/>
      <c r="AG851" s="2750"/>
      <c r="AH851" s="2750"/>
      <c r="AI851" s="2750"/>
    </row>
    <row r="852" s="6" customFormat="1" ht="92" spans="1:35">
      <c r="A852" s="393"/>
      <c r="B852" s="2760"/>
      <c r="C852" s="1738"/>
      <c r="D852" s="1738"/>
      <c r="E852" s="691"/>
      <c r="F852" s="691"/>
      <c r="G852" s="691"/>
      <c r="H852" s="691"/>
      <c r="I852" s="691"/>
      <c r="J852" s="691"/>
      <c r="K852" s="2904"/>
      <c r="L852" s="801"/>
      <c r="M852" s="418">
        <v>4</v>
      </c>
      <c r="N852" s="480" t="s">
        <v>5729</v>
      </c>
      <c r="O852" s="481">
        <v>0.05</v>
      </c>
      <c r="P852" s="2621">
        <f>K849*O852</f>
        <v>3199.1125</v>
      </c>
      <c r="Q852" s="1856"/>
      <c r="R852" s="393"/>
      <c r="S852" s="2715"/>
      <c r="T852" s="2682"/>
      <c r="U852" s="2715"/>
      <c r="V852" s="2716"/>
      <c r="W852" s="2717"/>
      <c r="X852" s="1856"/>
      <c r="Y852" s="2717"/>
      <c r="Z852" s="1856">
        <f t="shared" si="33"/>
        <v>0</v>
      </c>
      <c r="AA852" s="2735"/>
      <c r="AB852" s="2735"/>
      <c r="AC852" s="2749"/>
      <c r="AD852" s="2750"/>
      <c r="AE852" s="2750"/>
      <c r="AF852" s="2750"/>
      <c r="AG852" s="2750"/>
      <c r="AH852" s="2750"/>
      <c r="AI852" s="2750"/>
    </row>
    <row r="853" s="6" customFormat="1" ht="44.3" customHeight="1" spans="1:35">
      <c r="A853" s="1825" t="s">
        <v>1951</v>
      </c>
      <c r="B853" s="3005">
        <v>45542</v>
      </c>
      <c r="C853" s="3006" t="s">
        <v>2257</v>
      </c>
      <c r="D853" s="3006"/>
      <c r="E853" s="2109" t="s">
        <v>5730</v>
      </c>
      <c r="F853" s="1824" t="s">
        <v>5731</v>
      </c>
      <c r="G853" s="2109" t="s">
        <v>3723</v>
      </c>
      <c r="H853" s="2109" t="s">
        <v>5710</v>
      </c>
      <c r="I853" s="2109" t="s">
        <v>5732</v>
      </c>
      <c r="J853" s="2109" t="s">
        <v>5733</v>
      </c>
      <c r="K853" s="3022">
        <v>342000</v>
      </c>
      <c r="L853" s="2152" t="s">
        <v>126</v>
      </c>
      <c r="M853" s="1824">
        <v>1</v>
      </c>
      <c r="N853" s="3035" t="s">
        <v>5734</v>
      </c>
      <c r="O853" s="3036">
        <v>0.1</v>
      </c>
      <c r="P853" s="3037">
        <f>K853*O853</f>
        <v>34200</v>
      </c>
      <c r="Q853" s="1897">
        <v>34200</v>
      </c>
      <c r="R853" s="1825" t="s">
        <v>4603</v>
      </c>
      <c r="S853" s="3059">
        <v>45651</v>
      </c>
      <c r="T853" s="1897">
        <v>34200</v>
      </c>
      <c r="U853" s="3059">
        <v>45651</v>
      </c>
      <c r="V853" s="1897">
        <v>34200</v>
      </c>
      <c r="W853" s="3093">
        <v>45664</v>
      </c>
      <c r="X853" s="1897">
        <v>34200</v>
      </c>
      <c r="Y853" s="3093">
        <v>45681</v>
      </c>
      <c r="Z853" s="1897">
        <f t="shared" si="33"/>
        <v>0</v>
      </c>
      <c r="AA853" s="3108"/>
      <c r="AB853" s="3108"/>
      <c r="AC853" s="3116"/>
      <c r="AD853" s="3117"/>
      <c r="AE853" s="3117"/>
      <c r="AF853" s="3117"/>
      <c r="AG853" s="3117"/>
      <c r="AH853" s="3117"/>
      <c r="AI853" s="3117"/>
    </row>
    <row r="854" s="6" customFormat="1" ht="30" customHeight="1" spans="1:35">
      <c r="A854" s="1825"/>
      <c r="B854" s="3005"/>
      <c r="C854" s="3007"/>
      <c r="D854" s="3007"/>
      <c r="E854" s="2112"/>
      <c r="F854" s="1824"/>
      <c r="G854" s="2112"/>
      <c r="H854" s="2112"/>
      <c r="I854" s="2112"/>
      <c r="J854" s="2112"/>
      <c r="K854" s="3022"/>
      <c r="L854" s="2154"/>
      <c r="M854" s="1824">
        <v>2</v>
      </c>
      <c r="N854" s="3035" t="s">
        <v>5735</v>
      </c>
      <c r="O854" s="3036">
        <v>0.35</v>
      </c>
      <c r="P854" s="3037">
        <f>K853*O854</f>
        <v>119700</v>
      </c>
      <c r="Q854" s="1897">
        <v>119700</v>
      </c>
      <c r="R854" s="1825" t="s">
        <v>4603</v>
      </c>
      <c r="S854" s="3059">
        <v>45651</v>
      </c>
      <c r="T854" s="1897">
        <v>119700</v>
      </c>
      <c r="U854" s="3059">
        <v>45651</v>
      </c>
      <c r="V854" s="1897">
        <v>119700</v>
      </c>
      <c r="W854" s="3093">
        <v>45664</v>
      </c>
      <c r="X854" s="1897">
        <v>119700</v>
      </c>
      <c r="Y854" s="3093">
        <v>45681</v>
      </c>
      <c r="Z854" s="1897">
        <f t="shared" si="33"/>
        <v>0</v>
      </c>
      <c r="AA854" s="3108"/>
      <c r="AB854" s="3108"/>
      <c r="AC854" s="3116"/>
      <c r="AD854" s="3117"/>
      <c r="AE854" s="3117"/>
      <c r="AF854" s="3117"/>
      <c r="AG854" s="3117"/>
      <c r="AH854" s="3117"/>
      <c r="AI854" s="3117"/>
    </row>
    <row r="855" s="6" customFormat="1" ht="30" customHeight="1" spans="1:35">
      <c r="A855" s="1825"/>
      <c r="B855" s="3005"/>
      <c r="C855" s="3007"/>
      <c r="D855" s="3007"/>
      <c r="E855" s="2112"/>
      <c r="F855" s="1824"/>
      <c r="G855" s="2112"/>
      <c r="H855" s="2112"/>
      <c r="I855" s="2112"/>
      <c r="J855" s="2112"/>
      <c r="K855" s="3022"/>
      <c r="L855" s="2154"/>
      <c r="M855" s="1824">
        <v>3</v>
      </c>
      <c r="N855" s="3035" t="s">
        <v>5736</v>
      </c>
      <c r="O855" s="3036">
        <v>0.15</v>
      </c>
      <c r="P855" s="3037">
        <f>K853*O855</f>
        <v>51300</v>
      </c>
      <c r="Q855" s="1897">
        <v>51300</v>
      </c>
      <c r="R855" s="1825" t="s">
        <v>4603</v>
      </c>
      <c r="S855" s="3059">
        <v>45652</v>
      </c>
      <c r="T855" s="1897">
        <v>51300</v>
      </c>
      <c r="U855" s="3059">
        <v>45652</v>
      </c>
      <c r="V855" s="1897">
        <v>51300</v>
      </c>
      <c r="W855" s="3093">
        <v>45664</v>
      </c>
      <c r="X855" s="1897">
        <v>51300</v>
      </c>
      <c r="Y855" s="3093">
        <v>45681</v>
      </c>
      <c r="Z855" s="1897">
        <f t="shared" si="33"/>
        <v>0</v>
      </c>
      <c r="AA855" s="3108"/>
      <c r="AB855" s="3108"/>
      <c r="AC855" s="3116"/>
      <c r="AD855" s="3117"/>
      <c r="AE855" s="3117"/>
      <c r="AF855" s="3117"/>
      <c r="AG855" s="3117"/>
      <c r="AH855" s="3117"/>
      <c r="AI855" s="3117"/>
    </row>
    <row r="856" s="6" customFormat="1" ht="30" customHeight="1" spans="1:35">
      <c r="A856" s="1825"/>
      <c r="B856" s="3005"/>
      <c r="C856" s="3007"/>
      <c r="D856" s="3007"/>
      <c r="E856" s="2112"/>
      <c r="F856" s="1824"/>
      <c r="G856" s="2112"/>
      <c r="H856" s="2112"/>
      <c r="I856" s="2112"/>
      <c r="J856" s="2112"/>
      <c r="K856" s="3022"/>
      <c r="L856" s="2154"/>
      <c r="M856" s="1824">
        <v>4</v>
      </c>
      <c r="N856" s="3035" t="s">
        <v>5737</v>
      </c>
      <c r="O856" s="3036">
        <v>0.25</v>
      </c>
      <c r="P856" s="3037">
        <f>K853*O856</f>
        <v>85500</v>
      </c>
      <c r="Q856" s="1897">
        <v>85500</v>
      </c>
      <c r="R856" s="1825" t="s">
        <v>4603</v>
      </c>
      <c r="S856" s="3059">
        <v>45652</v>
      </c>
      <c r="T856" s="1897">
        <v>85500</v>
      </c>
      <c r="U856" s="3059">
        <v>45652</v>
      </c>
      <c r="V856" s="1897">
        <v>85500</v>
      </c>
      <c r="W856" s="3093">
        <v>45664</v>
      </c>
      <c r="X856" s="1897">
        <v>85500</v>
      </c>
      <c r="Y856" s="3093">
        <v>45681</v>
      </c>
      <c r="Z856" s="1897">
        <f t="shared" si="33"/>
        <v>0</v>
      </c>
      <c r="AA856" s="3108"/>
      <c r="AB856" s="3108"/>
      <c r="AC856" s="3116"/>
      <c r="AD856" s="3117"/>
      <c r="AE856" s="3117"/>
      <c r="AF856" s="3117"/>
      <c r="AG856" s="3117"/>
      <c r="AH856" s="3117"/>
      <c r="AI856" s="3117"/>
    </row>
    <row r="857" s="6" customFormat="1" ht="30" customHeight="1" spans="1:35">
      <c r="A857" s="1825"/>
      <c r="B857" s="3005"/>
      <c r="C857" s="3007"/>
      <c r="D857" s="3007"/>
      <c r="E857" s="2112"/>
      <c r="F857" s="1824"/>
      <c r="G857" s="2112"/>
      <c r="H857" s="2112"/>
      <c r="I857" s="2112"/>
      <c r="J857" s="2112"/>
      <c r="K857" s="3022"/>
      <c r="L857" s="2154"/>
      <c r="M857" s="1824">
        <v>5</v>
      </c>
      <c r="N857" s="3035" t="s">
        <v>5738</v>
      </c>
      <c r="O857" s="3036">
        <v>0.15</v>
      </c>
      <c r="P857" s="3037">
        <f>K853*O857</f>
        <v>51300</v>
      </c>
      <c r="Q857" s="1897"/>
      <c r="R857" s="1825"/>
      <c r="S857" s="3059"/>
      <c r="T857" s="1897"/>
      <c r="U857" s="3059"/>
      <c r="V857" s="1897"/>
      <c r="W857" s="3093"/>
      <c r="X857" s="1897"/>
      <c r="Y857" s="3093"/>
      <c r="Z857" s="1897">
        <f t="shared" si="33"/>
        <v>0</v>
      </c>
      <c r="AA857" s="3108"/>
      <c r="AB857" s="3108"/>
      <c r="AC857" s="3116"/>
      <c r="AD857" s="3117"/>
      <c r="AE857" s="3117"/>
      <c r="AF857" s="3117"/>
      <c r="AG857" s="3117"/>
      <c r="AH857" s="3117"/>
      <c r="AI857" s="3117"/>
    </row>
    <row r="858" s="6" customFormat="1" ht="38.2" customHeight="1" spans="1:35">
      <c r="A858" s="1825"/>
      <c r="B858" s="3005"/>
      <c r="C858" s="3007"/>
      <c r="D858" s="3007"/>
      <c r="E858" s="2112"/>
      <c r="F858" s="1824"/>
      <c r="G858" s="2112"/>
      <c r="H858" s="2112"/>
      <c r="I858" s="2112"/>
      <c r="J858" s="2112"/>
      <c r="K858" s="3022">
        <v>2263248.25</v>
      </c>
      <c r="L858" s="2154"/>
      <c r="M858" s="1824">
        <v>6</v>
      </c>
      <c r="N858" s="3035" t="s">
        <v>5739</v>
      </c>
      <c r="O858" s="3036">
        <v>0.1</v>
      </c>
      <c r="P858" s="3037">
        <f>K858*O858</f>
        <v>226324.825</v>
      </c>
      <c r="Q858" s="1897">
        <v>226324.825</v>
      </c>
      <c r="R858" s="1825" t="s">
        <v>4603</v>
      </c>
      <c r="S858" s="3059">
        <v>45651</v>
      </c>
      <c r="T858" s="1897">
        <v>226324.825</v>
      </c>
      <c r="U858" s="3059">
        <v>45651</v>
      </c>
      <c r="V858" s="1897">
        <v>226324.825</v>
      </c>
      <c r="W858" s="3093">
        <v>45664</v>
      </c>
      <c r="X858" s="1897">
        <v>226324.825</v>
      </c>
      <c r="Y858" s="3093">
        <v>45681</v>
      </c>
      <c r="Z858" s="1897">
        <f t="shared" ref="Z858:Z921" si="34">Q858-X858</f>
        <v>0</v>
      </c>
      <c r="AA858" s="3108"/>
      <c r="AB858" s="3108"/>
      <c r="AC858" s="3116"/>
      <c r="AD858" s="3117"/>
      <c r="AE858" s="3117"/>
      <c r="AF858" s="3117"/>
      <c r="AG858" s="3117"/>
      <c r="AH858" s="3117"/>
      <c r="AI858" s="3117"/>
    </row>
    <row r="859" s="6" customFormat="1" ht="30" customHeight="1" spans="1:35">
      <c r="A859" s="1825"/>
      <c r="B859" s="3005"/>
      <c r="C859" s="3007"/>
      <c r="D859" s="3007"/>
      <c r="E859" s="2112"/>
      <c r="F859" s="1824"/>
      <c r="G859" s="2112"/>
      <c r="H859" s="2112"/>
      <c r="I859" s="2112"/>
      <c r="J859" s="2112"/>
      <c r="K859" s="3022"/>
      <c r="L859" s="2154"/>
      <c r="M859" s="1824">
        <v>7</v>
      </c>
      <c r="N859" s="3035" t="s">
        <v>5740</v>
      </c>
      <c r="O859" s="3036">
        <v>0.35</v>
      </c>
      <c r="P859" s="3037">
        <f>K858*O859</f>
        <v>792136.8875</v>
      </c>
      <c r="Q859" s="1897">
        <v>792136.8875</v>
      </c>
      <c r="R859" s="1825" t="s">
        <v>4603</v>
      </c>
      <c r="S859" s="3059">
        <v>45652</v>
      </c>
      <c r="T859" s="3022">
        <v>792136.8875</v>
      </c>
      <c r="U859" s="3059">
        <v>45652</v>
      </c>
      <c r="V859" s="3022">
        <v>792136.8875</v>
      </c>
      <c r="W859" s="3093">
        <v>45664</v>
      </c>
      <c r="X859" s="3022">
        <v>792136.8875</v>
      </c>
      <c r="Y859" s="3093">
        <v>45681</v>
      </c>
      <c r="Z859" s="1897">
        <f t="shared" si="34"/>
        <v>0</v>
      </c>
      <c r="AA859" s="3108"/>
      <c r="AB859" s="3108"/>
      <c r="AC859" s="3116"/>
      <c r="AD859" s="3117"/>
      <c r="AE859" s="3117"/>
      <c r="AF859" s="3117"/>
      <c r="AG859" s="3117"/>
      <c r="AH859" s="3117"/>
      <c r="AI859" s="3117"/>
    </row>
    <row r="860" s="6" customFormat="1" ht="30" customHeight="1" spans="1:35">
      <c r="A860" s="1825"/>
      <c r="B860" s="3005"/>
      <c r="C860" s="3007"/>
      <c r="D860" s="3007"/>
      <c r="E860" s="2112"/>
      <c r="F860" s="1824"/>
      <c r="G860" s="2112"/>
      <c r="H860" s="2112"/>
      <c r="I860" s="2112"/>
      <c r="J860" s="2112"/>
      <c r="K860" s="3022"/>
      <c r="L860" s="2154"/>
      <c r="M860" s="1824">
        <v>8</v>
      </c>
      <c r="N860" s="3035" t="s">
        <v>5741</v>
      </c>
      <c r="O860" s="3036">
        <v>0.15</v>
      </c>
      <c r="P860" s="3037">
        <f>K858*O860</f>
        <v>339487.2375</v>
      </c>
      <c r="Q860" s="1897">
        <v>339487.2375</v>
      </c>
      <c r="R860" s="1825" t="s">
        <v>4603</v>
      </c>
      <c r="S860" s="3059">
        <v>45821</v>
      </c>
      <c r="T860" s="1897">
        <v>339487.2375</v>
      </c>
      <c r="U860" s="3059">
        <v>45821</v>
      </c>
      <c r="V860" s="1897">
        <v>339487.2375</v>
      </c>
      <c r="W860" s="3093">
        <v>45821</v>
      </c>
      <c r="X860" s="1897">
        <v>339487.2375</v>
      </c>
      <c r="Y860" s="3059">
        <v>45838</v>
      </c>
      <c r="Z860" s="1897">
        <f t="shared" si="34"/>
        <v>0</v>
      </c>
      <c r="AA860" s="3108"/>
      <c r="AB860" s="3108"/>
      <c r="AC860" s="3116"/>
      <c r="AD860" s="3117"/>
      <c r="AE860" s="3117"/>
      <c r="AF860" s="3117"/>
      <c r="AG860" s="3117"/>
      <c r="AH860" s="3117"/>
      <c r="AI860" s="3117"/>
    </row>
    <row r="861" s="6" customFormat="1" ht="30" customHeight="1" spans="1:35">
      <c r="A861" s="1825"/>
      <c r="B861" s="3005"/>
      <c r="C861" s="3007"/>
      <c r="D861" s="3007"/>
      <c r="E861" s="2112"/>
      <c r="F861" s="1824"/>
      <c r="G861" s="2112"/>
      <c r="H861" s="2112"/>
      <c r="I861" s="2112"/>
      <c r="J861" s="2112"/>
      <c r="K861" s="3022"/>
      <c r="L861" s="2154"/>
      <c r="M861" s="1824">
        <v>9</v>
      </c>
      <c r="N861" s="3035" t="s">
        <v>5742</v>
      </c>
      <c r="O861" s="3036">
        <v>0.25</v>
      </c>
      <c r="P861" s="3037">
        <f>K858*O861</f>
        <v>565812.0625</v>
      </c>
      <c r="Q861" s="1899">
        <v>565812.0625</v>
      </c>
      <c r="R861" s="2158" t="s">
        <v>349</v>
      </c>
      <c r="S861" s="3060">
        <v>46052</v>
      </c>
      <c r="T861" s="3061"/>
      <c r="U861" s="3059"/>
      <c r="V861" s="3094"/>
      <c r="W861" s="3093"/>
      <c r="X861" s="1899">
        <v>565812.0625</v>
      </c>
      <c r="Y861" s="3060">
        <v>46078</v>
      </c>
      <c r="Z861" s="1897">
        <f t="shared" si="34"/>
        <v>0</v>
      </c>
      <c r="AA861" s="3108"/>
      <c r="AB861" s="3108"/>
      <c r="AC861" s="3116"/>
      <c r="AD861" s="3117"/>
      <c r="AE861" s="3117"/>
      <c r="AF861" s="3117"/>
      <c r="AG861" s="3117"/>
      <c r="AH861" s="3117"/>
      <c r="AI861" s="3117"/>
    </row>
    <row r="862" s="6" customFormat="1" ht="30" customHeight="1" spans="1:35">
      <c r="A862" s="2152"/>
      <c r="B862" s="3008"/>
      <c r="C862" s="3007"/>
      <c r="D862" s="3007"/>
      <c r="E862" s="2112"/>
      <c r="F862" s="2109"/>
      <c r="G862" s="2112"/>
      <c r="H862" s="2112"/>
      <c r="I862" s="2112"/>
      <c r="J862" s="2112"/>
      <c r="K862" s="3023"/>
      <c r="L862" s="2154"/>
      <c r="M862" s="2109">
        <v>10</v>
      </c>
      <c r="N862" s="3038" t="s">
        <v>5743</v>
      </c>
      <c r="O862" s="3039">
        <v>0.15</v>
      </c>
      <c r="P862" s="3040">
        <f>K858*O862</f>
        <v>339487.2375</v>
      </c>
      <c r="Q862" s="2111"/>
      <c r="R862" s="2152"/>
      <c r="S862" s="3062"/>
      <c r="T862" s="3063"/>
      <c r="U862" s="3062"/>
      <c r="V862" s="3095"/>
      <c r="W862" s="3096"/>
      <c r="X862" s="2111"/>
      <c r="Y862" s="3096"/>
      <c r="Z862" s="1897">
        <f t="shared" si="34"/>
        <v>0</v>
      </c>
      <c r="AA862" s="3109"/>
      <c r="AB862" s="3109"/>
      <c r="AC862" s="3118"/>
      <c r="AD862" s="3119"/>
      <c r="AE862" s="3119"/>
      <c r="AF862" s="3119"/>
      <c r="AG862" s="3119"/>
      <c r="AH862" s="3119"/>
      <c r="AI862" s="3119"/>
    </row>
    <row r="863" s="6" customFormat="1" ht="30" customHeight="1" spans="1:35">
      <c r="A863" s="1252" t="s">
        <v>1951</v>
      </c>
      <c r="B863" s="3009">
        <v>45506</v>
      </c>
      <c r="C863" s="1737" t="s">
        <v>2257</v>
      </c>
      <c r="D863" s="3010"/>
      <c r="E863" s="1396" t="s">
        <v>5744</v>
      </c>
      <c r="F863" s="1396" t="s">
        <v>5745</v>
      </c>
      <c r="G863" s="1396" t="s">
        <v>1923</v>
      </c>
      <c r="H863" s="1396" t="s">
        <v>5136</v>
      </c>
      <c r="I863" s="1396"/>
      <c r="J863" s="1396"/>
      <c r="K863" s="3024">
        <v>531600</v>
      </c>
      <c r="L863" s="1252" t="s">
        <v>126</v>
      </c>
      <c r="M863" s="1396">
        <v>1</v>
      </c>
      <c r="N863" s="3041" t="s">
        <v>5746</v>
      </c>
      <c r="O863" s="3042">
        <v>0.15</v>
      </c>
      <c r="P863" s="3043">
        <f>K863*O863</f>
        <v>79740</v>
      </c>
      <c r="Q863" s="1851">
        <v>79740</v>
      </c>
      <c r="R863" s="1252" t="s">
        <v>4603</v>
      </c>
      <c r="S863" s="3064">
        <v>45652</v>
      </c>
      <c r="T863" s="3024">
        <v>79740</v>
      </c>
      <c r="U863" s="3064">
        <v>45652</v>
      </c>
      <c r="V863" s="3024">
        <v>79740</v>
      </c>
      <c r="W863" s="3097">
        <v>45665</v>
      </c>
      <c r="X863" s="1851">
        <v>79740</v>
      </c>
      <c r="Y863" s="3097">
        <v>45681</v>
      </c>
      <c r="Z863" s="1851">
        <f t="shared" si="34"/>
        <v>0</v>
      </c>
      <c r="AA863" s="3110"/>
      <c r="AB863" s="3110"/>
      <c r="AC863" s="3120"/>
      <c r="AD863" s="3121"/>
      <c r="AE863" s="3121"/>
      <c r="AF863" s="3121"/>
      <c r="AG863" s="3121"/>
      <c r="AH863" s="3121"/>
      <c r="AI863" s="3121"/>
    </row>
    <row r="864" s="6" customFormat="1" ht="30" customHeight="1" spans="1:35">
      <c r="A864" s="1252"/>
      <c r="B864" s="3009"/>
      <c r="C864" s="1737"/>
      <c r="D864" s="3010"/>
      <c r="E864" s="1396"/>
      <c r="F864" s="1396"/>
      <c r="G864" s="1396"/>
      <c r="H864" s="1396"/>
      <c r="I864" s="1396"/>
      <c r="J864" s="1396"/>
      <c r="K864" s="3024"/>
      <c r="L864" s="1252"/>
      <c r="M864" s="1396">
        <v>2</v>
      </c>
      <c r="N864" s="3041" t="s">
        <v>5147</v>
      </c>
      <c r="O864" s="3042">
        <v>0.25</v>
      </c>
      <c r="P864" s="3043">
        <f>K863*O864</f>
        <v>132900</v>
      </c>
      <c r="Q864" s="1851">
        <v>132900</v>
      </c>
      <c r="R864" s="1252" t="s">
        <v>4603</v>
      </c>
      <c r="S864" s="3064">
        <v>45652</v>
      </c>
      <c r="T864" s="3024">
        <v>132900</v>
      </c>
      <c r="U864" s="3064">
        <v>45652</v>
      </c>
      <c r="V864" s="3024">
        <v>132900</v>
      </c>
      <c r="W864" s="3097">
        <v>45665</v>
      </c>
      <c r="X864" s="1851">
        <v>132900</v>
      </c>
      <c r="Y864" s="3097">
        <v>45681</v>
      </c>
      <c r="Z864" s="1851">
        <f t="shared" si="34"/>
        <v>0</v>
      </c>
      <c r="AA864" s="3110"/>
      <c r="AB864" s="3110"/>
      <c r="AC864" s="3120"/>
      <c r="AD864" s="3121"/>
      <c r="AE864" s="3121"/>
      <c r="AF864" s="3121"/>
      <c r="AG864" s="3121"/>
      <c r="AH864" s="3121"/>
      <c r="AI864" s="3121"/>
    </row>
    <row r="865" s="6" customFormat="1" ht="30" customHeight="1" spans="1:35">
      <c r="A865" s="1252"/>
      <c r="B865" s="3009"/>
      <c r="C865" s="1737"/>
      <c r="D865" s="3010"/>
      <c r="E865" s="1396"/>
      <c r="F865" s="1396"/>
      <c r="G865" s="1396"/>
      <c r="H865" s="1396"/>
      <c r="I865" s="1396"/>
      <c r="J865" s="1396"/>
      <c r="K865" s="3024"/>
      <c r="L865" s="1252"/>
      <c r="M865" s="1396">
        <v>3</v>
      </c>
      <c r="N865" s="3041" t="s">
        <v>5148</v>
      </c>
      <c r="O865" s="3042">
        <v>0.2</v>
      </c>
      <c r="P865" s="3044">
        <f>K863*O865</f>
        <v>106320</v>
      </c>
      <c r="Q865" s="1851">
        <v>106320</v>
      </c>
      <c r="R865" s="1252" t="s">
        <v>4603</v>
      </c>
      <c r="S865" s="3064">
        <v>45657</v>
      </c>
      <c r="T865" s="3065">
        <v>106320</v>
      </c>
      <c r="U865" s="3064">
        <v>45657</v>
      </c>
      <c r="V865" s="3065">
        <v>106320</v>
      </c>
      <c r="W865" s="3097">
        <v>45665</v>
      </c>
      <c r="X865" s="1851">
        <v>106320</v>
      </c>
      <c r="Y865" s="3097">
        <v>45681</v>
      </c>
      <c r="Z865" s="1851">
        <f t="shared" si="34"/>
        <v>0</v>
      </c>
      <c r="AA865" s="3110"/>
      <c r="AB865" s="3110"/>
      <c r="AC865" s="3120"/>
      <c r="AD865" s="3121"/>
      <c r="AE865" s="3121"/>
      <c r="AF865" s="3121"/>
      <c r="AG865" s="3121"/>
      <c r="AH865" s="3121"/>
      <c r="AI865" s="3121"/>
    </row>
    <row r="866" s="6" customFormat="1" ht="30" customHeight="1" spans="1:35">
      <c r="A866" s="1252"/>
      <c r="B866" s="3009"/>
      <c r="C866" s="1737"/>
      <c r="D866" s="3010"/>
      <c r="E866" s="1396"/>
      <c r="F866" s="1396"/>
      <c r="G866" s="1396"/>
      <c r="H866" s="1396"/>
      <c r="I866" s="1396"/>
      <c r="J866" s="1396"/>
      <c r="K866" s="3024"/>
      <c r="L866" s="1252"/>
      <c r="M866" s="1396">
        <v>4</v>
      </c>
      <c r="N866" s="3041" t="s">
        <v>5149</v>
      </c>
      <c r="O866" s="3042">
        <v>0.2</v>
      </c>
      <c r="P866" s="3044">
        <f>K863*O866</f>
        <v>106320</v>
      </c>
      <c r="Q866" s="1851">
        <v>106320</v>
      </c>
      <c r="R866" s="1252" t="s">
        <v>4603</v>
      </c>
      <c r="S866" s="3064">
        <v>45657</v>
      </c>
      <c r="T866" s="3065">
        <v>106320</v>
      </c>
      <c r="U866" s="3064">
        <v>45657</v>
      </c>
      <c r="V866" s="3065">
        <v>106320</v>
      </c>
      <c r="W866" s="3097">
        <v>45665</v>
      </c>
      <c r="X866" s="1851">
        <v>106320</v>
      </c>
      <c r="Y866" s="3097">
        <v>45681</v>
      </c>
      <c r="Z866" s="1851">
        <f t="shared" si="34"/>
        <v>0</v>
      </c>
      <c r="AA866" s="3110"/>
      <c r="AB866" s="3110"/>
      <c r="AC866" s="3120"/>
      <c r="AD866" s="3121"/>
      <c r="AE866" s="3121"/>
      <c r="AF866" s="3121"/>
      <c r="AG866" s="3121"/>
      <c r="AH866" s="3121"/>
      <c r="AI866" s="3121"/>
    </row>
    <row r="867" s="6" customFormat="1" ht="30" customHeight="1" spans="1:35">
      <c r="A867" s="1252"/>
      <c r="B867" s="3009"/>
      <c r="C867" s="1737"/>
      <c r="D867" s="3010"/>
      <c r="E867" s="1396"/>
      <c r="F867" s="1396"/>
      <c r="G867" s="1396"/>
      <c r="H867" s="1396"/>
      <c r="I867" s="1396"/>
      <c r="J867" s="1396"/>
      <c r="K867" s="3024"/>
      <c r="L867" s="1252"/>
      <c r="M867" s="1396">
        <v>5</v>
      </c>
      <c r="N867" s="3041" t="s">
        <v>5747</v>
      </c>
      <c r="O867" s="3042">
        <v>0.1</v>
      </c>
      <c r="P867" s="3043">
        <f>K863*O867</f>
        <v>53160</v>
      </c>
      <c r="Q867" s="1851"/>
      <c r="R867" s="1252"/>
      <c r="S867" s="3064"/>
      <c r="T867" s="3066"/>
      <c r="U867" s="3064"/>
      <c r="V867" s="3098"/>
      <c r="W867" s="3097"/>
      <c r="X867" s="1851"/>
      <c r="Y867" s="3097"/>
      <c r="Z867" s="1851">
        <f t="shared" si="34"/>
        <v>0</v>
      </c>
      <c r="AA867" s="3110"/>
      <c r="AB867" s="3110"/>
      <c r="AC867" s="3120"/>
      <c r="AD867" s="3121"/>
      <c r="AE867" s="3121"/>
      <c r="AF867" s="3121"/>
      <c r="AG867" s="3121"/>
      <c r="AH867" s="3121"/>
      <c r="AI867" s="3121"/>
    </row>
    <row r="868" s="6" customFormat="1" ht="46" spans="1:35">
      <c r="A868" s="1252"/>
      <c r="B868" s="3009"/>
      <c r="C868" s="1737"/>
      <c r="D868" s="3010"/>
      <c r="E868" s="1396"/>
      <c r="F868" s="1396"/>
      <c r="G868" s="1396"/>
      <c r="H868" s="1396"/>
      <c r="I868" s="1396"/>
      <c r="J868" s="1396"/>
      <c r="K868" s="3024"/>
      <c r="L868" s="1252"/>
      <c r="M868" s="1396">
        <v>6</v>
      </c>
      <c r="N868" s="3041" t="s">
        <v>5081</v>
      </c>
      <c r="O868" s="3042">
        <v>0.1</v>
      </c>
      <c r="P868" s="3043">
        <f>K863*O868</f>
        <v>53160</v>
      </c>
      <c r="Q868" s="1851"/>
      <c r="R868" s="1252"/>
      <c r="S868" s="3064"/>
      <c r="T868" s="3066"/>
      <c r="U868" s="3064"/>
      <c r="V868" s="3098"/>
      <c r="W868" s="3097"/>
      <c r="X868" s="1851"/>
      <c r="Y868" s="3097"/>
      <c r="Z868" s="1851">
        <f t="shared" si="34"/>
        <v>0</v>
      </c>
      <c r="AA868" s="3110"/>
      <c r="AB868" s="3110"/>
      <c r="AC868" s="3120"/>
      <c r="AD868" s="3121"/>
      <c r="AE868" s="3121"/>
      <c r="AF868" s="3121"/>
      <c r="AG868" s="3121"/>
      <c r="AH868" s="3121"/>
      <c r="AI868" s="3121"/>
    </row>
    <row r="869" s="6" customFormat="1" ht="30" customHeight="1" spans="1:35">
      <c r="A869" s="3011" t="s">
        <v>1951</v>
      </c>
      <c r="B869" s="3012">
        <v>45525</v>
      </c>
      <c r="C869" s="3013" t="s">
        <v>2257</v>
      </c>
      <c r="D869" s="3013"/>
      <c r="E869" s="3018" t="s">
        <v>5748</v>
      </c>
      <c r="F869" s="3018" t="s">
        <v>5749</v>
      </c>
      <c r="G869" s="3018" t="s">
        <v>3620</v>
      </c>
      <c r="H869" s="3018" t="s">
        <v>5634</v>
      </c>
      <c r="I869" s="3018"/>
      <c r="J869" s="3018"/>
      <c r="K869" s="3025">
        <v>1602013.3</v>
      </c>
      <c r="L869" s="3011" t="s">
        <v>126</v>
      </c>
      <c r="M869" s="1326">
        <v>1</v>
      </c>
      <c r="N869" s="3045" t="s">
        <v>5146</v>
      </c>
      <c r="O869" s="3046">
        <v>0.15</v>
      </c>
      <c r="P869" s="3047">
        <f>K869*O869</f>
        <v>240301.995</v>
      </c>
      <c r="Q869" s="3067">
        <v>240302</v>
      </c>
      <c r="R869" s="3068" t="s">
        <v>4603</v>
      </c>
      <c r="S869" s="3069">
        <v>45652</v>
      </c>
      <c r="T869" s="3070">
        <v>240302</v>
      </c>
      <c r="U869" s="3069">
        <v>45652</v>
      </c>
      <c r="V869" s="3070">
        <v>240302</v>
      </c>
      <c r="W869" s="3099">
        <v>45671</v>
      </c>
      <c r="X869" s="3067">
        <v>240302</v>
      </c>
      <c r="Y869" s="3099">
        <v>45681</v>
      </c>
      <c r="Z869" s="3067">
        <f t="shared" si="34"/>
        <v>0</v>
      </c>
      <c r="AA869" s="3111"/>
      <c r="AB869" s="3111"/>
      <c r="AC869" s="3122"/>
      <c r="AD869" s="3123"/>
      <c r="AE869" s="3123"/>
      <c r="AF869" s="3123"/>
      <c r="AG869" s="3123"/>
      <c r="AH869" s="3123"/>
      <c r="AI869" s="3123"/>
    </row>
    <row r="870" s="6" customFormat="1" ht="30" customHeight="1" spans="1:35">
      <c r="A870" s="3011"/>
      <c r="B870" s="3012"/>
      <c r="C870" s="3013"/>
      <c r="D870" s="3013"/>
      <c r="E870" s="3018"/>
      <c r="F870" s="3018"/>
      <c r="G870" s="3018"/>
      <c r="H870" s="3018"/>
      <c r="I870" s="3018"/>
      <c r="J870" s="3018"/>
      <c r="K870" s="3025"/>
      <c r="L870" s="3011"/>
      <c r="M870" s="1372">
        <v>2</v>
      </c>
      <c r="N870" s="3048" t="s">
        <v>5626</v>
      </c>
      <c r="O870" s="3049">
        <v>0.25</v>
      </c>
      <c r="P870" s="3050">
        <f>K869*O870</f>
        <v>400503.325</v>
      </c>
      <c r="Q870" s="3071">
        <v>400503.32</v>
      </c>
      <c r="R870" s="1238" t="s">
        <v>4603</v>
      </c>
      <c r="S870" s="3072">
        <v>45652</v>
      </c>
      <c r="T870" s="3073">
        <v>400503.32</v>
      </c>
      <c r="U870" s="3072">
        <v>45652</v>
      </c>
      <c r="V870" s="3073">
        <v>400503.32</v>
      </c>
      <c r="W870" s="3099">
        <v>45671</v>
      </c>
      <c r="X870" s="3071">
        <v>400503.32</v>
      </c>
      <c r="Y870" s="3099">
        <v>45681</v>
      </c>
      <c r="Z870" s="3067">
        <f t="shared" si="34"/>
        <v>0</v>
      </c>
      <c r="AA870" s="3112"/>
      <c r="AB870" s="3112"/>
      <c r="AC870" s="3124"/>
      <c r="AD870" s="3125"/>
      <c r="AE870" s="3125"/>
      <c r="AF870" s="3125"/>
      <c r="AG870" s="3125"/>
      <c r="AH870" s="3125"/>
      <c r="AI870" s="3125"/>
    </row>
    <row r="871" s="6" customFormat="1" ht="30" customHeight="1" spans="1:35">
      <c r="A871" s="3011"/>
      <c r="B871" s="3012"/>
      <c r="C871" s="3013"/>
      <c r="D871" s="3013"/>
      <c r="E871" s="3018"/>
      <c r="F871" s="3018"/>
      <c r="G871" s="3018"/>
      <c r="H871" s="3018"/>
      <c r="I871" s="3018"/>
      <c r="J871" s="3018"/>
      <c r="K871" s="3025"/>
      <c r="L871" s="3011"/>
      <c r="M871" s="1372">
        <v>3</v>
      </c>
      <c r="N871" s="3048" t="s">
        <v>5750</v>
      </c>
      <c r="O871" s="3049">
        <v>0.2</v>
      </c>
      <c r="P871" s="3050">
        <f>K869*O871</f>
        <v>320402.66</v>
      </c>
      <c r="Q871" s="3071">
        <v>320402.66</v>
      </c>
      <c r="R871" s="1238" t="s">
        <v>4603</v>
      </c>
      <c r="S871" s="3072">
        <v>45652</v>
      </c>
      <c r="T871" s="3073">
        <v>320402.66</v>
      </c>
      <c r="U871" s="3072">
        <v>45652</v>
      </c>
      <c r="V871" s="3073">
        <v>320402.66</v>
      </c>
      <c r="W871" s="3099">
        <v>45671</v>
      </c>
      <c r="X871" s="3071">
        <v>320402.66</v>
      </c>
      <c r="Y871" s="3099">
        <v>45681</v>
      </c>
      <c r="Z871" s="3067">
        <f t="shared" si="34"/>
        <v>0</v>
      </c>
      <c r="AA871" s="3112"/>
      <c r="AB871" s="3112"/>
      <c r="AC871" s="3124"/>
      <c r="AD871" s="3125"/>
      <c r="AE871" s="3125"/>
      <c r="AF871" s="3125"/>
      <c r="AG871" s="3125"/>
      <c r="AH871" s="3125"/>
      <c r="AI871" s="3125"/>
    </row>
    <row r="872" s="6" customFormat="1" ht="30" customHeight="1" spans="1:35">
      <c r="A872" s="3011"/>
      <c r="B872" s="3012"/>
      <c r="C872" s="3013"/>
      <c r="D872" s="3013"/>
      <c r="E872" s="3018"/>
      <c r="F872" s="3018"/>
      <c r="G872" s="3018"/>
      <c r="H872" s="3018"/>
      <c r="I872" s="3018"/>
      <c r="J872" s="3018"/>
      <c r="K872" s="3025"/>
      <c r="L872" s="3011"/>
      <c r="M872" s="1372">
        <v>4</v>
      </c>
      <c r="N872" s="3048" t="s">
        <v>5629</v>
      </c>
      <c r="O872" s="3049">
        <v>0.2</v>
      </c>
      <c r="P872" s="3050">
        <f>K869*O872</f>
        <v>320402.66</v>
      </c>
      <c r="Q872" s="3074">
        <v>604305.54</v>
      </c>
      <c r="R872" s="3075" t="s">
        <v>349</v>
      </c>
      <c r="S872" s="3076">
        <v>46052</v>
      </c>
      <c r="T872" s="3077"/>
      <c r="U872" s="3072"/>
      <c r="V872" s="3100"/>
      <c r="W872" s="3101"/>
      <c r="X872" s="3074">
        <v>604305.54</v>
      </c>
      <c r="Y872" s="3076">
        <v>46078</v>
      </c>
      <c r="Z872" s="3067">
        <f t="shared" si="34"/>
        <v>0</v>
      </c>
      <c r="AA872" s="3112"/>
      <c r="AB872" s="3112"/>
      <c r="AC872" s="3124"/>
      <c r="AD872" s="3125"/>
      <c r="AE872" s="3125"/>
      <c r="AF872" s="3125"/>
      <c r="AG872" s="3125"/>
      <c r="AH872" s="3125"/>
      <c r="AI872" s="3125"/>
    </row>
    <row r="873" s="6" customFormat="1" ht="30" customHeight="1" spans="1:35">
      <c r="A873" s="3011"/>
      <c r="B873" s="3012"/>
      <c r="C873" s="3013"/>
      <c r="D873" s="3013"/>
      <c r="E873" s="3018"/>
      <c r="F873" s="3018"/>
      <c r="G873" s="3018"/>
      <c r="H873" s="3018"/>
      <c r="I873" s="3018"/>
      <c r="J873" s="3018"/>
      <c r="K873" s="3025"/>
      <c r="L873" s="3011"/>
      <c r="M873" s="1372">
        <v>5</v>
      </c>
      <c r="N873" s="3048" t="s">
        <v>5751</v>
      </c>
      <c r="O873" s="3049">
        <v>0.05</v>
      </c>
      <c r="P873" s="3050">
        <f>K869*O873</f>
        <v>80100.665</v>
      </c>
      <c r="Q873" s="3071"/>
      <c r="R873" s="1238"/>
      <c r="S873" s="3072"/>
      <c r="T873" s="3077"/>
      <c r="U873" s="3072"/>
      <c r="V873" s="3100"/>
      <c r="W873" s="3101"/>
      <c r="X873" s="3071"/>
      <c r="Y873" s="3101"/>
      <c r="Z873" s="3067">
        <f t="shared" si="34"/>
        <v>0</v>
      </c>
      <c r="AA873" s="3112"/>
      <c r="AB873" s="3112"/>
      <c r="AC873" s="3124"/>
      <c r="AD873" s="3125"/>
      <c r="AE873" s="3125"/>
      <c r="AF873" s="3125"/>
      <c r="AG873" s="3125"/>
      <c r="AH873" s="3125"/>
      <c r="AI873" s="3125"/>
    </row>
    <row r="874" s="6" customFormat="1" ht="30" customHeight="1" spans="1:35">
      <c r="A874" s="3011"/>
      <c r="B874" s="3012"/>
      <c r="C874" s="3013"/>
      <c r="D874" s="3013"/>
      <c r="E874" s="3018"/>
      <c r="F874" s="3018"/>
      <c r="G874" s="3018"/>
      <c r="H874" s="3018"/>
      <c r="I874" s="3018"/>
      <c r="J874" s="3018"/>
      <c r="K874" s="3025"/>
      <c r="L874" s="3011"/>
      <c r="M874" s="1372">
        <v>6</v>
      </c>
      <c r="N874" s="3048" t="s">
        <v>5080</v>
      </c>
      <c r="O874" s="3049">
        <v>0.05</v>
      </c>
      <c r="P874" s="3050">
        <f>K869*O874</f>
        <v>80100.665</v>
      </c>
      <c r="Q874" s="3071"/>
      <c r="R874" s="1238"/>
      <c r="S874" s="3072"/>
      <c r="T874" s="3077"/>
      <c r="U874" s="3072"/>
      <c r="V874" s="3100"/>
      <c r="W874" s="3101"/>
      <c r="X874" s="3071"/>
      <c r="Y874" s="3101"/>
      <c r="Z874" s="3067">
        <f t="shared" si="34"/>
        <v>0</v>
      </c>
      <c r="AA874" s="3112"/>
      <c r="AB874" s="3112"/>
      <c r="AC874" s="3124"/>
      <c r="AD874" s="3125"/>
      <c r="AE874" s="3125"/>
      <c r="AF874" s="3125"/>
      <c r="AG874" s="3125"/>
      <c r="AH874" s="3125"/>
      <c r="AI874" s="3125"/>
    </row>
    <row r="875" s="6" customFormat="1" ht="46" spans="1:35">
      <c r="A875" s="3011"/>
      <c r="B875" s="3012"/>
      <c r="C875" s="3013"/>
      <c r="D875" s="3013"/>
      <c r="E875" s="3018"/>
      <c r="F875" s="3018"/>
      <c r="G875" s="3018"/>
      <c r="H875" s="3018"/>
      <c r="I875" s="3018"/>
      <c r="J875" s="3018"/>
      <c r="K875" s="3025"/>
      <c r="L875" s="3011"/>
      <c r="M875" s="1277">
        <v>7</v>
      </c>
      <c r="N875" s="3051" t="s">
        <v>5081</v>
      </c>
      <c r="O875" s="3052">
        <v>0.1</v>
      </c>
      <c r="P875" s="3053">
        <f>K869*O875</f>
        <v>160201.33</v>
      </c>
      <c r="Q875" s="3078"/>
      <c r="R875" s="1288"/>
      <c r="S875" s="3079"/>
      <c r="T875" s="3080"/>
      <c r="U875" s="3079"/>
      <c r="V875" s="3102"/>
      <c r="W875" s="3103"/>
      <c r="X875" s="3078"/>
      <c r="Y875" s="3103"/>
      <c r="Z875" s="3067">
        <f t="shared" si="34"/>
        <v>0</v>
      </c>
      <c r="AA875" s="3113"/>
      <c r="AB875" s="3113"/>
      <c r="AC875" s="3126"/>
      <c r="AD875" s="3127"/>
      <c r="AE875" s="3127"/>
      <c r="AF875" s="3127"/>
      <c r="AG875" s="3127"/>
      <c r="AH875" s="3127"/>
      <c r="AI875" s="3127"/>
    </row>
    <row r="876" s="6" customFormat="1" ht="30" customHeight="1" spans="1:35">
      <c r="A876" s="1454" t="s">
        <v>1951</v>
      </c>
      <c r="B876" s="3014">
        <v>45547</v>
      </c>
      <c r="C876" s="1456" t="s">
        <v>5752</v>
      </c>
      <c r="D876" s="1456"/>
      <c r="E876" s="1485" t="s">
        <v>5753</v>
      </c>
      <c r="F876" s="1485" t="s">
        <v>5754</v>
      </c>
      <c r="G876" s="1485" t="s">
        <v>3723</v>
      </c>
      <c r="H876" s="1485" t="s">
        <v>5710</v>
      </c>
      <c r="I876" s="1485"/>
      <c r="J876" s="1485"/>
      <c r="K876" s="3026">
        <v>1086344</v>
      </c>
      <c r="L876" s="1512" t="s">
        <v>126</v>
      </c>
      <c r="M876" s="1547">
        <v>1</v>
      </c>
      <c r="N876" s="1547" t="s">
        <v>5755</v>
      </c>
      <c r="O876" s="3054">
        <v>0.1</v>
      </c>
      <c r="P876" s="3055">
        <f>K876*O876</f>
        <v>108634.4</v>
      </c>
      <c r="Q876" s="1872">
        <v>108634.4</v>
      </c>
      <c r="R876" s="1454" t="s">
        <v>4603</v>
      </c>
      <c r="S876" s="3081">
        <v>45653</v>
      </c>
      <c r="T876" s="3082">
        <v>108634.4</v>
      </c>
      <c r="U876" s="3081">
        <v>45653</v>
      </c>
      <c r="V876" s="3104">
        <v>108634.4</v>
      </c>
      <c r="W876" s="3105">
        <v>45664</v>
      </c>
      <c r="X876" s="3055">
        <v>108634.4</v>
      </c>
      <c r="Y876" s="3105">
        <v>45684</v>
      </c>
      <c r="Z876" s="1872">
        <f t="shared" si="34"/>
        <v>0</v>
      </c>
      <c r="AA876" s="61"/>
      <c r="AB876" s="61"/>
      <c r="AC876" s="3128"/>
      <c r="AD876" s="3129"/>
      <c r="AE876" s="3129"/>
      <c r="AF876" s="3129"/>
      <c r="AG876" s="3129"/>
      <c r="AH876" s="3129"/>
      <c r="AI876" s="3129"/>
    </row>
    <row r="877" s="6" customFormat="1" ht="30" customHeight="1" spans="1:35">
      <c r="A877" s="1454"/>
      <c r="B877" s="3015"/>
      <c r="C877" s="1765"/>
      <c r="D877" s="1765"/>
      <c r="E877" s="1813"/>
      <c r="F877" s="1813"/>
      <c r="G877" s="1813"/>
      <c r="H877" s="1813"/>
      <c r="I877" s="1813"/>
      <c r="J877" s="1813"/>
      <c r="K877" s="3027"/>
      <c r="L877" s="1814"/>
      <c r="M877" s="1547">
        <v>2</v>
      </c>
      <c r="N877" s="1547" t="s">
        <v>5756</v>
      </c>
      <c r="O877" s="3054">
        <v>0.35</v>
      </c>
      <c r="P877" s="3055">
        <f>K876*O877</f>
        <v>380220.4</v>
      </c>
      <c r="Q877" s="1872">
        <v>380220.4</v>
      </c>
      <c r="R877" s="1454" t="s">
        <v>4603</v>
      </c>
      <c r="S877" s="3081">
        <v>45653</v>
      </c>
      <c r="T877" s="3082">
        <v>380220.4</v>
      </c>
      <c r="U877" s="3081">
        <v>45653</v>
      </c>
      <c r="V877" s="3104">
        <v>380220.4</v>
      </c>
      <c r="W877" s="3105">
        <v>45664</v>
      </c>
      <c r="X877" s="3055">
        <v>380220.4</v>
      </c>
      <c r="Y877" s="3105">
        <v>45684</v>
      </c>
      <c r="Z877" s="1872">
        <f t="shared" si="34"/>
        <v>0</v>
      </c>
      <c r="AA877" s="61"/>
      <c r="AB877" s="61"/>
      <c r="AC877" s="3128"/>
      <c r="AD877" s="3129"/>
      <c r="AE877" s="3129"/>
      <c r="AF877" s="3129"/>
      <c r="AG877" s="3129"/>
      <c r="AH877" s="3129"/>
      <c r="AI877" s="3129"/>
    </row>
    <row r="878" s="6" customFormat="1" ht="30" customHeight="1" spans="1:35">
      <c r="A878" s="1454"/>
      <c r="B878" s="3015"/>
      <c r="C878" s="1765"/>
      <c r="D878" s="1765"/>
      <c r="E878" s="1813"/>
      <c r="F878" s="1813"/>
      <c r="G878" s="1813"/>
      <c r="H878" s="1813"/>
      <c r="I878" s="1813"/>
      <c r="J878" s="1813"/>
      <c r="K878" s="3027"/>
      <c r="L878" s="1814"/>
      <c r="M878" s="1547">
        <v>3</v>
      </c>
      <c r="N878" s="1547" t="s">
        <v>5757</v>
      </c>
      <c r="O878" s="3054">
        <v>0.15</v>
      </c>
      <c r="P878" s="3055">
        <f>K876*O878</f>
        <v>162951.6</v>
      </c>
      <c r="Q878" s="1872">
        <v>162951.6</v>
      </c>
      <c r="R878" s="1454" t="s">
        <v>4603</v>
      </c>
      <c r="S878" s="3081">
        <v>45854</v>
      </c>
      <c r="T878" s="3083">
        <v>162951.6</v>
      </c>
      <c r="U878" s="3081">
        <v>45854</v>
      </c>
      <c r="V878" s="3083">
        <v>162951.6</v>
      </c>
      <c r="W878" s="3081">
        <v>45854</v>
      </c>
      <c r="X878" s="1872">
        <v>162951.6</v>
      </c>
      <c r="Y878" s="3081">
        <v>45868</v>
      </c>
      <c r="Z878" s="1872">
        <f t="shared" si="34"/>
        <v>0</v>
      </c>
      <c r="AA878" s="61"/>
      <c r="AB878" s="61"/>
      <c r="AC878" s="3128"/>
      <c r="AD878" s="3129"/>
      <c r="AE878" s="3129"/>
      <c r="AF878" s="3129"/>
      <c r="AG878" s="3129"/>
      <c r="AH878" s="3129"/>
      <c r="AI878" s="3129"/>
    </row>
    <row r="879" s="6" customFormat="1" ht="30" customHeight="1" spans="1:35">
      <c r="A879" s="1454"/>
      <c r="B879" s="3015"/>
      <c r="C879" s="1765"/>
      <c r="D879" s="1765"/>
      <c r="E879" s="1813"/>
      <c r="F879" s="1813"/>
      <c r="G879" s="1813"/>
      <c r="H879" s="1813"/>
      <c r="I879" s="1813"/>
      <c r="J879" s="1813"/>
      <c r="K879" s="3027"/>
      <c r="L879" s="1814"/>
      <c r="M879" s="1547">
        <v>4</v>
      </c>
      <c r="N879" s="1547" t="s">
        <v>5758</v>
      </c>
      <c r="O879" s="3054">
        <v>0.25</v>
      </c>
      <c r="P879" s="3055">
        <f>K876*O879</f>
        <v>271586</v>
      </c>
      <c r="Q879" s="1872">
        <v>271586</v>
      </c>
      <c r="R879" s="1454" t="s">
        <v>4603</v>
      </c>
      <c r="S879" s="3081">
        <v>45881</v>
      </c>
      <c r="T879" s="1872">
        <v>271586</v>
      </c>
      <c r="U879" s="3081">
        <v>45881</v>
      </c>
      <c r="V879" s="1872">
        <v>271586</v>
      </c>
      <c r="W879" s="3081">
        <v>45881</v>
      </c>
      <c r="X879" s="1872">
        <v>271586</v>
      </c>
      <c r="Y879" s="3081">
        <v>45894</v>
      </c>
      <c r="Z879" s="1872">
        <f t="shared" si="34"/>
        <v>0</v>
      </c>
      <c r="AA879" s="61"/>
      <c r="AB879" s="61"/>
      <c r="AC879" s="3128"/>
      <c r="AD879" s="3129"/>
      <c r="AE879" s="3129"/>
      <c r="AF879" s="3129"/>
      <c r="AG879" s="3129"/>
      <c r="AH879" s="3129"/>
      <c r="AI879" s="3129"/>
    </row>
    <row r="880" s="6" customFormat="1" ht="30" customHeight="1" spans="1:35">
      <c r="A880" s="1454"/>
      <c r="B880" s="3016"/>
      <c r="C880" s="1767"/>
      <c r="D880" s="1767"/>
      <c r="E880" s="1815"/>
      <c r="F880" s="1815"/>
      <c r="G880" s="1815"/>
      <c r="H880" s="1815"/>
      <c r="I880" s="1815"/>
      <c r="J880" s="1815"/>
      <c r="K880" s="3028"/>
      <c r="L880" s="1816"/>
      <c r="M880" s="1547">
        <v>5</v>
      </c>
      <c r="N880" s="1547" t="s">
        <v>5759</v>
      </c>
      <c r="O880" s="3054">
        <v>0.15</v>
      </c>
      <c r="P880" s="3055">
        <f>K876*O880</f>
        <v>162951.6</v>
      </c>
      <c r="Q880" s="1872"/>
      <c r="R880" s="1454"/>
      <c r="S880" s="3081"/>
      <c r="T880" s="3083"/>
      <c r="U880" s="3081"/>
      <c r="V880" s="3104"/>
      <c r="W880" s="3105"/>
      <c r="X880" s="1872"/>
      <c r="Y880" s="3105"/>
      <c r="Z880" s="1872">
        <f t="shared" si="34"/>
        <v>0</v>
      </c>
      <c r="AA880" s="61"/>
      <c r="AB880" s="61"/>
      <c r="AC880" s="3128"/>
      <c r="AD880" s="3129"/>
      <c r="AE880" s="3129"/>
      <c r="AF880" s="3129"/>
      <c r="AG880" s="3129"/>
      <c r="AH880" s="3129"/>
      <c r="AI880" s="3129"/>
    </row>
    <row r="881" s="6" customFormat="1" ht="30" customHeight="1" spans="1:35">
      <c r="A881" s="1224" t="s">
        <v>1951</v>
      </c>
      <c r="B881" s="2881">
        <v>45500</v>
      </c>
      <c r="C881" s="2058" t="s">
        <v>5752</v>
      </c>
      <c r="D881" s="2058"/>
      <c r="E881" s="1270" t="s">
        <v>5760</v>
      </c>
      <c r="F881" s="1270" t="s">
        <v>5761</v>
      </c>
      <c r="G881" s="1270" t="s">
        <v>5762</v>
      </c>
      <c r="H881" s="1270" t="s">
        <v>5763</v>
      </c>
      <c r="I881" s="1270">
        <v>1152.09</v>
      </c>
      <c r="J881" s="1270" t="s">
        <v>5764</v>
      </c>
      <c r="K881" s="2916">
        <v>1036881</v>
      </c>
      <c r="L881" s="1268" t="s">
        <v>126</v>
      </c>
      <c r="M881" s="1274">
        <v>1</v>
      </c>
      <c r="N881" s="3056" t="s">
        <v>5765</v>
      </c>
      <c r="O881" s="2947">
        <v>0.15</v>
      </c>
      <c r="P881" s="2948">
        <f>K881*O881</f>
        <v>155532.15</v>
      </c>
      <c r="Q881" s="2968">
        <v>155532.15</v>
      </c>
      <c r="R881" s="1224" t="s">
        <v>4603</v>
      </c>
      <c r="S881" s="2969">
        <v>45651</v>
      </c>
      <c r="T881" s="3084">
        <v>155532.15</v>
      </c>
      <c r="U881" s="2969">
        <v>45651</v>
      </c>
      <c r="V881" s="3084">
        <v>155532.15</v>
      </c>
      <c r="W881" s="2985">
        <v>45665</v>
      </c>
      <c r="X881" s="3084">
        <v>155532.15</v>
      </c>
      <c r="Y881" s="2985">
        <v>45681</v>
      </c>
      <c r="Z881" s="2968">
        <f t="shared" si="34"/>
        <v>0</v>
      </c>
      <c r="AA881" s="2991"/>
      <c r="AB881" s="2991"/>
      <c r="AC881" s="2998"/>
      <c r="AD881" s="2999"/>
      <c r="AE881" s="2999"/>
      <c r="AF881" s="2999"/>
      <c r="AG881" s="2999"/>
      <c r="AH881" s="2999"/>
      <c r="AI881" s="2999"/>
    </row>
    <row r="882" s="6" customFormat="1" ht="30" customHeight="1" spans="1:35">
      <c r="A882" s="1224"/>
      <c r="B882" s="2882"/>
      <c r="C882" s="2883"/>
      <c r="D882" s="2883"/>
      <c r="E882" s="1273"/>
      <c r="F882" s="1273"/>
      <c r="G882" s="1273"/>
      <c r="H882" s="1273"/>
      <c r="I882" s="1273"/>
      <c r="J882" s="1273"/>
      <c r="K882" s="2917"/>
      <c r="L882" s="1271"/>
      <c r="M882" s="1274">
        <v>2</v>
      </c>
      <c r="N882" s="3056" t="s">
        <v>5623</v>
      </c>
      <c r="O882" s="2947">
        <v>0.25</v>
      </c>
      <c r="P882" s="2948">
        <f>K881*O882</f>
        <v>259220.25</v>
      </c>
      <c r="Q882" s="2968">
        <v>259220.25</v>
      </c>
      <c r="R882" s="1224" t="s">
        <v>4603</v>
      </c>
      <c r="S882" s="2969">
        <v>45651</v>
      </c>
      <c r="T882" s="3084">
        <v>259220.25</v>
      </c>
      <c r="U882" s="2969">
        <v>45651</v>
      </c>
      <c r="V882" s="3084">
        <v>259220.25</v>
      </c>
      <c r="W882" s="2985">
        <v>45665</v>
      </c>
      <c r="X882" s="3084">
        <v>259220.25</v>
      </c>
      <c r="Y882" s="2985">
        <v>45681</v>
      </c>
      <c r="Z882" s="2968">
        <f t="shared" si="34"/>
        <v>0</v>
      </c>
      <c r="AA882" s="2991"/>
      <c r="AB882" s="2991"/>
      <c r="AC882" s="2998"/>
      <c r="AD882" s="2999"/>
      <c r="AE882" s="2999"/>
      <c r="AF882" s="2999"/>
      <c r="AG882" s="2999"/>
      <c r="AH882" s="2999"/>
      <c r="AI882" s="2999"/>
    </row>
    <row r="883" s="6" customFormat="1" ht="30" customHeight="1" spans="1:35">
      <c r="A883" s="1224"/>
      <c r="B883" s="2882"/>
      <c r="C883" s="2883"/>
      <c r="D883" s="2883"/>
      <c r="E883" s="1273"/>
      <c r="F883" s="1273"/>
      <c r="G883" s="1273"/>
      <c r="H883" s="1273"/>
      <c r="I883" s="1273"/>
      <c r="J883" s="1273"/>
      <c r="K883" s="2917"/>
      <c r="L883" s="1271"/>
      <c r="M883" s="1274">
        <v>3</v>
      </c>
      <c r="N883" s="3056" t="s">
        <v>5077</v>
      </c>
      <c r="O883" s="2947">
        <v>0.2</v>
      </c>
      <c r="P883" s="2948">
        <f>K881*O883</f>
        <v>207376.2</v>
      </c>
      <c r="Q883" s="2968">
        <v>207376.2</v>
      </c>
      <c r="R883" s="1224" t="s">
        <v>4603</v>
      </c>
      <c r="S883" s="2969">
        <v>45651</v>
      </c>
      <c r="T883" s="3084">
        <v>207376.2</v>
      </c>
      <c r="U883" s="2969">
        <v>45651</v>
      </c>
      <c r="V883" s="3084">
        <v>207376.2</v>
      </c>
      <c r="W883" s="2985">
        <v>45665</v>
      </c>
      <c r="X883" s="3084">
        <v>207376.2</v>
      </c>
      <c r="Y883" s="2985">
        <v>45681</v>
      </c>
      <c r="Z883" s="2968">
        <f t="shared" si="34"/>
        <v>0</v>
      </c>
      <c r="AA883" s="2991"/>
      <c r="AB883" s="2991"/>
      <c r="AC883" s="2998"/>
      <c r="AD883" s="2999"/>
      <c r="AE883" s="2999"/>
      <c r="AF883" s="2999"/>
      <c r="AG883" s="2999"/>
      <c r="AH883" s="2999"/>
      <c r="AI883" s="2999"/>
    </row>
    <row r="884" s="6" customFormat="1" ht="30" customHeight="1" spans="1:35">
      <c r="A884" s="1224"/>
      <c r="B884" s="2882"/>
      <c r="C884" s="2883"/>
      <c r="D884" s="2883"/>
      <c r="E884" s="1273"/>
      <c r="F884" s="1273"/>
      <c r="G884" s="1273"/>
      <c r="H884" s="1273"/>
      <c r="I884" s="1273"/>
      <c r="J884" s="1273"/>
      <c r="K884" s="2917"/>
      <c r="L884" s="1271"/>
      <c r="M884" s="1274">
        <v>4</v>
      </c>
      <c r="N884" s="3056" t="s">
        <v>5624</v>
      </c>
      <c r="O884" s="2947">
        <v>0.2</v>
      </c>
      <c r="P884" s="2948">
        <f>K881*O884</f>
        <v>207376.2</v>
      </c>
      <c r="Q884" s="2968">
        <v>207376.2</v>
      </c>
      <c r="R884" s="1224" t="s">
        <v>4603</v>
      </c>
      <c r="S884" s="2969">
        <v>45651</v>
      </c>
      <c r="T884" s="3084">
        <v>207376.2</v>
      </c>
      <c r="U884" s="2969">
        <v>45651</v>
      </c>
      <c r="V884" s="3084">
        <v>207376.2</v>
      </c>
      <c r="W884" s="2985">
        <v>45665</v>
      </c>
      <c r="X884" s="3084">
        <v>207376.2</v>
      </c>
      <c r="Y884" s="2985">
        <v>45681</v>
      </c>
      <c r="Z884" s="2968">
        <f t="shared" si="34"/>
        <v>0</v>
      </c>
      <c r="AA884" s="2991"/>
      <c r="AB884" s="2991"/>
      <c r="AC884" s="2998"/>
      <c r="AD884" s="2999"/>
      <c r="AE884" s="2999"/>
      <c r="AF884" s="2999"/>
      <c r="AG884" s="2999"/>
      <c r="AH884" s="2999"/>
      <c r="AI884" s="2999"/>
    </row>
    <row r="885" s="6" customFormat="1" ht="30" customHeight="1" spans="1:35">
      <c r="A885" s="1224"/>
      <c r="B885" s="2882"/>
      <c r="C885" s="2883"/>
      <c r="D885" s="2883"/>
      <c r="E885" s="1273"/>
      <c r="F885" s="1273"/>
      <c r="G885" s="1273"/>
      <c r="H885" s="1273"/>
      <c r="I885" s="1273"/>
      <c r="J885" s="1273"/>
      <c r="K885" s="2917"/>
      <c r="L885" s="1271"/>
      <c r="M885" s="1274">
        <v>5</v>
      </c>
      <c r="N885" s="3056" t="s">
        <v>5079</v>
      </c>
      <c r="O885" s="2947">
        <v>0.05</v>
      </c>
      <c r="P885" s="2948">
        <f>K881*O885</f>
        <v>51844.05</v>
      </c>
      <c r="Q885" s="2968">
        <v>51844.05</v>
      </c>
      <c r="R885" s="1224" t="s">
        <v>4603</v>
      </c>
      <c r="S885" s="2969">
        <v>45883</v>
      </c>
      <c r="T885" s="2973">
        <v>51844.05</v>
      </c>
      <c r="U885" s="2969">
        <v>45883</v>
      </c>
      <c r="V885" s="2986">
        <v>51844.05</v>
      </c>
      <c r="W885" s="2969">
        <v>45883</v>
      </c>
      <c r="X885" s="2968">
        <v>51844.05</v>
      </c>
      <c r="Y885" s="2969">
        <v>45896</v>
      </c>
      <c r="Z885" s="2968">
        <f t="shared" si="34"/>
        <v>0</v>
      </c>
      <c r="AA885" s="2991"/>
      <c r="AB885" s="2991"/>
      <c r="AC885" s="2998"/>
      <c r="AD885" s="2999"/>
      <c r="AE885" s="2999"/>
      <c r="AF885" s="2999"/>
      <c r="AG885" s="2999"/>
      <c r="AH885" s="2999"/>
      <c r="AI885" s="2999"/>
    </row>
    <row r="886" s="6" customFormat="1" ht="30" customHeight="1" spans="1:35">
      <c r="A886" s="1224"/>
      <c r="B886" s="2882"/>
      <c r="C886" s="2883"/>
      <c r="D886" s="2883"/>
      <c r="E886" s="1273"/>
      <c r="F886" s="1273"/>
      <c r="G886" s="1273"/>
      <c r="H886" s="1273"/>
      <c r="I886" s="1273"/>
      <c r="J886" s="1273"/>
      <c r="K886" s="2917"/>
      <c r="L886" s="1271"/>
      <c r="M886" s="1274">
        <v>6</v>
      </c>
      <c r="N886" s="3056" t="s">
        <v>5080</v>
      </c>
      <c r="O886" s="2947">
        <v>0.05</v>
      </c>
      <c r="P886" s="2948">
        <f>K881*O886</f>
        <v>51844.05</v>
      </c>
      <c r="Q886" s="2968">
        <v>51844.05</v>
      </c>
      <c r="R886" s="1224" t="s">
        <v>4603</v>
      </c>
      <c r="S886" s="2969">
        <v>45883</v>
      </c>
      <c r="T886" s="2973">
        <v>51844.05</v>
      </c>
      <c r="U886" s="2969">
        <v>45883</v>
      </c>
      <c r="V886" s="2986">
        <v>51844.05</v>
      </c>
      <c r="W886" s="2969">
        <v>45883</v>
      </c>
      <c r="X886" s="2968">
        <v>51844.05</v>
      </c>
      <c r="Y886" s="2969">
        <v>45896</v>
      </c>
      <c r="Z886" s="2968">
        <f t="shared" si="34"/>
        <v>0</v>
      </c>
      <c r="AA886" s="2991"/>
      <c r="AB886" s="2991"/>
      <c r="AC886" s="2998"/>
      <c r="AD886" s="2999"/>
      <c r="AE886" s="2999"/>
      <c r="AF886" s="2999"/>
      <c r="AG886" s="2999"/>
      <c r="AH886" s="2999"/>
      <c r="AI886" s="2999"/>
    </row>
    <row r="887" s="6" customFormat="1" ht="40" customHeight="1" spans="1:35">
      <c r="A887" s="1224"/>
      <c r="B887" s="2884"/>
      <c r="C887" s="2885"/>
      <c r="D887" s="2885"/>
      <c r="E887" s="2899"/>
      <c r="F887" s="2899"/>
      <c r="G887" s="2899"/>
      <c r="H887" s="2899"/>
      <c r="I887" s="2899"/>
      <c r="J887" s="2899"/>
      <c r="K887" s="2918"/>
      <c r="L887" s="1440"/>
      <c r="M887" s="1274">
        <v>7</v>
      </c>
      <c r="N887" s="3056" t="s">
        <v>5081</v>
      </c>
      <c r="O887" s="2947">
        <v>0.1</v>
      </c>
      <c r="P887" s="2948">
        <f>K881*O887</f>
        <v>103688.1</v>
      </c>
      <c r="Q887" s="2968"/>
      <c r="R887" s="1224"/>
      <c r="S887" s="2969"/>
      <c r="T887" s="2973"/>
      <c r="U887" s="2969"/>
      <c r="V887" s="2986"/>
      <c r="W887" s="2985"/>
      <c r="X887" s="2968"/>
      <c r="Y887" s="2985"/>
      <c r="Z887" s="2968">
        <f t="shared" si="34"/>
        <v>0</v>
      </c>
      <c r="AA887" s="2991"/>
      <c r="AB887" s="2991"/>
      <c r="AC887" s="2998"/>
      <c r="AD887" s="2999"/>
      <c r="AE887" s="2999"/>
      <c r="AF887" s="2999"/>
      <c r="AG887" s="2999"/>
      <c r="AH887" s="2999"/>
      <c r="AI887" s="2999"/>
    </row>
    <row r="888" s="6" customFormat="1" ht="41.65" customHeight="1" spans="1:35">
      <c r="A888" s="2558" t="s">
        <v>1951</v>
      </c>
      <c r="B888" s="2528">
        <v>45542</v>
      </c>
      <c r="C888" s="2529" t="s">
        <v>5752</v>
      </c>
      <c r="D888" s="2529"/>
      <c r="E888" s="2565" t="s">
        <v>5766</v>
      </c>
      <c r="F888" s="2565" t="s">
        <v>5767</v>
      </c>
      <c r="G888" s="2565" t="s">
        <v>5768</v>
      </c>
      <c r="H888" s="2565" t="s">
        <v>5769</v>
      </c>
      <c r="I888" s="2565" t="s">
        <v>171</v>
      </c>
      <c r="J888" s="2565" t="s">
        <v>997</v>
      </c>
      <c r="K888" s="2581">
        <v>330000</v>
      </c>
      <c r="L888" s="2527" t="s">
        <v>126</v>
      </c>
      <c r="M888" s="2573">
        <v>1</v>
      </c>
      <c r="N888" s="2573" t="s">
        <v>5770</v>
      </c>
      <c r="O888" s="2616">
        <v>0.3</v>
      </c>
      <c r="P888" s="2703">
        <f>K888*O888</f>
        <v>99000</v>
      </c>
      <c r="Q888" s="2669">
        <v>99000</v>
      </c>
      <c r="R888" s="2558" t="s">
        <v>4603</v>
      </c>
      <c r="S888" s="2670">
        <v>45657</v>
      </c>
      <c r="T888" s="2669">
        <v>99000</v>
      </c>
      <c r="U888" s="2670">
        <v>45657</v>
      </c>
      <c r="V888" s="2669">
        <v>99000</v>
      </c>
      <c r="W888" s="2729">
        <v>45660</v>
      </c>
      <c r="X888" s="2669">
        <v>99000</v>
      </c>
      <c r="Y888" s="2729">
        <v>45684</v>
      </c>
      <c r="Z888" s="2669">
        <f t="shared" si="34"/>
        <v>0</v>
      </c>
      <c r="AA888" s="2734"/>
      <c r="AB888" s="2734"/>
      <c r="AC888" s="2747"/>
      <c r="AD888" s="2614"/>
      <c r="AE888" s="2614"/>
      <c r="AF888" s="2614"/>
      <c r="AG888" s="2614"/>
      <c r="AH888" s="2614"/>
      <c r="AI888" s="2614"/>
    </row>
    <row r="889" s="6" customFormat="1" ht="41.65" customHeight="1" spans="1:35">
      <c r="A889" s="2558"/>
      <c r="B889" s="2532"/>
      <c r="C889" s="2774"/>
      <c r="D889" s="2774"/>
      <c r="E889" s="2785"/>
      <c r="F889" s="2785"/>
      <c r="G889" s="2785"/>
      <c r="H889" s="2785"/>
      <c r="I889" s="2785"/>
      <c r="J889" s="2785"/>
      <c r="K889" s="2582"/>
      <c r="L889" s="2795"/>
      <c r="M889" s="2573">
        <v>2</v>
      </c>
      <c r="N889" s="2573" t="s">
        <v>5771</v>
      </c>
      <c r="O889" s="2616">
        <v>0.4</v>
      </c>
      <c r="P889" s="2617">
        <f>K888*O889</f>
        <v>132000</v>
      </c>
      <c r="Q889" s="2669">
        <v>132000</v>
      </c>
      <c r="R889" s="2558" t="s">
        <v>4603</v>
      </c>
      <c r="S889" s="2670">
        <v>45881</v>
      </c>
      <c r="T889" s="2669">
        <v>132000</v>
      </c>
      <c r="U889" s="2670">
        <v>45881</v>
      </c>
      <c r="V889" s="2669">
        <v>132000</v>
      </c>
      <c r="W889" s="2670">
        <v>45884</v>
      </c>
      <c r="X889" s="2669">
        <v>132000</v>
      </c>
      <c r="Y889" s="2670">
        <v>45894</v>
      </c>
      <c r="Z889" s="2669">
        <f t="shared" si="34"/>
        <v>0</v>
      </c>
      <c r="AA889" s="2734"/>
      <c r="AB889" s="2734"/>
      <c r="AC889" s="2747"/>
      <c r="AD889" s="2614"/>
      <c r="AE889" s="2614"/>
      <c r="AF889" s="2614"/>
      <c r="AG889" s="2614"/>
      <c r="AH889" s="2614"/>
      <c r="AI889" s="2614"/>
    </row>
    <row r="890" s="6" customFormat="1" ht="41.65" customHeight="1" spans="1:35">
      <c r="A890" s="2558"/>
      <c r="B890" s="2532"/>
      <c r="C890" s="2774"/>
      <c r="D890" s="2774"/>
      <c r="E890" s="2785"/>
      <c r="F890" s="2785"/>
      <c r="G890" s="2785"/>
      <c r="H890" s="2785"/>
      <c r="I890" s="2785"/>
      <c r="J890" s="2785"/>
      <c r="K890" s="2582"/>
      <c r="L890" s="2795"/>
      <c r="M890" s="2573">
        <v>3</v>
      </c>
      <c r="N890" s="2573" t="s">
        <v>5772</v>
      </c>
      <c r="O890" s="2616">
        <v>0.15</v>
      </c>
      <c r="P890" s="2617">
        <f>K888*O890</f>
        <v>49500</v>
      </c>
      <c r="Q890" s="2669">
        <v>49500</v>
      </c>
      <c r="R890" s="2558" t="s">
        <v>4603</v>
      </c>
      <c r="S890" s="2670">
        <v>45881</v>
      </c>
      <c r="T890" s="2669">
        <v>49500</v>
      </c>
      <c r="U890" s="2670">
        <v>45881</v>
      </c>
      <c r="V890" s="2669">
        <v>49500</v>
      </c>
      <c r="W890" s="2670">
        <v>45884</v>
      </c>
      <c r="X890" s="2669">
        <v>49500</v>
      </c>
      <c r="Y890" s="2670">
        <v>45894</v>
      </c>
      <c r="Z890" s="2669">
        <f t="shared" si="34"/>
        <v>0</v>
      </c>
      <c r="AA890" s="2734"/>
      <c r="AB890" s="2734"/>
      <c r="AC890" s="2747"/>
      <c r="AD890" s="2614"/>
      <c r="AE890" s="2614"/>
      <c r="AF890" s="2614"/>
      <c r="AG890" s="2614"/>
      <c r="AH890" s="2614"/>
      <c r="AI890" s="2614"/>
    </row>
    <row r="891" s="6" customFormat="1" ht="41.65" customHeight="1" spans="1:35">
      <c r="A891" s="2558"/>
      <c r="B891" s="2536"/>
      <c r="C891" s="2776"/>
      <c r="D891" s="2776"/>
      <c r="E891" s="2786"/>
      <c r="F891" s="2786"/>
      <c r="G891" s="2786"/>
      <c r="H891" s="2786"/>
      <c r="I891" s="2786"/>
      <c r="J891" s="2786"/>
      <c r="K891" s="2583"/>
      <c r="L891" s="2797"/>
      <c r="M891" s="2573">
        <v>4</v>
      </c>
      <c r="N891" s="2573" t="s">
        <v>5773</v>
      </c>
      <c r="O891" s="2616">
        <v>0.15</v>
      </c>
      <c r="P891" s="2617">
        <f>K888*O891</f>
        <v>49500</v>
      </c>
      <c r="Q891" s="2669"/>
      <c r="R891" s="2558"/>
      <c r="S891" s="2670"/>
      <c r="T891" s="2593"/>
      <c r="U891" s="2670"/>
      <c r="V891" s="2728"/>
      <c r="W891" s="2729"/>
      <c r="X891" s="2669"/>
      <c r="Y891" s="2729"/>
      <c r="Z891" s="2669">
        <f t="shared" si="34"/>
        <v>0</v>
      </c>
      <c r="AA891" s="2734"/>
      <c r="AB891" s="2734"/>
      <c r="AC891" s="2747"/>
      <c r="AD891" s="2614"/>
      <c r="AE891" s="2614"/>
      <c r="AF891" s="2614"/>
      <c r="AG891" s="2614"/>
      <c r="AH891" s="2614"/>
      <c r="AI891" s="2614"/>
    </row>
    <row r="892" s="6" customFormat="1" ht="41.65" customHeight="1" spans="1:35">
      <c r="A892" s="1454" t="s">
        <v>1951</v>
      </c>
      <c r="B892" s="3017">
        <v>45629</v>
      </c>
      <c r="C892" s="1547" t="s">
        <v>5774</v>
      </c>
      <c r="D892" s="1454"/>
      <c r="E892" s="1547" t="s">
        <v>5775</v>
      </c>
      <c r="F892" s="1547" t="s">
        <v>5776</v>
      </c>
      <c r="G892" s="1547" t="s">
        <v>3569</v>
      </c>
      <c r="H892" s="1547" t="s">
        <v>5400</v>
      </c>
      <c r="I892" s="1547" t="s">
        <v>5777</v>
      </c>
      <c r="J892" s="1547" t="s">
        <v>5778</v>
      </c>
      <c r="K892" s="3029">
        <v>917391.68</v>
      </c>
      <c r="L892" s="1547" t="s">
        <v>126</v>
      </c>
      <c r="M892" s="1815">
        <v>1</v>
      </c>
      <c r="N892" s="1547" t="s">
        <v>5779</v>
      </c>
      <c r="O892" s="3054">
        <v>0.2</v>
      </c>
      <c r="P892" s="3055">
        <f>K892*O892</f>
        <v>183478.336</v>
      </c>
      <c r="Q892" s="3085">
        <v>183475.7</v>
      </c>
      <c r="R892" s="1816" t="s">
        <v>4603</v>
      </c>
      <c r="S892" s="3086">
        <v>45821</v>
      </c>
      <c r="T892" s="3085">
        <v>183475.7</v>
      </c>
      <c r="U892" s="3086">
        <v>45821</v>
      </c>
      <c r="V892" s="3085">
        <v>183475.7</v>
      </c>
      <c r="W892" s="3086">
        <v>45821</v>
      </c>
      <c r="X892" s="3085">
        <v>183475.7</v>
      </c>
      <c r="Y892" s="3086">
        <v>45838</v>
      </c>
      <c r="Z892" s="3087">
        <f t="shared" si="34"/>
        <v>0</v>
      </c>
      <c r="AA892" s="3114"/>
      <c r="AB892" s="3114"/>
      <c r="AC892" s="3130"/>
      <c r="AD892" s="3131"/>
      <c r="AE892" s="3131"/>
      <c r="AF892" s="3131"/>
      <c r="AG892" s="3131"/>
      <c r="AH892" s="3131"/>
      <c r="AI892" s="3131"/>
    </row>
    <row r="893" s="6" customFormat="1" ht="41.65" customHeight="1" spans="1:35">
      <c r="A893" s="1454"/>
      <c r="B893" s="1454"/>
      <c r="C893" s="1547"/>
      <c r="D893" s="1454"/>
      <c r="E893" s="1547"/>
      <c r="F893" s="1547"/>
      <c r="G893" s="1547"/>
      <c r="H893" s="1547"/>
      <c r="I893" s="1547"/>
      <c r="J893" s="1547"/>
      <c r="K893" s="3029"/>
      <c r="L893" s="1547"/>
      <c r="M893" s="1815">
        <v>2</v>
      </c>
      <c r="N893" s="1547" t="s">
        <v>5780</v>
      </c>
      <c r="O893" s="3054">
        <v>0.3</v>
      </c>
      <c r="P893" s="3055">
        <f>K892*O893</f>
        <v>275217.504</v>
      </c>
      <c r="Q893" s="3085">
        <v>275213.54</v>
      </c>
      <c r="R893" s="1816" t="s">
        <v>4603</v>
      </c>
      <c r="S893" s="3086">
        <v>45821</v>
      </c>
      <c r="T893" s="3085">
        <v>275213.54</v>
      </c>
      <c r="U893" s="3086">
        <v>45821</v>
      </c>
      <c r="V893" s="3085">
        <v>275213.54</v>
      </c>
      <c r="W893" s="3086">
        <v>45821</v>
      </c>
      <c r="X893" s="3085">
        <v>275213.54</v>
      </c>
      <c r="Y893" s="3086">
        <v>45838</v>
      </c>
      <c r="Z893" s="3087">
        <f t="shared" si="34"/>
        <v>0</v>
      </c>
      <c r="AA893" s="3114"/>
      <c r="AB893" s="3114"/>
      <c r="AC893" s="3130"/>
      <c r="AD893" s="3131"/>
      <c r="AE893" s="3131"/>
      <c r="AF893" s="3131"/>
      <c r="AG893" s="3131"/>
      <c r="AH893" s="3131"/>
      <c r="AI893" s="3131"/>
    </row>
    <row r="894" s="6" customFormat="1" ht="41.65" customHeight="1" spans="1:35">
      <c r="A894" s="1454"/>
      <c r="B894" s="1454"/>
      <c r="C894" s="1547"/>
      <c r="D894" s="1454"/>
      <c r="E894" s="1547"/>
      <c r="F894" s="1547"/>
      <c r="G894" s="1547"/>
      <c r="H894" s="1547"/>
      <c r="I894" s="1547"/>
      <c r="J894" s="1547"/>
      <c r="K894" s="3029"/>
      <c r="L894" s="1547"/>
      <c r="M894" s="1815">
        <v>3</v>
      </c>
      <c r="N894" s="1547" t="s">
        <v>5781</v>
      </c>
      <c r="O894" s="3054">
        <v>0.2</v>
      </c>
      <c r="P894" s="3055">
        <f>K892*O894</f>
        <v>183478.336</v>
      </c>
      <c r="Q894" s="3085">
        <v>183475.7</v>
      </c>
      <c r="R894" s="1816" t="s">
        <v>4603</v>
      </c>
      <c r="S894" s="3086">
        <v>45821</v>
      </c>
      <c r="T894" s="3085">
        <v>183475.7</v>
      </c>
      <c r="U894" s="3086">
        <v>45821</v>
      </c>
      <c r="V894" s="3085">
        <v>183475.7</v>
      </c>
      <c r="W894" s="3086">
        <v>45821</v>
      </c>
      <c r="X894" s="3085">
        <v>183475.7</v>
      </c>
      <c r="Y894" s="3086">
        <v>45838</v>
      </c>
      <c r="Z894" s="3087">
        <f t="shared" si="34"/>
        <v>0</v>
      </c>
      <c r="AA894" s="3114"/>
      <c r="AB894" s="3114"/>
      <c r="AC894" s="3130"/>
      <c r="AD894" s="3131"/>
      <c r="AE894" s="3131"/>
      <c r="AF894" s="3131"/>
      <c r="AG894" s="3131"/>
      <c r="AH894" s="3131"/>
      <c r="AI894" s="3131"/>
    </row>
    <row r="895" s="6" customFormat="1" ht="41.65" customHeight="1" spans="1:35">
      <c r="A895" s="1454"/>
      <c r="B895" s="1454"/>
      <c r="C895" s="1547"/>
      <c r="D895" s="1454"/>
      <c r="E895" s="1547"/>
      <c r="F895" s="1547"/>
      <c r="G895" s="1547"/>
      <c r="H895" s="1547"/>
      <c r="I895" s="1547"/>
      <c r="J895" s="1547"/>
      <c r="K895" s="3029"/>
      <c r="L895" s="1547"/>
      <c r="M895" s="1815">
        <v>4</v>
      </c>
      <c r="N895" s="1547" t="s">
        <v>5782</v>
      </c>
      <c r="O895" s="3054">
        <v>0.05</v>
      </c>
      <c r="P895" s="3055">
        <f>K892*O895</f>
        <v>45869.584</v>
      </c>
      <c r="Q895" s="3087">
        <v>45869.584</v>
      </c>
      <c r="R895" s="3088" t="s">
        <v>349</v>
      </c>
      <c r="S895" s="3089">
        <v>46021</v>
      </c>
      <c r="T895" s="3028"/>
      <c r="U895" s="3086"/>
      <c r="V895" s="3106"/>
      <c r="W895" s="3107"/>
      <c r="X895" s="3087">
        <v>45869.584</v>
      </c>
      <c r="Y895" s="3089">
        <v>46078</v>
      </c>
      <c r="Z895" s="3087">
        <f t="shared" si="34"/>
        <v>0</v>
      </c>
      <c r="AA895" s="3114"/>
      <c r="AB895" s="3114"/>
      <c r="AC895" s="3130"/>
      <c r="AD895" s="3131"/>
      <c r="AE895" s="3131"/>
      <c r="AF895" s="3131"/>
      <c r="AG895" s="3131"/>
      <c r="AH895" s="3131"/>
      <c r="AI895" s="3131"/>
    </row>
    <row r="896" s="6" customFormat="1" ht="41.65" customHeight="1" spans="1:35">
      <c r="A896" s="1454"/>
      <c r="B896" s="1454"/>
      <c r="C896" s="1547"/>
      <c r="D896" s="1454"/>
      <c r="E896" s="1547"/>
      <c r="F896" s="1547"/>
      <c r="G896" s="1547"/>
      <c r="H896" s="1547"/>
      <c r="I896" s="1547"/>
      <c r="J896" s="1547"/>
      <c r="K896" s="3029"/>
      <c r="L896" s="1547"/>
      <c r="M896" s="1815">
        <v>5</v>
      </c>
      <c r="N896" s="1547" t="s">
        <v>5054</v>
      </c>
      <c r="O896" s="3054">
        <v>0.1</v>
      </c>
      <c r="P896" s="3055">
        <f>K892*O896</f>
        <v>91739.168</v>
      </c>
      <c r="Q896" s="3087">
        <v>91739.168</v>
      </c>
      <c r="R896" s="3088" t="s">
        <v>349</v>
      </c>
      <c r="S896" s="3089">
        <v>46021</v>
      </c>
      <c r="T896" s="3028"/>
      <c r="U896" s="3086"/>
      <c r="V896" s="3106"/>
      <c r="W896" s="3107"/>
      <c r="X896" s="3087">
        <v>91739.168</v>
      </c>
      <c r="Y896" s="3089">
        <v>46078</v>
      </c>
      <c r="Z896" s="3087">
        <f t="shared" si="34"/>
        <v>0</v>
      </c>
      <c r="AA896" s="3114"/>
      <c r="AB896" s="3114"/>
      <c r="AC896" s="3130"/>
      <c r="AD896" s="3131"/>
      <c r="AE896" s="3131"/>
      <c r="AF896" s="3131"/>
      <c r="AG896" s="3131"/>
      <c r="AH896" s="3131"/>
      <c r="AI896" s="3131"/>
    </row>
    <row r="897" s="6" customFormat="1" ht="41.65" customHeight="1" spans="1:35">
      <c r="A897" s="1454"/>
      <c r="B897" s="1454"/>
      <c r="C897" s="1547"/>
      <c r="D897" s="1454"/>
      <c r="E897" s="1547"/>
      <c r="F897" s="1547"/>
      <c r="G897" s="1547"/>
      <c r="H897" s="1547"/>
      <c r="I897" s="1547"/>
      <c r="J897" s="1547"/>
      <c r="K897" s="3029"/>
      <c r="L897" s="1547"/>
      <c r="M897" s="1815">
        <v>6</v>
      </c>
      <c r="N897" s="1547" t="s">
        <v>5167</v>
      </c>
      <c r="O897" s="3054">
        <v>0.05</v>
      </c>
      <c r="P897" s="3055">
        <f>K892*O897</f>
        <v>45869.584</v>
      </c>
      <c r="Q897" s="3085"/>
      <c r="R897" s="1816"/>
      <c r="S897" s="3086"/>
      <c r="T897" s="3028"/>
      <c r="U897" s="3086"/>
      <c r="V897" s="3106"/>
      <c r="W897" s="3107"/>
      <c r="X897" s="3085"/>
      <c r="Y897" s="3107"/>
      <c r="Z897" s="3087">
        <f t="shared" si="34"/>
        <v>0</v>
      </c>
      <c r="AA897" s="3114"/>
      <c r="AB897" s="3114"/>
      <c r="AC897" s="3130"/>
      <c r="AD897" s="3131"/>
      <c r="AE897" s="3131"/>
      <c r="AF897" s="3131"/>
      <c r="AG897" s="3131"/>
      <c r="AH897" s="3131"/>
      <c r="AI897" s="3131"/>
    </row>
    <row r="898" s="6" customFormat="1" ht="76" spans="1:35">
      <c r="A898" s="1454"/>
      <c r="B898" s="1454"/>
      <c r="C898" s="1547"/>
      <c r="D898" s="1454"/>
      <c r="E898" s="1547"/>
      <c r="F898" s="1547"/>
      <c r="G898" s="1547"/>
      <c r="H898" s="1547"/>
      <c r="I898" s="1547"/>
      <c r="J898" s="1547"/>
      <c r="K898" s="3029"/>
      <c r="L898" s="1547"/>
      <c r="M898" s="1815">
        <v>7</v>
      </c>
      <c r="N898" s="1547" t="s">
        <v>3325</v>
      </c>
      <c r="O898" s="3054">
        <v>0.1</v>
      </c>
      <c r="P898" s="3055">
        <f>K892*O898</f>
        <v>91739.168</v>
      </c>
      <c r="Q898" s="3085"/>
      <c r="R898" s="1816"/>
      <c r="S898" s="3086"/>
      <c r="T898" s="3028"/>
      <c r="U898" s="3086"/>
      <c r="V898" s="3106"/>
      <c r="W898" s="3107"/>
      <c r="X898" s="3085"/>
      <c r="Y898" s="3107"/>
      <c r="Z898" s="3087">
        <f t="shared" si="34"/>
        <v>0</v>
      </c>
      <c r="AA898" s="3114"/>
      <c r="AB898" s="3114"/>
      <c r="AC898" s="3130"/>
      <c r="AD898" s="3131"/>
      <c r="AE898" s="3131"/>
      <c r="AF898" s="3131"/>
      <c r="AG898" s="3131"/>
      <c r="AH898" s="3131"/>
      <c r="AI898" s="3131"/>
    </row>
    <row r="899" s="6" customFormat="1" ht="92" spans="1:35">
      <c r="A899" s="1795" t="s">
        <v>1951</v>
      </c>
      <c r="B899" s="3132">
        <v>45611</v>
      </c>
      <c r="C899" s="1795" t="s">
        <v>5774</v>
      </c>
      <c r="D899" s="418"/>
      <c r="E899" s="1795" t="s">
        <v>5783</v>
      </c>
      <c r="F899" s="1795" t="s">
        <v>5784</v>
      </c>
      <c r="G899" s="1795" t="s">
        <v>813</v>
      </c>
      <c r="H899" s="1795" t="s">
        <v>5128</v>
      </c>
      <c r="I899" s="1795"/>
      <c r="J899" s="1795"/>
      <c r="K899" s="3150">
        <v>292971.6</v>
      </c>
      <c r="L899" s="1795" t="s">
        <v>126</v>
      </c>
      <c r="M899" s="2604">
        <v>1</v>
      </c>
      <c r="N899" s="1795" t="s">
        <v>5513</v>
      </c>
      <c r="O899" s="2598">
        <v>0.15</v>
      </c>
      <c r="P899" s="2599">
        <f>K899*O899</f>
        <v>43945.74</v>
      </c>
      <c r="Q899" s="1907">
        <v>43945.74</v>
      </c>
      <c r="R899" s="2653" t="s">
        <v>4603</v>
      </c>
      <c r="S899" s="2654">
        <v>45821</v>
      </c>
      <c r="T899" s="1907">
        <v>43945.74</v>
      </c>
      <c r="U899" s="2654">
        <v>45821</v>
      </c>
      <c r="V899" s="1907">
        <v>43945.74</v>
      </c>
      <c r="W899" s="2654">
        <v>45821</v>
      </c>
      <c r="X899" s="1907">
        <v>43945.74</v>
      </c>
      <c r="Y899" s="2654">
        <v>45838</v>
      </c>
      <c r="Z899" s="3203">
        <f t="shared" si="34"/>
        <v>0</v>
      </c>
      <c r="AA899" s="3226"/>
      <c r="AB899" s="3226"/>
      <c r="AC899" s="3246"/>
      <c r="AD899" s="2603"/>
      <c r="AE899" s="2603"/>
      <c r="AF899" s="2603"/>
      <c r="AG899" s="2603"/>
      <c r="AH899" s="2603"/>
      <c r="AI899" s="2603"/>
    </row>
    <row r="900" s="6" customFormat="1" ht="92" spans="1:35">
      <c r="A900" s="1795"/>
      <c r="B900" s="1795"/>
      <c r="C900" s="1795"/>
      <c r="D900" s="418"/>
      <c r="E900" s="1795"/>
      <c r="F900" s="1795"/>
      <c r="G900" s="1795"/>
      <c r="H900" s="1795"/>
      <c r="I900" s="1795"/>
      <c r="J900" s="1795"/>
      <c r="K900" s="3150"/>
      <c r="L900" s="1795"/>
      <c r="M900" s="2604">
        <v>2</v>
      </c>
      <c r="N900" s="1795" t="s">
        <v>5785</v>
      </c>
      <c r="O900" s="2598">
        <v>0.25</v>
      </c>
      <c r="P900" s="2599">
        <f>K899*O900</f>
        <v>73242.9</v>
      </c>
      <c r="Q900" s="1907">
        <v>73242.9</v>
      </c>
      <c r="R900" s="2653" t="s">
        <v>4603</v>
      </c>
      <c r="S900" s="2654">
        <v>45821</v>
      </c>
      <c r="T900" s="1907">
        <v>73242.9</v>
      </c>
      <c r="U900" s="2654">
        <v>45821</v>
      </c>
      <c r="V900" s="1907">
        <v>73242.9</v>
      </c>
      <c r="W900" s="2654">
        <v>45821</v>
      </c>
      <c r="X900" s="1907">
        <v>73242.9</v>
      </c>
      <c r="Y900" s="2654">
        <v>45838</v>
      </c>
      <c r="Z900" s="3203">
        <f t="shared" si="34"/>
        <v>0</v>
      </c>
      <c r="AA900" s="3226"/>
      <c r="AB900" s="3226"/>
      <c r="AC900" s="3246"/>
      <c r="AD900" s="2603"/>
      <c r="AE900" s="2603"/>
      <c r="AF900" s="2603"/>
      <c r="AG900" s="2603"/>
      <c r="AH900" s="2603"/>
      <c r="AI900" s="2603"/>
    </row>
    <row r="901" s="6" customFormat="1" ht="92" spans="1:35">
      <c r="A901" s="1795"/>
      <c r="B901" s="1795"/>
      <c r="C901" s="1795"/>
      <c r="D901" s="418"/>
      <c r="E901" s="1795"/>
      <c r="F901" s="1795"/>
      <c r="G901" s="1795"/>
      <c r="H901" s="1795"/>
      <c r="I901" s="1795"/>
      <c r="J901" s="1795"/>
      <c r="K901" s="3150"/>
      <c r="L901" s="1795"/>
      <c r="M901" s="2604">
        <v>3</v>
      </c>
      <c r="N901" s="1795" t="s">
        <v>5786</v>
      </c>
      <c r="O901" s="2598">
        <v>0.2</v>
      </c>
      <c r="P901" s="2599">
        <f>K899*O901</f>
        <v>58594.32</v>
      </c>
      <c r="Q901" s="1907">
        <v>58594.32</v>
      </c>
      <c r="R901" s="2653" t="s">
        <v>4603</v>
      </c>
      <c r="S901" s="2654">
        <v>45821</v>
      </c>
      <c r="T901" s="1907">
        <v>58594.32</v>
      </c>
      <c r="U901" s="2654">
        <v>45821</v>
      </c>
      <c r="V901" s="1907">
        <v>58594.32</v>
      </c>
      <c r="W901" s="2654">
        <v>45821</v>
      </c>
      <c r="X901" s="1907">
        <v>58594.32</v>
      </c>
      <c r="Y901" s="2654">
        <v>45838</v>
      </c>
      <c r="Z901" s="3203">
        <f t="shared" si="34"/>
        <v>0</v>
      </c>
      <c r="AA901" s="3226"/>
      <c r="AB901" s="3226"/>
      <c r="AC901" s="3246"/>
      <c r="AD901" s="2603"/>
      <c r="AE901" s="2603"/>
      <c r="AF901" s="2603"/>
      <c r="AG901" s="2603"/>
      <c r="AH901" s="2603"/>
      <c r="AI901" s="2603"/>
    </row>
    <row r="902" s="6" customFormat="1" ht="92" spans="1:35">
      <c r="A902" s="1795"/>
      <c r="B902" s="1795"/>
      <c r="C902" s="1795"/>
      <c r="D902" s="418"/>
      <c r="E902" s="1795"/>
      <c r="F902" s="1795"/>
      <c r="G902" s="1795"/>
      <c r="H902" s="1795"/>
      <c r="I902" s="1795"/>
      <c r="J902" s="1795"/>
      <c r="K902" s="3150"/>
      <c r="L902" s="1795"/>
      <c r="M902" s="2604">
        <v>4</v>
      </c>
      <c r="N902" s="1795" t="s">
        <v>5787</v>
      </c>
      <c r="O902" s="2598">
        <v>0.2</v>
      </c>
      <c r="P902" s="2599">
        <f>K899*O902</f>
        <v>58594.32</v>
      </c>
      <c r="Q902" s="1907">
        <v>58594.32</v>
      </c>
      <c r="R902" s="3168" t="s">
        <v>349</v>
      </c>
      <c r="S902" s="3169">
        <v>46021</v>
      </c>
      <c r="T902" s="2903"/>
      <c r="U902" s="2654"/>
      <c r="V902" s="3201"/>
      <c r="W902" s="3202"/>
      <c r="X902" s="3203">
        <v>58594.32</v>
      </c>
      <c r="Y902" s="3169">
        <v>46078</v>
      </c>
      <c r="Z902" s="3203">
        <f t="shared" si="34"/>
        <v>0</v>
      </c>
      <c r="AA902" s="3226"/>
      <c r="AB902" s="3226"/>
      <c r="AC902" s="3246"/>
      <c r="AD902" s="2603"/>
      <c r="AE902" s="2603"/>
      <c r="AF902" s="2603"/>
      <c r="AG902" s="2603"/>
      <c r="AH902" s="2603"/>
      <c r="AI902" s="2603"/>
    </row>
    <row r="903" s="6" customFormat="1" ht="55" customHeight="1" spans="1:35">
      <c r="A903" s="1795"/>
      <c r="B903" s="1795"/>
      <c r="C903" s="1795"/>
      <c r="D903" s="418"/>
      <c r="E903" s="1795"/>
      <c r="F903" s="1795"/>
      <c r="G903" s="1795"/>
      <c r="H903" s="1795"/>
      <c r="I903" s="1795"/>
      <c r="J903" s="1795"/>
      <c r="K903" s="3150"/>
      <c r="L903" s="1795"/>
      <c r="M903" s="2604">
        <v>5</v>
      </c>
      <c r="N903" s="1795" t="s">
        <v>5788</v>
      </c>
      <c r="O903" s="2598">
        <v>0.05</v>
      </c>
      <c r="P903" s="2599">
        <f>K899*O903</f>
        <v>14648.58</v>
      </c>
      <c r="Q903" s="1907"/>
      <c r="R903" s="2653"/>
      <c r="S903" s="2654"/>
      <c r="T903" s="2903"/>
      <c r="U903" s="2654"/>
      <c r="V903" s="3201"/>
      <c r="W903" s="3202"/>
      <c r="X903" s="1907"/>
      <c r="Y903" s="3202"/>
      <c r="Z903" s="3203">
        <f t="shared" si="34"/>
        <v>0</v>
      </c>
      <c r="AA903" s="3226"/>
      <c r="AB903" s="3226"/>
      <c r="AC903" s="3246"/>
      <c r="AD903" s="2603"/>
      <c r="AE903" s="2603"/>
      <c r="AF903" s="2603"/>
      <c r="AG903" s="2603"/>
      <c r="AH903" s="2603"/>
      <c r="AI903" s="2603"/>
    </row>
    <row r="904" s="6" customFormat="1" ht="76" spans="1:35">
      <c r="A904" s="1795"/>
      <c r="B904" s="1795"/>
      <c r="C904" s="1795"/>
      <c r="D904" s="418"/>
      <c r="E904" s="1795"/>
      <c r="F904" s="1795"/>
      <c r="G904" s="1795"/>
      <c r="H904" s="1795"/>
      <c r="I904" s="1795"/>
      <c r="J904" s="1795"/>
      <c r="K904" s="3150"/>
      <c r="L904" s="1795"/>
      <c r="M904" s="2604">
        <v>6</v>
      </c>
      <c r="N904" s="1795" t="s">
        <v>5642</v>
      </c>
      <c r="O904" s="2598">
        <v>0.05</v>
      </c>
      <c r="P904" s="2599">
        <f>K899*O904</f>
        <v>14648.58</v>
      </c>
      <c r="Q904" s="1907"/>
      <c r="R904" s="2653"/>
      <c r="S904" s="2654"/>
      <c r="T904" s="2903"/>
      <c r="U904" s="2654"/>
      <c r="V904" s="3201"/>
      <c r="W904" s="3202"/>
      <c r="X904" s="1907"/>
      <c r="Y904" s="3202"/>
      <c r="Z904" s="3203">
        <f t="shared" si="34"/>
        <v>0</v>
      </c>
      <c r="AA904" s="3226"/>
      <c r="AB904" s="3226"/>
      <c r="AC904" s="3246"/>
      <c r="AD904" s="2603"/>
      <c r="AE904" s="2603"/>
      <c r="AF904" s="2603"/>
      <c r="AG904" s="2603"/>
      <c r="AH904" s="2603"/>
      <c r="AI904" s="2603"/>
    </row>
    <row r="905" s="6" customFormat="1" ht="107" spans="1:35">
      <c r="A905" s="1795"/>
      <c r="B905" s="1795"/>
      <c r="C905" s="1795"/>
      <c r="D905" s="418"/>
      <c r="E905" s="1795"/>
      <c r="F905" s="1795"/>
      <c r="G905" s="1795"/>
      <c r="H905" s="1795"/>
      <c r="I905" s="1795"/>
      <c r="J905" s="1795"/>
      <c r="K905" s="3150"/>
      <c r="L905" s="1795"/>
      <c r="M905" s="2604">
        <v>7</v>
      </c>
      <c r="N905" s="1795" t="s">
        <v>5643</v>
      </c>
      <c r="O905" s="2598">
        <v>0.1</v>
      </c>
      <c r="P905" s="2599">
        <f>K899*O905</f>
        <v>29297.16</v>
      </c>
      <c r="Q905" s="1907"/>
      <c r="R905" s="2653"/>
      <c r="S905" s="2654"/>
      <c r="T905" s="2903"/>
      <c r="U905" s="2654"/>
      <c r="V905" s="3201"/>
      <c r="W905" s="3202"/>
      <c r="X905" s="1907"/>
      <c r="Y905" s="3202"/>
      <c r="Z905" s="3203">
        <f t="shared" si="34"/>
        <v>0</v>
      </c>
      <c r="AA905" s="3226"/>
      <c r="AB905" s="3226"/>
      <c r="AC905" s="3246"/>
      <c r="AD905" s="2603"/>
      <c r="AE905" s="2603"/>
      <c r="AF905" s="2603"/>
      <c r="AG905" s="2603"/>
      <c r="AH905" s="2603"/>
      <c r="AI905" s="2603"/>
    </row>
    <row r="906" s="6" customFormat="1" ht="37.5" customHeight="1" spans="1:35">
      <c r="A906" s="1304" t="s">
        <v>1951</v>
      </c>
      <c r="B906" s="2542">
        <v>45576</v>
      </c>
      <c r="C906" s="1263" t="s">
        <v>5774</v>
      </c>
      <c r="D906" s="1263"/>
      <c r="E906" s="689" t="s">
        <v>5789</v>
      </c>
      <c r="F906" s="689" t="s">
        <v>5790</v>
      </c>
      <c r="G906" s="689" t="s">
        <v>3723</v>
      </c>
      <c r="H906" s="689" t="s">
        <v>5710</v>
      </c>
      <c r="I906" s="689"/>
      <c r="J906" s="689"/>
      <c r="K906" s="2585">
        <v>433153.28</v>
      </c>
      <c r="L906" s="1304" t="s">
        <v>126</v>
      </c>
      <c r="M906" s="691">
        <v>1</v>
      </c>
      <c r="N906" s="418" t="s">
        <v>5791</v>
      </c>
      <c r="O906" s="481">
        <v>0.1</v>
      </c>
      <c r="P906" s="2621">
        <f>K906*O906</f>
        <v>43315.328</v>
      </c>
      <c r="Q906" s="1889">
        <v>43315.328</v>
      </c>
      <c r="R906" s="801" t="s">
        <v>4603</v>
      </c>
      <c r="S906" s="2979">
        <v>45653</v>
      </c>
      <c r="T906" s="2904">
        <v>43315.328</v>
      </c>
      <c r="U906" s="2979">
        <v>45653</v>
      </c>
      <c r="V906" s="3204">
        <v>43315.328</v>
      </c>
      <c r="W906" s="3205">
        <v>45664</v>
      </c>
      <c r="X906" s="3163">
        <v>43315.328</v>
      </c>
      <c r="Y906" s="3205">
        <v>45681</v>
      </c>
      <c r="Z906" s="1889">
        <f t="shared" si="34"/>
        <v>0</v>
      </c>
      <c r="AA906" s="3227"/>
      <c r="AB906" s="3227"/>
      <c r="AC906" s="3247"/>
      <c r="AD906" s="3248"/>
      <c r="AE906" s="3248"/>
      <c r="AF906" s="3248"/>
      <c r="AG906" s="3248"/>
      <c r="AH906" s="3248"/>
      <c r="AI906" s="3248"/>
    </row>
    <row r="907" s="6" customFormat="1" ht="30" customHeight="1" spans="1:35">
      <c r="A907" s="1304"/>
      <c r="B907" s="2542"/>
      <c r="C907" s="1263"/>
      <c r="D907" s="1263"/>
      <c r="E907" s="689"/>
      <c r="F907" s="689"/>
      <c r="G907" s="689"/>
      <c r="H907" s="689"/>
      <c r="I907" s="689"/>
      <c r="J907" s="689"/>
      <c r="K907" s="2585"/>
      <c r="L907" s="1304"/>
      <c r="M907" s="691">
        <v>2</v>
      </c>
      <c r="N907" s="418" t="s">
        <v>5756</v>
      </c>
      <c r="O907" s="481">
        <v>0.35</v>
      </c>
      <c r="P907" s="2621">
        <f>K906*O907</f>
        <v>151603.648</v>
      </c>
      <c r="Q907" s="1889">
        <v>151603.648</v>
      </c>
      <c r="R907" s="393" t="s">
        <v>4603</v>
      </c>
      <c r="S907" s="2715">
        <v>45653</v>
      </c>
      <c r="T907" s="2904">
        <v>151603.648</v>
      </c>
      <c r="U907" s="2715">
        <v>45653</v>
      </c>
      <c r="V907" s="3204">
        <v>151603.648</v>
      </c>
      <c r="W907" s="3205">
        <v>45664</v>
      </c>
      <c r="X907" s="3163">
        <v>151603.648</v>
      </c>
      <c r="Y907" s="3205">
        <v>45681</v>
      </c>
      <c r="Z907" s="1889">
        <f t="shared" si="34"/>
        <v>0</v>
      </c>
      <c r="AA907" s="3227"/>
      <c r="AB907" s="3227"/>
      <c r="AC907" s="3247"/>
      <c r="AD907" s="3248"/>
      <c r="AE907" s="3248"/>
      <c r="AF907" s="3248"/>
      <c r="AG907" s="3248"/>
      <c r="AH907" s="2750"/>
      <c r="AI907" s="2750"/>
    </row>
    <row r="908" s="6" customFormat="1" ht="30" customHeight="1" spans="1:35">
      <c r="A908" s="1304"/>
      <c r="B908" s="2542"/>
      <c r="C908" s="1263"/>
      <c r="D908" s="1263"/>
      <c r="E908" s="689"/>
      <c r="F908" s="689"/>
      <c r="G908" s="689"/>
      <c r="H908" s="689"/>
      <c r="I908" s="689"/>
      <c r="J908" s="689"/>
      <c r="K908" s="2585"/>
      <c r="L908" s="1304"/>
      <c r="M908" s="691">
        <v>3</v>
      </c>
      <c r="N908" s="418" t="s">
        <v>5757</v>
      </c>
      <c r="O908" s="481">
        <v>0.15</v>
      </c>
      <c r="P908" s="2621">
        <f>K906*O908</f>
        <v>64972.992</v>
      </c>
      <c r="Q908" s="3170">
        <v>64972.992</v>
      </c>
      <c r="R908" s="519" t="s">
        <v>349</v>
      </c>
      <c r="S908" s="2819">
        <v>46021</v>
      </c>
      <c r="T908" s="3171"/>
      <c r="U908" s="2979"/>
      <c r="V908" s="3204"/>
      <c r="W908" s="3205"/>
      <c r="X908" s="3170">
        <v>64972.992</v>
      </c>
      <c r="Y908" s="2819">
        <v>46078</v>
      </c>
      <c r="Z908" s="1889">
        <f t="shared" si="34"/>
        <v>0</v>
      </c>
      <c r="AA908" s="3227"/>
      <c r="AB908" s="3227"/>
      <c r="AC908" s="3247"/>
      <c r="AD908" s="3248"/>
      <c r="AE908" s="3248"/>
      <c r="AF908" s="3248"/>
      <c r="AG908" s="3248"/>
      <c r="AH908" s="2750"/>
      <c r="AI908" s="2750"/>
    </row>
    <row r="909" s="6" customFormat="1" ht="30" customHeight="1" spans="1:35">
      <c r="A909" s="1304"/>
      <c r="B909" s="2542"/>
      <c r="C909" s="1263"/>
      <c r="D909" s="1263"/>
      <c r="E909" s="689"/>
      <c r="F909" s="689"/>
      <c r="G909" s="689"/>
      <c r="H909" s="689"/>
      <c r="I909" s="689"/>
      <c r="J909" s="689"/>
      <c r="K909" s="2585"/>
      <c r="L909" s="1304"/>
      <c r="M909" s="691">
        <v>4</v>
      </c>
      <c r="N909" s="418" t="s">
        <v>5758</v>
      </c>
      <c r="O909" s="481">
        <v>0.25</v>
      </c>
      <c r="P909" s="2621">
        <f>K906*O909</f>
        <v>108288.32</v>
      </c>
      <c r="Q909" s="3170">
        <v>108288.32</v>
      </c>
      <c r="R909" s="519" t="s">
        <v>349</v>
      </c>
      <c r="S909" s="2819">
        <v>46111</v>
      </c>
      <c r="T909" s="3171"/>
      <c r="U909" s="2979"/>
      <c r="V909" s="3204"/>
      <c r="W909" s="3205"/>
      <c r="X909" s="3170">
        <v>108288.32</v>
      </c>
      <c r="Y909" s="2819">
        <v>46142</v>
      </c>
      <c r="Z909" s="1889">
        <f t="shared" si="34"/>
        <v>0</v>
      </c>
      <c r="AA909" s="3227"/>
      <c r="AB909" s="3227"/>
      <c r="AC909" s="3247"/>
      <c r="AD909" s="3248"/>
      <c r="AE909" s="3248"/>
      <c r="AF909" s="3248"/>
      <c r="AG909" s="3248"/>
      <c r="AH909" s="2750"/>
      <c r="AI909" s="2750"/>
    </row>
    <row r="910" s="6" customFormat="1" ht="30" customHeight="1" spans="1:35">
      <c r="A910" s="1304"/>
      <c r="B910" s="2542"/>
      <c r="C910" s="1263"/>
      <c r="D910" s="1263"/>
      <c r="E910" s="689"/>
      <c r="F910" s="689"/>
      <c r="G910" s="689"/>
      <c r="H910" s="689"/>
      <c r="I910" s="689"/>
      <c r="J910" s="689"/>
      <c r="K910" s="2585"/>
      <c r="L910" s="1304"/>
      <c r="M910" s="691">
        <v>5</v>
      </c>
      <c r="N910" s="418" t="s">
        <v>5759</v>
      </c>
      <c r="O910" s="481">
        <v>0.15</v>
      </c>
      <c r="P910" s="2621"/>
      <c r="Q910" s="1889"/>
      <c r="R910" s="393"/>
      <c r="S910" s="2715"/>
      <c r="T910" s="3171"/>
      <c r="U910" s="2979"/>
      <c r="V910" s="3204"/>
      <c r="W910" s="3205"/>
      <c r="X910" s="1889"/>
      <c r="Y910" s="2717"/>
      <c r="Z910" s="1889">
        <f t="shared" si="34"/>
        <v>0</v>
      </c>
      <c r="AA910" s="3227"/>
      <c r="AB910" s="3227"/>
      <c r="AC910" s="3247"/>
      <c r="AD910" s="3248"/>
      <c r="AE910" s="3248"/>
      <c r="AF910" s="3248"/>
      <c r="AG910" s="3248"/>
      <c r="AH910" s="2750"/>
      <c r="AI910" s="2750"/>
    </row>
    <row r="911" s="20" customFormat="1" ht="46" spans="1:35">
      <c r="A911" s="1274" t="s">
        <v>1951</v>
      </c>
      <c r="B911" s="3133">
        <v>45814</v>
      </c>
      <c r="C911" s="1274" t="s">
        <v>2330</v>
      </c>
      <c r="D911" s="393"/>
      <c r="E911" s="1274" t="s">
        <v>5792</v>
      </c>
      <c r="F911" s="1274" t="s">
        <v>5793</v>
      </c>
      <c r="G911" s="1274" t="s">
        <v>3569</v>
      </c>
      <c r="H911" s="1274" t="s">
        <v>4638</v>
      </c>
      <c r="I911" s="1274"/>
      <c r="J911" s="1274"/>
      <c r="K911" s="1672">
        <v>1756092.1</v>
      </c>
      <c r="L911" s="1274" t="s">
        <v>126</v>
      </c>
      <c r="M911" s="1274">
        <v>1</v>
      </c>
      <c r="N911" s="1274" t="s">
        <v>3320</v>
      </c>
      <c r="O911" s="2947">
        <v>0.2</v>
      </c>
      <c r="P911" s="3156">
        <f>K911*O911</f>
        <v>351218.42</v>
      </c>
      <c r="Q911" s="3172">
        <v>351218.42</v>
      </c>
      <c r="R911" s="1274" t="s">
        <v>4603</v>
      </c>
      <c r="S911" s="3173">
        <v>45897</v>
      </c>
      <c r="T911" s="3172">
        <v>351218.42</v>
      </c>
      <c r="U911" s="3173">
        <v>45897</v>
      </c>
      <c r="V911" s="3206">
        <v>351218.42</v>
      </c>
      <c r="W911" s="3207">
        <v>45943</v>
      </c>
      <c r="X911" s="3172">
        <v>351218.42</v>
      </c>
      <c r="Y911" s="3173">
        <v>45961</v>
      </c>
      <c r="Z911" s="3172">
        <f t="shared" si="34"/>
        <v>0</v>
      </c>
      <c r="AA911" s="3228"/>
      <c r="AB911" s="3228"/>
      <c r="AC911" s="2998"/>
      <c r="AD911" s="3249"/>
      <c r="AE911" s="3249"/>
      <c r="AF911" s="3249"/>
      <c r="AG911" s="3249"/>
      <c r="AH911" s="3249"/>
      <c r="AI911" s="3249"/>
    </row>
    <row r="912" s="20" customFormat="1" ht="46" spans="1:35">
      <c r="A912" s="1274"/>
      <c r="B912" s="1274"/>
      <c r="C912" s="1274"/>
      <c r="D912" s="393"/>
      <c r="E912" s="1274"/>
      <c r="F912" s="1274"/>
      <c r="G912" s="1274"/>
      <c r="H912" s="1274"/>
      <c r="I912" s="1274"/>
      <c r="J912" s="1274"/>
      <c r="K912" s="1672"/>
      <c r="L912" s="1274"/>
      <c r="M912" s="1274">
        <v>2</v>
      </c>
      <c r="N912" s="1274" t="s">
        <v>3321</v>
      </c>
      <c r="O912" s="2947">
        <v>0.3</v>
      </c>
      <c r="P912" s="3156">
        <f>K911*O912</f>
        <v>526827.63</v>
      </c>
      <c r="Q912" s="3172">
        <v>526827.63</v>
      </c>
      <c r="R912" s="1274" t="s">
        <v>4603</v>
      </c>
      <c r="S912" s="3173">
        <v>45897</v>
      </c>
      <c r="T912" s="3172">
        <v>526827.63</v>
      </c>
      <c r="U912" s="3173">
        <v>45897</v>
      </c>
      <c r="V912" s="3206">
        <v>526827.63</v>
      </c>
      <c r="W912" s="3207">
        <v>45943</v>
      </c>
      <c r="X912" s="3172">
        <v>526827.63</v>
      </c>
      <c r="Y912" s="3173">
        <v>45961</v>
      </c>
      <c r="Z912" s="3172">
        <f t="shared" si="34"/>
        <v>0</v>
      </c>
      <c r="AA912" s="3228"/>
      <c r="AB912" s="3228"/>
      <c r="AC912" s="2998"/>
      <c r="AD912" s="3249"/>
      <c r="AE912" s="3249"/>
      <c r="AF912" s="3249"/>
      <c r="AG912" s="3249"/>
      <c r="AH912" s="3249"/>
      <c r="AI912" s="3249"/>
    </row>
    <row r="913" s="20" customFormat="1" ht="46" spans="1:35">
      <c r="A913" s="1274"/>
      <c r="B913" s="1274"/>
      <c r="C913" s="1274"/>
      <c r="D913" s="393"/>
      <c r="E913" s="1274"/>
      <c r="F913" s="1274"/>
      <c r="G913" s="1274"/>
      <c r="H913" s="1274"/>
      <c r="I913" s="1274"/>
      <c r="J913" s="1274"/>
      <c r="K913" s="1672"/>
      <c r="L913" s="1274"/>
      <c r="M913" s="1274">
        <v>3</v>
      </c>
      <c r="N913" s="1274" t="s">
        <v>3322</v>
      </c>
      <c r="O913" s="2947">
        <v>0.2</v>
      </c>
      <c r="P913" s="3156">
        <f>K911*O913</f>
        <v>351218.42</v>
      </c>
      <c r="Q913" s="3172">
        <v>351218.42</v>
      </c>
      <c r="R913" s="1274" t="s">
        <v>4603</v>
      </c>
      <c r="S913" s="3173">
        <v>45897</v>
      </c>
      <c r="T913" s="3172">
        <v>351218.42</v>
      </c>
      <c r="U913" s="3173">
        <v>45897</v>
      </c>
      <c r="V913" s="3206">
        <v>351218.42</v>
      </c>
      <c r="W913" s="3207">
        <v>45943</v>
      </c>
      <c r="X913" s="3172">
        <v>351218.42</v>
      </c>
      <c r="Y913" s="3173">
        <v>45961</v>
      </c>
      <c r="Z913" s="3172">
        <f t="shared" si="34"/>
        <v>0</v>
      </c>
      <c r="AA913" s="3228"/>
      <c r="AB913" s="3228"/>
      <c r="AC913" s="2998"/>
      <c r="AD913" s="3249"/>
      <c r="AE913" s="3249"/>
      <c r="AF913" s="3249"/>
      <c r="AG913" s="3249"/>
      <c r="AH913" s="3249"/>
      <c r="AI913" s="3249"/>
    </row>
    <row r="914" s="20" customFormat="1" ht="46" spans="1:35">
      <c r="A914" s="1274"/>
      <c r="B914" s="1274"/>
      <c r="C914" s="1274"/>
      <c r="D914" s="393"/>
      <c r="E914" s="1274"/>
      <c r="F914" s="1274"/>
      <c r="G914" s="1274"/>
      <c r="H914" s="1274"/>
      <c r="I914" s="1274"/>
      <c r="J914" s="1274"/>
      <c r="K914" s="1672"/>
      <c r="L914" s="1274"/>
      <c r="M914" s="1274">
        <v>4</v>
      </c>
      <c r="N914" s="1274" t="s">
        <v>5054</v>
      </c>
      <c r="O914" s="2947">
        <v>0.15</v>
      </c>
      <c r="P914" s="3156">
        <f>K911*O914</f>
        <v>263413.815</v>
      </c>
      <c r="Q914" s="3174">
        <v>263413.815</v>
      </c>
      <c r="R914" s="1603" t="s">
        <v>349</v>
      </c>
      <c r="S914" s="3175">
        <v>46078</v>
      </c>
      <c r="T914" s="3176"/>
      <c r="U914" s="3173"/>
      <c r="V914" s="3206"/>
      <c r="W914" s="3207"/>
      <c r="X914" s="3174">
        <v>263413.815</v>
      </c>
      <c r="Y914" s="3175">
        <v>46111</v>
      </c>
      <c r="Z914" s="3172">
        <f t="shared" si="34"/>
        <v>0</v>
      </c>
      <c r="AA914" s="3228"/>
      <c r="AB914" s="3228"/>
      <c r="AC914" s="2998"/>
      <c r="AD914" s="3249"/>
      <c r="AE914" s="3249"/>
      <c r="AF914" s="3249"/>
      <c r="AG914" s="3249"/>
      <c r="AH914" s="3249"/>
      <c r="AI914" s="3249"/>
    </row>
    <row r="915" s="20" customFormat="1" ht="107" spans="1:35">
      <c r="A915" s="1274"/>
      <c r="B915" s="1274"/>
      <c r="C915" s="1274"/>
      <c r="D915" s="393"/>
      <c r="E915" s="1274"/>
      <c r="F915" s="1274"/>
      <c r="G915" s="1274"/>
      <c r="H915" s="1274"/>
      <c r="I915" s="1274"/>
      <c r="J915" s="1274"/>
      <c r="K915" s="1672"/>
      <c r="L915" s="1274"/>
      <c r="M915" s="1274">
        <v>5</v>
      </c>
      <c r="N915" s="1274" t="s">
        <v>5794</v>
      </c>
      <c r="O915" s="2947">
        <v>0.05</v>
      </c>
      <c r="P915" s="3156">
        <f>K911*O915</f>
        <v>87804.605</v>
      </c>
      <c r="Q915" s="3172"/>
      <c r="R915" s="1274"/>
      <c r="S915" s="3173"/>
      <c r="T915" s="3176"/>
      <c r="U915" s="3173"/>
      <c r="V915" s="3206"/>
      <c r="W915" s="3207"/>
      <c r="X915" s="3172"/>
      <c r="Y915" s="3229"/>
      <c r="Z915" s="3172">
        <f t="shared" si="34"/>
        <v>0</v>
      </c>
      <c r="AA915" s="3228"/>
      <c r="AB915" s="3228"/>
      <c r="AC915" s="2998"/>
      <c r="AD915" s="3249"/>
      <c r="AE915" s="3249"/>
      <c r="AF915" s="3249"/>
      <c r="AG915" s="3249"/>
      <c r="AH915" s="3249"/>
      <c r="AI915" s="3249"/>
    </row>
    <row r="916" s="20" customFormat="1" ht="76" spans="1:35">
      <c r="A916" s="1274"/>
      <c r="B916" s="1274"/>
      <c r="C916" s="1274"/>
      <c r="D916" s="393"/>
      <c r="E916" s="1274"/>
      <c r="F916" s="1274"/>
      <c r="G916" s="1274"/>
      <c r="H916" s="1274"/>
      <c r="I916" s="1274"/>
      <c r="J916" s="1274"/>
      <c r="K916" s="1672"/>
      <c r="L916" s="1274"/>
      <c r="M916" s="1274">
        <v>6</v>
      </c>
      <c r="N916" s="1274" t="s">
        <v>3325</v>
      </c>
      <c r="O916" s="2947">
        <v>0.1</v>
      </c>
      <c r="P916" s="3156">
        <f>K911*O916</f>
        <v>175609.21</v>
      </c>
      <c r="Q916" s="3172"/>
      <c r="R916" s="1274"/>
      <c r="S916" s="3173"/>
      <c r="T916" s="3176"/>
      <c r="U916" s="3173"/>
      <c r="V916" s="3206"/>
      <c r="W916" s="3207"/>
      <c r="X916" s="3172"/>
      <c r="Y916" s="3229"/>
      <c r="Z916" s="3172">
        <f t="shared" si="34"/>
        <v>0</v>
      </c>
      <c r="AA916" s="3228"/>
      <c r="AB916" s="3228"/>
      <c r="AC916" s="2998"/>
      <c r="AD916" s="3249"/>
      <c r="AE916" s="3249"/>
      <c r="AF916" s="3249"/>
      <c r="AG916" s="3249"/>
      <c r="AH916" s="3249"/>
      <c r="AI916" s="3249"/>
    </row>
    <row r="917" s="21" customFormat="1" ht="46" spans="1:35">
      <c r="A917" s="689" t="s">
        <v>1951</v>
      </c>
      <c r="B917" s="3134">
        <v>45792</v>
      </c>
      <c r="C917" s="689" t="s">
        <v>2330</v>
      </c>
      <c r="D917" s="1304"/>
      <c r="E917" s="689" t="s">
        <v>5795</v>
      </c>
      <c r="F917" s="689" t="s">
        <v>5796</v>
      </c>
      <c r="G917" s="689" t="s">
        <v>3579</v>
      </c>
      <c r="H917" s="689" t="s">
        <v>5663</v>
      </c>
      <c r="I917" s="689"/>
      <c r="J917" s="689"/>
      <c r="K917" s="3151">
        <v>677200</v>
      </c>
      <c r="L917" s="689" t="s">
        <v>126</v>
      </c>
      <c r="M917" s="691">
        <v>1</v>
      </c>
      <c r="N917" s="691" t="s">
        <v>2093</v>
      </c>
      <c r="O917" s="2928">
        <v>0.1</v>
      </c>
      <c r="P917" s="3157">
        <f>K917*O917</f>
        <v>67720</v>
      </c>
      <c r="Q917" s="3177">
        <v>67720</v>
      </c>
      <c r="R917" s="418" t="s">
        <v>4603</v>
      </c>
      <c r="S917" s="3178">
        <v>45897</v>
      </c>
      <c r="T917" s="3177">
        <v>67720</v>
      </c>
      <c r="U917" s="3178">
        <v>45897</v>
      </c>
      <c r="V917" s="3208">
        <v>67720</v>
      </c>
      <c r="W917" s="3209">
        <v>45943</v>
      </c>
      <c r="X917" s="3177">
        <v>67720</v>
      </c>
      <c r="Y917" s="3178">
        <v>45961</v>
      </c>
      <c r="Z917" s="3179">
        <f t="shared" si="34"/>
        <v>0</v>
      </c>
      <c r="AA917" s="3230"/>
      <c r="AB917" s="3230"/>
      <c r="AC917" s="2749"/>
      <c r="AD917" s="3250"/>
      <c r="AE917" s="3250"/>
      <c r="AF917" s="3250"/>
      <c r="AG917" s="3250"/>
      <c r="AH917" s="2543"/>
      <c r="AI917" s="2543"/>
    </row>
    <row r="918" s="21" customFormat="1" ht="46" spans="1:35">
      <c r="A918" s="689"/>
      <c r="B918" s="689"/>
      <c r="C918" s="689"/>
      <c r="D918" s="1304"/>
      <c r="E918" s="689"/>
      <c r="F918" s="689"/>
      <c r="G918" s="689"/>
      <c r="H918" s="689"/>
      <c r="I918" s="689"/>
      <c r="J918" s="689"/>
      <c r="K918" s="3151"/>
      <c r="L918" s="689"/>
      <c r="M918" s="691">
        <v>2</v>
      </c>
      <c r="N918" s="691" t="s">
        <v>2034</v>
      </c>
      <c r="O918" s="2956" t="s">
        <v>3330</v>
      </c>
      <c r="P918" s="3157">
        <f>167200*40%</f>
        <v>66880</v>
      </c>
      <c r="Q918" s="3177">
        <v>66880</v>
      </c>
      <c r="R918" s="418" t="s">
        <v>4603</v>
      </c>
      <c r="S918" s="3178">
        <v>45897</v>
      </c>
      <c r="T918" s="3177">
        <v>66880</v>
      </c>
      <c r="U918" s="3178">
        <v>45897</v>
      </c>
      <c r="V918" s="3208">
        <v>66880</v>
      </c>
      <c r="W918" s="3209">
        <v>45943</v>
      </c>
      <c r="X918" s="3177">
        <v>66880</v>
      </c>
      <c r="Y918" s="3178">
        <v>45961</v>
      </c>
      <c r="Z918" s="3179">
        <f t="shared" si="34"/>
        <v>0</v>
      </c>
      <c r="AA918" s="3230"/>
      <c r="AB918" s="3230"/>
      <c r="AC918" s="2749"/>
      <c r="AD918" s="3250"/>
      <c r="AE918" s="3250"/>
      <c r="AF918" s="3250"/>
      <c r="AG918" s="3250"/>
      <c r="AH918" s="2543"/>
      <c r="AI918" s="2543"/>
    </row>
    <row r="919" s="21" customFormat="1" ht="46" spans="1:35">
      <c r="A919" s="689"/>
      <c r="B919" s="689"/>
      <c r="C919" s="689"/>
      <c r="D919" s="1304"/>
      <c r="E919" s="689"/>
      <c r="F919" s="689"/>
      <c r="G919" s="689"/>
      <c r="H919" s="689"/>
      <c r="I919" s="689"/>
      <c r="J919" s="689"/>
      <c r="K919" s="3151"/>
      <c r="L919" s="689"/>
      <c r="M919" s="691">
        <v>3</v>
      </c>
      <c r="N919" s="691" t="s">
        <v>2037</v>
      </c>
      <c r="O919" s="2956" t="s">
        <v>3330</v>
      </c>
      <c r="P919" s="3157">
        <f>167200*40%</f>
        <v>66880</v>
      </c>
      <c r="Q919" s="3177">
        <v>66880</v>
      </c>
      <c r="R919" s="418" t="s">
        <v>4603</v>
      </c>
      <c r="S919" s="3178">
        <v>45897</v>
      </c>
      <c r="T919" s="3177">
        <v>66880</v>
      </c>
      <c r="U919" s="3178">
        <v>45897</v>
      </c>
      <c r="V919" s="3208">
        <v>66880</v>
      </c>
      <c r="W919" s="3209">
        <v>45943</v>
      </c>
      <c r="X919" s="3177">
        <v>66880</v>
      </c>
      <c r="Y919" s="3178">
        <v>45961</v>
      </c>
      <c r="Z919" s="3179">
        <f t="shared" si="34"/>
        <v>0</v>
      </c>
      <c r="AA919" s="3230"/>
      <c r="AB919" s="3230"/>
      <c r="AC919" s="2749"/>
      <c r="AD919" s="3250"/>
      <c r="AE919" s="3250"/>
      <c r="AF919" s="3250"/>
      <c r="AG919" s="3250"/>
      <c r="AH919" s="2543"/>
      <c r="AI919" s="2543"/>
    </row>
    <row r="920" s="21" customFormat="1" ht="31" spans="1:35">
      <c r="A920" s="689"/>
      <c r="B920" s="689"/>
      <c r="C920" s="689"/>
      <c r="D920" s="1304"/>
      <c r="E920" s="689"/>
      <c r="F920" s="689"/>
      <c r="G920" s="689"/>
      <c r="H920" s="689"/>
      <c r="I920" s="689"/>
      <c r="J920" s="689"/>
      <c r="K920" s="3151"/>
      <c r="L920" s="689"/>
      <c r="M920" s="691">
        <v>4</v>
      </c>
      <c r="N920" s="691" t="s">
        <v>2043</v>
      </c>
      <c r="O920" s="2956" t="s">
        <v>3336</v>
      </c>
      <c r="P920" s="3157">
        <f>510000*15%</f>
        <v>76500</v>
      </c>
      <c r="Q920" s="3177">
        <v>76500</v>
      </c>
      <c r="R920" s="418" t="s">
        <v>4603</v>
      </c>
      <c r="S920" s="3178">
        <v>45897</v>
      </c>
      <c r="T920" s="3177">
        <v>76500</v>
      </c>
      <c r="U920" s="3178">
        <v>45897</v>
      </c>
      <c r="V920" s="3208">
        <v>76500</v>
      </c>
      <c r="W920" s="3209">
        <v>45943</v>
      </c>
      <c r="X920" s="3177">
        <v>76500</v>
      </c>
      <c r="Y920" s="3178">
        <v>45961</v>
      </c>
      <c r="Z920" s="3179">
        <f t="shared" si="34"/>
        <v>0</v>
      </c>
      <c r="AA920" s="3230"/>
      <c r="AB920" s="3230"/>
      <c r="AC920" s="2749"/>
      <c r="AD920" s="3250"/>
      <c r="AE920" s="3250"/>
      <c r="AF920" s="3250"/>
      <c r="AG920" s="3250"/>
      <c r="AH920" s="2543"/>
      <c r="AI920" s="2543"/>
    </row>
    <row r="921" s="21" customFormat="1" ht="46" spans="1:35">
      <c r="A921" s="689"/>
      <c r="B921" s="689"/>
      <c r="C921" s="689"/>
      <c r="D921" s="1304"/>
      <c r="E921" s="689"/>
      <c r="F921" s="689"/>
      <c r="G921" s="689"/>
      <c r="H921" s="689"/>
      <c r="I921" s="689"/>
      <c r="J921" s="689"/>
      <c r="K921" s="3151"/>
      <c r="L921" s="689"/>
      <c r="M921" s="691">
        <v>5</v>
      </c>
      <c r="N921" s="691" t="s">
        <v>2046</v>
      </c>
      <c r="O921" s="2956" t="s">
        <v>3341</v>
      </c>
      <c r="P921" s="3157">
        <f>510000*20%</f>
        <v>102000</v>
      </c>
      <c r="Q921" s="3177">
        <v>102000</v>
      </c>
      <c r="R921" s="418" t="s">
        <v>4603</v>
      </c>
      <c r="S921" s="3178">
        <v>45897</v>
      </c>
      <c r="T921" s="3177">
        <v>102000</v>
      </c>
      <c r="U921" s="3178">
        <v>45897</v>
      </c>
      <c r="V921" s="3208">
        <v>102000</v>
      </c>
      <c r="W921" s="3209">
        <v>45943</v>
      </c>
      <c r="X921" s="3177">
        <v>102000</v>
      </c>
      <c r="Y921" s="3178">
        <v>45961</v>
      </c>
      <c r="Z921" s="3179">
        <f t="shared" si="34"/>
        <v>0</v>
      </c>
      <c r="AA921" s="3230"/>
      <c r="AB921" s="3230"/>
      <c r="AC921" s="2749"/>
      <c r="AD921" s="3250"/>
      <c r="AE921" s="3250"/>
      <c r="AF921" s="3250"/>
      <c r="AG921" s="3250"/>
      <c r="AH921" s="2543"/>
      <c r="AI921" s="2543"/>
    </row>
    <row r="922" s="21" customFormat="1" ht="46" spans="1:35">
      <c r="A922" s="689"/>
      <c r="B922" s="689"/>
      <c r="C922" s="689"/>
      <c r="D922" s="1304"/>
      <c r="E922" s="689"/>
      <c r="F922" s="689"/>
      <c r="G922" s="689"/>
      <c r="H922" s="689"/>
      <c r="I922" s="689"/>
      <c r="J922" s="689"/>
      <c r="K922" s="3151"/>
      <c r="L922" s="689"/>
      <c r="M922" s="691">
        <v>6</v>
      </c>
      <c r="N922" s="691" t="s">
        <v>2049</v>
      </c>
      <c r="O922" s="2956" t="s">
        <v>3336</v>
      </c>
      <c r="P922" s="3157">
        <f>510000*15%</f>
        <v>76500</v>
      </c>
      <c r="Q922" s="3179">
        <v>76500</v>
      </c>
      <c r="R922" s="2184" t="s">
        <v>349</v>
      </c>
      <c r="S922" s="3180">
        <v>46078</v>
      </c>
      <c r="T922" s="3181"/>
      <c r="U922" s="3178"/>
      <c r="V922" s="3208"/>
      <c r="W922" s="3209"/>
      <c r="X922" s="3179">
        <v>76500</v>
      </c>
      <c r="Y922" s="3180">
        <v>46111</v>
      </c>
      <c r="Z922" s="3179">
        <f t="shared" ref="Z922:Z945" si="35">Q922-X922</f>
        <v>0</v>
      </c>
      <c r="AA922" s="3230"/>
      <c r="AB922" s="3230"/>
      <c r="AC922" s="2749"/>
      <c r="AD922" s="3250"/>
      <c r="AE922" s="3250"/>
      <c r="AF922" s="3250"/>
      <c r="AG922" s="3250"/>
      <c r="AH922" s="2543"/>
      <c r="AI922" s="2543"/>
    </row>
    <row r="923" s="21" customFormat="1" ht="46" spans="1:35">
      <c r="A923" s="689"/>
      <c r="B923" s="689"/>
      <c r="C923" s="689"/>
      <c r="D923" s="1304"/>
      <c r="E923" s="689"/>
      <c r="F923" s="689"/>
      <c r="G923" s="689"/>
      <c r="H923" s="689"/>
      <c r="I923" s="689"/>
      <c r="J923" s="689"/>
      <c r="K923" s="3151"/>
      <c r="L923" s="689"/>
      <c r="M923" s="691">
        <v>7</v>
      </c>
      <c r="N923" s="691" t="s">
        <v>2051</v>
      </c>
      <c r="O923" s="2956" t="s">
        <v>2139</v>
      </c>
      <c r="P923" s="3157">
        <f>510000*25%</f>
        <v>127500</v>
      </c>
      <c r="Q923" s="3179">
        <v>127500</v>
      </c>
      <c r="R923" s="2184" t="s">
        <v>349</v>
      </c>
      <c r="S923" s="3180">
        <v>46078</v>
      </c>
      <c r="T923" s="3181"/>
      <c r="U923" s="3178"/>
      <c r="V923" s="3208"/>
      <c r="W923" s="3209"/>
      <c r="X923" s="3179">
        <v>127500</v>
      </c>
      <c r="Y923" s="3180">
        <v>46111</v>
      </c>
      <c r="Z923" s="3179">
        <f t="shared" si="35"/>
        <v>0</v>
      </c>
      <c r="AA923" s="3230"/>
      <c r="AB923" s="3230"/>
      <c r="AC923" s="2749"/>
      <c r="AD923" s="3250"/>
      <c r="AE923" s="3250"/>
      <c r="AF923" s="3250"/>
      <c r="AG923" s="3250"/>
      <c r="AH923" s="2543"/>
      <c r="AI923" s="2543"/>
    </row>
    <row r="924" s="21" customFormat="1" ht="46" spans="1:35">
      <c r="A924" s="689"/>
      <c r="B924" s="689"/>
      <c r="C924" s="689"/>
      <c r="D924" s="1304"/>
      <c r="E924" s="689"/>
      <c r="F924" s="689"/>
      <c r="G924" s="689"/>
      <c r="H924" s="689"/>
      <c r="I924" s="689"/>
      <c r="J924" s="689"/>
      <c r="K924" s="3151"/>
      <c r="L924" s="689"/>
      <c r="M924" s="691">
        <v>8</v>
      </c>
      <c r="N924" s="691" t="s">
        <v>2055</v>
      </c>
      <c r="O924" s="2956" t="s">
        <v>3343</v>
      </c>
      <c r="P924" s="3157">
        <f>510000*5%</f>
        <v>25500</v>
      </c>
      <c r="Q924" s="3177"/>
      <c r="R924" s="418"/>
      <c r="S924" s="3178"/>
      <c r="T924" s="3181"/>
      <c r="U924" s="3178"/>
      <c r="V924" s="3208"/>
      <c r="W924" s="3209"/>
      <c r="X924" s="3210"/>
      <c r="Y924" s="3231"/>
      <c r="Z924" s="3179">
        <f t="shared" si="35"/>
        <v>0</v>
      </c>
      <c r="AA924" s="3230"/>
      <c r="AB924" s="3230"/>
      <c r="AC924" s="2749"/>
      <c r="AD924" s="3250"/>
      <c r="AE924" s="3250"/>
      <c r="AF924" s="3250"/>
      <c r="AG924" s="3250"/>
      <c r="AH924" s="2543"/>
      <c r="AI924" s="2543"/>
    </row>
    <row r="925" s="21" customFormat="1" ht="76" spans="1:35">
      <c r="A925" s="689"/>
      <c r="B925" s="689"/>
      <c r="C925" s="689"/>
      <c r="D925" s="1304"/>
      <c r="E925" s="689"/>
      <c r="F925" s="689"/>
      <c r="G925" s="689"/>
      <c r="H925" s="689"/>
      <c r="I925" s="689"/>
      <c r="J925" s="689"/>
      <c r="K925" s="3151"/>
      <c r="L925" s="689"/>
      <c r="M925" s="689">
        <v>9</v>
      </c>
      <c r="N925" s="689" t="s">
        <v>3347</v>
      </c>
      <c r="O925" s="3158">
        <v>0.1</v>
      </c>
      <c r="P925" s="3159">
        <f>K917*10%</f>
        <v>67720</v>
      </c>
      <c r="Q925" s="3182"/>
      <c r="R925" s="728"/>
      <c r="S925" s="3183"/>
      <c r="T925" s="3184"/>
      <c r="U925" s="3183"/>
      <c r="V925" s="3211"/>
      <c r="W925" s="3212"/>
      <c r="X925" s="3213"/>
      <c r="Y925" s="3232"/>
      <c r="Z925" s="3233">
        <f t="shared" si="35"/>
        <v>0</v>
      </c>
      <c r="AA925" s="3234"/>
      <c r="AB925" s="3234"/>
      <c r="AC925" s="2751"/>
      <c r="AD925" s="2541"/>
      <c r="AE925" s="2541"/>
      <c r="AF925" s="2541"/>
      <c r="AG925" s="2541"/>
      <c r="AH925" s="2543"/>
      <c r="AI925" s="2543"/>
    </row>
    <row r="926" s="21" customFormat="1" ht="92" spans="1:35">
      <c r="A926" s="1381" t="s">
        <v>1951</v>
      </c>
      <c r="B926" s="3135">
        <v>45792</v>
      </c>
      <c r="C926" s="1381" t="s">
        <v>2330</v>
      </c>
      <c r="D926" s="393"/>
      <c r="E926" s="1381" t="s">
        <v>5797</v>
      </c>
      <c r="F926" s="1381" t="s">
        <v>5798</v>
      </c>
      <c r="G926" s="1381" t="s">
        <v>5799</v>
      </c>
      <c r="H926" s="1381" t="s">
        <v>5800</v>
      </c>
      <c r="I926" s="1381"/>
      <c r="J926" s="1381"/>
      <c r="K926" s="3152">
        <v>421754.7</v>
      </c>
      <c r="L926" s="1381" t="s">
        <v>126</v>
      </c>
      <c r="M926" s="1381">
        <v>1</v>
      </c>
      <c r="N926" s="1381" t="s">
        <v>5801</v>
      </c>
      <c r="O926" s="2612">
        <v>0.15</v>
      </c>
      <c r="P926" s="3160">
        <f>K926*O926</f>
        <v>63263.205</v>
      </c>
      <c r="Q926" s="3185">
        <v>63263.205</v>
      </c>
      <c r="R926" s="1381" t="s">
        <v>4603</v>
      </c>
      <c r="S926" s="3186">
        <v>45897</v>
      </c>
      <c r="T926" s="3185">
        <v>63263.205</v>
      </c>
      <c r="U926" s="3186">
        <v>45897</v>
      </c>
      <c r="V926" s="3185">
        <v>63263.205</v>
      </c>
      <c r="W926" s="3214">
        <v>45943</v>
      </c>
      <c r="X926" s="3185">
        <v>63263.205</v>
      </c>
      <c r="Y926" s="3186">
        <v>45961</v>
      </c>
      <c r="Z926" s="3185">
        <f t="shared" si="35"/>
        <v>0</v>
      </c>
      <c r="AA926" s="3235"/>
      <c r="AB926" s="3235"/>
      <c r="AC926" s="2746"/>
      <c r="AD926" s="2522"/>
      <c r="AE926" s="2522"/>
      <c r="AF926" s="2522"/>
      <c r="AG926" s="2522"/>
      <c r="AH926" s="2522"/>
      <c r="AI926" s="2522"/>
    </row>
    <row r="927" s="21" customFormat="1" ht="92" spans="1:35">
      <c r="A927" s="1381"/>
      <c r="B927" s="1381"/>
      <c r="C927" s="1381"/>
      <c r="D927" s="393"/>
      <c r="E927" s="1381"/>
      <c r="F927" s="1381"/>
      <c r="G927" s="1381"/>
      <c r="H927" s="1381"/>
      <c r="I927" s="1381"/>
      <c r="J927" s="1381"/>
      <c r="K927" s="3152"/>
      <c r="L927" s="1381"/>
      <c r="M927" s="1381">
        <v>2</v>
      </c>
      <c r="N927" s="1381" t="s">
        <v>5802</v>
      </c>
      <c r="O927" s="2612">
        <v>0.25</v>
      </c>
      <c r="P927" s="3160">
        <f>K926*O927</f>
        <v>105438.675</v>
      </c>
      <c r="Q927" s="3185">
        <v>105438.675</v>
      </c>
      <c r="R927" s="1381" t="s">
        <v>4603</v>
      </c>
      <c r="S927" s="3186">
        <v>45897</v>
      </c>
      <c r="T927" s="3185">
        <v>105438.675</v>
      </c>
      <c r="U927" s="3186">
        <v>45897</v>
      </c>
      <c r="V927" s="3185">
        <v>105438.675</v>
      </c>
      <c r="W927" s="3214">
        <v>45943</v>
      </c>
      <c r="X927" s="3185">
        <v>105438.675</v>
      </c>
      <c r="Y927" s="3186">
        <v>45961</v>
      </c>
      <c r="Z927" s="3185">
        <f t="shared" si="35"/>
        <v>0</v>
      </c>
      <c r="AA927" s="3235"/>
      <c r="AB927" s="3235"/>
      <c r="AC927" s="2746"/>
      <c r="AD927" s="2522"/>
      <c r="AE927" s="2522"/>
      <c r="AF927" s="2522"/>
      <c r="AG927" s="2522"/>
      <c r="AH927" s="2522"/>
      <c r="AI927" s="2522"/>
    </row>
    <row r="928" s="21" customFormat="1" ht="92" spans="1:35">
      <c r="A928" s="1381"/>
      <c r="B928" s="1381"/>
      <c r="C928" s="1381"/>
      <c r="D928" s="393"/>
      <c r="E928" s="1381"/>
      <c r="F928" s="1381"/>
      <c r="G928" s="1381"/>
      <c r="H928" s="1381"/>
      <c r="I928" s="1381"/>
      <c r="J928" s="1381"/>
      <c r="K928" s="3152"/>
      <c r="L928" s="1381"/>
      <c r="M928" s="1381">
        <v>3</v>
      </c>
      <c r="N928" s="1381" t="s">
        <v>5803</v>
      </c>
      <c r="O928" s="2612">
        <v>0.2</v>
      </c>
      <c r="P928" s="3160">
        <f>K926*O928</f>
        <v>84350.94</v>
      </c>
      <c r="Q928" s="3185">
        <v>84350.94</v>
      </c>
      <c r="R928" s="1381" t="s">
        <v>4603</v>
      </c>
      <c r="S928" s="3186">
        <v>45897</v>
      </c>
      <c r="T928" s="3185">
        <v>84350.94</v>
      </c>
      <c r="U928" s="3186">
        <v>45897</v>
      </c>
      <c r="V928" s="3185">
        <v>84350.94</v>
      </c>
      <c r="W928" s="3214">
        <v>45943</v>
      </c>
      <c r="X928" s="3185">
        <v>84350.94</v>
      </c>
      <c r="Y928" s="3186">
        <v>45961</v>
      </c>
      <c r="Z928" s="3185">
        <f t="shared" si="35"/>
        <v>0</v>
      </c>
      <c r="AA928" s="3235"/>
      <c r="AB928" s="3235"/>
      <c r="AC928" s="2746"/>
      <c r="AD928" s="2522"/>
      <c r="AE928" s="2522"/>
      <c r="AF928" s="2522"/>
      <c r="AG928" s="2522"/>
      <c r="AH928" s="2522"/>
      <c r="AI928" s="2522"/>
    </row>
    <row r="929" s="21" customFormat="1" ht="92" spans="1:35">
      <c r="A929" s="1381"/>
      <c r="B929" s="1381"/>
      <c r="C929" s="1381"/>
      <c r="D929" s="393"/>
      <c r="E929" s="1381"/>
      <c r="F929" s="1381"/>
      <c r="G929" s="1381"/>
      <c r="H929" s="1381"/>
      <c r="I929" s="1381"/>
      <c r="J929" s="1381"/>
      <c r="K929" s="3152"/>
      <c r="L929" s="1381"/>
      <c r="M929" s="1381">
        <v>4</v>
      </c>
      <c r="N929" s="1381" t="s">
        <v>5804</v>
      </c>
      <c r="O929" s="2612">
        <v>0.2</v>
      </c>
      <c r="P929" s="3160">
        <f>K926*O929</f>
        <v>84350.94</v>
      </c>
      <c r="Q929" s="3185">
        <v>84350.94</v>
      </c>
      <c r="R929" s="1381" t="s">
        <v>4603</v>
      </c>
      <c r="S929" s="3186">
        <v>45897</v>
      </c>
      <c r="T929" s="3185">
        <v>84350.94</v>
      </c>
      <c r="U929" s="3186">
        <v>45897</v>
      </c>
      <c r="V929" s="3185">
        <v>84350.94</v>
      </c>
      <c r="W929" s="3214">
        <v>45943</v>
      </c>
      <c r="X929" s="3185">
        <v>84350.94</v>
      </c>
      <c r="Y929" s="3186">
        <v>45961</v>
      </c>
      <c r="Z929" s="3185">
        <f t="shared" si="35"/>
        <v>0</v>
      </c>
      <c r="AA929" s="3235"/>
      <c r="AB929" s="3235"/>
      <c r="AC929" s="2746"/>
      <c r="AD929" s="2522"/>
      <c r="AE929" s="2522"/>
      <c r="AF929" s="2522"/>
      <c r="AG929" s="2522"/>
      <c r="AH929" s="2522"/>
      <c r="AI929" s="2522"/>
    </row>
    <row r="930" s="21" customFormat="1" ht="92" spans="1:35">
      <c r="A930" s="1381"/>
      <c r="B930" s="1381"/>
      <c r="C930" s="1381"/>
      <c r="D930" s="393"/>
      <c r="E930" s="1381"/>
      <c r="F930" s="1381"/>
      <c r="G930" s="1381"/>
      <c r="H930" s="1381"/>
      <c r="I930" s="1381"/>
      <c r="J930" s="1381"/>
      <c r="K930" s="3152"/>
      <c r="L930" s="1381"/>
      <c r="M930" s="1381">
        <v>5</v>
      </c>
      <c r="N930" s="1381" t="s">
        <v>5805</v>
      </c>
      <c r="O930" s="2612">
        <v>0.1</v>
      </c>
      <c r="P930" s="3160">
        <f>K926*O930</f>
        <v>42175.47</v>
      </c>
      <c r="Q930" s="3185"/>
      <c r="R930" s="1381"/>
      <c r="S930" s="3186"/>
      <c r="T930" s="3187"/>
      <c r="U930" s="3186"/>
      <c r="V930" s="3215"/>
      <c r="W930" s="3214"/>
      <c r="X930" s="3185"/>
      <c r="Y930" s="3236"/>
      <c r="Z930" s="3185">
        <f t="shared" si="35"/>
        <v>0</v>
      </c>
      <c r="AA930" s="3235"/>
      <c r="AB930" s="3235"/>
      <c r="AC930" s="2746"/>
      <c r="AD930" s="2522"/>
      <c r="AE930" s="2522"/>
      <c r="AF930" s="2522"/>
      <c r="AG930" s="2522"/>
      <c r="AH930" s="2522"/>
      <c r="AI930" s="2522"/>
    </row>
    <row r="931" s="21" customFormat="1" ht="92" spans="1:35">
      <c r="A931" s="1381"/>
      <c r="B931" s="1381"/>
      <c r="C931" s="1381"/>
      <c r="D931" s="393"/>
      <c r="E931" s="1381"/>
      <c r="F931" s="1381"/>
      <c r="G931" s="1381"/>
      <c r="H931" s="1381"/>
      <c r="I931" s="1381"/>
      <c r="J931" s="1381"/>
      <c r="K931" s="3152"/>
      <c r="L931" s="1381"/>
      <c r="M931" s="1381">
        <v>6</v>
      </c>
      <c r="N931" s="1381" t="s">
        <v>3356</v>
      </c>
      <c r="O931" s="2612">
        <v>0.1</v>
      </c>
      <c r="P931" s="3160">
        <f>K926*O931</f>
        <v>42175.47</v>
      </c>
      <c r="Q931" s="3185"/>
      <c r="R931" s="1381"/>
      <c r="S931" s="3186"/>
      <c r="T931" s="3187"/>
      <c r="U931" s="3186"/>
      <c r="V931" s="3215"/>
      <c r="W931" s="3214"/>
      <c r="X931" s="3185"/>
      <c r="Y931" s="3236"/>
      <c r="Z931" s="3185">
        <f t="shared" si="35"/>
        <v>0</v>
      </c>
      <c r="AA931" s="3235"/>
      <c r="AB931" s="3235"/>
      <c r="AC931" s="2746"/>
      <c r="AD931" s="2522"/>
      <c r="AE931" s="2522"/>
      <c r="AF931" s="2522"/>
      <c r="AG931" s="2522"/>
      <c r="AH931" s="2522"/>
      <c r="AI931" s="2522"/>
    </row>
    <row r="932" s="21" customFormat="1" ht="92" spans="1:35">
      <c r="A932" s="3136" t="s">
        <v>1951</v>
      </c>
      <c r="B932" s="3137">
        <v>45797</v>
      </c>
      <c r="C932" s="3136" t="s">
        <v>2330</v>
      </c>
      <c r="D932" s="1304"/>
      <c r="E932" s="3136" t="s">
        <v>5806</v>
      </c>
      <c r="F932" s="3136" t="s">
        <v>5807</v>
      </c>
      <c r="G932" s="3136" t="s">
        <v>5808</v>
      </c>
      <c r="H932" s="3136" t="s">
        <v>5809</v>
      </c>
      <c r="I932" s="3136"/>
      <c r="J932" s="3136"/>
      <c r="K932" s="3153">
        <v>779775</v>
      </c>
      <c r="L932" s="3136" t="s">
        <v>126</v>
      </c>
      <c r="M932" s="3136">
        <v>1</v>
      </c>
      <c r="N932" s="3136" t="s">
        <v>5801</v>
      </c>
      <c r="O932" s="3161">
        <v>0.15</v>
      </c>
      <c r="P932" s="3162">
        <f>K932*O932</f>
        <v>116966.25</v>
      </c>
      <c r="Q932" s="3188">
        <v>116966.25</v>
      </c>
      <c r="R932" s="3136" t="s">
        <v>4603</v>
      </c>
      <c r="S932" s="3189">
        <v>45897</v>
      </c>
      <c r="T932" s="3188">
        <v>116966.25</v>
      </c>
      <c r="U932" s="3189">
        <v>45897</v>
      </c>
      <c r="V932" s="3188">
        <v>116966.25</v>
      </c>
      <c r="W932" s="3216">
        <v>45944</v>
      </c>
      <c r="X932" s="3188">
        <v>116966.25</v>
      </c>
      <c r="Y932" s="3189">
        <v>45961</v>
      </c>
      <c r="Z932" s="3237">
        <f t="shared" si="35"/>
        <v>0</v>
      </c>
      <c r="AA932" s="3238"/>
      <c r="AB932" s="3238"/>
      <c r="AC932" s="3251"/>
      <c r="AD932" s="3252"/>
      <c r="AE932" s="3252"/>
      <c r="AF932" s="3252"/>
      <c r="AG932" s="3252"/>
      <c r="AH932" s="3252"/>
      <c r="AI932" s="3252"/>
    </row>
    <row r="933" s="21" customFormat="1" ht="92" spans="1:35">
      <c r="A933" s="3136"/>
      <c r="B933" s="3136"/>
      <c r="C933" s="3136"/>
      <c r="D933" s="1304"/>
      <c r="E933" s="3136"/>
      <c r="F933" s="3136"/>
      <c r="G933" s="3136"/>
      <c r="H933" s="3136"/>
      <c r="I933" s="3136"/>
      <c r="J933" s="3136"/>
      <c r="K933" s="3153"/>
      <c r="L933" s="3136"/>
      <c r="M933" s="3136">
        <v>2</v>
      </c>
      <c r="N933" s="3136" t="s">
        <v>5810</v>
      </c>
      <c r="O933" s="3161">
        <v>0.25</v>
      </c>
      <c r="P933" s="3162">
        <f>K932*O933</f>
        <v>194943.75</v>
      </c>
      <c r="Q933" s="3188">
        <v>194943.75</v>
      </c>
      <c r="R933" s="3136" t="s">
        <v>4603</v>
      </c>
      <c r="S933" s="3189">
        <v>45897</v>
      </c>
      <c r="T933" s="3188">
        <v>194943.75</v>
      </c>
      <c r="U933" s="3189">
        <v>45897</v>
      </c>
      <c r="V933" s="3188">
        <v>194943.75</v>
      </c>
      <c r="W933" s="3216">
        <v>45944</v>
      </c>
      <c r="X933" s="3188">
        <v>194943.75</v>
      </c>
      <c r="Y933" s="3189">
        <v>45961</v>
      </c>
      <c r="Z933" s="3237">
        <f t="shared" si="35"/>
        <v>0</v>
      </c>
      <c r="AA933" s="3238"/>
      <c r="AB933" s="3238"/>
      <c r="AC933" s="3251"/>
      <c r="AD933" s="3252"/>
      <c r="AE933" s="3252"/>
      <c r="AF933" s="3252"/>
      <c r="AG933" s="3252"/>
      <c r="AH933" s="3252"/>
      <c r="AI933" s="3252"/>
    </row>
    <row r="934" s="21" customFormat="1" ht="92" spans="1:35">
      <c r="A934" s="3136"/>
      <c r="B934" s="3136"/>
      <c r="C934" s="3136"/>
      <c r="D934" s="1304"/>
      <c r="E934" s="3136"/>
      <c r="F934" s="3136"/>
      <c r="G934" s="3136"/>
      <c r="H934" s="3136"/>
      <c r="I934" s="3136"/>
      <c r="J934" s="3136"/>
      <c r="K934" s="3153"/>
      <c r="L934" s="3136"/>
      <c r="M934" s="3136">
        <v>3</v>
      </c>
      <c r="N934" s="3136" t="s">
        <v>5811</v>
      </c>
      <c r="O934" s="3161">
        <v>0.2</v>
      </c>
      <c r="P934" s="3162">
        <f>K932*O934</f>
        <v>155955</v>
      </c>
      <c r="Q934" s="3188">
        <v>155955</v>
      </c>
      <c r="R934" s="3136" t="s">
        <v>4603</v>
      </c>
      <c r="S934" s="3189">
        <v>45897</v>
      </c>
      <c r="T934" s="3188">
        <v>155955</v>
      </c>
      <c r="U934" s="3189">
        <v>45897</v>
      </c>
      <c r="V934" s="3188">
        <v>155955</v>
      </c>
      <c r="W934" s="3216">
        <v>45944</v>
      </c>
      <c r="X934" s="3188">
        <v>155955</v>
      </c>
      <c r="Y934" s="3189">
        <v>45961</v>
      </c>
      <c r="Z934" s="3237">
        <f t="shared" si="35"/>
        <v>0</v>
      </c>
      <c r="AA934" s="3238"/>
      <c r="AB934" s="3238"/>
      <c r="AC934" s="3251"/>
      <c r="AD934" s="3252"/>
      <c r="AE934" s="3252"/>
      <c r="AF934" s="3252"/>
      <c r="AG934" s="3252"/>
      <c r="AH934" s="3252"/>
      <c r="AI934" s="3252"/>
    </row>
    <row r="935" s="21" customFormat="1" ht="92" spans="1:35">
      <c r="A935" s="3136"/>
      <c r="B935" s="3136"/>
      <c r="C935" s="3136"/>
      <c r="D935" s="1304"/>
      <c r="E935" s="3136"/>
      <c r="F935" s="3136"/>
      <c r="G935" s="3136"/>
      <c r="H935" s="3136"/>
      <c r="I935" s="3136"/>
      <c r="J935" s="3136"/>
      <c r="K935" s="3153"/>
      <c r="L935" s="3136"/>
      <c r="M935" s="3136">
        <v>4</v>
      </c>
      <c r="N935" s="3136" t="s">
        <v>5311</v>
      </c>
      <c r="O935" s="3161">
        <v>0.2</v>
      </c>
      <c r="P935" s="3162">
        <f>K932*O935</f>
        <v>155955</v>
      </c>
      <c r="Q935" s="3188">
        <v>155955</v>
      </c>
      <c r="R935" s="3136" t="s">
        <v>4603</v>
      </c>
      <c r="S935" s="3189">
        <v>45897</v>
      </c>
      <c r="T935" s="3188">
        <v>155955</v>
      </c>
      <c r="U935" s="3189">
        <v>45897</v>
      </c>
      <c r="V935" s="3188">
        <v>155955</v>
      </c>
      <c r="W935" s="3216">
        <v>45944</v>
      </c>
      <c r="X935" s="3188">
        <v>155955</v>
      </c>
      <c r="Y935" s="3189">
        <v>45961</v>
      </c>
      <c r="Z935" s="3237">
        <f t="shared" si="35"/>
        <v>0</v>
      </c>
      <c r="AA935" s="3238"/>
      <c r="AB935" s="3238"/>
      <c r="AC935" s="3251"/>
      <c r="AD935" s="3252"/>
      <c r="AE935" s="3252"/>
      <c r="AF935" s="3252"/>
      <c r="AG935" s="3252"/>
      <c r="AH935" s="3252"/>
      <c r="AI935" s="3252"/>
    </row>
    <row r="936" s="21" customFormat="1" ht="92" spans="1:35">
      <c r="A936" s="3136"/>
      <c r="B936" s="3136"/>
      <c r="C936" s="3136"/>
      <c r="D936" s="1304"/>
      <c r="E936" s="3136"/>
      <c r="F936" s="3136"/>
      <c r="G936" s="3136"/>
      <c r="H936" s="3136"/>
      <c r="I936" s="3136"/>
      <c r="J936" s="3136"/>
      <c r="K936" s="3153"/>
      <c r="L936" s="3136"/>
      <c r="M936" s="3136">
        <v>5</v>
      </c>
      <c r="N936" s="3136" t="s">
        <v>5812</v>
      </c>
      <c r="O936" s="3161">
        <v>0.1</v>
      </c>
      <c r="P936" s="3162">
        <f>K932*O936</f>
        <v>77977.5</v>
      </c>
      <c r="Q936" s="3188"/>
      <c r="R936" s="3136"/>
      <c r="S936" s="3189"/>
      <c r="T936" s="3190"/>
      <c r="U936" s="3189"/>
      <c r="V936" s="3217"/>
      <c r="W936" s="3216"/>
      <c r="X936" s="3188"/>
      <c r="Y936" s="3239"/>
      <c r="Z936" s="3237">
        <f t="shared" si="35"/>
        <v>0</v>
      </c>
      <c r="AA936" s="3238"/>
      <c r="AB936" s="3238"/>
      <c r="AC936" s="3251"/>
      <c r="AD936" s="3252"/>
      <c r="AE936" s="3252"/>
      <c r="AF936" s="3252"/>
      <c r="AG936" s="3252"/>
      <c r="AH936" s="3252"/>
      <c r="AI936" s="3252"/>
    </row>
    <row r="937" s="21" customFormat="1" ht="92" spans="1:35">
      <c r="A937" s="3136"/>
      <c r="B937" s="3136"/>
      <c r="C937" s="3136"/>
      <c r="D937" s="1304"/>
      <c r="E937" s="3136"/>
      <c r="F937" s="3136"/>
      <c r="G937" s="3136"/>
      <c r="H937" s="3136"/>
      <c r="I937" s="3136"/>
      <c r="J937" s="3136"/>
      <c r="K937" s="3153"/>
      <c r="L937" s="3136"/>
      <c r="M937" s="3136">
        <v>6</v>
      </c>
      <c r="N937" s="3136" t="s">
        <v>3356</v>
      </c>
      <c r="O937" s="3161">
        <v>0.1</v>
      </c>
      <c r="P937" s="3162">
        <f>K932*O937</f>
        <v>77977.5</v>
      </c>
      <c r="Q937" s="3188"/>
      <c r="R937" s="3136"/>
      <c r="S937" s="3189"/>
      <c r="T937" s="3190"/>
      <c r="U937" s="3189"/>
      <c r="V937" s="3217"/>
      <c r="W937" s="3216"/>
      <c r="X937" s="3188"/>
      <c r="Y937" s="3239"/>
      <c r="Z937" s="3237">
        <f t="shared" si="35"/>
        <v>0</v>
      </c>
      <c r="AA937" s="3238"/>
      <c r="AB937" s="3238"/>
      <c r="AC937" s="3251"/>
      <c r="AD937" s="3252"/>
      <c r="AE937" s="3252"/>
      <c r="AF937" s="3252"/>
      <c r="AG937" s="3252"/>
      <c r="AH937" s="3252"/>
      <c r="AI937" s="3252"/>
    </row>
    <row r="938" customFormat="1" ht="30" customHeight="1" spans="1:35">
      <c r="A938" s="1304" t="s">
        <v>1951</v>
      </c>
      <c r="B938" s="3138">
        <v>45842</v>
      </c>
      <c r="C938" s="689" t="s">
        <v>2330</v>
      </c>
      <c r="D938" s="1304"/>
      <c r="E938" s="689" t="s">
        <v>5813</v>
      </c>
      <c r="F938" s="689" t="s">
        <v>5814</v>
      </c>
      <c r="G938" s="689" t="s">
        <v>4356</v>
      </c>
      <c r="H938" s="689" t="s">
        <v>5815</v>
      </c>
      <c r="I938" s="689">
        <v>98397.49</v>
      </c>
      <c r="J938" s="689" t="s">
        <v>5816</v>
      </c>
      <c r="K938" s="689">
        <v>88367.24</v>
      </c>
      <c r="L938" s="689" t="s">
        <v>126</v>
      </c>
      <c r="M938" s="691">
        <v>1</v>
      </c>
      <c r="N938" s="691" t="s">
        <v>2351</v>
      </c>
      <c r="O938" s="2928">
        <v>0.2</v>
      </c>
      <c r="P938" s="3163">
        <f>K938*O938</f>
        <v>17673.448</v>
      </c>
      <c r="Q938" s="1889">
        <v>17673.448</v>
      </c>
      <c r="R938" s="393" t="s">
        <v>4603</v>
      </c>
      <c r="S938" s="2715">
        <v>45897</v>
      </c>
      <c r="T938" s="1889">
        <v>17673.448</v>
      </c>
      <c r="U938" s="2715">
        <v>45897</v>
      </c>
      <c r="V938" s="1889">
        <v>17673.448</v>
      </c>
      <c r="W938" s="3218">
        <v>45943</v>
      </c>
      <c r="X938" s="1889">
        <v>17673.448</v>
      </c>
      <c r="Y938" s="2717">
        <v>45961</v>
      </c>
      <c r="Z938" s="1889">
        <f t="shared" si="35"/>
        <v>0</v>
      </c>
      <c r="AA938" s="3227"/>
      <c r="AB938" s="3227"/>
      <c r="AC938" s="3247"/>
      <c r="AD938" s="3248"/>
      <c r="AE938" s="3248"/>
      <c r="AF938" s="3248"/>
      <c r="AG938" s="3248"/>
      <c r="AH938" s="2759"/>
      <c r="AI938" s="2759"/>
    </row>
    <row r="939" customFormat="1" ht="76" spans="1:35">
      <c r="A939" s="1304"/>
      <c r="B939" s="1304"/>
      <c r="C939" s="1304"/>
      <c r="D939" s="1304"/>
      <c r="E939" s="689"/>
      <c r="F939" s="689"/>
      <c r="G939" s="689"/>
      <c r="H939" s="689"/>
      <c r="I939" s="689"/>
      <c r="J939" s="689"/>
      <c r="K939" s="689"/>
      <c r="L939" s="689"/>
      <c r="M939" s="691">
        <v>2</v>
      </c>
      <c r="N939" s="691" t="s">
        <v>5817</v>
      </c>
      <c r="O939" s="2928">
        <v>0.4</v>
      </c>
      <c r="P939" s="3163">
        <f>K938*O939</f>
        <v>35346.896</v>
      </c>
      <c r="Q939" s="1889">
        <v>35346.896</v>
      </c>
      <c r="R939" s="393" t="s">
        <v>4603</v>
      </c>
      <c r="S939" s="2715">
        <v>45897</v>
      </c>
      <c r="T939" s="1889">
        <v>35346.896</v>
      </c>
      <c r="U939" s="2715">
        <v>45897</v>
      </c>
      <c r="V939" s="1889">
        <v>35346.896</v>
      </c>
      <c r="W939" s="3218">
        <v>45943</v>
      </c>
      <c r="X939" s="1889">
        <v>35346.896</v>
      </c>
      <c r="Y939" s="2717">
        <v>45961</v>
      </c>
      <c r="Z939" s="1889">
        <f t="shared" si="35"/>
        <v>0</v>
      </c>
      <c r="AA939" s="3227"/>
      <c r="AB939" s="3227"/>
      <c r="AC939" s="3247"/>
      <c r="AD939" s="3248"/>
      <c r="AE939" s="3248"/>
      <c r="AF939" s="3248"/>
      <c r="AG939" s="3248"/>
      <c r="AH939" s="2759"/>
      <c r="AI939" s="2759"/>
    </row>
    <row r="940" customFormat="1" ht="46" spans="1:35">
      <c r="A940" s="1304"/>
      <c r="B940" s="1304"/>
      <c r="C940" s="1304"/>
      <c r="D940" s="1304"/>
      <c r="E940" s="689"/>
      <c r="F940" s="689"/>
      <c r="G940" s="689"/>
      <c r="H940" s="689"/>
      <c r="I940" s="689"/>
      <c r="J940" s="689"/>
      <c r="K940" s="689"/>
      <c r="L940" s="689"/>
      <c r="M940" s="691">
        <v>3</v>
      </c>
      <c r="N940" s="691" t="s">
        <v>2353</v>
      </c>
      <c r="O940" s="2928">
        <v>0.2</v>
      </c>
      <c r="P940" s="3163">
        <f>K938*O940</f>
        <v>17673.448</v>
      </c>
      <c r="Q940" s="3170">
        <v>17673.448</v>
      </c>
      <c r="R940" s="519" t="s">
        <v>349</v>
      </c>
      <c r="S940" s="2819">
        <v>46078</v>
      </c>
      <c r="T940" s="3171"/>
      <c r="U940" s="2979"/>
      <c r="V940" s="3204"/>
      <c r="W940" s="3218"/>
      <c r="X940" s="3170">
        <v>17673.448</v>
      </c>
      <c r="Y940" s="2819">
        <v>46111</v>
      </c>
      <c r="Z940" s="1889">
        <f t="shared" si="35"/>
        <v>0</v>
      </c>
      <c r="AA940" s="3227"/>
      <c r="AB940" s="3227"/>
      <c r="AC940" s="3247"/>
      <c r="AD940" s="3248"/>
      <c r="AE940" s="3248"/>
      <c r="AF940" s="3248"/>
      <c r="AG940" s="3248"/>
      <c r="AH940" s="2759"/>
      <c r="AI940" s="2759"/>
    </row>
    <row r="941" customFormat="1" ht="30" customHeight="1" spans="1:35">
      <c r="A941" s="1304"/>
      <c r="B941" s="1304"/>
      <c r="C941" s="1304"/>
      <c r="D941" s="1304"/>
      <c r="E941" s="689"/>
      <c r="F941" s="689"/>
      <c r="G941" s="689"/>
      <c r="H941" s="689"/>
      <c r="I941" s="689"/>
      <c r="J941" s="689"/>
      <c r="K941" s="689"/>
      <c r="L941" s="689"/>
      <c r="M941" s="689">
        <v>4</v>
      </c>
      <c r="N941" s="689" t="s">
        <v>2354</v>
      </c>
      <c r="O941" s="3158">
        <v>0.2</v>
      </c>
      <c r="P941" s="3164">
        <f>K938*O941</f>
        <v>17673.448</v>
      </c>
      <c r="Q941" s="1888"/>
      <c r="R941" s="798"/>
      <c r="S941" s="2718"/>
      <c r="T941" s="3154"/>
      <c r="U941" s="3219"/>
      <c r="V941" s="3220"/>
      <c r="W941" s="3221"/>
      <c r="X941" s="1888"/>
      <c r="Y941" s="2720"/>
      <c r="Z941" s="1888">
        <f t="shared" si="35"/>
        <v>0</v>
      </c>
      <c r="AA941" s="3240"/>
      <c r="AB941" s="3240"/>
      <c r="AC941" s="3253"/>
      <c r="AD941" s="2759"/>
      <c r="AE941" s="2759"/>
      <c r="AF941" s="2759"/>
      <c r="AG941" s="2759"/>
      <c r="AH941" s="2759"/>
      <c r="AI941" s="2759"/>
    </row>
    <row r="942" s="21" customFormat="1" ht="61" spans="1:35">
      <c r="A942" s="1795" t="s">
        <v>1951</v>
      </c>
      <c r="B942" s="3132">
        <v>45987</v>
      </c>
      <c r="C942" s="1795" t="s">
        <v>2330</v>
      </c>
      <c r="D942" s="2779"/>
      <c r="E942" s="1795" t="s">
        <v>5818</v>
      </c>
      <c r="F942" s="1795" t="s">
        <v>5819</v>
      </c>
      <c r="G942" s="1795" t="s">
        <v>4338</v>
      </c>
      <c r="H942" s="1795" t="s">
        <v>5294</v>
      </c>
      <c r="I942" s="1795"/>
      <c r="J942" s="1795" t="s">
        <v>997</v>
      </c>
      <c r="K942" s="1795">
        <v>184117.95</v>
      </c>
      <c r="L942" s="1795" t="s">
        <v>126</v>
      </c>
      <c r="M942" s="1795">
        <v>1</v>
      </c>
      <c r="N942" s="2597" t="s">
        <v>5820</v>
      </c>
      <c r="O942" s="2598">
        <v>0.3</v>
      </c>
      <c r="P942" s="3165">
        <f>K942*O942</f>
        <v>55235.385</v>
      </c>
      <c r="Q942" s="3191">
        <v>55235.39</v>
      </c>
      <c r="R942" s="3192" t="s">
        <v>349</v>
      </c>
      <c r="S942" s="3193">
        <v>46021</v>
      </c>
      <c r="T942" s="3194"/>
      <c r="U942" s="3196"/>
      <c r="V942" s="3222"/>
      <c r="W942" s="3223"/>
      <c r="X942" s="3191">
        <v>55235.39</v>
      </c>
      <c r="Y942" s="3193">
        <v>46021</v>
      </c>
      <c r="Z942" s="3191">
        <f t="shared" si="35"/>
        <v>0</v>
      </c>
      <c r="AA942" s="3241"/>
      <c r="AB942" s="3241"/>
      <c r="AC942" s="2743"/>
      <c r="AD942" s="3254"/>
      <c r="AE942" s="3254"/>
      <c r="AF942" s="3254"/>
      <c r="AG942" s="3254"/>
      <c r="AH942" s="3254"/>
      <c r="AI942" s="3254"/>
    </row>
    <row r="943" s="21" customFormat="1" ht="45" customHeight="1" spans="1:35">
      <c r="A943" s="1795"/>
      <c r="B943" s="1795"/>
      <c r="C943" s="1795"/>
      <c r="D943" s="2779"/>
      <c r="E943" s="1795"/>
      <c r="F943" s="1795"/>
      <c r="G943" s="1795"/>
      <c r="H943" s="1795"/>
      <c r="I943" s="1795"/>
      <c r="J943" s="1795"/>
      <c r="K943" s="1795"/>
      <c r="L943" s="1795"/>
      <c r="M943" s="1976">
        <v>2</v>
      </c>
      <c r="N943" s="1976" t="s">
        <v>5821</v>
      </c>
      <c r="O943" s="2601">
        <v>0.6</v>
      </c>
      <c r="P943" s="3166">
        <f>K942*O943</f>
        <v>110470.77</v>
      </c>
      <c r="Q943" s="3191">
        <v>73647.18</v>
      </c>
      <c r="R943" s="3192" t="s">
        <v>349</v>
      </c>
      <c r="S943" s="3193">
        <v>46021</v>
      </c>
      <c r="T943" s="3194"/>
      <c r="U943" s="3196"/>
      <c r="V943" s="3222"/>
      <c r="W943" s="3223"/>
      <c r="X943" s="3191">
        <v>73647.18</v>
      </c>
      <c r="Y943" s="3193">
        <v>46021</v>
      </c>
      <c r="Z943" s="3191">
        <f t="shared" si="35"/>
        <v>0</v>
      </c>
      <c r="AA943" s="3241"/>
      <c r="AB943" s="3241"/>
      <c r="AC943" s="2743"/>
      <c r="AD943" s="3254"/>
      <c r="AE943" s="3254"/>
      <c r="AF943" s="3254"/>
      <c r="AG943" s="3254"/>
      <c r="AH943" s="3254"/>
      <c r="AI943" s="3254"/>
    </row>
    <row r="944" s="21" customFormat="1" ht="51.75" customHeight="1" spans="1:35">
      <c r="A944" s="1795"/>
      <c r="B944" s="1795"/>
      <c r="C944" s="1795"/>
      <c r="D944" s="2779"/>
      <c r="E944" s="1795"/>
      <c r="F944" s="1795"/>
      <c r="G944" s="1795"/>
      <c r="H944" s="1795"/>
      <c r="I944" s="1795"/>
      <c r="J944" s="1795"/>
      <c r="K944" s="1795"/>
      <c r="L944" s="1795"/>
      <c r="M944" s="2604"/>
      <c r="N944" s="2604"/>
      <c r="O944" s="2605"/>
      <c r="P944" s="3167"/>
      <c r="Q944" s="3195"/>
      <c r="R944" s="1795"/>
      <c r="S944" s="3196"/>
      <c r="T944" s="3194"/>
      <c r="U944" s="3196"/>
      <c r="V944" s="3222"/>
      <c r="W944" s="3223"/>
      <c r="X944" s="3195"/>
      <c r="Y944" s="3242"/>
      <c r="Z944" s="3191">
        <f t="shared" si="35"/>
        <v>0</v>
      </c>
      <c r="AA944" s="3241"/>
      <c r="AB944" s="3241"/>
      <c r="AC944" s="2743"/>
      <c r="AD944" s="3254"/>
      <c r="AE944" s="3254"/>
      <c r="AF944" s="3254"/>
      <c r="AG944" s="3254"/>
      <c r="AH944" s="3254"/>
      <c r="AI944" s="3254"/>
    </row>
    <row r="945" s="21" customFormat="1" ht="76" spans="1:35">
      <c r="A945" s="1795"/>
      <c r="B945" s="1795"/>
      <c r="C945" s="1795"/>
      <c r="D945" s="2779"/>
      <c r="E945" s="1795"/>
      <c r="F945" s="1795"/>
      <c r="G945" s="1795"/>
      <c r="H945" s="1795"/>
      <c r="I945" s="1795"/>
      <c r="J945" s="1795"/>
      <c r="K945" s="1795"/>
      <c r="L945" s="1795"/>
      <c r="M945" s="1795">
        <v>3</v>
      </c>
      <c r="N945" s="2597" t="s">
        <v>5822</v>
      </c>
      <c r="O945" s="2598">
        <v>0.1</v>
      </c>
      <c r="P945" s="3165">
        <f>K942*O945</f>
        <v>18411.795</v>
      </c>
      <c r="Q945" s="3195"/>
      <c r="R945" s="1795"/>
      <c r="S945" s="3196"/>
      <c r="T945" s="3194"/>
      <c r="U945" s="3196"/>
      <c r="V945" s="3222"/>
      <c r="W945" s="3223"/>
      <c r="X945" s="3195"/>
      <c r="Y945" s="3242"/>
      <c r="Z945" s="3191">
        <f t="shared" si="35"/>
        <v>0</v>
      </c>
      <c r="AA945" s="3241"/>
      <c r="AB945" s="3241"/>
      <c r="AC945" s="2743"/>
      <c r="AD945" s="3254"/>
      <c r="AE945" s="3254"/>
      <c r="AF945" s="3254"/>
      <c r="AG945" s="3254"/>
      <c r="AH945" s="3254"/>
      <c r="AI945" s="3254"/>
    </row>
    <row r="946" s="6" customFormat="1" ht="76" spans="1:35">
      <c r="A946" s="1304" t="s">
        <v>1003</v>
      </c>
      <c r="B946" s="2542">
        <v>44979</v>
      </c>
      <c r="C946" s="1263" t="s">
        <v>5823</v>
      </c>
      <c r="D946" s="2543"/>
      <c r="E946" s="689" t="s">
        <v>5824</v>
      </c>
      <c r="F946" s="689" t="s">
        <v>5825</v>
      </c>
      <c r="G946" s="689" t="s">
        <v>5826</v>
      </c>
      <c r="H946" s="689" t="s">
        <v>5505</v>
      </c>
      <c r="I946" s="689" t="s">
        <v>5827</v>
      </c>
      <c r="J946" s="689" t="s">
        <v>5828</v>
      </c>
      <c r="K946" s="3154">
        <v>699500</v>
      </c>
      <c r="L946" s="1304" t="s">
        <v>126</v>
      </c>
      <c r="M946" s="691">
        <v>1</v>
      </c>
      <c r="N946" s="729" t="s">
        <v>5063</v>
      </c>
      <c r="O946" s="2928">
        <v>0.1</v>
      </c>
      <c r="P946" s="3163">
        <f>K946*O946</f>
        <v>69950</v>
      </c>
      <c r="Q946" s="1889">
        <v>69950</v>
      </c>
      <c r="R946" s="1734" t="s">
        <v>4603</v>
      </c>
      <c r="S946" s="3197">
        <v>44998</v>
      </c>
      <c r="T946" s="3171">
        <v>69950</v>
      </c>
      <c r="U946" s="2979">
        <v>44998</v>
      </c>
      <c r="V946" s="3204">
        <v>69950</v>
      </c>
      <c r="W946" s="3218">
        <v>44995</v>
      </c>
      <c r="X946" s="1889">
        <v>69950</v>
      </c>
      <c r="Y946" s="3243">
        <v>45013</v>
      </c>
      <c r="Z946" s="3244"/>
      <c r="AA946" s="3227"/>
      <c r="AB946" s="3227"/>
      <c r="AC946" s="3247"/>
      <c r="AD946" s="3248"/>
      <c r="AE946" s="3248"/>
      <c r="AF946" s="3248"/>
      <c r="AG946" s="3248"/>
      <c r="AH946" s="2759"/>
      <c r="AI946" s="2759"/>
    </row>
    <row r="947" s="6" customFormat="1" ht="76" spans="1:35">
      <c r="A947" s="3139"/>
      <c r="B947" s="2542"/>
      <c r="C947" s="3140"/>
      <c r="D947" s="2543"/>
      <c r="E947" s="2543"/>
      <c r="F947" s="3149"/>
      <c r="G947" s="2543"/>
      <c r="H947" s="2543"/>
      <c r="I947" s="3149"/>
      <c r="J947" s="2543"/>
      <c r="K947" s="3154"/>
      <c r="L947" s="2759"/>
      <c r="M947" s="418">
        <v>2</v>
      </c>
      <c r="N947" s="480" t="s">
        <v>5064</v>
      </c>
      <c r="O947" s="2930" t="s">
        <v>3330</v>
      </c>
      <c r="P947" s="2621">
        <f>199500*0.4</f>
        <v>79800</v>
      </c>
      <c r="Q947" s="1856">
        <v>79800</v>
      </c>
      <c r="R947" s="1713" t="s">
        <v>4603</v>
      </c>
      <c r="S947" s="2681">
        <v>44998</v>
      </c>
      <c r="T947" s="2682">
        <v>79800</v>
      </c>
      <c r="U947" s="2715">
        <v>44998</v>
      </c>
      <c r="V947" s="2716">
        <v>79800</v>
      </c>
      <c r="W947" s="3224">
        <v>44995</v>
      </c>
      <c r="X947" s="1856">
        <v>79800</v>
      </c>
      <c r="Y947" s="2720">
        <v>45013</v>
      </c>
      <c r="Z947" s="2957"/>
      <c r="AA947" s="2735"/>
      <c r="AB947" s="2735"/>
      <c r="AC947" s="2749"/>
      <c r="AD947" s="2750"/>
      <c r="AE947" s="2750"/>
      <c r="AF947" s="2750"/>
      <c r="AG947" s="2750"/>
      <c r="AH947" s="2752"/>
      <c r="AI947" s="2752"/>
    </row>
    <row r="948" s="6" customFormat="1" ht="76" spans="1:35">
      <c r="A948" s="3139"/>
      <c r="B948" s="2542"/>
      <c r="C948" s="3140"/>
      <c r="D948" s="2543"/>
      <c r="E948" s="2543"/>
      <c r="F948" s="3149"/>
      <c r="G948" s="2543"/>
      <c r="H948" s="2543"/>
      <c r="I948" s="3149"/>
      <c r="J948" s="2543"/>
      <c r="K948" s="3154"/>
      <c r="L948" s="2759"/>
      <c r="M948" s="418">
        <v>3</v>
      </c>
      <c r="N948" s="480" t="s">
        <v>5065</v>
      </c>
      <c r="O948" s="2930" t="s">
        <v>3332</v>
      </c>
      <c r="P948" s="2621">
        <f>199500*0.3</f>
        <v>59850</v>
      </c>
      <c r="Q948" s="1856">
        <v>59850</v>
      </c>
      <c r="R948" s="1713" t="s">
        <v>4603</v>
      </c>
      <c r="S948" s="2681">
        <v>45028</v>
      </c>
      <c r="T948" s="2682">
        <v>59850</v>
      </c>
      <c r="U948" s="2715">
        <v>45028</v>
      </c>
      <c r="V948" s="2716">
        <v>59850</v>
      </c>
      <c r="W948" s="3224">
        <v>45028</v>
      </c>
      <c r="X948" s="1856">
        <v>59850</v>
      </c>
      <c r="Y948" s="2720">
        <v>45039</v>
      </c>
      <c r="Z948" s="2957"/>
      <c r="AA948" s="2735"/>
      <c r="AB948" s="2735"/>
      <c r="AC948" s="2749"/>
      <c r="AD948" s="2750"/>
      <c r="AE948" s="2750"/>
      <c r="AF948" s="2750"/>
      <c r="AG948" s="2750"/>
      <c r="AH948" s="2752"/>
      <c r="AI948" s="2752"/>
    </row>
    <row r="949" s="6" customFormat="1" ht="76" spans="1:35">
      <c r="A949" s="3139"/>
      <c r="B949" s="2542"/>
      <c r="C949" s="3140"/>
      <c r="D949" s="2543"/>
      <c r="E949" s="2543"/>
      <c r="F949" s="3149"/>
      <c r="G949" s="2543"/>
      <c r="H949" s="2543"/>
      <c r="I949" s="3149"/>
      <c r="J949" s="2543"/>
      <c r="K949" s="3154"/>
      <c r="L949" s="2759"/>
      <c r="M949" s="418">
        <v>4</v>
      </c>
      <c r="N949" s="480" t="s">
        <v>5066</v>
      </c>
      <c r="O949" s="2930" t="s">
        <v>3334</v>
      </c>
      <c r="P949" s="2621">
        <f>199500*0.1</f>
        <v>19950</v>
      </c>
      <c r="Q949" s="1856">
        <v>19950</v>
      </c>
      <c r="R949" s="1713" t="s">
        <v>4603</v>
      </c>
      <c r="S949" s="2681">
        <v>45287</v>
      </c>
      <c r="T949" s="2682">
        <v>19950</v>
      </c>
      <c r="U949" s="2681">
        <v>45287</v>
      </c>
      <c r="V949" s="2716">
        <v>19950</v>
      </c>
      <c r="W949" s="2717">
        <v>45427</v>
      </c>
      <c r="X949" s="2621">
        <v>19950</v>
      </c>
      <c r="Y949" s="2720">
        <v>45441</v>
      </c>
      <c r="Z949" s="2957"/>
      <c r="AA949" s="2735"/>
      <c r="AB949" s="2735"/>
      <c r="AC949" s="2749"/>
      <c r="AD949" s="2750"/>
      <c r="AE949" s="2750"/>
      <c r="AF949" s="2750"/>
      <c r="AG949" s="2750"/>
      <c r="AH949" s="2752"/>
      <c r="AI949" s="2752"/>
    </row>
    <row r="950" s="6" customFormat="1" ht="76" spans="1:35">
      <c r="A950" s="3139"/>
      <c r="B950" s="2542"/>
      <c r="C950" s="3140"/>
      <c r="D950" s="2543"/>
      <c r="E950" s="2543"/>
      <c r="F950" s="3149"/>
      <c r="G950" s="2543"/>
      <c r="H950" s="2543"/>
      <c r="I950" s="3149"/>
      <c r="J950" s="2543"/>
      <c r="K950" s="3154"/>
      <c r="L950" s="2759"/>
      <c r="M950" s="418">
        <v>5</v>
      </c>
      <c r="N950" s="480" t="s">
        <v>5067</v>
      </c>
      <c r="O950" s="2930" t="s">
        <v>3341</v>
      </c>
      <c r="P950" s="2621">
        <f>500000*0.2</f>
        <v>100000</v>
      </c>
      <c r="Q950" s="1856">
        <v>100000</v>
      </c>
      <c r="R950" s="1713" t="s">
        <v>4603</v>
      </c>
      <c r="S950" s="2681">
        <v>45028</v>
      </c>
      <c r="T950" s="2682">
        <v>100000</v>
      </c>
      <c r="U950" s="2715">
        <v>45028</v>
      </c>
      <c r="V950" s="2716">
        <v>100000</v>
      </c>
      <c r="W950" s="2717">
        <v>45028</v>
      </c>
      <c r="X950" s="1856">
        <v>100000</v>
      </c>
      <c r="Y950" s="2720">
        <v>45039</v>
      </c>
      <c r="Z950" s="2957"/>
      <c r="AA950" s="2735"/>
      <c r="AB950" s="2735"/>
      <c r="AC950" s="2749"/>
      <c r="AD950" s="2750"/>
      <c r="AE950" s="2750"/>
      <c r="AF950" s="2750"/>
      <c r="AG950" s="2750"/>
      <c r="AH950" s="2752"/>
      <c r="AI950" s="2752"/>
    </row>
    <row r="951" s="6" customFormat="1" ht="76" spans="1:35">
      <c r="A951" s="3139"/>
      <c r="B951" s="2542"/>
      <c r="C951" s="3140"/>
      <c r="D951" s="2543"/>
      <c r="E951" s="2543"/>
      <c r="F951" s="3149"/>
      <c r="G951" s="2543"/>
      <c r="H951" s="2543"/>
      <c r="I951" s="3149"/>
      <c r="J951" s="2543"/>
      <c r="K951" s="3154"/>
      <c r="L951" s="2759"/>
      <c r="M951" s="418">
        <v>6</v>
      </c>
      <c r="N951" s="480" t="s">
        <v>5064</v>
      </c>
      <c r="O951" s="2930" t="s">
        <v>3336</v>
      </c>
      <c r="P951" s="2621">
        <f>500000*0.15</f>
        <v>75000</v>
      </c>
      <c r="Q951" s="1856">
        <v>75000</v>
      </c>
      <c r="R951" s="1713" t="s">
        <v>4603</v>
      </c>
      <c r="S951" s="2681">
        <v>45118</v>
      </c>
      <c r="T951" s="2682">
        <v>75000</v>
      </c>
      <c r="U951" s="2715">
        <v>45118</v>
      </c>
      <c r="V951" s="2716">
        <v>75000</v>
      </c>
      <c r="W951" s="2717">
        <v>45121</v>
      </c>
      <c r="X951" s="1856">
        <v>75000</v>
      </c>
      <c r="Y951" s="2720">
        <v>45167</v>
      </c>
      <c r="Z951" s="2957"/>
      <c r="AA951" s="2735"/>
      <c r="AB951" s="2735"/>
      <c r="AC951" s="2749"/>
      <c r="AD951" s="2750"/>
      <c r="AE951" s="2750"/>
      <c r="AF951" s="2750"/>
      <c r="AG951" s="2750"/>
      <c r="AH951" s="2752"/>
      <c r="AI951" s="2752"/>
    </row>
    <row r="952" s="6" customFormat="1" ht="76" spans="1:35">
      <c r="A952" s="3139"/>
      <c r="B952" s="2542"/>
      <c r="C952" s="3140"/>
      <c r="D952" s="2543"/>
      <c r="E952" s="2543"/>
      <c r="F952" s="3149"/>
      <c r="G952" s="2543"/>
      <c r="H952" s="2543"/>
      <c r="I952" s="3149"/>
      <c r="J952" s="2543"/>
      <c r="K952" s="3154"/>
      <c r="L952" s="2759"/>
      <c r="M952" s="418">
        <v>7</v>
      </c>
      <c r="N952" s="480" t="s">
        <v>5068</v>
      </c>
      <c r="O952" s="2930" t="s">
        <v>3341</v>
      </c>
      <c r="P952" s="2621">
        <f>500000*0.2</f>
        <v>100000</v>
      </c>
      <c r="Q952" s="1856">
        <v>100000</v>
      </c>
      <c r="R952" s="1713" t="s">
        <v>4603</v>
      </c>
      <c r="S952" s="2681">
        <v>45118</v>
      </c>
      <c r="T952" s="2682">
        <v>100000</v>
      </c>
      <c r="U952" s="2715">
        <v>45118</v>
      </c>
      <c r="V952" s="2716">
        <v>100000</v>
      </c>
      <c r="W952" s="2717">
        <v>45121</v>
      </c>
      <c r="X952" s="1856">
        <v>100000</v>
      </c>
      <c r="Y952" s="2720">
        <v>45167</v>
      </c>
      <c r="Z952" s="2957"/>
      <c r="AA952" s="2735"/>
      <c r="AB952" s="2735"/>
      <c r="AC952" s="2749"/>
      <c r="AD952" s="2750"/>
      <c r="AE952" s="2750"/>
      <c r="AF952" s="2750"/>
      <c r="AG952" s="2750"/>
      <c r="AH952" s="2752"/>
      <c r="AI952" s="2752"/>
    </row>
    <row r="953" s="6" customFormat="1" ht="76" spans="1:35">
      <c r="A953" s="3139"/>
      <c r="B953" s="2542"/>
      <c r="C953" s="3140"/>
      <c r="D953" s="2543"/>
      <c r="E953" s="2543"/>
      <c r="F953" s="3149"/>
      <c r="G953" s="2543"/>
      <c r="H953" s="2543"/>
      <c r="I953" s="3149"/>
      <c r="J953" s="2543"/>
      <c r="K953" s="3154"/>
      <c r="L953" s="2759"/>
      <c r="M953" s="418">
        <v>8</v>
      </c>
      <c r="N953" s="480" t="s">
        <v>5065</v>
      </c>
      <c r="O953" s="2930" t="s">
        <v>3336</v>
      </c>
      <c r="P953" s="2621">
        <f>500000*0.15</f>
        <v>75000</v>
      </c>
      <c r="Q953" s="1856">
        <v>75000</v>
      </c>
      <c r="R953" s="1713" t="s">
        <v>4603</v>
      </c>
      <c r="S953" s="2681">
        <v>45287</v>
      </c>
      <c r="T953" s="2682">
        <v>75000</v>
      </c>
      <c r="U953" s="2715">
        <v>45287</v>
      </c>
      <c r="V953" s="2716">
        <v>75000</v>
      </c>
      <c r="W953" s="2717">
        <v>45427</v>
      </c>
      <c r="X953" s="2621">
        <v>75000</v>
      </c>
      <c r="Y953" s="2720">
        <v>45441</v>
      </c>
      <c r="Z953" s="2957"/>
      <c r="AA953" s="2735"/>
      <c r="AB953" s="2735"/>
      <c r="AC953" s="2749"/>
      <c r="AD953" s="2750"/>
      <c r="AE953" s="2750"/>
      <c r="AF953" s="2750"/>
      <c r="AG953" s="2750"/>
      <c r="AH953" s="2752"/>
      <c r="AI953" s="2752"/>
    </row>
    <row r="954" s="6" customFormat="1" ht="92" spans="1:35">
      <c r="A954" s="3139"/>
      <c r="B954" s="2542"/>
      <c r="C954" s="3140"/>
      <c r="D954" s="2543"/>
      <c r="E954" s="2543"/>
      <c r="F954" s="3149"/>
      <c r="G954" s="2543"/>
      <c r="H954" s="2543"/>
      <c r="I954" s="3149"/>
      <c r="J954" s="2543"/>
      <c r="K954" s="3154"/>
      <c r="L954" s="2759"/>
      <c r="M954" s="418">
        <v>9</v>
      </c>
      <c r="N954" s="480" t="s">
        <v>5070</v>
      </c>
      <c r="O954" s="2930" t="s">
        <v>3343</v>
      </c>
      <c r="P954" s="2621">
        <f>500000*0.05</f>
        <v>25000</v>
      </c>
      <c r="Q954" s="2683"/>
      <c r="R954" s="3198"/>
      <c r="S954" s="3199"/>
      <c r="T954" s="2682"/>
      <c r="U954" s="2715"/>
      <c r="V954" s="2716"/>
      <c r="W954" s="3224"/>
      <c r="X954" s="1856"/>
      <c r="Y954" s="2720"/>
      <c r="Z954" s="2957"/>
      <c r="AA954" s="2735"/>
      <c r="AB954" s="2735"/>
      <c r="AC954" s="2749"/>
      <c r="AD954" s="2750"/>
      <c r="AE954" s="2750"/>
      <c r="AF954" s="2750"/>
      <c r="AG954" s="2750"/>
      <c r="AH954" s="2752"/>
      <c r="AI954" s="2752"/>
    </row>
    <row r="955" s="6" customFormat="1" ht="92" spans="1:35">
      <c r="A955" s="3139"/>
      <c r="B955" s="2542"/>
      <c r="C955" s="3140"/>
      <c r="D955" s="2543"/>
      <c r="E955" s="2543"/>
      <c r="F955" s="3149"/>
      <c r="G955" s="2543"/>
      <c r="H955" s="2543"/>
      <c r="I955" s="3149"/>
      <c r="J955" s="2543"/>
      <c r="K955" s="3154"/>
      <c r="L955" s="2759"/>
      <c r="M955" s="418">
        <v>10</v>
      </c>
      <c r="N955" s="480" t="s">
        <v>5071</v>
      </c>
      <c r="O955" s="2930" t="s">
        <v>3343</v>
      </c>
      <c r="P955" s="2621">
        <f>500000*0.05</f>
        <v>25000</v>
      </c>
      <c r="Q955" s="2683"/>
      <c r="R955" s="2684"/>
      <c r="S955" s="3199"/>
      <c r="T955" s="2682"/>
      <c r="U955" s="2715"/>
      <c r="V955" s="2716"/>
      <c r="W955" s="3224"/>
      <c r="X955" s="1856"/>
      <c r="Y955" s="2720"/>
      <c r="Z955" s="2957"/>
      <c r="AA955" s="2735"/>
      <c r="AB955" s="2735"/>
      <c r="AC955" s="2749"/>
      <c r="AD955" s="2750"/>
      <c r="AE955" s="2750"/>
      <c r="AF955" s="2750"/>
      <c r="AG955" s="2750"/>
      <c r="AH955" s="2752"/>
      <c r="AI955" s="2752"/>
    </row>
    <row r="956" s="6" customFormat="1" ht="76" spans="1:35">
      <c r="A956" s="3139"/>
      <c r="B956" s="2542"/>
      <c r="C956" s="3140"/>
      <c r="D956" s="2543"/>
      <c r="E956" s="2543"/>
      <c r="F956" s="3149"/>
      <c r="G956" s="2543"/>
      <c r="H956" s="2543"/>
      <c r="I956" s="3149"/>
      <c r="J956" s="2543"/>
      <c r="K956" s="3154"/>
      <c r="L956" s="2759"/>
      <c r="M956" s="728">
        <v>11</v>
      </c>
      <c r="N956" s="2622" t="s">
        <v>3347</v>
      </c>
      <c r="O956" s="2955">
        <v>0.1</v>
      </c>
      <c r="P956" s="2624">
        <f>K946*O956</f>
        <v>69950</v>
      </c>
      <c r="Q956" s="3200"/>
      <c r="R956" s="2684"/>
      <c r="S956" s="2685"/>
      <c r="T956" s="2686"/>
      <c r="U956" s="2718"/>
      <c r="V956" s="2719"/>
      <c r="W956" s="3225"/>
      <c r="X956" s="1854"/>
      <c r="Y956" s="2720"/>
      <c r="Z956" s="3245"/>
      <c r="AA956" s="2736"/>
      <c r="AB956" s="2736"/>
      <c r="AC956" s="2751"/>
      <c r="AD956" s="2752"/>
      <c r="AE956" s="2752"/>
      <c r="AF956" s="2752"/>
      <c r="AG956" s="2752"/>
      <c r="AH956" s="2752"/>
      <c r="AI956" s="2752"/>
    </row>
    <row r="957" s="6" customFormat="1" ht="92" spans="1:35">
      <c r="A957" s="3141" t="s">
        <v>1003</v>
      </c>
      <c r="B957" s="3142">
        <v>45161</v>
      </c>
      <c r="C957" s="728" t="s">
        <v>5823</v>
      </c>
      <c r="D957" s="3143"/>
      <c r="E957" s="728" t="s">
        <v>5829</v>
      </c>
      <c r="F957" s="728" t="s">
        <v>5830</v>
      </c>
      <c r="G957" s="728" t="s">
        <v>5826</v>
      </c>
      <c r="H957" s="728" t="s">
        <v>5505</v>
      </c>
      <c r="I957" s="3155">
        <v>882</v>
      </c>
      <c r="J957" s="3155">
        <v>50</v>
      </c>
      <c r="K957" s="3155">
        <v>44100</v>
      </c>
      <c r="L957" s="798" t="s">
        <v>126</v>
      </c>
      <c r="M957" s="728">
        <v>1</v>
      </c>
      <c r="N957" s="2622" t="s">
        <v>5831</v>
      </c>
      <c r="O957" s="2955">
        <v>0.5</v>
      </c>
      <c r="P957" s="2624">
        <f>K957*O957</f>
        <v>22050</v>
      </c>
      <c r="Q957" s="1854">
        <v>22050</v>
      </c>
      <c r="R957" s="1713" t="s">
        <v>4603</v>
      </c>
      <c r="S957" s="2681">
        <v>45365</v>
      </c>
      <c r="T957" s="2686">
        <v>22050</v>
      </c>
      <c r="U957" s="2681">
        <v>45365</v>
      </c>
      <c r="V957" s="2719">
        <v>22050</v>
      </c>
      <c r="W957" s="2720">
        <v>45313</v>
      </c>
      <c r="X957" s="1854">
        <v>22050</v>
      </c>
      <c r="Y957" s="2720">
        <v>45410</v>
      </c>
      <c r="Z957" s="3245"/>
      <c r="AA957" s="2736"/>
      <c r="AB957" s="2736"/>
      <c r="AC957" s="2751"/>
      <c r="AD957" s="2752"/>
      <c r="AE957" s="2752"/>
      <c r="AF957" s="2752"/>
      <c r="AG957" s="2752"/>
      <c r="AH957" s="2752"/>
      <c r="AI957" s="2752"/>
    </row>
    <row r="958" s="6" customFormat="1" ht="92" spans="1:35">
      <c r="A958" s="3139"/>
      <c r="B958" s="3144"/>
      <c r="C958" s="3145"/>
      <c r="D958" s="3145"/>
      <c r="E958" s="3145"/>
      <c r="F958" s="3145"/>
      <c r="G958" s="3145"/>
      <c r="H958" s="3145"/>
      <c r="I958" s="3139"/>
      <c r="J958" s="3139"/>
      <c r="K958" s="3139"/>
      <c r="L958" s="1304"/>
      <c r="M958" s="728">
        <v>2</v>
      </c>
      <c r="N958" s="2622" t="s">
        <v>5832</v>
      </c>
      <c r="O958" s="2955">
        <v>0.3</v>
      </c>
      <c r="P958" s="2624">
        <f>K957*O958</f>
        <v>13230</v>
      </c>
      <c r="Q958" s="1854">
        <v>13230</v>
      </c>
      <c r="R958" s="1713" t="s">
        <v>4603</v>
      </c>
      <c r="S958" s="2681">
        <v>45365</v>
      </c>
      <c r="T958" s="2686">
        <v>13230</v>
      </c>
      <c r="U958" s="2681">
        <v>45365</v>
      </c>
      <c r="V958" s="2719">
        <v>13230</v>
      </c>
      <c r="W958" s="2720">
        <v>45313</v>
      </c>
      <c r="X958" s="1854">
        <v>13230</v>
      </c>
      <c r="Y958" s="2720">
        <v>45410</v>
      </c>
      <c r="Z958" s="3245"/>
      <c r="AA958" s="2736"/>
      <c r="AB958" s="2736"/>
      <c r="AC958" s="2751"/>
      <c r="AD958" s="2752"/>
      <c r="AE958" s="2752"/>
      <c r="AF958" s="2752"/>
      <c r="AG958" s="2752"/>
      <c r="AH958" s="2752"/>
      <c r="AI958" s="2752"/>
    </row>
    <row r="959" s="6" customFormat="1" ht="92" spans="1:35">
      <c r="A959" s="3139"/>
      <c r="B959" s="3144"/>
      <c r="C959" s="3145"/>
      <c r="D959" s="3145"/>
      <c r="E959" s="3145"/>
      <c r="F959" s="3145"/>
      <c r="G959" s="3145"/>
      <c r="H959" s="3145"/>
      <c r="I959" s="3139"/>
      <c r="J959" s="3139"/>
      <c r="K959" s="3139"/>
      <c r="L959" s="1304"/>
      <c r="M959" s="728">
        <v>3</v>
      </c>
      <c r="N959" s="2622" t="s">
        <v>5833</v>
      </c>
      <c r="O959" s="2955">
        <v>0.1</v>
      </c>
      <c r="P959" s="2624">
        <f>K957*O959</f>
        <v>4410</v>
      </c>
      <c r="Q959" s="3200"/>
      <c r="R959" s="2684"/>
      <c r="S959" s="3199"/>
      <c r="T959" s="2686"/>
      <c r="U959" s="2718"/>
      <c r="V959" s="2719"/>
      <c r="W959" s="3225"/>
      <c r="X959" s="1854"/>
      <c r="Y959" s="2720"/>
      <c r="Z959" s="3245"/>
      <c r="AA959" s="2736"/>
      <c r="AB959" s="2736"/>
      <c r="AC959" s="2751"/>
      <c r="AD959" s="2752"/>
      <c r="AE959" s="2752"/>
      <c r="AF959" s="2752"/>
      <c r="AG959" s="2752"/>
      <c r="AH959" s="2752"/>
      <c r="AI959" s="2752"/>
    </row>
    <row r="960" s="6" customFormat="1" ht="92" spans="1:35">
      <c r="A960" s="3146"/>
      <c r="B960" s="3147"/>
      <c r="C960" s="3148"/>
      <c r="D960" s="3148"/>
      <c r="E960" s="3148"/>
      <c r="F960" s="3148"/>
      <c r="G960" s="3148"/>
      <c r="H960" s="3148"/>
      <c r="I960" s="3146"/>
      <c r="J960" s="3146"/>
      <c r="K960" s="3146"/>
      <c r="L960" s="1304"/>
      <c r="M960" s="728">
        <v>4</v>
      </c>
      <c r="N960" s="2622" t="s">
        <v>5834</v>
      </c>
      <c r="O960" s="2955">
        <v>0.1</v>
      </c>
      <c r="P960" s="2624">
        <f>K957*O960</f>
        <v>4410</v>
      </c>
      <c r="Q960" s="3200"/>
      <c r="R960" s="2684"/>
      <c r="S960" s="2685"/>
      <c r="T960" s="2686"/>
      <c r="U960" s="2718"/>
      <c r="V960" s="2719"/>
      <c r="W960" s="3225"/>
      <c r="X960" s="1854"/>
      <c r="Y960" s="2720"/>
      <c r="Z960" s="3245"/>
      <c r="AA960" s="2736"/>
      <c r="AB960" s="2736"/>
      <c r="AC960" s="2751"/>
      <c r="AD960" s="2752"/>
      <c r="AE960" s="2752"/>
      <c r="AF960" s="2752"/>
      <c r="AG960" s="2752"/>
      <c r="AH960" s="2752"/>
      <c r="AI960" s="2752"/>
    </row>
    <row r="961" s="6" customFormat="1" ht="76" spans="1:35">
      <c r="A961" s="399" t="s">
        <v>1003</v>
      </c>
      <c r="B961" s="3255">
        <v>45168</v>
      </c>
      <c r="C961" s="420" t="s">
        <v>5823</v>
      </c>
      <c r="D961" s="3256"/>
      <c r="E961" s="420" t="s">
        <v>5835</v>
      </c>
      <c r="F961" s="420" t="s">
        <v>5836</v>
      </c>
      <c r="G961" s="420" t="s">
        <v>193</v>
      </c>
      <c r="H961" s="420" t="s">
        <v>5837</v>
      </c>
      <c r="I961" s="420" t="s">
        <v>5838</v>
      </c>
      <c r="J961" s="420" t="s">
        <v>5839</v>
      </c>
      <c r="K961" s="3323">
        <v>42626.87</v>
      </c>
      <c r="L961" s="399" t="s">
        <v>32</v>
      </c>
      <c r="M961" s="416">
        <v>1</v>
      </c>
      <c r="N961" s="3336" t="s">
        <v>5840</v>
      </c>
      <c r="O961" s="3337">
        <v>0.4</v>
      </c>
      <c r="P961" s="3338">
        <f>K961*O961</f>
        <v>17050.748</v>
      </c>
      <c r="Q961" s="3369">
        <v>17050.75</v>
      </c>
      <c r="R961" s="3370" t="s">
        <v>4603</v>
      </c>
      <c r="S961" s="3371">
        <v>45191</v>
      </c>
      <c r="T961" s="3369">
        <v>17050.75</v>
      </c>
      <c r="U961" s="3371">
        <v>45191</v>
      </c>
      <c r="V961" s="3410">
        <v>17050.75</v>
      </c>
      <c r="W961" s="3411">
        <v>45206</v>
      </c>
      <c r="X961" s="3369">
        <v>17050.75</v>
      </c>
      <c r="Y961" s="3411">
        <v>45219</v>
      </c>
      <c r="Z961" s="3445"/>
      <c r="AA961" s="3446"/>
      <c r="AB961" s="3446"/>
      <c r="AC961" s="3462"/>
      <c r="AD961" s="3463"/>
      <c r="AE961" s="3463"/>
      <c r="AF961" s="3463"/>
      <c r="AG961" s="3463"/>
      <c r="AH961" s="3463"/>
      <c r="AI961" s="3463"/>
    </row>
    <row r="962" s="6" customFormat="1" ht="92" spans="1:35">
      <c r="A962" s="620"/>
      <c r="B962" s="3255"/>
      <c r="C962" s="3256"/>
      <c r="D962" s="3256"/>
      <c r="E962" s="3256"/>
      <c r="F962" s="3256"/>
      <c r="G962" s="3256"/>
      <c r="H962" s="3256"/>
      <c r="I962" s="3256"/>
      <c r="J962" s="3256"/>
      <c r="K962" s="620"/>
      <c r="L962" s="620"/>
      <c r="M962" s="416">
        <v>2</v>
      </c>
      <c r="N962" s="3336" t="s">
        <v>5841</v>
      </c>
      <c r="O962" s="3337">
        <v>0.55</v>
      </c>
      <c r="P962" s="3338">
        <f>K961*O962</f>
        <v>23444.7785</v>
      </c>
      <c r="Q962" s="3369">
        <v>23444.78</v>
      </c>
      <c r="R962" s="3370" t="s">
        <v>4603</v>
      </c>
      <c r="S962" s="3371">
        <v>45191</v>
      </c>
      <c r="T962" s="3369">
        <v>23444.78</v>
      </c>
      <c r="U962" s="3371">
        <v>45191</v>
      </c>
      <c r="V962" s="3410">
        <v>23444.78</v>
      </c>
      <c r="W962" s="3411">
        <v>45206</v>
      </c>
      <c r="X962" s="3369">
        <v>23444.78</v>
      </c>
      <c r="Y962" s="3411">
        <v>45219</v>
      </c>
      <c r="Z962" s="3445"/>
      <c r="AA962" s="3446"/>
      <c r="AB962" s="3446"/>
      <c r="AC962" s="3462"/>
      <c r="AD962" s="3463"/>
      <c r="AE962" s="3463"/>
      <c r="AF962" s="3463"/>
      <c r="AG962" s="3463"/>
      <c r="AH962" s="3463"/>
      <c r="AI962" s="3463"/>
    </row>
    <row r="963" s="6" customFormat="1" ht="92" spans="1:35">
      <c r="A963" s="620"/>
      <c r="B963" s="3255"/>
      <c r="C963" s="3256"/>
      <c r="D963" s="3256"/>
      <c r="E963" s="3256"/>
      <c r="F963" s="3256"/>
      <c r="G963" s="3256"/>
      <c r="H963" s="3256"/>
      <c r="I963" s="3256"/>
      <c r="J963" s="3256"/>
      <c r="K963" s="620"/>
      <c r="L963" s="620"/>
      <c r="M963" s="416">
        <v>3</v>
      </c>
      <c r="N963" s="3336" t="s">
        <v>5842</v>
      </c>
      <c r="O963" s="3337">
        <v>0.05</v>
      </c>
      <c r="P963" s="3338">
        <f>K961*O963</f>
        <v>2131.3435</v>
      </c>
      <c r="Q963" s="3372"/>
      <c r="R963" s="3373"/>
      <c r="S963" s="3374"/>
      <c r="T963" s="3375"/>
      <c r="U963" s="3412"/>
      <c r="V963" s="3410"/>
      <c r="W963" s="3413"/>
      <c r="X963" s="3369"/>
      <c r="Y963" s="3411"/>
      <c r="Z963" s="3445"/>
      <c r="AA963" s="3446"/>
      <c r="AB963" s="3446"/>
      <c r="AC963" s="3462"/>
      <c r="AD963" s="3463"/>
      <c r="AE963" s="3463"/>
      <c r="AF963" s="3463"/>
      <c r="AG963" s="3463"/>
      <c r="AH963" s="3463"/>
      <c r="AI963" s="3463"/>
    </row>
    <row r="964" s="6" customFormat="1" ht="92" spans="1:35">
      <c r="A964" s="2888" t="s">
        <v>1003</v>
      </c>
      <c r="B964" s="2889">
        <v>45022</v>
      </c>
      <c r="C964" s="3257" t="s">
        <v>5823</v>
      </c>
      <c r="D964" s="3258"/>
      <c r="E964" s="2949" t="s">
        <v>5843</v>
      </c>
      <c r="F964" s="2949" t="s">
        <v>5844</v>
      </c>
      <c r="G964" s="2949" t="s">
        <v>813</v>
      </c>
      <c r="H964" s="2949" t="s">
        <v>5155</v>
      </c>
      <c r="I964" s="2949" t="s">
        <v>171</v>
      </c>
      <c r="J964" s="2949" t="s">
        <v>5845</v>
      </c>
      <c r="K964" s="2978">
        <v>339578</v>
      </c>
      <c r="L964" s="2888" t="s">
        <v>126</v>
      </c>
      <c r="M964" s="2949">
        <v>1</v>
      </c>
      <c r="N964" s="2950" t="s">
        <v>5846</v>
      </c>
      <c r="O964" s="2951">
        <v>0.5</v>
      </c>
      <c r="P964" s="2954">
        <f>K964*O964</f>
        <v>169789</v>
      </c>
      <c r="Q964" s="2975">
        <v>169789</v>
      </c>
      <c r="R964" s="2888" t="s">
        <v>4603</v>
      </c>
      <c r="S964" s="2976">
        <v>45287</v>
      </c>
      <c r="T964" s="2978">
        <v>169789</v>
      </c>
      <c r="U964" s="2976">
        <v>45287</v>
      </c>
      <c r="V964" s="2978">
        <v>169789</v>
      </c>
      <c r="W964" s="2988">
        <v>45345</v>
      </c>
      <c r="X964" s="2975">
        <v>169789</v>
      </c>
      <c r="Y964" s="2988">
        <v>45380</v>
      </c>
      <c r="Z964" s="2977"/>
      <c r="AA964" s="2992"/>
      <c r="AB964" s="2992"/>
      <c r="AC964" s="3000"/>
      <c r="AD964" s="3001"/>
      <c r="AE964" s="3001"/>
      <c r="AF964" s="3001"/>
      <c r="AG964" s="3001"/>
      <c r="AH964" s="3001"/>
      <c r="AI964" s="3001"/>
    </row>
    <row r="965" s="6" customFormat="1" ht="92" spans="1:35">
      <c r="A965" s="3259"/>
      <c r="B965" s="2891"/>
      <c r="C965" s="3260"/>
      <c r="D965" s="3258"/>
      <c r="E965" s="3258"/>
      <c r="F965" s="3311"/>
      <c r="G965" s="3258"/>
      <c r="H965" s="3258"/>
      <c r="I965" s="3311"/>
      <c r="J965" s="3258"/>
      <c r="K965" s="2978"/>
      <c r="L965" s="3001"/>
      <c r="M965" s="2949">
        <v>2</v>
      </c>
      <c r="N965" s="2950" t="s">
        <v>5847</v>
      </c>
      <c r="O965" s="2951">
        <v>0.3</v>
      </c>
      <c r="P965" s="2954">
        <f>K964*O965</f>
        <v>101873.4</v>
      </c>
      <c r="Q965" s="2975">
        <v>101873.4</v>
      </c>
      <c r="R965" s="2888" t="s">
        <v>4603</v>
      </c>
      <c r="S965" s="2976">
        <v>45287</v>
      </c>
      <c r="T965" s="2978">
        <v>101873.4</v>
      </c>
      <c r="U965" s="2976">
        <v>45287</v>
      </c>
      <c r="V965" s="2987">
        <v>101873.4</v>
      </c>
      <c r="W965" s="3414">
        <v>45491</v>
      </c>
      <c r="X965" s="2954">
        <v>101873.4</v>
      </c>
      <c r="Y965" s="2988">
        <v>45502</v>
      </c>
      <c r="Z965" s="2977"/>
      <c r="AA965" s="2992"/>
      <c r="AB965" s="2992"/>
      <c r="AC965" s="3000"/>
      <c r="AD965" s="3001"/>
      <c r="AE965" s="3001"/>
      <c r="AF965" s="3001"/>
      <c r="AG965" s="3001"/>
      <c r="AH965" s="3001"/>
      <c r="AI965" s="3001"/>
    </row>
    <row r="966" s="6" customFormat="1" ht="76" spans="1:35">
      <c r="A966" s="3259"/>
      <c r="B966" s="2891"/>
      <c r="C966" s="3260"/>
      <c r="D966" s="3258"/>
      <c r="E966" s="3258"/>
      <c r="F966" s="3311"/>
      <c r="G966" s="3258"/>
      <c r="H966" s="3258"/>
      <c r="I966" s="3311"/>
      <c r="J966" s="3258"/>
      <c r="K966" s="2978"/>
      <c r="L966" s="3001"/>
      <c r="M966" s="2949">
        <v>3</v>
      </c>
      <c r="N966" s="2950" t="s">
        <v>5848</v>
      </c>
      <c r="O966" s="2951">
        <v>0.05</v>
      </c>
      <c r="P966" s="2954">
        <f>K964*O966</f>
        <v>16978.9</v>
      </c>
      <c r="Q966" s="3376"/>
      <c r="R966" s="3377"/>
      <c r="S966" s="3378"/>
      <c r="T966" s="2978"/>
      <c r="U966" s="2976"/>
      <c r="V966" s="2987"/>
      <c r="W966" s="3414"/>
      <c r="X966" s="2975"/>
      <c r="Y966" s="2988"/>
      <c r="Z966" s="2977"/>
      <c r="AA966" s="2992"/>
      <c r="AB966" s="2992"/>
      <c r="AC966" s="3000"/>
      <c r="AD966" s="3001"/>
      <c r="AE966" s="3001"/>
      <c r="AF966" s="3001"/>
      <c r="AG966" s="3001"/>
      <c r="AH966" s="3001"/>
      <c r="AI966" s="3001"/>
    </row>
    <row r="967" s="6" customFormat="1" ht="76" spans="1:35">
      <c r="A967" s="3259"/>
      <c r="B967" s="2893"/>
      <c r="C967" s="3260"/>
      <c r="D967" s="3258"/>
      <c r="E967" s="3258"/>
      <c r="F967" s="3311"/>
      <c r="G967" s="3258"/>
      <c r="H967" s="3258"/>
      <c r="I967" s="3311"/>
      <c r="J967" s="3258"/>
      <c r="K967" s="2978"/>
      <c r="L967" s="3001"/>
      <c r="M967" s="2949">
        <v>4</v>
      </c>
      <c r="N967" s="2950" t="s">
        <v>5849</v>
      </c>
      <c r="O967" s="2951">
        <v>0.15</v>
      </c>
      <c r="P967" s="2954">
        <f>K964*O967</f>
        <v>50936.7</v>
      </c>
      <c r="Q967" s="3376"/>
      <c r="R967" s="3379"/>
      <c r="S967" s="3380"/>
      <c r="T967" s="2978"/>
      <c r="U967" s="2976"/>
      <c r="V967" s="2987"/>
      <c r="W967" s="3414"/>
      <c r="X967" s="2975"/>
      <c r="Y967" s="2988"/>
      <c r="Z967" s="2977"/>
      <c r="AA967" s="2992"/>
      <c r="AB967" s="2992"/>
      <c r="AC967" s="3000"/>
      <c r="AD967" s="3001"/>
      <c r="AE967" s="3001"/>
      <c r="AF967" s="3001"/>
      <c r="AG967" s="3001"/>
      <c r="AH967" s="3001"/>
      <c r="AI967" s="3001"/>
    </row>
    <row r="968" s="6" customFormat="1" ht="61" spans="1:35">
      <c r="A968" s="2907" t="s">
        <v>1003</v>
      </c>
      <c r="B968" s="2871">
        <v>44986</v>
      </c>
      <c r="C968" s="2872" t="s">
        <v>5823</v>
      </c>
      <c r="D968" s="683"/>
      <c r="E968" s="683" t="s">
        <v>5850</v>
      </c>
      <c r="F968" s="683" t="s">
        <v>5851</v>
      </c>
      <c r="G968" s="683" t="s">
        <v>240</v>
      </c>
      <c r="H968" s="683" t="s">
        <v>4638</v>
      </c>
      <c r="I968" s="703">
        <v>60712.2</v>
      </c>
      <c r="J968" s="683" t="s">
        <v>5852</v>
      </c>
      <c r="K968" s="3324">
        <v>1644095.8</v>
      </c>
      <c r="L968" s="2907" t="s">
        <v>126</v>
      </c>
      <c r="M968" s="2895">
        <v>1</v>
      </c>
      <c r="N968" s="3339" t="s">
        <v>5853</v>
      </c>
      <c r="O968" s="3340">
        <v>0.2</v>
      </c>
      <c r="P968" s="2935">
        <f>K968*O968</f>
        <v>328819.16</v>
      </c>
      <c r="Q968" s="3381">
        <v>328819.16</v>
      </c>
      <c r="R968" s="827" t="s">
        <v>4603</v>
      </c>
      <c r="S968" s="3382">
        <v>44998</v>
      </c>
      <c r="T968" s="3383">
        <v>328819.16</v>
      </c>
      <c r="U968" s="3415">
        <v>44998</v>
      </c>
      <c r="V968" s="3416">
        <v>328819.16</v>
      </c>
      <c r="W968" s="3417">
        <v>44994</v>
      </c>
      <c r="X968" s="3381">
        <v>328819.16</v>
      </c>
      <c r="Y968" s="3447">
        <v>45014</v>
      </c>
      <c r="Z968" s="3448"/>
      <c r="AA968" s="3449"/>
      <c r="AB968" s="3449"/>
      <c r="AC968" s="3464"/>
      <c r="AD968" s="3465"/>
      <c r="AE968" s="3465"/>
      <c r="AF968" s="3465"/>
      <c r="AG968" s="3465"/>
      <c r="AH968" s="3325"/>
      <c r="AI968" s="3325"/>
    </row>
    <row r="969" s="6" customFormat="1" ht="46" spans="1:35">
      <c r="A969" s="3261"/>
      <c r="B969" s="2871"/>
      <c r="C969" s="3262"/>
      <c r="D969" s="3263"/>
      <c r="E969" s="3263"/>
      <c r="F969" s="703"/>
      <c r="G969" s="3263"/>
      <c r="H969" s="3263"/>
      <c r="I969" s="703"/>
      <c r="J969" s="3263"/>
      <c r="K969" s="3324"/>
      <c r="L969" s="3325"/>
      <c r="M969" s="636">
        <v>2</v>
      </c>
      <c r="N969" s="742" t="s">
        <v>5854</v>
      </c>
      <c r="O969" s="2931">
        <v>0.3</v>
      </c>
      <c r="P969" s="2936">
        <f>K968*O969</f>
        <v>493228.74</v>
      </c>
      <c r="Q969" s="2958">
        <v>493228.74</v>
      </c>
      <c r="R969" s="3384" t="s">
        <v>4603</v>
      </c>
      <c r="S969" s="3385">
        <v>44998</v>
      </c>
      <c r="T969" s="2963">
        <v>493228.74</v>
      </c>
      <c r="U969" s="2959">
        <v>44998</v>
      </c>
      <c r="V969" s="2982">
        <v>493228.74</v>
      </c>
      <c r="W969" s="3418">
        <v>45028</v>
      </c>
      <c r="X969" s="2958">
        <v>493228.74</v>
      </c>
      <c r="Y969" s="3450">
        <v>45039</v>
      </c>
      <c r="Z969" s="2960"/>
      <c r="AA969" s="62"/>
      <c r="AB969" s="62"/>
      <c r="AC969" s="2994"/>
      <c r="AD969" s="2995"/>
      <c r="AE969" s="2995"/>
      <c r="AF969" s="2995"/>
      <c r="AG969" s="2995"/>
      <c r="AH969" s="3468"/>
      <c r="AI969" s="3468"/>
    </row>
    <row r="970" s="6" customFormat="1" ht="46" spans="1:35">
      <c r="A970" s="3261"/>
      <c r="B970" s="2871"/>
      <c r="C970" s="3262"/>
      <c r="D970" s="3263"/>
      <c r="E970" s="3263"/>
      <c r="F970" s="703"/>
      <c r="G970" s="3263"/>
      <c r="H970" s="3263"/>
      <c r="I970" s="703"/>
      <c r="J970" s="3263"/>
      <c r="K970" s="3324"/>
      <c r="L970" s="3325"/>
      <c r="M970" s="636">
        <v>3</v>
      </c>
      <c r="N970" s="742" t="s">
        <v>3322</v>
      </c>
      <c r="O970" s="2931">
        <v>0.2</v>
      </c>
      <c r="P970" s="2936">
        <f>K968*O970</f>
        <v>328819.16</v>
      </c>
      <c r="Q970" s="2958">
        <v>328819.16</v>
      </c>
      <c r="R970" s="3384" t="s">
        <v>4603</v>
      </c>
      <c r="S970" s="3385">
        <v>44998</v>
      </c>
      <c r="T970" s="2963">
        <v>328819.16</v>
      </c>
      <c r="U970" s="2959">
        <v>44998</v>
      </c>
      <c r="V970" s="2982">
        <v>328819.16</v>
      </c>
      <c r="W970" s="3418">
        <v>45028</v>
      </c>
      <c r="X970" s="2958">
        <v>328819.16</v>
      </c>
      <c r="Y970" s="3450">
        <v>45039</v>
      </c>
      <c r="Z970" s="2960"/>
      <c r="AA970" s="62"/>
      <c r="AB970" s="62"/>
      <c r="AC970" s="2994"/>
      <c r="AD970" s="2995"/>
      <c r="AE970" s="2995"/>
      <c r="AF970" s="2995"/>
      <c r="AG970" s="2995"/>
      <c r="AH970" s="3468"/>
      <c r="AI970" s="3468"/>
    </row>
    <row r="971" s="6" customFormat="1" ht="61" spans="1:35">
      <c r="A971" s="3261"/>
      <c r="B971" s="2871"/>
      <c r="C971" s="3262"/>
      <c r="D971" s="3263"/>
      <c r="E971" s="3263"/>
      <c r="F971" s="703"/>
      <c r="G971" s="3263"/>
      <c r="H971" s="3263"/>
      <c r="I971" s="703"/>
      <c r="J971" s="3263"/>
      <c r="K971" s="3324"/>
      <c r="L971" s="3325"/>
      <c r="M971" s="636">
        <v>4</v>
      </c>
      <c r="N971" s="742" t="s">
        <v>3323</v>
      </c>
      <c r="O971" s="2931">
        <v>0.15</v>
      </c>
      <c r="P971" s="2936">
        <f>K968*O971</f>
        <v>246614.37</v>
      </c>
      <c r="Q971" s="2958">
        <v>246614.37</v>
      </c>
      <c r="R971" s="3384" t="s">
        <v>4603</v>
      </c>
      <c r="S971" s="3385">
        <v>45118</v>
      </c>
      <c r="T971" s="2963">
        <v>246614.37</v>
      </c>
      <c r="U971" s="2959">
        <v>45118</v>
      </c>
      <c r="V971" s="2982">
        <v>246614.37</v>
      </c>
      <c r="W971" s="3419">
        <v>45120</v>
      </c>
      <c r="X971" s="3420">
        <v>246614.37</v>
      </c>
      <c r="Y971" s="3419">
        <v>45133</v>
      </c>
      <c r="Z971" s="2960"/>
      <c r="AA971" s="62"/>
      <c r="AB971" s="62"/>
      <c r="AC971" s="2994"/>
      <c r="AD971" s="2995"/>
      <c r="AE971" s="2995"/>
      <c r="AF971" s="2995"/>
      <c r="AG971" s="2995"/>
      <c r="AH971" s="3468"/>
      <c r="AI971" s="3468"/>
    </row>
    <row r="972" s="6" customFormat="1" ht="61" spans="1:35">
      <c r="A972" s="3261"/>
      <c r="B972" s="2871"/>
      <c r="C972" s="3262"/>
      <c r="D972" s="3263"/>
      <c r="E972" s="3263"/>
      <c r="F972" s="703"/>
      <c r="G972" s="3263"/>
      <c r="H972" s="3263"/>
      <c r="I972" s="703"/>
      <c r="J972" s="3263"/>
      <c r="K972" s="3324"/>
      <c r="L972" s="3325"/>
      <c r="M972" s="636">
        <v>5</v>
      </c>
      <c r="N972" s="742" t="s">
        <v>5855</v>
      </c>
      <c r="O972" s="2931">
        <v>0.05</v>
      </c>
      <c r="P972" s="2936">
        <f>K968*O972</f>
        <v>82204.79</v>
      </c>
      <c r="Q972" s="2961"/>
      <c r="R972" s="3386"/>
      <c r="S972" s="3387"/>
      <c r="T972" s="2963"/>
      <c r="U972" s="2959"/>
      <c r="V972" s="2982"/>
      <c r="W972" s="3418"/>
      <c r="X972" s="2958"/>
      <c r="Y972" s="3450"/>
      <c r="Z972" s="2960"/>
      <c r="AA972" s="62"/>
      <c r="AB972" s="62"/>
      <c r="AC972" s="2994"/>
      <c r="AD972" s="2995"/>
      <c r="AE972" s="2995"/>
      <c r="AF972" s="2995"/>
      <c r="AG972" s="2995"/>
      <c r="AH972" s="3468"/>
      <c r="AI972" s="3468"/>
    </row>
    <row r="973" s="6" customFormat="1" ht="76" spans="1:35">
      <c r="A973" s="3261"/>
      <c r="B973" s="2871"/>
      <c r="C973" s="3262"/>
      <c r="D973" s="3263"/>
      <c r="E973" s="3263"/>
      <c r="F973" s="703"/>
      <c r="G973" s="3263"/>
      <c r="H973" s="3263"/>
      <c r="I973" s="703"/>
      <c r="J973" s="3263"/>
      <c r="K973" s="2906"/>
      <c r="L973" s="3325"/>
      <c r="M973" s="636">
        <v>6</v>
      </c>
      <c r="N973" s="742" t="s">
        <v>3325</v>
      </c>
      <c r="O973" s="2931">
        <v>0.1</v>
      </c>
      <c r="P973" s="2936">
        <f>K968*O973</f>
        <v>164409.58</v>
      </c>
      <c r="Q973" s="2961"/>
      <c r="R973" s="3386"/>
      <c r="S973" s="3387"/>
      <c r="T973" s="2963"/>
      <c r="U973" s="2959"/>
      <c r="V973" s="2982"/>
      <c r="W973" s="3418"/>
      <c r="X973" s="2958"/>
      <c r="Y973" s="3450"/>
      <c r="Z973" s="2960"/>
      <c r="AA973" s="62"/>
      <c r="AB973" s="62"/>
      <c r="AC973" s="2994"/>
      <c r="AD973" s="2995"/>
      <c r="AE973" s="2995"/>
      <c r="AF973" s="2995"/>
      <c r="AG973" s="2995"/>
      <c r="AH973" s="3468"/>
      <c r="AI973" s="3468"/>
    </row>
    <row r="974" s="6" customFormat="1" ht="61" spans="1:35">
      <c r="A974" s="3264" t="s">
        <v>1003</v>
      </c>
      <c r="B974" s="3265">
        <v>44376</v>
      </c>
      <c r="C974" s="3266" t="s">
        <v>5856</v>
      </c>
      <c r="D974" s="3267"/>
      <c r="E974" s="3267" t="s">
        <v>5857</v>
      </c>
      <c r="F974" s="3312" t="s">
        <v>5858</v>
      </c>
      <c r="G974" s="3313" t="s">
        <v>5859</v>
      </c>
      <c r="H974" s="3267" t="s">
        <v>5860</v>
      </c>
      <c r="I974" s="3312" t="s">
        <v>5861</v>
      </c>
      <c r="J974" s="3267" t="s">
        <v>5862</v>
      </c>
      <c r="K974" s="3326">
        <v>740250</v>
      </c>
      <c r="L974" s="3327" t="s">
        <v>138</v>
      </c>
      <c r="M974" s="3313">
        <v>1</v>
      </c>
      <c r="N974" s="3341" t="s">
        <v>5863</v>
      </c>
      <c r="O974" s="3342">
        <v>0.2</v>
      </c>
      <c r="P974" s="3343">
        <f>K974*O974</f>
        <v>148050</v>
      </c>
      <c r="Q974" s="3388">
        <v>148050</v>
      </c>
      <c r="R974" s="3389" t="s">
        <v>4603</v>
      </c>
      <c r="S974" s="3390">
        <v>44446</v>
      </c>
      <c r="T974" s="3326">
        <v>148050</v>
      </c>
      <c r="U974" s="3421">
        <v>44446</v>
      </c>
      <c r="V974" s="3422">
        <v>148050</v>
      </c>
      <c r="W974" s="3421">
        <v>44448</v>
      </c>
      <c r="X974" s="3388">
        <v>148050</v>
      </c>
      <c r="Y974" s="3451">
        <v>44457</v>
      </c>
      <c r="Z974" s="3452">
        <f t="shared" ref="Z974:Z980" si="36">Q974-X974</f>
        <v>0</v>
      </c>
      <c r="AA974" s="3313"/>
      <c r="AB974" s="3453"/>
      <c r="AC974" s="3466"/>
      <c r="AD974" s="3313"/>
      <c r="AE974" s="3313"/>
      <c r="AF974" s="3313"/>
      <c r="AG974" s="3313"/>
      <c r="AH974" s="3469"/>
      <c r="AI974" s="3469"/>
    </row>
    <row r="975" s="6" customFormat="1" ht="92" spans="1:35">
      <c r="A975" s="3264"/>
      <c r="B975" s="3268"/>
      <c r="C975" s="3266"/>
      <c r="D975" s="3267"/>
      <c r="E975" s="3267"/>
      <c r="F975" s="3312"/>
      <c r="G975" s="3313"/>
      <c r="H975" s="3267"/>
      <c r="I975" s="3312"/>
      <c r="J975" s="3267"/>
      <c r="K975" s="3326"/>
      <c r="L975" s="3313"/>
      <c r="M975" s="3313">
        <v>2</v>
      </c>
      <c r="N975" s="3341" t="s">
        <v>5864</v>
      </c>
      <c r="O975" s="3342">
        <v>0.6</v>
      </c>
      <c r="P975" s="3343">
        <f>K974*O975</f>
        <v>444150</v>
      </c>
      <c r="Q975" s="3388">
        <v>444150</v>
      </c>
      <c r="R975" s="3327" t="s">
        <v>4603</v>
      </c>
      <c r="S975" s="3390">
        <v>44517</v>
      </c>
      <c r="T975" s="3326">
        <v>444150</v>
      </c>
      <c r="U975" s="3421">
        <v>44517</v>
      </c>
      <c r="V975" s="3422">
        <v>444150</v>
      </c>
      <c r="W975" s="3421">
        <v>44575</v>
      </c>
      <c r="X975" s="3388">
        <v>444150</v>
      </c>
      <c r="Y975" s="3451">
        <v>44616</v>
      </c>
      <c r="Z975" s="3452">
        <f t="shared" si="36"/>
        <v>0</v>
      </c>
      <c r="AA975" s="3313"/>
      <c r="AB975" s="3453"/>
      <c r="AC975" s="3466"/>
      <c r="AD975" s="3313"/>
      <c r="AE975" s="3313"/>
      <c r="AF975" s="3313"/>
      <c r="AG975" s="3313"/>
      <c r="AH975" s="3469"/>
      <c r="AI975" s="3469"/>
    </row>
    <row r="976" s="6" customFormat="1" ht="46" spans="1:35">
      <c r="A976" s="3264"/>
      <c r="B976" s="3268"/>
      <c r="C976" s="3266"/>
      <c r="D976" s="3267"/>
      <c r="E976" s="3267"/>
      <c r="F976" s="3312"/>
      <c r="G976" s="3313"/>
      <c r="H976" s="3267"/>
      <c r="I976" s="3312"/>
      <c r="J976" s="3267"/>
      <c r="K976" s="3326"/>
      <c r="L976" s="3313"/>
      <c r="M976" s="3313">
        <v>3</v>
      </c>
      <c r="N976" s="3341" t="s">
        <v>5865</v>
      </c>
      <c r="O976" s="3342">
        <v>0.1</v>
      </c>
      <c r="P976" s="3343">
        <f>K974*O976</f>
        <v>74025</v>
      </c>
      <c r="Q976" s="3388">
        <v>74025</v>
      </c>
      <c r="R976" s="3327" t="s">
        <v>4603</v>
      </c>
      <c r="S976" s="3390">
        <v>44922</v>
      </c>
      <c r="T976" s="3326">
        <v>74025</v>
      </c>
      <c r="U976" s="3421">
        <v>44922</v>
      </c>
      <c r="V976" s="3422">
        <v>74025</v>
      </c>
      <c r="W976" s="3421">
        <v>45061</v>
      </c>
      <c r="X976" s="3388">
        <v>74025</v>
      </c>
      <c r="Y976" s="3454">
        <v>45071</v>
      </c>
      <c r="Z976" s="3452">
        <f t="shared" si="36"/>
        <v>0</v>
      </c>
      <c r="AA976" s="3313"/>
      <c r="AB976" s="3453"/>
      <c r="AC976" s="3466"/>
      <c r="AD976" s="3313"/>
      <c r="AE976" s="3313"/>
      <c r="AF976" s="3313"/>
      <c r="AG976" s="3313"/>
      <c r="AH976" s="3469"/>
      <c r="AI976" s="3469"/>
    </row>
    <row r="977" s="6" customFormat="1" ht="61" spans="1:35">
      <c r="A977" s="3264"/>
      <c r="B977" s="3269"/>
      <c r="C977" s="3266"/>
      <c r="D977" s="3267"/>
      <c r="E977" s="3267"/>
      <c r="F977" s="3312"/>
      <c r="G977" s="3313"/>
      <c r="H977" s="3267"/>
      <c r="I977" s="3312"/>
      <c r="J977" s="3267"/>
      <c r="K977" s="3326"/>
      <c r="L977" s="3313"/>
      <c r="M977" s="3313">
        <v>4</v>
      </c>
      <c r="N977" s="3341" t="s">
        <v>5866</v>
      </c>
      <c r="O977" s="3342">
        <v>0.1</v>
      </c>
      <c r="P977" s="3343">
        <f>K974*O977</f>
        <v>74025</v>
      </c>
      <c r="Q977" s="3388">
        <v>56593.95</v>
      </c>
      <c r="R977" s="3327" t="s">
        <v>4603</v>
      </c>
      <c r="S977" s="3390">
        <v>44922</v>
      </c>
      <c r="T977" s="3326">
        <v>56593.95</v>
      </c>
      <c r="U977" s="3421">
        <v>44922</v>
      </c>
      <c r="V977" s="3422"/>
      <c r="W977" s="3423"/>
      <c r="X977" s="3388"/>
      <c r="Y977" s="3454"/>
      <c r="Z977" s="3452">
        <f t="shared" si="36"/>
        <v>56593.95</v>
      </c>
      <c r="AA977" s="3313"/>
      <c r="AB977" s="3453"/>
      <c r="AC977" s="3466"/>
      <c r="AD977" s="3313"/>
      <c r="AE977" s="3313"/>
      <c r="AF977" s="3313"/>
      <c r="AG977" s="3313"/>
      <c r="AH977" s="3469"/>
      <c r="AI977" s="3469"/>
    </row>
    <row r="978" s="16" customFormat="1" ht="92" spans="1:35">
      <c r="A978" s="3270" t="s">
        <v>1003</v>
      </c>
      <c r="B978" s="3271">
        <v>44934</v>
      </c>
      <c r="C978" s="3272" t="s">
        <v>5856</v>
      </c>
      <c r="D978" s="3273"/>
      <c r="E978" s="3314" t="s">
        <v>5867</v>
      </c>
      <c r="F978" s="3314" t="s">
        <v>5868</v>
      </c>
      <c r="G978" s="3270" t="s">
        <v>5859</v>
      </c>
      <c r="H978" s="3314" t="s">
        <v>5860</v>
      </c>
      <c r="I978" s="3314" t="s">
        <v>5861</v>
      </c>
      <c r="J978" s="3314" t="s">
        <v>2887</v>
      </c>
      <c r="K978" s="3328">
        <v>120000</v>
      </c>
      <c r="L978" s="3270" t="s">
        <v>138</v>
      </c>
      <c r="M978" s="3344">
        <v>1</v>
      </c>
      <c r="N978" s="3345" t="s">
        <v>5869</v>
      </c>
      <c r="O978" s="3346">
        <v>0.4</v>
      </c>
      <c r="P978" s="3347">
        <f>K978*O978</f>
        <v>48000</v>
      </c>
      <c r="Q978" s="3391">
        <v>48000</v>
      </c>
      <c r="R978" s="3392" t="s">
        <v>4603</v>
      </c>
      <c r="S978" s="3393">
        <v>45287</v>
      </c>
      <c r="T978" s="3391">
        <v>48000</v>
      </c>
      <c r="U978" s="3393">
        <v>45287</v>
      </c>
      <c r="V978" s="3391">
        <v>48000</v>
      </c>
      <c r="W978" s="3424">
        <v>45946</v>
      </c>
      <c r="X978" s="3391">
        <v>48000</v>
      </c>
      <c r="Y978" s="3393">
        <v>45954</v>
      </c>
      <c r="Z978" s="3391">
        <f t="shared" si="36"/>
        <v>0</v>
      </c>
      <c r="AA978" s="3344"/>
      <c r="AB978" s="3455"/>
      <c r="AC978" s="3467"/>
      <c r="AD978" s="3344"/>
      <c r="AE978" s="3344"/>
      <c r="AF978" s="3344"/>
      <c r="AG978" s="3344"/>
      <c r="AH978" s="3470"/>
      <c r="AI978" s="3470"/>
    </row>
    <row r="979" s="16" customFormat="1" ht="76" spans="1:35">
      <c r="A979" s="3274"/>
      <c r="B979" s="3275"/>
      <c r="C979" s="3276"/>
      <c r="D979" s="3277"/>
      <c r="E979" s="3315"/>
      <c r="F979" s="3315"/>
      <c r="G979" s="3274"/>
      <c r="H979" s="3315"/>
      <c r="I979" s="3329"/>
      <c r="J979" s="3315"/>
      <c r="K979" s="3330"/>
      <c r="L979" s="3274"/>
      <c r="M979" s="3344">
        <v>2</v>
      </c>
      <c r="N979" s="3345" t="s">
        <v>5870</v>
      </c>
      <c r="O979" s="3346">
        <v>0.4</v>
      </c>
      <c r="P979" s="3347">
        <f>K978*O979</f>
        <v>48000</v>
      </c>
      <c r="Q979" s="3391">
        <v>48000</v>
      </c>
      <c r="R979" s="3392" t="s">
        <v>4603</v>
      </c>
      <c r="S979" s="3393">
        <v>45287</v>
      </c>
      <c r="T979" s="3391">
        <v>48000</v>
      </c>
      <c r="U979" s="3393">
        <v>45287</v>
      </c>
      <c r="V979" s="3391">
        <v>48000</v>
      </c>
      <c r="W979" s="3424">
        <v>45946</v>
      </c>
      <c r="X979" s="3391">
        <v>48000</v>
      </c>
      <c r="Y979" s="3393">
        <v>45954</v>
      </c>
      <c r="Z979" s="3391">
        <f t="shared" si="36"/>
        <v>0</v>
      </c>
      <c r="AA979" s="3344"/>
      <c r="AB979" s="3455"/>
      <c r="AC979" s="3467"/>
      <c r="AD979" s="3344"/>
      <c r="AE979" s="3344"/>
      <c r="AF979" s="3344"/>
      <c r="AG979" s="3344"/>
      <c r="AH979" s="3470"/>
      <c r="AI979" s="3470"/>
    </row>
    <row r="980" s="16" customFormat="1" ht="61" spans="1:35">
      <c r="A980" s="3278"/>
      <c r="B980" s="3279"/>
      <c r="C980" s="3280"/>
      <c r="D980" s="3281"/>
      <c r="E980" s="3316"/>
      <c r="F980" s="3316"/>
      <c r="G980" s="3278"/>
      <c r="H980" s="3316"/>
      <c r="I980" s="3331"/>
      <c r="J980" s="3316"/>
      <c r="K980" s="3332"/>
      <c r="L980" s="3278"/>
      <c r="M980" s="3344">
        <v>3</v>
      </c>
      <c r="N980" s="3345" t="s">
        <v>5871</v>
      </c>
      <c r="O980" s="3346">
        <v>0.2</v>
      </c>
      <c r="P980" s="3347">
        <f>K978*O980</f>
        <v>24000</v>
      </c>
      <c r="Q980" s="3391">
        <v>24000</v>
      </c>
      <c r="R980" s="3392" t="s">
        <v>4603</v>
      </c>
      <c r="S980" s="3393">
        <v>45287</v>
      </c>
      <c r="T980" s="3394"/>
      <c r="U980" s="3425"/>
      <c r="V980" s="3426"/>
      <c r="W980" s="3424"/>
      <c r="X980" s="3391"/>
      <c r="Y980" s="3393"/>
      <c r="Z980" s="3391">
        <f t="shared" si="36"/>
        <v>24000</v>
      </c>
      <c r="AA980" s="3344"/>
      <c r="AB980" s="3455"/>
      <c r="AC980" s="3467"/>
      <c r="AD980" s="3344"/>
      <c r="AE980" s="3344"/>
      <c r="AF980" s="3344"/>
      <c r="AG980" s="3344"/>
      <c r="AH980" s="3470"/>
      <c r="AI980" s="3470"/>
    </row>
    <row r="981" s="16" customFormat="1" ht="61" spans="1:35">
      <c r="A981" s="393" t="s">
        <v>1003</v>
      </c>
      <c r="B981" s="2540">
        <v>44897</v>
      </c>
      <c r="C981" s="395" t="s">
        <v>1294</v>
      </c>
      <c r="D981" s="3250"/>
      <c r="E981" s="418" t="s">
        <v>5872</v>
      </c>
      <c r="F981" s="418" t="s">
        <v>5873</v>
      </c>
      <c r="G981" s="393" t="s">
        <v>5874</v>
      </c>
      <c r="H981" s="418" t="s">
        <v>5860</v>
      </c>
      <c r="I981" s="439"/>
      <c r="J981" s="418" t="s">
        <v>2887</v>
      </c>
      <c r="K981" s="2682">
        <v>165243</v>
      </c>
      <c r="L981" s="393" t="s">
        <v>138</v>
      </c>
      <c r="M981" s="2750">
        <v>1</v>
      </c>
      <c r="N981" s="3348" t="s">
        <v>5863</v>
      </c>
      <c r="O981" s="481">
        <v>0.2</v>
      </c>
      <c r="P981" s="2621">
        <f>O981*K981</f>
        <v>33048.6</v>
      </c>
      <c r="Q981" s="3071">
        <v>33048.6</v>
      </c>
      <c r="R981" s="1238" t="s">
        <v>4603</v>
      </c>
      <c r="S981" s="3079">
        <v>44922</v>
      </c>
      <c r="T981" s="3071">
        <v>33048.6</v>
      </c>
      <c r="U981" s="3072">
        <v>44922</v>
      </c>
      <c r="V981" s="2621">
        <v>33048.6</v>
      </c>
      <c r="W981" s="2717">
        <v>44978</v>
      </c>
      <c r="X981" s="1856">
        <v>33048.6</v>
      </c>
      <c r="Y981" s="2718">
        <v>45006</v>
      </c>
      <c r="Z981" s="396"/>
      <c r="AA981" s="2750"/>
      <c r="AB981" s="2735"/>
      <c r="AC981" s="2749"/>
      <c r="AD981" s="2750"/>
      <c r="AE981" s="2750"/>
      <c r="AF981" s="2750"/>
      <c r="AG981" s="2750"/>
      <c r="AH981" s="2752"/>
      <c r="AI981" s="2752"/>
    </row>
    <row r="982" s="16" customFormat="1" ht="92" spans="1:35">
      <c r="A982" s="397"/>
      <c r="B982" s="2542"/>
      <c r="C982" s="3282"/>
      <c r="D982" s="3250"/>
      <c r="E982" s="3250"/>
      <c r="F982" s="439"/>
      <c r="G982" s="2750"/>
      <c r="H982" s="3250"/>
      <c r="I982" s="439"/>
      <c r="J982" s="3250"/>
      <c r="K982" s="2682"/>
      <c r="L982" s="2750"/>
      <c r="M982" s="2750">
        <v>2</v>
      </c>
      <c r="N982" s="3348" t="s">
        <v>5864</v>
      </c>
      <c r="O982" s="481">
        <v>0.6</v>
      </c>
      <c r="P982" s="2621">
        <f>O982*K981</f>
        <v>99145.8</v>
      </c>
      <c r="Q982" s="3071">
        <v>99145.8</v>
      </c>
      <c r="R982" s="1238" t="s">
        <v>4603</v>
      </c>
      <c r="S982" s="3079">
        <v>44922</v>
      </c>
      <c r="T982" s="3071">
        <v>99145.8</v>
      </c>
      <c r="U982" s="3072">
        <v>44922</v>
      </c>
      <c r="V982" s="2621">
        <v>99145.8</v>
      </c>
      <c r="W982" s="3224">
        <v>45219</v>
      </c>
      <c r="X982" s="3071">
        <v>99145.8</v>
      </c>
      <c r="Y982" s="2718">
        <v>45243</v>
      </c>
      <c r="Z982" s="396"/>
      <c r="AA982" s="2750"/>
      <c r="AB982" s="2735"/>
      <c r="AC982" s="2749"/>
      <c r="AD982" s="2750"/>
      <c r="AE982" s="2750"/>
      <c r="AF982" s="2750"/>
      <c r="AG982" s="2750"/>
      <c r="AH982" s="2752"/>
      <c r="AI982" s="2752"/>
    </row>
    <row r="983" s="16" customFormat="1" ht="46" spans="1:35">
      <c r="A983" s="397"/>
      <c r="B983" s="2542"/>
      <c r="C983" s="3282"/>
      <c r="D983" s="3250"/>
      <c r="E983" s="3250"/>
      <c r="F983" s="439"/>
      <c r="G983" s="2750"/>
      <c r="H983" s="3250"/>
      <c r="I983" s="439"/>
      <c r="J983" s="3250"/>
      <c r="K983" s="2682"/>
      <c r="L983" s="2750"/>
      <c r="M983" s="2750">
        <v>3</v>
      </c>
      <c r="N983" s="3348" t="s">
        <v>5865</v>
      </c>
      <c r="O983" s="481">
        <v>0.1</v>
      </c>
      <c r="P983" s="2621">
        <f>O983*K981</f>
        <v>16524.3</v>
      </c>
      <c r="Q983" s="2683">
        <v>16524.3</v>
      </c>
      <c r="R983" s="519" t="s">
        <v>349</v>
      </c>
      <c r="S983" s="3395"/>
      <c r="T983" s="2788"/>
      <c r="U983" s="2717"/>
      <c r="V983" s="2621"/>
      <c r="W983" s="3224"/>
      <c r="X983" s="1856"/>
      <c r="Y983" s="2718"/>
      <c r="Z983" s="396"/>
      <c r="AA983" s="2750"/>
      <c r="AB983" s="2735"/>
      <c r="AC983" s="2749"/>
      <c r="AD983" s="2750"/>
      <c r="AE983" s="2750"/>
      <c r="AF983" s="2750"/>
      <c r="AG983" s="2750"/>
      <c r="AH983" s="2752"/>
      <c r="AI983" s="2752"/>
    </row>
    <row r="984" s="16" customFormat="1" ht="61" spans="1:35">
      <c r="A984" s="397"/>
      <c r="B984" s="2760"/>
      <c r="C984" s="3282"/>
      <c r="D984" s="3250"/>
      <c r="E984" s="3250"/>
      <c r="F984" s="439"/>
      <c r="G984" s="2750"/>
      <c r="H984" s="3250"/>
      <c r="I984" s="439"/>
      <c r="J984" s="3250"/>
      <c r="K984" s="2682"/>
      <c r="L984" s="2750"/>
      <c r="M984" s="2750">
        <v>4</v>
      </c>
      <c r="N984" s="3348" t="s">
        <v>5866</v>
      </c>
      <c r="O984" s="481">
        <v>0.1</v>
      </c>
      <c r="P984" s="2621">
        <f>O984*K981</f>
        <v>16524.3</v>
      </c>
      <c r="Q984" s="1856"/>
      <c r="R984" s="393"/>
      <c r="S984" s="2718"/>
      <c r="T984" s="2788"/>
      <c r="U984" s="2717"/>
      <c r="V984" s="2621"/>
      <c r="W984" s="3224"/>
      <c r="X984" s="1856"/>
      <c r="Y984" s="2718"/>
      <c r="Z984" s="396"/>
      <c r="AA984" s="2750"/>
      <c r="AB984" s="2735"/>
      <c r="AC984" s="2749"/>
      <c r="AD984" s="2750"/>
      <c r="AE984" s="2750"/>
      <c r="AF984" s="2750"/>
      <c r="AG984" s="2750"/>
      <c r="AH984" s="2752"/>
      <c r="AI984" s="2752"/>
    </row>
    <row r="985" s="22" customFormat="1" ht="61" spans="1:35">
      <c r="A985" s="3283" t="s">
        <v>1003</v>
      </c>
      <c r="B985" s="3284">
        <v>44391</v>
      </c>
      <c r="C985" s="3285" t="s">
        <v>5875</v>
      </c>
      <c r="D985" s="3286"/>
      <c r="E985" s="3286" t="s">
        <v>5876</v>
      </c>
      <c r="F985" s="3317" t="s">
        <v>5877</v>
      </c>
      <c r="G985" s="3318" t="s">
        <v>5878</v>
      </c>
      <c r="H985" s="3286" t="s">
        <v>5879</v>
      </c>
      <c r="I985" s="3317" t="s">
        <v>171</v>
      </c>
      <c r="J985" s="3286" t="s">
        <v>997</v>
      </c>
      <c r="K985" s="3333">
        <v>350000</v>
      </c>
      <c r="L985" s="3318" t="s">
        <v>137</v>
      </c>
      <c r="M985" s="3349">
        <v>1</v>
      </c>
      <c r="N985" s="3350" t="s">
        <v>5880</v>
      </c>
      <c r="O985" s="3161">
        <f>P985/K985</f>
        <v>0.127977857142857</v>
      </c>
      <c r="P985" s="2640">
        <v>44792.25</v>
      </c>
      <c r="Q985" s="3396">
        <v>44792.25</v>
      </c>
      <c r="R985" s="3397" t="s">
        <v>4603</v>
      </c>
      <c r="S985" s="3398">
        <v>44552</v>
      </c>
      <c r="T985" s="3399">
        <v>44792.25</v>
      </c>
      <c r="U985" s="3427">
        <v>44552</v>
      </c>
      <c r="V985" s="3428">
        <v>44792.25</v>
      </c>
      <c r="W985" s="3427">
        <v>44447</v>
      </c>
      <c r="X985" s="3396">
        <v>44792.25</v>
      </c>
      <c r="Y985" s="3398">
        <v>44735</v>
      </c>
      <c r="Z985" s="3456">
        <f>Q985-X985</f>
        <v>0</v>
      </c>
      <c r="AA985" s="3349"/>
      <c r="AB985" s="3457"/>
      <c r="AC985" s="3251"/>
      <c r="AD985" s="3349"/>
      <c r="AE985" s="3349"/>
      <c r="AF985" s="3349"/>
      <c r="AG985" s="3349"/>
      <c r="AH985" s="3471"/>
      <c r="AI985" s="3471"/>
    </row>
    <row r="986" s="22" customFormat="1" ht="61" spans="1:35">
      <c r="A986" s="3283"/>
      <c r="B986" s="3284"/>
      <c r="C986" s="3285"/>
      <c r="D986" s="3286"/>
      <c r="E986" s="3286"/>
      <c r="F986" s="3317"/>
      <c r="G986" s="3318"/>
      <c r="H986" s="3286"/>
      <c r="I986" s="3317"/>
      <c r="J986" s="3286"/>
      <c r="K986" s="3333"/>
      <c r="L986" s="3318"/>
      <c r="M986" s="3349">
        <v>2</v>
      </c>
      <c r="N986" s="3350" t="s">
        <v>5881</v>
      </c>
      <c r="O986" s="3161">
        <f>P986/K985</f>
        <v>0.464333</v>
      </c>
      <c r="P986" s="2640">
        <v>162516.55</v>
      </c>
      <c r="Q986" s="3396">
        <v>162516.55</v>
      </c>
      <c r="R986" s="3397" t="s">
        <v>4603</v>
      </c>
      <c r="S986" s="3398">
        <v>44552</v>
      </c>
      <c r="T986" s="3399">
        <v>162516.55</v>
      </c>
      <c r="U986" s="3427">
        <v>44552</v>
      </c>
      <c r="V986" s="3428">
        <v>130013.24</v>
      </c>
      <c r="W986" s="3427">
        <v>45056</v>
      </c>
      <c r="X986" s="3396">
        <v>130013.24</v>
      </c>
      <c r="Y986" s="3398">
        <v>45104</v>
      </c>
      <c r="Z986" s="3456">
        <f>Q986-X986</f>
        <v>32503.31</v>
      </c>
      <c r="AA986" s="3136" t="s">
        <v>5882</v>
      </c>
      <c r="AB986" s="3457"/>
      <c r="AC986" s="3251"/>
      <c r="AD986" s="3349"/>
      <c r="AE986" s="3349"/>
      <c r="AF986" s="3349"/>
      <c r="AG986" s="3349"/>
      <c r="AH986" s="3471"/>
      <c r="AI986" s="3471"/>
    </row>
    <row r="987" s="22" customFormat="1" ht="76" spans="1:35">
      <c r="A987" s="3283"/>
      <c r="B987" s="3284"/>
      <c r="C987" s="3285"/>
      <c r="D987" s="3286"/>
      <c r="E987" s="3286"/>
      <c r="F987" s="3317"/>
      <c r="G987" s="3318"/>
      <c r="H987" s="3286"/>
      <c r="I987" s="3317"/>
      <c r="J987" s="3286"/>
      <c r="K987" s="3333"/>
      <c r="L987" s="3318"/>
      <c r="M987" s="3349">
        <v>3</v>
      </c>
      <c r="N987" s="3350" t="s">
        <v>5883</v>
      </c>
      <c r="O987" s="3161">
        <f>P987/K985</f>
        <v>0.407689142857143</v>
      </c>
      <c r="P987" s="2640">
        <v>142691.2</v>
      </c>
      <c r="Q987" s="2639">
        <v>142691.2</v>
      </c>
      <c r="R987" s="3397" t="s">
        <v>4603</v>
      </c>
      <c r="S987" s="3398">
        <v>44922</v>
      </c>
      <c r="T987" s="2639">
        <v>142691.2</v>
      </c>
      <c r="U987" s="3427">
        <v>44922</v>
      </c>
      <c r="V987" s="3428"/>
      <c r="W987" s="3429"/>
      <c r="X987" s="3430">
        <v>50000</v>
      </c>
      <c r="Y987" s="3458">
        <v>45955</v>
      </c>
      <c r="Z987" s="3459">
        <f>Q987-X987</f>
        <v>92691.2</v>
      </c>
      <c r="AA987" s="3349"/>
      <c r="AB987" s="3457"/>
      <c r="AC987" s="3251"/>
      <c r="AD987" s="3349"/>
      <c r="AE987" s="3349"/>
      <c r="AF987" s="3349"/>
      <c r="AG987" s="3349"/>
      <c r="AH987" s="3471"/>
      <c r="AI987" s="3471"/>
    </row>
    <row r="988" s="6" customFormat="1" ht="46" spans="1:35">
      <c r="A988" s="2752" t="s">
        <v>1003</v>
      </c>
      <c r="B988" s="3287">
        <v>44288</v>
      </c>
      <c r="C988" s="3288" t="s">
        <v>5856</v>
      </c>
      <c r="D988" s="2752"/>
      <c r="E988" s="2541" t="s">
        <v>5884</v>
      </c>
      <c r="F988" s="2541" t="s">
        <v>5885</v>
      </c>
      <c r="G988" s="2752" t="s">
        <v>3461</v>
      </c>
      <c r="H988" s="2541" t="s">
        <v>4762</v>
      </c>
      <c r="I988" s="2752"/>
      <c r="J988" s="2752" t="s">
        <v>997</v>
      </c>
      <c r="K988" s="2686">
        <v>85000</v>
      </c>
      <c r="L988" s="2752" t="s">
        <v>126</v>
      </c>
      <c r="M988" s="2750">
        <v>1</v>
      </c>
      <c r="N988" s="3348" t="s">
        <v>5886</v>
      </c>
      <c r="O988" s="3351">
        <v>0.2</v>
      </c>
      <c r="P988" s="2750">
        <f>K988*O988</f>
        <v>17000</v>
      </c>
      <c r="Q988" s="1856">
        <v>17000</v>
      </c>
      <c r="R988" s="393" t="s">
        <v>4603</v>
      </c>
      <c r="S988" s="2718">
        <v>44454</v>
      </c>
      <c r="T988" s="2750">
        <v>17000</v>
      </c>
      <c r="U988" s="2718">
        <v>44454</v>
      </c>
      <c r="V988" s="2750">
        <v>17000</v>
      </c>
      <c r="W988" s="3431">
        <v>44459</v>
      </c>
      <c r="X988" s="1856">
        <v>17000</v>
      </c>
      <c r="Y988" s="2718">
        <v>44484</v>
      </c>
      <c r="Z988" s="2735"/>
      <c r="AA988" s="2750"/>
      <c r="AB988" s="2735"/>
      <c r="AC988" s="2735"/>
      <c r="AD988" s="2735"/>
      <c r="AE988" s="2735"/>
      <c r="AF988" s="2735"/>
      <c r="AG988" s="2735"/>
      <c r="AH988" s="2752" t="s">
        <v>197</v>
      </c>
      <c r="AI988" s="2752" t="s">
        <v>154</v>
      </c>
    </row>
    <row r="989" s="6" customFormat="1" ht="61" spans="1:35">
      <c r="A989" s="2759"/>
      <c r="B989" s="3289"/>
      <c r="C989" s="3140"/>
      <c r="D989" s="2759"/>
      <c r="E989" s="2543"/>
      <c r="F989" s="2543"/>
      <c r="G989" s="2759"/>
      <c r="H989" s="2543"/>
      <c r="I989" s="2759"/>
      <c r="J989" s="2759"/>
      <c r="K989" s="3154"/>
      <c r="L989" s="2759"/>
      <c r="M989" s="2750">
        <v>2</v>
      </c>
      <c r="N989" s="3348" t="s">
        <v>5887</v>
      </c>
      <c r="O989" s="3351">
        <v>0.6</v>
      </c>
      <c r="P989" s="2750">
        <f>K988*O989</f>
        <v>51000</v>
      </c>
      <c r="Q989" s="1856">
        <v>51000</v>
      </c>
      <c r="R989" s="393" t="s">
        <v>4603</v>
      </c>
      <c r="S989" s="2718">
        <v>44454</v>
      </c>
      <c r="T989" s="2750">
        <v>51000</v>
      </c>
      <c r="U989" s="2718">
        <v>44454</v>
      </c>
      <c r="V989" s="2750">
        <v>51000</v>
      </c>
      <c r="W989" s="3431">
        <v>44459</v>
      </c>
      <c r="X989" s="1856">
        <v>51000</v>
      </c>
      <c r="Y989" s="2718">
        <v>44484</v>
      </c>
      <c r="Z989" s="2735"/>
      <c r="AA989" s="2750"/>
      <c r="AB989" s="2735"/>
      <c r="AC989" s="2735"/>
      <c r="AD989" s="2735"/>
      <c r="AE989" s="2735"/>
      <c r="AF989" s="2735"/>
      <c r="AG989" s="2735"/>
      <c r="AH989" s="2759"/>
      <c r="AI989" s="2759"/>
    </row>
    <row r="990" s="6" customFormat="1" ht="46" spans="1:35">
      <c r="A990" s="3248"/>
      <c r="B990" s="3290"/>
      <c r="C990" s="3291"/>
      <c r="D990" s="3248"/>
      <c r="E990" s="3319"/>
      <c r="F990" s="3319"/>
      <c r="G990" s="3248"/>
      <c r="H990" s="3319"/>
      <c r="I990" s="3248"/>
      <c r="J990" s="3248"/>
      <c r="K990" s="3171"/>
      <c r="L990" s="3248"/>
      <c r="M990" s="2750">
        <v>3</v>
      </c>
      <c r="N990" s="3348" t="s">
        <v>5888</v>
      </c>
      <c r="O990" s="3351">
        <v>0.2</v>
      </c>
      <c r="P990" s="2750">
        <f>K988*O990</f>
        <v>17000</v>
      </c>
      <c r="Q990" s="1856">
        <v>17000</v>
      </c>
      <c r="R990" s="393" t="s">
        <v>4603</v>
      </c>
      <c r="S990" s="3400">
        <v>45287</v>
      </c>
      <c r="T990" s="2750"/>
      <c r="U990" s="2750"/>
      <c r="V990" s="2750"/>
      <c r="W990" s="2735"/>
      <c r="X990" s="3432"/>
      <c r="Y990" s="2735"/>
      <c r="Z990" s="2735"/>
      <c r="AA990" s="2750"/>
      <c r="AB990" s="2735"/>
      <c r="AC990" s="2735"/>
      <c r="AD990" s="2735"/>
      <c r="AE990" s="2735"/>
      <c r="AF990" s="2735"/>
      <c r="AG990" s="2735"/>
      <c r="AH990" s="3248"/>
      <c r="AI990" s="3248"/>
    </row>
    <row r="991" s="6" customFormat="1" ht="31" spans="1:35">
      <c r="A991" s="1304" t="s">
        <v>1003</v>
      </c>
      <c r="B991" s="3138">
        <v>44666</v>
      </c>
      <c r="C991" s="1263" t="s">
        <v>5856</v>
      </c>
      <c r="D991" s="2759"/>
      <c r="E991" s="689" t="s">
        <v>5889</v>
      </c>
      <c r="F991" s="689" t="s">
        <v>5890</v>
      </c>
      <c r="G991" s="2759" t="s">
        <v>3461</v>
      </c>
      <c r="H991" s="689" t="s">
        <v>4762</v>
      </c>
      <c r="I991" s="2759"/>
      <c r="J991" s="2759" t="s">
        <v>997</v>
      </c>
      <c r="K991" s="2759">
        <v>30000</v>
      </c>
      <c r="L991" s="1304" t="s">
        <v>126</v>
      </c>
      <c r="M991" s="418" t="s">
        <v>3502</v>
      </c>
      <c r="N991" s="3348" t="s">
        <v>3503</v>
      </c>
      <c r="O991" s="1853">
        <v>0.2</v>
      </c>
      <c r="P991" s="3245">
        <v>4000</v>
      </c>
      <c r="Q991" s="1856">
        <v>4000</v>
      </c>
      <c r="R991" s="393" t="s">
        <v>4603</v>
      </c>
      <c r="S991" s="3401">
        <v>44784</v>
      </c>
      <c r="T991" s="3003">
        <v>4000</v>
      </c>
      <c r="U991" s="3401">
        <v>44784</v>
      </c>
      <c r="V991" s="2750">
        <v>4000</v>
      </c>
      <c r="W991" s="3431">
        <v>44764</v>
      </c>
      <c r="X991" s="3432">
        <v>4000</v>
      </c>
      <c r="Y991" s="3287">
        <v>44797</v>
      </c>
      <c r="Z991" s="2735"/>
      <c r="AA991" s="2750"/>
      <c r="AB991" s="2735"/>
      <c r="AC991" s="2735"/>
      <c r="AD991" s="2735"/>
      <c r="AE991" s="2735"/>
      <c r="AF991" s="2735"/>
      <c r="AG991" s="2735"/>
      <c r="AH991" s="2759"/>
      <c r="AI991" s="2759"/>
    </row>
    <row r="992" s="6" customFormat="1" ht="46" spans="1:35">
      <c r="A992" s="2759"/>
      <c r="B992" s="3138"/>
      <c r="C992" s="3292"/>
      <c r="D992" s="2759"/>
      <c r="E992" s="2543"/>
      <c r="F992" s="2543"/>
      <c r="G992" s="2759"/>
      <c r="H992" s="2543"/>
      <c r="I992" s="2759"/>
      <c r="J992" s="2759"/>
      <c r="K992" s="2759"/>
      <c r="L992" s="2759"/>
      <c r="M992" s="418" t="s">
        <v>3504</v>
      </c>
      <c r="N992" s="3348" t="s">
        <v>3505</v>
      </c>
      <c r="O992" s="1853">
        <v>0.6</v>
      </c>
      <c r="P992" s="3245">
        <v>12000</v>
      </c>
      <c r="Q992" s="1856">
        <v>12000</v>
      </c>
      <c r="R992" s="393" t="s">
        <v>4603</v>
      </c>
      <c r="S992" s="3401">
        <v>44784</v>
      </c>
      <c r="T992" s="3003">
        <v>12000</v>
      </c>
      <c r="U992" s="3401">
        <v>44784</v>
      </c>
      <c r="V992" s="2750">
        <v>12000</v>
      </c>
      <c r="W992" s="3431">
        <v>44764</v>
      </c>
      <c r="X992" s="3432">
        <v>12000</v>
      </c>
      <c r="Y992" s="2759"/>
      <c r="Z992" s="2735"/>
      <c r="AA992" s="2750"/>
      <c r="AB992" s="2735"/>
      <c r="AC992" s="2735"/>
      <c r="AD992" s="2735"/>
      <c r="AE992" s="2735"/>
      <c r="AF992" s="2735"/>
      <c r="AG992" s="2735"/>
      <c r="AH992" s="2759"/>
      <c r="AI992" s="2759"/>
    </row>
    <row r="993" s="6" customFormat="1" ht="31" spans="1:35">
      <c r="A993" s="2759"/>
      <c r="B993" s="3138"/>
      <c r="C993" s="3292"/>
      <c r="D993" s="2759"/>
      <c r="E993" s="2543"/>
      <c r="F993" s="2543"/>
      <c r="G993" s="2759"/>
      <c r="H993" s="2543"/>
      <c r="I993" s="2759"/>
      <c r="J993" s="2759"/>
      <c r="K993" s="2759"/>
      <c r="L993" s="2759"/>
      <c r="M993" s="418" t="s">
        <v>3504</v>
      </c>
      <c r="N993" s="3348" t="s">
        <v>3506</v>
      </c>
      <c r="O993" s="1353" t="s">
        <v>171</v>
      </c>
      <c r="P993" s="3245">
        <v>10000</v>
      </c>
      <c r="Q993" s="2683"/>
      <c r="R993" s="519"/>
      <c r="S993" s="3402"/>
      <c r="T993" s="2750"/>
      <c r="U993" s="2750"/>
      <c r="V993" s="2750"/>
      <c r="W993" s="2735"/>
      <c r="X993" s="3432"/>
      <c r="Y993" s="2736"/>
      <c r="Z993" s="2735"/>
      <c r="AA993" s="2750"/>
      <c r="AB993" s="2735"/>
      <c r="AC993" s="2735"/>
      <c r="AD993" s="2735"/>
      <c r="AE993" s="2735"/>
      <c r="AF993" s="2735"/>
      <c r="AG993" s="2735"/>
      <c r="AH993" s="2759"/>
      <c r="AI993" s="2759"/>
    </row>
    <row r="994" s="6" customFormat="1" ht="31" spans="1:35">
      <c r="A994" s="2759"/>
      <c r="B994" s="3138"/>
      <c r="C994" s="3292"/>
      <c r="D994" s="2759"/>
      <c r="E994" s="2543"/>
      <c r="F994" s="2543"/>
      <c r="G994" s="2759"/>
      <c r="H994" s="2543"/>
      <c r="I994" s="2759"/>
      <c r="J994" s="2759"/>
      <c r="K994" s="2759"/>
      <c r="L994" s="2759"/>
      <c r="M994" s="418" t="s">
        <v>3507</v>
      </c>
      <c r="N994" s="3348" t="s">
        <v>3508</v>
      </c>
      <c r="O994" s="1853">
        <v>0.2</v>
      </c>
      <c r="P994" s="3245">
        <v>4000</v>
      </c>
      <c r="Q994" s="1856">
        <v>4000</v>
      </c>
      <c r="R994" s="393" t="s">
        <v>4603</v>
      </c>
      <c r="S994" s="3400">
        <v>45287</v>
      </c>
      <c r="T994" s="2750"/>
      <c r="U994" s="2750"/>
      <c r="V994" s="2750"/>
      <c r="W994" s="2735"/>
      <c r="X994" s="3432"/>
      <c r="Y994" s="2736"/>
      <c r="Z994" s="2735"/>
      <c r="AA994" s="2750"/>
      <c r="AB994" s="2735"/>
      <c r="AC994" s="2735"/>
      <c r="AD994" s="2735"/>
      <c r="AE994" s="2735"/>
      <c r="AF994" s="2735"/>
      <c r="AG994" s="2735"/>
      <c r="AH994" s="2759"/>
      <c r="AI994" s="2759"/>
    </row>
    <row r="995" s="6" customFormat="1" ht="24" customHeight="1" spans="1:35">
      <c r="A995" s="3119" t="s">
        <v>1003</v>
      </c>
      <c r="B995" s="3293">
        <v>44288</v>
      </c>
      <c r="C995" s="3006" t="s">
        <v>5891</v>
      </c>
      <c r="D995" s="3119"/>
      <c r="E995" s="3320" t="s">
        <v>5892</v>
      </c>
      <c r="F995" s="3320" t="s">
        <v>5893</v>
      </c>
      <c r="G995" s="3119" t="s">
        <v>3461</v>
      </c>
      <c r="H995" s="3320" t="s">
        <v>4762</v>
      </c>
      <c r="I995" s="3119"/>
      <c r="J995" s="3119" t="s">
        <v>997</v>
      </c>
      <c r="K995" s="3063">
        <v>35000</v>
      </c>
      <c r="L995" s="3119" t="s">
        <v>126</v>
      </c>
      <c r="M995" s="3117">
        <v>1</v>
      </c>
      <c r="N995" s="3352" t="s">
        <v>5886</v>
      </c>
      <c r="O995" s="3353">
        <v>0.2</v>
      </c>
      <c r="P995" s="3117">
        <f>K995*O995</f>
        <v>7000</v>
      </c>
      <c r="Q995" s="1897">
        <v>7000</v>
      </c>
      <c r="R995" s="3403" t="s">
        <v>4603</v>
      </c>
      <c r="S995" s="3062">
        <v>44419</v>
      </c>
      <c r="T995" s="3117">
        <v>7000</v>
      </c>
      <c r="U995" s="3433">
        <v>44419</v>
      </c>
      <c r="V995" s="3117">
        <v>7000</v>
      </c>
      <c r="W995" s="3433">
        <v>44413</v>
      </c>
      <c r="X995" s="1897">
        <v>7000</v>
      </c>
      <c r="Y995" s="3062">
        <v>44462</v>
      </c>
      <c r="Z995" s="3108"/>
      <c r="AA995" s="3117"/>
      <c r="AB995" s="3108"/>
      <c r="AC995" s="3108"/>
      <c r="AD995" s="3108"/>
      <c r="AE995" s="3108"/>
      <c r="AF995" s="3108"/>
      <c r="AG995" s="3108"/>
      <c r="AH995" s="3119" t="s">
        <v>197</v>
      </c>
      <c r="AI995" s="3119" t="s">
        <v>154</v>
      </c>
    </row>
    <row r="996" s="6" customFormat="1" ht="24" customHeight="1" spans="1:35">
      <c r="A996" s="3294"/>
      <c r="B996" s="3295"/>
      <c r="C996" s="3296"/>
      <c r="D996" s="3294"/>
      <c r="E996" s="3321"/>
      <c r="F996" s="3321"/>
      <c r="G996" s="3294"/>
      <c r="H996" s="3321"/>
      <c r="I996" s="3294"/>
      <c r="J996" s="3294"/>
      <c r="K996" s="3334"/>
      <c r="L996" s="3294"/>
      <c r="M996" s="3117">
        <v>2</v>
      </c>
      <c r="N996" s="3352" t="s">
        <v>5887</v>
      </c>
      <c r="O996" s="3353">
        <v>0.6</v>
      </c>
      <c r="P996" s="3117">
        <f>K995*O996</f>
        <v>21000</v>
      </c>
      <c r="Q996" s="1897">
        <v>21000</v>
      </c>
      <c r="R996" s="3403" t="s">
        <v>4603</v>
      </c>
      <c r="S996" s="3062">
        <v>44419</v>
      </c>
      <c r="T996" s="3117">
        <v>21000</v>
      </c>
      <c r="U996" s="3433">
        <v>44419</v>
      </c>
      <c r="V996" s="3117">
        <v>21000</v>
      </c>
      <c r="W996" s="3433">
        <v>44413</v>
      </c>
      <c r="X996" s="1897">
        <v>21000</v>
      </c>
      <c r="Y996" s="3062">
        <v>44462</v>
      </c>
      <c r="Z996" s="3108"/>
      <c r="AA996" s="3117"/>
      <c r="AB996" s="3108"/>
      <c r="AC996" s="3108"/>
      <c r="AD996" s="3108"/>
      <c r="AE996" s="3108"/>
      <c r="AF996" s="3108"/>
      <c r="AG996" s="3108"/>
      <c r="AH996" s="3294"/>
      <c r="AI996" s="3294"/>
    </row>
    <row r="997" s="6" customFormat="1" ht="24" customHeight="1" spans="1:35">
      <c r="A997" s="3297"/>
      <c r="B997" s="3298"/>
      <c r="C997" s="3299"/>
      <c r="D997" s="3297"/>
      <c r="E997" s="3322"/>
      <c r="F997" s="3322"/>
      <c r="G997" s="3297"/>
      <c r="H997" s="3322"/>
      <c r="I997" s="3297"/>
      <c r="J997" s="3297"/>
      <c r="K997" s="3335"/>
      <c r="L997" s="3297"/>
      <c r="M997" s="3117">
        <v>3</v>
      </c>
      <c r="N997" s="3352" t="s">
        <v>5888</v>
      </c>
      <c r="O997" s="3353">
        <v>0.2</v>
      </c>
      <c r="P997" s="3117">
        <f>K995*O997</f>
        <v>7000</v>
      </c>
      <c r="Q997" s="1897">
        <v>7000</v>
      </c>
      <c r="R997" s="1825" t="s">
        <v>4603</v>
      </c>
      <c r="S997" s="3404">
        <v>45112</v>
      </c>
      <c r="T997" s="3117">
        <v>7000</v>
      </c>
      <c r="U997" s="3433">
        <v>45112</v>
      </c>
      <c r="V997" s="3117">
        <v>7000</v>
      </c>
      <c r="W997" s="3433">
        <v>45122</v>
      </c>
      <c r="X997" s="3022">
        <v>7000</v>
      </c>
      <c r="Y997" s="3433">
        <v>45163</v>
      </c>
      <c r="Z997" s="3108"/>
      <c r="AA997" s="3117"/>
      <c r="AB997" s="3108"/>
      <c r="AC997" s="3108"/>
      <c r="AD997" s="3108"/>
      <c r="AE997" s="3108"/>
      <c r="AF997" s="3108"/>
      <c r="AG997" s="3108"/>
      <c r="AH997" s="3297"/>
      <c r="AI997" s="3297"/>
    </row>
    <row r="998" s="3" customFormat="1" ht="24" customHeight="1" spans="1:35">
      <c r="A998" s="103" t="s">
        <v>690</v>
      </c>
      <c r="B998" s="1476">
        <v>44357</v>
      </c>
      <c r="C998" s="105" t="s">
        <v>5894</v>
      </c>
      <c r="D998" s="133" t="s">
        <v>171</v>
      </c>
      <c r="E998" s="133" t="s">
        <v>5895</v>
      </c>
      <c r="F998" s="133" t="s">
        <v>5896</v>
      </c>
      <c r="G998" s="133" t="s">
        <v>5897</v>
      </c>
      <c r="H998" s="133" t="s">
        <v>4720</v>
      </c>
      <c r="I998" s="103">
        <v>90060.6</v>
      </c>
      <c r="J998" s="133" t="s">
        <v>5898</v>
      </c>
      <c r="K998" s="155">
        <v>355568.16</v>
      </c>
      <c r="L998" s="103" t="s">
        <v>32</v>
      </c>
      <c r="M998" s="3354">
        <v>1</v>
      </c>
      <c r="N998" s="456" t="s">
        <v>4729</v>
      </c>
      <c r="O998" s="3355">
        <v>0.2</v>
      </c>
      <c r="P998" s="3356">
        <f>K998*O998</f>
        <v>71113.632</v>
      </c>
      <c r="Q998" s="431">
        <v>320011.35</v>
      </c>
      <c r="R998" s="407" t="s">
        <v>206</v>
      </c>
      <c r="S998" s="504">
        <v>44478</v>
      </c>
      <c r="T998" s="408">
        <v>320011.35</v>
      </c>
      <c r="U998" s="3434">
        <v>44478</v>
      </c>
      <c r="V998" s="408">
        <v>320011.35</v>
      </c>
      <c r="W998" s="553">
        <v>44449</v>
      </c>
      <c r="X998" s="501">
        <v>320011.35</v>
      </c>
      <c r="Y998" s="552">
        <v>44487</v>
      </c>
      <c r="Z998" s="1188">
        <f>Q998-X998</f>
        <v>0</v>
      </c>
      <c r="AA998" s="501" t="s">
        <v>1463</v>
      </c>
      <c r="AB998" s="408"/>
      <c r="AC998" s="408"/>
      <c r="AD998" s="408">
        <f>SUM(Q998:Q1001)</f>
        <v>355568.16</v>
      </c>
      <c r="AE998" s="408">
        <f>SUBTOTAL(9,V998:V1001)</f>
        <v>355568.16</v>
      </c>
      <c r="AF998" s="408">
        <f>SUBTOTAL(9,X998:X1001)</f>
        <v>355568.16</v>
      </c>
      <c r="AG998" s="408">
        <f>K998-AD998:AD1001</f>
        <v>0</v>
      </c>
      <c r="AH998" s="406" t="s">
        <v>197</v>
      </c>
      <c r="AI998" s="3472" t="s">
        <v>154</v>
      </c>
    </row>
    <row r="999" s="3" customFormat="1" ht="24" customHeight="1" spans="1:35">
      <c r="A999" s="103"/>
      <c r="B999" s="365"/>
      <c r="C999" s="106"/>
      <c r="D999" s="133"/>
      <c r="E999" s="133"/>
      <c r="F999" s="133"/>
      <c r="G999" s="133"/>
      <c r="H999" s="133"/>
      <c r="I999" s="103"/>
      <c r="J999" s="133"/>
      <c r="K999" s="155"/>
      <c r="L999" s="103"/>
      <c r="M999" s="3354">
        <v>2</v>
      </c>
      <c r="N999" s="456" t="s">
        <v>5465</v>
      </c>
      <c r="O999" s="3355">
        <v>0.4</v>
      </c>
      <c r="P999" s="3356">
        <f>K998*O999</f>
        <v>142227.264</v>
      </c>
      <c r="Q999" s="432"/>
      <c r="R999" s="409"/>
      <c r="S999" s="506"/>
      <c r="T999" s="410"/>
      <c r="U999" s="3435"/>
      <c r="V999" s="410"/>
      <c r="W999" s="558"/>
      <c r="X999" s="433"/>
      <c r="Y999" s="552"/>
      <c r="Z999" s="1188"/>
      <c r="AA999" s="410"/>
      <c r="AB999" s="410"/>
      <c r="AC999" s="410"/>
      <c r="AD999" s="410"/>
      <c r="AE999" s="410"/>
      <c r="AF999" s="410"/>
      <c r="AG999" s="410"/>
      <c r="AH999" s="406"/>
      <c r="AI999" s="3473"/>
    </row>
    <row r="1000" s="3" customFormat="1" ht="24" customHeight="1" spans="1:35">
      <c r="A1000" s="103"/>
      <c r="B1000" s="365"/>
      <c r="C1000" s="106"/>
      <c r="D1000" s="133"/>
      <c r="E1000" s="133"/>
      <c r="F1000" s="133"/>
      <c r="G1000" s="133"/>
      <c r="H1000" s="133"/>
      <c r="I1000" s="103"/>
      <c r="J1000" s="133"/>
      <c r="K1000" s="155"/>
      <c r="L1000" s="103"/>
      <c r="M1000" s="3354">
        <v>3</v>
      </c>
      <c r="N1000" s="456" t="s">
        <v>5466</v>
      </c>
      <c r="O1000" s="3355">
        <v>0.3</v>
      </c>
      <c r="P1000" s="3356">
        <f>K998*O1000</f>
        <v>106670.448</v>
      </c>
      <c r="Q1000" s="434"/>
      <c r="R1000" s="411"/>
      <c r="S1000" s="505"/>
      <c r="T1000" s="412"/>
      <c r="U1000" s="3436"/>
      <c r="V1000" s="412"/>
      <c r="W1000" s="554"/>
      <c r="X1000" s="503"/>
      <c r="Y1000" s="552"/>
      <c r="Z1000" s="1188"/>
      <c r="AA1000" s="410"/>
      <c r="AB1000" s="412"/>
      <c r="AC1000" s="412"/>
      <c r="AD1000" s="410"/>
      <c r="AE1000" s="410"/>
      <c r="AF1000" s="410"/>
      <c r="AG1000" s="410"/>
      <c r="AH1000" s="406"/>
      <c r="AI1000" s="3473"/>
    </row>
    <row r="1001" s="3" customFormat="1" ht="24" customHeight="1" spans="1:35">
      <c r="A1001" s="204"/>
      <c r="B1001" s="365"/>
      <c r="C1001" s="3300"/>
      <c r="D1001" s="202"/>
      <c r="E1001" s="202"/>
      <c r="F1001" s="202"/>
      <c r="G1001" s="202"/>
      <c r="H1001" s="202"/>
      <c r="I1001" s="204"/>
      <c r="J1001" s="202"/>
      <c r="K1001" s="1530"/>
      <c r="L1001" s="204"/>
      <c r="M1001" s="3357">
        <v>4</v>
      </c>
      <c r="N1001" s="456" t="s">
        <v>4725</v>
      </c>
      <c r="O1001" s="3358">
        <v>0.1</v>
      </c>
      <c r="P1001" s="3359">
        <f>K998*O1001</f>
        <v>35556.816</v>
      </c>
      <c r="Q1001" s="1532">
        <v>35556.81</v>
      </c>
      <c r="R1001" s="366" t="s">
        <v>206</v>
      </c>
      <c r="S1001" s="499">
        <v>44510</v>
      </c>
      <c r="T1001" s="498">
        <v>35556.81</v>
      </c>
      <c r="U1001" s="499">
        <v>44510</v>
      </c>
      <c r="V1001" s="498">
        <v>35556.81</v>
      </c>
      <c r="W1001" s="543">
        <v>44480</v>
      </c>
      <c r="X1001" s="3437">
        <v>35556.81</v>
      </c>
      <c r="Y1001" s="553">
        <v>44556</v>
      </c>
      <c r="Z1001" s="3460">
        <f>Q1001-X1001</f>
        <v>0</v>
      </c>
      <c r="AA1001" s="412"/>
      <c r="AB1001" s="408"/>
      <c r="AC1001" s="408"/>
      <c r="AD1001" s="410"/>
      <c r="AE1001" s="410"/>
      <c r="AF1001" s="410"/>
      <c r="AG1001" s="410"/>
      <c r="AH1001" s="408"/>
      <c r="AI1001" s="3473"/>
    </row>
    <row r="1002" s="3" customFormat="1" ht="30.75" customHeight="1" spans="1:35">
      <c r="A1002" s="103" t="s">
        <v>690</v>
      </c>
      <c r="B1002" s="1476">
        <v>44980</v>
      </c>
      <c r="C1002" s="105" t="s">
        <v>5899</v>
      </c>
      <c r="D1002" s="133" t="s">
        <v>171</v>
      </c>
      <c r="E1002" s="1490" t="s">
        <v>5900</v>
      </c>
      <c r="F1002" s="1490" t="s">
        <v>5901</v>
      </c>
      <c r="G1002" s="133" t="s">
        <v>5897</v>
      </c>
      <c r="H1002" s="1490" t="s">
        <v>4861</v>
      </c>
      <c r="I1002" s="83">
        <v>27186.5</v>
      </c>
      <c r="J1002" s="131" t="s">
        <v>5902</v>
      </c>
      <c r="K1002" s="155">
        <v>80316.41</v>
      </c>
      <c r="L1002" s="248" t="s">
        <v>32</v>
      </c>
      <c r="M1002" s="3354">
        <v>1</v>
      </c>
      <c r="N1002" s="456" t="s">
        <v>4729</v>
      </c>
      <c r="O1002" s="3355">
        <v>0.2</v>
      </c>
      <c r="P1002" s="426">
        <f>K1002*O1002</f>
        <v>16063.282</v>
      </c>
      <c r="Q1002" s="426">
        <v>73403.55</v>
      </c>
      <c r="R1002" s="413" t="s">
        <v>4603</v>
      </c>
      <c r="S1002" s="502">
        <v>45005</v>
      </c>
      <c r="T1002" s="406">
        <v>73403.55</v>
      </c>
      <c r="U1002" s="500">
        <v>45001</v>
      </c>
      <c r="V1002" s="406">
        <v>73385.55</v>
      </c>
      <c r="W1002" s="552">
        <v>45016</v>
      </c>
      <c r="X1002" s="428">
        <v>73385.55</v>
      </c>
      <c r="Y1002" s="552">
        <v>45273</v>
      </c>
      <c r="Z1002" s="1188"/>
      <c r="AA1002" s="428"/>
      <c r="AB1002" s="408"/>
      <c r="AC1002" s="408"/>
      <c r="AD1002" s="408">
        <f>SUM(Q1002:Q1005)</f>
        <v>80316.41</v>
      </c>
      <c r="AE1002" s="408">
        <f>SUBTOTAL(9,V1002:V1005)</f>
        <v>80316.41</v>
      </c>
      <c r="AF1002" s="408">
        <f>SUBTOTAL(9,X1002:X1005)</f>
        <v>80316.41</v>
      </c>
      <c r="AG1002" s="408">
        <f>K1002-AD1002:AD1005</f>
        <v>0</v>
      </c>
      <c r="AH1002" s="406" t="s">
        <v>197</v>
      </c>
      <c r="AI1002" s="3472" t="s">
        <v>154</v>
      </c>
    </row>
    <row r="1003" s="3" customFormat="1" ht="31" spans="1:35">
      <c r="A1003" s="103"/>
      <c r="B1003" s="365"/>
      <c r="C1003" s="106"/>
      <c r="D1003" s="133"/>
      <c r="E1003" s="133"/>
      <c r="F1003" s="133"/>
      <c r="G1003" s="133"/>
      <c r="H1003" s="133"/>
      <c r="I1003" s="83"/>
      <c r="J1003" s="86"/>
      <c r="K1003" s="155"/>
      <c r="L1003" s="248"/>
      <c r="M1003" s="3354">
        <v>2</v>
      </c>
      <c r="N1003" s="456" t="s">
        <v>5465</v>
      </c>
      <c r="O1003" s="3355">
        <v>0.3</v>
      </c>
      <c r="P1003" s="426">
        <f>K1002*O1003</f>
        <v>24094.923</v>
      </c>
      <c r="Q1003" s="426"/>
      <c r="R1003" s="413"/>
      <c r="S1003" s="502"/>
      <c r="T1003" s="406"/>
      <c r="U1003" s="500"/>
      <c r="V1003" s="406"/>
      <c r="W1003" s="552"/>
      <c r="X1003" s="428"/>
      <c r="Y1003" s="552"/>
      <c r="Z1003" s="1188"/>
      <c r="AA1003" s="406"/>
      <c r="AB1003" s="410"/>
      <c r="AC1003" s="410"/>
      <c r="AD1003" s="410"/>
      <c r="AE1003" s="410"/>
      <c r="AF1003" s="410"/>
      <c r="AG1003" s="410"/>
      <c r="AH1003" s="406"/>
      <c r="AI1003" s="3473"/>
    </row>
    <row r="1004" s="3" customFormat="1" ht="46" spans="1:35">
      <c r="A1004" s="103"/>
      <c r="B1004" s="365"/>
      <c r="C1004" s="106"/>
      <c r="D1004" s="133"/>
      <c r="E1004" s="133"/>
      <c r="F1004" s="133"/>
      <c r="G1004" s="133"/>
      <c r="H1004" s="133"/>
      <c r="I1004" s="83"/>
      <c r="J1004" s="86"/>
      <c r="K1004" s="155"/>
      <c r="L1004" s="248"/>
      <c r="M1004" s="3354">
        <v>3</v>
      </c>
      <c r="N1004" s="3030" t="s">
        <v>5903</v>
      </c>
      <c r="O1004" s="3355">
        <v>0.4</v>
      </c>
      <c r="P1004" s="426">
        <f>K1002*O1004</f>
        <v>32126.564</v>
      </c>
      <c r="Q1004" s="426"/>
      <c r="R1004" s="413"/>
      <c r="S1004" s="502"/>
      <c r="T1004" s="406"/>
      <c r="U1004" s="500"/>
      <c r="V1004" s="406"/>
      <c r="W1004" s="552"/>
      <c r="X1004" s="428"/>
      <c r="Y1004" s="552"/>
      <c r="Z1004" s="1188"/>
      <c r="AA1004" s="406"/>
      <c r="AB1004" s="412"/>
      <c r="AC1004" s="412"/>
      <c r="AD1004" s="410"/>
      <c r="AE1004" s="410"/>
      <c r="AF1004" s="410"/>
      <c r="AG1004" s="410"/>
      <c r="AH1004" s="406"/>
      <c r="AI1004" s="3473"/>
    </row>
    <row r="1005" s="3" customFormat="1" ht="32.25" customHeight="1" spans="1:35">
      <c r="A1005" s="204"/>
      <c r="B1005" s="365"/>
      <c r="C1005" s="3300"/>
      <c r="D1005" s="202"/>
      <c r="E1005" s="202"/>
      <c r="F1005" s="202"/>
      <c r="G1005" s="202"/>
      <c r="H1005" s="202"/>
      <c r="I1005" s="87"/>
      <c r="J1005" s="169"/>
      <c r="K1005" s="1530"/>
      <c r="L1005" s="204"/>
      <c r="M1005" s="3357">
        <v>4</v>
      </c>
      <c r="N1005" s="3360" t="s">
        <v>4725</v>
      </c>
      <c r="O1005" s="3358">
        <v>0.1</v>
      </c>
      <c r="P1005" s="431">
        <f>K1002*O1005</f>
        <v>8031.641</v>
      </c>
      <c r="Q1005" s="3405">
        <f>K1002-Q1002</f>
        <v>6912.86</v>
      </c>
      <c r="R1005" s="407" t="s">
        <v>4603</v>
      </c>
      <c r="S1005" s="504">
        <v>45455</v>
      </c>
      <c r="T1005" s="501">
        <v>6912.86</v>
      </c>
      <c r="U1005" s="504">
        <v>45455</v>
      </c>
      <c r="V1005" s="501">
        <f>K1002-V1002</f>
        <v>6930.86</v>
      </c>
      <c r="W1005" s="551">
        <v>45832</v>
      </c>
      <c r="X1005" s="3405">
        <v>6930.86</v>
      </c>
      <c r="Y1005" s="505">
        <v>45833</v>
      </c>
      <c r="Z1005" s="3460"/>
      <c r="AA1005" s="408"/>
      <c r="AB1005" s="408"/>
      <c r="AC1005" s="408"/>
      <c r="AD1005" s="410"/>
      <c r="AE1005" s="410"/>
      <c r="AF1005" s="410"/>
      <c r="AG1005" s="410"/>
      <c r="AH1005" s="408"/>
      <c r="AI1005" s="3473"/>
    </row>
    <row r="1006" s="23" customFormat="1" ht="46" spans="1:35">
      <c r="A1006" s="96" t="s">
        <v>690</v>
      </c>
      <c r="B1006" s="3301">
        <v>45215</v>
      </c>
      <c r="C1006" s="95" t="s">
        <v>4013</v>
      </c>
      <c r="D1006" s="2277" t="s">
        <v>171</v>
      </c>
      <c r="E1006" s="127" t="s">
        <v>5904</v>
      </c>
      <c r="F1006" s="127" t="s">
        <v>5905</v>
      </c>
      <c r="G1006" s="328" t="s">
        <v>5897</v>
      </c>
      <c r="H1006" s="127" t="s">
        <v>4861</v>
      </c>
      <c r="I1006" s="96">
        <v>39852.39</v>
      </c>
      <c r="J1006" s="127" t="s">
        <v>5902</v>
      </c>
      <c r="K1006" s="150">
        <v>112383.74</v>
      </c>
      <c r="L1006" s="128" t="s">
        <v>32</v>
      </c>
      <c r="M1006" s="328">
        <v>1</v>
      </c>
      <c r="N1006" s="185" t="s">
        <v>5906</v>
      </c>
      <c r="O1006" s="3361">
        <v>0.3</v>
      </c>
      <c r="P1006" s="150">
        <f>K1006*O1006</f>
        <v>33715.122</v>
      </c>
      <c r="Q1006" s="857">
        <v>35867.151</v>
      </c>
      <c r="R1006" s="127" t="s">
        <v>4603</v>
      </c>
      <c r="S1006" s="276">
        <v>45262</v>
      </c>
      <c r="T1006" s="128">
        <v>35867.15</v>
      </c>
      <c r="U1006" s="276">
        <v>45259</v>
      </c>
      <c r="V1006" s="96">
        <f>T1006+T1007</f>
        <v>71734.3</v>
      </c>
      <c r="W1006" s="313">
        <v>45260</v>
      </c>
      <c r="X1006" s="128">
        <v>71734.3</v>
      </c>
      <c r="Y1006" s="313">
        <v>45313</v>
      </c>
      <c r="Z1006" s="226"/>
      <c r="AA1006" s="128"/>
      <c r="AB1006" s="96"/>
      <c r="AC1006" s="96"/>
      <c r="AD1006" s="96">
        <f>SUM(Q1006:Q1009)</f>
        <v>112383.742</v>
      </c>
      <c r="AE1006" s="96">
        <f>SUBTOTAL(9,V1006:V1009)</f>
        <v>112383.74</v>
      </c>
      <c r="AF1006" s="96">
        <f>SUBTOTAL(9,X1006:X1009)</f>
        <v>112383.74</v>
      </c>
      <c r="AG1006" s="96">
        <f>K1006-AD1006:AD1009</f>
        <v>-0.0019999999931315</v>
      </c>
      <c r="AH1006" s="96" t="s">
        <v>197</v>
      </c>
      <c r="AI1006" s="96" t="s">
        <v>154</v>
      </c>
    </row>
    <row r="1007" s="23" customFormat="1" ht="61" spans="1:35">
      <c r="A1007" s="96"/>
      <c r="B1007" s="978"/>
      <c r="C1007" s="656"/>
      <c r="D1007" s="2277"/>
      <c r="E1007" s="328"/>
      <c r="F1007" s="328"/>
      <c r="G1007" s="328"/>
      <c r="H1007" s="328"/>
      <c r="I1007" s="96"/>
      <c r="J1007" s="328"/>
      <c r="K1007" s="150"/>
      <c r="L1007" s="128"/>
      <c r="M1007" s="328">
        <v>2</v>
      </c>
      <c r="N1007" s="185" t="s">
        <v>5907</v>
      </c>
      <c r="O1007" s="3361">
        <v>0.3</v>
      </c>
      <c r="P1007" s="150">
        <f>K1006*O1007</f>
        <v>33715.122</v>
      </c>
      <c r="Q1007" s="857">
        <v>35867.151</v>
      </c>
      <c r="R1007" s="127" t="s">
        <v>4603</v>
      </c>
      <c r="S1007" s="276">
        <v>45262</v>
      </c>
      <c r="T1007" s="96">
        <v>35867.15</v>
      </c>
      <c r="U1007" s="276">
        <v>45259</v>
      </c>
      <c r="V1007" s="96"/>
      <c r="W1007" s="313"/>
      <c r="X1007" s="128"/>
      <c r="Y1007" s="313"/>
      <c r="Z1007" s="226"/>
      <c r="AA1007" s="96"/>
      <c r="AB1007" s="96"/>
      <c r="AC1007" s="96"/>
      <c r="AD1007" s="96"/>
      <c r="AE1007" s="96"/>
      <c r="AF1007" s="96"/>
      <c r="AG1007" s="96"/>
      <c r="AH1007" s="96"/>
      <c r="AI1007" s="96"/>
    </row>
    <row r="1008" s="23" customFormat="1" ht="36" customHeight="1" spans="1:35">
      <c r="A1008" s="96"/>
      <c r="B1008" s="978"/>
      <c r="C1008" s="656"/>
      <c r="D1008" s="3302"/>
      <c r="E1008" s="328"/>
      <c r="F1008" s="328"/>
      <c r="G1008" s="328"/>
      <c r="H1008" s="328"/>
      <c r="I1008" s="96"/>
      <c r="J1008" s="328"/>
      <c r="K1008" s="150"/>
      <c r="L1008" s="128"/>
      <c r="M1008" s="328">
        <v>3</v>
      </c>
      <c r="N1008" s="185" t="s">
        <v>5908</v>
      </c>
      <c r="O1008" s="3361">
        <v>0.35</v>
      </c>
      <c r="P1008" s="150">
        <f>K1006*O1008</f>
        <v>39334.309</v>
      </c>
      <c r="Q1008" s="857">
        <f>K1006-T1006-T1007</f>
        <v>40649.44</v>
      </c>
      <c r="R1008" s="127" t="s">
        <v>4603</v>
      </c>
      <c r="S1008" s="276">
        <v>45455</v>
      </c>
      <c r="T1008" s="96">
        <v>40649.44</v>
      </c>
      <c r="U1008" s="94">
        <v>45455</v>
      </c>
      <c r="V1008" s="96">
        <v>40643.44</v>
      </c>
      <c r="W1008" s="313">
        <v>45832</v>
      </c>
      <c r="X1008" s="128">
        <v>40643.44</v>
      </c>
      <c r="Y1008" s="313">
        <v>45833</v>
      </c>
      <c r="Z1008" s="143"/>
      <c r="AA1008" s="96"/>
      <c r="AB1008" s="96"/>
      <c r="AC1008" s="96"/>
      <c r="AD1008" s="96"/>
      <c r="AE1008" s="96"/>
      <c r="AF1008" s="96"/>
      <c r="AG1008" s="96"/>
      <c r="AH1008" s="96"/>
      <c r="AI1008" s="96"/>
    </row>
    <row r="1009" s="23" customFormat="1" ht="36" customHeight="1" spans="1:35">
      <c r="A1009" s="96"/>
      <c r="B1009" s="3303"/>
      <c r="C1009" s="656"/>
      <c r="D1009" s="3302"/>
      <c r="E1009" s="328"/>
      <c r="F1009" s="328"/>
      <c r="G1009" s="328"/>
      <c r="H1009" s="328"/>
      <c r="I1009" s="96"/>
      <c r="J1009" s="328"/>
      <c r="K1009" s="150"/>
      <c r="L1009" s="96"/>
      <c r="M1009" s="328">
        <v>4</v>
      </c>
      <c r="N1009" s="185" t="s">
        <v>5909</v>
      </c>
      <c r="O1009" s="3361">
        <v>0.05</v>
      </c>
      <c r="P1009" s="150">
        <f>K1006*O1009</f>
        <v>5619.187</v>
      </c>
      <c r="Q1009" s="857"/>
      <c r="R1009" s="127"/>
      <c r="S1009" s="276"/>
      <c r="T1009" s="96"/>
      <c r="U1009" s="94"/>
      <c r="V1009" s="3438">
        <v>6</v>
      </c>
      <c r="W1009" s="313"/>
      <c r="X1009" s="3438">
        <v>6</v>
      </c>
      <c r="Y1009" s="315"/>
      <c r="Z1009" s="143"/>
      <c r="AA1009" s="96"/>
      <c r="AB1009" s="96"/>
      <c r="AC1009" s="96"/>
      <c r="AD1009" s="96"/>
      <c r="AE1009" s="96"/>
      <c r="AF1009" s="96"/>
      <c r="AG1009" s="96"/>
      <c r="AH1009" s="96"/>
      <c r="AI1009" s="96"/>
    </row>
    <row r="1010" s="23" customFormat="1" ht="76" spans="1:35">
      <c r="A1010" s="96" t="s">
        <v>690</v>
      </c>
      <c r="B1010" s="3301">
        <v>45168</v>
      </c>
      <c r="C1010" s="95" t="s">
        <v>5910</v>
      </c>
      <c r="D1010" s="2277" t="s">
        <v>171</v>
      </c>
      <c r="E1010" s="127" t="s">
        <v>5911</v>
      </c>
      <c r="F1010" s="127" t="s">
        <v>5912</v>
      </c>
      <c r="G1010" s="328" t="s">
        <v>5897</v>
      </c>
      <c r="H1010" s="127" t="s">
        <v>5837</v>
      </c>
      <c r="I1010" s="96">
        <v>31450</v>
      </c>
      <c r="J1010" s="127" t="s">
        <v>5913</v>
      </c>
      <c r="K1010" s="150">
        <v>88060</v>
      </c>
      <c r="L1010" s="128" t="s">
        <v>32</v>
      </c>
      <c r="M1010" s="328">
        <v>1</v>
      </c>
      <c r="N1010" s="185" t="s">
        <v>5914</v>
      </c>
      <c r="O1010" s="3361">
        <v>0.4</v>
      </c>
      <c r="P1010" s="150">
        <f>K1010*O1010</f>
        <v>35224</v>
      </c>
      <c r="Q1010" s="857">
        <v>35224</v>
      </c>
      <c r="R1010" s="127" t="s">
        <v>4603</v>
      </c>
      <c r="S1010" s="276">
        <v>45174</v>
      </c>
      <c r="T1010" s="128">
        <v>35224</v>
      </c>
      <c r="U1010" s="276">
        <v>45174</v>
      </c>
      <c r="V1010" s="96">
        <v>35224</v>
      </c>
      <c r="W1010" s="313">
        <v>45188</v>
      </c>
      <c r="X1010" s="128">
        <v>35224</v>
      </c>
      <c r="Y1010" s="313">
        <v>45212</v>
      </c>
      <c r="Z1010" s="226"/>
      <c r="AA1010" s="128"/>
      <c r="AB1010" s="96"/>
      <c r="AC1010" s="96"/>
      <c r="AD1010" s="96">
        <f>SUM(Q1010:Q1012)</f>
        <v>79254</v>
      </c>
      <c r="AE1010" s="96">
        <f>SUBTOTAL(9,V1010:V1012)</f>
        <v>79254</v>
      </c>
      <c r="AF1010" s="96">
        <f>SUBTOTAL(9,X1010:X1012)</f>
        <v>87409.95</v>
      </c>
      <c r="AG1010" s="96">
        <f>K1010-AD1010:AD1012</f>
        <v>8806</v>
      </c>
      <c r="AH1010" s="96" t="s">
        <v>197</v>
      </c>
      <c r="AI1010" s="96" t="s">
        <v>154</v>
      </c>
    </row>
    <row r="1011" s="23" customFormat="1" ht="92" spans="1:35">
      <c r="A1011" s="96"/>
      <c r="B1011" s="978"/>
      <c r="C1011" s="656"/>
      <c r="D1011" s="2277"/>
      <c r="E1011" s="328"/>
      <c r="F1011" s="328"/>
      <c r="G1011" s="328"/>
      <c r="H1011" s="328"/>
      <c r="I1011" s="96"/>
      <c r="J1011" s="328"/>
      <c r="K1011" s="150"/>
      <c r="L1011" s="128"/>
      <c r="M1011" s="328">
        <v>2</v>
      </c>
      <c r="N1011" s="185" t="s">
        <v>5915</v>
      </c>
      <c r="O1011" s="3361">
        <v>0.5</v>
      </c>
      <c r="P1011" s="150">
        <f>K1010*O1011</f>
        <v>44030</v>
      </c>
      <c r="Q1011" s="857">
        <v>44030</v>
      </c>
      <c r="R1011" s="127" t="s">
        <v>4603</v>
      </c>
      <c r="S1011" s="276">
        <v>45267</v>
      </c>
      <c r="T1011" s="96">
        <v>44030</v>
      </c>
      <c r="U1011" s="276">
        <v>45266</v>
      </c>
      <c r="V1011" s="96">
        <v>44030</v>
      </c>
      <c r="W1011" s="313">
        <v>45293</v>
      </c>
      <c r="X1011" s="128">
        <v>44030</v>
      </c>
      <c r="Y1011" s="313">
        <v>45302</v>
      </c>
      <c r="Z1011" s="226"/>
      <c r="AA1011" s="96"/>
      <c r="AB1011" s="96"/>
      <c r="AC1011" s="96"/>
      <c r="AD1011" s="96"/>
      <c r="AE1011" s="96"/>
      <c r="AF1011" s="96"/>
      <c r="AG1011" s="96"/>
      <c r="AH1011" s="96"/>
      <c r="AI1011" s="96"/>
    </row>
    <row r="1012" s="23" customFormat="1" ht="61" spans="1:35">
      <c r="A1012" s="96"/>
      <c r="B1012" s="3303"/>
      <c r="C1012" s="656"/>
      <c r="D1012" s="3302"/>
      <c r="E1012" s="328"/>
      <c r="F1012" s="328"/>
      <c r="G1012" s="328"/>
      <c r="H1012" s="328"/>
      <c r="I1012" s="96"/>
      <c r="J1012" s="328"/>
      <c r="K1012" s="150"/>
      <c r="L1012" s="96"/>
      <c r="M1012" s="328">
        <v>3</v>
      </c>
      <c r="N1012" s="185" t="s">
        <v>5916</v>
      </c>
      <c r="O1012" s="3361">
        <v>0.1</v>
      </c>
      <c r="P1012" s="150">
        <f>K1010*O1012</f>
        <v>8806</v>
      </c>
      <c r="Q1012" s="3406"/>
      <c r="R1012" s="3407"/>
      <c r="S1012" s="282"/>
      <c r="T1012" s="128"/>
      <c r="U1012" s="276"/>
      <c r="V1012" s="3439"/>
      <c r="W1012" s="3440"/>
      <c r="X1012" s="3406">
        <v>8155.95</v>
      </c>
      <c r="Y1012" s="315"/>
      <c r="Z1012" s="226"/>
      <c r="AA1012" s="96"/>
      <c r="AB1012" s="96"/>
      <c r="AC1012" s="96"/>
      <c r="AD1012" s="96"/>
      <c r="AE1012" s="96"/>
      <c r="AF1012" s="96"/>
      <c r="AG1012" s="96"/>
      <c r="AH1012" s="96"/>
      <c r="AI1012" s="96"/>
    </row>
    <row r="1013" s="23" customFormat="1" ht="76" spans="1:35">
      <c r="A1013" s="96" t="s">
        <v>690</v>
      </c>
      <c r="B1013" s="3301">
        <v>45257</v>
      </c>
      <c r="C1013" s="95" t="s">
        <v>5910</v>
      </c>
      <c r="D1013" s="2277" t="s">
        <v>171</v>
      </c>
      <c r="E1013" s="127" t="s">
        <v>5917</v>
      </c>
      <c r="F1013" s="127" t="s">
        <v>5918</v>
      </c>
      <c r="G1013" s="328" t="s">
        <v>5897</v>
      </c>
      <c r="H1013" s="127" t="s">
        <v>5837</v>
      </c>
      <c r="I1013" s="96">
        <v>28110</v>
      </c>
      <c r="J1013" s="127" t="s">
        <v>5919</v>
      </c>
      <c r="K1013" s="150">
        <v>81519</v>
      </c>
      <c r="L1013" s="128" t="s">
        <v>32</v>
      </c>
      <c r="M1013" s="328">
        <v>1</v>
      </c>
      <c r="N1013" s="185" t="s">
        <v>5914</v>
      </c>
      <c r="O1013" s="3361">
        <v>0.4</v>
      </c>
      <c r="P1013" s="150">
        <f>K1013*O1013</f>
        <v>32607.6</v>
      </c>
      <c r="Q1013" s="857">
        <v>32607.6</v>
      </c>
      <c r="R1013" s="127" t="s">
        <v>4603</v>
      </c>
      <c r="S1013" s="276">
        <v>45267</v>
      </c>
      <c r="T1013" s="128">
        <v>32607.6</v>
      </c>
      <c r="U1013" s="276">
        <v>45266</v>
      </c>
      <c r="V1013" s="3441">
        <v>73367.1</v>
      </c>
      <c r="W1013" s="3442">
        <v>45902</v>
      </c>
      <c r="X1013" s="3441">
        <v>73367.1</v>
      </c>
      <c r="Y1013" s="3442">
        <v>45919</v>
      </c>
      <c r="Z1013" s="226"/>
      <c r="AA1013" s="128"/>
      <c r="AB1013" s="96"/>
      <c r="AC1013" s="96"/>
      <c r="AD1013" s="96">
        <f>SUM(Q1013:Q1015)</f>
        <v>73367.1</v>
      </c>
      <c r="AE1013" s="96">
        <f>SUBTOTAL(9,V1013:V1015)</f>
        <v>73367.1</v>
      </c>
      <c r="AF1013" s="96">
        <f>SUBTOTAL(9,X1013:X1015)</f>
        <v>81523.05</v>
      </c>
      <c r="AG1013" s="96">
        <f>K1013-AD1013:AD1015</f>
        <v>8151.89999999999</v>
      </c>
      <c r="AH1013" s="96" t="s">
        <v>197</v>
      </c>
      <c r="AI1013" s="96" t="s">
        <v>154</v>
      </c>
    </row>
    <row r="1014" s="23" customFormat="1" ht="92" spans="1:35">
      <c r="A1014" s="96"/>
      <c r="B1014" s="978"/>
      <c r="C1014" s="656"/>
      <c r="D1014" s="2277"/>
      <c r="E1014" s="328"/>
      <c r="F1014" s="328"/>
      <c r="G1014" s="328"/>
      <c r="H1014" s="328"/>
      <c r="I1014" s="96"/>
      <c r="J1014" s="328"/>
      <c r="K1014" s="150"/>
      <c r="L1014" s="128"/>
      <c r="M1014" s="328">
        <v>2</v>
      </c>
      <c r="N1014" s="185" t="s">
        <v>5915</v>
      </c>
      <c r="O1014" s="3361">
        <v>0.5</v>
      </c>
      <c r="P1014" s="150">
        <f>K1013*O1014</f>
        <v>40759.5</v>
      </c>
      <c r="Q1014" s="857">
        <v>40759.5</v>
      </c>
      <c r="R1014" s="127" t="s">
        <v>4603</v>
      </c>
      <c r="S1014" s="276">
        <v>45267</v>
      </c>
      <c r="T1014" s="96">
        <v>40759.5</v>
      </c>
      <c r="U1014" s="276">
        <v>45266</v>
      </c>
      <c r="V1014" s="3443"/>
      <c r="W1014" s="3444"/>
      <c r="X1014" s="3443"/>
      <c r="Y1014" s="3444"/>
      <c r="Z1014" s="226"/>
      <c r="AA1014" s="96"/>
      <c r="AB1014" s="96"/>
      <c r="AC1014" s="96"/>
      <c r="AD1014" s="96"/>
      <c r="AE1014" s="96"/>
      <c r="AF1014" s="96"/>
      <c r="AG1014" s="96"/>
      <c r="AH1014" s="96"/>
      <c r="AI1014" s="96"/>
    </row>
    <row r="1015" s="23" customFormat="1" ht="61" spans="1:35">
      <c r="A1015" s="96"/>
      <c r="B1015" s="3303"/>
      <c r="C1015" s="656"/>
      <c r="D1015" s="3302"/>
      <c r="E1015" s="328"/>
      <c r="F1015" s="328"/>
      <c r="G1015" s="328"/>
      <c r="H1015" s="328"/>
      <c r="I1015" s="96"/>
      <c r="J1015" s="328"/>
      <c r="K1015" s="150"/>
      <c r="L1015" s="96"/>
      <c r="M1015" s="328">
        <v>3</v>
      </c>
      <c r="N1015" s="185" t="s">
        <v>5916</v>
      </c>
      <c r="O1015" s="3361">
        <v>0.1</v>
      </c>
      <c r="P1015" s="150">
        <f>K1013*O1015</f>
        <v>8151.9</v>
      </c>
      <c r="Q1015" s="3406"/>
      <c r="R1015" s="3407"/>
      <c r="S1015" s="282"/>
      <c r="T1015" s="128"/>
      <c r="U1015" s="276"/>
      <c r="V1015" s="128"/>
      <c r="W1015" s="313"/>
      <c r="X1015" s="3406">
        <v>8155.95</v>
      </c>
      <c r="Y1015" s="315"/>
      <c r="Z1015" s="226"/>
      <c r="AA1015" s="96"/>
      <c r="AB1015" s="96"/>
      <c r="AC1015" s="96"/>
      <c r="AD1015" s="96"/>
      <c r="AE1015" s="96"/>
      <c r="AF1015" s="96"/>
      <c r="AG1015" s="96"/>
      <c r="AH1015" s="96"/>
      <c r="AI1015" s="96"/>
    </row>
    <row r="1016" s="23" customFormat="1" ht="30.75" customHeight="1" spans="1:35">
      <c r="A1016" s="128" t="s">
        <v>690</v>
      </c>
      <c r="B1016" s="3304">
        <v>45103</v>
      </c>
      <c r="C1016" s="127" t="s">
        <v>5920</v>
      </c>
      <c r="D1016" s="171"/>
      <c r="E1016" s="127" t="s">
        <v>5921</v>
      </c>
      <c r="F1016" s="127" t="s">
        <v>5922</v>
      </c>
      <c r="G1016" s="128" t="s">
        <v>1241</v>
      </c>
      <c r="H1016" s="127" t="s">
        <v>5923</v>
      </c>
      <c r="I1016" s="128" t="s">
        <v>5924</v>
      </c>
      <c r="J1016" s="127" t="s">
        <v>5925</v>
      </c>
      <c r="K1016" s="96">
        <v>175000</v>
      </c>
      <c r="L1016" s="127" t="s">
        <v>33</v>
      </c>
      <c r="M1016" s="706">
        <v>1</v>
      </c>
      <c r="N1016" s="647" t="s">
        <v>3975</v>
      </c>
      <c r="O1016" s="3362">
        <v>0.7</v>
      </c>
      <c r="P1016" s="707">
        <f>K1016*O1016</f>
        <v>122500</v>
      </c>
      <c r="Q1016" s="3366">
        <v>122500</v>
      </c>
      <c r="R1016" s="647" t="s">
        <v>4603</v>
      </c>
      <c r="S1016" s="283">
        <v>45266</v>
      </c>
      <c r="T1016" s="3366">
        <v>122500</v>
      </c>
      <c r="U1016" s="283">
        <v>45264</v>
      </c>
      <c r="V1016" s="128">
        <v>47425</v>
      </c>
      <c r="W1016" s="313">
        <v>45369</v>
      </c>
      <c r="X1016" s="857">
        <v>47425</v>
      </c>
      <c r="Y1016" s="313">
        <v>45471</v>
      </c>
      <c r="Z1016" s="226"/>
      <c r="AA1016" s="647" t="s">
        <v>5926</v>
      </c>
      <c r="AB1016" s="96"/>
      <c r="AC1016" s="96"/>
      <c r="AD1016" s="96"/>
      <c r="AE1016" s="96"/>
      <c r="AF1016" s="96"/>
      <c r="AG1016" s="96"/>
      <c r="AH1016" s="96"/>
      <c r="AI1016" s="96"/>
    </row>
    <row r="1017" s="23" customFormat="1" ht="29.25" customHeight="1" spans="1:35">
      <c r="A1017" s="96"/>
      <c r="B1017" s="3305"/>
      <c r="C1017" s="328"/>
      <c r="D1017" s="3306"/>
      <c r="E1017" s="328"/>
      <c r="F1017" s="328"/>
      <c r="G1017" s="96"/>
      <c r="H1017" s="328"/>
      <c r="I1017" s="96"/>
      <c r="J1017" s="328"/>
      <c r="K1017" s="96"/>
      <c r="L1017" s="96"/>
      <c r="M1017" s="650"/>
      <c r="N1017" s="651"/>
      <c r="O1017" s="3363"/>
      <c r="P1017" s="710"/>
      <c r="Q1017" s="3408"/>
      <c r="R1017" s="651"/>
      <c r="S1017" s="931"/>
      <c r="T1017" s="3408"/>
      <c r="U1017" s="931"/>
      <c r="V1017" s="128">
        <v>27915</v>
      </c>
      <c r="W1017" s="313">
        <v>45707</v>
      </c>
      <c r="X1017" s="857">
        <v>27915</v>
      </c>
      <c r="Y1017" s="313">
        <v>45719</v>
      </c>
      <c r="Z1017" s="226"/>
      <c r="AA1017" s="650"/>
      <c r="AB1017" s="96"/>
      <c r="AC1017" s="96"/>
      <c r="AD1017" s="96"/>
      <c r="AE1017" s="96"/>
      <c r="AF1017" s="96"/>
      <c r="AG1017" s="96"/>
      <c r="AH1017" s="96"/>
      <c r="AI1017" s="96"/>
    </row>
    <row r="1018" s="23" customFormat="1" ht="46" spans="1:35">
      <c r="A1018" s="96"/>
      <c r="B1018" s="3305"/>
      <c r="C1018" s="328"/>
      <c r="D1018" s="3306"/>
      <c r="E1018" s="328"/>
      <c r="F1018" s="328"/>
      <c r="G1018" s="96"/>
      <c r="H1018" s="328"/>
      <c r="I1018" s="96"/>
      <c r="J1018" s="328"/>
      <c r="K1018" s="96"/>
      <c r="L1018" s="96"/>
      <c r="M1018" s="328">
        <v>2</v>
      </c>
      <c r="N1018" s="185" t="s">
        <v>3976</v>
      </c>
      <c r="O1018" s="3361">
        <v>0.2</v>
      </c>
      <c r="P1018" s="150">
        <f>K1016*O1018</f>
        <v>35000</v>
      </c>
      <c r="Q1018" s="857">
        <v>35000</v>
      </c>
      <c r="R1018" s="127" t="s">
        <v>4603</v>
      </c>
      <c r="S1018" s="276">
        <v>45266</v>
      </c>
      <c r="T1018" s="857">
        <v>35000</v>
      </c>
      <c r="U1018" s="276">
        <v>45264</v>
      </c>
      <c r="V1018" s="128"/>
      <c r="W1018" s="313"/>
      <c r="X1018" s="3406"/>
      <c r="Y1018" s="315"/>
      <c r="Z1018" s="226"/>
      <c r="AA1018" s="650"/>
      <c r="AB1018" s="96"/>
      <c r="AC1018" s="96"/>
      <c r="AD1018" s="96"/>
      <c r="AE1018" s="96"/>
      <c r="AF1018" s="96"/>
      <c r="AG1018" s="96"/>
      <c r="AH1018" s="96"/>
      <c r="AI1018" s="96"/>
    </row>
    <row r="1019" s="23" customFormat="1" ht="76" spans="1:35">
      <c r="A1019" s="96"/>
      <c r="B1019" s="3307"/>
      <c r="C1019" s="328"/>
      <c r="D1019" s="3306"/>
      <c r="E1019" s="328"/>
      <c r="F1019" s="328"/>
      <c r="G1019" s="96"/>
      <c r="H1019" s="328"/>
      <c r="I1019" s="96"/>
      <c r="J1019" s="328"/>
      <c r="K1019" s="96"/>
      <c r="L1019" s="96"/>
      <c r="M1019" s="328">
        <v>3</v>
      </c>
      <c r="N1019" s="185" t="s">
        <v>5927</v>
      </c>
      <c r="O1019" s="3361">
        <v>0.1</v>
      </c>
      <c r="P1019" s="150">
        <f>K1016*O1019</f>
        <v>17500</v>
      </c>
      <c r="Q1019" s="3406">
        <v>17500</v>
      </c>
      <c r="R1019" s="3407"/>
      <c r="S1019" s="282"/>
      <c r="T1019" s="128"/>
      <c r="U1019" s="276"/>
      <c r="V1019" s="128"/>
      <c r="W1019" s="313"/>
      <c r="X1019" s="3406"/>
      <c r="Y1019" s="315"/>
      <c r="Z1019" s="226"/>
      <c r="AA1019" s="353"/>
      <c r="AB1019" s="96"/>
      <c r="AC1019" s="96"/>
      <c r="AD1019" s="96"/>
      <c r="AE1019" s="96"/>
      <c r="AF1019" s="96"/>
      <c r="AG1019" s="96"/>
      <c r="AH1019" s="96"/>
      <c r="AI1019" s="96"/>
    </row>
    <row r="1020" s="23" customFormat="1" ht="42.75" customHeight="1" spans="1:35">
      <c r="A1020" s="128" t="s">
        <v>690</v>
      </c>
      <c r="B1020" s="3308" t="s">
        <v>5928</v>
      </c>
      <c r="C1020" s="127" t="s">
        <v>5920</v>
      </c>
      <c r="D1020" s="171"/>
      <c r="E1020" s="127" t="s">
        <v>5921</v>
      </c>
      <c r="F1020" s="127" t="s">
        <v>171</v>
      </c>
      <c r="G1020" s="128" t="s">
        <v>1241</v>
      </c>
      <c r="H1020" s="127" t="s">
        <v>5929</v>
      </c>
      <c r="I1020" s="128" t="s">
        <v>171</v>
      </c>
      <c r="J1020" s="127" t="s">
        <v>171</v>
      </c>
      <c r="K1020" s="96">
        <v>49000</v>
      </c>
      <c r="L1020" s="127" t="s">
        <v>33</v>
      </c>
      <c r="M1020" s="706">
        <v>1</v>
      </c>
      <c r="N1020" s="647" t="s">
        <v>5930</v>
      </c>
      <c r="O1020" s="3362">
        <v>1</v>
      </c>
      <c r="P1020" s="707">
        <f>K1020*O1020</f>
        <v>49000</v>
      </c>
      <c r="Q1020" s="128">
        <v>49000</v>
      </c>
      <c r="R1020" s="647" t="s">
        <v>5928</v>
      </c>
      <c r="S1020" s="313">
        <v>45373</v>
      </c>
      <c r="T1020" s="128">
        <v>49000</v>
      </c>
      <c r="U1020" s="313">
        <v>45373</v>
      </c>
      <c r="V1020" s="128">
        <v>49000</v>
      </c>
      <c r="W1020" s="313">
        <v>45373</v>
      </c>
      <c r="X1020" s="128">
        <v>49000</v>
      </c>
      <c r="Y1020" s="313">
        <v>45378</v>
      </c>
      <c r="Z1020" s="226"/>
      <c r="AA1020" s="96"/>
      <c r="AB1020" s="96"/>
      <c r="AC1020" s="96"/>
      <c r="AD1020" s="96"/>
      <c r="AE1020" s="96"/>
      <c r="AF1020" s="96"/>
      <c r="AG1020" s="96"/>
      <c r="AH1020" s="96"/>
      <c r="AI1020" s="96"/>
    </row>
    <row r="1021" s="23" customFormat="1" ht="92" spans="1:35">
      <c r="A1021" s="74" t="s">
        <v>690</v>
      </c>
      <c r="B1021" s="3309" t="s">
        <v>5928</v>
      </c>
      <c r="C1021" s="3310" t="s">
        <v>3007</v>
      </c>
      <c r="D1021" s="171"/>
      <c r="E1021" s="3310" t="s">
        <v>3009</v>
      </c>
      <c r="F1021" s="3310" t="s">
        <v>171</v>
      </c>
      <c r="G1021" s="74" t="s">
        <v>1241</v>
      </c>
      <c r="H1021" s="3310" t="s">
        <v>5931</v>
      </c>
      <c r="I1021" s="74" t="s">
        <v>171</v>
      </c>
      <c r="J1021" s="3310" t="s">
        <v>171</v>
      </c>
      <c r="K1021" s="74">
        <v>49500</v>
      </c>
      <c r="L1021" s="3310" t="s">
        <v>33</v>
      </c>
      <c r="M1021" s="3364">
        <v>1</v>
      </c>
      <c r="N1021" s="3364" t="s">
        <v>5930</v>
      </c>
      <c r="O1021" s="3365">
        <v>1</v>
      </c>
      <c r="P1021" s="3366">
        <f>K1021*O1021</f>
        <v>49500</v>
      </c>
      <c r="Q1021" s="128">
        <v>49500</v>
      </c>
      <c r="R1021" s="647" t="s">
        <v>4603</v>
      </c>
      <c r="S1021" s="313">
        <v>45672</v>
      </c>
      <c r="T1021" s="128">
        <v>49500</v>
      </c>
      <c r="U1021" s="313">
        <v>45672</v>
      </c>
      <c r="V1021" s="128">
        <v>49500</v>
      </c>
      <c r="W1021" s="313">
        <v>45672</v>
      </c>
      <c r="X1021" s="128">
        <v>49500</v>
      </c>
      <c r="Y1021" s="313">
        <v>45681</v>
      </c>
      <c r="Z1021" s="226"/>
      <c r="AA1021" s="3461" t="s">
        <v>5932</v>
      </c>
      <c r="AB1021" s="96"/>
      <c r="AC1021" s="96"/>
      <c r="AD1021" s="96"/>
      <c r="AE1021" s="96"/>
      <c r="AF1021" s="96"/>
      <c r="AG1021" s="96"/>
      <c r="AH1021" s="96"/>
      <c r="AI1021" s="96"/>
    </row>
    <row r="1022" s="23" customFormat="1" ht="24" customHeight="1" spans="1:35">
      <c r="A1022" s="128" t="s">
        <v>690</v>
      </c>
      <c r="B1022" s="3304">
        <v>45103</v>
      </c>
      <c r="C1022" s="127" t="s">
        <v>3970</v>
      </c>
      <c r="D1022" s="171"/>
      <c r="E1022" s="127" t="s">
        <v>5933</v>
      </c>
      <c r="F1022" s="127" t="s">
        <v>5934</v>
      </c>
      <c r="G1022" s="128" t="s">
        <v>1241</v>
      </c>
      <c r="H1022" s="127" t="s">
        <v>5935</v>
      </c>
      <c r="I1022" s="128" t="s">
        <v>5936</v>
      </c>
      <c r="J1022" s="127" t="s">
        <v>5937</v>
      </c>
      <c r="K1022" s="96">
        <v>95200</v>
      </c>
      <c r="L1022" s="127" t="s">
        <v>33</v>
      </c>
      <c r="M1022" s="706">
        <v>1</v>
      </c>
      <c r="N1022" s="172" t="s">
        <v>3975</v>
      </c>
      <c r="O1022" s="3362">
        <v>0.7</v>
      </c>
      <c r="P1022" s="707">
        <f>K1022*O1022</f>
        <v>66640</v>
      </c>
      <c r="Q1022" s="3366">
        <v>66640</v>
      </c>
      <c r="R1022" s="647" t="s">
        <v>4603</v>
      </c>
      <c r="S1022" s="283">
        <v>45216</v>
      </c>
      <c r="T1022" s="3366">
        <v>66640</v>
      </c>
      <c r="U1022" s="283">
        <v>45216</v>
      </c>
      <c r="V1022" s="149">
        <v>66640</v>
      </c>
      <c r="W1022" s="283">
        <v>45266</v>
      </c>
      <c r="X1022" s="857">
        <v>66500</v>
      </c>
      <c r="Y1022" s="313">
        <v>45316</v>
      </c>
      <c r="Z1022" s="226"/>
      <c r="AA1022" s="96"/>
      <c r="AB1022" s="96"/>
      <c r="AC1022" s="96"/>
      <c r="AD1022" s="96"/>
      <c r="AE1022" s="96"/>
      <c r="AF1022" s="96"/>
      <c r="AG1022" s="96"/>
      <c r="AH1022" s="96"/>
      <c r="AI1022" s="96"/>
    </row>
    <row r="1023" s="23" customFormat="1" ht="24" customHeight="1" spans="1:35">
      <c r="A1023" s="96"/>
      <c r="B1023" s="3305"/>
      <c r="C1023" s="328"/>
      <c r="D1023" s="3306"/>
      <c r="E1023" s="328"/>
      <c r="F1023" s="328"/>
      <c r="G1023" s="96"/>
      <c r="H1023" s="328"/>
      <c r="I1023" s="96"/>
      <c r="J1023" s="328"/>
      <c r="K1023" s="96"/>
      <c r="L1023" s="96"/>
      <c r="M1023" s="353"/>
      <c r="N1023" s="179"/>
      <c r="O1023" s="3367"/>
      <c r="P1023" s="3368"/>
      <c r="Q1023" s="3409"/>
      <c r="R1023" s="1067"/>
      <c r="S1023" s="284"/>
      <c r="T1023" s="3409"/>
      <c r="U1023" s="284"/>
      <c r="V1023" s="152"/>
      <c r="W1023" s="284"/>
      <c r="X1023" s="3406">
        <v>140</v>
      </c>
      <c r="Y1023" s="315"/>
      <c r="Z1023" s="226"/>
      <c r="AA1023" s="96"/>
      <c r="AB1023" s="96"/>
      <c r="AC1023" s="96"/>
      <c r="AD1023" s="96"/>
      <c r="AE1023" s="96"/>
      <c r="AF1023" s="96"/>
      <c r="AG1023" s="96"/>
      <c r="AH1023" s="96"/>
      <c r="AI1023" s="96"/>
    </row>
    <row r="1024" s="23" customFormat="1" ht="46" spans="1:35">
      <c r="A1024" s="96"/>
      <c r="B1024" s="3305"/>
      <c r="C1024" s="328"/>
      <c r="D1024" s="3306"/>
      <c r="E1024" s="328"/>
      <c r="F1024" s="328"/>
      <c r="G1024" s="96"/>
      <c r="H1024" s="328"/>
      <c r="I1024" s="96"/>
      <c r="J1024" s="328"/>
      <c r="K1024" s="96"/>
      <c r="L1024" s="96"/>
      <c r="M1024" s="328">
        <v>2</v>
      </c>
      <c r="N1024" s="185" t="s">
        <v>3976</v>
      </c>
      <c r="O1024" s="3361">
        <v>0.2</v>
      </c>
      <c r="P1024" s="150">
        <f>K1022*O1024</f>
        <v>19040</v>
      </c>
      <c r="Q1024" s="3406">
        <v>19040</v>
      </c>
      <c r="R1024" s="3407"/>
      <c r="S1024" s="282"/>
      <c r="T1024" s="128"/>
      <c r="U1024" s="276"/>
      <c r="V1024" s="128"/>
      <c r="W1024" s="313"/>
      <c r="X1024" s="3406"/>
      <c r="Y1024" s="315"/>
      <c r="Z1024" s="226"/>
      <c r="AA1024" s="96"/>
      <c r="AB1024" s="96"/>
      <c r="AC1024" s="96"/>
      <c r="AD1024" s="96"/>
      <c r="AE1024" s="96"/>
      <c r="AF1024" s="96"/>
      <c r="AG1024" s="96"/>
      <c r="AH1024" s="96"/>
      <c r="AI1024" s="96"/>
    </row>
    <row r="1025" s="23" customFormat="1" ht="76" spans="1:35">
      <c r="A1025" s="96"/>
      <c r="B1025" s="3307"/>
      <c r="C1025" s="328"/>
      <c r="D1025" s="3306"/>
      <c r="E1025" s="328"/>
      <c r="F1025" s="328"/>
      <c r="G1025" s="96"/>
      <c r="H1025" s="328"/>
      <c r="I1025" s="96"/>
      <c r="J1025" s="328"/>
      <c r="K1025" s="96"/>
      <c r="L1025" s="96"/>
      <c r="M1025" s="328">
        <v>3</v>
      </c>
      <c r="N1025" s="185" t="s">
        <v>5927</v>
      </c>
      <c r="O1025" s="3361">
        <v>0.1</v>
      </c>
      <c r="P1025" s="150">
        <f>K1022*O1025</f>
        <v>9520</v>
      </c>
      <c r="Q1025" s="3406">
        <v>9520</v>
      </c>
      <c r="R1025" s="3407"/>
      <c r="S1025" s="282"/>
      <c r="T1025" s="128"/>
      <c r="U1025" s="276"/>
      <c r="V1025" s="128"/>
      <c r="W1025" s="313"/>
      <c r="X1025" s="3406"/>
      <c r="Y1025" s="315"/>
      <c r="Z1025" s="226"/>
      <c r="AA1025" s="96"/>
      <c r="AB1025" s="96"/>
      <c r="AC1025" s="96"/>
      <c r="AD1025" s="96"/>
      <c r="AE1025" s="96"/>
      <c r="AF1025" s="96"/>
      <c r="AG1025" s="96"/>
      <c r="AH1025" s="96"/>
      <c r="AI1025" s="96"/>
    </row>
    <row r="1026" s="23" customFormat="1" ht="42.75" customHeight="1" spans="1:35">
      <c r="A1026" s="128" t="s">
        <v>690</v>
      </c>
      <c r="B1026" s="3308" t="s">
        <v>5928</v>
      </c>
      <c r="C1026" s="127" t="s">
        <v>4032</v>
      </c>
      <c r="D1026" s="171"/>
      <c r="E1026" s="127" t="s">
        <v>5938</v>
      </c>
      <c r="F1026" s="127" t="s">
        <v>171</v>
      </c>
      <c r="G1026" s="128" t="s">
        <v>1241</v>
      </c>
      <c r="H1026" s="127" t="s">
        <v>5939</v>
      </c>
      <c r="I1026" s="128" t="s">
        <v>171</v>
      </c>
      <c r="J1026" s="127" t="s">
        <v>171</v>
      </c>
      <c r="K1026" s="96">
        <v>5600</v>
      </c>
      <c r="L1026" s="127" t="s">
        <v>33</v>
      </c>
      <c r="M1026" s="706">
        <v>1</v>
      </c>
      <c r="N1026" s="647" t="s">
        <v>5930</v>
      </c>
      <c r="O1026" s="3362">
        <v>1</v>
      </c>
      <c r="P1026" s="707">
        <f>K1026*O1026</f>
        <v>5600</v>
      </c>
      <c r="Q1026" s="128">
        <v>5600</v>
      </c>
      <c r="R1026" s="647" t="s">
        <v>5928</v>
      </c>
      <c r="S1026" s="313">
        <v>45314</v>
      </c>
      <c r="T1026" s="128">
        <v>5600</v>
      </c>
      <c r="U1026" s="313">
        <v>45314</v>
      </c>
      <c r="V1026" s="128">
        <v>5600</v>
      </c>
      <c r="W1026" s="313">
        <v>45314</v>
      </c>
      <c r="X1026" s="128">
        <v>5600</v>
      </c>
      <c r="Y1026" s="313">
        <v>45322</v>
      </c>
      <c r="Z1026" s="226"/>
      <c r="AA1026" s="96"/>
      <c r="AB1026" s="96"/>
      <c r="AC1026" s="96"/>
      <c r="AD1026" s="96"/>
      <c r="AE1026" s="96"/>
      <c r="AF1026" s="96"/>
      <c r="AG1026" s="96"/>
      <c r="AH1026" s="96"/>
      <c r="AI1026" s="96"/>
    </row>
    <row r="1027" s="23" customFormat="1" ht="46" spans="1:35">
      <c r="A1027" s="128" t="s">
        <v>690</v>
      </c>
      <c r="B1027" s="3304">
        <v>45355</v>
      </c>
      <c r="C1027" s="127" t="s">
        <v>4464</v>
      </c>
      <c r="D1027" s="171"/>
      <c r="E1027" s="127" t="s">
        <v>5940</v>
      </c>
      <c r="F1027" s="127" t="s">
        <v>5941</v>
      </c>
      <c r="G1027" s="128" t="s">
        <v>1241</v>
      </c>
      <c r="H1027" s="127" t="s">
        <v>5935</v>
      </c>
      <c r="I1027" s="128" t="s">
        <v>5942</v>
      </c>
      <c r="J1027" s="127" t="s">
        <v>5943</v>
      </c>
      <c r="K1027" s="96">
        <v>156600</v>
      </c>
      <c r="L1027" s="127" t="s">
        <v>33</v>
      </c>
      <c r="M1027" s="328">
        <v>1</v>
      </c>
      <c r="N1027" s="185" t="s">
        <v>3975</v>
      </c>
      <c r="O1027" s="3361">
        <v>0.7</v>
      </c>
      <c r="P1027" s="150">
        <f>K1027*O1027</f>
        <v>109620</v>
      </c>
      <c r="Q1027" s="857">
        <v>109620</v>
      </c>
      <c r="R1027" s="127" t="s">
        <v>4603</v>
      </c>
      <c r="S1027" s="276">
        <v>45362</v>
      </c>
      <c r="T1027" s="857">
        <v>109620</v>
      </c>
      <c r="U1027" s="276">
        <v>45362</v>
      </c>
      <c r="V1027" s="149">
        <v>140940</v>
      </c>
      <c r="W1027" s="283">
        <v>45365</v>
      </c>
      <c r="X1027" s="149">
        <v>140940</v>
      </c>
      <c r="Y1027" s="3442">
        <v>45380</v>
      </c>
      <c r="Z1027" s="226"/>
      <c r="AA1027" s="96"/>
      <c r="AB1027" s="96"/>
      <c r="AC1027" s="96"/>
      <c r="AD1027" s="96"/>
      <c r="AE1027" s="96"/>
      <c r="AF1027" s="96"/>
      <c r="AG1027" s="96"/>
      <c r="AH1027" s="96"/>
      <c r="AI1027" s="96"/>
    </row>
    <row r="1028" s="23" customFormat="1" ht="46" spans="1:35">
      <c r="A1028" s="96"/>
      <c r="B1028" s="3305"/>
      <c r="C1028" s="328"/>
      <c r="D1028" s="3306"/>
      <c r="E1028" s="328"/>
      <c r="F1028" s="328"/>
      <c r="G1028" s="96"/>
      <c r="H1028" s="328"/>
      <c r="I1028" s="96"/>
      <c r="J1028" s="328"/>
      <c r="K1028" s="96"/>
      <c r="L1028" s="96"/>
      <c r="M1028" s="328">
        <v>2</v>
      </c>
      <c r="N1028" s="185" t="s">
        <v>3976</v>
      </c>
      <c r="O1028" s="3361">
        <v>0.2</v>
      </c>
      <c r="P1028" s="150">
        <f>K1027*O1028</f>
        <v>31320</v>
      </c>
      <c r="Q1028" s="857">
        <v>31320</v>
      </c>
      <c r="R1028" s="127" t="s">
        <v>4603</v>
      </c>
      <c r="S1028" s="276">
        <v>45362</v>
      </c>
      <c r="T1028" s="857">
        <v>31320</v>
      </c>
      <c r="U1028" s="276">
        <v>45362</v>
      </c>
      <c r="V1028" s="152"/>
      <c r="W1028" s="284"/>
      <c r="X1028" s="152"/>
      <c r="Y1028" s="3444"/>
      <c r="Z1028" s="226"/>
      <c r="AA1028" s="96"/>
      <c r="AB1028" s="96"/>
      <c r="AC1028" s="96"/>
      <c r="AD1028" s="96"/>
      <c r="AE1028" s="96"/>
      <c r="AF1028" s="96"/>
      <c r="AG1028" s="96"/>
      <c r="AH1028" s="96"/>
      <c r="AI1028" s="96"/>
    </row>
    <row r="1029" s="23" customFormat="1" ht="76" spans="1:35">
      <c r="A1029" s="96"/>
      <c r="B1029" s="3307"/>
      <c r="C1029" s="328"/>
      <c r="D1029" s="3306"/>
      <c r="E1029" s="328"/>
      <c r="F1029" s="328"/>
      <c r="G1029" s="96"/>
      <c r="H1029" s="328"/>
      <c r="I1029" s="96"/>
      <c r="J1029" s="328"/>
      <c r="K1029" s="96"/>
      <c r="L1029" s="96"/>
      <c r="M1029" s="328">
        <v>3</v>
      </c>
      <c r="N1029" s="185" t="s">
        <v>5927</v>
      </c>
      <c r="O1029" s="3361">
        <v>0.1</v>
      </c>
      <c r="P1029" s="150">
        <f>K1027*O1029</f>
        <v>15660</v>
      </c>
      <c r="Q1029" s="3406"/>
      <c r="R1029" s="3407"/>
      <c r="S1029" s="282"/>
      <c r="T1029" s="128"/>
      <c r="U1029" s="276"/>
      <c r="V1029" s="128"/>
      <c r="W1029" s="313"/>
      <c r="X1029" s="3406"/>
      <c r="Y1029" s="315"/>
      <c r="Z1029" s="226"/>
      <c r="AA1029" s="96"/>
      <c r="AB1029" s="96"/>
      <c r="AC1029" s="96"/>
      <c r="AD1029" s="96"/>
      <c r="AE1029" s="96"/>
      <c r="AF1029" s="96"/>
      <c r="AG1029" s="96"/>
      <c r="AH1029" s="96"/>
      <c r="AI1029" s="96"/>
    </row>
    <row r="1030" s="23" customFormat="1" ht="61" spans="1:35">
      <c r="A1030" s="128" t="s">
        <v>690</v>
      </c>
      <c r="B1030" s="3308" t="s">
        <v>5928</v>
      </c>
      <c r="C1030" s="127" t="s">
        <v>4464</v>
      </c>
      <c r="D1030" s="171"/>
      <c r="E1030" s="127" t="s">
        <v>5940</v>
      </c>
      <c r="F1030" s="127" t="s">
        <v>171</v>
      </c>
      <c r="G1030" s="128" t="s">
        <v>1241</v>
      </c>
      <c r="H1030" s="127" t="s">
        <v>5944</v>
      </c>
      <c r="I1030" s="128" t="s">
        <v>171</v>
      </c>
      <c r="J1030" s="127" t="s">
        <v>171</v>
      </c>
      <c r="K1030" s="96">
        <v>49200</v>
      </c>
      <c r="L1030" s="127" t="s">
        <v>33</v>
      </c>
      <c r="M1030" s="706">
        <v>1</v>
      </c>
      <c r="N1030" s="647" t="s">
        <v>5930</v>
      </c>
      <c r="O1030" s="3362">
        <v>1</v>
      </c>
      <c r="P1030" s="707">
        <f>K1030*O1030</f>
        <v>49200</v>
      </c>
      <c r="Q1030" s="128">
        <v>49200</v>
      </c>
      <c r="R1030" s="647" t="s">
        <v>5928</v>
      </c>
      <c r="S1030" s="313">
        <v>45309</v>
      </c>
      <c r="T1030" s="128">
        <v>49200</v>
      </c>
      <c r="U1030" s="313">
        <v>45309</v>
      </c>
      <c r="V1030" s="128">
        <v>49200</v>
      </c>
      <c r="W1030" s="313">
        <v>45309</v>
      </c>
      <c r="X1030" s="128">
        <v>49200</v>
      </c>
      <c r="Y1030" s="313">
        <v>45321</v>
      </c>
      <c r="Z1030" s="226"/>
      <c r="AA1030" s="96"/>
      <c r="AB1030" s="96"/>
      <c r="AC1030" s="96"/>
      <c r="AD1030" s="96"/>
      <c r="AE1030" s="96"/>
      <c r="AF1030" s="96"/>
      <c r="AG1030" s="96"/>
      <c r="AH1030" s="96"/>
      <c r="AI1030" s="96"/>
    </row>
    <row r="1031" s="23" customFormat="1" ht="61" spans="1:35">
      <c r="A1031" s="128" t="s">
        <v>690</v>
      </c>
      <c r="B1031" s="3308" t="s">
        <v>5928</v>
      </c>
      <c r="C1031" s="127" t="s">
        <v>4053</v>
      </c>
      <c r="D1031" s="171"/>
      <c r="E1031" s="127" t="s">
        <v>4055</v>
      </c>
      <c r="F1031" s="127" t="s">
        <v>171</v>
      </c>
      <c r="G1031" s="128" t="s">
        <v>1241</v>
      </c>
      <c r="H1031" s="127" t="s">
        <v>5929</v>
      </c>
      <c r="I1031" s="128" t="s">
        <v>171</v>
      </c>
      <c r="J1031" s="127" t="s">
        <v>171</v>
      </c>
      <c r="K1031" s="96">
        <v>27020</v>
      </c>
      <c r="L1031" s="127" t="s">
        <v>33</v>
      </c>
      <c r="M1031" s="706">
        <v>1</v>
      </c>
      <c r="N1031" s="647" t="s">
        <v>5930</v>
      </c>
      <c r="O1031" s="3362">
        <v>1</v>
      </c>
      <c r="P1031" s="707">
        <f>K1031*O1031</f>
        <v>27020</v>
      </c>
      <c r="Q1031" s="128">
        <v>27020</v>
      </c>
      <c r="R1031" s="647" t="s">
        <v>5928</v>
      </c>
      <c r="S1031" s="313">
        <v>45710</v>
      </c>
      <c r="T1031" s="128">
        <v>27020</v>
      </c>
      <c r="U1031" s="313">
        <v>45710</v>
      </c>
      <c r="V1031" s="128">
        <v>27020</v>
      </c>
      <c r="W1031" s="313">
        <v>45710</v>
      </c>
      <c r="X1031" s="128">
        <v>27020</v>
      </c>
      <c r="Y1031" s="313">
        <v>45727</v>
      </c>
      <c r="Z1031" s="226"/>
      <c r="AA1031" s="128" t="s">
        <v>5945</v>
      </c>
      <c r="AB1031" s="96"/>
      <c r="AC1031" s="96"/>
      <c r="AD1031" s="96"/>
      <c r="AE1031" s="96"/>
      <c r="AF1031" s="96"/>
      <c r="AG1031" s="96"/>
      <c r="AH1031" s="96"/>
      <c r="AI1031" s="96"/>
    </row>
    <row r="1032" s="23" customFormat="1" ht="30" customHeight="1" spans="1:35">
      <c r="A1032" s="128" t="s">
        <v>690</v>
      </c>
      <c r="B1032" s="3304">
        <v>45496</v>
      </c>
      <c r="C1032" s="127" t="s">
        <v>4045</v>
      </c>
      <c r="D1032" s="171"/>
      <c r="E1032" s="127" t="s">
        <v>5946</v>
      </c>
      <c r="F1032" s="127" t="s">
        <v>5947</v>
      </c>
      <c r="G1032" s="128" t="s">
        <v>1241</v>
      </c>
      <c r="H1032" s="127" t="s">
        <v>5948</v>
      </c>
      <c r="I1032" s="128" t="s">
        <v>5949</v>
      </c>
      <c r="J1032" s="127" t="s">
        <v>5950</v>
      </c>
      <c r="K1032" s="96">
        <v>142780</v>
      </c>
      <c r="L1032" s="127" t="s">
        <v>33</v>
      </c>
      <c r="M1032" s="706">
        <v>1</v>
      </c>
      <c r="N1032" s="647" t="s">
        <v>5951</v>
      </c>
      <c r="O1032" s="3362">
        <v>0.85</v>
      </c>
      <c r="P1032" s="707">
        <f>K1032*O1032</f>
        <v>121363</v>
      </c>
      <c r="Q1032" s="857">
        <v>35174.7</v>
      </c>
      <c r="R1032" s="647" t="s">
        <v>4603</v>
      </c>
      <c r="S1032" s="276">
        <v>45559</v>
      </c>
      <c r="T1032" s="857">
        <v>35174.7</v>
      </c>
      <c r="U1032" s="276">
        <v>45559</v>
      </c>
      <c r="V1032" s="128">
        <v>35174.7</v>
      </c>
      <c r="W1032" s="276">
        <v>45545</v>
      </c>
      <c r="X1032" s="128">
        <v>35174.7</v>
      </c>
      <c r="Y1032" s="276">
        <v>45650</v>
      </c>
      <c r="Z1032" s="226"/>
      <c r="AA1032" s="96"/>
      <c r="AB1032" s="96"/>
      <c r="AC1032" s="96"/>
      <c r="AD1032" s="96"/>
      <c r="AE1032" s="96"/>
      <c r="AF1032" s="96"/>
      <c r="AG1032" s="96"/>
      <c r="AH1032" s="96"/>
      <c r="AI1032" s="96"/>
    </row>
    <row r="1033" s="23" customFormat="1" ht="30" customHeight="1" spans="1:35">
      <c r="A1033" s="96"/>
      <c r="B1033" s="3305"/>
      <c r="C1033" s="328"/>
      <c r="D1033" s="3306"/>
      <c r="E1033" s="328"/>
      <c r="F1033" s="328"/>
      <c r="G1033" s="96"/>
      <c r="H1033" s="328"/>
      <c r="I1033" s="96"/>
      <c r="J1033" s="328"/>
      <c r="K1033" s="96"/>
      <c r="L1033" s="96"/>
      <c r="M1033" s="353"/>
      <c r="N1033" s="1067"/>
      <c r="O1033" s="3367"/>
      <c r="P1033" s="3368"/>
      <c r="Q1033" s="857">
        <v>50000</v>
      </c>
      <c r="R1033" s="127" t="s">
        <v>4603</v>
      </c>
      <c r="S1033" s="276">
        <v>45615</v>
      </c>
      <c r="T1033" s="857">
        <v>50000</v>
      </c>
      <c r="U1033" s="276">
        <v>45615</v>
      </c>
      <c r="V1033" s="128">
        <v>50000</v>
      </c>
      <c r="W1033" s="276">
        <v>45616</v>
      </c>
      <c r="X1033" s="128">
        <v>50000</v>
      </c>
      <c r="Y1033" s="276">
        <v>45650</v>
      </c>
      <c r="Z1033" s="226"/>
      <c r="AA1033" s="96"/>
      <c r="AB1033" s="96"/>
      <c r="AC1033" s="96"/>
      <c r="AD1033" s="96"/>
      <c r="AE1033" s="96"/>
      <c r="AF1033" s="96"/>
      <c r="AG1033" s="96"/>
      <c r="AH1033" s="96"/>
      <c r="AI1033" s="96"/>
    </row>
    <row r="1034" s="23" customFormat="1" ht="76" spans="1:35">
      <c r="A1034" s="96"/>
      <c r="B1034" s="3307"/>
      <c r="C1034" s="328"/>
      <c r="D1034" s="3306"/>
      <c r="E1034" s="328"/>
      <c r="F1034" s="328"/>
      <c r="G1034" s="96"/>
      <c r="H1034" s="328"/>
      <c r="I1034" s="96"/>
      <c r="J1034" s="328"/>
      <c r="K1034" s="96"/>
      <c r="L1034" s="96"/>
      <c r="M1034" s="328">
        <v>2</v>
      </c>
      <c r="N1034" s="185" t="s">
        <v>5952</v>
      </c>
      <c r="O1034" s="3361">
        <v>0.15</v>
      </c>
      <c r="P1034" s="150">
        <f>K1032*O1034</f>
        <v>21417</v>
      </c>
      <c r="Q1034" s="857"/>
      <c r="R1034" s="127"/>
      <c r="S1034" s="276"/>
      <c r="T1034" s="857"/>
      <c r="U1034" s="282"/>
      <c r="V1034" s="280"/>
      <c r="W1034" s="282"/>
      <c r="X1034" s="280"/>
      <c r="Y1034" s="313"/>
      <c r="Z1034" s="226"/>
      <c r="AA1034" s="96"/>
      <c r="AB1034" s="96"/>
      <c r="AC1034" s="96"/>
      <c r="AD1034" s="96"/>
      <c r="AE1034" s="96"/>
      <c r="AF1034" s="96"/>
      <c r="AG1034" s="96"/>
      <c r="AH1034" s="96"/>
      <c r="AI1034" s="96"/>
    </row>
    <row r="1035" s="24" customFormat="1" ht="34.5" customHeight="1" spans="1:35">
      <c r="A1035" s="128" t="s">
        <v>690</v>
      </c>
      <c r="B1035" s="3474">
        <v>44881</v>
      </c>
      <c r="C1035" s="95" t="s">
        <v>4073</v>
      </c>
      <c r="D1035" s="3475"/>
      <c r="E1035" s="127" t="s">
        <v>5953</v>
      </c>
      <c r="F1035" s="127" t="s">
        <v>5954</v>
      </c>
      <c r="G1035" s="128" t="s">
        <v>5955</v>
      </c>
      <c r="H1035" s="127" t="s">
        <v>5956</v>
      </c>
      <c r="I1035" s="128" t="s">
        <v>4076</v>
      </c>
      <c r="J1035" s="128" t="s">
        <v>5957</v>
      </c>
      <c r="K1035" s="3524">
        <v>6750000</v>
      </c>
      <c r="L1035" s="127" t="s">
        <v>27</v>
      </c>
      <c r="M1035" s="3476">
        <v>1</v>
      </c>
      <c r="N1035" s="712" t="s">
        <v>5958</v>
      </c>
      <c r="O1035" s="3535">
        <v>0.2</v>
      </c>
      <c r="P1035" s="3536">
        <f>O1035*K1035</f>
        <v>1350000</v>
      </c>
      <c r="Q1035" s="3576">
        <v>187286.05</v>
      </c>
      <c r="R1035" s="128" t="s">
        <v>4603</v>
      </c>
      <c r="S1035" s="858">
        <v>44922</v>
      </c>
      <c r="T1035" s="3576">
        <v>187286.05</v>
      </c>
      <c r="U1035" s="858">
        <v>44922</v>
      </c>
      <c r="V1035" s="3476">
        <v>187286.05</v>
      </c>
      <c r="W1035" s="3591">
        <v>44970</v>
      </c>
      <c r="X1035" s="3576">
        <v>187286.05</v>
      </c>
      <c r="Y1035" s="858">
        <v>45006</v>
      </c>
      <c r="Z1035" s="23"/>
      <c r="AA1035" s="128" t="s">
        <v>5959</v>
      </c>
      <c r="AB1035" s="23"/>
      <c r="AC1035" s="23"/>
      <c r="AD1035" s="3476"/>
      <c r="AE1035" s="3476"/>
      <c r="AF1035" s="3476"/>
      <c r="AG1035" s="3476"/>
      <c r="AH1035" s="128" t="s">
        <v>247</v>
      </c>
      <c r="AI1035" s="128" t="s">
        <v>154</v>
      </c>
    </row>
    <row r="1036" s="24" customFormat="1" ht="38.25" customHeight="1" spans="1:35">
      <c r="A1036" s="3476"/>
      <c r="B1036" s="3477"/>
      <c r="C1036" s="2286"/>
      <c r="D1036" s="3478"/>
      <c r="E1036" s="1096"/>
      <c r="F1036" s="1096"/>
      <c r="G1036" s="3476"/>
      <c r="H1036" s="1096"/>
      <c r="I1036" s="3476"/>
      <c r="J1036" s="3476"/>
      <c r="K1036" s="3524"/>
      <c r="L1036" s="127" t="s">
        <v>126</v>
      </c>
      <c r="M1036" s="3476"/>
      <c r="N1036" s="712"/>
      <c r="O1036" s="3535"/>
      <c r="P1036" s="3536"/>
      <c r="Q1036" s="3576">
        <v>1162713.95</v>
      </c>
      <c r="R1036" s="128" t="s">
        <v>4603</v>
      </c>
      <c r="S1036" s="858">
        <v>44922</v>
      </c>
      <c r="T1036" s="3576">
        <v>1162713.95</v>
      </c>
      <c r="U1036" s="858">
        <v>44922</v>
      </c>
      <c r="V1036" s="3476">
        <v>493257.52</v>
      </c>
      <c r="W1036" s="3591">
        <v>44970</v>
      </c>
      <c r="X1036" s="3576">
        <v>493257.52</v>
      </c>
      <c r="Y1036" s="858">
        <v>45006</v>
      </c>
      <c r="Z1036" s="128"/>
      <c r="AA1036" s="127" t="s">
        <v>5960</v>
      </c>
      <c r="AB1036" s="128"/>
      <c r="AC1036" s="23"/>
      <c r="AD1036" s="3476"/>
      <c r="AE1036" s="3476"/>
      <c r="AF1036" s="3476"/>
      <c r="AG1036" s="3476"/>
      <c r="AH1036" s="3476"/>
      <c r="AI1036" s="3476"/>
    </row>
    <row r="1037" s="13" customFormat="1" ht="40.5" customHeight="1" spans="1:35">
      <c r="A1037" s="3479"/>
      <c r="B1037" s="3477"/>
      <c r="C1037" s="3480"/>
      <c r="D1037" s="3479"/>
      <c r="E1037" s="3512"/>
      <c r="F1037" s="3512"/>
      <c r="G1037" s="3479"/>
      <c r="H1037" s="3512"/>
      <c r="I1037" s="3479"/>
      <c r="J1037" s="3479"/>
      <c r="K1037" s="3525"/>
      <c r="L1037" s="125"/>
      <c r="M1037" s="3537"/>
      <c r="N1037" s="709"/>
      <c r="O1037" s="3538"/>
      <c r="P1037" s="3539"/>
      <c r="Q1037" s="3577"/>
      <c r="R1037" s="152"/>
      <c r="S1037" s="3578"/>
      <c r="T1037" s="3577"/>
      <c r="U1037" s="3578"/>
      <c r="V1037" s="3522">
        <f>T1036-V1036</f>
        <v>669456.43</v>
      </c>
      <c r="W1037" s="3592"/>
      <c r="X1037" s="3577"/>
      <c r="Y1037" s="3578"/>
      <c r="Z1037" s="152"/>
      <c r="AA1037" s="1067"/>
      <c r="AB1037" s="152"/>
      <c r="AC1037" s="3611"/>
      <c r="AD1037" s="3522"/>
      <c r="AE1037" s="3522"/>
      <c r="AF1037" s="3522"/>
      <c r="AG1037" s="3522"/>
      <c r="AH1037" s="3522"/>
      <c r="AI1037" s="3522"/>
    </row>
    <row r="1038" s="13" customFormat="1" ht="32.25" customHeight="1" spans="1:35">
      <c r="A1038" s="3479"/>
      <c r="B1038" s="3477"/>
      <c r="C1038" s="3480"/>
      <c r="D1038" s="3479"/>
      <c r="E1038" s="3512"/>
      <c r="F1038" s="3512"/>
      <c r="G1038" s="3479"/>
      <c r="H1038" s="3512"/>
      <c r="I1038" s="3479"/>
      <c r="J1038" s="3479"/>
      <c r="K1038" s="3525"/>
      <c r="L1038" s="125"/>
      <c r="M1038" s="3476">
        <v>2</v>
      </c>
      <c r="N1038" s="705" t="s">
        <v>5961</v>
      </c>
      <c r="O1038" s="3540">
        <v>0.3</v>
      </c>
      <c r="P1038" s="3536">
        <f>O1038*K1035</f>
        <v>2025000</v>
      </c>
      <c r="Q1038" s="3576">
        <v>247868.38</v>
      </c>
      <c r="R1038" s="128" t="s">
        <v>4603</v>
      </c>
      <c r="S1038" s="858">
        <v>44922</v>
      </c>
      <c r="T1038" s="3576">
        <v>247868.38</v>
      </c>
      <c r="U1038" s="858">
        <v>44922</v>
      </c>
      <c r="V1038" s="3476"/>
      <c r="W1038" s="3593"/>
      <c r="X1038" s="3576"/>
      <c r="Y1038" s="858"/>
      <c r="Z1038" s="128"/>
      <c r="AA1038" s="127" t="s">
        <v>5960</v>
      </c>
      <c r="AB1038" s="128"/>
      <c r="AC1038" s="3612"/>
      <c r="AD1038" s="3476"/>
      <c r="AE1038" s="3476"/>
      <c r="AF1038" s="3476"/>
      <c r="AG1038" s="3476"/>
      <c r="AH1038" s="3476"/>
      <c r="AI1038" s="3476"/>
    </row>
    <row r="1039" s="13" customFormat="1" ht="54.75" customHeight="1" spans="1:35">
      <c r="A1039" s="3479"/>
      <c r="B1039" s="3477"/>
      <c r="C1039" s="3480"/>
      <c r="D1039" s="3479"/>
      <c r="E1039" s="3512"/>
      <c r="F1039" s="3512"/>
      <c r="G1039" s="3479"/>
      <c r="H1039" s="3512"/>
      <c r="I1039" s="3479"/>
      <c r="J1039" s="3479"/>
      <c r="K1039" s="3525"/>
      <c r="L1039" s="125"/>
      <c r="M1039" s="3476"/>
      <c r="N1039" s="3541"/>
      <c r="O1039" s="3538"/>
      <c r="P1039" s="3536"/>
      <c r="Q1039" s="3576"/>
      <c r="R1039" s="128"/>
      <c r="S1039" s="858"/>
      <c r="T1039" s="3476"/>
      <c r="U1039" s="3591"/>
      <c r="V1039" s="3476"/>
      <c r="W1039" s="3593"/>
      <c r="X1039" s="3576"/>
      <c r="Y1039" s="858"/>
      <c r="Z1039" s="23"/>
      <c r="AA1039" s="3476"/>
      <c r="AB1039" s="3611"/>
      <c r="AC1039" s="3612"/>
      <c r="AD1039" s="3476"/>
      <c r="AE1039" s="3476"/>
      <c r="AF1039" s="3476"/>
      <c r="AG1039" s="3476"/>
      <c r="AH1039" s="3476"/>
      <c r="AI1039" s="3476"/>
    </row>
    <row r="1040" s="13" customFormat="1" ht="76" spans="1:35">
      <c r="A1040" s="3479"/>
      <c r="B1040" s="3477"/>
      <c r="C1040" s="3480"/>
      <c r="D1040" s="3479"/>
      <c r="E1040" s="3512"/>
      <c r="F1040" s="3512"/>
      <c r="G1040" s="3479"/>
      <c r="H1040" s="3512"/>
      <c r="I1040" s="3479"/>
      <c r="J1040" s="3479"/>
      <c r="K1040" s="3525"/>
      <c r="L1040" s="125"/>
      <c r="M1040" s="3537">
        <v>3</v>
      </c>
      <c r="N1040" s="2618" t="s">
        <v>5962</v>
      </c>
      <c r="O1040" s="3535">
        <v>0.2</v>
      </c>
      <c r="P1040" s="3536">
        <f>O1040*K1035</f>
        <v>1350000</v>
      </c>
      <c r="Q1040" s="3576"/>
      <c r="R1040" s="128"/>
      <c r="S1040" s="858"/>
      <c r="T1040" s="3476"/>
      <c r="U1040" s="3591"/>
      <c r="V1040" s="3476"/>
      <c r="W1040" s="3593"/>
      <c r="X1040" s="3576"/>
      <c r="Y1040" s="858"/>
      <c r="Z1040" s="23"/>
      <c r="AA1040" s="3476"/>
      <c r="AB1040" s="3612"/>
      <c r="AC1040" s="3612"/>
      <c r="AD1040" s="3476"/>
      <c r="AE1040" s="3476"/>
      <c r="AF1040" s="3476"/>
      <c r="AG1040" s="3476"/>
      <c r="AH1040" s="3476"/>
      <c r="AI1040" s="3476"/>
    </row>
    <row r="1041" s="13" customFormat="1" ht="46" spans="1:35">
      <c r="A1041" s="3479"/>
      <c r="B1041" s="3477"/>
      <c r="C1041" s="3480"/>
      <c r="D1041" s="3479"/>
      <c r="E1041" s="3512"/>
      <c r="F1041" s="3512"/>
      <c r="G1041" s="3479"/>
      <c r="H1041" s="3512"/>
      <c r="I1041" s="3479"/>
      <c r="J1041" s="3479"/>
      <c r="K1041" s="3525"/>
      <c r="L1041" s="125"/>
      <c r="M1041" s="3542">
        <v>4</v>
      </c>
      <c r="N1041" s="2618" t="s">
        <v>5963</v>
      </c>
      <c r="O1041" s="3535">
        <v>0.25</v>
      </c>
      <c r="P1041" s="3536">
        <f>O1041*K1035</f>
        <v>1687500</v>
      </c>
      <c r="Q1041" s="3576"/>
      <c r="R1041" s="128"/>
      <c r="S1041" s="858"/>
      <c r="T1041" s="3476"/>
      <c r="U1041" s="3591"/>
      <c r="V1041" s="3476"/>
      <c r="W1041" s="3593"/>
      <c r="X1041" s="3576"/>
      <c r="Y1041" s="858"/>
      <c r="Z1041" s="23"/>
      <c r="AA1041" s="3476"/>
      <c r="AB1041" s="3612"/>
      <c r="AC1041" s="3612"/>
      <c r="AD1041" s="3476"/>
      <c r="AE1041" s="3476"/>
      <c r="AF1041" s="3476"/>
      <c r="AG1041" s="3476"/>
      <c r="AH1041" s="3476"/>
      <c r="AI1041" s="3476"/>
    </row>
    <row r="1042" s="13" customFormat="1" ht="46" spans="1:35">
      <c r="A1042" s="3479"/>
      <c r="B1042" s="3477"/>
      <c r="C1042" s="3480"/>
      <c r="D1042" s="3479"/>
      <c r="E1042" s="3512"/>
      <c r="F1042" s="3512"/>
      <c r="G1042" s="3479"/>
      <c r="H1042" s="3512"/>
      <c r="I1042" s="3479"/>
      <c r="J1042" s="3479"/>
      <c r="K1042" s="3525"/>
      <c r="L1042" s="125"/>
      <c r="M1042" s="3542">
        <v>5</v>
      </c>
      <c r="N1042" s="2618" t="s">
        <v>5964</v>
      </c>
      <c r="O1042" s="3535">
        <v>0.05</v>
      </c>
      <c r="P1042" s="3536">
        <f>O1042*K1035</f>
        <v>337500</v>
      </c>
      <c r="Q1042" s="3576"/>
      <c r="R1042" s="128"/>
      <c r="S1042" s="858"/>
      <c r="T1042" s="3476"/>
      <c r="U1042" s="3591"/>
      <c r="V1042" s="3476"/>
      <c r="W1042" s="3593"/>
      <c r="X1042" s="3576"/>
      <c r="Y1042" s="858"/>
      <c r="Z1042" s="23"/>
      <c r="AA1042" s="3476"/>
      <c r="AB1042" s="3612"/>
      <c r="AC1042" s="3612"/>
      <c r="AD1042" s="3476"/>
      <c r="AE1042" s="3476"/>
      <c r="AF1042" s="3476"/>
      <c r="AG1042" s="3476"/>
      <c r="AH1042" s="3476"/>
      <c r="AI1042" s="3476"/>
    </row>
    <row r="1043" customFormat="1" ht="46" spans="1:35">
      <c r="A1043" s="2752" t="s">
        <v>1003</v>
      </c>
      <c r="B1043" s="3287">
        <v>44308</v>
      </c>
      <c r="C1043" s="3288" t="s">
        <v>5856</v>
      </c>
      <c r="D1043" s="2752"/>
      <c r="E1043" s="2541" t="s">
        <v>5965</v>
      </c>
      <c r="F1043" s="2541" t="s">
        <v>5966</v>
      </c>
      <c r="G1043" s="2752" t="s">
        <v>3453</v>
      </c>
      <c r="H1043" s="2541" t="s">
        <v>4777</v>
      </c>
      <c r="I1043" s="2752"/>
      <c r="J1043" s="2752" t="s">
        <v>997</v>
      </c>
      <c r="K1043" s="2686">
        <v>51638.4</v>
      </c>
      <c r="L1043" s="2752" t="s">
        <v>126</v>
      </c>
      <c r="M1043" s="2750">
        <v>1</v>
      </c>
      <c r="N1043" s="3348" t="s">
        <v>5886</v>
      </c>
      <c r="O1043" s="3351">
        <v>0.2</v>
      </c>
      <c r="P1043" s="2788">
        <f>K1043*O1043</f>
        <v>10327.68</v>
      </c>
      <c r="Q1043" s="1856">
        <v>10327.68</v>
      </c>
      <c r="R1043" s="393" t="s">
        <v>4603</v>
      </c>
      <c r="S1043" s="2718">
        <v>44557</v>
      </c>
      <c r="T1043" s="2750">
        <v>10327.68</v>
      </c>
      <c r="U1043" s="3594">
        <v>44557</v>
      </c>
      <c r="V1043" s="2750">
        <v>10327.68</v>
      </c>
      <c r="W1043" s="3431">
        <v>44630</v>
      </c>
      <c r="X1043" s="1856">
        <v>10327.68</v>
      </c>
      <c r="Y1043" s="2715">
        <v>44644</v>
      </c>
      <c r="Z1043" s="2735"/>
      <c r="AA1043" s="2750"/>
      <c r="AB1043" s="2735"/>
      <c r="AC1043" s="2735"/>
      <c r="AD1043" s="3227"/>
      <c r="AE1043" s="3227"/>
      <c r="AF1043" s="3227"/>
      <c r="AG1043" s="3227"/>
      <c r="AH1043" s="2759" t="s">
        <v>197</v>
      </c>
      <c r="AI1043" s="2759" t="s">
        <v>154</v>
      </c>
    </row>
    <row r="1044" customFormat="1" ht="61" spans="1:35">
      <c r="A1044" s="2759"/>
      <c r="B1044" s="3289"/>
      <c r="C1044" s="3140"/>
      <c r="D1044" s="2759"/>
      <c r="E1044" s="2543"/>
      <c r="F1044" s="2543"/>
      <c r="G1044" s="2759"/>
      <c r="H1044" s="2543"/>
      <c r="I1044" s="2759"/>
      <c r="J1044" s="2759"/>
      <c r="K1044" s="3154"/>
      <c r="L1044" s="2759"/>
      <c r="M1044" s="2750">
        <v>2</v>
      </c>
      <c r="N1044" s="3348" t="s">
        <v>5967</v>
      </c>
      <c r="O1044" s="3351">
        <v>0.6</v>
      </c>
      <c r="P1044" s="2788">
        <f>K1043*O1044</f>
        <v>30983.04</v>
      </c>
      <c r="Q1044" s="1856">
        <v>30983.04</v>
      </c>
      <c r="R1044" s="393" t="s">
        <v>4603</v>
      </c>
      <c r="S1044" s="2718">
        <v>44631</v>
      </c>
      <c r="T1044" s="3003">
        <v>30983.04</v>
      </c>
      <c r="U1044" s="3594">
        <v>44630</v>
      </c>
      <c r="V1044" s="3003">
        <v>30983.04</v>
      </c>
      <c r="W1044" s="3431">
        <v>44630</v>
      </c>
      <c r="X1044" s="1856">
        <v>30983.04</v>
      </c>
      <c r="Y1044" s="2715">
        <v>44644</v>
      </c>
      <c r="Z1044" s="2735"/>
      <c r="AA1044" s="2750"/>
      <c r="AB1044" s="2735"/>
      <c r="AC1044" s="2735"/>
      <c r="AD1044" s="2735"/>
      <c r="AE1044" s="2735"/>
      <c r="AF1044" s="2735"/>
      <c r="AG1044" s="2735"/>
      <c r="AH1044" s="2759"/>
      <c r="AI1044" s="2759"/>
    </row>
    <row r="1045" customFormat="1" ht="46" spans="1:35">
      <c r="A1045" s="3248"/>
      <c r="B1045" s="3290"/>
      <c r="C1045" s="3291"/>
      <c r="D1045" s="3248"/>
      <c r="E1045" s="3319"/>
      <c r="F1045" s="3319"/>
      <c r="G1045" s="3248"/>
      <c r="H1045" s="3319"/>
      <c r="I1045" s="3248"/>
      <c r="J1045" s="3248"/>
      <c r="K1045" s="3171"/>
      <c r="L1045" s="3248"/>
      <c r="M1045" s="2750">
        <v>3</v>
      </c>
      <c r="N1045" s="3348" t="s">
        <v>5888</v>
      </c>
      <c r="O1045" s="3351">
        <v>0.2</v>
      </c>
      <c r="P1045" s="2788">
        <f>K1043*O1045</f>
        <v>10327.68</v>
      </c>
      <c r="Q1045" s="1856">
        <v>10327.68</v>
      </c>
      <c r="R1045" s="393" t="s">
        <v>4603</v>
      </c>
      <c r="S1045" s="3400">
        <v>45287</v>
      </c>
      <c r="T1045" s="3003"/>
      <c r="U1045" s="2750"/>
      <c r="V1045" s="2750"/>
      <c r="W1045" s="2735"/>
      <c r="X1045" s="3432"/>
      <c r="Y1045" s="2735"/>
      <c r="Z1045" s="2735"/>
      <c r="AA1045" s="2750"/>
      <c r="AB1045" s="2735"/>
      <c r="AC1045" s="2735"/>
      <c r="AD1045" s="2735"/>
      <c r="AE1045" s="2735"/>
      <c r="AF1045" s="2735"/>
      <c r="AG1045" s="2735"/>
      <c r="AH1045" s="3248"/>
      <c r="AI1045" s="3248"/>
    </row>
    <row r="1046" customFormat="1" ht="26.25" customHeight="1" spans="1:35">
      <c r="A1046" s="3119" t="s">
        <v>1003</v>
      </c>
      <c r="B1046" s="3293">
        <v>44308</v>
      </c>
      <c r="C1046" s="3006" t="s">
        <v>5891</v>
      </c>
      <c r="D1046" s="3119"/>
      <c r="E1046" s="3320" t="s">
        <v>5968</v>
      </c>
      <c r="F1046" s="3320" t="s">
        <v>5969</v>
      </c>
      <c r="G1046" s="3119" t="s">
        <v>3453</v>
      </c>
      <c r="H1046" s="3320" t="s">
        <v>4777</v>
      </c>
      <c r="I1046" s="3119"/>
      <c r="J1046" s="3119" t="s">
        <v>997</v>
      </c>
      <c r="K1046" s="3063">
        <v>23394.66</v>
      </c>
      <c r="L1046" s="3119" t="s">
        <v>126</v>
      </c>
      <c r="M1046" s="3117">
        <v>1</v>
      </c>
      <c r="N1046" s="3352" t="s">
        <v>5886</v>
      </c>
      <c r="O1046" s="3353">
        <v>0.2</v>
      </c>
      <c r="P1046" s="3022">
        <f>K1046*O1046</f>
        <v>4678.932</v>
      </c>
      <c r="Q1046" s="1897">
        <v>4678.93</v>
      </c>
      <c r="R1046" s="1825" t="s">
        <v>4603</v>
      </c>
      <c r="S1046" s="3404">
        <v>44560</v>
      </c>
      <c r="T1046" s="3403">
        <v>4678.93</v>
      </c>
      <c r="U1046" s="3433">
        <v>44553</v>
      </c>
      <c r="V1046" s="3403">
        <v>4678.93</v>
      </c>
      <c r="W1046" s="3595">
        <v>44623</v>
      </c>
      <c r="X1046" s="1897">
        <v>4678.93</v>
      </c>
      <c r="Y1046" s="3404">
        <v>44677</v>
      </c>
      <c r="Z1046" s="3108"/>
      <c r="AA1046" s="3117"/>
      <c r="AB1046" s="3108"/>
      <c r="AC1046" s="3108"/>
      <c r="AD1046" s="3108"/>
      <c r="AE1046" s="3108"/>
      <c r="AF1046" s="3108"/>
      <c r="AG1046" s="3108"/>
      <c r="AH1046" s="3119" t="s">
        <v>197</v>
      </c>
      <c r="AI1046" s="3119" t="s">
        <v>154</v>
      </c>
    </row>
    <row r="1047" customFormat="1" ht="26.25" customHeight="1" spans="1:35">
      <c r="A1047" s="3294"/>
      <c r="B1047" s="3295"/>
      <c r="C1047" s="3296"/>
      <c r="D1047" s="3294"/>
      <c r="E1047" s="3321"/>
      <c r="F1047" s="3321"/>
      <c r="G1047" s="3294"/>
      <c r="H1047" s="3321"/>
      <c r="I1047" s="3294"/>
      <c r="J1047" s="3294"/>
      <c r="K1047" s="3334"/>
      <c r="L1047" s="3294"/>
      <c r="M1047" s="3117">
        <v>2</v>
      </c>
      <c r="N1047" s="3352" t="s">
        <v>5967</v>
      </c>
      <c r="O1047" s="3353">
        <v>0.6</v>
      </c>
      <c r="P1047" s="3022">
        <f>K1046*O1047</f>
        <v>14036.796</v>
      </c>
      <c r="Q1047" s="1897">
        <v>14036.8</v>
      </c>
      <c r="R1047" s="1825" t="s">
        <v>4603</v>
      </c>
      <c r="S1047" s="3404">
        <v>44631</v>
      </c>
      <c r="T1047" s="3403">
        <v>14036.8</v>
      </c>
      <c r="U1047" s="3433">
        <v>44630</v>
      </c>
      <c r="V1047" s="3403">
        <v>14036.8</v>
      </c>
      <c r="W1047" s="3595">
        <v>44631</v>
      </c>
      <c r="X1047" s="1897">
        <v>14036.8</v>
      </c>
      <c r="Y1047" s="3404">
        <v>44677</v>
      </c>
      <c r="Z1047" s="3108"/>
      <c r="AA1047" s="3117"/>
      <c r="AB1047" s="3108"/>
      <c r="AC1047" s="3108"/>
      <c r="AD1047" s="3108"/>
      <c r="AE1047" s="3108"/>
      <c r="AF1047" s="3108"/>
      <c r="AG1047" s="3108"/>
      <c r="AH1047" s="3294"/>
      <c r="AI1047" s="3294"/>
    </row>
    <row r="1048" customFormat="1" ht="26.25" customHeight="1" spans="1:35">
      <c r="A1048" s="3297"/>
      <c r="B1048" s="3298"/>
      <c r="C1048" s="3299"/>
      <c r="D1048" s="3297"/>
      <c r="E1048" s="3322"/>
      <c r="F1048" s="3322"/>
      <c r="G1048" s="3297"/>
      <c r="H1048" s="3322"/>
      <c r="I1048" s="3297"/>
      <c r="J1048" s="3297"/>
      <c r="K1048" s="3335"/>
      <c r="L1048" s="3297"/>
      <c r="M1048" s="3117">
        <v>3</v>
      </c>
      <c r="N1048" s="3352" t="s">
        <v>5888</v>
      </c>
      <c r="O1048" s="3353">
        <v>0.2</v>
      </c>
      <c r="P1048" s="3022">
        <f>K1046*O1048</f>
        <v>4678.932</v>
      </c>
      <c r="Q1048" s="1897">
        <v>4678.93</v>
      </c>
      <c r="R1048" s="1825" t="s">
        <v>4603</v>
      </c>
      <c r="S1048" s="3404">
        <v>45112</v>
      </c>
      <c r="T1048" s="3117">
        <v>4678.93</v>
      </c>
      <c r="U1048" s="3433">
        <v>45112</v>
      </c>
      <c r="V1048" s="3117">
        <v>4678.93</v>
      </c>
      <c r="W1048" s="3595">
        <v>45122</v>
      </c>
      <c r="X1048" s="3022">
        <v>4678.93</v>
      </c>
      <c r="Y1048" s="3433">
        <v>45163</v>
      </c>
      <c r="Z1048" s="3108"/>
      <c r="AA1048" s="3117"/>
      <c r="AB1048" s="3108"/>
      <c r="AC1048" s="3108"/>
      <c r="AD1048" s="3108"/>
      <c r="AE1048" s="3108"/>
      <c r="AF1048" s="3108"/>
      <c r="AG1048" s="3108"/>
      <c r="AH1048" s="3297"/>
      <c r="AI1048" s="3297"/>
    </row>
    <row r="1049" customFormat="1" ht="46" spans="1:35">
      <c r="A1049" s="2752" t="s">
        <v>1003</v>
      </c>
      <c r="B1049" s="3287">
        <v>44347</v>
      </c>
      <c r="C1049" s="3288" t="s">
        <v>5856</v>
      </c>
      <c r="D1049" s="2752"/>
      <c r="E1049" s="2541" t="s">
        <v>5970</v>
      </c>
      <c r="F1049" s="2541" t="s">
        <v>5971</v>
      </c>
      <c r="G1049" s="2752" t="s">
        <v>5025</v>
      </c>
      <c r="H1049" s="2541" t="s">
        <v>4770</v>
      </c>
      <c r="I1049" s="2752"/>
      <c r="J1049" s="2541" t="s">
        <v>5972</v>
      </c>
      <c r="K1049" s="2686">
        <v>61914.93</v>
      </c>
      <c r="L1049" s="2752" t="s">
        <v>126</v>
      </c>
      <c r="M1049" s="2750">
        <v>1</v>
      </c>
      <c r="N1049" s="3348" t="s">
        <v>5886</v>
      </c>
      <c r="O1049" s="3351">
        <v>0.2</v>
      </c>
      <c r="P1049" s="2788">
        <f>K1049*O1049</f>
        <v>12382.986</v>
      </c>
      <c r="Q1049" s="1856">
        <v>12382.99</v>
      </c>
      <c r="R1049" s="3003" t="s">
        <v>4603</v>
      </c>
      <c r="S1049" s="2718">
        <v>44483</v>
      </c>
      <c r="T1049" s="2750">
        <v>12382.99</v>
      </c>
      <c r="U1049" s="3594">
        <v>44483</v>
      </c>
      <c r="V1049" s="2750">
        <v>12382.99</v>
      </c>
      <c r="W1049" s="2750"/>
      <c r="X1049" s="1856">
        <v>12382.99</v>
      </c>
      <c r="Y1049" s="2718">
        <v>44515</v>
      </c>
      <c r="Z1049" s="2735"/>
      <c r="AA1049" s="2750"/>
      <c r="AB1049" s="2735"/>
      <c r="AC1049" s="2735"/>
      <c r="AD1049" s="2735"/>
      <c r="AE1049" s="2735"/>
      <c r="AF1049" s="2735"/>
      <c r="AG1049" s="2735"/>
      <c r="AH1049" s="2752" t="s">
        <v>197</v>
      </c>
      <c r="AI1049" s="2752" t="s">
        <v>154</v>
      </c>
    </row>
    <row r="1050" customFormat="1" ht="61" spans="1:35">
      <c r="A1050" s="2759"/>
      <c r="B1050" s="3289"/>
      <c r="C1050" s="3140"/>
      <c r="D1050" s="2759"/>
      <c r="E1050" s="2543"/>
      <c r="F1050" s="2543"/>
      <c r="G1050" s="2759"/>
      <c r="H1050" s="2543"/>
      <c r="I1050" s="2759"/>
      <c r="J1050" s="2543"/>
      <c r="K1050" s="3154"/>
      <c r="L1050" s="2759"/>
      <c r="M1050" s="2750">
        <v>2</v>
      </c>
      <c r="N1050" s="3348" t="s">
        <v>5973</v>
      </c>
      <c r="O1050" s="3351">
        <v>0.6</v>
      </c>
      <c r="P1050" s="1856">
        <v>37148.95</v>
      </c>
      <c r="Q1050" s="1856">
        <v>37148.95</v>
      </c>
      <c r="R1050" s="3003" t="s">
        <v>4603</v>
      </c>
      <c r="S1050" s="2718">
        <v>44483</v>
      </c>
      <c r="T1050" s="2750">
        <v>37148.95</v>
      </c>
      <c r="U1050" s="3594">
        <v>44483</v>
      </c>
      <c r="V1050" s="2750">
        <v>37148.95</v>
      </c>
      <c r="W1050" s="3594">
        <v>44489</v>
      </c>
      <c r="X1050" s="1856">
        <v>37148.95</v>
      </c>
      <c r="Y1050" s="2718">
        <v>44515</v>
      </c>
      <c r="Z1050" s="2735"/>
      <c r="AA1050" s="2750"/>
      <c r="AB1050" s="2735"/>
      <c r="AC1050" s="2735"/>
      <c r="AD1050" s="2735"/>
      <c r="AE1050" s="2735"/>
      <c r="AF1050" s="2735"/>
      <c r="AG1050" s="2735"/>
      <c r="AH1050" s="2759"/>
      <c r="AI1050" s="2759"/>
    </row>
    <row r="1051" customFormat="1" ht="46" spans="1:35">
      <c r="A1051" s="3248"/>
      <c r="B1051" s="3290"/>
      <c r="C1051" s="3291"/>
      <c r="D1051" s="3248"/>
      <c r="E1051" s="3319"/>
      <c r="F1051" s="3319"/>
      <c r="G1051" s="3248"/>
      <c r="H1051" s="3319"/>
      <c r="I1051" s="3248"/>
      <c r="J1051" s="3319"/>
      <c r="K1051" s="3171"/>
      <c r="L1051" s="3248"/>
      <c r="M1051" s="2750">
        <v>3</v>
      </c>
      <c r="N1051" s="3348" t="s">
        <v>5888</v>
      </c>
      <c r="O1051" s="3351">
        <v>0.2</v>
      </c>
      <c r="P1051" s="2788">
        <f>K1049*O1051</f>
        <v>12382.986</v>
      </c>
      <c r="Q1051" s="1856">
        <v>12382.99</v>
      </c>
      <c r="R1051" s="3003" t="s">
        <v>4603</v>
      </c>
      <c r="S1051" s="3400">
        <v>45287</v>
      </c>
      <c r="T1051" s="2750"/>
      <c r="U1051" s="2750"/>
      <c r="V1051" s="2750"/>
      <c r="W1051" s="2735"/>
      <c r="X1051" s="3432"/>
      <c r="Y1051" s="2735"/>
      <c r="Z1051" s="2735"/>
      <c r="AA1051" s="2750"/>
      <c r="AB1051" s="2735"/>
      <c r="AC1051" s="2735"/>
      <c r="AD1051" s="2735"/>
      <c r="AE1051" s="2735"/>
      <c r="AF1051" s="2735"/>
      <c r="AG1051" s="2735"/>
      <c r="AH1051" s="3248"/>
      <c r="AI1051" s="3248"/>
    </row>
    <row r="1052" customFormat="1" ht="46" spans="1:35">
      <c r="A1052" s="3119" t="s">
        <v>1003</v>
      </c>
      <c r="B1052" s="3293">
        <v>44347</v>
      </c>
      <c r="C1052" s="3006" t="s">
        <v>5891</v>
      </c>
      <c r="D1052" s="3119"/>
      <c r="E1052" s="3320" t="s">
        <v>5974</v>
      </c>
      <c r="F1052" s="3320" t="s">
        <v>5975</v>
      </c>
      <c r="G1052" s="3119" t="s">
        <v>5025</v>
      </c>
      <c r="H1052" s="3320" t="s">
        <v>4770</v>
      </c>
      <c r="I1052" s="3119"/>
      <c r="J1052" s="3320" t="s">
        <v>5972</v>
      </c>
      <c r="K1052" s="3063">
        <v>35283.57</v>
      </c>
      <c r="L1052" s="3119" t="s">
        <v>126</v>
      </c>
      <c r="M1052" s="3117">
        <v>1</v>
      </c>
      <c r="N1052" s="3352" t="s">
        <v>5886</v>
      </c>
      <c r="O1052" s="3353">
        <v>0.2</v>
      </c>
      <c r="P1052" s="3022">
        <f>K1052*O1052</f>
        <v>7056.714</v>
      </c>
      <c r="Q1052" s="1897">
        <v>7056.71</v>
      </c>
      <c r="R1052" s="3403" t="s">
        <v>4603</v>
      </c>
      <c r="S1052" s="3062">
        <v>44454</v>
      </c>
      <c r="T1052" s="3119">
        <v>28226.86</v>
      </c>
      <c r="U1052" s="3293">
        <v>44454</v>
      </c>
      <c r="V1052" s="3119">
        <v>28226.86</v>
      </c>
      <c r="W1052" s="3596">
        <v>44438</v>
      </c>
      <c r="X1052" s="2111">
        <v>28226.86</v>
      </c>
      <c r="Y1052" s="3062">
        <v>44463</v>
      </c>
      <c r="Z1052" s="3108"/>
      <c r="AA1052" s="3117"/>
      <c r="AB1052" s="3108"/>
      <c r="AC1052" s="3108"/>
      <c r="AD1052" s="3108"/>
      <c r="AE1052" s="3108"/>
      <c r="AF1052" s="3108"/>
      <c r="AG1052" s="3108"/>
      <c r="AH1052" s="3119" t="s">
        <v>197</v>
      </c>
      <c r="AI1052" s="3119" t="s">
        <v>154</v>
      </c>
    </row>
    <row r="1053" customFormat="1" ht="61" spans="1:35">
      <c r="A1053" s="3294"/>
      <c r="B1053" s="3295"/>
      <c r="C1053" s="3296"/>
      <c r="D1053" s="3294"/>
      <c r="E1053" s="3321"/>
      <c r="F1053" s="3321"/>
      <c r="G1053" s="3294"/>
      <c r="H1053" s="3321"/>
      <c r="I1053" s="3294"/>
      <c r="J1053" s="3321"/>
      <c r="K1053" s="3334"/>
      <c r="L1053" s="3294"/>
      <c r="M1053" s="3117">
        <v>2</v>
      </c>
      <c r="N1053" s="3352" t="s">
        <v>5973</v>
      </c>
      <c r="O1053" s="3353">
        <v>0.6</v>
      </c>
      <c r="P1053" s="3022">
        <f>K1052*O1053</f>
        <v>21170.142</v>
      </c>
      <c r="Q1053" s="1897">
        <v>21170.14</v>
      </c>
      <c r="R1053" s="3403" t="s">
        <v>4603</v>
      </c>
      <c r="S1053" s="3062">
        <v>44454</v>
      </c>
      <c r="T1053" s="3297"/>
      <c r="U1053" s="3297"/>
      <c r="V1053" s="3297"/>
      <c r="W1053" s="3597"/>
      <c r="X1053" s="1893"/>
      <c r="Y1053" s="3613"/>
      <c r="Z1053" s="3108"/>
      <c r="AA1053" s="3117"/>
      <c r="AB1053" s="3108"/>
      <c r="AC1053" s="3108"/>
      <c r="AD1053" s="3108"/>
      <c r="AE1053" s="3108"/>
      <c r="AF1053" s="3108"/>
      <c r="AG1053" s="3108"/>
      <c r="AH1053" s="3294"/>
      <c r="AI1053" s="3294"/>
    </row>
    <row r="1054" customFormat="1" ht="46" spans="1:35">
      <c r="A1054" s="3297"/>
      <c r="B1054" s="3298"/>
      <c r="C1054" s="3299"/>
      <c r="D1054" s="3297"/>
      <c r="E1054" s="3322"/>
      <c r="F1054" s="3322"/>
      <c r="G1054" s="3297"/>
      <c r="H1054" s="3322"/>
      <c r="I1054" s="3297"/>
      <c r="J1054" s="3322"/>
      <c r="K1054" s="3335"/>
      <c r="L1054" s="3297"/>
      <c r="M1054" s="3117">
        <v>3</v>
      </c>
      <c r="N1054" s="3352" t="s">
        <v>5888</v>
      </c>
      <c r="O1054" s="3353">
        <v>0.2</v>
      </c>
      <c r="P1054" s="3022">
        <f>K1052*O1054</f>
        <v>7056.714</v>
      </c>
      <c r="Q1054" s="1897">
        <v>6210.62</v>
      </c>
      <c r="R1054" s="1825" t="s">
        <v>4603</v>
      </c>
      <c r="S1054" s="3404">
        <v>45112</v>
      </c>
      <c r="T1054" s="3117">
        <v>6210.62</v>
      </c>
      <c r="U1054" s="3433">
        <v>45112</v>
      </c>
      <c r="V1054" s="3117">
        <v>6210.62</v>
      </c>
      <c r="W1054" s="3595">
        <v>45124</v>
      </c>
      <c r="X1054" s="3022">
        <v>6210.62</v>
      </c>
      <c r="Y1054" s="3595">
        <v>45163</v>
      </c>
      <c r="Z1054" s="3108"/>
      <c r="AA1054" s="3117"/>
      <c r="AB1054" s="3108"/>
      <c r="AC1054" s="3108"/>
      <c r="AD1054" s="3108"/>
      <c r="AE1054" s="3108"/>
      <c r="AF1054" s="3108"/>
      <c r="AG1054" s="3108"/>
      <c r="AH1054" s="3297"/>
      <c r="AI1054" s="3297"/>
    </row>
    <row r="1055" customFormat="1" ht="46" spans="1:35">
      <c r="A1055" s="2752" t="s">
        <v>1003</v>
      </c>
      <c r="B1055" s="3287">
        <v>44403</v>
      </c>
      <c r="C1055" s="1261" t="s">
        <v>5976</v>
      </c>
      <c r="D1055" s="2752"/>
      <c r="E1055" s="2541" t="s">
        <v>5977</v>
      </c>
      <c r="F1055" s="728" t="s">
        <v>5978</v>
      </c>
      <c r="G1055" s="2752" t="s">
        <v>3473</v>
      </c>
      <c r="H1055" s="2541" t="s">
        <v>5254</v>
      </c>
      <c r="I1055" s="2752"/>
      <c r="J1055" s="2541" t="s">
        <v>997</v>
      </c>
      <c r="K1055" s="2686">
        <v>128000</v>
      </c>
      <c r="L1055" s="2752" t="s">
        <v>126</v>
      </c>
      <c r="M1055" s="2750">
        <v>1</v>
      </c>
      <c r="N1055" s="3543" t="s">
        <v>5886</v>
      </c>
      <c r="O1055" s="3351">
        <v>0.2</v>
      </c>
      <c r="P1055" s="2788">
        <f>K1055*O1055</f>
        <v>25600</v>
      </c>
      <c r="Q1055" s="1856">
        <v>25600</v>
      </c>
      <c r="R1055" s="393" t="s">
        <v>4603</v>
      </c>
      <c r="S1055" s="2718">
        <v>44557</v>
      </c>
      <c r="T1055" s="2750">
        <v>25600</v>
      </c>
      <c r="U1055" s="3594">
        <v>44557</v>
      </c>
      <c r="V1055" s="2750">
        <v>25600</v>
      </c>
      <c r="W1055" s="3431">
        <v>44574</v>
      </c>
      <c r="X1055" s="1856">
        <v>25600</v>
      </c>
      <c r="Y1055" s="2718">
        <v>44617</v>
      </c>
      <c r="Z1055" s="2735"/>
      <c r="AA1055" s="2750"/>
      <c r="AB1055" s="2735"/>
      <c r="AC1055" s="2735"/>
      <c r="AD1055" s="2735"/>
      <c r="AE1055" s="2735"/>
      <c r="AF1055" s="2735"/>
      <c r="AG1055" s="2735"/>
      <c r="AH1055" s="2752" t="s">
        <v>197</v>
      </c>
      <c r="AI1055" s="2752" t="s">
        <v>154</v>
      </c>
    </row>
    <row r="1056" customFormat="1" ht="61" spans="1:35">
      <c r="A1056" s="2759"/>
      <c r="B1056" s="3289"/>
      <c r="C1056" s="3140"/>
      <c r="D1056" s="2759"/>
      <c r="E1056" s="2543"/>
      <c r="F1056" s="2543"/>
      <c r="G1056" s="2759"/>
      <c r="H1056" s="2543"/>
      <c r="I1056" s="2759"/>
      <c r="J1056" s="2543"/>
      <c r="K1056" s="3154"/>
      <c r="L1056" s="2759"/>
      <c r="M1056" s="2750">
        <v>2</v>
      </c>
      <c r="N1056" s="3543" t="s">
        <v>5979</v>
      </c>
      <c r="O1056" s="3351">
        <v>0.6</v>
      </c>
      <c r="P1056" s="2788">
        <f>K1055*O1056</f>
        <v>76800</v>
      </c>
      <c r="Q1056" s="2683"/>
      <c r="R1056" s="3579"/>
      <c r="S1056" s="3395"/>
      <c r="T1056" s="2750"/>
      <c r="U1056" s="2750"/>
      <c r="V1056" s="2750"/>
      <c r="W1056" s="2735"/>
      <c r="X1056" s="2683"/>
      <c r="Y1056" s="3395"/>
      <c r="Z1056" s="2735"/>
      <c r="AA1056" s="2750"/>
      <c r="AB1056" s="2735"/>
      <c r="AC1056" s="2735"/>
      <c r="AD1056" s="2735"/>
      <c r="AE1056" s="2735"/>
      <c r="AF1056" s="2735"/>
      <c r="AG1056" s="2735"/>
      <c r="AH1056" s="2759"/>
      <c r="AI1056" s="2759"/>
    </row>
    <row r="1057" customFormat="1" ht="46" spans="1:35">
      <c r="A1057" s="3248"/>
      <c r="B1057" s="3290"/>
      <c r="C1057" s="3291"/>
      <c r="D1057" s="3248"/>
      <c r="E1057" s="3319"/>
      <c r="F1057" s="3319"/>
      <c r="G1057" s="3248"/>
      <c r="H1057" s="3319"/>
      <c r="I1057" s="3248"/>
      <c r="J1057" s="3319"/>
      <c r="K1057" s="3171"/>
      <c r="L1057" s="3248"/>
      <c r="M1057" s="2750">
        <v>3</v>
      </c>
      <c r="N1057" s="3543" t="s">
        <v>5888</v>
      </c>
      <c r="O1057" s="3351">
        <v>0.2</v>
      </c>
      <c r="P1057" s="2788">
        <f>K1055*O1057</f>
        <v>25600</v>
      </c>
      <c r="Q1057" s="2683"/>
      <c r="R1057" s="3579"/>
      <c r="S1057" s="2750"/>
      <c r="T1057" s="2750"/>
      <c r="U1057" s="2750"/>
      <c r="V1057" s="2750"/>
      <c r="W1057" s="2735"/>
      <c r="X1057" s="3432"/>
      <c r="Y1057" s="2735"/>
      <c r="Z1057" s="2735"/>
      <c r="AA1057" s="2750"/>
      <c r="AB1057" s="2735"/>
      <c r="AC1057" s="2735"/>
      <c r="AD1057" s="2735"/>
      <c r="AE1057" s="2735"/>
      <c r="AF1057" s="2735"/>
      <c r="AG1057" s="2735"/>
      <c r="AH1057" s="3248"/>
      <c r="AI1057" s="3248"/>
    </row>
    <row r="1058" customFormat="1" ht="27" customHeight="1" spans="1:35">
      <c r="A1058" s="3119" t="s">
        <v>1003</v>
      </c>
      <c r="B1058" s="3293">
        <v>44403</v>
      </c>
      <c r="C1058" s="3006" t="s">
        <v>5891</v>
      </c>
      <c r="D1058" s="3119"/>
      <c r="E1058" s="3320" t="s">
        <v>5980</v>
      </c>
      <c r="F1058" s="2109" t="s">
        <v>5981</v>
      </c>
      <c r="G1058" s="3119" t="s">
        <v>3473</v>
      </c>
      <c r="H1058" s="3320" t="s">
        <v>5254</v>
      </c>
      <c r="I1058" s="3119"/>
      <c r="J1058" s="3320" t="s">
        <v>997</v>
      </c>
      <c r="K1058" s="3063">
        <v>58000</v>
      </c>
      <c r="L1058" s="3119" t="s">
        <v>126</v>
      </c>
      <c r="M1058" s="3117">
        <v>1</v>
      </c>
      <c r="N1058" s="3352" t="s">
        <v>5886</v>
      </c>
      <c r="O1058" s="3353">
        <v>0.2</v>
      </c>
      <c r="P1058" s="3022">
        <f>K1058*O1058</f>
        <v>11600</v>
      </c>
      <c r="Q1058" s="1897">
        <v>11600</v>
      </c>
      <c r="R1058" s="1825" t="s">
        <v>4603</v>
      </c>
      <c r="S1058" s="3404">
        <v>44484</v>
      </c>
      <c r="T1058" s="3403">
        <v>11600</v>
      </c>
      <c r="U1058" s="3404">
        <v>44484</v>
      </c>
      <c r="V1058" s="3403">
        <v>11600</v>
      </c>
      <c r="W1058" s="3595">
        <v>44485</v>
      </c>
      <c r="X1058" s="1897">
        <v>11600</v>
      </c>
      <c r="Y1058" s="3404">
        <v>44515</v>
      </c>
      <c r="Z1058" s="3108"/>
      <c r="AA1058" s="3117"/>
      <c r="AB1058" s="3108"/>
      <c r="AC1058" s="3108"/>
      <c r="AD1058" s="3108"/>
      <c r="AE1058" s="3108"/>
      <c r="AF1058" s="3108"/>
      <c r="AG1058" s="3108"/>
      <c r="AH1058" s="3119" t="s">
        <v>197</v>
      </c>
      <c r="AI1058" s="3119" t="s">
        <v>154</v>
      </c>
    </row>
    <row r="1059" customFormat="1" ht="27" customHeight="1" spans="1:35">
      <c r="A1059" s="3294"/>
      <c r="B1059" s="3295"/>
      <c r="C1059" s="3296"/>
      <c r="D1059" s="3294"/>
      <c r="E1059" s="3321"/>
      <c r="F1059" s="3321"/>
      <c r="G1059" s="3294"/>
      <c r="H1059" s="3321"/>
      <c r="I1059" s="3294"/>
      <c r="J1059" s="3321"/>
      <c r="K1059" s="3334"/>
      <c r="L1059" s="3294"/>
      <c r="M1059" s="3117">
        <v>2</v>
      </c>
      <c r="N1059" s="3352" t="s">
        <v>5979</v>
      </c>
      <c r="O1059" s="3353">
        <v>0.6</v>
      </c>
      <c r="P1059" s="3022">
        <f>K1058*O1059</f>
        <v>34800</v>
      </c>
      <c r="Q1059" s="1897">
        <v>34800</v>
      </c>
      <c r="R1059" s="1825" t="s">
        <v>4603</v>
      </c>
      <c r="S1059" s="3404">
        <v>44484</v>
      </c>
      <c r="T1059" s="3403">
        <v>34800</v>
      </c>
      <c r="U1059" s="3404">
        <v>44484</v>
      </c>
      <c r="V1059" s="3403">
        <v>34800</v>
      </c>
      <c r="W1059" s="3595">
        <v>44485</v>
      </c>
      <c r="X1059" s="1897">
        <v>34800</v>
      </c>
      <c r="Y1059" s="3404">
        <v>44515</v>
      </c>
      <c r="Z1059" s="3108"/>
      <c r="AA1059" s="3117"/>
      <c r="AB1059" s="3108"/>
      <c r="AC1059" s="3108"/>
      <c r="AD1059" s="3108"/>
      <c r="AE1059" s="3108"/>
      <c r="AF1059" s="3108"/>
      <c r="AG1059" s="3108"/>
      <c r="AH1059" s="3294"/>
      <c r="AI1059" s="3294"/>
    </row>
    <row r="1060" customFormat="1" ht="27" customHeight="1" spans="1:35">
      <c r="A1060" s="3297"/>
      <c r="B1060" s="3298"/>
      <c r="C1060" s="3299"/>
      <c r="D1060" s="3297"/>
      <c r="E1060" s="3322"/>
      <c r="F1060" s="3322"/>
      <c r="G1060" s="3297"/>
      <c r="H1060" s="3322"/>
      <c r="I1060" s="3297"/>
      <c r="J1060" s="3322"/>
      <c r="K1060" s="3335"/>
      <c r="L1060" s="3297"/>
      <c r="M1060" s="3117">
        <v>3</v>
      </c>
      <c r="N1060" s="3352" t="s">
        <v>5888</v>
      </c>
      <c r="O1060" s="3353">
        <v>0.2</v>
      </c>
      <c r="P1060" s="3022">
        <f>K1058*O1060</f>
        <v>11600</v>
      </c>
      <c r="Q1060" s="1897">
        <v>11600</v>
      </c>
      <c r="R1060" s="1825" t="s">
        <v>4603</v>
      </c>
      <c r="S1060" s="3404">
        <v>45080</v>
      </c>
      <c r="T1060" s="3403">
        <v>11600</v>
      </c>
      <c r="U1060" s="3404">
        <v>45080</v>
      </c>
      <c r="V1060" s="3403">
        <v>11600</v>
      </c>
      <c r="W1060" s="3404">
        <v>45078</v>
      </c>
      <c r="X1060" s="1897">
        <v>11600</v>
      </c>
      <c r="Y1060" s="3595">
        <v>45090</v>
      </c>
      <c r="Z1060" s="3108"/>
      <c r="AA1060" s="3117"/>
      <c r="AB1060" s="3108"/>
      <c r="AC1060" s="3108"/>
      <c r="AD1060" s="3108"/>
      <c r="AE1060" s="3108"/>
      <c r="AF1060" s="3108"/>
      <c r="AG1060" s="3108"/>
      <c r="AH1060" s="3297"/>
      <c r="AI1060" s="3297"/>
    </row>
    <row r="1061" s="25" customFormat="1" ht="76" spans="1:35">
      <c r="A1061" s="3125" t="s">
        <v>1003</v>
      </c>
      <c r="B1061" s="3481">
        <v>44354</v>
      </c>
      <c r="C1061" s="3482" t="s">
        <v>5856</v>
      </c>
      <c r="D1061" s="3127"/>
      <c r="E1061" s="3513" t="s">
        <v>5982</v>
      </c>
      <c r="F1061" s="3514" t="s">
        <v>5983</v>
      </c>
      <c r="G1061" s="3127" t="s">
        <v>3469</v>
      </c>
      <c r="H1061" s="3514" t="s">
        <v>5984</v>
      </c>
      <c r="I1061" s="3125">
        <v>105995.01</v>
      </c>
      <c r="J1061" s="3127" t="s">
        <v>5255</v>
      </c>
      <c r="K1061" s="3077">
        <v>264987.53</v>
      </c>
      <c r="L1061" s="3127" t="s">
        <v>126</v>
      </c>
      <c r="M1061" s="3125">
        <v>1</v>
      </c>
      <c r="N1061" s="3543" t="s">
        <v>5985</v>
      </c>
      <c r="O1061" s="1322">
        <v>0.2</v>
      </c>
      <c r="P1061" s="3125">
        <v>52997.51</v>
      </c>
      <c r="Q1061" s="3071">
        <v>52997.51</v>
      </c>
      <c r="R1061" s="1288" t="s">
        <v>4603</v>
      </c>
      <c r="S1061" s="3079">
        <v>44531</v>
      </c>
      <c r="T1061" s="3125">
        <v>52997.51</v>
      </c>
      <c r="U1061" s="3598">
        <v>44529</v>
      </c>
      <c r="V1061" s="3125">
        <v>52997.5</v>
      </c>
      <c r="W1061" s="3599">
        <v>44566</v>
      </c>
      <c r="X1061" s="3071">
        <v>52997.5</v>
      </c>
      <c r="Y1061" s="3614">
        <v>44609</v>
      </c>
      <c r="Z1061" s="3112"/>
      <c r="AA1061" s="3125"/>
      <c r="AB1061" s="3112"/>
      <c r="AC1061" s="3112"/>
      <c r="AD1061" s="3112"/>
      <c r="AE1061" s="3112"/>
      <c r="AF1061" s="3112"/>
      <c r="AG1061" s="3112"/>
      <c r="AH1061" s="1242" t="s">
        <v>197</v>
      </c>
      <c r="AI1061" s="1242" t="s">
        <v>154</v>
      </c>
    </row>
    <row r="1062" s="25" customFormat="1" ht="92" spans="1:35">
      <c r="A1062" s="3125"/>
      <c r="B1062" s="3483"/>
      <c r="C1062" s="3484"/>
      <c r="D1062" s="3485"/>
      <c r="E1062" s="3513" t="s">
        <v>5986</v>
      </c>
      <c r="F1062" s="3515"/>
      <c r="G1062" s="3485"/>
      <c r="H1062" s="3515"/>
      <c r="I1062" s="3125"/>
      <c r="J1062" s="3485"/>
      <c r="K1062" s="3077"/>
      <c r="L1062" s="3485"/>
      <c r="M1062" s="3125">
        <v>2</v>
      </c>
      <c r="N1062" s="3543" t="s">
        <v>5987</v>
      </c>
      <c r="O1062" s="1322">
        <v>0.6</v>
      </c>
      <c r="P1062" s="3125">
        <v>158992.52</v>
      </c>
      <c r="Q1062" s="3071">
        <v>158992.52</v>
      </c>
      <c r="R1062" s="1288" t="s">
        <v>4603</v>
      </c>
      <c r="S1062" s="3079">
        <v>44557</v>
      </c>
      <c r="T1062" s="3580">
        <v>158992.52</v>
      </c>
      <c r="U1062" s="3600">
        <v>44552</v>
      </c>
      <c r="V1062" s="3580">
        <v>158992.52</v>
      </c>
      <c r="W1062" s="3599">
        <v>44673</v>
      </c>
      <c r="X1062" s="3071">
        <v>158992.52</v>
      </c>
      <c r="Y1062" s="3079">
        <v>44708</v>
      </c>
      <c r="Z1062" s="3112"/>
      <c r="AA1062" s="3125"/>
      <c r="AB1062" s="3112"/>
      <c r="AC1062" s="3112"/>
      <c r="AD1062" s="3112"/>
      <c r="AE1062" s="3112"/>
      <c r="AF1062" s="3112"/>
      <c r="AG1062" s="3112"/>
      <c r="AH1062" s="1242" t="s">
        <v>197</v>
      </c>
      <c r="AI1062" s="1242" t="s">
        <v>154</v>
      </c>
    </row>
    <row r="1063" s="25" customFormat="1" ht="29.25" customHeight="1" spans="1:35">
      <c r="A1063" s="3125"/>
      <c r="B1063" s="3483"/>
      <c r="C1063" s="3484"/>
      <c r="D1063" s="3485"/>
      <c r="E1063" s="3513"/>
      <c r="F1063" s="3515"/>
      <c r="G1063" s="3485"/>
      <c r="H1063" s="3515"/>
      <c r="I1063" s="3125"/>
      <c r="J1063" s="3485"/>
      <c r="K1063" s="3077"/>
      <c r="L1063" s="3485"/>
      <c r="M1063" s="3127">
        <v>3</v>
      </c>
      <c r="N1063" s="3544" t="s">
        <v>5988</v>
      </c>
      <c r="O1063" s="3545">
        <v>0.2</v>
      </c>
      <c r="P1063" s="3546">
        <v>52997.5</v>
      </c>
      <c r="Q1063" s="3071">
        <v>46159.6</v>
      </c>
      <c r="R1063" s="1238" t="s">
        <v>4603</v>
      </c>
      <c r="S1063" s="3400">
        <v>45287</v>
      </c>
      <c r="T1063" s="3580"/>
      <c r="U1063" s="3600"/>
      <c r="V1063" s="3580"/>
      <c r="W1063" s="3599"/>
      <c r="X1063" s="3071"/>
      <c r="Y1063" s="3072"/>
      <c r="Z1063" s="3112"/>
      <c r="AA1063" s="3125"/>
      <c r="AB1063" s="3112"/>
      <c r="AC1063" s="3112"/>
      <c r="AD1063" s="3112"/>
      <c r="AE1063" s="3112"/>
      <c r="AF1063" s="3112"/>
      <c r="AG1063" s="3112"/>
      <c r="AH1063" s="1242"/>
      <c r="AI1063" s="1242"/>
    </row>
    <row r="1064" s="25" customFormat="1" ht="29.25" customHeight="1" spans="1:35">
      <c r="A1064" s="3125"/>
      <c r="B1064" s="3486"/>
      <c r="C1064" s="3487"/>
      <c r="D1064" s="3123"/>
      <c r="E1064" s="3516"/>
      <c r="F1064" s="3517"/>
      <c r="G1064" s="3123"/>
      <c r="H1064" s="3517"/>
      <c r="I1064" s="3125"/>
      <c r="J1064" s="3123"/>
      <c r="K1064" s="3077"/>
      <c r="L1064" s="3123"/>
      <c r="M1064" s="3123"/>
      <c r="N1064" s="3547"/>
      <c r="O1064" s="3548"/>
      <c r="P1064" s="3546"/>
      <c r="Q1064" s="3071">
        <f>P1063-Q1063</f>
        <v>6837.9</v>
      </c>
      <c r="R1064" s="1238"/>
      <c r="S1064" s="3400"/>
      <c r="T1064" s="3112"/>
      <c r="U1064" s="3125"/>
      <c r="V1064" s="3125"/>
      <c r="W1064" s="3112"/>
      <c r="X1064" s="3601"/>
      <c r="Y1064" s="3112"/>
      <c r="Z1064" s="3112"/>
      <c r="AA1064" s="3125"/>
      <c r="AB1064" s="3112"/>
      <c r="AC1064" s="3112"/>
      <c r="AD1064" s="3112"/>
      <c r="AE1064" s="3112"/>
      <c r="AF1064" s="3112"/>
      <c r="AG1064" s="3112"/>
      <c r="AH1064" s="1242" t="s">
        <v>197</v>
      </c>
      <c r="AI1064" s="1242" t="s">
        <v>154</v>
      </c>
    </row>
    <row r="1065" s="26" customFormat="1" ht="27.75" customHeight="1" spans="1:35">
      <c r="A1065" s="3117" t="s">
        <v>1003</v>
      </c>
      <c r="B1065" s="3488">
        <v>44354</v>
      </c>
      <c r="C1065" s="3489" t="s">
        <v>5891</v>
      </c>
      <c r="D1065" s="3490"/>
      <c r="E1065" s="3490" t="s">
        <v>5989</v>
      </c>
      <c r="F1065" s="3490" t="s">
        <v>5990</v>
      </c>
      <c r="G1065" s="3518" t="s">
        <v>3469</v>
      </c>
      <c r="H1065" s="3490" t="s">
        <v>5984</v>
      </c>
      <c r="I1065" s="3518">
        <v>26546.33</v>
      </c>
      <c r="J1065" s="3518" t="s">
        <v>5255</v>
      </c>
      <c r="K1065" s="3526">
        <v>79638.99</v>
      </c>
      <c r="L1065" s="3518" t="s">
        <v>126</v>
      </c>
      <c r="M1065" s="3549">
        <v>1</v>
      </c>
      <c r="N1065" s="3352" t="s">
        <v>5985</v>
      </c>
      <c r="O1065" s="3550">
        <v>0.2</v>
      </c>
      <c r="P1065" s="3551">
        <v>15927.79</v>
      </c>
      <c r="Q1065" s="2151">
        <v>15927.79</v>
      </c>
      <c r="R1065" s="1825" t="s">
        <v>4603</v>
      </c>
      <c r="S1065" s="1791">
        <v>44531</v>
      </c>
      <c r="T1065" s="1825">
        <v>15927.79</v>
      </c>
      <c r="U1065" s="1791">
        <v>44529</v>
      </c>
      <c r="V1065" s="1825">
        <v>63711.19</v>
      </c>
      <c r="W1065" s="3602">
        <v>44566</v>
      </c>
      <c r="X1065" s="2151">
        <v>63711.19</v>
      </c>
      <c r="Y1065" s="1791">
        <v>44609.17</v>
      </c>
      <c r="Z1065" s="2194"/>
      <c r="AA1065" s="1790"/>
      <c r="AB1065" s="1790"/>
      <c r="AC1065" s="1790"/>
      <c r="AD1065" s="1790"/>
      <c r="AE1065" s="1790"/>
      <c r="AF1065" s="1790"/>
      <c r="AG1065" s="1790"/>
      <c r="AH1065" s="1790" t="s">
        <v>197</v>
      </c>
      <c r="AI1065" s="1790" t="s">
        <v>154</v>
      </c>
    </row>
    <row r="1066" s="26" customFormat="1" ht="27.75" customHeight="1" spans="1:35">
      <c r="A1066" s="3117"/>
      <c r="B1066" s="3491"/>
      <c r="C1066" s="3492"/>
      <c r="D1066" s="3493"/>
      <c r="E1066" s="3493"/>
      <c r="F1066" s="3493"/>
      <c r="G1066" s="3519"/>
      <c r="H1066" s="3493"/>
      <c r="I1066" s="3519"/>
      <c r="J1066" s="3519"/>
      <c r="K1066" s="3527"/>
      <c r="L1066" s="3519"/>
      <c r="M1066" s="3549">
        <v>2</v>
      </c>
      <c r="N1066" s="3352" t="s">
        <v>5987</v>
      </c>
      <c r="O1066" s="3550">
        <v>0.6</v>
      </c>
      <c r="P1066" s="3551">
        <v>47783.39</v>
      </c>
      <c r="Q1066" s="2151">
        <v>47783.39</v>
      </c>
      <c r="R1066" s="1825" t="s">
        <v>4603</v>
      </c>
      <c r="S1066" s="1791">
        <v>44531</v>
      </c>
      <c r="T1066" s="1825">
        <v>47783.39</v>
      </c>
      <c r="U1066" s="1791">
        <v>44529</v>
      </c>
      <c r="V1066" s="1825"/>
      <c r="W1066" s="3602"/>
      <c r="X1066" s="2151"/>
      <c r="Y1066" s="3059"/>
      <c r="Z1066" s="2194"/>
      <c r="AA1066" s="1790"/>
      <c r="AB1066" s="1790"/>
      <c r="AC1066" s="1790"/>
      <c r="AD1066" s="1790"/>
      <c r="AE1066" s="1790"/>
      <c r="AF1066" s="1790"/>
      <c r="AG1066" s="1790"/>
      <c r="AH1066" s="1790" t="s">
        <v>197</v>
      </c>
      <c r="AI1066" s="1790" t="s">
        <v>154</v>
      </c>
    </row>
    <row r="1067" s="26" customFormat="1" ht="27.75" customHeight="1" spans="1:35">
      <c r="A1067" s="3117"/>
      <c r="B1067" s="3494"/>
      <c r="C1067" s="3495"/>
      <c r="D1067" s="3496"/>
      <c r="E1067" s="3496"/>
      <c r="F1067" s="3520"/>
      <c r="G1067" s="3521"/>
      <c r="H1067" s="3496"/>
      <c r="I1067" s="3521"/>
      <c r="J1067" s="3528"/>
      <c r="K1067" s="3529"/>
      <c r="L1067" s="3528"/>
      <c r="M1067" s="3552">
        <v>3</v>
      </c>
      <c r="N1067" s="3352" t="s">
        <v>5988</v>
      </c>
      <c r="O1067" s="3353">
        <v>0.2</v>
      </c>
      <c r="P1067" s="3553">
        <v>15927.79</v>
      </c>
      <c r="Q1067" s="1897">
        <v>15509.21</v>
      </c>
      <c r="R1067" s="1825" t="s">
        <v>4603</v>
      </c>
      <c r="S1067" s="3404">
        <v>45079</v>
      </c>
      <c r="T1067" s="3403">
        <v>15509.21</v>
      </c>
      <c r="U1067" s="3404">
        <v>45079</v>
      </c>
      <c r="V1067" s="3403">
        <v>15509.21</v>
      </c>
      <c r="W1067" s="3404">
        <v>45079</v>
      </c>
      <c r="X1067" s="1897">
        <v>15509.21</v>
      </c>
      <c r="Y1067" s="3595">
        <v>45090</v>
      </c>
      <c r="Z1067" s="3108"/>
      <c r="AA1067" s="3117"/>
      <c r="AB1067" s="3108"/>
      <c r="AC1067" s="3108"/>
      <c r="AD1067" s="3108"/>
      <c r="AE1067" s="3108"/>
      <c r="AF1067" s="3108"/>
      <c r="AG1067" s="3108"/>
      <c r="AH1067" s="1790" t="s">
        <v>197</v>
      </c>
      <c r="AI1067" s="1790" t="s">
        <v>154</v>
      </c>
    </row>
    <row r="1068" s="26" customFormat="1" ht="27.75" customHeight="1" spans="1:35">
      <c r="A1068" s="3119" t="s">
        <v>1003</v>
      </c>
      <c r="B1068" s="3491">
        <v>44440</v>
      </c>
      <c r="C1068" s="3497" t="s">
        <v>5891</v>
      </c>
      <c r="D1068" s="3493"/>
      <c r="E1068" s="3493" t="s">
        <v>5991</v>
      </c>
      <c r="F1068" s="3493" t="s">
        <v>5992</v>
      </c>
      <c r="G1068" s="3519" t="s">
        <v>3477</v>
      </c>
      <c r="H1068" s="3493" t="s">
        <v>5993</v>
      </c>
      <c r="I1068" s="3519"/>
      <c r="J1068" s="3519" t="s">
        <v>997</v>
      </c>
      <c r="K1068" s="3526">
        <v>50000</v>
      </c>
      <c r="L1068" s="3519" t="s">
        <v>126</v>
      </c>
      <c r="M1068" s="3549">
        <v>1</v>
      </c>
      <c r="N1068" s="3352" t="s">
        <v>5994</v>
      </c>
      <c r="O1068" s="3550">
        <v>0.2</v>
      </c>
      <c r="P1068" s="3551">
        <v>10000</v>
      </c>
      <c r="Q1068" s="2151">
        <v>10000</v>
      </c>
      <c r="R1068" s="1825" t="s">
        <v>4603</v>
      </c>
      <c r="S1068" s="1791">
        <v>44560</v>
      </c>
      <c r="T1068" s="1825">
        <v>10000</v>
      </c>
      <c r="U1068" s="1791">
        <v>44553</v>
      </c>
      <c r="V1068" s="1825">
        <v>10000</v>
      </c>
      <c r="W1068" s="3602">
        <v>44573</v>
      </c>
      <c r="X1068" s="2151">
        <v>10000</v>
      </c>
      <c r="Y1068" s="2397">
        <v>44609</v>
      </c>
      <c r="Z1068" s="2158"/>
      <c r="AA1068" s="1790"/>
      <c r="AB1068" s="1790"/>
      <c r="AC1068" s="1790"/>
      <c r="AD1068" s="1790"/>
      <c r="AE1068" s="1790"/>
      <c r="AF1068" s="1790"/>
      <c r="AG1068" s="1790"/>
      <c r="AH1068" s="1790" t="s">
        <v>197</v>
      </c>
      <c r="AI1068" s="1790" t="s">
        <v>154</v>
      </c>
    </row>
    <row r="1069" s="26" customFormat="1" ht="27.75" customHeight="1" spans="1:35">
      <c r="A1069" s="3294"/>
      <c r="B1069" s="3491"/>
      <c r="C1069" s="3492"/>
      <c r="D1069" s="3493"/>
      <c r="E1069" s="3493"/>
      <c r="F1069" s="3493"/>
      <c r="G1069" s="3519"/>
      <c r="H1069" s="3493"/>
      <c r="I1069" s="3519"/>
      <c r="J1069" s="3519"/>
      <c r="K1069" s="3527"/>
      <c r="L1069" s="3519"/>
      <c r="M1069" s="3549">
        <v>2</v>
      </c>
      <c r="N1069" s="3352" t="s">
        <v>5995</v>
      </c>
      <c r="O1069" s="3550">
        <v>0.75</v>
      </c>
      <c r="P1069" s="3551">
        <v>37500</v>
      </c>
      <c r="Q1069" s="2151">
        <v>37500</v>
      </c>
      <c r="R1069" s="1825" t="s">
        <v>4603</v>
      </c>
      <c r="S1069" s="1791">
        <v>44897</v>
      </c>
      <c r="T1069" s="1825">
        <v>37500</v>
      </c>
      <c r="U1069" s="1791">
        <v>44897</v>
      </c>
      <c r="V1069" s="1825">
        <v>37500</v>
      </c>
      <c r="W1069" s="3602">
        <v>44890</v>
      </c>
      <c r="X1069" s="2151">
        <v>37500</v>
      </c>
      <c r="Y1069" s="1791">
        <v>44916</v>
      </c>
      <c r="Z1069" s="2158"/>
      <c r="AA1069" s="1790"/>
      <c r="AB1069" s="1790"/>
      <c r="AC1069" s="1790"/>
      <c r="AD1069" s="1790"/>
      <c r="AE1069" s="1790"/>
      <c r="AF1069" s="1790"/>
      <c r="AG1069" s="1790"/>
      <c r="AH1069" s="1790" t="s">
        <v>197</v>
      </c>
      <c r="AI1069" s="1790" t="s">
        <v>154</v>
      </c>
    </row>
    <row r="1070" s="26" customFormat="1" ht="27.75" customHeight="1" spans="1:35">
      <c r="A1070" s="3294"/>
      <c r="B1070" s="3491"/>
      <c r="C1070" s="3492"/>
      <c r="D1070" s="3493"/>
      <c r="E1070" s="3493"/>
      <c r="F1070" s="3493"/>
      <c r="G1070" s="3519"/>
      <c r="H1070" s="3493"/>
      <c r="I1070" s="3519"/>
      <c r="J1070" s="3519"/>
      <c r="K1070" s="3527"/>
      <c r="L1070" s="3519"/>
      <c r="M1070" s="3549">
        <v>3</v>
      </c>
      <c r="N1070" s="3352" t="s">
        <v>5996</v>
      </c>
      <c r="O1070" s="3550">
        <v>0.05</v>
      </c>
      <c r="P1070" s="3551">
        <v>2500</v>
      </c>
      <c r="Q1070" s="2151">
        <v>2500</v>
      </c>
      <c r="R1070" s="1825" t="s">
        <v>4603</v>
      </c>
      <c r="S1070" s="3404">
        <v>45079</v>
      </c>
      <c r="T1070" s="1825">
        <v>2500</v>
      </c>
      <c r="U1070" s="3404">
        <v>45079</v>
      </c>
      <c r="V1070" s="1825">
        <v>2500</v>
      </c>
      <c r="W1070" s="3404">
        <v>45082</v>
      </c>
      <c r="X1070" s="2151">
        <v>2500</v>
      </c>
      <c r="Y1070" s="3595">
        <v>45090</v>
      </c>
      <c r="Z1070" s="2158"/>
      <c r="AA1070" s="1790"/>
      <c r="AB1070" s="1790"/>
      <c r="AC1070" s="1790"/>
      <c r="AD1070" s="1790"/>
      <c r="AE1070" s="1790"/>
      <c r="AF1070" s="1790"/>
      <c r="AG1070" s="1790"/>
      <c r="AH1070" s="1790" t="s">
        <v>197</v>
      </c>
      <c r="AI1070" s="1790" t="s">
        <v>154</v>
      </c>
    </row>
    <row r="1071" s="1" customFormat="1" ht="76" spans="1:35">
      <c r="A1071" s="3476" t="s">
        <v>173</v>
      </c>
      <c r="B1071" s="3498">
        <v>44392</v>
      </c>
      <c r="C1071" s="649" t="s">
        <v>5997</v>
      </c>
      <c r="D1071" s="2289"/>
      <c r="E1071" s="2289" t="s">
        <v>1195</v>
      </c>
      <c r="F1071" s="1096" t="s">
        <v>5998</v>
      </c>
      <c r="G1071" s="3510" t="s">
        <v>193</v>
      </c>
      <c r="H1071" s="2289" t="s">
        <v>4716</v>
      </c>
      <c r="I1071" s="3510">
        <v>33112.9</v>
      </c>
      <c r="J1071" s="3510" t="s">
        <v>5255</v>
      </c>
      <c r="K1071" s="3524">
        <v>115800</v>
      </c>
      <c r="L1071" s="3476" t="s">
        <v>32</v>
      </c>
      <c r="M1071" s="3476">
        <v>1</v>
      </c>
      <c r="N1071" s="2618" t="s">
        <v>1199</v>
      </c>
      <c r="O1071" s="3554">
        <v>0.4</v>
      </c>
      <c r="P1071" s="3555">
        <v>46320</v>
      </c>
      <c r="Q1071" s="3581">
        <v>45420.58</v>
      </c>
      <c r="R1071" s="128" t="s">
        <v>4603</v>
      </c>
      <c r="S1071" s="858">
        <v>44550</v>
      </c>
      <c r="T1071" s="3581">
        <v>45420.58</v>
      </c>
      <c r="U1071" s="3591">
        <v>44553</v>
      </c>
      <c r="V1071" s="3581">
        <v>45420.58</v>
      </c>
      <c r="W1071" s="3593">
        <v>44533</v>
      </c>
      <c r="X1071" s="3581">
        <v>45420.58</v>
      </c>
      <c r="Y1071" s="3615">
        <v>44533</v>
      </c>
      <c r="Z1071" s="3581">
        <v>45420.58</v>
      </c>
      <c r="AA1071" s="128" t="s">
        <v>5999</v>
      </c>
      <c r="AB1071" s="23"/>
      <c r="AC1071" s="23"/>
      <c r="AD1071" s="23"/>
      <c r="AE1071" s="23"/>
      <c r="AF1071" s="23"/>
      <c r="AG1071" s="23"/>
      <c r="AH1071" s="96" t="s">
        <v>197</v>
      </c>
      <c r="AI1071" s="96" t="s">
        <v>154</v>
      </c>
    </row>
    <row r="1072" s="1" customFormat="1" ht="31" spans="1:35">
      <c r="A1072" s="3476"/>
      <c r="B1072" s="3499"/>
      <c r="C1072" s="3500"/>
      <c r="D1072" s="3501"/>
      <c r="E1072" s="3501"/>
      <c r="F1072" s="1096"/>
      <c r="G1072" s="3511"/>
      <c r="H1072" s="3501"/>
      <c r="I1072" s="3511"/>
      <c r="J1072" s="3511"/>
      <c r="K1072" s="3524"/>
      <c r="L1072" s="3476"/>
      <c r="M1072" s="3510">
        <v>2</v>
      </c>
      <c r="N1072" s="3556" t="s">
        <v>1200</v>
      </c>
      <c r="O1072" s="3554">
        <v>0.58</v>
      </c>
      <c r="P1072" s="3557">
        <v>67164</v>
      </c>
      <c r="Q1072" s="3582">
        <v>67164</v>
      </c>
      <c r="R1072" s="149" t="s">
        <v>4603</v>
      </c>
      <c r="S1072" s="858">
        <v>44550</v>
      </c>
      <c r="T1072" s="3476">
        <v>65859.84</v>
      </c>
      <c r="U1072" s="3591">
        <v>44536</v>
      </c>
      <c r="V1072" s="3476">
        <v>65859.84</v>
      </c>
      <c r="W1072" s="3591">
        <v>44536</v>
      </c>
      <c r="X1072" s="3476">
        <v>50000</v>
      </c>
      <c r="Y1072" s="3615">
        <v>44579</v>
      </c>
      <c r="Z1072" s="3576">
        <f>T1072-X1072</f>
        <v>15859.84</v>
      </c>
      <c r="AA1072" s="127" t="s">
        <v>6000</v>
      </c>
      <c r="AB1072" s="23"/>
      <c r="AC1072" s="23"/>
      <c r="AD1072" s="23"/>
      <c r="AE1072" s="23"/>
      <c r="AF1072" s="23"/>
      <c r="AG1072" s="23"/>
      <c r="AH1072" s="96" t="s">
        <v>197</v>
      </c>
      <c r="AI1072" s="96" t="s">
        <v>154</v>
      </c>
    </row>
    <row r="1073" s="1" customFormat="1" ht="39" customHeight="1" spans="1:35">
      <c r="A1073" s="3476"/>
      <c r="B1073" s="3499"/>
      <c r="C1073" s="3500"/>
      <c r="D1073" s="3501"/>
      <c r="E1073" s="3501"/>
      <c r="F1073" s="1096"/>
      <c r="G1073" s="3511"/>
      <c r="H1073" s="3501"/>
      <c r="I1073" s="3511"/>
      <c r="J1073" s="3511"/>
      <c r="K1073" s="3524"/>
      <c r="L1073" s="3476"/>
      <c r="M1073" s="3522"/>
      <c r="N1073" s="3558"/>
      <c r="O1073" s="3554"/>
      <c r="P1073" s="3559"/>
      <c r="Q1073" s="3582"/>
      <c r="R1073" s="152"/>
      <c r="S1073" s="858"/>
      <c r="T1073" s="3476"/>
      <c r="U1073" s="3591"/>
      <c r="V1073" s="3476"/>
      <c r="W1073" s="3591"/>
      <c r="X1073" s="3603">
        <f>V1072-X1072</f>
        <v>15859.84</v>
      </c>
      <c r="Y1073" s="3615">
        <v>45212</v>
      </c>
      <c r="Z1073" s="23"/>
      <c r="AA1073" s="3476"/>
      <c r="AB1073" s="23"/>
      <c r="AC1073" s="23"/>
      <c r="AD1073" s="23"/>
      <c r="AE1073" s="23"/>
      <c r="AF1073" s="23"/>
      <c r="AG1073" s="23"/>
      <c r="AH1073" s="96"/>
      <c r="AI1073" s="96"/>
    </row>
    <row r="1074" s="1" customFormat="1" ht="39" customHeight="1" spans="1:35">
      <c r="A1074" s="3476"/>
      <c r="B1074" s="3502"/>
      <c r="C1074" s="3503"/>
      <c r="D1074" s="3504"/>
      <c r="E1074" s="3504"/>
      <c r="F1074" s="1096"/>
      <c r="G1074" s="3522"/>
      <c r="H1074" s="3504"/>
      <c r="I1074" s="3522"/>
      <c r="J1074" s="3522"/>
      <c r="K1074" s="3524"/>
      <c r="L1074" s="3476"/>
      <c r="M1074" s="3476">
        <v>3</v>
      </c>
      <c r="N1074" s="2618" t="s">
        <v>746</v>
      </c>
      <c r="O1074" s="3554">
        <v>0.02</v>
      </c>
      <c r="P1074" s="3555">
        <v>2316</v>
      </c>
      <c r="Q1074" s="3583">
        <v>2316</v>
      </c>
      <c r="R1074" s="280" t="s">
        <v>349</v>
      </c>
      <c r="S1074" s="3584">
        <v>46325</v>
      </c>
      <c r="T1074" s="3585">
        <v>2316</v>
      </c>
      <c r="U1074" s="3476"/>
      <c r="V1074" s="3476"/>
      <c r="W1074" s="23"/>
      <c r="X1074" s="3604">
        <v>2316</v>
      </c>
      <c r="Y1074" s="3616"/>
      <c r="Z1074" s="23"/>
      <c r="AA1074" s="3476"/>
      <c r="AB1074" s="23"/>
      <c r="AC1074" s="23"/>
      <c r="AD1074" s="23"/>
      <c r="AE1074" s="23"/>
      <c r="AF1074" s="23"/>
      <c r="AG1074" s="23"/>
      <c r="AH1074" s="96" t="s">
        <v>197</v>
      </c>
      <c r="AI1074" s="96" t="s">
        <v>154</v>
      </c>
    </row>
    <row r="1075" s="1" customFormat="1" ht="81" customHeight="1" spans="1:35">
      <c r="A1075" s="3505" t="s">
        <v>1951</v>
      </c>
      <c r="B1075" s="3506">
        <v>44440</v>
      </c>
      <c r="C1075" s="3507" t="s">
        <v>6001</v>
      </c>
      <c r="D1075" s="3507"/>
      <c r="E1075" s="3523" t="s">
        <v>6002</v>
      </c>
      <c r="F1075" s="3523" t="s">
        <v>6003</v>
      </c>
      <c r="G1075" s="3523" t="s">
        <v>6004</v>
      </c>
      <c r="H1075" s="3523" t="s">
        <v>6005</v>
      </c>
      <c r="I1075" s="3530"/>
      <c r="J1075" s="3530" t="s">
        <v>997</v>
      </c>
      <c r="K1075" s="3531">
        <v>500000</v>
      </c>
      <c r="L1075" s="3530" t="s">
        <v>27</v>
      </c>
      <c r="M1075" s="3560">
        <v>1</v>
      </c>
      <c r="N1075" s="3561" t="s">
        <v>2833</v>
      </c>
      <c r="O1075" s="2348">
        <v>0.2</v>
      </c>
      <c r="P1075" s="3562">
        <v>196000</v>
      </c>
      <c r="Q1075" s="1580">
        <v>196000</v>
      </c>
      <c r="R1075" s="294" t="s">
        <v>4603</v>
      </c>
      <c r="S1075" s="3586">
        <v>44481.1</v>
      </c>
      <c r="T1075" s="339">
        <v>196000</v>
      </c>
      <c r="U1075" s="3586">
        <v>44481.1</v>
      </c>
      <c r="V1075" s="3588">
        <v>196000</v>
      </c>
      <c r="W1075" s="2433">
        <v>44488</v>
      </c>
      <c r="X1075" s="1874">
        <v>196000</v>
      </c>
      <c r="Y1075" s="2000">
        <v>44528</v>
      </c>
      <c r="Z1075" s="1874">
        <v>0</v>
      </c>
      <c r="AA1075" s="1768" t="s">
        <v>6006</v>
      </c>
      <c r="AB1075" s="96"/>
      <c r="AC1075" s="96"/>
      <c r="AD1075" s="187">
        <v>196000</v>
      </c>
      <c r="AE1075" s="187">
        <v>196000</v>
      </c>
      <c r="AF1075" s="187">
        <v>196000</v>
      </c>
      <c r="AG1075" s="96">
        <v>0</v>
      </c>
      <c r="AH1075" s="96" t="s">
        <v>6007</v>
      </c>
      <c r="AI1075" s="96" t="s">
        <v>154</v>
      </c>
    </row>
    <row r="1076" s="1" customFormat="1" ht="81" customHeight="1" spans="1:35">
      <c r="A1076" s="3508"/>
      <c r="B1076" s="3506"/>
      <c r="C1076" s="3509"/>
      <c r="D1076" s="3509"/>
      <c r="E1076" s="3523"/>
      <c r="F1076" s="3523"/>
      <c r="G1076" s="3523"/>
      <c r="H1076" s="3523"/>
      <c r="I1076" s="3530"/>
      <c r="J1076" s="3530"/>
      <c r="K1076" s="3532"/>
      <c r="L1076" s="3530"/>
      <c r="M1076" s="3560">
        <v>2</v>
      </c>
      <c r="N1076" s="3563" t="s">
        <v>6008</v>
      </c>
      <c r="O1076" s="3564">
        <v>0.4</v>
      </c>
      <c r="P1076" s="3562">
        <v>192000</v>
      </c>
      <c r="Q1076" s="1580">
        <v>192000</v>
      </c>
      <c r="R1076" s="294" t="s">
        <v>4603</v>
      </c>
      <c r="S1076" s="3586">
        <v>44897</v>
      </c>
      <c r="T1076" s="339">
        <v>192000</v>
      </c>
      <c r="U1076" s="3586">
        <v>44897</v>
      </c>
      <c r="V1076" s="294">
        <v>304000</v>
      </c>
      <c r="W1076" s="2433">
        <v>45131</v>
      </c>
      <c r="X1076" s="1580">
        <v>192000</v>
      </c>
      <c r="Y1076" s="2000">
        <v>45164</v>
      </c>
      <c r="Z1076" s="1580">
        <v>0</v>
      </c>
      <c r="AA1076" s="1654"/>
      <c r="AB1076" s="96"/>
      <c r="AC1076" s="96"/>
      <c r="AD1076" s="187">
        <v>192000</v>
      </c>
      <c r="AE1076" s="187">
        <v>192000</v>
      </c>
      <c r="AF1076" s="187">
        <v>192000</v>
      </c>
      <c r="AG1076" s="96"/>
      <c r="AH1076" s="96"/>
      <c r="AI1076" s="96"/>
    </row>
    <row r="1077" s="1" customFormat="1" ht="76.5" customHeight="1" spans="1:35">
      <c r="A1077" s="3508"/>
      <c r="B1077" s="3506"/>
      <c r="C1077" s="3509"/>
      <c r="D1077" s="3509"/>
      <c r="E1077" s="3523"/>
      <c r="F1077" s="3523"/>
      <c r="G1077" s="3523"/>
      <c r="H1077" s="3523"/>
      <c r="I1077" s="3530"/>
      <c r="J1077" s="3530"/>
      <c r="K1077" s="3532"/>
      <c r="L1077" s="3530"/>
      <c r="M1077" s="3565"/>
      <c r="N1077" s="3566"/>
      <c r="O1077" s="2350"/>
      <c r="P1077" s="3562">
        <v>200000</v>
      </c>
      <c r="Q1077" s="2389">
        <v>200000</v>
      </c>
      <c r="R1077" s="3587" t="s">
        <v>4603</v>
      </c>
      <c r="S1077" s="3586">
        <v>44897</v>
      </c>
      <c r="T1077" s="294">
        <v>200000</v>
      </c>
      <c r="U1077" s="3586">
        <v>44897</v>
      </c>
      <c r="V1077" s="294"/>
      <c r="W1077" s="2433"/>
      <c r="X1077" s="2389">
        <v>112000</v>
      </c>
      <c r="Y1077" s="2000">
        <v>45272</v>
      </c>
      <c r="Z1077" s="1580">
        <v>0</v>
      </c>
      <c r="AA1077" s="336"/>
      <c r="AB1077" s="96"/>
      <c r="AC1077" s="96"/>
      <c r="AD1077" s="96"/>
      <c r="AE1077" s="96"/>
      <c r="AF1077" s="96"/>
      <c r="AG1077" s="96"/>
      <c r="AH1077" s="96" t="s">
        <v>6007</v>
      </c>
      <c r="AI1077" s="96" t="s">
        <v>154</v>
      </c>
    </row>
    <row r="1078" s="1" customFormat="1" ht="76.5" customHeight="1" spans="1:35">
      <c r="A1078" s="3508"/>
      <c r="B1078" s="3506"/>
      <c r="C1078" s="3509"/>
      <c r="D1078" s="3509"/>
      <c r="E1078" s="3523"/>
      <c r="F1078" s="3523"/>
      <c r="G1078" s="3523"/>
      <c r="H1078" s="3523"/>
      <c r="I1078" s="3530"/>
      <c r="J1078" s="3530"/>
      <c r="K1078" s="3532"/>
      <c r="L1078" s="3530"/>
      <c r="M1078" s="3560">
        <v>3</v>
      </c>
      <c r="N1078" s="3567" t="s">
        <v>6009</v>
      </c>
      <c r="O1078" s="3564">
        <v>0.35</v>
      </c>
      <c r="P1078" s="3568">
        <v>343000</v>
      </c>
      <c r="Q1078" s="2389">
        <v>343000</v>
      </c>
      <c r="R1078" s="3587" t="s">
        <v>4603</v>
      </c>
      <c r="S1078" s="3586">
        <v>44897</v>
      </c>
      <c r="T1078" s="294">
        <v>343000</v>
      </c>
      <c r="U1078" s="3586">
        <v>44897</v>
      </c>
      <c r="V1078" s="3605"/>
      <c r="W1078" s="3606"/>
      <c r="X1078" s="1999"/>
      <c r="Y1078" s="1952"/>
      <c r="Z1078" s="1580">
        <v>0</v>
      </c>
      <c r="AA1078" s="339"/>
      <c r="AB1078" s="96"/>
      <c r="AC1078" s="96"/>
      <c r="AD1078" s="96"/>
      <c r="AE1078" s="96"/>
      <c r="AF1078" s="96"/>
      <c r="AG1078" s="96"/>
      <c r="AH1078" s="96" t="s">
        <v>6007</v>
      </c>
      <c r="AI1078" s="96" t="s">
        <v>154</v>
      </c>
    </row>
    <row r="1079" s="1" customFormat="1" ht="76.5" customHeight="1" spans="1:35">
      <c r="A1079" s="3508"/>
      <c r="B1079" s="3506"/>
      <c r="C1079" s="3509"/>
      <c r="D1079" s="3509"/>
      <c r="E1079" s="3523"/>
      <c r="F1079" s="3523"/>
      <c r="G1079" s="3523"/>
      <c r="H1079" s="3523"/>
      <c r="I1079" s="3530"/>
      <c r="J1079" s="3530"/>
      <c r="K1079" s="3532"/>
      <c r="L1079" s="3530"/>
      <c r="M1079" s="3560">
        <v>4</v>
      </c>
      <c r="N1079" s="3561" t="s">
        <v>6010</v>
      </c>
      <c r="O1079" s="2348">
        <v>0.05</v>
      </c>
      <c r="P1079" s="3569">
        <v>49000</v>
      </c>
      <c r="Q1079" s="2389">
        <v>49000</v>
      </c>
      <c r="R1079" s="3587" t="s">
        <v>4603</v>
      </c>
      <c r="S1079" s="3586">
        <v>44897</v>
      </c>
      <c r="T1079" s="294">
        <v>49000</v>
      </c>
      <c r="U1079" s="3586">
        <v>44897</v>
      </c>
      <c r="V1079" s="3605"/>
      <c r="W1079" s="3606"/>
      <c r="X1079" s="1999"/>
      <c r="Y1079" s="1952"/>
      <c r="Z1079" s="1580">
        <v>0</v>
      </c>
      <c r="AA1079" s="339"/>
      <c r="AB1079" s="96"/>
      <c r="AC1079" s="96"/>
      <c r="AD1079" s="727"/>
      <c r="AE1079" s="727"/>
      <c r="AF1079" s="727"/>
      <c r="AG1079" s="727"/>
      <c r="AH1079" s="727"/>
      <c r="AI1079" s="727"/>
    </row>
    <row r="1080" s="1" customFormat="1" ht="76.5" customHeight="1" spans="1:35">
      <c r="A1080" s="3508"/>
      <c r="B1080" s="3506"/>
      <c r="C1080" s="3509"/>
      <c r="D1080" s="3509"/>
      <c r="E1080" s="3523"/>
      <c r="F1080" s="3523"/>
      <c r="G1080" s="3523"/>
      <c r="H1080" s="3523"/>
      <c r="I1080" s="3530"/>
      <c r="J1080" s="3530"/>
      <c r="K1080" s="3532"/>
      <c r="L1080" s="3530"/>
      <c r="M1080" s="3560">
        <v>5</v>
      </c>
      <c r="N1080" s="2347" t="s">
        <v>6011</v>
      </c>
      <c r="O1080" s="2348"/>
      <c r="P1080" s="3569">
        <v>-392000</v>
      </c>
      <c r="Q1080" s="1580">
        <v>-392000</v>
      </c>
      <c r="R1080" s="3587" t="s">
        <v>4603</v>
      </c>
      <c r="S1080" s="3586">
        <v>45188</v>
      </c>
      <c r="T1080" s="339">
        <v>-392000</v>
      </c>
      <c r="U1080" s="3586">
        <v>45188</v>
      </c>
      <c r="V1080" s="3605"/>
      <c r="W1080" s="3606"/>
      <c r="X1080" s="1999"/>
      <c r="Y1080" s="1952"/>
      <c r="Z1080" s="1580">
        <v>0</v>
      </c>
      <c r="AA1080" s="339"/>
      <c r="AB1080" s="96"/>
      <c r="AC1080" s="96"/>
      <c r="AD1080" s="727"/>
      <c r="AE1080" s="727"/>
      <c r="AF1080" s="727"/>
      <c r="AG1080" s="727"/>
      <c r="AH1080" s="727"/>
      <c r="AI1080" s="727"/>
    </row>
    <row r="1081" s="1" customFormat="1" ht="76.5" customHeight="1" spans="1:35">
      <c r="A1081" s="3508"/>
      <c r="B1081" s="3506"/>
      <c r="C1081" s="3509"/>
      <c r="D1081" s="3509"/>
      <c r="E1081" s="3523"/>
      <c r="F1081" s="3523"/>
      <c r="G1081" s="3523"/>
      <c r="H1081" s="3523"/>
      <c r="I1081" s="3530"/>
      <c r="J1081" s="3530"/>
      <c r="K1081" s="3532"/>
      <c r="L1081" s="3530"/>
      <c r="M1081" s="3560">
        <v>6</v>
      </c>
      <c r="N1081" s="2347" t="s">
        <v>6011</v>
      </c>
      <c r="O1081" s="2348"/>
      <c r="P1081" s="3569">
        <v>-88000</v>
      </c>
      <c r="Q1081" s="1580">
        <v>-88000</v>
      </c>
      <c r="R1081" s="3587" t="s">
        <v>4603</v>
      </c>
      <c r="S1081" s="3586">
        <v>45195</v>
      </c>
      <c r="T1081" s="339">
        <v>-88000</v>
      </c>
      <c r="U1081" s="3586">
        <v>45195</v>
      </c>
      <c r="V1081" s="3605"/>
      <c r="W1081" s="3606"/>
      <c r="X1081" s="1999"/>
      <c r="Y1081" s="1952"/>
      <c r="Z1081" s="1580">
        <v>0</v>
      </c>
      <c r="AA1081" s="339"/>
      <c r="AB1081" s="96"/>
      <c r="AC1081" s="96"/>
      <c r="AD1081" s="727"/>
      <c r="AE1081" s="727"/>
      <c r="AF1081" s="727"/>
      <c r="AG1081" s="727"/>
      <c r="AH1081" s="727"/>
      <c r="AI1081" s="727"/>
    </row>
    <row r="1082" s="1" customFormat="1" ht="60" customHeight="1" spans="1:35">
      <c r="A1082" s="3508"/>
      <c r="B1082" s="3506"/>
      <c r="C1082" s="3509"/>
      <c r="D1082" s="3509"/>
      <c r="E1082" s="3523"/>
      <c r="F1082" s="3523"/>
      <c r="G1082" s="3523"/>
      <c r="H1082" s="3523"/>
      <c r="I1082" s="3530"/>
      <c r="J1082" s="3530"/>
      <c r="K1082" s="3532"/>
      <c r="L1082" s="3530"/>
      <c r="M1082" s="3570">
        <v>6</v>
      </c>
      <c r="N1082" s="3561"/>
      <c r="O1082" s="2348"/>
      <c r="P1082" s="3571"/>
      <c r="Q1082" s="1874"/>
      <c r="R1082" s="3587"/>
      <c r="S1082" s="3586"/>
      <c r="T1082" s="3588"/>
      <c r="U1082" s="3586"/>
      <c r="V1082" s="37"/>
      <c r="W1082" s="3607"/>
      <c r="X1082" s="3608"/>
      <c r="Y1082" s="3586"/>
      <c r="Z1082" s="1580">
        <v>0</v>
      </c>
      <c r="AA1082" s="37"/>
      <c r="AB1082" s="23"/>
      <c r="AC1082" s="23"/>
      <c r="AD1082" s="3612"/>
      <c r="AE1082" s="3612"/>
      <c r="AF1082" s="3612"/>
      <c r="AG1082" s="3612"/>
      <c r="AH1082" s="727"/>
      <c r="AI1082" s="727"/>
    </row>
    <row r="1083" s="7" customFormat="1" ht="60" customHeight="1" spans="1:35">
      <c r="A1083" s="501" t="s">
        <v>1951</v>
      </c>
      <c r="B1083" s="553">
        <v>44921</v>
      </c>
      <c r="C1083" s="378" t="s">
        <v>6012</v>
      </c>
      <c r="D1083" s="3510"/>
      <c r="E1083" s="407" t="s">
        <v>6013</v>
      </c>
      <c r="F1083" s="407" t="s">
        <v>6014</v>
      </c>
      <c r="G1083" s="407" t="s">
        <v>6015</v>
      </c>
      <c r="H1083" s="407" t="s">
        <v>5562</v>
      </c>
      <c r="I1083" s="3533">
        <v>11040.94</v>
      </c>
      <c r="J1083" s="501" t="s">
        <v>5255</v>
      </c>
      <c r="K1083" s="3019">
        <v>1501029</v>
      </c>
      <c r="L1083" s="501" t="s">
        <v>126</v>
      </c>
      <c r="M1083" s="407" t="s">
        <v>6016</v>
      </c>
      <c r="N1083" s="3360" t="s">
        <v>6017</v>
      </c>
      <c r="O1083" s="3358">
        <v>0.1</v>
      </c>
      <c r="P1083" s="3572">
        <f>148800*O1083</f>
        <v>14880</v>
      </c>
      <c r="Q1083" s="1916"/>
      <c r="R1083" s="3589"/>
      <c r="S1083" s="1126"/>
      <c r="T1083" s="840"/>
      <c r="U1083" s="1126"/>
      <c r="V1083" s="769"/>
      <c r="W1083" s="3609"/>
      <c r="X1083" s="3610"/>
      <c r="Y1083" s="1126"/>
      <c r="Z1083" s="1188">
        <v>0</v>
      </c>
      <c r="AA1083" s="769"/>
      <c r="AH1083" s="406"/>
      <c r="AI1083" s="406"/>
    </row>
    <row r="1084" s="3" customFormat="1" ht="60" customHeight="1" spans="1:35">
      <c r="A1084" s="433"/>
      <c r="B1084" s="558"/>
      <c r="C1084" s="657"/>
      <c r="D1084" s="3511"/>
      <c r="E1084" s="409"/>
      <c r="F1084" s="409"/>
      <c r="G1084" s="409"/>
      <c r="H1084" s="409"/>
      <c r="I1084" s="3534"/>
      <c r="J1084" s="433"/>
      <c r="K1084" s="3020"/>
      <c r="L1084" s="433"/>
      <c r="M1084" s="409"/>
      <c r="N1084" s="3360" t="s">
        <v>6018</v>
      </c>
      <c r="O1084" s="3358">
        <v>0.1</v>
      </c>
      <c r="P1084" s="3572">
        <f>148800*O1084</f>
        <v>14880</v>
      </c>
      <c r="Q1084" s="1916"/>
      <c r="R1084" s="3589"/>
      <c r="S1084" s="1126"/>
      <c r="T1084" s="840"/>
      <c r="U1084" s="1126"/>
      <c r="V1084" s="769"/>
      <c r="W1084" s="3609"/>
      <c r="X1084" s="3610"/>
      <c r="Y1084" s="1126"/>
      <c r="Z1084" s="1188">
        <v>0</v>
      </c>
      <c r="AA1084" s="769"/>
      <c r="AB1084" s="7"/>
      <c r="AC1084" s="7"/>
      <c r="AD1084" s="3617"/>
      <c r="AE1084" s="3617"/>
      <c r="AF1084" s="3617"/>
      <c r="AG1084" s="3617"/>
      <c r="AH1084" s="412"/>
      <c r="AI1084" s="412"/>
    </row>
    <row r="1085" s="3" customFormat="1" ht="60" customHeight="1" spans="1:35">
      <c r="A1085" s="433"/>
      <c r="B1085" s="558"/>
      <c r="C1085" s="657"/>
      <c r="D1085" s="3511"/>
      <c r="E1085" s="409"/>
      <c r="F1085" s="409"/>
      <c r="G1085" s="409"/>
      <c r="H1085" s="409"/>
      <c r="I1085" s="3534"/>
      <c r="J1085" s="433"/>
      <c r="K1085" s="3020"/>
      <c r="L1085" s="433"/>
      <c r="M1085" s="409"/>
      <c r="N1085" s="3360" t="s">
        <v>6019</v>
      </c>
      <c r="O1085" s="3358">
        <v>0.3</v>
      </c>
      <c r="P1085" s="3572">
        <f>148800*O1085</f>
        <v>44640</v>
      </c>
      <c r="Q1085" s="1916"/>
      <c r="R1085" s="3589"/>
      <c r="S1085" s="1126"/>
      <c r="T1085" s="840"/>
      <c r="U1085" s="1126"/>
      <c r="V1085" s="769"/>
      <c r="W1085" s="3609"/>
      <c r="X1085" s="3610"/>
      <c r="Y1085" s="1126"/>
      <c r="Z1085" s="1188">
        <v>0</v>
      </c>
      <c r="AA1085" s="769"/>
      <c r="AB1085" s="7"/>
      <c r="AC1085" s="7"/>
      <c r="AD1085" s="3617"/>
      <c r="AE1085" s="3617"/>
      <c r="AF1085" s="3617"/>
      <c r="AG1085" s="3617"/>
      <c r="AH1085" s="412"/>
      <c r="AI1085" s="412"/>
    </row>
    <row r="1086" s="3" customFormat="1" ht="30" customHeight="1" spans="1:35">
      <c r="A1086" s="433"/>
      <c r="B1086" s="558"/>
      <c r="C1086" s="657"/>
      <c r="D1086" s="3511"/>
      <c r="E1086" s="409"/>
      <c r="F1086" s="409"/>
      <c r="G1086" s="409"/>
      <c r="H1086" s="409"/>
      <c r="I1086" s="3534"/>
      <c r="J1086" s="433"/>
      <c r="K1086" s="3020"/>
      <c r="L1086" s="433"/>
      <c r="M1086" s="409"/>
      <c r="N1086" s="427" t="s">
        <v>6020</v>
      </c>
      <c r="O1086" s="3358">
        <v>0.4</v>
      </c>
      <c r="P1086" s="3573">
        <f>148800*O1086</f>
        <v>59520</v>
      </c>
      <c r="Q1086" s="1916"/>
      <c r="R1086" s="3589"/>
      <c r="S1086" s="1126"/>
      <c r="T1086" s="840"/>
      <c r="U1086" s="1126"/>
      <c r="V1086" s="769"/>
      <c r="W1086" s="3609"/>
      <c r="X1086" s="3610"/>
      <c r="Y1086" s="1126"/>
      <c r="Z1086" s="1188">
        <v>0</v>
      </c>
      <c r="AA1086" s="769"/>
      <c r="AB1086" s="7"/>
      <c r="AC1086" s="7"/>
      <c r="AD1086" s="3617"/>
      <c r="AE1086" s="3617"/>
      <c r="AF1086" s="3617"/>
      <c r="AG1086" s="3617"/>
      <c r="AH1086" s="412"/>
      <c r="AI1086" s="412"/>
    </row>
    <row r="1087" s="3" customFormat="1" ht="30" customHeight="1" spans="1:35">
      <c r="A1087" s="433"/>
      <c r="B1087" s="558"/>
      <c r="C1087" s="657"/>
      <c r="D1087" s="3511"/>
      <c r="E1087" s="409"/>
      <c r="F1087" s="409"/>
      <c r="G1087" s="409"/>
      <c r="H1087" s="409"/>
      <c r="I1087" s="3534"/>
      <c r="J1087" s="433"/>
      <c r="K1087" s="3020"/>
      <c r="L1087" s="433"/>
      <c r="M1087" s="409"/>
      <c r="N1087" s="429"/>
      <c r="O1087" s="3574"/>
      <c r="P1087" s="3575"/>
      <c r="Q1087" s="3590"/>
      <c r="R1087" s="593"/>
      <c r="S1087" s="1129"/>
      <c r="T1087" s="769"/>
      <c r="U1087" s="3609"/>
      <c r="V1087" s="769"/>
      <c r="W1087" s="3609"/>
      <c r="X1087" s="3610"/>
      <c r="Y1087" s="1126"/>
      <c r="Z1087" s="1188">
        <v>0</v>
      </c>
      <c r="AA1087" s="769"/>
      <c r="AB1087" s="7"/>
      <c r="AC1087" s="7"/>
      <c r="AD1087" s="3617"/>
      <c r="AE1087" s="3617"/>
      <c r="AF1087" s="3617"/>
      <c r="AG1087" s="3617"/>
      <c r="AH1087" s="412"/>
      <c r="AI1087" s="412"/>
    </row>
    <row r="1088" s="3" customFormat="1" ht="60" customHeight="1" spans="1:35">
      <c r="A1088" s="433"/>
      <c r="B1088" s="558"/>
      <c r="C1088" s="657"/>
      <c r="D1088" s="3511"/>
      <c r="E1088" s="409"/>
      <c r="F1088" s="409"/>
      <c r="G1088" s="409"/>
      <c r="H1088" s="409"/>
      <c r="I1088" s="3534"/>
      <c r="J1088" s="433"/>
      <c r="K1088" s="3020"/>
      <c r="L1088" s="433"/>
      <c r="M1088" s="411"/>
      <c r="N1088" s="456" t="s">
        <v>6021</v>
      </c>
      <c r="O1088" s="3358">
        <v>0.1</v>
      </c>
      <c r="P1088" s="3572">
        <f>148800*O1088</f>
        <v>14880</v>
      </c>
      <c r="Q1088" s="3590"/>
      <c r="R1088" s="593"/>
      <c r="S1088" s="1129"/>
      <c r="T1088" s="769"/>
      <c r="U1088" s="3609"/>
      <c r="V1088" s="769"/>
      <c r="W1088" s="3609"/>
      <c r="X1088" s="3610"/>
      <c r="Y1088" s="1126"/>
      <c r="Z1088" s="1188">
        <v>0</v>
      </c>
      <c r="AA1088" s="769"/>
      <c r="AB1088" s="7"/>
      <c r="AC1088" s="7"/>
      <c r="AD1088" s="3617"/>
      <c r="AE1088" s="3617"/>
      <c r="AF1088" s="3617"/>
      <c r="AG1088" s="3617"/>
      <c r="AH1088" s="412"/>
      <c r="AI1088" s="412"/>
    </row>
    <row r="1089" s="3" customFormat="1" ht="60" customHeight="1" spans="1:35">
      <c r="A1089" s="433"/>
      <c r="B1089" s="558"/>
      <c r="C1089" s="657"/>
      <c r="D1089" s="3511"/>
      <c r="E1089" s="409"/>
      <c r="F1089" s="409"/>
      <c r="G1089" s="409"/>
      <c r="H1089" s="409"/>
      <c r="I1089" s="3534"/>
      <c r="J1089" s="433"/>
      <c r="K1089" s="3020"/>
      <c r="L1089" s="433"/>
      <c r="M1089" s="407" t="s">
        <v>6022</v>
      </c>
      <c r="N1089" s="456" t="s">
        <v>6017</v>
      </c>
      <c r="O1089" s="3358">
        <v>0.1</v>
      </c>
      <c r="P1089" s="3575">
        <f>1352229*O1089</f>
        <v>135222.9</v>
      </c>
      <c r="Q1089" s="1916">
        <v>135222.9</v>
      </c>
      <c r="R1089" s="3589" t="s">
        <v>4603</v>
      </c>
      <c r="S1089" s="1126">
        <v>44925</v>
      </c>
      <c r="T1089" s="840">
        <v>135222.9</v>
      </c>
      <c r="U1089" s="1126">
        <v>44925</v>
      </c>
      <c r="V1089" s="769">
        <v>583379.5</v>
      </c>
      <c r="W1089" s="3609">
        <v>44965</v>
      </c>
      <c r="X1089" s="3610">
        <v>583379.5</v>
      </c>
      <c r="Y1089" s="1126">
        <v>45007</v>
      </c>
      <c r="Z1089" s="1188">
        <v>0</v>
      </c>
      <c r="AA1089" s="769"/>
      <c r="AB1089" s="7"/>
      <c r="AC1089" s="7"/>
      <c r="AD1089" s="3617"/>
      <c r="AE1089" s="3617"/>
      <c r="AF1089" s="3617"/>
      <c r="AG1089" s="3617"/>
      <c r="AH1089" s="412"/>
      <c r="AI1089" s="412"/>
    </row>
    <row r="1090" s="3" customFormat="1" ht="60" customHeight="1" spans="1:35">
      <c r="A1090" s="433"/>
      <c r="B1090" s="558"/>
      <c r="C1090" s="657"/>
      <c r="D1090" s="3511"/>
      <c r="E1090" s="409"/>
      <c r="F1090" s="409"/>
      <c r="G1090" s="409"/>
      <c r="H1090" s="409"/>
      <c r="I1090" s="3534"/>
      <c r="J1090" s="433"/>
      <c r="K1090" s="3020"/>
      <c r="L1090" s="433"/>
      <c r="M1090" s="409"/>
      <c r="N1090" s="456" t="s">
        <v>6023</v>
      </c>
      <c r="O1090" s="3358">
        <v>0.1</v>
      </c>
      <c r="P1090" s="3575">
        <f>1352229*O1090</f>
        <v>135222.9</v>
      </c>
      <c r="Q1090" s="1916">
        <v>135222.9</v>
      </c>
      <c r="R1090" s="3589" t="s">
        <v>4603</v>
      </c>
      <c r="S1090" s="1126">
        <v>44925</v>
      </c>
      <c r="T1090" s="840">
        <v>135222.9</v>
      </c>
      <c r="U1090" s="1126">
        <v>44925</v>
      </c>
      <c r="V1090" s="769"/>
      <c r="W1090" s="3609"/>
      <c r="X1090" s="3610"/>
      <c r="Y1090" s="1126"/>
      <c r="Z1090" s="1188">
        <v>0</v>
      </c>
      <c r="AA1090" s="769"/>
      <c r="AB1090" s="7"/>
      <c r="AC1090" s="7"/>
      <c r="AD1090" s="3617"/>
      <c r="AE1090" s="3617"/>
      <c r="AF1090" s="3617"/>
      <c r="AG1090" s="3617"/>
      <c r="AH1090" s="412"/>
      <c r="AI1090" s="412"/>
    </row>
    <row r="1091" s="3" customFormat="1" ht="60" customHeight="1" spans="1:35">
      <c r="A1091" s="433"/>
      <c r="B1091" s="558"/>
      <c r="C1091" s="657"/>
      <c r="D1091" s="3511"/>
      <c r="E1091" s="409"/>
      <c r="F1091" s="409"/>
      <c r="G1091" s="409"/>
      <c r="H1091" s="409"/>
      <c r="I1091" s="3534"/>
      <c r="J1091" s="433"/>
      <c r="K1091" s="3020"/>
      <c r="L1091" s="433"/>
      <c r="M1091" s="409"/>
      <c r="N1091" s="427" t="s">
        <v>6024</v>
      </c>
      <c r="O1091" s="3358">
        <v>0.3</v>
      </c>
      <c r="P1091" s="3670">
        <f>1352229*O1091</f>
        <v>405668.7</v>
      </c>
      <c r="Q1091" s="1916">
        <v>405668.7</v>
      </c>
      <c r="R1091" s="3589" t="s">
        <v>4603</v>
      </c>
      <c r="S1091" s="1126">
        <v>44925</v>
      </c>
      <c r="T1091" s="840">
        <v>405668.7</v>
      </c>
      <c r="U1091" s="1126">
        <v>44925</v>
      </c>
      <c r="V1091" s="769"/>
      <c r="W1091" s="3609"/>
      <c r="X1091" s="3610"/>
      <c r="Y1091" s="1126"/>
      <c r="Z1091" s="1188">
        <v>0</v>
      </c>
      <c r="AA1091" s="769"/>
      <c r="AB1091" s="7"/>
      <c r="AC1091" s="7"/>
      <c r="AD1091" s="3617"/>
      <c r="AE1091" s="3617"/>
      <c r="AF1091" s="3617"/>
      <c r="AG1091" s="3617"/>
      <c r="AH1091" s="412"/>
      <c r="AI1091" s="412"/>
    </row>
    <row r="1092" s="3" customFormat="1" ht="60" customHeight="1" spans="1:35">
      <c r="A1092" s="433"/>
      <c r="B1092" s="558"/>
      <c r="C1092" s="657"/>
      <c r="D1092" s="3511"/>
      <c r="E1092" s="409"/>
      <c r="F1092" s="409"/>
      <c r="G1092" s="409"/>
      <c r="H1092" s="409"/>
      <c r="I1092" s="3534"/>
      <c r="J1092" s="433"/>
      <c r="K1092" s="3020"/>
      <c r="L1092" s="433"/>
      <c r="M1092" s="409"/>
      <c r="N1092" s="3671"/>
      <c r="O1092" s="3574"/>
      <c r="P1092" s="3670"/>
      <c r="Q1092" s="1913"/>
      <c r="R1092" s="3689"/>
      <c r="S1092" s="3690"/>
      <c r="T1092" s="3437"/>
      <c r="U1092" s="3690"/>
      <c r="V1092" s="3019">
        <v>92735</v>
      </c>
      <c r="W1092" s="3711">
        <v>45079</v>
      </c>
      <c r="X1092" s="3019">
        <v>466703.6</v>
      </c>
      <c r="Y1092" s="3690">
        <v>45132</v>
      </c>
      <c r="Z1092" s="3460">
        <v>0</v>
      </c>
      <c r="AA1092" s="3533"/>
      <c r="AB1092" s="3719"/>
      <c r="AC1092" s="3719"/>
      <c r="AD1092" s="3725"/>
      <c r="AE1092" s="3725"/>
      <c r="AF1092" s="3725"/>
      <c r="AG1092" s="3725"/>
      <c r="AH1092" s="410"/>
      <c r="AI1092" s="410"/>
    </row>
    <row r="1093" s="7" customFormat="1" ht="30" customHeight="1" spans="1:35">
      <c r="A1093" s="428"/>
      <c r="B1093" s="552"/>
      <c r="C1093" s="370"/>
      <c r="D1093" s="3511"/>
      <c r="E1093" s="413"/>
      <c r="F1093" s="413"/>
      <c r="G1093" s="413"/>
      <c r="H1093" s="413"/>
      <c r="I1093" s="769"/>
      <c r="J1093" s="428"/>
      <c r="K1093" s="3610"/>
      <c r="L1093" s="428"/>
      <c r="M1093" s="413"/>
      <c r="N1093" s="405" t="s">
        <v>6025</v>
      </c>
      <c r="O1093" s="3355">
        <v>0.4</v>
      </c>
      <c r="P1093" s="840">
        <f>1352229*O1093</f>
        <v>540891.6</v>
      </c>
      <c r="Q1093" s="1916">
        <v>243401.22</v>
      </c>
      <c r="R1093" s="3589" t="s">
        <v>4603</v>
      </c>
      <c r="S1093" s="1126">
        <v>44925</v>
      </c>
      <c r="T1093" s="840">
        <v>243401.22</v>
      </c>
      <c r="U1093" s="1126">
        <v>44925</v>
      </c>
      <c r="V1093" s="3610">
        <v>243401.22</v>
      </c>
      <c r="W1093" s="3609"/>
      <c r="X1093" s="3610"/>
      <c r="Y1093" s="1126"/>
      <c r="Z1093" s="1188">
        <v>0</v>
      </c>
      <c r="AA1093" s="769"/>
      <c r="AB1093" s="7"/>
      <c r="AC1093" s="7"/>
      <c r="AD1093" s="7"/>
      <c r="AE1093" s="7"/>
      <c r="AF1093" s="7"/>
      <c r="AG1093" s="7"/>
      <c r="AH1093" s="406"/>
      <c r="AI1093" s="406"/>
    </row>
    <row r="1094" s="7" customFormat="1" ht="30" customHeight="1" spans="1:35">
      <c r="A1094" s="428"/>
      <c r="B1094" s="552"/>
      <c r="C1094" s="370"/>
      <c r="D1094" s="3511"/>
      <c r="E1094" s="413"/>
      <c r="F1094" s="413"/>
      <c r="G1094" s="413"/>
      <c r="H1094" s="413"/>
      <c r="I1094" s="769"/>
      <c r="J1094" s="428"/>
      <c r="K1094" s="3610"/>
      <c r="L1094" s="428"/>
      <c r="M1094" s="413"/>
      <c r="N1094" s="405"/>
      <c r="O1094" s="3355"/>
      <c r="P1094" s="840"/>
      <c r="Q1094" s="1916">
        <v>101184</v>
      </c>
      <c r="R1094" s="3589" t="s">
        <v>4603</v>
      </c>
      <c r="S1094" s="1126">
        <v>44925</v>
      </c>
      <c r="T1094" s="1916">
        <v>101184</v>
      </c>
      <c r="U1094" s="1126">
        <v>44925</v>
      </c>
      <c r="V1094" s="3610">
        <v>101184</v>
      </c>
      <c r="W1094" s="3609"/>
      <c r="X1094" s="3610"/>
      <c r="Y1094" s="1126"/>
      <c r="Z1094" s="1188">
        <v>0</v>
      </c>
      <c r="AA1094" s="769"/>
      <c r="AB1094" s="7"/>
      <c r="AC1094" s="7"/>
      <c r="AD1094" s="7"/>
      <c r="AE1094" s="7"/>
      <c r="AF1094" s="7"/>
      <c r="AG1094" s="7"/>
      <c r="AH1094" s="406"/>
      <c r="AI1094" s="406"/>
    </row>
    <row r="1095" s="7" customFormat="1" ht="30" customHeight="1" spans="1:35">
      <c r="A1095" s="428"/>
      <c r="B1095" s="552"/>
      <c r="C1095" s="370"/>
      <c r="D1095" s="3511"/>
      <c r="E1095" s="413"/>
      <c r="F1095" s="413"/>
      <c r="G1095" s="413"/>
      <c r="H1095" s="413"/>
      <c r="I1095" s="769"/>
      <c r="J1095" s="428"/>
      <c r="K1095" s="3610"/>
      <c r="L1095" s="428"/>
      <c r="M1095" s="413"/>
      <c r="N1095" s="405"/>
      <c r="O1095" s="3355"/>
      <c r="P1095" s="840"/>
      <c r="Q1095" s="1916">
        <v>29383.38</v>
      </c>
      <c r="R1095" s="3589" t="s">
        <v>4603</v>
      </c>
      <c r="S1095" s="1126">
        <v>45082</v>
      </c>
      <c r="T1095" s="840">
        <v>29383.38</v>
      </c>
      <c r="U1095" s="1126">
        <v>45082</v>
      </c>
      <c r="V1095" s="3610">
        <v>29383.38</v>
      </c>
      <c r="W1095" s="3609"/>
      <c r="X1095" s="3610"/>
      <c r="Y1095" s="1126"/>
      <c r="Z1095" s="1188">
        <v>0</v>
      </c>
      <c r="AA1095" s="769"/>
      <c r="AB1095" s="7"/>
      <c r="AC1095" s="7"/>
      <c r="AD1095" s="7"/>
      <c r="AE1095" s="7"/>
      <c r="AF1095" s="7"/>
      <c r="AG1095" s="7"/>
      <c r="AH1095" s="406"/>
      <c r="AI1095" s="406"/>
    </row>
    <row r="1096" s="7" customFormat="1" ht="30" customHeight="1" spans="1:35">
      <c r="A1096" s="428"/>
      <c r="B1096" s="552"/>
      <c r="C1096" s="370"/>
      <c r="D1096" s="3511"/>
      <c r="E1096" s="413"/>
      <c r="F1096" s="413"/>
      <c r="G1096" s="413"/>
      <c r="H1096" s="413"/>
      <c r="I1096" s="769"/>
      <c r="J1096" s="428"/>
      <c r="K1096" s="3610"/>
      <c r="L1096" s="428"/>
      <c r="M1096" s="413"/>
      <c r="N1096" s="427" t="s">
        <v>6026</v>
      </c>
      <c r="O1096" s="3358">
        <v>0.1</v>
      </c>
      <c r="P1096" s="3573">
        <f>1352229*O1096</f>
        <v>135222.9</v>
      </c>
      <c r="Q1096" s="3691">
        <v>-10434</v>
      </c>
      <c r="R1096" s="3589" t="s">
        <v>4603</v>
      </c>
      <c r="S1096" s="1126">
        <v>45869</v>
      </c>
      <c r="T1096" s="3692">
        <v>-10434</v>
      </c>
      <c r="U1096" s="1126">
        <v>45869</v>
      </c>
      <c r="V1096" s="840"/>
      <c r="W1096" s="3609"/>
      <c r="X1096" s="3610"/>
      <c r="Y1096" s="1126"/>
      <c r="Z1096" s="1188"/>
      <c r="AA1096" s="769"/>
      <c r="AB1096" s="7"/>
      <c r="AC1096" s="7"/>
      <c r="AD1096" s="7"/>
      <c r="AE1096" s="7"/>
      <c r="AF1096" s="7"/>
      <c r="AG1096" s="7"/>
      <c r="AH1096" s="406"/>
      <c r="AI1096" s="406"/>
    </row>
    <row r="1097" s="3" customFormat="1" ht="76" spans="1:35">
      <c r="A1097" s="503"/>
      <c r="B1097" s="554"/>
      <c r="C1097" s="3004"/>
      <c r="D1097" s="3522"/>
      <c r="E1097" s="409"/>
      <c r="F1097" s="3648"/>
      <c r="G1097" s="409"/>
      <c r="H1097" s="409"/>
      <c r="I1097" s="3534"/>
      <c r="J1097" s="433"/>
      <c r="K1097" s="3020"/>
      <c r="L1097" s="433"/>
      <c r="M1097" s="409"/>
      <c r="N1097" s="3671"/>
      <c r="O1097" s="3574"/>
      <c r="P1097" s="3670"/>
      <c r="Q1097" s="1916">
        <v>116675.9</v>
      </c>
      <c r="R1097" s="3693" t="s">
        <v>4603</v>
      </c>
      <c r="S1097" s="3694">
        <v>45082</v>
      </c>
      <c r="T1097" s="3695">
        <v>116675.9</v>
      </c>
      <c r="U1097" s="3694">
        <v>45082</v>
      </c>
      <c r="V1097" s="3712">
        <v>106241.9</v>
      </c>
      <c r="W1097" s="3713">
        <v>45821</v>
      </c>
      <c r="X1097" s="3714">
        <v>106241.9</v>
      </c>
      <c r="Y1097" s="3720">
        <v>45887</v>
      </c>
      <c r="Z1097" s="3721">
        <v>0</v>
      </c>
      <c r="AA1097" s="411" t="s">
        <v>6027</v>
      </c>
      <c r="AB1097" s="3617"/>
      <c r="AC1097" s="3617"/>
      <c r="AD1097" s="3617"/>
      <c r="AE1097" s="3617"/>
      <c r="AF1097" s="3617"/>
      <c r="AG1097" s="3617"/>
      <c r="AH1097" s="412"/>
      <c r="AI1097" s="412"/>
    </row>
    <row r="1098" s="25" customFormat="1" ht="29.25" customHeight="1" spans="1:35">
      <c r="A1098" s="3125" t="s">
        <v>1003</v>
      </c>
      <c r="B1098" s="3618">
        <v>44470</v>
      </c>
      <c r="C1098" s="3619" t="s">
        <v>5891</v>
      </c>
      <c r="D1098" s="3123"/>
      <c r="E1098" s="3513" t="s">
        <v>6028</v>
      </c>
      <c r="F1098" s="3513" t="s">
        <v>6029</v>
      </c>
      <c r="G1098" s="1238" t="s">
        <v>3673</v>
      </c>
      <c r="H1098" s="3513" t="s">
        <v>4817</v>
      </c>
      <c r="I1098" s="3125"/>
      <c r="J1098" s="3125" t="s">
        <v>997</v>
      </c>
      <c r="K1098" s="3077">
        <v>79000</v>
      </c>
      <c r="L1098" s="3125" t="s">
        <v>126</v>
      </c>
      <c r="M1098" s="1238">
        <v>1</v>
      </c>
      <c r="N1098" s="3543" t="s">
        <v>6030</v>
      </c>
      <c r="O1098" s="1322">
        <v>0.2</v>
      </c>
      <c r="P1098" s="3672">
        <v>15800</v>
      </c>
      <c r="Q1098" s="3071">
        <v>15800</v>
      </c>
      <c r="R1098" s="1238" t="s">
        <v>4603</v>
      </c>
      <c r="S1098" s="3072">
        <v>44614</v>
      </c>
      <c r="T1098" s="3125">
        <v>15800</v>
      </c>
      <c r="U1098" s="3598">
        <v>44586</v>
      </c>
      <c r="V1098" s="3125">
        <v>15800</v>
      </c>
      <c r="W1098" s="3599">
        <v>44606</v>
      </c>
      <c r="X1098" s="3073">
        <v>15800</v>
      </c>
      <c r="Y1098" s="3072">
        <v>44614</v>
      </c>
      <c r="Z1098" s="3112"/>
      <c r="AA1098" s="3125"/>
      <c r="AB1098" s="3112"/>
      <c r="AC1098" s="3112"/>
      <c r="AD1098" s="3111"/>
      <c r="AE1098" s="3111"/>
      <c r="AF1098" s="3111"/>
      <c r="AG1098" s="3111"/>
      <c r="AH1098" s="1291"/>
      <c r="AI1098" s="1291"/>
    </row>
    <row r="1099" customFormat="1" ht="29.25" customHeight="1" spans="1:35">
      <c r="A1099" s="3620"/>
      <c r="B1099" s="3621"/>
      <c r="C1099" s="3622"/>
      <c r="D1099" s="3620"/>
      <c r="E1099" s="3620"/>
      <c r="F1099" s="3620"/>
      <c r="G1099" s="3620"/>
      <c r="H1099" s="3620"/>
      <c r="I1099" s="3620"/>
      <c r="J1099" s="3620"/>
      <c r="K1099" s="3654"/>
      <c r="L1099" s="3620"/>
      <c r="M1099" s="3125">
        <v>2</v>
      </c>
      <c r="N1099" s="3543" t="s">
        <v>6031</v>
      </c>
      <c r="O1099" s="3673">
        <v>0.6</v>
      </c>
      <c r="P1099" s="3546">
        <v>47400</v>
      </c>
      <c r="Q1099" s="3071">
        <v>47400</v>
      </c>
      <c r="R1099" s="1238" t="s">
        <v>4603</v>
      </c>
      <c r="S1099" s="3600">
        <v>44830</v>
      </c>
      <c r="T1099" s="3580">
        <v>47400</v>
      </c>
      <c r="U1099" s="3715" t="s">
        <v>6032</v>
      </c>
      <c r="V1099" s="3580">
        <v>47400</v>
      </c>
      <c r="W1099" s="3598">
        <v>44842</v>
      </c>
      <c r="X1099" s="3071">
        <v>47400</v>
      </c>
      <c r="Y1099" s="3598">
        <v>44846</v>
      </c>
      <c r="Z1099" s="3125"/>
      <c r="AA1099" s="3125"/>
      <c r="AB1099" s="3125"/>
      <c r="AC1099" s="3125"/>
      <c r="AD1099" s="3125"/>
      <c r="AE1099" s="3125"/>
      <c r="AF1099" s="3125"/>
      <c r="AG1099" s="3125"/>
      <c r="AH1099" s="3125"/>
      <c r="AI1099" s="3125"/>
    </row>
    <row r="1100" customFormat="1" ht="29.25" customHeight="1" spans="1:35">
      <c r="A1100" s="3620"/>
      <c r="B1100" s="3623"/>
      <c r="C1100" s="3622"/>
      <c r="D1100" s="3620"/>
      <c r="E1100" s="3620"/>
      <c r="F1100" s="3620"/>
      <c r="G1100" s="3620"/>
      <c r="H1100" s="3620"/>
      <c r="I1100" s="3620"/>
      <c r="J1100" s="3620"/>
      <c r="K1100" s="3654"/>
      <c r="L1100" s="3620"/>
      <c r="M1100" s="3125">
        <v>3</v>
      </c>
      <c r="N1100" s="3543" t="s">
        <v>6033</v>
      </c>
      <c r="O1100" s="3673">
        <v>0.2</v>
      </c>
      <c r="P1100" s="3546">
        <v>15800</v>
      </c>
      <c r="Q1100" s="3071">
        <v>15800</v>
      </c>
      <c r="R1100" s="1238" t="s">
        <v>4603</v>
      </c>
      <c r="S1100" s="3600">
        <v>45080</v>
      </c>
      <c r="T1100" s="3580">
        <v>15800</v>
      </c>
      <c r="U1100" s="3600">
        <v>45080</v>
      </c>
      <c r="V1100" s="3580">
        <v>15800</v>
      </c>
      <c r="W1100" s="3600">
        <v>45078</v>
      </c>
      <c r="X1100" s="3071">
        <v>15800</v>
      </c>
      <c r="Y1100" s="3598">
        <v>45090</v>
      </c>
      <c r="Z1100" s="3125"/>
      <c r="AA1100" s="3125"/>
      <c r="AB1100" s="3125"/>
      <c r="AC1100" s="3125"/>
      <c r="AD1100" s="3125"/>
      <c r="AE1100" s="3125"/>
      <c r="AF1100" s="3125"/>
      <c r="AG1100" s="3125"/>
      <c r="AH1100" s="3125"/>
      <c r="AI1100" s="3125"/>
    </row>
    <row r="1101" s="27" customFormat="1" ht="92" spans="1:35">
      <c r="A1101" s="2874" t="s">
        <v>1003</v>
      </c>
      <c r="B1101" s="3624">
        <v>44497</v>
      </c>
      <c r="C1101" s="3625" t="s">
        <v>5856</v>
      </c>
      <c r="D1101" s="2997"/>
      <c r="E1101" s="2937" t="s">
        <v>6034</v>
      </c>
      <c r="F1101" s="2937" t="s">
        <v>6035</v>
      </c>
      <c r="G1101" s="2874" t="s">
        <v>3673</v>
      </c>
      <c r="H1101" s="2937" t="s">
        <v>4817</v>
      </c>
      <c r="I1101" s="2997"/>
      <c r="J1101" s="2874" t="s">
        <v>997</v>
      </c>
      <c r="K1101" s="2967">
        <v>170000</v>
      </c>
      <c r="L1101" s="2874" t="s">
        <v>126</v>
      </c>
      <c r="M1101" s="2874">
        <v>1</v>
      </c>
      <c r="N1101" s="3674" t="s">
        <v>6036</v>
      </c>
      <c r="O1101" s="3675">
        <v>0.2</v>
      </c>
      <c r="P1101" s="3676">
        <v>34000</v>
      </c>
      <c r="Q1101" s="2964">
        <v>34000</v>
      </c>
      <c r="R1101" s="2874" t="s">
        <v>4603</v>
      </c>
      <c r="S1101" s="2965">
        <v>44614</v>
      </c>
      <c r="T1101" s="3696">
        <v>34000</v>
      </c>
      <c r="U1101" s="3700">
        <v>44586</v>
      </c>
      <c r="V1101" s="3696">
        <v>34000</v>
      </c>
      <c r="W1101" s="3716">
        <v>44606</v>
      </c>
      <c r="X1101" s="2964">
        <v>34000</v>
      </c>
      <c r="Y1101" s="3716">
        <v>44614</v>
      </c>
      <c r="Z1101" s="2990"/>
      <c r="AA1101" s="2997"/>
      <c r="AB1101" s="2990"/>
      <c r="AC1101" s="2990"/>
      <c r="AD1101" s="2990"/>
      <c r="AE1101" s="2990"/>
      <c r="AF1101" s="2990"/>
      <c r="AG1101" s="2990"/>
      <c r="AH1101" s="3726"/>
      <c r="AI1101" s="3726"/>
    </row>
    <row r="1102" s="28" customFormat="1" ht="107" spans="1:35">
      <c r="A1102" s="3626"/>
      <c r="B1102" s="3627"/>
      <c r="C1102" s="3628"/>
      <c r="D1102" s="3626"/>
      <c r="E1102" s="3626"/>
      <c r="F1102" s="3626"/>
      <c r="G1102" s="3626"/>
      <c r="H1102" s="3626"/>
      <c r="I1102" s="3626"/>
      <c r="J1102" s="3626"/>
      <c r="K1102" s="3655"/>
      <c r="L1102" s="3626"/>
      <c r="M1102" s="2997">
        <v>2</v>
      </c>
      <c r="N1102" s="3674" t="s">
        <v>6031</v>
      </c>
      <c r="O1102" s="3677">
        <v>0.6</v>
      </c>
      <c r="P1102" s="3678">
        <v>102000</v>
      </c>
      <c r="Q1102" s="2964">
        <v>102000</v>
      </c>
      <c r="R1102" s="2874" t="s">
        <v>4603</v>
      </c>
      <c r="S1102" s="3697">
        <v>44774</v>
      </c>
      <c r="T1102" s="2997">
        <v>102000</v>
      </c>
      <c r="U1102" s="3700">
        <v>44774</v>
      </c>
      <c r="V1102" s="2997">
        <v>102000</v>
      </c>
      <c r="W1102" s="3700">
        <v>44788</v>
      </c>
      <c r="X1102" s="3717">
        <v>102000</v>
      </c>
      <c r="Y1102" s="3700">
        <v>44784</v>
      </c>
      <c r="Z1102" s="2997"/>
      <c r="AA1102" s="2997"/>
      <c r="AB1102" s="2997"/>
      <c r="AC1102" s="2997"/>
      <c r="AD1102" s="2997"/>
      <c r="AE1102" s="2997"/>
      <c r="AF1102" s="2997"/>
      <c r="AG1102" s="2997"/>
      <c r="AH1102" s="2997"/>
      <c r="AI1102" s="2997"/>
    </row>
    <row r="1103" s="28" customFormat="1" ht="107" spans="1:35">
      <c r="A1103" s="3626"/>
      <c r="B1103" s="3629"/>
      <c r="C1103" s="3630"/>
      <c r="D1103" s="3626"/>
      <c r="E1103" s="3626"/>
      <c r="F1103" s="3626"/>
      <c r="G1103" s="3626"/>
      <c r="H1103" s="3626"/>
      <c r="I1103" s="3626"/>
      <c r="J1103" s="3626"/>
      <c r="K1103" s="3655"/>
      <c r="L1103" s="3626"/>
      <c r="M1103" s="2997">
        <v>3</v>
      </c>
      <c r="N1103" s="3674" t="s">
        <v>6033</v>
      </c>
      <c r="O1103" s="3677">
        <v>0.2</v>
      </c>
      <c r="P1103" s="3678">
        <v>34000</v>
      </c>
      <c r="Q1103" s="3698">
        <v>34000</v>
      </c>
      <c r="R1103" s="622" t="s">
        <v>4603</v>
      </c>
      <c r="S1103" s="3699">
        <v>45287</v>
      </c>
      <c r="T1103" s="42"/>
      <c r="U1103" s="2997"/>
      <c r="V1103" s="2997"/>
      <c r="W1103" s="2997"/>
      <c r="X1103" s="3717"/>
      <c r="Y1103" s="2997"/>
      <c r="Z1103" s="2997"/>
      <c r="AA1103" s="2997"/>
      <c r="AB1103" s="2997"/>
      <c r="AC1103" s="2997"/>
      <c r="AD1103" s="2997"/>
      <c r="AE1103" s="2997"/>
      <c r="AF1103" s="2997"/>
      <c r="AG1103" s="2997"/>
      <c r="AH1103" s="2997"/>
      <c r="AI1103" s="2997"/>
    </row>
    <row r="1104" s="28" customFormat="1" ht="27" customHeight="1" spans="1:35">
      <c r="A1104" s="3631" t="s">
        <v>1003</v>
      </c>
      <c r="B1104" s="3632">
        <v>44539</v>
      </c>
      <c r="C1104" s="2878" t="s">
        <v>5891</v>
      </c>
      <c r="D1104" s="3633"/>
      <c r="E1104" s="2896" t="s">
        <v>6037</v>
      </c>
      <c r="F1104" s="2896" t="s">
        <v>6038</v>
      </c>
      <c r="G1104" s="2911" t="s">
        <v>6039</v>
      </c>
      <c r="H1104" s="2896" t="s">
        <v>6040</v>
      </c>
      <c r="I1104" s="3633"/>
      <c r="J1104" s="3633"/>
      <c r="K1104" s="3656">
        <v>40000</v>
      </c>
      <c r="L1104" s="3657" t="s">
        <v>126</v>
      </c>
      <c r="M1104" s="2997">
        <v>1</v>
      </c>
      <c r="N1104" s="3674" t="s">
        <v>6041</v>
      </c>
      <c r="O1104" s="3675">
        <v>0.2</v>
      </c>
      <c r="P1104" s="3678">
        <v>8000</v>
      </c>
      <c r="Q1104" s="2964">
        <v>31378.64</v>
      </c>
      <c r="R1104" s="2874" t="s">
        <v>4603</v>
      </c>
      <c r="S1104" s="3700">
        <v>44553</v>
      </c>
      <c r="T1104" s="3696">
        <v>31378.64</v>
      </c>
      <c r="U1104" s="3700">
        <v>44615</v>
      </c>
      <c r="V1104" s="3696">
        <v>31378.64</v>
      </c>
      <c r="W1104" s="3700">
        <v>44553</v>
      </c>
      <c r="X1104" s="2964">
        <v>31378.64</v>
      </c>
      <c r="Y1104" s="3700">
        <v>44609</v>
      </c>
      <c r="Z1104" s="2997"/>
      <c r="AA1104" s="2937" t="s">
        <v>5434</v>
      </c>
      <c r="AB1104" s="2997"/>
      <c r="AC1104" s="2997"/>
      <c r="AD1104" s="2997"/>
      <c r="AE1104" s="2997"/>
      <c r="AF1104" s="2997"/>
      <c r="AG1104" s="2997"/>
      <c r="AH1104" s="2997"/>
      <c r="AI1104" s="2997"/>
    </row>
    <row r="1105" s="28" customFormat="1" ht="27" customHeight="1" spans="1:35">
      <c r="A1105" s="3634"/>
      <c r="B1105" s="3635"/>
      <c r="C1105" s="3628"/>
      <c r="D1105" s="3634"/>
      <c r="E1105" s="3649"/>
      <c r="F1105" s="3650"/>
      <c r="G1105" s="3649"/>
      <c r="H1105" s="3650"/>
      <c r="I1105" s="3634"/>
      <c r="J1105" s="3634"/>
      <c r="K1105" s="3658"/>
      <c r="L1105" s="3659"/>
      <c r="M1105" s="2874">
        <v>2</v>
      </c>
      <c r="N1105" s="3674" t="s">
        <v>6042</v>
      </c>
      <c r="O1105" s="3677">
        <v>0.6</v>
      </c>
      <c r="P1105" s="3678">
        <v>24000</v>
      </c>
      <c r="Q1105" s="2964"/>
      <c r="R1105" s="2874"/>
      <c r="S1105" s="2997"/>
      <c r="T1105" s="3696"/>
      <c r="U1105" s="2997"/>
      <c r="V1105" s="3696"/>
      <c r="W1105" s="3700"/>
      <c r="X1105" s="2964"/>
      <c r="Y1105" s="2997"/>
      <c r="Z1105" s="2997"/>
      <c r="AA1105" s="3722"/>
      <c r="AB1105" s="2997"/>
      <c r="AC1105" s="2997"/>
      <c r="AD1105" s="2997"/>
      <c r="AE1105" s="2997"/>
      <c r="AF1105" s="2997"/>
      <c r="AG1105" s="2997"/>
      <c r="AH1105" s="2997"/>
      <c r="AI1105" s="2997"/>
    </row>
    <row r="1106" s="28" customFormat="1" ht="27" customHeight="1" spans="1:35">
      <c r="A1106" s="3636"/>
      <c r="B1106" s="3637"/>
      <c r="C1106" s="3630"/>
      <c r="D1106" s="3636"/>
      <c r="E1106" s="3651"/>
      <c r="F1106" s="3652"/>
      <c r="G1106" s="3651"/>
      <c r="H1106" s="3652"/>
      <c r="I1106" s="3636"/>
      <c r="J1106" s="3636"/>
      <c r="K1106" s="3660"/>
      <c r="L1106" s="3661"/>
      <c r="M1106" s="2997">
        <v>3</v>
      </c>
      <c r="N1106" s="3674" t="s">
        <v>4774</v>
      </c>
      <c r="O1106" s="3677">
        <v>0.2</v>
      </c>
      <c r="P1106" s="3678">
        <v>8000</v>
      </c>
      <c r="Q1106" s="3698">
        <v>7844.66</v>
      </c>
      <c r="R1106" s="622" t="s">
        <v>4603</v>
      </c>
      <c r="S1106" s="3699">
        <v>45079</v>
      </c>
      <c r="T1106" s="3701">
        <v>7844.66</v>
      </c>
      <c r="U1106" s="3699">
        <v>45079</v>
      </c>
      <c r="V1106" s="3701">
        <v>7844.66</v>
      </c>
      <c r="W1106" s="3699">
        <v>45078</v>
      </c>
      <c r="X1106" s="3698">
        <v>7844.66</v>
      </c>
      <c r="Y1106" s="3699">
        <v>45090</v>
      </c>
      <c r="Z1106" s="2997"/>
      <c r="AA1106" s="2997"/>
      <c r="AB1106" s="2997"/>
      <c r="AC1106" s="2997"/>
      <c r="AD1106" s="2997"/>
      <c r="AE1106" s="2997"/>
      <c r="AF1106" s="2997"/>
      <c r="AG1106" s="2997"/>
      <c r="AH1106" s="2997"/>
      <c r="AI1106" s="2997"/>
    </row>
    <row r="1107" s="28" customFormat="1" ht="92" spans="1:35">
      <c r="A1107" s="3631" t="s">
        <v>1003</v>
      </c>
      <c r="B1107" s="3632">
        <v>44537</v>
      </c>
      <c r="C1107" s="3625" t="s">
        <v>5856</v>
      </c>
      <c r="D1107" s="3633"/>
      <c r="E1107" s="2896" t="s">
        <v>6043</v>
      </c>
      <c r="F1107" s="2896" t="s">
        <v>6044</v>
      </c>
      <c r="G1107" s="2911" t="s">
        <v>6039</v>
      </c>
      <c r="H1107" s="2896" t="s">
        <v>6040</v>
      </c>
      <c r="I1107" s="3633"/>
      <c r="J1107" s="3633"/>
      <c r="K1107" s="3656">
        <v>110000</v>
      </c>
      <c r="L1107" s="3657" t="s">
        <v>126</v>
      </c>
      <c r="M1107" s="2997">
        <v>1</v>
      </c>
      <c r="N1107" s="3679" t="s">
        <v>6041</v>
      </c>
      <c r="O1107" s="3675">
        <v>0.2</v>
      </c>
      <c r="P1107" s="2997">
        <v>22000</v>
      </c>
      <c r="Q1107" s="2964">
        <v>21572.82</v>
      </c>
      <c r="R1107" s="2874" t="s">
        <v>4603</v>
      </c>
      <c r="S1107" s="3700">
        <v>44557</v>
      </c>
      <c r="T1107" s="3702">
        <v>21572.82</v>
      </c>
      <c r="U1107" s="3700">
        <v>44557</v>
      </c>
      <c r="V1107" s="3702">
        <v>21572.82</v>
      </c>
      <c r="W1107" s="3700">
        <v>44553</v>
      </c>
      <c r="X1107" s="3717">
        <v>21572.82</v>
      </c>
      <c r="Y1107" s="3700">
        <v>44665</v>
      </c>
      <c r="Z1107" s="2997"/>
      <c r="AA1107" s="2937" t="s">
        <v>5434</v>
      </c>
      <c r="AB1107" s="2997"/>
      <c r="AC1107" s="2997"/>
      <c r="AD1107" s="2997"/>
      <c r="AE1107" s="2997"/>
      <c r="AF1107" s="2997"/>
      <c r="AG1107" s="2997"/>
      <c r="AH1107" s="2997"/>
      <c r="AI1107" s="2997"/>
    </row>
    <row r="1108" s="28" customFormat="1" ht="92" spans="1:35">
      <c r="A1108" s="3634"/>
      <c r="B1108" s="3635"/>
      <c r="C1108" s="3628"/>
      <c r="D1108" s="3634"/>
      <c r="E1108" s="3649"/>
      <c r="F1108" s="3650"/>
      <c r="G1108" s="3649"/>
      <c r="H1108" s="3650"/>
      <c r="I1108" s="3634"/>
      <c r="J1108" s="3634"/>
      <c r="K1108" s="3658"/>
      <c r="L1108" s="3659"/>
      <c r="M1108" s="2874">
        <v>2</v>
      </c>
      <c r="N1108" s="3679" t="s">
        <v>6042</v>
      </c>
      <c r="O1108" s="3677">
        <v>0.6</v>
      </c>
      <c r="P1108" s="2997">
        <v>66000</v>
      </c>
      <c r="Q1108" s="2964">
        <v>64718.45</v>
      </c>
      <c r="R1108" s="2874" t="s">
        <v>4603</v>
      </c>
      <c r="S1108" s="3697">
        <v>44633</v>
      </c>
      <c r="T1108" s="3696">
        <v>64718.45</v>
      </c>
      <c r="U1108" s="3700">
        <v>44629</v>
      </c>
      <c r="V1108" s="3696">
        <v>64718.45</v>
      </c>
      <c r="W1108" s="3700">
        <v>44629</v>
      </c>
      <c r="X1108" s="3717">
        <v>64718.45</v>
      </c>
      <c r="Y1108" s="3700">
        <v>44664</v>
      </c>
      <c r="Z1108" s="2997"/>
      <c r="AA1108" s="2997"/>
      <c r="AB1108" s="2997"/>
      <c r="AC1108" s="2997"/>
      <c r="AD1108" s="2997"/>
      <c r="AE1108" s="2997"/>
      <c r="AF1108" s="2997"/>
      <c r="AG1108" s="2997"/>
      <c r="AH1108" s="2997"/>
      <c r="AI1108" s="2997"/>
    </row>
    <row r="1109" s="28" customFormat="1" ht="76" spans="1:35">
      <c r="A1109" s="3636"/>
      <c r="B1109" s="3637"/>
      <c r="C1109" s="3630"/>
      <c r="D1109" s="3636"/>
      <c r="E1109" s="3636"/>
      <c r="F1109" s="3652"/>
      <c r="G1109" s="3651"/>
      <c r="H1109" s="3652"/>
      <c r="I1109" s="3636"/>
      <c r="J1109" s="3636"/>
      <c r="K1109" s="3660"/>
      <c r="L1109" s="3661"/>
      <c r="M1109" s="2997">
        <v>3</v>
      </c>
      <c r="N1109" s="3679" t="s">
        <v>4774</v>
      </c>
      <c r="O1109" s="3677">
        <v>0.2</v>
      </c>
      <c r="P1109" s="2997">
        <v>22000</v>
      </c>
      <c r="Q1109" s="3703"/>
      <c r="R1109" s="3704"/>
      <c r="S1109" s="3705"/>
      <c r="T1109" s="42"/>
      <c r="U1109" s="2997"/>
      <c r="V1109" s="2997"/>
      <c r="W1109" s="2997"/>
      <c r="X1109" s="3717"/>
      <c r="Y1109" s="2997"/>
      <c r="Z1109" s="2997"/>
      <c r="AA1109" s="2997"/>
      <c r="AB1109" s="2997"/>
      <c r="AC1109" s="2997"/>
      <c r="AD1109" s="2997"/>
      <c r="AE1109" s="2997"/>
      <c r="AF1109" s="2997"/>
      <c r="AG1109" s="2997"/>
      <c r="AH1109" s="2997"/>
      <c r="AI1109" s="2997"/>
    </row>
    <row r="1110" s="4" customFormat="1" ht="96" customHeight="1" spans="1:35">
      <c r="A1110" s="294" t="s">
        <v>2570</v>
      </c>
      <c r="B1110" s="3638">
        <v>44470</v>
      </c>
      <c r="C1110" s="363" t="s">
        <v>6045</v>
      </c>
      <c r="D1110" s="1499" t="s">
        <v>6046</v>
      </c>
      <c r="E1110" s="1499" t="s">
        <v>6047</v>
      </c>
      <c r="F1110" s="1499" t="s">
        <v>6048</v>
      </c>
      <c r="G1110" s="1499" t="s">
        <v>6049</v>
      </c>
      <c r="H1110" s="1499" t="s">
        <v>6050</v>
      </c>
      <c r="I1110" s="37">
        <v>10437.2</v>
      </c>
      <c r="J1110" s="294" t="s">
        <v>997</v>
      </c>
      <c r="K1110" s="3662">
        <v>313116</v>
      </c>
      <c r="L1110" s="294" t="s">
        <v>126</v>
      </c>
      <c r="M1110" s="294">
        <v>1</v>
      </c>
      <c r="N1110" s="2618" t="s">
        <v>6051</v>
      </c>
      <c r="O1110" s="2348">
        <v>0.2</v>
      </c>
      <c r="P1110" s="37">
        <v>62623.2</v>
      </c>
      <c r="Q1110" s="37">
        <v>62623.2</v>
      </c>
      <c r="R1110" s="294" t="s">
        <v>4603</v>
      </c>
      <c r="S1110" s="3607">
        <v>44515</v>
      </c>
      <c r="T1110" s="37">
        <v>62623.2</v>
      </c>
      <c r="U1110" s="3607">
        <v>44515</v>
      </c>
      <c r="V1110" s="37">
        <v>62623.2</v>
      </c>
      <c r="W1110" s="3718">
        <v>44516</v>
      </c>
      <c r="X1110" s="37">
        <v>62623.2</v>
      </c>
      <c r="Y1110" s="3586">
        <v>44518</v>
      </c>
      <c r="Z1110" s="37">
        <f>Q1110-X1110</f>
        <v>0</v>
      </c>
      <c r="AA1110" s="11"/>
      <c r="AB1110" s="11"/>
      <c r="AC1110" s="11"/>
      <c r="AD1110" s="11"/>
      <c r="AE1110" s="11"/>
      <c r="AF1110" s="11"/>
      <c r="AG1110" s="11"/>
      <c r="AH1110" s="339"/>
      <c r="AI1110" s="339"/>
    </row>
    <row r="1111" s="15" customFormat="1" ht="111" customHeight="1" spans="1:35">
      <c r="A1111" s="3639"/>
      <c r="B1111" s="3640"/>
      <c r="C1111" s="3641"/>
      <c r="D1111" s="3639"/>
      <c r="E1111" s="3639"/>
      <c r="F1111" s="3639"/>
      <c r="G1111" s="3653"/>
      <c r="H1111" s="3639"/>
      <c r="I1111" s="3639"/>
      <c r="J1111" s="3639"/>
      <c r="K1111" s="3663"/>
      <c r="L1111" s="3639"/>
      <c r="M1111" s="37">
        <v>2</v>
      </c>
      <c r="N1111" s="2618" t="s">
        <v>6052</v>
      </c>
      <c r="O1111" s="3680">
        <v>0.6</v>
      </c>
      <c r="P1111" s="37">
        <v>187869.6</v>
      </c>
      <c r="Q1111" s="37">
        <v>187869.6</v>
      </c>
      <c r="R1111" s="294" t="s">
        <v>4603</v>
      </c>
      <c r="S1111" s="3607">
        <v>44515</v>
      </c>
      <c r="T1111" s="37">
        <v>187869.6</v>
      </c>
      <c r="U1111" s="3607">
        <v>44515</v>
      </c>
      <c r="V1111" s="37">
        <v>187869.6</v>
      </c>
      <c r="W1111" s="3718">
        <v>44516</v>
      </c>
      <c r="X1111" s="37">
        <v>187869.6</v>
      </c>
      <c r="Y1111" s="3586">
        <v>44518</v>
      </c>
      <c r="Z1111" s="37">
        <f>Q1111-X1111</f>
        <v>0</v>
      </c>
      <c r="AA1111" s="37"/>
      <c r="AB1111" s="37"/>
      <c r="AC1111" s="37"/>
      <c r="AD1111" s="37"/>
      <c r="AE1111" s="37"/>
      <c r="AF1111" s="37"/>
      <c r="AG1111" s="37"/>
      <c r="AH1111" s="37"/>
      <c r="AI1111" s="37"/>
    </row>
    <row r="1112" s="15" customFormat="1" ht="111" customHeight="1" spans="1:35">
      <c r="A1112" s="3639"/>
      <c r="B1112" s="3640"/>
      <c r="C1112" s="3641"/>
      <c r="D1112" s="3639"/>
      <c r="E1112" s="3639"/>
      <c r="F1112" s="3639"/>
      <c r="G1112" s="3653"/>
      <c r="H1112" s="3639"/>
      <c r="I1112" s="3639"/>
      <c r="J1112" s="3639"/>
      <c r="K1112" s="3663"/>
      <c r="L1112" s="3639"/>
      <c r="M1112" s="3505">
        <v>3</v>
      </c>
      <c r="N1112" s="705" t="s">
        <v>6053</v>
      </c>
      <c r="O1112" s="3680">
        <v>0.18</v>
      </c>
      <c r="P1112" s="37">
        <f>K1110*O1112</f>
        <v>56360.88</v>
      </c>
      <c r="Q1112" s="37">
        <v>56360.88</v>
      </c>
      <c r="R1112" s="294" t="s">
        <v>4603</v>
      </c>
      <c r="S1112" s="2433">
        <v>45280</v>
      </c>
      <c r="T1112" s="37">
        <v>56360.88</v>
      </c>
      <c r="U1112" s="3607">
        <v>45280</v>
      </c>
      <c r="V1112" s="37"/>
      <c r="W1112" s="3718"/>
      <c r="X1112" s="3706">
        <v>56360.88</v>
      </c>
      <c r="Y1112" s="3723">
        <v>46052</v>
      </c>
      <c r="Z1112" s="37"/>
      <c r="AA1112" s="37"/>
      <c r="AB1112" s="37"/>
      <c r="AC1112" s="37"/>
      <c r="AD1112" s="37"/>
      <c r="AE1112" s="37"/>
      <c r="AF1112" s="37"/>
      <c r="AG1112" s="37"/>
      <c r="AH1112" s="37"/>
      <c r="AI1112" s="37"/>
    </row>
    <row r="1113" s="15" customFormat="1" ht="80.25" customHeight="1" spans="1:35">
      <c r="A1113" s="3639"/>
      <c r="B1113" s="3642"/>
      <c r="C1113" s="3641"/>
      <c r="D1113" s="3639"/>
      <c r="E1113" s="3639"/>
      <c r="F1113" s="3639"/>
      <c r="G1113" s="3653"/>
      <c r="H1113" s="3639"/>
      <c r="I1113" s="3639"/>
      <c r="J1113" s="3639"/>
      <c r="K1113" s="3663"/>
      <c r="L1113" s="3639"/>
      <c r="M1113" s="3681"/>
      <c r="N1113" s="3558"/>
      <c r="O1113" s="3680">
        <v>0.02</v>
      </c>
      <c r="P1113" s="37">
        <f>K1110*O1113</f>
        <v>6262.32</v>
      </c>
      <c r="Q1113" s="3706">
        <v>6262.32</v>
      </c>
      <c r="R1113" s="3605" t="s">
        <v>5015</v>
      </c>
      <c r="S1113" s="3606">
        <v>46052</v>
      </c>
      <c r="T1113" s="37"/>
      <c r="U1113" s="37"/>
      <c r="V1113" s="37"/>
      <c r="W1113" s="37"/>
      <c r="X1113" s="3706">
        <v>6262.32</v>
      </c>
      <c r="Y1113" s="3723">
        <v>46052</v>
      </c>
      <c r="Z1113" s="37">
        <f>Q1113-X1113</f>
        <v>0</v>
      </c>
      <c r="AA1113" s="37"/>
      <c r="AB1113" s="37"/>
      <c r="AC1113" s="37"/>
      <c r="AD1113" s="37"/>
      <c r="AE1113" s="37"/>
      <c r="AF1113" s="37"/>
      <c r="AG1113" s="37"/>
      <c r="AH1113" s="37"/>
      <c r="AI1113" s="37"/>
    </row>
    <row r="1114" s="4" customFormat="1" ht="99.75" customHeight="1" spans="1:35">
      <c r="A1114" s="294" t="s">
        <v>2570</v>
      </c>
      <c r="B1114" s="3638">
        <v>44470</v>
      </c>
      <c r="C1114" s="363" t="s">
        <v>6045</v>
      </c>
      <c r="D1114" s="37"/>
      <c r="E1114" s="1499" t="s">
        <v>6054</v>
      </c>
      <c r="F1114" s="1499" t="s">
        <v>6055</v>
      </c>
      <c r="G1114" s="1499" t="s">
        <v>6056</v>
      </c>
      <c r="H1114" s="1499" t="s">
        <v>6057</v>
      </c>
      <c r="I1114" s="37"/>
      <c r="J1114" s="294" t="s">
        <v>997</v>
      </c>
      <c r="K1114" s="3662">
        <v>220000</v>
      </c>
      <c r="L1114" s="294" t="s">
        <v>126</v>
      </c>
      <c r="M1114" s="294">
        <v>1</v>
      </c>
      <c r="N1114" s="2618" t="s">
        <v>6058</v>
      </c>
      <c r="O1114" s="2348">
        <v>0.3</v>
      </c>
      <c r="P1114" s="37">
        <v>66000</v>
      </c>
      <c r="Q1114" s="37">
        <v>66000</v>
      </c>
      <c r="R1114" s="294" t="s">
        <v>4603</v>
      </c>
      <c r="S1114" s="3607">
        <v>44517</v>
      </c>
      <c r="T1114" s="37">
        <v>66000</v>
      </c>
      <c r="U1114" s="3607">
        <v>44517</v>
      </c>
      <c r="V1114" s="37">
        <v>66000</v>
      </c>
      <c r="W1114" s="3718">
        <v>44516</v>
      </c>
      <c r="X1114" s="37">
        <v>66000</v>
      </c>
      <c r="Y1114" s="3586">
        <v>44519</v>
      </c>
      <c r="Z1114" s="37">
        <f>Q1114-X1114</f>
        <v>0</v>
      </c>
      <c r="AA1114" s="11"/>
      <c r="AB1114" s="11"/>
      <c r="AC1114" s="11"/>
      <c r="AD1114" s="11"/>
      <c r="AE1114" s="11"/>
      <c r="AF1114" s="11"/>
      <c r="AG1114" s="11"/>
      <c r="AH1114" s="339"/>
      <c r="AI1114" s="339"/>
    </row>
    <row r="1115" s="15" customFormat="1" ht="100.5" customHeight="1" spans="1:35">
      <c r="A1115" s="3639"/>
      <c r="B1115" s="3640"/>
      <c r="C1115" s="3641"/>
      <c r="D1115" s="3639"/>
      <c r="E1115" s="3639"/>
      <c r="F1115" s="3639"/>
      <c r="G1115" s="3653"/>
      <c r="H1115" s="3639"/>
      <c r="I1115" s="3639"/>
      <c r="J1115" s="3639"/>
      <c r="K1115" s="3663"/>
      <c r="L1115" s="3639"/>
      <c r="M1115" s="37">
        <v>2</v>
      </c>
      <c r="N1115" s="2618" t="s">
        <v>6059</v>
      </c>
      <c r="O1115" s="3680">
        <v>0.6</v>
      </c>
      <c r="P1115" s="37">
        <v>132000</v>
      </c>
      <c r="Q1115" s="37">
        <v>132000</v>
      </c>
      <c r="R1115" s="294" t="s">
        <v>4603</v>
      </c>
      <c r="S1115" s="3607">
        <v>44517</v>
      </c>
      <c r="T1115" s="37">
        <v>132000</v>
      </c>
      <c r="U1115" s="3607">
        <v>44517</v>
      </c>
      <c r="V1115" s="37">
        <v>132000</v>
      </c>
      <c r="W1115" s="3718">
        <v>44516</v>
      </c>
      <c r="X1115" s="37">
        <v>132000</v>
      </c>
      <c r="Y1115" s="3586">
        <v>44519</v>
      </c>
      <c r="Z1115" s="37">
        <f>Q1115-X1115</f>
        <v>0</v>
      </c>
      <c r="AA1115" s="37"/>
      <c r="AB1115" s="37"/>
      <c r="AC1115" s="37"/>
      <c r="AD1115" s="37"/>
      <c r="AE1115" s="37"/>
      <c r="AF1115" s="37"/>
      <c r="AG1115" s="37"/>
      <c r="AH1115" s="37"/>
      <c r="AI1115" s="37"/>
    </row>
    <row r="1116" s="15" customFormat="1" ht="100.5" customHeight="1" spans="1:35">
      <c r="A1116" s="3639"/>
      <c r="B1116" s="3640"/>
      <c r="C1116" s="3641"/>
      <c r="D1116" s="3639"/>
      <c r="E1116" s="3639"/>
      <c r="F1116" s="3639"/>
      <c r="G1116" s="3653"/>
      <c r="H1116" s="3639"/>
      <c r="I1116" s="3639"/>
      <c r="J1116" s="3639"/>
      <c r="K1116" s="3663"/>
      <c r="L1116" s="3639"/>
      <c r="M1116" s="3505">
        <v>3</v>
      </c>
      <c r="N1116" s="705" t="s">
        <v>6060</v>
      </c>
      <c r="O1116" s="3680">
        <v>0.08</v>
      </c>
      <c r="P1116" s="37">
        <f>K1114*O1116</f>
        <v>17600</v>
      </c>
      <c r="Q1116" s="3588">
        <v>17600</v>
      </c>
      <c r="R1116" s="294" t="s">
        <v>4603</v>
      </c>
      <c r="S1116" s="2433">
        <v>45280</v>
      </c>
      <c r="T1116" s="3707">
        <f>O1114*S1116</f>
        <v>13584</v>
      </c>
      <c r="U1116" s="1948">
        <v>45280</v>
      </c>
      <c r="V1116" s="37"/>
      <c r="W1116" s="3718"/>
      <c r="X1116" s="3706">
        <v>17600</v>
      </c>
      <c r="Y1116" s="3723">
        <v>46052</v>
      </c>
      <c r="Z1116" s="37"/>
      <c r="AA1116" s="37"/>
      <c r="AB1116" s="37"/>
      <c r="AC1116" s="37"/>
      <c r="AD1116" s="37"/>
      <c r="AE1116" s="37"/>
      <c r="AF1116" s="37"/>
      <c r="AG1116" s="37"/>
      <c r="AH1116" s="37"/>
      <c r="AI1116" s="37"/>
    </row>
    <row r="1117" s="15" customFormat="1" ht="90" customHeight="1" spans="1:35">
      <c r="A1117" s="3639"/>
      <c r="B1117" s="3642"/>
      <c r="C1117" s="3641"/>
      <c r="D1117" s="3639"/>
      <c r="E1117" s="3639"/>
      <c r="F1117" s="3639"/>
      <c r="G1117" s="3653"/>
      <c r="H1117" s="3639"/>
      <c r="I1117" s="3639"/>
      <c r="J1117" s="3639"/>
      <c r="K1117" s="3663"/>
      <c r="L1117" s="3639"/>
      <c r="M1117" s="3681"/>
      <c r="N1117" s="3558"/>
      <c r="O1117" s="2348">
        <v>0.02</v>
      </c>
      <c r="P1117" s="37">
        <f>K1114*O1117</f>
        <v>4400</v>
      </c>
      <c r="Q1117" s="3706">
        <v>4400</v>
      </c>
      <c r="R1117" s="3605" t="s">
        <v>5015</v>
      </c>
      <c r="S1117" s="3606">
        <v>46052</v>
      </c>
      <c r="T1117" s="37"/>
      <c r="U1117" s="3607"/>
      <c r="V1117" s="37"/>
      <c r="W1117" s="37"/>
      <c r="X1117" s="3706">
        <v>4400</v>
      </c>
      <c r="Y1117" s="3723">
        <v>46052</v>
      </c>
      <c r="Z1117" s="37">
        <f t="shared" ref="Z1117:Z1123" si="37">Q1117-X1117</f>
        <v>0</v>
      </c>
      <c r="AA1117" s="37"/>
      <c r="AB1117" s="37"/>
      <c r="AC1117" s="37"/>
      <c r="AD1117" s="37"/>
      <c r="AE1117" s="37"/>
      <c r="AF1117" s="37"/>
      <c r="AG1117" s="37"/>
      <c r="AH1117" s="37"/>
      <c r="AI1117" s="37"/>
    </row>
    <row r="1118" s="4" customFormat="1" ht="42" customHeight="1" spans="1:35">
      <c r="A1118" s="1768" t="s">
        <v>2570</v>
      </c>
      <c r="B1118" s="3640">
        <v>44509</v>
      </c>
      <c r="C1118" s="1770" t="s">
        <v>6045</v>
      </c>
      <c r="D1118" s="1817"/>
      <c r="E1118" s="1817" t="s">
        <v>6061</v>
      </c>
      <c r="F1118" s="1817" t="s">
        <v>6062</v>
      </c>
      <c r="G1118" s="1499" t="s">
        <v>658</v>
      </c>
      <c r="H1118" s="1499" t="s">
        <v>6063</v>
      </c>
      <c r="I1118" s="3664"/>
      <c r="J1118" s="294" t="s">
        <v>997</v>
      </c>
      <c r="K1118" s="3662">
        <v>4883755.23</v>
      </c>
      <c r="L1118" s="1771" t="s">
        <v>126</v>
      </c>
      <c r="M1118" s="3682">
        <v>1</v>
      </c>
      <c r="N1118" s="2618" t="s">
        <v>6064</v>
      </c>
      <c r="O1118" s="3683">
        <v>0.2</v>
      </c>
      <c r="P1118" s="3662">
        <v>976751.05</v>
      </c>
      <c r="Q1118" s="3662">
        <v>976751.05</v>
      </c>
      <c r="R1118" s="294" t="s">
        <v>4603</v>
      </c>
      <c r="S1118" s="3607">
        <v>44517</v>
      </c>
      <c r="T1118" s="3662">
        <v>976751.05</v>
      </c>
      <c r="U1118" s="3607">
        <v>44517</v>
      </c>
      <c r="V1118" s="3662">
        <v>976751.05</v>
      </c>
      <c r="W1118" s="3607">
        <v>44515</v>
      </c>
      <c r="X1118" s="3662">
        <v>976751.05</v>
      </c>
      <c r="Y1118" s="3586">
        <v>44517</v>
      </c>
      <c r="Z1118" s="37">
        <f t="shared" si="37"/>
        <v>0</v>
      </c>
      <c r="AA1118" s="1578" t="s">
        <v>6065</v>
      </c>
      <c r="AB1118" s="11"/>
      <c r="AC1118" s="11"/>
      <c r="AD1118" s="11"/>
      <c r="AE1118" s="11"/>
      <c r="AF1118" s="11"/>
      <c r="AG1118" s="11"/>
      <c r="AH1118" s="339"/>
      <c r="AI1118" s="339"/>
    </row>
    <row r="1119" s="15" customFormat="1" ht="37.5" customHeight="1" spans="1:35">
      <c r="A1119" s="1771"/>
      <c r="B1119" s="3640"/>
      <c r="C1119" s="1770"/>
      <c r="D1119" s="1817"/>
      <c r="E1119" s="1817"/>
      <c r="F1119" s="1817"/>
      <c r="G1119" s="1499"/>
      <c r="H1119" s="1499"/>
      <c r="I1119" s="3664"/>
      <c r="J1119" s="294"/>
      <c r="K1119" s="3662"/>
      <c r="L1119" s="1771"/>
      <c r="M1119" s="3682">
        <v>2</v>
      </c>
      <c r="N1119" s="2618" t="s">
        <v>6066</v>
      </c>
      <c r="O1119" s="3683">
        <v>0.2</v>
      </c>
      <c r="P1119" s="3662">
        <v>976751.05</v>
      </c>
      <c r="Q1119" s="3662">
        <v>976751.05</v>
      </c>
      <c r="R1119" s="294" t="s">
        <v>4603</v>
      </c>
      <c r="S1119" s="3607">
        <v>44517</v>
      </c>
      <c r="T1119" s="3662">
        <v>976751.05</v>
      </c>
      <c r="U1119" s="3607">
        <v>44517</v>
      </c>
      <c r="V1119" s="3662">
        <v>976751.05</v>
      </c>
      <c r="W1119" s="3607">
        <v>44515</v>
      </c>
      <c r="X1119" s="3662">
        <v>976751.05</v>
      </c>
      <c r="Y1119" s="3586">
        <v>44517</v>
      </c>
      <c r="Z1119" s="37">
        <f t="shared" si="37"/>
        <v>0</v>
      </c>
      <c r="AA1119" s="1578" t="s">
        <v>6067</v>
      </c>
      <c r="AB1119" s="37"/>
      <c r="AC1119" s="37"/>
      <c r="AD1119" s="37"/>
      <c r="AE1119" s="37"/>
      <c r="AF1119" s="37"/>
      <c r="AG1119" s="37"/>
      <c r="AH1119" s="37"/>
      <c r="AI1119" s="37"/>
    </row>
    <row r="1120" s="15" customFormat="1" ht="64.5" customHeight="1" spans="1:35">
      <c r="A1120" s="1771"/>
      <c r="B1120" s="3640"/>
      <c r="C1120" s="1770"/>
      <c r="D1120" s="1817"/>
      <c r="E1120" s="1817"/>
      <c r="F1120" s="1817"/>
      <c r="G1120" s="1499"/>
      <c r="H1120" s="1499"/>
      <c r="I1120" s="3664"/>
      <c r="J1120" s="294"/>
      <c r="K1120" s="3662"/>
      <c r="L1120" s="1771"/>
      <c r="M1120" s="3682">
        <v>3</v>
      </c>
      <c r="N1120" s="2618" t="s">
        <v>6068</v>
      </c>
      <c r="O1120" s="3683">
        <v>0.1</v>
      </c>
      <c r="P1120" s="3662">
        <v>488375.52</v>
      </c>
      <c r="Q1120" s="3662">
        <v>488375.52</v>
      </c>
      <c r="R1120" s="294" t="s">
        <v>4603</v>
      </c>
      <c r="S1120" s="3607">
        <v>44517</v>
      </c>
      <c r="T1120" s="3662">
        <v>488375.52</v>
      </c>
      <c r="U1120" s="3607">
        <v>44517</v>
      </c>
      <c r="V1120" s="3662">
        <v>488375.52</v>
      </c>
      <c r="W1120" s="3607">
        <v>44515</v>
      </c>
      <c r="X1120" s="3662">
        <v>488375.52</v>
      </c>
      <c r="Y1120" s="3586">
        <v>44517</v>
      </c>
      <c r="Z1120" s="37">
        <f t="shared" si="37"/>
        <v>0</v>
      </c>
      <c r="AA1120" s="1578" t="s">
        <v>6069</v>
      </c>
      <c r="AC1120" s="37"/>
      <c r="AD1120" s="37"/>
      <c r="AE1120" s="37"/>
      <c r="AF1120" s="37"/>
      <c r="AG1120" s="37"/>
      <c r="AH1120" s="37"/>
      <c r="AI1120" s="37"/>
    </row>
    <row r="1121" s="15" customFormat="1" ht="48" customHeight="1" spans="1:35">
      <c r="A1121" s="1771"/>
      <c r="B1121" s="3640"/>
      <c r="C1121" s="1770"/>
      <c r="D1121" s="1817"/>
      <c r="E1121" s="1817"/>
      <c r="F1121" s="1817"/>
      <c r="G1121" s="1499"/>
      <c r="H1121" s="1499"/>
      <c r="I1121" s="3664"/>
      <c r="J1121" s="294"/>
      <c r="K1121" s="3662"/>
      <c r="L1121" s="1771"/>
      <c r="M1121" s="3682">
        <v>4</v>
      </c>
      <c r="N1121" s="2618" t="s">
        <v>6070</v>
      </c>
      <c r="O1121" s="3683">
        <v>0.2</v>
      </c>
      <c r="P1121" s="294">
        <v>976751.05</v>
      </c>
      <c r="Q1121" s="294">
        <v>976751.05</v>
      </c>
      <c r="R1121" s="294" t="s">
        <v>4603</v>
      </c>
      <c r="S1121" s="1948">
        <v>44560</v>
      </c>
      <c r="T1121" s="3684">
        <v>976751.05</v>
      </c>
      <c r="U1121" s="1948">
        <v>44553</v>
      </c>
      <c r="V1121" s="37">
        <v>976751.05</v>
      </c>
      <c r="W1121" s="3607">
        <v>44606</v>
      </c>
      <c r="X1121" s="3588">
        <v>976751.05</v>
      </c>
      <c r="Y1121" s="2433">
        <v>44613</v>
      </c>
      <c r="Z1121" s="37">
        <f t="shared" si="37"/>
        <v>0</v>
      </c>
      <c r="AA1121" s="294"/>
      <c r="AB1121" s="37"/>
      <c r="AC1121" s="37"/>
      <c r="AD1121" s="37"/>
      <c r="AE1121" s="37"/>
      <c r="AF1121" s="37"/>
      <c r="AG1121" s="37"/>
      <c r="AH1121" s="37"/>
      <c r="AI1121" s="37"/>
    </row>
    <row r="1122" s="15" customFormat="1" ht="57" customHeight="1" spans="1:35">
      <c r="A1122" s="1771"/>
      <c r="B1122" s="3640"/>
      <c r="C1122" s="1770"/>
      <c r="D1122" s="1817"/>
      <c r="E1122" s="1817"/>
      <c r="F1122" s="1817"/>
      <c r="G1122" s="1499"/>
      <c r="H1122" s="1499"/>
      <c r="I1122" s="3664"/>
      <c r="J1122" s="294"/>
      <c r="K1122" s="3662"/>
      <c r="L1122" s="1771"/>
      <c r="M1122" s="3682">
        <v>5</v>
      </c>
      <c r="N1122" s="2618" t="s">
        <v>6071</v>
      </c>
      <c r="O1122" s="3683">
        <v>0.15</v>
      </c>
      <c r="P1122" s="3662">
        <v>732563.28</v>
      </c>
      <c r="Q1122" s="3684">
        <v>732563.28</v>
      </c>
      <c r="R1122" s="294" t="s">
        <v>4603</v>
      </c>
      <c r="S1122" s="1948">
        <v>44560</v>
      </c>
      <c r="T1122" s="3684">
        <v>732563.28</v>
      </c>
      <c r="U1122" s="1948">
        <v>44553</v>
      </c>
      <c r="V1122" s="37">
        <v>732563.28</v>
      </c>
      <c r="W1122" s="3607">
        <v>45065</v>
      </c>
      <c r="X1122" s="37">
        <v>732563.28</v>
      </c>
      <c r="Y1122" s="1948">
        <v>45090</v>
      </c>
      <c r="Z1122" s="3706">
        <f t="shared" si="37"/>
        <v>0</v>
      </c>
      <c r="AA1122" s="294" t="s">
        <v>6072</v>
      </c>
      <c r="AB1122" s="37"/>
      <c r="AC1122" s="37"/>
      <c r="AD1122" s="37"/>
      <c r="AE1122" s="37"/>
      <c r="AF1122" s="37"/>
      <c r="AG1122" s="37"/>
      <c r="AH1122" s="37"/>
      <c r="AI1122" s="37"/>
    </row>
    <row r="1123" s="15" customFormat="1" ht="55.5" customHeight="1" spans="1:35">
      <c r="A1123" s="1771"/>
      <c r="B1123" s="3640"/>
      <c r="C1123" s="1770"/>
      <c r="D1123" s="1817"/>
      <c r="E1123" s="1817"/>
      <c r="F1123" s="1817"/>
      <c r="G1123" s="1499"/>
      <c r="H1123" s="1499"/>
      <c r="I1123" s="3664"/>
      <c r="J1123" s="294"/>
      <c r="K1123" s="3662"/>
      <c r="L1123" s="1771"/>
      <c r="M1123" s="3682">
        <v>6</v>
      </c>
      <c r="N1123" s="2618" t="s">
        <v>6073</v>
      </c>
      <c r="O1123" s="3683">
        <v>0.05</v>
      </c>
      <c r="P1123" s="3684">
        <v>244187.76</v>
      </c>
      <c r="Q1123" s="3684">
        <v>244187.76</v>
      </c>
      <c r="R1123" s="294" t="s">
        <v>4603</v>
      </c>
      <c r="S1123" s="1948">
        <v>44921</v>
      </c>
      <c r="T1123" s="3684">
        <v>244187.76</v>
      </c>
      <c r="U1123" s="1948">
        <v>44921</v>
      </c>
      <c r="V1123" s="3684">
        <v>244187.76</v>
      </c>
      <c r="W1123" s="3607">
        <v>45065</v>
      </c>
      <c r="X1123" s="3684">
        <v>244187.76</v>
      </c>
      <c r="Y1123" s="1948">
        <v>45090</v>
      </c>
      <c r="Z1123" s="37">
        <f t="shared" si="37"/>
        <v>0</v>
      </c>
      <c r="AA1123" s="37"/>
      <c r="AB1123" s="37"/>
      <c r="AC1123" s="37"/>
      <c r="AD1123" s="37"/>
      <c r="AE1123" s="37"/>
      <c r="AF1123" s="37"/>
      <c r="AG1123" s="37"/>
      <c r="AH1123" s="37"/>
      <c r="AI1123" s="37"/>
    </row>
    <row r="1124" s="15" customFormat="1" ht="55.5" customHeight="1" spans="1:35">
      <c r="A1124" s="1771"/>
      <c r="B1124" s="3640"/>
      <c r="C1124" s="1770"/>
      <c r="D1124" s="1817"/>
      <c r="E1124" s="1817"/>
      <c r="F1124" s="1817"/>
      <c r="G1124" s="1817"/>
      <c r="H1124" s="1817"/>
      <c r="I1124" s="3665"/>
      <c r="J1124" s="1771"/>
      <c r="K1124" s="3666"/>
      <c r="L1124" s="1771"/>
      <c r="M1124" s="3685">
        <v>7</v>
      </c>
      <c r="N1124" s="705" t="s">
        <v>6074</v>
      </c>
      <c r="O1124" s="3686">
        <v>0.07</v>
      </c>
      <c r="P1124" s="3684">
        <f>K1118*O1124</f>
        <v>341862.8661</v>
      </c>
      <c r="Q1124" s="3684">
        <v>341862.8661</v>
      </c>
      <c r="R1124" s="294" t="s">
        <v>4603</v>
      </c>
      <c r="S1124" s="2433">
        <v>45280</v>
      </c>
      <c r="T1124" s="3684">
        <v>341862.8661</v>
      </c>
      <c r="U1124" s="2433">
        <v>45280</v>
      </c>
      <c r="V1124" s="3684"/>
      <c r="W1124" s="3607"/>
      <c r="X1124" s="3708">
        <v>341862.87</v>
      </c>
      <c r="Y1124" s="3724">
        <v>46021</v>
      </c>
      <c r="Z1124" s="37"/>
      <c r="AA1124" s="37"/>
      <c r="AB1124" s="37"/>
      <c r="AC1124" s="37"/>
      <c r="AD1124" s="37"/>
      <c r="AE1124" s="37"/>
      <c r="AF1124" s="37"/>
      <c r="AG1124" s="37"/>
      <c r="AH1124" s="37"/>
      <c r="AI1124" s="37"/>
    </row>
    <row r="1125" s="15" customFormat="1" ht="37.5" customHeight="1" spans="1:35">
      <c r="A1125" s="1771"/>
      <c r="B1125" s="3640"/>
      <c r="C1125" s="1770"/>
      <c r="D1125" s="1817"/>
      <c r="E1125" s="1817"/>
      <c r="F1125" s="1817"/>
      <c r="G1125" s="1817"/>
      <c r="H1125" s="1817"/>
      <c r="I1125" s="3665"/>
      <c r="J1125" s="1771"/>
      <c r="K1125" s="3666"/>
      <c r="L1125" s="1771"/>
      <c r="M1125" s="3687"/>
      <c r="N1125" s="3558"/>
      <c r="O1125" s="3688">
        <v>0.03</v>
      </c>
      <c r="P1125" s="3662">
        <f>K1118*O1125</f>
        <v>146512.6569</v>
      </c>
      <c r="Q1125" s="3708">
        <v>146512.6569</v>
      </c>
      <c r="R1125" s="3605" t="s">
        <v>5015</v>
      </c>
      <c r="S1125" s="3606">
        <v>46021</v>
      </c>
      <c r="T1125" s="37"/>
      <c r="U1125" s="37"/>
      <c r="V1125" s="37"/>
      <c r="W1125" s="37"/>
      <c r="X1125" s="3706">
        <v>136512.6569</v>
      </c>
      <c r="Y1125" s="3724">
        <v>46021</v>
      </c>
      <c r="Z1125" s="37">
        <f t="shared" ref="Z1125:Z1142" si="38">Q1125-X1125</f>
        <v>10000</v>
      </c>
      <c r="AA1125" s="37"/>
      <c r="AB1125" s="37"/>
      <c r="AC1125" s="37"/>
      <c r="AD1125" s="37"/>
      <c r="AE1125" s="37"/>
      <c r="AF1125" s="37"/>
      <c r="AG1125" s="37"/>
      <c r="AH1125" s="37"/>
      <c r="AI1125" s="37"/>
    </row>
    <row r="1126" s="15" customFormat="1" ht="37.5" customHeight="1" spans="1:35">
      <c r="A1126" s="1771"/>
      <c r="B1126" s="3640"/>
      <c r="C1126" s="1770"/>
      <c r="D1126" s="1817"/>
      <c r="E1126" s="1817"/>
      <c r="F1126" s="1817"/>
      <c r="G1126" s="1499" t="s">
        <v>6075</v>
      </c>
      <c r="H1126" s="1499"/>
      <c r="I1126" s="3664"/>
      <c r="J1126" s="294"/>
      <c r="K1126" s="3662">
        <v>467778.6</v>
      </c>
      <c r="L1126" s="1771"/>
      <c r="M1126" s="3682">
        <v>1</v>
      </c>
      <c r="N1126" s="2618" t="s">
        <v>6076</v>
      </c>
      <c r="O1126" s="3688">
        <v>0.2</v>
      </c>
      <c r="P1126" s="37">
        <v>93555.72</v>
      </c>
      <c r="Q1126" s="37">
        <v>93555.72</v>
      </c>
      <c r="R1126" s="294" t="s">
        <v>4603</v>
      </c>
      <c r="S1126" s="3607">
        <v>44517</v>
      </c>
      <c r="T1126" s="37">
        <v>93555.72</v>
      </c>
      <c r="U1126" s="3607">
        <v>44517</v>
      </c>
      <c r="V1126" s="37">
        <v>93555.72</v>
      </c>
      <c r="W1126" s="3607">
        <v>44515</v>
      </c>
      <c r="X1126" s="37">
        <v>93555.72</v>
      </c>
      <c r="Y1126" s="3586">
        <v>44517</v>
      </c>
      <c r="Z1126" s="37">
        <f t="shared" si="38"/>
        <v>0</v>
      </c>
      <c r="AA1126" s="37" t="s">
        <v>6069</v>
      </c>
      <c r="AB1126" s="37"/>
      <c r="AC1126" s="37"/>
      <c r="AD1126" s="37"/>
      <c r="AE1126" s="37"/>
      <c r="AF1126" s="37"/>
      <c r="AG1126" s="37"/>
      <c r="AH1126" s="37"/>
      <c r="AI1126" s="37"/>
    </row>
    <row r="1127" s="15" customFormat="1" ht="37.5" customHeight="1" spans="1:35">
      <c r="A1127" s="1771"/>
      <c r="B1127" s="3640"/>
      <c r="C1127" s="1770"/>
      <c r="D1127" s="1817"/>
      <c r="E1127" s="1817"/>
      <c r="F1127" s="1817"/>
      <c r="G1127" s="1499"/>
      <c r="H1127" s="1499"/>
      <c r="I1127" s="3664"/>
      <c r="J1127" s="294"/>
      <c r="K1127" s="3662"/>
      <c r="L1127" s="1771"/>
      <c r="M1127" s="3682">
        <v>2</v>
      </c>
      <c r="N1127" s="2618" t="s">
        <v>6077</v>
      </c>
      <c r="O1127" s="3688">
        <v>0.6</v>
      </c>
      <c r="P1127" s="3662">
        <v>280667.16</v>
      </c>
      <c r="Q1127" s="3662">
        <v>280667.16</v>
      </c>
      <c r="R1127" s="294" t="s">
        <v>4603</v>
      </c>
      <c r="S1127" s="1948">
        <v>44560</v>
      </c>
      <c r="T1127" s="3588">
        <v>280667.16</v>
      </c>
      <c r="U1127" s="1948">
        <v>44553</v>
      </c>
      <c r="V1127" s="3588">
        <v>280667.16</v>
      </c>
      <c r="W1127" s="3607">
        <v>44606</v>
      </c>
      <c r="X1127" s="3588">
        <v>280667.16</v>
      </c>
      <c r="Y1127" s="2433">
        <v>44613</v>
      </c>
      <c r="Z1127" s="37">
        <f t="shared" si="38"/>
        <v>0</v>
      </c>
      <c r="AA1127" s="37"/>
      <c r="AB1127" s="37"/>
      <c r="AC1127" s="37"/>
      <c r="AD1127" s="37"/>
      <c r="AE1127" s="37"/>
      <c r="AF1127" s="37"/>
      <c r="AG1127" s="37"/>
      <c r="AH1127" s="37"/>
      <c r="AI1127" s="37"/>
    </row>
    <row r="1128" s="15" customFormat="1" ht="37.5" customHeight="1" spans="1:35">
      <c r="A1128" s="1771"/>
      <c r="B1128" s="3640"/>
      <c r="C1128" s="1770"/>
      <c r="D1128" s="1817"/>
      <c r="E1128" s="1817"/>
      <c r="F1128" s="1817"/>
      <c r="G1128" s="1817"/>
      <c r="H1128" s="1817"/>
      <c r="I1128" s="3665"/>
      <c r="J1128" s="1771"/>
      <c r="K1128" s="3666"/>
      <c r="L1128" s="1771"/>
      <c r="M1128" s="3682">
        <v>3</v>
      </c>
      <c r="N1128" s="2618" t="s">
        <v>6078</v>
      </c>
      <c r="O1128" s="3688">
        <v>0.2</v>
      </c>
      <c r="P1128" s="37">
        <v>93555.72</v>
      </c>
      <c r="Q1128" s="3588">
        <v>93555.72</v>
      </c>
      <c r="R1128" s="294" t="s">
        <v>4603</v>
      </c>
      <c r="S1128" s="2433">
        <v>45280</v>
      </c>
      <c r="T1128" s="3588">
        <v>93555.72</v>
      </c>
      <c r="U1128" s="2433">
        <v>45280</v>
      </c>
      <c r="V1128" s="37"/>
      <c r="W1128" s="37"/>
      <c r="X1128" s="3706">
        <v>93555.72</v>
      </c>
      <c r="Y1128" s="3724">
        <v>46021</v>
      </c>
      <c r="Z1128" s="37">
        <f t="shared" si="38"/>
        <v>0</v>
      </c>
      <c r="AA1128" s="37"/>
      <c r="AB1128" s="37"/>
      <c r="AC1128" s="37"/>
      <c r="AD1128" s="37"/>
      <c r="AE1128" s="37"/>
      <c r="AF1128" s="37"/>
      <c r="AG1128" s="37"/>
      <c r="AH1128" s="37"/>
      <c r="AI1128" s="37"/>
    </row>
    <row r="1129" s="15" customFormat="1" ht="37.5" customHeight="1" spans="1:35">
      <c r="A1129" s="1771"/>
      <c r="B1129" s="3640"/>
      <c r="C1129" s="1770"/>
      <c r="D1129" s="1817"/>
      <c r="E1129" s="1817"/>
      <c r="F1129" s="1817"/>
      <c r="G1129" s="1499" t="s">
        <v>6079</v>
      </c>
      <c r="H1129" s="1499"/>
      <c r="I1129" s="3664"/>
      <c r="J1129" s="294"/>
      <c r="K1129" s="3662">
        <v>220000</v>
      </c>
      <c r="L1129" s="1771"/>
      <c r="M1129" s="3682">
        <v>1</v>
      </c>
      <c r="N1129" s="2618" t="s">
        <v>6076</v>
      </c>
      <c r="O1129" s="3688">
        <v>0.2</v>
      </c>
      <c r="P1129" s="37">
        <v>44000</v>
      </c>
      <c r="Q1129" s="37">
        <v>44000</v>
      </c>
      <c r="R1129" s="294" t="s">
        <v>4603</v>
      </c>
      <c r="S1129" s="3607">
        <v>44517</v>
      </c>
      <c r="T1129" s="37">
        <v>44000</v>
      </c>
      <c r="U1129" s="3607">
        <v>44517</v>
      </c>
      <c r="V1129" s="37">
        <v>44000</v>
      </c>
      <c r="W1129" s="3607">
        <v>44515</v>
      </c>
      <c r="X1129" s="37">
        <v>44000</v>
      </c>
      <c r="Y1129" s="3586">
        <v>44517</v>
      </c>
      <c r="Z1129" s="37">
        <f t="shared" si="38"/>
        <v>0</v>
      </c>
      <c r="AA1129" s="37" t="s">
        <v>6069</v>
      </c>
      <c r="AB1129" s="37"/>
      <c r="AC1129" s="37"/>
      <c r="AD1129" s="37"/>
      <c r="AE1129" s="37"/>
      <c r="AF1129" s="37"/>
      <c r="AG1129" s="37"/>
      <c r="AH1129" s="37"/>
      <c r="AI1129" s="37"/>
    </row>
    <row r="1130" s="15" customFormat="1" ht="37.5" customHeight="1" spans="1:35">
      <c r="A1130" s="1771"/>
      <c r="B1130" s="3640"/>
      <c r="C1130" s="1770"/>
      <c r="D1130" s="1817"/>
      <c r="E1130" s="1817"/>
      <c r="F1130" s="1817"/>
      <c r="G1130" s="1499"/>
      <c r="H1130" s="1499"/>
      <c r="I1130" s="3664"/>
      <c r="J1130" s="294"/>
      <c r="K1130" s="3662"/>
      <c r="L1130" s="1771"/>
      <c r="M1130" s="3682">
        <v>2</v>
      </c>
      <c r="N1130" s="2618" t="s">
        <v>6077</v>
      </c>
      <c r="O1130" s="3688">
        <v>0.6</v>
      </c>
      <c r="P1130" s="37">
        <v>132000</v>
      </c>
      <c r="Q1130" s="37">
        <v>132000</v>
      </c>
      <c r="R1130" s="294" t="s">
        <v>4603</v>
      </c>
      <c r="S1130" s="3607">
        <v>44517</v>
      </c>
      <c r="T1130" s="37">
        <v>132000</v>
      </c>
      <c r="U1130" s="3607">
        <v>44517</v>
      </c>
      <c r="V1130" s="37">
        <v>132000</v>
      </c>
      <c r="W1130" s="3607">
        <v>44515</v>
      </c>
      <c r="X1130" s="37">
        <v>132000</v>
      </c>
      <c r="Y1130" s="3586">
        <v>44517</v>
      </c>
      <c r="Z1130" s="37">
        <f t="shared" si="38"/>
        <v>0</v>
      </c>
      <c r="AA1130" s="37" t="s">
        <v>6069</v>
      </c>
      <c r="AB1130" s="37"/>
      <c r="AC1130" s="37"/>
      <c r="AD1130" s="37"/>
      <c r="AE1130" s="37"/>
      <c r="AF1130" s="37"/>
      <c r="AG1130" s="37"/>
      <c r="AH1130" s="37"/>
      <c r="AI1130" s="37"/>
    </row>
    <row r="1131" s="15" customFormat="1" ht="37.5" customHeight="1" spans="1:35">
      <c r="A1131" s="1771"/>
      <c r="B1131" s="3640"/>
      <c r="C1131" s="1770"/>
      <c r="D1131" s="1817"/>
      <c r="E1131" s="1817"/>
      <c r="F1131" s="1817"/>
      <c r="G1131" s="1817"/>
      <c r="H1131" s="1817"/>
      <c r="I1131" s="3665"/>
      <c r="J1131" s="1771"/>
      <c r="K1131" s="3666"/>
      <c r="L1131" s="1771"/>
      <c r="M1131" s="3682">
        <v>3</v>
      </c>
      <c r="N1131" s="2618" t="s">
        <v>6078</v>
      </c>
      <c r="O1131" s="3688">
        <v>0.2</v>
      </c>
      <c r="P1131" s="37">
        <v>44000</v>
      </c>
      <c r="Q1131" s="3588">
        <v>44000</v>
      </c>
      <c r="R1131" s="294" t="s">
        <v>4603</v>
      </c>
      <c r="S1131" s="2433">
        <v>45280</v>
      </c>
      <c r="T1131" s="3588">
        <v>44000</v>
      </c>
      <c r="U1131" s="2433">
        <v>45280</v>
      </c>
      <c r="V1131" s="37"/>
      <c r="W1131" s="37"/>
      <c r="X1131" s="3706">
        <v>44000</v>
      </c>
      <c r="Y1131" s="3724">
        <v>46021</v>
      </c>
      <c r="Z1131" s="37">
        <f t="shared" si="38"/>
        <v>0</v>
      </c>
      <c r="AA1131" s="37"/>
      <c r="AB1131" s="37"/>
      <c r="AC1131" s="37"/>
      <c r="AD1131" s="37"/>
      <c r="AE1131" s="37"/>
      <c r="AF1131" s="37"/>
      <c r="AG1131" s="37"/>
      <c r="AH1131" s="37"/>
      <c r="AI1131" s="37"/>
    </row>
    <row r="1132" s="15" customFormat="1" ht="37.5" customHeight="1" spans="1:35">
      <c r="A1132" s="1771"/>
      <c r="B1132" s="3640"/>
      <c r="C1132" s="1770"/>
      <c r="D1132" s="1817"/>
      <c r="E1132" s="1817"/>
      <c r="F1132" s="1817"/>
      <c r="G1132" s="1499" t="s">
        <v>6080</v>
      </c>
      <c r="H1132" s="1499"/>
      <c r="I1132" s="3664"/>
      <c r="J1132" s="294"/>
      <c r="K1132" s="3662">
        <v>1043720.1</v>
      </c>
      <c r="L1132" s="1771"/>
      <c r="M1132" s="3682">
        <v>1</v>
      </c>
      <c r="N1132" s="2618" t="s">
        <v>6081</v>
      </c>
      <c r="O1132" s="3688">
        <v>0.2</v>
      </c>
      <c r="P1132" s="37">
        <v>208744.02</v>
      </c>
      <c r="Q1132" s="37">
        <v>208744.02</v>
      </c>
      <c r="R1132" s="294" t="s">
        <v>4603</v>
      </c>
      <c r="S1132" s="3607">
        <v>44517</v>
      </c>
      <c r="T1132" s="37">
        <v>208744.02</v>
      </c>
      <c r="U1132" s="3607">
        <v>44517</v>
      </c>
      <c r="V1132" s="37">
        <v>208744.02</v>
      </c>
      <c r="W1132" s="3607">
        <v>44515</v>
      </c>
      <c r="X1132" s="37">
        <v>208744.02</v>
      </c>
      <c r="Y1132" s="3586">
        <v>44517</v>
      </c>
      <c r="Z1132" s="37">
        <f t="shared" si="38"/>
        <v>0</v>
      </c>
      <c r="AA1132" s="37" t="s">
        <v>6069</v>
      </c>
      <c r="AB1132" s="37"/>
      <c r="AC1132" s="37"/>
      <c r="AD1132" s="37"/>
      <c r="AE1132" s="37"/>
      <c r="AF1132" s="37"/>
      <c r="AG1132" s="37"/>
      <c r="AH1132" s="37"/>
      <c r="AI1132" s="37"/>
    </row>
    <row r="1133" s="15" customFormat="1" ht="37.5" customHeight="1" spans="1:35">
      <c r="A1133" s="1771"/>
      <c r="B1133" s="3640"/>
      <c r="C1133" s="1770"/>
      <c r="D1133" s="1817"/>
      <c r="E1133" s="1817"/>
      <c r="F1133" s="1817"/>
      <c r="G1133" s="1499"/>
      <c r="H1133" s="1499"/>
      <c r="I1133" s="3664"/>
      <c r="J1133" s="294"/>
      <c r="K1133" s="3662"/>
      <c r="L1133" s="1771"/>
      <c r="M1133" s="3682">
        <v>2</v>
      </c>
      <c r="N1133" s="2618" t="s">
        <v>6082</v>
      </c>
      <c r="O1133" s="3688">
        <v>0.6</v>
      </c>
      <c r="P1133" s="37">
        <v>626232.06</v>
      </c>
      <c r="Q1133" s="37">
        <v>626232.06</v>
      </c>
      <c r="R1133" s="294" t="s">
        <v>4603</v>
      </c>
      <c r="S1133" s="3607">
        <v>44517</v>
      </c>
      <c r="T1133" s="37">
        <v>626232.06</v>
      </c>
      <c r="U1133" s="3607">
        <v>44517</v>
      </c>
      <c r="V1133" s="37">
        <v>626232.06</v>
      </c>
      <c r="W1133" s="3607">
        <v>44515</v>
      </c>
      <c r="X1133" s="37">
        <v>626232.06</v>
      </c>
      <c r="Y1133" s="3586">
        <v>44517</v>
      </c>
      <c r="Z1133" s="37">
        <f t="shared" si="38"/>
        <v>0</v>
      </c>
      <c r="AA1133" s="37" t="s">
        <v>6069</v>
      </c>
      <c r="AB1133" s="37"/>
      <c r="AC1133" s="37"/>
      <c r="AD1133" s="37"/>
      <c r="AE1133" s="37"/>
      <c r="AF1133" s="37"/>
      <c r="AG1133" s="37"/>
      <c r="AH1133" s="37"/>
      <c r="AI1133" s="37"/>
    </row>
    <row r="1134" s="15" customFormat="1" ht="37.5" customHeight="1" spans="1:35">
      <c r="A1134" s="1771"/>
      <c r="B1134" s="3640"/>
      <c r="C1134" s="1770"/>
      <c r="D1134" s="1817"/>
      <c r="E1134" s="1817"/>
      <c r="F1134" s="1817"/>
      <c r="G1134" s="1817"/>
      <c r="H1134" s="1817"/>
      <c r="I1134" s="3665"/>
      <c r="J1134" s="1771"/>
      <c r="K1134" s="3667"/>
      <c r="L1134" s="1771"/>
      <c r="M1134" s="3682">
        <v>3</v>
      </c>
      <c r="N1134" s="2618" t="s">
        <v>6083</v>
      </c>
      <c r="O1134" s="3688">
        <v>0.2</v>
      </c>
      <c r="P1134" s="37">
        <v>208744.02</v>
      </c>
      <c r="Q1134" s="3588">
        <v>208744.02</v>
      </c>
      <c r="R1134" s="294" t="s">
        <v>4603</v>
      </c>
      <c r="S1134" s="2433">
        <v>45280</v>
      </c>
      <c r="T1134" s="3588">
        <v>208744.02</v>
      </c>
      <c r="U1134" s="2433">
        <v>45280</v>
      </c>
      <c r="V1134" s="37"/>
      <c r="W1134" s="37"/>
      <c r="X1134" s="3706">
        <v>208744.02</v>
      </c>
      <c r="Y1134" s="3724">
        <v>46021</v>
      </c>
      <c r="Z1134" s="37">
        <f t="shared" si="38"/>
        <v>0</v>
      </c>
      <c r="AA1134" s="37"/>
      <c r="AB1134" s="37"/>
      <c r="AC1134" s="37"/>
      <c r="AD1134" s="37"/>
      <c r="AE1134" s="37"/>
      <c r="AF1134" s="37"/>
      <c r="AG1134" s="37"/>
      <c r="AH1134" s="37"/>
      <c r="AI1134" s="37"/>
    </row>
    <row r="1135" s="4" customFormat="1" ht="40.5" customHeight="1" spans="1:35">
      <c r="A1135" s="294" t="s">
        <v>2570</v>
      </c>
      <c r="B1135" s="3638">
        <v>44511</v>
      </c>
      <c r="C1135" s="363" t="s">
        <v>6045</v>
      </c>
      <c r="D1135" s="37"/>
      <c r="E1135" s="1499" t="s">
        <v>6084</v>
      </c>
      <c r="F1135" s="1499" t="s">
        <v>6085</v>
      </c>
      <c r="G1135" s="1499" t="s">
        <v>3579</v>
      </c>
      <c r="H1135" s="1499" t="s">
        <v>5505</v>
      </c>
      <c r="I1135" s="37"/>
      <c r="J1135" s="294" t="s">
        <v>2887</v>
      </c>
      <c r="K1135" s="3662">
        <v>2259000</v>
      </c>
      <c r="L1135" s="294" t="s">
        <v>126</v>
      </c>
      <c r="M1135" s="294">
        <v>1</v>
      </c>
      <c r="N1135" s="2618" t="s">
        <v>6086</v>
      </c>
      <c r="O1135" s="2348">
        <v>0.15</v>
      </c>
      <c r="P1135" s="37">
        <v>338850</v>
      </c>
      <c r="Q1135" s="37">
        <v>338850</v>
      </c>
      <c r="R1135" s="294" t="s">
        <v>4603</v>
      </c>
      <c r="S1135" s="3607">
        <v>44517</v>
      </c>
      <c r="T1135" s="37">
        <v>338850</v>
      </c>
      <c r="U1135" s="3607">
        <v>44517</v>
      </c>
      <c r="V1135" s="37">
        <v>338850</v>
      </c>
      <c r="W1135" s="3607">
        <v>44512</v>
      </c>
      <c r="X1135" s="37">
        <v>338850</v>
      </c>
      <c r="Y1135" s="3586">
        <v>44517</v>
      </c>
      <c r="Z1135" s="37">
        <f t="shared" si="38"/>
        <v>0</v>
      </c>
      <c r="AA1135" s="11"/>
      <c r="AB1135" s="11"/>
      <c r="AC1135" s="11"/>
      <c r="AD1135" s="11"/>
      <c r="AE1135" s="11"/>
      <c r="AF1135" s="11"/>
      <c r="AG1135" s="11"/>
      <c r="AH1135" s="339"/>
      <c r="AI1135" s="339"/>
    </row>
    <row r="1136" s="15" customFormat="1" ht="46.5" customHeight="1" spans="1:35">
      <c r="A1136" s="3639"/>
      <c r="B1136" s="3640"/>
      <c r="C1136" s="3641"/>
      <c r="D1136" s="3639"/>
      <c r="E1136" s="3639"/>
      <c r="F1136" s="3639"/>
      <c r="G1136" s="3653"/>
      <c r="H1136" s="3639"/>
      <c r="I1136" s="3639"/>
      <c r="J1136" s="3639"/>
      <c r="K1136" s="3663"/>
      <c r="L1136" s="3639"/>
      <c r="M1136" s="37">
        <v>2</v>
      </c>
      <c r="N1136" s="2618" t="s">
        <v>6087</v>
      </c>
      <c r="O1136" s="3680">
        <v>0.05</v>
      </c>
      <c r="P1136" s="37">
        <v>112950</v>
      </c>
      <c r="Q1136" s="37">
        <v>112950</v>
      </c>
      <c r="R1136" s="294" t="s">
        <v>4603</v>
      </c>
      <c r="S1136" s="3607">
        <v>44517</v>
      </c>
      <c r="T1136" s="37">
        <v>112950</v>
      </c>
      <c r="U1136" s="3607">
        <v>44517</v>
      </c>
      <c r="V1136" s="37">
        <v>112950</v>
      </c>
      <c r="W1136" s="3607">
        <v>44512</v>
      </c>
      <c r="X1136" s="37">
        <v>112950</v>
      </c>
      <c r="Y1136" s="3586">
        <v>44517</v>
      </c>
      <c r="Z1136" s="37">
        <f t="shared" si="38"/>
        <v>0</v>
      </c>
      <c r="AA1136" s="37"/>
      <c r="AB1136" s="37"/>
      <c r="AC1136" s="37"/>
      <c r="AD1136" s="37"/>
      <c r="AE1136" s="37"/>
      <c r="AF1136" s="37"/>
      <c r="AG1136" s="37"/>
      <c r="AH1136" s="37"/>
      <c r="AI1136" s="37"/>
    </row>
    <row r="1137" s="15" customFormat="1" ht="46.5" customHeight="1" spans="1:35">
      <c r="A1137" s="3639"/>
      <c r="B1137" s="3640"/>
      <c r="C1137" s="3641"/>
      <c r="D1137" s="3639"/>
      <c r="E1137" s="3639"/>
      <c r="F1137" s="3639"/>
      <c r="G1137" s="3653"/>
      <c r="H1137" s="3639"/>
      <c r="I1137" s="3639"/>
      <c r="J1137" s="3639"/>
      <c r="K1137" s="3663"/>
      <c r="L1137" s="3639"/>
      <c r="M1137" s="37">
        <v>3</v>
      </c>
      <c r="N1137" s="2618" t="s">
        <v>6088</v>
      </c>
      <c r="O1137" s="3686">
        <v>0.1</v>
      </c>
      <c r="P1137" s="37">
        <v>225900</v>
      </c>
      <c r="Q1137" s="37">
        <v>225900</v>
      </c>
      <c r="R1137" s="294" t="s">
        <v>4603</v>
      </c>
      <c r="S1137" s="3607">
        <v>44517</v>
      </c>
      <c r="T1137" s="37">
        <v>225900</v>
      </c>
      <c r="U1137" s="3607">
        <v>44517</v>
      </c>
      <c r="V1137" s="37">
        <v>225900</v>
      </c>
      <c r="W1137" s="3607">
        <v>44512</v>
      </c>
      <c r="X1137" s="37">
        <v>225900</v>
      </c>
      <c r="Y1137" s="3586">
        <v>44517</v>
      </c>
      <c r="Z1137" s="37">
        <f t="shared" si="38"/>
        <v>0</v>
      </c>
      <c r="AA1137" s="37"/>
      <c r="AB1137" s="37"/>
      <c r="AC1137" s="37"/>
      <c r="AD1137" s="37"/>
      <c r="AE1137" s="37"/>
      <c r="AF1137" s="37"/>
      <c r="AG1137" s="37"/>
      <c r="AH1137" s="37"/>
      <c r="AI1137" s="37"/>
    </row>
    <row r="1138" s="15" customFormat="1" ht="46.5" customHeight="1" spans="1:35">
      <c r="A1138" s="3639"/>
      <c r="B1138" s="3640"/>
      <c r="C1138" s="3641"/>
      <c r="D1138" s="3639"/>
      <c r="E1138" s="3639"/>
      <c r="F1138" s="3639"/>
      <c r="G1138" s="3653"/>
      <c r="H1138" s="3639"/>
      <c r="I1138" s="3639"/>
      <c r="J1138" s="3639"/>
      <c r="K1138" s="3663"/>
      <c r="L1138" s="3639"/>
      <c r="M1138" s="37">
        <v>4</v>
      </c>
      <c r="N1138" s="2618" t="s">
        <v>6089</v>
      </c>
      <c r="O1138" s="3686">
        <v>0.05</v>
      </c>
      <c r="P1138" s="37">
        <v>112950</v>
      </c>
      <c r="Q1138" s="3588">
        <v>112950</v>
      </c>
      <c r="R1138" s="294" t="s">
        <v>4603</v>
      </c>
      <c r="S1138" s="2433">
        <v>45280</v>
      </c>
      <c r="T1138" s="3588">
        <v>112950</v>
      </c>
      <c r="U1138" s="2433">
        <v>45280</v>
      </c>
      <c r="V1138" s="37"/>
      <c r="W1138" s="37"/>
      <c r="X1138" s="3706">
        <v>112950</v>
      </c>
      <c r="Y1138" s="3724">
        <v>46052</v>
      </c>
      <c r="Z1138" s="37">
        <f t="shared" si="38"/>
        <v>0</v>
      </c>
      <c r="AA1138" s="37"/>
      <c r="AB1138" s="37"/>
      <c r="AC1138" s="37"/>
      <c r="AD1138" s="37"/>
      <c r="AE1138" s="37"/>
      <c r="AF1138" s="37"/>
      <c r="AG1138" s="37"/>
      <c r="AH1138" s="37"/>
      <c r="AI1138" s="37"/>
    </row>
    <row r="1139" s="15" customFormat="1" ht="46.5" customHeight="1" spans="1:35">
      <c r="A1139" s="3639"/>
      <c r="B1139" s="3640"/>
      <c r="C1139" s="3641"/>
      <c r="D1139" s="3639"/>
      <c r="E1139" s="3639"/>
      <c r="F1139" s="3639"/>
      <c r="G1139" s="3653"/>
      <c r="H1139" s="3639"/>
      <c r="I1139" s="3639"/>
      <c r="J1139" s="3639"/>
      <c r="K1139" s="3663"/>
      <c r="L1139" s="3639"/>
      <c r="M1139" s="37">
        <v>5</v>
      </c>
      <c r="N1139" s="2618" t="s">
        <v>6090</v>
      </c>
      <c r="O1139" s="3680">
        <v>0.05</v>
      </c>
      <c r="P1139" s="37">
        <v>112950</v>
      </c>
      <c r="Q1139" s="37">
        <v>112950</v>
      </c>
      <c r="R1139" s="294" t="s">
        <v>4603</v>
      </c>
      <c r="S1139" s="3607">
        <v>44517</v>
      </c>
      <c r="T1139" s="37">
        <v>112950</v>
      </c>
      <c r="U1139" s="3607">
        <v>44517</v>
      </c>
      <c r="V1139" s="37">
        <v>112950</v>
      </c>
      <c r="W1139" s="3607">
        <v>44512</v>
      </c>
      <c r="X1139" s="37">
        <v>112950</v>
      </c>
      <c r="Y1139" s="3586">
        <v>44517</v>
      </c>
      <c r="Z1139" s="37">
        <f t="shared" si="38"/>
        <v>0</v>
      </c>
      <c r="AA1139" s="37"/>
      <c r="AB1139" s="37"/>
      <c r="AC1139" s="37"/>
      <c r="AD1139" s="37"/>
      <c r="AE1139" s="37"/>
      <c r="AF1139" s="37"/>
      <c r="AG1139" s="37"/>
      <c r="AH1139" s="37"/>
      <c r="AI1139" s="37"/>
    </row>
    <row r="1140" s="15" customFormat="1" ht="46.5" customHeight="1" spans="1:35">
      <c r="A1140" s="3639"/>
      <c r="B1140" s="3640"/>
      <c r="C1140" s="3641"/>
      <c r="D1140" s="3639"/>
      <c r="E1140" s="3639"/>
      <c r="F1140" s="3639"/>
      <c r="G1140" s="3653"/>
      <c r="H1140" s="3639"/>
      <c r="I1140" s="3639"/>
      <c r="J1140" s="3639"/>
      <c r="K1140" s="3663"/>
      <c r="L1140" s="3639"/>
      <c r="M1140" s="37">
        <v>6</v>
      </c>
      <c r="N1140" s="2618" t="s">
        <v>6091</v>
      </c>
      <c r="O1140" s="3680">
        <v>0.2</v>
      </c>
      <c r="P1140" s="37">
        <v>451800</v>
      </c>
      <c r="Q1140" s="37">
        <v>451800</v>
      </c>
      <c r="R1140" s="294" t="s">
        <v>4603</v>
      </c>
      <c r="S1140" s="1948">
        <v>44560</v>
      </c>
      <c r="T1140" s="3588">
        <v>451800</v>
      </c>
      <c r="U1140" s="3607">
        <v>44553</v>
      </c>
      <c r="V1140" s="3588">
        <v>451800</v>
      </c>
      <c r="W1140" s="3607">
        <v>44586</v>
      </c>
      <c r="X1140" s="3588">
        <v>451800</v>
      </c>
      <c r="Y1140" s="2433">
        <v>44610</v>
      </c>
      <c r="Z1140" s="37">
        <f t="shared" si="38"/>
        <v>0</v>
      </c>
      <c r="AA1140" s="294" t="s">
        <v>6092</v>
      </c>
      <c r="AB1140" s="37"/>
      <c r="AC1140" s="37"/>
      <c r="AD1140" s="37"/>
      <c r="AE1140" s="37"/>
      <c r="AF1140" s="37"/>
      <c r="AG1140" s="37"/>
      <c r="AH1140" s="37"/>
      <c r="AI1140" s="37"/>
    </row>
    <row r="1141" s="15" customFormat="1" ht="46.5" customHeight="1" spans="1:35">
      <c r="A1141" s="3639"/>
      <c r="B1141" s="3640"/>
      <c r="C1141" s="3641"/>
      <c r="D1141" s="3639"/>
      <c r="E1141" s="3639"/>
      <c r="F1141" s="3639"/>
      <c r="G1141" s="3653"/>
      <c r="H1141" s="3639"/>
      <c r="I1141" s="3639"/>
      <c r="J1141" s="3639"/>
      <c r="K1141" s="3663"/>
      <c r="L1141" s="3639"/>
      <c r="M1141" s="37">
        <v>7</v>
      </c>
      <c r="N1141" s="2618" t="s">
        <v>6093</v>
      </c>
      <c r="O1141" s="3680">
        <v>0.1</v>
      </c>
      <c r="P1141" s="37">
        <v>225900</v>
      </c>
      <c r="Q1141" s="3588">
        <v>225900</v>
      </c>
      <c r="R1141" s="294" t="s">
        <v>4603</v>
      </c>
      <c r="S1141" s="1948">
        <v>44287</v>
      </c>
      <c r="T1141" s="3588">
        <v>225900</v>
      </c>
      <c r="U1141" s="3607">
        <v>44553</v>
      </c>
      <c r="V1141" s="3588">
        <v>225900</v>
      </c>
      <c r="W1141" s="3607">
        <v>44652</v>
      </c>
      <c r="X1141" s="3588">
        <v>225900</v>
      </c>
      <c r="Y1141" s="2433">
        <v>44677</v>
      </c>
      <c r="Z1141" s="3588">
        <f t="shared" si="38"/>
        <v>0</v>
      </c>
      <c r="AA1141" s="37"/>
      <c r="AB1141" s="37"/>
      <c r="AC1141" s="37"/>
      <c r="AD1141" s="37"/>
      <c r="AE1141" s="37"/>
      <c r="AF1141" s="37"/>
      <c r="AG1141" s="37"/>
      <c r="AH1141" s="37"/>
      <c r="AI1141" s="37"/>
    </row>
    <row r="1142" s="15" customFormat="1" ht="46.5" customHeight="1" spans="1:35">
      <c r="A1142" s="3639"/>
      <c r="B1142" s="3640"/>
      <c r="C1142" s="3641"/>
      <c r="D1142" s="3639"/>
      <c r="E1142" s="3639"/>
      <c r="F1142" s="3639"/>
      <c r="G1142" s="3653"/>
      <c r="H1142" s="3639"/>
      <c r="I1142" s="3639"/>
      <c r="J1142" s="3639"/>
      <c r="K1142" s="3663"/>
      <c r="L1142" s="3639"/>
      <c r="M1142" s="37">
        <v>8</v>
      </c>
      <c r="N1142" s="2618" t="s">
        <v>6094</v>
      </c>
      <c r="O1142" s="3680">
        <v>0.2</v>
      </c>
      <c r="P1142" s="37">
        <v>451800</v>
      </c>
      <c r="Q1142" s="3588">
        <v>451800</v>
      </c>
      <c r="R1142" s="294" t="s">
        <v>4603</v>
      </c>
      <c r="S1142" s="1948">
        <v>44553</v>
      </c>
      <c r="T1142" s="3588">
        <v>451800</v>
      </c>
      <c r="U1142" s="1948">
        <v>44553</v>
      </c>
      <c r="V1142" s="3588">
        <v>451800</v>
      </c>
      <c r="W1142" s="3607">
        <v>44842</v>
      </c>
      <c r="X1142" s="3588">
        <v>451800</v>
      </c>
      <c r="Y1142" s="3607">
        <v>44879</v>
      </c>
      <c r="Z1142" s="3706">
        <f t="shared" si="38"/>
        <v>0</v>
      </c>
      <c r="AA1142" s="37"/>
      <c r="AB1142" s="37"/>
      <c r="AC1142" s="37"/>
      <c r="AD1142" s="37"/>
      <c r="AE1142" s="37"/>
      <c r="AF1142" s="37"/>
      <c r="AG1142" s="37"/>
      <c r="AH1142" s="37"/>
      <c r="AI1142" s="37"/>
    </row>
    <row r="1143" s="15" customFormat="1" ht="46.5" customHeight="1" spans="1:35">
      <c r="A1143" s="3639"/>
      <c r="B1143" s="3640"/>
      <c r="C1143" s="3641"/>
      <c r="D1143" s="3639"/>
      <c r="E1143" s="3639"/>
      <c r="F1143" s="3639"/>
      <c r="G1143" s="3653"/>
      <c r="H1143" s="3639"/>
      <c r="I1143" s="3639"/>
      <c r="J1143" s="3639"/>
      <c r="K1143" s="3663"/>
      <c r="L1143" s="3639"/>
      <c r="M1143" s="3505">
        <v>9</v>
      </c>
      <c r="N1143" s="705" t="s">
        <v>6095</v>
      </c>
      <c r="O1143" s="3680">
        <v>0.07</v>
      </c>
      <c r="P1143" s="37">
        <f>K1135*O1143</f>
        <v>158130</v>
      </c>
      <c r="Q1143" s="3588">
        <v>158130</v>
      </c>
      <c r="R1143" s="294" t="s">
        <v>4603</v>
      </c>
      <c r="S1143" s="2433">
        <v>45280</v>
      </c>
      <c r="T1143" s="3588">
        <v>158130</v>
      </c>
      <c r="U1143" s="2433">
        <v>45280</v>
      </c>
      <c r="V1143" s="3588"/>
      <c r="W1143" s="3607"/>
      <c r="X1143" s="3706">
        <v>158130</v>
      </c>
      <c r="Y1143" s="3724">
        <v>46052</v>
      </c>
      <c r="Z1143" s="3706"/>
      <c r="AA1143" s="37"/>
      <c r="AB1143" s="37"/>
      <c r="AC1143" s="37"/>
      <c r="AD1143" s="37"/>
      <c r="AE1143" s="37"/>
      <c r="AF1143" s="37"/>
      <c r="AG1143" s="37"/>
      <c r="AH1143" s="37"/>
      <c r="AI1143" s="37"/>
    </row>
    <row r="1144" s="15" customFormat="1" ht="80.25" customHeight="1" spans="1:35">
      <c r="A1144" s="3639"/>
      <c r="B1144" s="3642"/>
      <c r="C1144" s="3641"/>
      <c r="D1144" s="3639"/>
      <c r="E1144" s="3639"/>
      <c r="F1144" s="3639"/>
      <c r="G1144" s="3653"/>
      <c r="H1144" s="3639"/>
      <c r="I1144" s="3639"/>
      <c r="J1144" s="3639"/>
      <c r="K1144" s="3663"/>
      <c r="L1144" s="3639"/>
      <c r="M1144" s="3681"/>
      <c r="N1144" s="3558"/>
      <c r="O1144" s="3680">
        <v>0.03</v>
      </c>
      <c r="P1144" s="37">
        <f>K1135*O1144</f>
        <v>67770</v>
      </c>
      <c r="Q1144" s="3706">
        <v>67770</v>
      </c>
      <c r="R1144" s="3605" t="s">
        <v>5015</v>
      </c>
      <c r="S1144" s="3606">
        <v>46021</v>
      </c>
      <c r="T1144" s="37"/>
      <c r="U1144" s="37"/>
      <c r="V1144" s="37"/>
      <c r="W1144" s="37"/>
      <c r="X1144" s="3706">
        <v>67770</v>
      </c>
      <c r="Y1144" s="3724">
        <v>46052</v>
      </c>
      <c r="Z1144" s="37">
        <f t="shared" ref="Z1144:Z1149" si="39">Q1144-X1144</f>
        <v>0</v>
      </c>
      <c r="AA1144" s="37"/>
      <c r="AB1144" s="37"/>
      <c r="AC1144" s="37"/>
      <c r="AD1144" s="37"/>
      <c r="AE1144" s="37"/>
      <c r="AF1144" s="37"/>
      <c r="AG1144" s="37"/>
      <c r="AH1144" s="37"/>
      <c r="AI1144" s="37"/>
    </row>
    <row r="1145" s="13" customFormat="1" ht="32.25" customHeight="1" spans="1:35">
      <c r="A1145" s="3643" t="s">
        <v>2570</v>
      </c>
      <c r="B1145" s="3644">
        <v>44517</v>
      </c>
      <c r="C1145" s="95" t="s">
        <v>6045</v>
      </c>
      <c r="D1145" s="3476"/>
      <c r="E1145" s="127" t="s">
        <v>6096</v>
      </c>
      <c r="F1145" s="127" t="s">
        <v>6097</v>
      </c>
      <c r="G1145" s="128" t="s">
        <v>813</v>
      </c>
      <c r="H1145" s="127" t="s">
        <v>6098</v>
      </c>
      <c r="I1145" s="128">
        <v>2593</v>
      </c>
      <c r="J1145" s="128" t="s">
        <v>171</v>
      </c>
      <c r="K1145" s="3524">
        <v>847200</v>
      </c>
      <c r="L1145" s="3668" t="s">
        <v>126</v>
      </c>
      <c r="M1145" s="3476">
        <v>1</v>
      </c>
      <c r="N1145" s="2618" t="s">
        <v>4221</v>
      </c>
      <c r="O1145" s="3535">
        <v>0.2</v>
      </c>
      <c r="P1145" s="3476">
        <f>847200*O1145</f>
        <v>169440</v>
      </c>
      <c r="Q1145" s="3576">
        <v>169440</v>
      </c>
      <c r="R1145" s="128" t="s">
        <v>4603</v>
      </c>
      <c r="S1145" s="3615">
        <v>44531</v>
      </c>
      <c r="T1145" s="3576">
        <v>169440</v>
      </c>
      <c r="U1145" s="3615">
        <v>44531</v>
      </c>
      <c r="V1145" s="3576">
        <v>169440</v>
      </c>
      <c r="W1145" s="3615">
        <v>44539</v>
      </c>
      <c r="X1145" s="3576">
        <v>169440</v>
      </c>
      <c r="Y1145" s="3615">
        <v>44551</v>
      </c>
      <c r="Z1145" s="3476">
        <f t="shared" si="39"/>
        <v>0</v>
      </c>
      <c r="AA1145" s="3476"/>
      <c r="AB1145" s="3476"/>
      <c r="AC1145" s="3476"/>
      <c r="AD1145" s="3476"/>
      <c r="AE1145" s="3476"/>
      <c r="AF1145" s="3476"/>
      <c r="AG1145" s="3476"/>
      <c r="AH1145" s="3476"/>
      <c r="AI1145" s="3476"/>
    </row>
    <row r="1146" s="13" customFormat="1" ht="32.25" customHeight="1" spans="1:35">
      <c r="A1146" s="3643"/>
      <c r="B1146" s="3645"/>
      <c r="C1146" s="2286"/>
      <c r="D1146" s="3476"/>
      <c r="E1146" s="1096"/>
      <c r="F1146" s="1096"/>
      <c r="G1146" s="3476"/>
      <c r="H1146" s="1096"/>
      <c r="I1146" s="3476"/>
      <c r="J1146" s="3476"/>
      <c r="K1146" s="3524"/>
      <c r="L1146" s="3643"/>
      <c r="M1146" s="3476">
        <v>2</v>
      </c>
      <c r="N1146" s="2618" t="s">
        <v>6099</v>
      </c>
      <c r="O1146" s="3535">
        <v>0.3</v>
      </c>
      <c r="P1146" s="3476">
        <f>847200*O1146</f>
        <v>254160</v>
      </c>
      <c r="Q1146" s="3576">
        <v>254160</v>
      </c>
      <c r="R1146" s="128" t="s">
        <v>4603</v>
      </c>
      <c r="S1146" s="3615">
        <v>44531</v>
      </c>
      <c r="T1146" s="3576">
        <v>254160</v>
      </c>
      <c r="U1146" s="3615">
        <v>44531</v>
      </c>
      <c r="V1146" s="3576">
        <v>254160</v>
      </c>
      <c r="W1146" s="3615">
        <v>44539</v>
      </c>
      <c r="X1146" s="3576">
        <v>254160</v>
      </c>
      <c r="Y1146" s="3615">
        <v>44551</v>
      </c>
      <c r="Z1146" s="3476">
        <f t="shared" si="39"/>
        <v>0</v>
      </c>
      <c r="AA1146" s="3476"/>
      <c r="AB1146" s="3476"/>
      <c r="AC1146" s="3476"/>
      <c r="AD1146" s="3476"/>
      <c r="AE1146" s="3476"/>
      <c r="AF1146" s="3476"/>
      <c r="AG1146" s="3476"/>
      <c r="AH1146" s="3476"/>
      <c r="AI1146" s="3476"/>
    </row>
    <row r="1147" s="13" customFormat="1" ht="32.25" customHeight="1" spans="1:35">
      <c r="A1147" s="3643"/>
      <c r="B1147" s="3645"/>
      <c r="C1147" s="2286"/>
      <c r="D1147" s="3476"/>
      <c r="E1147" s="1096"/>
      <c r="F1147" s="1096"/>
      <c r="G1147" s="3476"/>
      <c r="H1147" s="1096"/>
      <c r="I1147" s="3476"/>
      <c r="J1147" s="3476"/>
      <c r="K1147" s="3524"/>
      <c r="L1147" s="3643"/>
      <c r="M1147" s="3476">
        <v>3</v>
      </c>
      <c r="N1147" s="2618" t="s">
        <v>6100</v>
      </c>
      <c r="O1147" s="3535">
        <v>0.2</v>
      </c>
      <c r="P1147" s="3576">
        <f>847200*O1147</f>
        <v>169440</v>
      </c>
      <c r="Q1147" s="3576">
        <v>169440</v>
      </c>
      <c r="R1147" s="128" t="s">
        <v>4603</v>
      </c>
      <c r="S1147" s="3615">
        <v>44552</v>
      </c>
      <c r="T1147" s="3576">
        <v>169440</v>
      </c>
      <c r="U1147" s="3615">
        <v>44552</v>
      </c>
      <c r="V1147" s="3576">
        <v>169440</v>
      </c>
      <c r="W1147" s="3615">
        <v>44565</v>
      </c>
      <c r="X1147" s="3576">
        <v>169440</v>
      </c>
      <c r="Y1147" s="3615">
        <v>44617</v>
      </c>
      <c r="Z1147" s="3476">
        <f t="shared" si="39"/>
        <v>0</v>
      </c>
      <c r="AA1147" s="3476"/>
      <c r="AB1147" s="3476"/>
      <c r="AC1147" s="3476"/>
      <c r="AD1147" s="3476"/>
      <c r="AE1147" s="3476"/>
      <c r="AF1147" s="3476"/>
      <c r="AG1147" s="3476"/>
      <c r="AH1147" s="3476"/>
      <c r="AI1147" s="3476"/>
    </row>
    <row r="1148" s="13" customFormat="1" ht="32.25" customHeight="1" spans="1:35">
      <c r="A1148" s="3643"/>
      <c r="B1148" s="3645"/>
      <c r="C1148" s="2286"/>
      <c r="D1148" s="3476"/>
      <c r="E1148" s="1096"/>
      <c r="F1148" s="1096"/>
      <c r="G1148" s="3476"/>
      <c r="H1148" s="1096"/>
      <c r="I1148" s="3476"/>
      <c r="J1148" s="3476"/>
      <c r="K1148" s="3524"/>
      <c r="L1148" s="3643"/>
      <c r="M1148" s="3476">
        <v>4</v>
      </c>
      <c r="N1148" s="2618" t="s">
        <v>6101</v>
      </c>
      <c r="O1148" s="3535">
        <v>0.1</v>
      </c>
      <c r="P1148" s="3476">
        <f>847200*O1148</f>
        <v>84720</v>
      </c>
      <c r="Q1148" s="3576">
        <v>84720</v>
      </c>
      <c r="R1148" s="128" t="s">
        <v>4603</v>
      </c>
      <c r="S1148" s="3615">
        <v>44552</v>
      </c>
      <c r="T1148" s="3576">
        <v>84720</v>
      </c>
      <c r="U1148" s="3615">
        <v>44552</v>
      </c>
      <c r="V1148" s="3476">
        <v>84720</v>
      </c>
      <c r="W1148" s="3615">
        <v>44706</v>
      </c>
      <c r="X1148" s="3476">
        <v>84720</v>
      </c>
      <c r="Y1148" s="3615">
        <v>44729</v>
      </c>
      <c r="Z1148" s="3476">
        <f t="shared" si="39"/>
        <v>0</v>
      </c>
      <c r="AA1148" s="3476"/>
      <c r="AB1148" s="3476"/>
      <c r="AC1148" s="3476"/>
      <c r="AD1148" s="3476"/>
      <c r="AE1148" s="3476"/>
      <c r="AF1148" s="3476"/>
      <c r="AG1148" s="3476"/>
      <c r="AH1148" s="3476"/>
      <c r="AI1148" s="3476"/>
    </row>
    <row r="1149" s="13" customFormat="1" ht="32.25" customHeight="1" spans="1:35">
      <c r="A1149" s="3643"/>
      <c r="B1149" s="3645"/>
      <c r="C1149" s="2286"/>
      <c r="D1149" s="3476"/>
      <c r="E1149" s="1096"/>
      <c r="F1149" s="1096"/>
      <c r="G1149" s="3476"/>
      <c r="H1149" s="1096"/>
      <c r="I1149" s="3476"/>
      <c r="J1149" s="3476"/>
      <c r="K1149" s="3524"/>
      <c r="L1149" s="3643"/>
      <c r="M1149" s="3476">
        <v>5</v>
      </c>
      <c r="N1149" s="2618" t="s">
        <v>6102</v>
      </c>
      <c r="O1149" s="3535">
        <v>0.1</v>
      </c>
      <c r="P1149" s="3576">
        <f>847200*O1149</f>
        <v>84720</v>
      </c>
      <c r="Q1149" s="3576">
        <v>84720</v>
      </c>
      <c r="R1149" s="128" t="s">
        <v>4603</v>
      </c>
      <c r="S1149" s="3615">
        <v>44910</v>
      </c>
      <c r="T1149" s="3576">
        <v>84720</v>
      </c>
      <c r="U1149" s="3615">
        <v>44910</v>
      </c>
      <c r="V1149" s="3576">
        <v>84720</v>
      </c>
      <c r="W1149" s="3591">
        <v>44936</v>
      </c>
      <c r="X1149" s="3576">
        <v>84720</v>
      </c>
      <c r="Y1149" s="3591">
        <v>44942</v>
      </c>
      <c r="Z1149" s="3476">
        <f t="shared" si="39"/>
        <v>0</v>
      </c>
      <c r="AA1149" s="3476"/>
      <c r="AB1149" s="3476"/>
      <c r="AC1149" s="3476"/>
      <c r="AD1149" s="3476"/>
      <c r="AE1149" s="3476"/>
      <c r="AF1149" s="3476"/>
      <c r="AG1149" s="3476"/>
      <c r="AH1149" s="3476"/>
      <c r="AI1149" s="3476"/>
    </row>
    <row r="1150" s="13" customFormat="1" ht="32.25" customHeight="1" spans="1:35">
      <c r="A1150" s="3643"/>
      <c r="B1150" s="3645"/>
      <c r="C1150" s="2286"/>
      <c r="D1150" s="3476"/>
      <c r="E1150" s="1096"/>
      <c r="F1150" s="1096"/>
      <c r="G1150" s="3476"/>
      <c r="H1150" s="1096"/>
      <c r="I1150" s="3476"/>
      <c r="J1150" s="3476"/>
      <c r="K1150" s="3524"/>
      <c r="L1150" s="3643"/>
      <c r="M1150" s="3476">
        <v>6</v>
      </c>
      <c r="N1150" s="712" t="s">
        <v>6103</v>
      </c>
      <c r="O1150" s="3535">
        <v>0.07</v>
      </c>
      <c r="P1150" s="3576">
        <f>K1145*O1150</f>
        <v>59304</v>
      </c>
      <c r="Q1150" s="3576">
        <v>59304</v>
      </c>
      <c r="R1150" s="128" t="s">
        <v>4603</v>
      </c>
      <c r="S1150" s="313">
        <v>45280</v>
      </c>
      <c r="T1150" s="3576">
        <v>59304</v>
      </c>
      <c r="U1150" s="313">
        <v>45280</v>
      </c>
      <c r="V1150" s="3576"/>
      <c r="W1150" s="3591"/>
      <c r="X1150" s="3709">
        <v>59304</v>
      </c>
      <c r="Y1150" s="3584">
        <v>46052</v>
      </c>
      <c r="Z1150" s="3476"/>
      <c r="AA1150" s="3476"/>
      <c r="AB1150" s="3476"/>
      <c r="AC1150" s="3476"/>
      <c r="AD1150" s="3476"/>
      <c r="AE1150" s="3476"/>
      <c r="AF1150" s="3476"/>
      <c r="AG1150" s="3476"/>
      <c r="AH1150" s="3476"/>
      <c r="AI1150" s="3476"/>
    </row>
    <row r="1151" s="13" customFormat="1" ht="32.25" customHeight="1" spans="1:35">
      <c r="A1151" s="3643"/>
      <c r="B1151" s="3646"/>
      <c r="C1151" s="2286"/>
      <c r="D1151" s="3476"/>
      <c r="E1151" s="1096"/>
      <c r="F1151" s="1096"/>
      <c r="G1151" s="3476"/>
      <c r="H1151" s="1096"/>
      <c r="I1151" s="3476"/>
      <c r="J1151" s="3476"/>
      <c r="K1151" s="3524"/>
      <c r="L1151" s="3643"/>
      <c r="M1151" s="3476"/>
      <c r="N1151" s="2618"/>
      <c r="O1151" s="3535">
        <v>0.03</v>
      </c>
      <c r="P1151" s="3476">
        <f>847200*O1151</f>
        <v>25416</v>
      </c>
      <c r="Q1151" s="3709">
        <v>25416</v>
      </c>
      <c r="R1151" s="280" t="s">
        <v>5015</v>
      </c>
      <c r="S1151" s="315">
        <v>46052</v>
      </c>
      <c r="T1151" s="3476"/>
      <c r="U1151" s="3476"/>
      <c r="V1151" s="3476"/>
      <c r="W1151" s="3476"/>
      <c r="X1151" s="3709">
        <v>25416</v>
      </c>
      <c r="Y1151" s="3584">
        <v>46052</v>
      </c>
      <c r="Z1151" s="3476">
        <f>Q1151-X1151</f>
        <v>0</v>
      </c>
      <c r="AA1151" s="3476"/>
      <c r="AB1151" s="3476"/>
      <c r="AC1151" s="3476"/>
      <c r="AD1151" s="3476"/>
      <c r="AE1151" s="3476"/>
      <c r="AF1151" s="3476"/>
      <c r="AG1151" s="3476"/>
      <c r="AH1151" s="3476"/>
      <c r="AI1151" s="3476"/>
    </row>
    <row r="1152" s="13" customFormat="1" ht="46.5" customHeight="1" spans="1:35">
      <c r="A1152" s="651" t="s">
        <v>2570</v>
      </c>
      <c r="B1152" s="3647">
        <v>44557</v>
      </c>
      <c r="C1152" s="653" t="s">
        <v>6045</v>
      </c>
      <c r="D1152" s="3501"/>
      <c r="E1152" s="651" t="s">
        <v>6104</v>
      </c>
      <c r="F1152" s="651" t="s">
        <v>6105</v>
      </c>
      <c r="G1152" s="651" t="s">
        <v>5115</v>
      </c>
      <c r="H1152" s="651" t="s">
        <v>6106</v>
      </c>
      <c r="I1152" s="3501"/>
      <c r="J1152" s="651" t="s">
        <v>171</v>
      </c>
      <c r="K1152" s="3669">
        <v>355000</v>
      </c>
      <c r="L1152" s="651" t="s">
        <v>126</v>
      </c>
      <c r="M1152" s="128">
        <v>1</v>
      </c>
      <c r="N1152" s="2618" t="s">
        <v>6107</v>
      </c>
      <c r="O1152" s="3535">
        <v>0.2</v>
      </c>
      <c r="P1152" s="3476">
        <f>O1152*K1152</f>
        <v>71000</v>
      </c>
      <c r="Q1152" s="3710">
        <f>348106.79*O1152</f>
        <v>69621.358</v>
      </c>
      <c r="R1152" s="128" t="s">
        <v>4603</v>
      </c>
      <c r="S1152" s="3591">
        <v>44613</v>
      </c>
      <c r="T1152" s="3710">
        <v>69621.358</v>
      </c>
      <c r="U1152" s="3591">
        <v>44613</v>
      </c>
      <c r="V1152" s="3591">
        <v>44621</v>
      </c>
      <c r="W1152" s="3591">
        <v>44621</v>
      </c>
      <c r="X1152" s="3710">
        <v>69621.36</v>
      </c>
      <c r="Y1152" s="3591">
        <v>44644</v>
      </c>
      <c r="Z1152" s="3476"/>
      <c r="AA1152" s="127" t="s">
        <v>5999</v>
      </c>
      <c r="AB1152" s="3510"/>
      <c r="AC1152" s="3510"/>
      <c r="AD1152" s="3510"/>
      <c r="AE1152" s="3510"/>
      <c r="AF1152" s="3510"/>
      <c r="AG1152" s="3510"/>
      <c r="AH1152" s="3476"/>
      <c r="AI1152" s="3476"/>
    </row>
    <row r="1153" s="13" customFormat="1" ht="46.5" customHeight="1" spans="1:35">
      <c r="A1153" s="3501"/>
      <c r="B1153" s="3647"/>
      <c r="C1153" s="3500"/>
      <c r="D1153" s="3501"/>
      <c r="E1153" s="3501"/>
      <c r="F1153" s="3501"/>
      <c r="G1153" s="3501"/>
      <c r="H1153" s="3501"/>
      <c r="I1153" s="3501"/>
      <c r="J1153" s="3501"/>
      <c r="K1153" s="3669"/>
      <c r="L1153" s="3501"/>
      <c r="M1153" s="3476">
        <v>2</v>
      </c>
      <c r="N1153" s="2618" t="s">
        <v>6108</v>
      </c>
      <c r="O1153" s="3535">
        <v>0.6</v>
      </c>
      <c r="P1153" s="3476">
        <f>O1153*K1152</f>
        <v>213000</v>
      </c>
      <c r="Q1153" s="3710">
        <f>348106.79*O1153</f>
        <v>208864.074</v>
      </c>
      <c r="R1153" s="128" t="s">
        <v>4603</v>
      </c>
      <c r="S1153" s="3591">
        <v>44621</v>
      </c>
      <c r="T1153" s="3710">
        <v>208864.074</v>
      </c>
      <c r="U1153" s="3591">
        <v>44621</v>
      </c>
      <c r="V1153" s="3576">
        <v>209964.074</v>
      </c>
      <c r="W1153" s="3591">
        <v>44631</v>
      </c>
      <c r="X1153" s="3710">
        <v>208864.074</v>
      </c>
      <c r="Y1153" s="3591">
        <v>44677</v>
      </c>
      <c r="Z1153" s="3709"/>
      <c r="AA1153" s="127" t="s">
        <v>5999</v>
      </c>
      <c r="AB1153" s="3510"/>
      <c r="AC1153" s="3510"/>
      <c r="AD1153" s="3510"/>
      <c r="AE1153" s="3510"/>
      <c r="AF1153" s="3510"/>
      <c r="AG1153" s="3510"/>
      <c r="AH1153" s="3476"/>
      <c r="AI1153" s="3476"/>
    </row>
    <row r="1154" s="13" customFormat="1" ht="46.5" customHeight="1" spans="1:35">
      <c r="A1154" s="3501"/>
      <c r="B1154" s="3647"/>
      <c r="C1154" s="3500"/>
      <c r="D1154" s="3501"/>
      <c r="E1154" s="3501"/>
      <c r="F1154" s="3501"/>
      <c r="G1154" s="3501"/>
      <c r="H1154" s="3501"/>
      <c r="I1154" s="3501"/>
      <c r="J1154" s="3501"/>
      <c r="K1154" s="3669"/>
      <c r="L1154" s="3501"/>
      <c r="M1154" s="3745">
        <v>3</v>
      </c>
      <c r="N1154" s="705" t="s">
        <v>6109</v>
      </c>
      <c r="O1154" s="3746">
        <v>0.18</v>
      </c>
      <c r="P1154" s="3510">
        <f>K1152*O1154</f>
        <v>63900</v>
      </c>
      <c r="Q1154" s="3765">
        <v>62659.2222</v>
      </c>
      <c r="R1154" s="280" t="s">
        <v>5015</v>
      </c>
      <c r="S1154" s="315">
        <v>46021</v>
      </c>
      <c r="T1154" s="3766"/>
      <c r="U1154" s="3498"/>
      <c r="V1154" s="3745"/>
      <c r="W1154" s="3498"/>
      <c r="X1154" s="3765">
        <v>63900</v>
      </c>
      <c r="Y1154" s="3796">
        <v>46052</v>
      </c>
      <c r="Z1154" s="3769"/>
      <c r="AA1154" s="647"/>
      <c r="AB1154" s="3510"/>
      <c r="AC1154" s="3510"/>
      <c r="AD1154" s="3510"/>
      <c r="AE1154" s="3510"/>
      <c r="AF1154" s="3510"/>
      <c r="AG1154" s="3510"/>
      <c r="AH1154" s="3510"/>
      <c r="AI1154" s="3510"/>
    </row>
    <row r="1155" s="13" customFormat="1" ht="46.5" customHeight="1" spans="1:35">
      <c r="A1155" s="3501"/>
      <c r="B1155" s="3647"/>
      <c r="C1155" s="3500"/>
      <c r="D1155" s="3501"/>
      <c r="E1155" s="3501"/>
      <c r="F1155" s="3501"/>
      <c r="G1155" s="3501"/>
      <c r="H1155" s="3501"/>
      <c r="I1155" s="3501"/>
      <c r="J1155" s="3501"/>
      <c r="K1155" s="3669"/>
      <c r="L1155" s="3501"/>
      <c r="M1155" s="3747"/>
      <c r="N1155" s="3748"/>
      <c r="O1155" s="3746">
        <v>0.02</v>
      </c>
      <c r="P1155" s="3510">
        <f>K1152*O1155</f>
        <v>7100</v>
      </c>
      <c r="Q1155" s="3765">
        <f>348106.79*O1155</f>
        <v>6962.1358</v>
      </c>
      <c r="R1155" s="280" t="s">
        <v>5015</v>
      </c>
      <c r="S1155" s="315">
        <v>46021</v>
      </c>
      <c r="T1155" s="3510"/>
      <c r="U1155" s="3510"/>
      <c r="V1155" s="3510"/>
      <c r="W1155" s="3510"/>
      <c r="X1155" s="3769">
        <v>7100</v>
      </c>
      <c r="Y1155" s="3796">
        <v>46052</v>
      </c>
      <c r="Z1155" s="3510">
        <f>Q1155-X1155</f>
        <v>-137.8642</v>
      </c>
      <c r="AA1155" s="3510"/>
      <c r="AB1155" s="3510"/>
      <c r="AC1155" s="3510"/>
      <c r="AD1155" s="3510"/>
      <c r="AE1155" s="3510"/>
      <c r="AF1155" s="3510"/>
      <c r="AG1155" s="3510"/>
      <c r="AH1155" s="3510"/>
      <c r="AI1155" s="3510"/>
    </row>
    <row r="1156" s="24" customFormat="1" ht="46.5" customHeight="1" spans="1:35">
      <c r="A1156" s="127" t="s">
        <v>2570</v>
      </c>
      <c r="B1156" s="3727">
        <v>45015</v>
      </c>
      <c r="C1156" s="95" t="s">
        <v>6045</v>
      </c>
      <c r="D1156" s="1096"/>
      <c r="E1156" s="647" t="s">
        <v>6110</v>
      </c>
      <c r="F1156" s="647" t="s">
        <v>6111</v>
      </c>
      <c r="G1156" s="647" t="s">
        <v>5115</v>
      </c>
      <c r="H1156" s="647" t="s">
        <v>6106</v>
      </c>
      <c r="I1156" s="2289"/>
      <c r="J1156" s="647" t="s">
        <v>2887</v>
      </c>
      <c r="K1156" s="3740">
        <v>55000</v>
      </c>
      <c r="L1156" s="647" t="s">
        <v>126</v>
      </c>
      <c r="M1156" s="3476">
        <v>1</v>
      </c>
      <c r="N1156" s="185" t="s">
        <v>6112</v>
      </c>
      <c r="O1156" s="3535">
        <v>0.2</v>
      </c>
      <c r="P1156" s="3476">
        <f>K1156*O1156</f>
        <v>11000</v>
      </c>
      <c r="Q1156" s="3710">
        <v>11000</v>
      </c>
      <c r="R1156" s="128" t="s">
        <v>4603</v>
      </c>
      <c r="S1156" s="3767">
        <v>45066</v>
      </c>
      <c r="T1156" s="34">
        <v>43145.63</v>
      </c>
      <c r="U1156" s="3767">
        <v>45066</v>
      </c>
      <c r="V1156" s="34">
        <v>43145.63</v>
      </c>
      <c r="W1156" s="3591">
        <v>45063</v>
      </c>
      <c r="X1156" s="34">
        <v>43145.63</v>
      </c>
      <c r="Y1156" s="3591">
        <v>45075</v>
      </c>
      <c r="Z1156" s="3476"/>
      <c r="AA1156" s="3476"/>
      <c r="AB1156" s="3476"/>
      <c r="AC1156" s="3476"/>
      <c r="AD1156" s="3476"/>
      <c r="AE1156" s="3476"/>
      <c r="AF1156" s="3476"/>
      <c r="AG1156" s="3476"/>
      <c r="AH1156" s="3476"/>
      <c r="AI1156" s="3476"/>
    </row>
    <row r="1157" s="24" customFormat="1" ht="46.5" customHeight="1" spans="1:35">
      <c r="A1157" s="1096"/>
      <c r="B1157" s="3647"/>
      <c r="C1157" s="2286"/>
      <c r="D1157" s="1096"/>
      <c r="E1157" s="3501"/>
      <c r="F1157" s="3501"/>
      <c r="G1157" s="3501"/>
      <c r="H1157" s="3501"/>
      <c r="I1157" s="3501"/>
      <c r="J1157" s="3501"/>
      <c r="K1157" s="3669"/>
      <c r="L1157" s="3501"/>
      <c r="M1157" s="3476">
        <v>2</v>
      </c>
      <c r="N1157" s="185" t="s">
        <v>6113</v>
      </c>
      <c r="O1157" s="3535">
        <v>0.6</v>
      </c>
      <c r="P1157" s="3476">
        <f>K1156*O1157</f>
        <v>33000</v>
      </c>
      <c r="Q1157" s="3710">
        <v>33000</v>
      </c>
      <c r="R1157" s="128" t="s">
        <v>4603</v>
      </c>
      <c r="S1157" s="3767">
        <v>45066</v>
      </c>
      <c r="T1157" s="34"/>
      <c r="U1157" s="3767">
        <v>45066</v>
      </c>
      <c r="V1157" s="34"/>
      <c r="W1157" s="3591">
        <v>45063</v>
      </c>
      <c r="X1157" s="34"/>
      <c r="Y1157" s="3591">
        <v>45075</v>
      </c>
      <c r="Z1157" s="3476"/>
      <c r="AA1157" s="3476"/>
      <c r="AB1157" s="3476"/>
      <c r="AC1157" s="3476"/>
      <c r="AD1157" s="3476"/>
      <c r="AE1157" s="3476"/>
      <c r="AF1157" s="3476"/>
      <c r="AG1157" s="3476"/>
      <c r="AH1157" s="3476"/>
      <c r="AI1157" s="3476"/>
    </row>
    <row r="1158" s="24" customFormat="1" ht="46.5" customHeight="1" spans="1:35">
      <c r="A1158" s="1096"/>
      <c r="B1158" s="3647"/>
      <c r="C1158" s="2286"/>
      <c r="D1158" s="1096"/>
      <c r="E1158" s="3501"/>
      <c r="F1158" s="3501"/>
      <c r="G1158" s="3501"/>
      <c r="H1158" s="3501"/>
      <c r="I1158" s="3501"/>
      <c r="J1158" s="3501"/>
      <c r="K1158" s="3669"/>
      <c r="L1158" s="3501"/>
      <c r="M1158" s="3510">
        <v>3</v>
      </c>
      <c r="N1158" s="647" t="s">
        <v>6114</v>
      </c>
      <c r="O1158" s="3535">
        <v>0.18</v>
      </c>
      <c r="P1158" s="3476">
        <f>K1156*O1158</f>
        <v>9900</v>
      </c>
      <c r="Q1158" s="3768">
        <v>9900</v>
      </c>
      <c r="R1158" s="280" t="s">
        <v>5015</v>
      </c>
      <c r="S1158" s="315">
        <v>46021</v>
      </c>
      <c r="T1158" s="34"/>
      <c r="U1158" s="3767"/>
      <c r="V1158" s="34"/>
      <c r="W1158" s="3591"/>
      <c r="X1158" s="3788">
        <v>9900</v>
      </c>
      <c r="Y1158" s="3584">
        <v>46052</v>
      </c>
      <c r="Z1158" s="3476"/>
      <c r="AA1158" s="3476"/>
      <c r="AB1158" s="3476"/>
      <c r="AC1158" s="3476"/>
      <c r="AD1158" s="3476"/>
      <c r="AE1158" s="3476"/>
      <c r="AF1158" s="3476"/>
      <c r="AG1158" s="3476"/>
      <c r="AH1158" s="3476"/>
      <c r="AI1158" s="3476"/>
    </row>
    <row r="1159" s="24" customFormat="1" ht="46.5" customHeight="1" spans="1:35">
      <c r="A1159" s="1096"/>
      <c r="B1159" s="3728"/>
      <c r="C1159" s="2286"/>
      <c r="D1159" s="1096"/>
      <c r="E1159" s="3504"/>
      <c r="F1159" s="3504"/>
      <c r="G1159" s="3504"/>
      <c r="H1159" s="3504"/>
      <c r="I1159" s="3504"/>
      <c r="J1159" s="3504"/>
      <c r="K1159" s="3741"/>
      <c r="L1159" s="3504"/>
      <c r="M1159" s="3522"/>
      <c r="N1159" s="179"/>
      <c r="O1159" s="3361">
        <v>0.02</v>
      </c>
      <c r="P1159" s="3476">
        <f>K1156*O1159</f>
        <v>1100</v>
      </c>
      <c r="Q1159" s="3768">
        <v>1100</v>
      </c>
      <c r="R1159" s="280" t="s">
        <v>5015</v>
      </c>
      <c r="S1159" s="315">
        <v>46021</v>
      </c>
      <c r="T1159" s="3476"/>
      <c r="U1159" s="3476"/>
      <c r="V1159" s="3476"/>
      <c r="W1159" s="3476"/>
      <c r="X1159" s="3709">
        <v>1100</v>
      </c>
      <c r="Y1159" s="3584">
        <v>46052</v>
      </c>
      <c r="Z1159" s="3476"/>
      <c r="AA1159" s="3476"/>
      <c r="AB1159" s="3476"/>
      <c r="AC1159" s="3476"/>
      <c r="AD1159" s="3476"/>
      <c r="AE1159" s="3476"/>
      <c r="AF1159" s="3476"/>
      <c r="AG1159" s="3476"/>
      <c r="AH1159" s="3476"/>
      <c r="AI1159" s="3476"/>
    </row>
    <row r="1160" s="13" customFormat="1" ht="46.5" customHeight="1" spans="1:35">
      <c r="A1160" s="651" t="s">
        <v>2570</v>
      </c>
      <c r="B1160" s="3647">
        <v>44617</v>
      </c>
      <c r="C1160" s="653" t="s">
        <v>6045</v>
      </c>
      <c r="D1160" s="3501"/>
      <c r="E1160" s="651" t="s">
        <v>6115</v>
      </c>
      <c r="F1160" s="651" t="s">
        <v>6116</v>
      </c>
      <c r="G1160" s="651" t="s">
        <v>3469</v>
      </c>
      <c r="H1160" s="651" t="s">
        <v>6117</v>
      </c>
      <c r="I1160" s="3501"/>
      <c r="J1160" s="651" t="s">
        <v>2887</v>
      </c>
      <c r="K1160" s="3669">
        <v>296000</v>
      </c>
      <c r="L1160" s="651" t="s">
        <v>126</v>
      </c>
      <c r="M1160" s="1067">
        <v>1</v>
      </c>
      <c r="N1160" s="3558" t="s">
        <v>6118</v>
      </c>
      <c r="O1160" s="3538">
        <v>0.2</v>
      </c>
      <c r="P1160" s="3522">
        <v>59200</v>
      </c>
      <c r="Q1160" s="3476">
        <v>59200</v>
      </c>
      <c r="R1160" s="128" t="s">
        <v>4603</v>
      </c>
      <c r="S1160" s="3591">
        <v>44621</v>
      </c>
      <c r="T1160" s="3476">
        <v>59200</v>
      </c>
      <c r="U1160" s="3591">
        <v>44621</v>
      </c>
      <c r="V1160" s="3476">
        <v>59200</v>
      </c>
      <c r="W1160" s="3591">
        <v>44623</v>
      </c>
      <c r="X1160" s="3476">
        <v>59200</v>
      </c>
      <c r="Y1160" s="3591">
        <v>44644</v>
      </c>
      <c r="Z1160" s="3709">
        <f>Q1160-X1160</f>
        <v>0</v>
      </c>
      <c r="AA1160" s="152"/>
      <c r="AB1160" s="3511"/>
      <c r="AC1160" s="3511"/>
      <c r="AD1160" s="3511"/>
      <c r="AE1160" s="3511"/>
      <c r="AF1160" s="3511"/>
      <c r="AG1160" s="3511"/>
      <c r="AH1160" s="3522"/>
      <c r="AI1160" s="3522"/>
    </row>
    <row r="1161" s="13" customFormat="1" ht="46.5" customHeight="1" spans="1:35">
      <c r="A1161" s="651"/>
      <c r="B1161" s="3647"/>
      <c r="C1161" s="3729"/>
      <c r="D1161" s="3501"/>
      <c r="E1161" s="3511"/>
      <c r="F1161" s="3501"/>
      <c r="G1161" s="3501"/>
      <c r="H1161" s="3501"/>
      <c r="I1161" s="3501"/>
      <c r="J1161" s="3501"/>
      <c r="K1161" s="3669"/>
      <c r="L1161" s="3501"/>
      <c r="M1161" s="3476">
        <v>2</v>
      </c>
      <c r="N1161" s="2618" t="s">
        <v>6119</v>
      </c>
      <c r="O1161" s="3535">
        <v>0.7</v>
      </c>
      <c r="P1161" s="3476">
        <v>207200</v>
      </c>
      <c r="Q1161" s="3476">
        <v>207200</v>
      </c>
      <c r="R1161" s="128" t="s">
        <v>4603</v>
      </c>
      <c r="S1161" s="3591">
        <v>44621</v>
      </c>
      <c r="T1161" s="3476">
        <v>207200</v>
      </c>
      <c r="U1161" s="3591">
        <v>44621</v>
      </c>
      <c r="V1161" s="3476">
        <v>207200</v>
      </c>
      <c r="W1161" s="3591">
        <v>44623</v>
      </c>
      <c r="X1161" s="3476">
        <v>207200</v>
      </c>
      <c r="Y1161" s="3591">
        <v>44644</v>
      </c>
      <c r="Z1161" s="3709">
        <f>Q1161-X1161</f>
        <v>0</v>
      </c>
      <c r="AA1161" s="128"/>
      <c r="AB1161" s="3510"/>
      <c r="AC1161" s="3510"/>
      <c r="AD1161" s="3510"/>
      <c r="AE1161" s="3510"/>
      <c r="AF1161" s="3510"/>
      <c r="AG1161" s="3510"/>
      <c r="AH1161" s="3476"/>
      <c r="AI1161" s="3476"/>
    </row>
    <row r="1162" s="13" customFormat="1" ht="46.5" customHeight="1" spans="1:35">
      <c r="A1162" s="651"/>
      <c r="B1162" s="3647"/>
      <c r="C1162" s="3729"/>
      <c r="D1162" s="3501"/>
      <c r="E1162" s="3511"/>
      <c r="F1162" s="3501"/>
      <c r="G1162" s="3501"/>
      <c r="H1162" s="3501"/>
      <c r="I1162" s="3501"/>
      <c r="J1162" s="3501"/>
      <c r="K1162" s="3669"/>
      <c r="L1162" s="3501"/>
      <c r="M1162" s="3510">
        <v>3</v>
      </c>
      <c r="N1162" s="705" t="s">
        <v>6120</v>
      </c>
      <c r="O1162" s="3746">
        <v>0.08</v>
      </c>
      <c r="P1162" s="3476">
        <f>K1160*O1162</f>
        <v>23680</v>
      </c>
      <c r="Q1162" s="3476">
        <v>23680</v>
      </c>
      <c r="R1162" s="128" t="s">
        <v>4603</v>
      </c>
      <c r="S1162" s="313">
        <v>45280</v>
      </c>
      <c r="T1162" s="3476">
        <v>23680</v>
      </c>
      <c r="U1162" s="313">
        <v>45280</v>
      </c>
      <c r="V1162" s="3476"/>
      <c r="W1162" s="3591"/>
      <c r="X1162" s="3709">
        <v>23680</v>
      </c>
      <c r="Y1162" s="3584">
        <v>46052</v>
      </c>
      <c r="Z1162" s="3709"/>
      <c r="AA1162" s="128"/>
      <c r="AB1162" s="3510"/>
      <c r="AC1162" s="3510"/>
      <c r="AD1162" s="3510"/>
      <c r="AE1162" s="3510"/>
      <c r="AF1162" s="3510"/>
      <c r="AG1162" s="3510"/>
      <c r="AH1162" s="3476"/>
      <c r="AI1162" s="3476"/>
    </row>
    <row r="1163" s="13" customFormat="1" ht="46.5" customHeight="1" spans="1:35">
      <c r="A1163" s="651"/>
      <c r="B1163" s="3647"/>
      <c r="C1163" s="3729"/>
      <c r="D1163" s="3501"/>
      <c r="E1163" s="3511"/>
      <c r="F1163" s="3501"/>
      <c r="G1163" s="3501"/>
      <c r="H1163" s="3501"/>
      <c r="I1163" s="3501"/>
      <c r="J1163" s="3501"/>
      <c r="K1163" s="3669"/>
      <c r="L1163" s="3501"/>
      <c r="M1163" s="3511"/>
      <c r="N1163" s="3558"/>
      <c r="O1163" s="3746">
        <v>0.02</v>
      </c>
      <c r="P1163" s="3476">
        <f>K1160*O1163</f>
        <v>5920</v>
      </c>
      <c r="Q1163" s="3709">
        <v>5920</v>
      </c>
      <c r="R1163" s="280" t="s">
        <v>5015</v>
      </c>
      <c r="S1163" s="315">
        <v>46052</v>
      </c>
      <c r="T1163" s="3476"/>
      <c r="U1163" s="3591"/>
      <c r="V1163" s="127"/>
      <c r="W1163" s="3591"/>
      <c r="X1163" s="3709">
        <v>5920</v>
      </c>
      <c r="Y1163" s="3584">
        <v>46052</v>
      </c>
      <c r="Z1163" s="3709">
        <f>Q1163-X1163</f>
        <v>0</v>
      </c>
      <c r="AA1163" s="3476"/>
      <c r="AB1163" s="3510"/>
      <c r="AC1163" s="3510"/>
      <c r="AD1163" s="3510"/>
      <c r="AE1163" s="3510"/>
      <c r="AF1163" s="3510"/>
      <c r="AG1163" s="3510"/>
      <c r="AH1163" s="3476"/>
      <c r="AI1163" s="3476"/>
    </row>
    <row r="1164" s="13" customFormat="1" ht="46.5" customHeight="1" spans="1:35">
      <c r="A1164" s="127" t="s">
        <v>2570</v>
      </c>
      <c r="B1164" s="3727">
        <v>45133</v>
      </c>
      <c r="C1164" s="95" t="s">
        <v>6045</v>
      </c>
      <c r="D1164" s="127" t="s">
        <v>171</v>
      </c>
      <c r="E1164" s="127" t="s">
        <v>6121</v>
      </c>
      <c r="F1164" s="127" t="s">
        <v>6122</v>
      </c>
      <c r="G1164" s="127" t="s">
        <v>6123</v>
      </c>
      <c r="H1164" s="127" t="s">
        <v>6124</v>
      </c>
      <c r="I1164" s="127" t="s">
        <v>171</v>
      </c>
      <c r="J1164" s="127" t="s">
        <v>2887</v>
      </c>
      <c r="K1164" s="3742">
        <v>60000</v>
      </c>
      <c r="L1164" s="127" t="s">
        <v>126</v>
      </c>
      <c r="M1164" s="149">
        <v>1</v>
      </c>
      <c r="N1164" s="172" t="s">
        <v>6125</v>
      </c>
      <c r="O1164" s="3746">
        <v>0.3</v>
      </c>
      <c r="P1164" s="3510">
        <f>K1164*O1164</f>
        <v>18000</v>
      </c>
      <c r="Q1164" s="3576">
        <v>18000</v>
      </c>
      <c r="R1164" s="128" t="s">
        <v>4603</v>
      </c>
      <c r="S1164" s="313">
        <v>45255</v>
      </c>
      <c r="T1164" s="3576">
        <v>18000</v>
      </c>
      <c r="U1164" s="3591">
        <v>45255</v>
      </c>
      <c r="V1164" s="3576">
        <v>18000</v>
      </c>
      <c r="W1164" s="3591">
        <v>45257</v>
      </c>
      <c r="X1164" s="3576">
        <v>18000</v>
      </c>
      <c r="Y1164" s="313">
        <v>45273</v>
      </c>
      <c r="Z1164" s="3709"/>
      <c r="AA1164" s="3476"/>
      <c r="AB1164" s="3510"/>
      <c r="AC1164" s="3510"/>
      <c r="AD1164" s="3510"/>
      <c r="AE1164" s="3510"/>
      <c r="AF1164" s="3510"/>
      <c r="AG1164" s="3510"/>
      <c r="AH1164" s="3476"/>
      <c r="AI1164" s="3476"/>
    </row>
    <row r="1165" s="13" customFormat="1" ht="46.5" customHeight="1" spans="1:35">
      <c r="A1165" s="127"/>
      <c r="B1165" s="3647"/>
      <c r="C1165" s="2286"/>
      <c r="D1165" s="1096"/>
      <c r="E1165" s="1096"/>
      <c r="F1165" s="1096"/>
      <c r="G1165" s="1096"/>
      <c r="H1165" s="1096"/>
      <c r="I1165" s="1096"/>
      <c r="J1165" s="1096"/>
      <c r="K1165" s="3742"/>
      <c r="L1165" s="1096"/>
      <c r="M1165" s="3510">
        <v>2</v>
      </c>
      <c r="N1165" s="172" t="s">
        <v>6126</v>
      </c>
      <c r="O1165" s="3746">
        <v>0.6</v>
      </c>
      <c r="P1165" s="3510">
        <f>K1164*O1165</f>
        <v>36000</v>
      </c>
      <c r="Q1165" s="3745">
        <v>36000</v>
      </c>
      <c r="R1165" s="128" t="s">
        <v>4603</v>
      </c>
      <c r="S1165" s="313">
        <v>45255</v>
      </c>
      <c r="T1165" s="3576">
        <v>36000</v>
      </c>
      <c r="U1165" s="3591">
        <v>45255</v>
      </c>
      <c r="V1165" s="3576">
        <v>36000</v>
      </c>
      <c r="W1165" s="3591">
        <v>45257</v>
      </c>
      <c r="X1165" s="3576">
        <v>36000</v>
      </c>
      <c r="Y1165" s="313">
        <v>45273</v>
      </c>
      <c r="Z1165" s="3709"/>
      <c r="AA1165" s="3476"/>
      <c r="AB1165" s="3510"/>
      <c r="AC1165" s="3510"/>
      <c r="AD1165" s="3510"/>
      <c r="AE1165" s="3510"/>
      <c r="AF1165" s="3510"/>
      <c r="AG1165" s="3510"/>
      <c r="AH1165" s="3476"/>
      <c r="AI1165" s="3476"/>
    </row>
    <row r="1166" s="13" customFormat="1" ht="46.5" customHeight="1" spans="1:35">
      <c r="A1166" s="127"/>
      <c r="B1166" s="3647"/>
      <c r="C1166" s="2286"/>
      <c r="D1166" s="1096"/>
      <c r="E1166" s="1096"/>
      <c r="F1166" s="1096"/>
      <c r="G1166" s="1096"/>
      <c r="H1166" s="1096"/>
      <c r="I1166" s="1096"/>
      <c r="J1166" s="1096"/>
      <c r="K1166" s="3742"/>
      <c r="L1166" s="1096"/>
      <c r="M1166" s="3510">
        <v>3</v>
      </c>
      <c r="N1166" s="647" t="s">
        <v>6127</v>
      </c>
      <c r="O1166" s="3746">
        <v>0.08</v>
      </c>
      <c r="P1166" s="3510">
        <f>K1164*O1166</f>
        <v>4800</v>
      </c>
      <c r="Q1166" s="3745">
        <v>4800</v>
      </c>
      <c r="R1166" s="128" t="s">
        <v>4603</v>
      </c>
      <c r="S1166" s="313">
        <v>45279</v>
      </c>
      <c r="T1166" s="3576">
        <v>4800</v>
      </c>
      <c r="U1166" s="313">
        <v>45279</v>
      </c>
      <c r="V1166" s="3576"/>
      <c r="W1166" s="3591"/>
      <c r="X1166" s="3709">
        <v>4800</v>
      </c>
      <c r="Y1166" s="315">
        <v>46052</v>
      </c>
      <c r="Z1166" s="3709"/>
      <c r="AA1166" s="3476"/>
      <c r="AB1166" s="3510"/>
      <c r="AC1166" s="3510"/>
      <c r="AD1166" s="3510"/>
      <c r="AE1166" s="3510"/>
      <c r="AF1166" s="3510"/>
      <c r="AG1166" s="3510"/>
      <c r="AH1166" s="3476"/>
      <c r="AI1166" s="3476"/>
    </row>
    <row r="1167" s="13" customFormat="1" ht="46.5" customHeight="1" spans="1:35">
      <c r="A1167" s="127"/>
      <c r="B1167" s="3728"/>
      <c r="C1167" s="2286"/>
      <c r="D1167" s="1096"/>
      <c r="E1167" s="1096"/>
      <c r="F1167" s="1096"/>
      <c r="G1167" s="1096"/>
      <c r="H1167" s="1096"/>
      <c r="I1167" s="1096"/>
      <c r="J1167" s="1096"/>
      <c r="K1167" s="3742"/>
      <c r="L1167" s="1096"/>
      <c r="M1167" s="3511"/>
      <c r="N1167" s="176"/>
      <c r="O1167" s="3746">
        <v>0.02</v>
      </c>
      <c r="P1167" s="3510">
        <f>K1164*O1167</f>
        <v>1200</v>
      </c>
      <c r="Q1167" s="3769">
        <v>1200</v>
      </c>
      <c r="R1167" s="280" t="s">
        <v>5015</v>
      </c>
      <c r="S1167" s="315">
        <v>46052</v>
      </c>
      <c r="T1167" s="3476"/>
      <c r="U1167" s="3591"/>
      <c r="V1167" s="127"/>
      <c r="W1167" s="3591"/>
      <c r="X1167" s="3709">
        <v>1200</v>
      </c>
      <c r="Y1167" s="3584">
        <v>46052</v>
      </c>
      <c r="Z1167" s="3709"/>
      <c r="AA1167" s="3476"/>
      <c r="AB1167" s="3510"/>
      <c r="AC1167" s="3510"/>
      <c r="AD1167" s="3510"/>
      <c r="AE1167" s="3510"/>
      <c r="AF1167" s="3510"/>
      <c r="AG1167" s="3510"/>
      <c r="AH1167" s="3476"/>
      <c r="AI1167" s="3476"/>
    </row>
    <row r="1168" s="13" customFormat="1" ht="46.5" customHeight="1" spans="1:35">
      <c r="A1168" s="651" t="s">
        <v>2570</v>
      </c>
      <c r="B1168" s="3730">
        <v>45168</v>
      </c>
      <c r="C1168" s="651" t="s">
        <v>6045</v>
      </c>
      <c r="D1168" s="651"/>
      <c r="E1168" s="651" t="s">
        <v>6128</v>
      </c>
      <c r="F1168" s="651" t="s">
        <v>6129</v>
      </c>
      <c r="G1168" s="651" t="s">
        <v>193</v>
      </c>
      <c r="H1168" s="651" t="s">
        <v>5837</v>
      </c>
      <c r="I1168" s="651" t="s">
        <v>6130</v>
      </c>
      <c r="J1168" s="651" t="s">
        <v>6131</v>
      </c>
      <c r="K1168" s="3743">
        <v>35095.91</v>
      </c>
      <c r="L1168" s="651" t="s">
        <v>32</v>
      </c>
      <c r="M1168" s="149">
        <v>1</v>
      </c>
      <c r="N1168" s="172" t="s">
        <v>6132</v>
      </c>
      <c r="O1168" s="3746">
        <v>0.4</v>
      </c>
      <c r="P1168" s="3749">
        <f>K1168*O1168</f>
        <v>14038.364</v>
      </c>
      <c r="Q1168" s="3745">
        <v>14038.36</v>
      </c>
      <c r="R1168" s="128" t="s">
        <v>4603</v>
      </c>
      <c r="S1168" s="313">
        <v>45279</v>
      </c>
      <c r="T1168" s="3476">
        <v>14038.36</v>
      </c>
      <c r="U1168" s="313">
        <v>45279</v>
      </c>
      <c r="V1168" s="3476">
        <v>14038.36</v>
      </c>
      <c r="W1168" s="3591">
        <v>45362</v>
      </c>
      <c r="X1168" s="3476"/>
      <c r="Y1168" s="3476"/>
      <c r="Z1168" s="3709"/>
      <c r="AA1168" s="3476"/>
      <c r="AB1168" s="3510"/>
      <c r="AC1168" s="3510"/>
      <c r="AD1168" s="3510"/>
      <c r="AE1168" s="3510"/>
      <c r="AF1168" s="3510"/>
      <c r="AG1168" s="3510"/>
      <c r="AH1168" s="3476"/>
      <c r="AI1168" s="3476"/>
    </row>
    <row r="1169" s="13" customFormat="1" ht="46.5" customHeight="1" spans="1:35">
      <c r="A1169" s="651"/>
      <c r="B1169" s="3730"/>
      <c r="C1169" s="651"/>
      <c r="D1169" s="651"/>
      <c r="E1169" s="651"/>
      <c r="F1169" s="651"/>
      <c r="G1169" s="651"/>
      <c r="H1169" s="651"/>
      <c r="I1169" s="651"/>
      <c r="J1169" s="651"/>
      <c r="K1169" s="651"/>
      <c r="L1169" s="651"/>
      <c r="M1169" s="3510">
        <v>2</v>
      </c>
      <c r="N1169" s="172" t="s">
        <v>6133</v>
      </c>
      <c r="O1169" s="3746">
        <v>0.55</v>
      </c>
      <c r="P1169" s="3749">
        <f>K1168*O1169</f>
        <v>19302.7505</v>
      </c>
      <c r="Q1169" s="3745">
        <v>19302.75</v>
      </c>
      <c r="R1169" s="128" t="s">
        <v>4603</v>
      </c>
      <c r="S1169" s="313">
        <v>45279</v>
      </c>
      <c r="T1169" s="3476">
        <v>19302.75</v>
      </c>
      <c r="U1169" s="313">
        <v>45279</v>
      </c>
      <c r="V1169" s="3476">
        <v>19302.75</v>
      </c>
      <c r="W1169" s="3591">
        <v>45362</v>
      </c>
      <c r="X1169" s="3476"/>
      <c r="Y1169" s="3476"/>
      <c r="Z1169" s="3709"/>
      <c r="AA1169" s="3476"/>
      <c r="AB1169" s="3510"/>
      <c r="AC1169" s="3510"/>
      <c r="AD1169" s="3510"/>
      <c r="AE1169" s="3510"/>
      <c r="AF1169" s="3510"/>
      <c r="AG1169" s="3510"/>
      <c r="AH1169" s="3476"/>
      <c r="AI1169" s="3476"/>
    </row>
    <row r="1170" s="13" customFormat="1" ht="46.5" customHeight="1" spans="1:35">
      <c r="A1170" s="651"/>
      <c r="B1170" s="3730"/>
      <c r="C1170" s="651"/>
      <c r="D1170" s="651"/>
      <c r="E1170" s="651"/>
      <c r="F1170" s="651"/>
      <c r="G1170" s="651"/>
      <c r="H1170" s="651"/>
      <c r="I1170" s="651"/>
      <c r="J1170" s="651"/>
      <c r="K1170" s="651"/>
      <c r="L1170" s="651"/>
      <c r="M1170" s="3510">
        <v>3</v>
      </c>
      <c r="N1170" s="172" t="s">
        <v>6134</v>
      </c>
      <c r="O1170" s="3746">
        <v>0.05</v>
      </c>
      <c r="P1170" s="3749">
        <f>K1168*O1170</f>
        <v>1754.7955</v>
      </c>
      <c r="Q1170" s="3765">
        <v>1754.7955</v>
      </c>
      <c r="R1170" s="280" t="s">
        <v>5015</v>
      </c>
      <c r="S1170" s="315">
        <v>46052</v>
      </c>
      <c r="T1170" s="3476"/>
      <c r="U1170" s="3591"/>
      <c r="V1170" s="127"/>
      <c r="W1170" s="3591"/>
      <c r="X1170" s="3765">
        <v>1754.7955</v>
      </c>
      <c r="Y1170" s="3584">
        <v>46052</v>
      </c>
      <c r="Z1170" s="3584"/>
      <c r="AA1170" s="3476"/>
      <c r="AB1170" s="3510"/>
      <c r="AC1170" s="3510"/>
      <c r="AD1170" s="3510"/>
      <c r="AE1170" s="3510"/>
      <c r="AF1170" s="3510"/>
      <c r="AG1170" s="3510"/>
      <c r="AH1170" s="3476"/>
      <c r="AI1170" s="3476"/>
    </row>
    <row r="1171" s="6" customFormat="1" ht="29.25" customHeight="1" spans="1:35">
      <c r="A1171" s="3643" t="s">
        <v>111</v>
      </c>
      <c r="B1171" s="3644">
        <v>44501</v>
      </c>
      <c r="C1171" s="982" t="s">
        <v>1679</v>
      </c>
      <c r="D1171" s="3731" t="s">
        <v>171</v>
      </c>
      <c r="E1171" s="3731" t="s">
        <v>6135</v>
      </c>
      <c r="F1171" s="3731" t="s">
        <v>6136</v>
      </c>
      <c r="G1171" s="3731" t="s">
        <v>240</v>
      </c>
      <c r="H1171" s="3731" t="s">
        <v>6137</v>
      </c>
      <c r="I1171" s="3643" t="s">
        <v>6138</v>
      </c>
      <c r="J1171" s="3731" t="s">
        <v>6139</v>
      </c>
      <c r="K1171" s="2678">
        <v>890000</v>
      </c>
      <c r="L1171" s="3668" t="s">
        <v>126</v>
      </c>
      <c r="M1171" s="3750">
        <v>1</v>
      </c>
      <c r="N1171" s="705" t="s">
        <v>6140</v>
      </c>
      <c r="O1171" s="3751">
        <v>0.55</v>
      </c>
      <c r="P1171" s="3752">
        <v>489500</v>
      </c>
      <c r="Q1171" s="3643">
        <v>376494</v>
      </c>
      <c r="R1171" s="3668" t="s">
        <v>4603</v>
      </c>
      <c r="S1171" s="3770">
        <v>44552</v>
      </c>
      <c r="T1171" s="3643">
        <v>376494</v>
      </c>
      <c r="U1171" s="3770">
        <v>44550</v>
      </c>
      <c r="V1171" s="3643">
        <v>376494</v>
      </c>
      <c r="W1171" s="3770">
        <v>44550</v>
      </c>
      <c r="X1171" s="3643">
        <v>100000</v>
      </c>
      <c r="Y1171" s="3770">
        <v>45106</v>
      </c>
      <c r="Z1171" s="3789"/>
      <c r="AA1171" s="3789"/>
      <c r="AB1171" s="3757"/>
      <c r="AC1171" s="3757"/>
      <c r="AD1171" s="3757">
        <f>Q1171:Q1178</f>
        <v>376494</v>
      </c>
      <c r="AE1171" s="3757"/>
      <c r="AF1171" s="3757"/>
      <c r="AG1171" s="3757"/>
      <c r="AH1171" s="3643"/>
      <c r="AI1171" s="3643"/>
    </row>
    <row r="1172" s="6" customFormat="1" ht="21" customHeight="1" spans="1:35">
      <c r="A1172" s="3643"/>
      <c r="B1172" s="3645"/>
      <c r="C1172" s="3732"/>
      <c r="D1172" s="3731"/>
      <c r="E1172" s="3731"/>
      <c r="F1172" s="3731"/>
      <c r="G1172" s="3731"/>
      <c r="H1172" s="3731"/>
      <c r="I1172" s="3643"/>
      <c r="J1172" s="3731"/>
      <c r="K1172" s="2678"/>
      <c r="L1172" s="3668"/>
      <c r="M1172" s="3753"/>
      <c r="N1172" s="709"/>
      <c r="O1172" s="3754"/>
      <c r="P1172" s="3755"/>
      <c r="Q1172" s="3643"/>
      <c r="R1172" s="3668"/>
      <c r="S1172" s="3770"/>
      <c r="T1172" s="3643"/>
      <c r="U1172" s="3770"/>
      <c r="V1172" s="3643"/>
      <c r="W1172" s="3770"/>
      <c r="X1172" s="3643">
        <v>276494</v>
      </c>
      <c r="Y1172" s="3770">
        <v>45212</v>
      </c>
      <c r="Z1172" s="3789"/>
      <c r="AA1172" s="3789"/>
      <c r="AB1172" s="3797"/>
      <c r="AC1172" s="3797"/>
      <c r="AD1172" s="3797"/>
      <c r="AE1172" s="3797"/>
      <c r="AF1172" s="3797"/>
      <c r="AG1172" s="3797"/>
      <c r="AH1172" s="3643"/>
      <c r="AI1172" s="3643"/>
    </row>
    <row r="1173" s="6" customFormat="1" ht="31.5" customHeight="1" spans="1:35">
      <c r="A1173" s="3643"/>
      <c r="B1173" s="3645"/>
      <c r="C1173" s="3732"/>
      <c r="D1173" s="3731"/>
      <c r="E1173" s="3731"/>
      <c r="F1173" s="3731"/>
      <c r="G1173" s="3731"/>
      <c r="H1173" s="3731"/>
      <c r="I1173" s="3643"/>
      <c r="J1173" s="3731"/>
      <c r="K1173" s="2678"/>
      <c r="L1173" s="3643"/>
      <c r="M1173" s="3753"/>
      <c r="N1173" s="709"/>
      <c r="O1173" s="3754"/>
      <c r="P1173" s="3755"/>
      <c r="Q1173" s="3643">
        <f>P1171-Q1171</f>
        <v>113006</v>
      </c>
      <c r="R1173" s="3643"/>
      <c r="S1173" s="3643"/>
      <c r="T1173" s="3643">
        <v>113006</v>
      </c>
      <c r="U1173" s="3643"/>
      <c r="V1173" s="3643"/>
      <c r="W1173" s="3789"/>
      <c r="X1173" s="3789"/>
      <c r="Y1173" s="3643"/>
      <c r="Z1173" s="3789"/>
      <c r="AA1173" s="3789"/>
      <c r="AB1173" s="3797"/>
      <c r="AC1173" s="3797"/>
      <c r="AD1173" s="3797"/>
      <c r="AE1173" s="3797"/>
      <c r="AF1173" s="3797"/>
      <c r="AG1173" s="3797"/>
      <c r="AH1173" s="3643"/>
      <c r="AI1173" s="3643"/>
    </row>
    <row r="1174" s="6" customFormat="1" ht="46" spans="1:35">
      <c r="A1174" s="3643"/>
      <c r="B1174" s="3645"/>
      <c r="C1174" s="3732"/>
      <c r="D1174" s="3731"/>
      <c r="E1174" s="3731"/>
      <c r="F1174" s="3731"/>
      <c r="G1174" s="3731"/>
      <c r="H1174" s="3731"/>
      <c r="I1174" s="3643"/>
      <c r="J1174" s="3731"/>
      <c r="K1174" s="2678"/>
      <c r="L1174" s="3643"/>
      <c r="M1174" s="3731">
        <v>2</v>
      </c>
      <c r="N1174" s="2618" t="s">
        <v>6141</v>
      </c>
      <c r="O1174" s="3756">
        <v>0.07</v>
      </c>
      <c r="P1174" s="1029">
        <v>62300</v>
      </c>
      <c r="Q1174" s="3643"/>
      <c r="R1174" s="3643"/>
      <c r="S1174" s="3643"/>
      <c r="T1174" s="3643"/>
      <c r="U1174" s="3643"/>
      <c r="V1174" s="3643"/>
      <c r="W1174" s="3789"/>
      <c r="X1174" s="3789"/>
      <c r="Y1174" s="3643"/>
      <c r="Z1174" s="3789"/>
      <c r="AA1174" s="3789"/>
      <c r="AB1174" s="3797"/>
      <c r="AC1174" s="3797"/>
      <c r="AD1174" s="3797"/>
      <c r="AE1174" s="3797"/>
      <c r="AF1174" s="3797"/>
      <c r="AG1174" s="3797"/>
      <c r="AH1174" s="3643"/>
      <c r="AI1174" s="3643"/>
    </row>
    <row r="1175" s="6" customFormat="1" ht="46" spans="1:35">
      <c r="A1175" s="3643"/>
      <c r="B1175" s="3645"/>
      <c r="C1175" s="3732"/>
      <c r="D1175" s="3731"/>
      <c r="E1175" s="3731"/>
      <c r="F1175" s="3731"/>
      <c r="G1175" s="3731"/>
      <c r="H1175" s="3731"/>
      <c r="I1175" s="3643"/>
      <c r="J1175" s="3731" t="s">
        <v>6142</v>
      </c>
      <c r="K1175" s="2678"/>
      <c r="L1175" s="3643"/>
      <c r="M1175" s="3731">
        <v>3</v>
      </c>
      <c r="N1175" s="2618" t="s">
        <v>6143</v>
      </c>
      <c r="O1175" s="3756">
        <v>0.15</v>
      </c>
      <c r="P1175" s="1029">
        <v>133500</v>
      </c>
      <c r="Q1175" s="3643"/>
      <c r="R1175" s="3643"/>
      <c r="S1175" s="3643"/>
      <c r="T1175" s="3643"/>
      <c r="U1175" s="3643"/>
      <c r="V1175" s="3643"/>
      <c r="W1175" s="3789"/>
      <c r="X1175" s="3789"/>
      <c r="Y1175" s="3643"/>
      <c r="Z1175" s="3789"/>
      <c r="AA1175" s="3789"/>
      <c r="AB1175" s="3797"/>
      <c r="AC1175" s="3797"/>
      <c r="AD1175" s="3797"/>
      <c r="AE1175" s="3797"/>
      <c r="AF1175" s="3797"/>
      <c r="AG1175" s="3797"/>
      <c r="AH1175" s="3643"/>
      <c r="AI1175" s="3643"/>
    </row>
    <row r="1176" s="6" customFormat="1" ht="46" spans="1:35">
      <c r="A1176" s="3643"/>
      <c r="B1176" s="3645"/>
      <c r="C1176" s="3732"/>
      <c r="D1176" s="3731"/>
      <c r="E1176" s="3731"/>
      <c r="F1176" s="3731"/>
      <c r="G1176" s="3731"/>
      <c r="H1176" s="3731"/>
      <c r="I1176" s="3643"/>
      <c r="J1176" s="3731"/>
      <c r="K1176" s="2678"/>
      <c r="L1176" s="3643"/>
      <c r="M1176" s="3731">
        <v>4</v>
      </c>
      <c r="N1176" s="2618" t="s">
        <v>6144</v>
      </c>
      <c r="O1176" s="3756">
        <v>0.04</v>
      </c>
      <c r="P1176" s="1029">
        <v>35600</v>
      </c>
      <c r="Q1176" s="3643"/>
      <c r="R1176" s="3643"/>
      <c r="S1176" s="3643"/>
      <c r="T1176" s="3643"/>
      <c r="U1176" s="3643"/>
      <c r="V1176" s="3643"/>
      <c r="W1176" s="3789"/>
      <c r="X1176" s="3789"/>
      <c r="Y1176" s="3643"/>
      <c r="Z1176" s="3789"/>
      <c r="AA1176" s="3789"/>
      <c r="AB1176" s="3797"/>
      <c r="AC1176" s="3797"/>
      <c r="AD1176" s="3797"/>
      <c r="AE1176" s="3797"/>
      <c r="AF1176" s="3797"/>
      <c r="AG1176" s="3797"/>
      <c r="AH1176" s="3643"/>
      <c r="AI1176" s="3643"/>
    </row>
    <row r="1177" s="6" customFormat="1" ht="46" spans="1:35">
      <c r="A1177" s="3643"/>
      <c r="B1177" s="3645"/>
      <c r="C1177" s="3732"/>
      <c r="D1177" s="3731"/>
      <c r="E1177" s="3731"/>
      <c r="F1177" s="3731"/>
      <c r="G1177" s="3731"/>
      <c r="H1177" s="3731"/>
      <c r="I1177" s="3643"/>
      <c r="J1177" s="3731" t="s">
        <v>6145</v>
      </c>
      <c r="K1177" s="2678"/>
      <c r="L1177" s="3643"/>
      <c r="M1177" s="3731">
        <v>5</v>
      </c>
      <c r="N1177" s="2618" t="s">
        <v>6146</v>
      </c>
      <c r="O1177" s="3756">
        <v>0.11</v>
      </c>
      <c r="P1177" s="1029">
        <v>97900</v>
      </c>
      <c r="Q1177" s="3643"/>
      <c r="R1177" s="3643"/>
      <c r="S1177" s="3643"/>
      <c r="T1177" s="3643"/>
      <c r="U1177" s="3643"/>
      <c r="V1177" s="3643"/>
      <c r="W1177" s="3789"/>
      <c r="X1177" s="3789"/>
      <c r="Y1177" s="3643"/>
      <c r="Z1177" s="3789"/>
      <c r="AA1177" s="3789"/>
      <c r="AB1177" s="3797"/>
      <c r="AC1177" s="3797"/>
      <c r="AD1177" s="3797"/>
      <c r="AE1177" s="3797"/>
      <c r="AF1177" s="3797"/>
      <c r="AG1177" s="3797"/>
      <c r="AH1177" s="3643"/>
      <c r="AI1177" s="3643"/>
    </row>
    <row r="1178" s="6" customFormat="1" ht="46" spans="1:35">
      <c r="A1178" s="3643"/>
      <c r="B1178" s="3646"/>
      <c r="C1178" s="3732"/>
      <c r="D1178" s="3731"/>
      <c r="E1178" s="3731"/>
      <c r="F1178" s="3731"/>
      <c r="G1178" s="3731"/>
      <c r="H1178" s="3731"/>
      <c r="I1178" s="3643"/>
      <c r="J1178" s="3731"/>
      <c r="K1178" s="2678"/>
      <c r="L1178" s="3643"/>
      <c r="M1178" s="3731">
        <v>6</v>
      </c>
      <c r="N1178" s="2618" t="s">
        <v>6147</v>
      </c>
      <c r="O1178" s="3756">
        <v>0.08</v>
      </c>
      <c r="P1178" s="1029">
        <v>71200</v>
      </c>
      <c r="Q1178" s="3643"/>
      <c r="R1178" s="3643"/>
      <c r="S1178" s="3643"/>
      <c r="T1178" s="3643"/>
      <c r="U1178" s="3643"/>
      <c r="V1178" s="3643"/>
      <c r="W1178" s="3789"/>
      <c r="X1178" s="3789"/>
      <c r="Y1178" s="3643"/>
      <c r="Z1178" s="3789"/>
      <c r="AA1178" s="3789"/>
      <c r="AB1178" s="3758"/>
      <c r="AC1178" s="3758"/>
      <c r="AD1178" s="3758"/>
      <c r="AE1178" s="3758"/>
      <c r="AF1178" s="3758"/>
      <c r="AG1178" s="3758"/>
      <c r="AH1178" s="3643"/>
      <c r="AI1178" s="3643"/>
    </row>
    <row r="1179" s="6" customFormat="1" ht="61" spans="1:35">
      <c r="A1179" s="3643" t="s">
        <v>111</v>
      </c>
      <c r="B1179" s="3644">
        <v>44501</v>
      </c>
      <c r="C1179" s="982" t="s">
        <v>1679</v>
      </c>
      <c r="D1179" s="3668" t="s">
        <v>171</v>
      </c>
      <c r="E1179" s="3731" t="s">
        <v>6148</v>
      </c>
      <c r="F1179" s="3731" t="s">
        <v>6149</v>
      </c>
      <c r="G1179" s="3643" t="s">
        <v>240</v>
      </c>
      <c r="H1179" s="3731" t="s">
        <v>6150</v>
      </c>
      <c r="I1179" s="3731" t="s">
        <v>6151</v>
      </c>
      <c r="J1179" s="3643"/>
      <c r="K1179" s="2678">
        <v>800000</v>
      </c>
      <c r="L1179" s="3668" t="s">
        <v>126</v>
      </c>
      <c r="M1179" s="3643">
        <v>1</v>
      </c>
      <c r="N1179" s="2618" t="s">
        <v>6152</v>
      </c>
      <c r="O1179" s="3756">
        <v>0.125</v>
      </c>
      <c r="P1179" s="1029">
        <v>100000</v>
      </c>
      <c r="Q1179" s="3643">
        <v>100000</v>
      </c>
      <c r="R1179" s="3668" t="s">
        <v>4603</v>
      </c>
      <c r="S1179" s="858">
        <v>44911</v>
      </c>
      <c r="T1179" s="3643">
        <v>100000</v>
      </c>
      <c r="U1179" s="858">
        <v>44911</v>
      </c>
      <c r="V1179" s="3643">
        <v>211039.9</v>
      </c>
      <c r="W1179" s="3770">
        <v>45078</v>
      </c>
      <c r="X1179" s="3643">
        <v>211039.9</v>
      </c>
      <c r="Y1179" s="3770">
        <v>45114</v>
      </c>
      <c r="Z1179" s="3789"/>
      <c r="AA1179" s="3789"/>
      <c r="AB1179" s="3789"/>
      <c r="AC1179" s="3789"/>
      <c r="AD1179" s="3789"/>
      <c r="AE1179" s="3789"/>
      <c r="AF1179" s="3789"/>
      <c r="AG1179" s="3789"/>
      <c r="AH1179" s="3789"/>
      <c r="AI1179" s="3789"/>
    </row>
    <row r="1180" s="6" customFormat="1" ht="61" spans="1:35">
      <c r="A1180" s="3643"/>
      <c r="B1180" s="3645"/>
      <c r="C1180" s="3733"/>
      <c r="D1180" s="3643"/>
      <c r="E1180" s="3731"/>
      <c r="F1180" s="3731"/>
      <c r="G1180" s="3643"/>
      <c r="H1180" s="3731"/>
      <c r="I1180" s="3731"/>
      <c r="J1180" s="3643"/>
      <c r="K1180" s="2678"/>
      <c r="L1180" s="3643"/>
      <c r="M1180" s="3643">
        <v>2</v>
      </c>
      <c r="N1180" s="2618" t="s">
        <v>6153</v>
      </c>
      <c r="O1180" s="3756">
        <v>0.3125</v>
      </c>
      <c r="P1180" s="1029">
        <v>250000</v>
      </c>
      <c r="Q1180" s="3643">
        <v>250000</v>
      </c>
      <c r="R1180" s="3668" t="s">
        <v>4603</v>
      </c>
      <c r="S1180" s="858">
        <v>44911</v>
      </c>
      <c r="T1180" s="3643">
        <v>250000</v>
      </c>
      <c r="U1180" s="858">
        <v>44911</v>
      </c>
      <c r="V1180" s="3643">
        <v>139537.08</v>
      </c>
      <c r="W1180" s="3770">
        <v>45141</v>
      </c>
      <c r="X1180" s="3643">
        <v>139537.08</v>
      </c>
      <c r="Y1180" s="3770">
        <v>45212</v>
      </c>
      <c r="Z1180" s="3789"/>
      <c r="AA1180" s="3798" t="s">
        <v>6154</v>
      </c>
      <c r="AB1180" s="3789"/>
      <c r="AC1180" s="3789"/>
      <c r="AD1180" s="3789"/>
      <c r="AE1180" s="3789"/>
      <c r="AF1180" s="3789"/>
      <c r="AG1180" s="3789"/>
      <c r="AH1180" s="3789"/>
      <c r="AI1180" s="3789"/>
    </row>
    <row r="1181" s="6" customFormat="1" ht="61" spans="1:35">
      <c r="A1181" s="3643"/>
      <c r="B1181" s="3645"/>
      <c r="C1181" s="3733"/>
      <c r="D1181" s="3643"/>
      <c r="E1181" s="3731"/>
      <c r="F1181" s="3731"/>
      <c r="G1181" s="3643"/>
      <c r="H1181" s="3731"/>
      <c r="I1181" s="3731"/>
      <c r="J1181" s="3643"/>
      <c r="K1181" s="2678"/>
      <c r="L1181" s="3643"/>
      <c r="M1181" s="3643">
        <v>3</v>
      </c>
      <c r="N1181" s="2618" t="s">
        <v>6155</v>
      </c>
      <c r="O1181" s="3756">
        <v>0.125</v>
      </c>
      <c r="P1181" s="1029">
        <v>100000</v>
      </c>
      <c r="Q1181" s="3643">
        <v>100000</v>
      </c>
      <c r="R1181" s="3668" t="s">
        <v>4603</v>
      </c>
      <c r="S1181" s="858">
        <v>44911</v>
      </c>
      <c r="T1181" s="3643">
        <v>100000</v>
      </c>
      <c r="U1181" s="858">
        <v>44911</v>
      </c>
      <c r="V1181" s="3643">
        <v>149423.02</v>
      </c>
      <c r="W1181" s="3770">
        <v>45394</v>
      </c>
      <c r="X1181" s="3643">
        <v>149423.02</v>
      </c>
      <c r="Y1181" s="3770">
        <v>45439</v>
      </c>
      <c r="Z1181" s="3789"/>
      <c r="AA1181" s="3789"/>
      <c r="AB1181" s="3789"/>
      <c r="AC1181" s="3789"/>
      <c r="AD1181" s="3789"/>
      <c r="AE1181" s="3789"/>
      <c r="AF1181" s="3789"/>
      <c r="AG1181" s="3789"/>
      <c r="AH1181" s="3789"/>
      <c r="AI1181" s="3789"/>
    </row>
    <row r="1182" s="6" customFormat="1" ht="17.25" customHeight="1" spans="1:35">
      <c r="A1182" s="3643"/>
      <c r="B1182" s="3645"/>
      <c r="C1182" s="3733"/>
      <c r="D1182" s="3643"/>
      <c r="E1182" s="3731"/>
      <c r="F1182" s="3731"/>
      <c r="G1182" s="3643"/>
      <c r="H1182" s="3731"/>
      <c r="I1182" s="3731"/>
      <c r="J1182" s="3643"/>
      <c r="K1182" s="2678"/>
      <c r="L1182" s="3643"/>
      <c r="M1182" s="3757">
        <v>4</v>
      </c>
      <c r="N1182" s="705" t="s">
        <v>6156</v>
      </c>
      <c r="O1182" s="3751">
        <v>0.25</v>
      </c>
      <c r="P1182" s="3752">
        <v>200000</v>
      </c>
      <c r="Q1182" s="3757">
        <v>200000</v>
      </c>
      <c r="R1182" s="3771" t="s">
        <v>4603</v>
      </c>
      <c r="S1182" s="3772">
        <v>44911</v>
      </c>
      <c r="T1182" s="3757">
        <v>200000</v>
      </c>
      <c r="U1182" s="3772">
        <v>44911</v>
      </c>
      <c r="V1182" s="1029">
        <v>100000</v>
      </c>
      <c r="W1182" s="3770">
        <v>45660</v>
      </c>
      <c r="X1182" s="1029">
        <v>100000</v>
      </c>
      <c r="Y1182" s="3770">
        <v>45681</v>
      </c>
      <c r="Z1182" s="3799"/>
      <c r="AA1182" s="3789"/>
      <c r="AB1182" s="3789"/>
      <c r="AC1182" s="3789"/>
      <c r="AD1182" s="3789"/>
      <c r="AE1182" s="3789"/>
      <c r="AF1182" s="3789"/>
      <c r="AG1182" s="3789"/>
      <c r="AH1182" s="3789"/>
      <c r="AI1182" s="3789"/>
    </row>
    <row r="1183" s="6" customFormat="1" ht="17.25" customHeight="1" spans="1:35">
      <c r="A1183" s="3643"/>
      <c r="B1183" s="3645"/>
      <c r="C1183" s="3733"/>
      <c r="D1183" s="3643"/>
      <c r="E1183" s="3731"/>
      <c r="F1183" s="3731"/>
      <c r="G1183" s="3643"/>
      <c r="H1183" s="3731"/>
      <c r="I1183" s="3731"/>
      <c r="J1183" s="3643"/>
      <c r="K1183" s="2678"/>
      <c r="L1183" s="3643"/>
      <c r="M1183" s="3758"/>
      <c r="N1183" s="3541"/>
      <c r="O1183" s="3759"/>
      <c r="P1183" s="3760"/>
      <c r="Q1183" s="3758"/>
      <c r="R1183" s="3773"/>
      <c r="S1183" s="3578"/>
      <c r="T1183" s="3758"/>
      <c r="U1183" s="3578"/>
      <c r="V1183" s="3790">
        <v>50000</v>
      </c>
      <c r="W1183" s="3774"/>
      <c r="X1183" s="3790">
        <v>50000</v>
      </c>
      <c r="Y1183" s="3774"/>
      <c r="Z1183" s="3789"/>
      <c r="AA1183" s="3789"/>
      <c r="AB1183" s="3789"/>
      <c r="AC1183" s="3789"/>
      <c r="AD1183" s="3789"/>
      <c r="AE1183" s="3789"/>
      <c r="AF1183" s="3789"/>
      <c r="AG1183" s="3789"/>
      <c r="AH1183" s="3789"/>
      <c r="AI1183" s="3789"/>
    </row>
    <row r="1184" s="6" customFormat="1" ht="46" spans="1:35">
      <c r="A1184" s="3643"/>
      <c r="B1184" s="3645"/>
      <c r="C1184" s="3733"/>
      <c r="D1184" s="3643"/>
      <c r="E1184" s="3731"/>
      <c r="F1184" s="3731"/>
      <c r="G1184" s="3643"/>
      <c r="H1184" s="3731"/>
      <c r="I1184" s="3731"/>
      <c r="J1184" s="3643"/>
      <c r="K1184" s="2678"/>
      <c r="L1184" s="3643"/>
      <c r="M1184" s="3643">
        <v>5</v>
      </c>
      <c r="N1184" s="2618" t="s">
        <v>6157</v>
      </c>
      <c r="O1184" s="3756">
        <v>0.0625</v>
      </c>
      <c r="P1184" s="1029">
        <v>50000</v>
      </c>
      <c r="Q1184" s="3643"/>
      <c r="R1184" s="3643"/>
      <c r="S1184" s="3643"/>
      <c r="T1184" s="3643"/>
      <c r="U1184" s="3643"/>
      <c r="V1184" s="3643"/>
      <c r="W1184" s="3789"/>
      <c r="X1184" s="3789"/>
      <c r="Y1184" s="3643"/>
      <c r="Z1184" s="3789"/>
      <c r="AA1184" s="3789"/>
      <c r="AB1184" s="3789"/>
      <c r="AC1184" s="3789"/>
      <c r="AD1184" s="3789"/>
      <c r="AE1184" s="3789"/>
      <c r="AF1184" s="3789"/>
      <c r="AG1184" s="3789"/>
      <c r="AH1184" s="3789"/>
      <c r="AI1184" s="3789"/>
    </row>
    <row r="1185" s="6" customFormat="1" ht="61" spans="1:35">
      <c r="A1185" s="3643"/>
      <c r="B1185" s="3645"/>
      <c r="C1185" s="3733"/>
      <c r="D1185" s="3643"/>
      <c r="E1185" s="3731"/>
      <c r="F1185" s="3731"/>
      <c r="G1185" s="3643"/>
      <c r="H1185" s="3731"/>
      <c r="I1185" s="3731"/>
      <c r="J1185" s="3643"/>
      <c r="K1185" s="2678"/>
      <c r="L1185" s="3643"/>
      <c r="M1185" s="3643">
        <v>6</v>
      </c>
      <c r="N1185" s="2618" t="s">
        <v>6158</v>
      </c>
      <c r="O1185" s="3756">
        <v>0.0625</v>
      </c>
      <c r="P1185" s="1029">
        <v>50000</v>
      </c>
      <c r="Q1185" s="3643"/>
      <c r="R1185" s="3643"/>
      <c r="S1185" s="3643"/>
      <c r="T1185" s="3643"/>
      <c r="U1185" s="3643"/>
      <c r="V1185" s="3643"/>
      <c r="W1185" s="3789"/>
      <c r="X1185" s="3789"/>
      <c r="Y1185" s="3643"/>
      <c r="Z1185" s="3789"/>
      <c r="AA1185" s="3789"/>
      <c r="AB1185" s="3789"/>
      <c r="AC1185" s="3789"/>
      <c r="AD1185" s="3789"/>
      <c r="AE1185" s="3789"/>
      <c r="AF1185" s="3789"/>
      <c r="AG1185" s="3789"/>
      <c r="AH1185" s="3789"/>
      <c r="AI1185" s="3789"/>
    </row>
    <row r="1186" s="6" customFormat="1" ht="61" spans="1:35">
      <c r="A1186" s="3643"/>
      <c r="B1186" s="3646"/>
      <c r="C1186" s="3733"/>
      <c r="D1186" s="3643"/>
      <c r="E1186" s="3731"/>
      <c r="F1186" s="3731"/>
      <c r="G1186" s="3643"/>
      <c r="H1186" s="3731"/>
      <c r="I1186" s="3731"/>
      <c r="J1186" s="3643"/>
      <c r="K1186" s="2678"/>
      <c r="L1186" s="3643"/>
      <c r="M1186" s="3643">
        <v>7</v>
      </c>
      <c r="N1186" s="2618" t="s">
        <v>6159</v>
      </c>
      <c r="O1186" s="3756">
        <v>0.0625</v>
      </c>
      <c r="P1186" s="1029">
        <v>50000</v>
      </c>
      <c r="Q1186" s="3643"/>
      <c r="R1186" s="3643"/>
      <c r="S1186" s="3643"/>
      <c r="T1186" s="3643"/>
      <c r="U1186" s="3643"/>
      <c r="V1186" s="3643"/>
      <c r="W1186" s="3789"/>
      <c r="X1186" s="3789"/>
      <c r="Y1186" s="3643"/>
      <c r="Z1186" s="3789"/>
      <c r="AA1186" s="3789"/>
      <c r="AB1186" s="3789"/>
      <c r="AC1186" s="3789"/>
      <c r="AD1186" s="3789"/>
      <c r="AE1186" s="3789"/>
      <c r="AF1186" s="3789"/>
      <c r="AG1186" s="3789"/>
      <c r="AH1186" s="3789"/>
      <c r="AI1186" s="3789"/>
    </row>
    <row r="1187" s="6" customFormat="1" ht="20" customHeight="1" spans="1:35">
      <c r="A1187" s="3643" t="s">
        <v>111</v>
      </c>
      <c r="B1187" s="3644">
        <v>44517</v>
      </c>
      <c r="C1187" s="982" t="s">
        <v>1679</v>
      </c>
      <c r="D1187" s="3668" t="s">
        <v>171</v>
      </c>
      <c r="E1187" s="3738" t="s">
        <v>6160</v>
      </c>
      <c r="F1187" s="3738" t="s">
        <v>6161</v>
      </c>
      <c r="G1187" s="3643" t="s">
        <v>240</v>
      </c>
      <c r="H1187" s="3738" t="s">
        <v>6162</v>
      </c>
      <c r="I1187" s="3738" t="s">
        <v>6163</v>
      </c>
      <c r="J1187" s="3643"/>
      <c r="K1187" s="2678">
        <v>970000</v>
      </c>
      <c r="L1187" s="3668" t="s">
        <v>126</v>
      </c>
      <c r="M1187" s="3643">
        <v>1</v>
      </c>
      <c r="N1187" s="3556" t="s">
        <v>1686</v>
      </c>
      <c r="O1187" s="3756">
        <v>0.377</v>
      </c>
      <c r="P1187" s="1029">
        <v>196000</v>
      </c>
      <c r="Q1187" s="3774"/>
      <c r="R1187" s="3775"/>
      <c r="S1187" s="3776"/>
      <c r="T1187" s="3643"/>
      <c r="U1187" s="3643"/>
      <c r="V1187" s="3643"/>
      <c r="W1187" s="3789"/>
      <c r="X1187" s="3789"/>
      <c r="Y1187" s="3643"/>
      <c r="Z1187" s="3789"/>
      <c r="AA1187" s="3789"/>
      <c r="AB1187" s="3789"/>
      <c r="AC1187" s="3789"/>
      <c r="AD1187" s="3789"/>
      <c r="AE1187" s="3789"/>
      <c r="AF1187" s="3789"/>
      <c r="AG1187" s="3789"/>
      <c r="AH1187" s="3789"/>
      <c r="AI1187" s="3789"/>
    </row>
    <row r="1188" s="6" customFormat="1" ht="20" customHeight="1" spans="1:35">
      <c r="A1188" s="3643"/>
      <c r="B1188" s="3645"/>
      <c r="C1188" s="3733"/>
      <c r="D1188" s="3643"/>
      <c r="E1188" s="3731"/>
      <c r="F1188" s="3731"/>
      <c r="G1188" s="3643"/>
      <c r="H1188" s="3731"/>
      <c r="I1188" s="3731"/>
      <c r="J1188" s="3643"/>
      <c r="K1188" s="2678"/>
      <c r="L1188" s="3643"/>
      <c r="M1188" s="3643">
        <v>2</v>
      </c>
      <c r="N1188" s="3558"/>
      <c r="O1188" s="3756">
        <v>0.2</v>
      </c>
      <c r="P1188" s="1029">
        <v>104000</v>
      </c>
      <c r="Q1188" s="3774"/>
      <c r="R1188" s="3775"/>
      <c r="S1188" s="3776"/>
      <c r="T1188" s="3643"/>
      <c r="U1188" s="3643"/>
      <c r="V1188" s="3643"/>
      <c r="W1188" s="3789"/>
      <c r="X1188" s="3789"/>
      <c r="Y1188" s="3643"/>
      <c r="Z1188" s="3789"/>
      <c r="AA1188" s="3789"/>
      <c r="AB1188" s="3789"/>
      <c r="AC1188" s="3789"/>
      <c r="AD1188" s="3789"/>
      <c r="AE1188" s="3789"/>
      <c r="AF1188" s="3789"/>
      <c r="AG1188" s="3789"/>
      <c r="AH1188" s="3789"/>
      <c r="AI1188" s="3789"/>
    </row>
    <row r="1189" s="6" customFormat="1" ht="16" spans="1:35">
      <c r="A1189" s="3643"/>
      <c r="B1189" s="3645"/>
      <c r="C1189" s="3733"/>
      <c r="D1189" s="3643"/>
      <c r="E1189" s="3731"/>
      <c r="F1189" s="3731"/>
      <c r="G1189" s="3643"/>
      <c r="H1189" s="3731"/>
      <c r="I1189" s="3731"/>
      <c r="J1189" s="3643"/>
      <c r="K1189" s="2678"/>
      <c r="L1189" s="3643"/>
      <c r="M1189" s="3643">
        <v>3</v>
      </c>
      <c r="N1189" s="3761" t="s">
        <v>1687</v>
      </c>
      <c r="O1189" s="3756">
        <v>0.423</v>
      </c>
      <c r="P1189" s="1029">
        <v>220000</v>
      </c>
      <c r="Q1189" s="3777">
        <v>220000</v>
      </c>
      <c r="R1189" s="3668" t="s">
        <v>4603</v>
      </c>
      <c r="S1189" s="858">
        <v>44911</v>
      </c>
      <c r="T1189" s="3643">
        <v>220000</v>
      </c>
      <c r="U1189" s="3770">
        <v>44911</v>
      </c>
      <c r="V1189" s="3643">
        <v>220000</v>
      </c>
      <c r="W1189" s="3770">
        <v>44970</v>
      </c>
      <c r="X1189" s="3643">
        <v>220000</v>
      </c>
      <c r="Y1189" s="3770">
        <v>45031</v>
      </c>
      <c r="Z1189" s="3789"/>
      <c r="AA1189" s="3789"/>
      <c r="AB1189" s="3789"/>
      <c r="AC1189" s="3789"/>
      <c r="AD1189" s="3789"/>
      <c r="AE1189" s="3789"/>
      <c r="AF1189" s="3789"/>
      <c r="AG1189" s="3789"/>
      <c r="AH1189" s="3789"/>
      <c r="AI1189" s="3789"/>
    </row>
    <row r="1190" s="6" customFormat="1" ht="20" customHeight="1" spans="1:35">
      <c r="A1190" s="3643"/>
      <c r="B1190" s="3645"/>
      <c r="C1190" s="3733"/>
      <c r="D1190" s="3643"/>
      <c r="E1190" s="3731"/>
      <c r="F1190" s="3731"/>
      <c r="G1190" s="3643"/>
      <c r="H1190" s="3731"/>
      <c r="I1190" s="3731"/>
      <c r="J1190" s="3643"/>
      <c r="K1190" s="2678"/>
      <c r="L1190" s="3643"/>
      <c r="M1190" s="3643">
        <v>4</v>
      </c>
      <c r="N1190" s="2618" t="s">
        <v>6164</v>
      </c>
      <c r="O1190" s="3756">
        <v>0.212</v>
      </c>
      <c r="P1190" s="1029">
        <v>70000</v>
      </c>
      <c r="Q1190" s="3643"/>
      <c r="R1190" s="3643"/>
      <c r="S1190" s="3643"/>
      <c r="T1190" s="3643"/>
      <c r="U1190" s="3643"/>
      <c r="V1190" s="3643"/>
      <c r="W1190" s="3789"/>
      <c r="X1190" s="3789"/>
      <c r="Y1190" s="3643"/>
      <c r="Z1190" s="3789"/>
      <c r="AA1190" s="3789"/>
      <c r="AB1190" s="3789"/>
      <c r="AC1190" s="3789"/>
      <c r="AD1190" s="3789"/>
      <c r="AE1190" s="3789"/>
      <c r="AF1190" s="3789"/>
      <c r="AG1190" s="3789"/>
      <c r="AH1190" s="3789"/>
      <c r="AI1190" s="3789"/>
    </row>
    <row r="1191" s="6" customFormat="1" ht="20" customHeight="1" spans="1:35">
      <c r="A1191" s="3643"/>
      <c r="B1191" s="3645"/>
      <c r="C1191" s="3733"/>
      <c r="D1191" s="3643"/>
      <c r="E1191" s="3731"/>
      <c r="F1191" s="3731"/>
      <c r="G1191" s="3643"/>
      <c r="H1191" s="3731"/>
      <c r="I1191" s="3731"/>
      <c r="J1191" s="3643"/>
      <c r="K1191" s="2678"/>
      <c r="L1191" s="3643"/>
      <c r="M1191" s="3643">
        <v>5</v>
      </c>
      <c r="N1191" s="2618" t="s">
        <v>6165</v>
      </c>
      <c r="O1191" s="3756">
        <v>0.242</v>
      </c>
      <c r="P1191" s="1029">
        <v>80000</v>
      </c>
      <c r="Q1191" s="3643"/>
      <c r="R1191" s="3643"/>
      <c r="S1191" s="3643"/>
      <c r="T1191" s="3643"/>
      <c r="U1191" s="3643"/>
      <c r="V1191" s="3643"/>
      <c r="W1191" s="3789"/>
      <c r="X1191" s="3789"/>
      <c r="Y1191" s="3643"/>
      <c r="Z1191" s="3789"/>
      <c r="AA1191" s="3789"/>
      <c r="AB1191" s="3789"/>
      <c r="AC1191" s="3789"/>
      <c r="AD1191" s="3789"/>
      <c r="AE1191" s="3789"/>
      <c r="AF1191" s="3789"/>
      <c r="AG1191" s="3789"/>
      <c r="AH1191" s="3789"/>
      <c r="AI1191" s="3789"/>
    </row>
    <row r="1192" s="6" customFormat="1" ht="20" customHeight="1" spans="1:35">
      <c r="A1192" s="3643"/>
      <c r="B1192" s="3645"/>
      <c r="C1192" s="3733"/>
      <c r="D1192" s="3643"/>
      <c r="E1192" s="3731"/>
      <c r="F1192" s="3731"/>
      <c r="G1192" s="3643"/>
      <c r="H1192" s="3731"/>
      <c r="I1192" s="3731"/>
      <c r="J1192" s="3643"/>
      <c r="K1192" s="2678"/>
      <c r="L1192" s="3643"/>
      <c r="M1192" s="3643">
        <v>6</v>
      </c>
      <c r="N1192" s="2618" t="s">
        <v>6166</v>
      </c>
      <c r="O1192" s="3756">
        <v>0.182</v>
      </c>
      <c r="P1192" s="1029">
        <v>60000</v>
      </c>
      <c r="Q1192" s="3643"/>
      <c r="R1192" s="3643"/>
      <c r="S1192" s="3643"/>
      <c r="T1192" s="3643"/>
      <c r="U1192" s="3643"/>
      <c r="V1192" s="3643"/>
      <c r="W1192" s="3789"/>
      <c r="X1192" s="3789"/>
      <c r="Y1192" s="3643"/>
      <c r="Z1192" s="3789"/>
      <c r="AA1192" s="3789"/>
      <c r="AB1192" s="3789"/>
      <c r="AC1192" s="3789"/>
      <c r="AD1192" s="3789"/>
      <c r="AE1192" s="3789"/>
      <c r="AF1192" s="3789"/>
      <c r="AG1192" s="3789"/>
      <c r="AH1192" s="3789"/>
      <c r="AI1192" s="3789"/>
    </row>
    <row r="1193" s="6" customFormat="1" ht="20" customHeight="1" spans="1:35">
      <c r="A1193" s="3643"/>
      <c r="B1193" s="3645"/>
      <c r="C1193" s="3733"/>
      <c r="D1193" s="3643"/>
      <c r="E1193" s="3731"/>
      <c r="F1193" s="3731"/>
      <c r="G1193" s="3643"/>
      <c r="H1193" s="3731"/>
      <c r="I1193" s="3731"/>
      <c r="J1193" s="3643"/>
      <c r="K1193" s="2678"/>
      <c r="L1193" s="3643"/>
      <c r="M1193" s="3643">
        <v>7</v>
      </c>
      <c r="N1193" s="2618" t="s">
        <v>3453</v>
      </c>
      <c r="O1193" s="3756">
        <v>0.182</v>
      </c>
      <c r="P1193" s="1029">
        <v>60000</v>
      </c>
      <c r="Q1193" s="3643"/>
      <c r="R1193" s="3643"/>
      <c r="S1193" s="3643"/>
      <c r="T1193" s="3643"/>
      <c r="U1193" s="3643"/>
      <c r="V1193" s="3643"/>
      <c r="W1193" s="3789"/>
      <c r="X1193" s="3789"/>
      <c r="Y1193" s="3643"/>
      <c r="Z1193" s="3789"/>
      <c r="AA1193" s="3789"/>
      <c r="AB1193" s="3789"/>
      <c r="AC1193" s="3789"/>
      <c r="AD1193" s="3789"/>
      <c r="AE1193" s="3789"/>
      <c r="AF1193" s="3789"/>
      <c r="AG1193" s="3789"/>
      <c r="AH1193" s="3789"/>
      <c r="AI1193" s="3789"/>
    </row>
    <row r="1194" s="6" customFormat="1" ht="31" spans="1:35">
      <c r="A1194" s="3643"/>
      <c r="B1194" s="3645"/>
      <c r="C1194" s="3733"/>
      <c r="D1194" s="3643"/>
      <c r="E1194" s="3731"/>
      <c r="F1194" s="3731"/>
      <c r="G1194" s="3643"/>
      <c r="H1194" s="3731"/>
      <c r="I1194" s="3731"/>
      <c r="J1194" s="3643"/>
      <c r="K1194" s="2678"/>
      <c r="L1194" s="3643"/>
      <c r="M1194" s="3643">
        <v>8</v>
      </c>
      <c r="N1194" s="2618" t="s">
        <v>6167</v>
      </c>
      <c r="O1194" s="3756">
        <v>0.182</v>
      </c>
      <c r="P1194" s="1029">
        <v>60000</v>
      </c>
      <c r="Q1194" s="3643"/>
      <c r="R1194" s="3643"/>
      <c r="S1194" s="3643"/>
      <c r="T1194" s="3643"/>
      <c r="U1194" s="3643"/>
      <c r="V1194" s="3643"/>
      <c r="W1194" s="3789"/>
      <c r="X1194" s="3789"/>
      <c r="Y1194" s="3643"/>
      <c r="Z1194" s="3789"/>
      <c r="AA1194" s="3789"/>
      <c r="AB1194" s="3789"/>
      <c r="AC1194" s="3789"/>
      <c r="AD1194" s="3789"/>
      <c r="AE1194" s="3789"/>
      <c r="AF1194" s="3789"/>
      <c r="AG1194" s="3789"/>
      <c r="AH1194" s="3789"/>
      <c r="AI1194" s="3789"/>
    </row>
    <row r="1195" s="6" customFormat="1" ht="20" customHeight="1" spans="1:35">
      <c r="A1195" s="3643"/>
      <c r="B1195" s="3645"/>
      <c r="C1195" s="3733"/>
      <c r="D1195" s="3643"/>
      <c r="E1195" s="3731"/>
      <c r="F1195" s="3731"/>
      <c r="G1195" s="3643"/>
      <c r="H1195" s="3731"/>
      <c r="I1195" s="3731"/>
      <c r="J1195" s="3643"/>
      <c r="K1195" s="2678"/>
      <c r="L1195" s="3643"/>
      <c r="M1195" s="3643">
        <v>9</v>
      </c>
      <c r="N1195" s="2618" t="s">
        <v>1696</v>
      </c>
      <c r="O1195" s="3756">
        <v>0.5</v>
      </c>
      <c r="P1195" s="1029">
        <v>60000</v>
      </c>
      <c r="Q1195" s="3643"/>
      <c r="R1195" s="3643"/>
      <c r="S1195" s="3643"/>
      <c r="T1195" s="3643"/>
      <c r="U1195" s="3643"/>
      <c r="V1195" s="3643"/>
      <c r="W1195" s="3789"/>
      <c r="X1195" s="3789"/>
      <c r="Y1195" s="3643"/>
      <c r="Z1195" s="3789"/>
      <c r="AA1195" s="3789"/>
      <c r="AB1195" s="3789"/>
      <c r="AC1195" s="3789"/>
      <c r="AD1195" s="3789"/>
      <c r="AE1195" s="3789"/>
      <c r="AF1195" s="3789"/>
      <c r="AG1195" s="3789"/>
      <c r="AH1195" s="3789"/>
      <c r="AI1195" s="3789"/>
    </row>
    <row r="1196" s="6" customFormat="1" ht="20" customHeight="1" spans="1:35">
      <c r="A1196" s="3643"/>
      <c r="B1196" s="3646"/>
      <c r="C1196" s="3733"/>
      <c r="D1196" s="3643"/>
      <c r="E1196" s="3731"/>
      <c r="F1196" s="3731"/>
      <c r="G1196" s="3643"/>
      <c r="H1196" s="3731"/>
      <c r="I1196" s="3731"/>
      <c r="J1196" s="3643"/>
      <c r="K1196" s="2678"/>
      <c r="L1196" s="3643"/>
      <c r="M1196" s="3643">
        <v>10</v>
      </c>
      <c r="N1196" s="2618" t="s">
        <v>1697</v>
      </c>
      <c r="O1196" s="3756">
        <v>0.5</v>
      </c>
      <c r="P1196" s="1029">
        <v>60000</v>
      </c>
      <c r="Q1196" s="3643"/>
      <c r="R1196" s="3643"/>
      <c r="S1196" s="3643"/>
      <c r="T1196" s="3643"/>
      <c r="U1196" s="3643"/>
      <c r="V1196" s="3643"/>
      <c r="W1196" s="3789"/>
      <c r="X1196" s="3789"/>
      <c r="Y1196" s="3643"/>
      <c r="Z1196" s="3789"/>
      <c r="AA1196" s="3789"/>
      <c r="AB1196" s="3789"/>
      <c r="AC1196" s="3789"/>
      <c r="AD1196" s="3789"/>
      <c r="AE1196" s="3789"/>
      <c r="AF1196" s="3789"/>
      <c r="AG1196" s="3789"/>
      <c r="AH1196" s="3789"/>
      <c r="AI1196" s="3789"/>
    </row>
    <row r="1197" s="4" customFormat="1" ht="31" spans="1:35">
      <c r="A1197" s="294" t="s">
        <v>2570</v>
      </c>
      <c r="B1197" s="3638">
        <v>44525</v>
      </c>
      <c r="C1197" s="363" t="s">
        <v>6168</v>
      </c>
      <c r="D1197" s="37"/>
      <c r="E1197" s="1499" t="s">
        <v>6169</v>
      </c>
      <c r="F1197" s="1499" t="s">
        <v>6170</v>
      </c>
      <c r="G1197" s="294" t="s">
        <v>240</v>
      </c>
      <c r="H1197" s="1499" t="s">
        <v>5956</v>
      </c>
      <c r="I1197" s="37">
        <v>457311.5</v>
      </c>
      <c r="J1197" s="294" t="s">
        <v>997</v>
      </c>
      <c r="K1197" s="3662">
        <v>11569056</v>
      </c>
      <c r="L1197" s="294" t="s">
        <v>126</v>
      </c>
      <c r="M1197" s="37">
        <v>1</v>
      </c>
      <c r="N1197" s="2618" t="s">
        <v>4221</v>
      </c>
      <c r="O1197" s="3680">
        <v>0.2</v>
      </c>
      <c r="P1197" s="3662">
        <f>11569056*O1197</f>
        <v>2313811.2</v>
      </c>
      <c r="Q1197" s="1949">
        <v>2313811.2</v>
      </c>
      <c r="R1197" s="294" t="s">
        <v>4603</v>
      </c>
      <c r="S1197" s="1948">
        <v>44644</v>
      </c>
      <c r="T1197" s="37">
        <v>2313811.2</v>
      </c>
      <c r="U1197" s="3607">
        <v>44641</v>
      </c>
      <c r="V1197" s="37">
        <v>2313811.2</v>
      </c>
      <c r="W1197" s="3718">
        <v>44664</v>
      </c>
      <c r="X1197" s="3791">
        <v>2313811.2</v>
      </c>
      <c r="Y1197" s="3718">
        <v>44701</v>
      </c>
      <c r="Z1197" s="37">
        <f t="shared" ref="Z1197:Z1206" si="40">Q1197-X1197</f>
        <v>0</v>
      </c>
      <c r="AA1197" s="37"/>
      <c r="AB1197" s="11"/>
      <c r="AC1197" s="11"/>
      <c r="AD1197" s="3505">
        <f>SUM(T1197:T1201)</f>
        <v>10990603.2</v>
      </c>
      <c r="AE1197" s="3505">
        <f>SUM(V1197:V1201)</f>
        <v>10990603.2</v>
      </c>
      <c r="AF1197" s="3505">
        <f>SUM(X1197:X1201)</f>
        <v>10990603.2</v>
      </c>
      <c r="AG1197" s="3505">
        <f>K1197-AD1197</f>
        <v>578452.800000001</v>
      </c>
      <c r="AH1197" s="1768" t="s">
        <v>247</v>
      </c>
      <c r="AI1197" s="1768" t="s">
        <v>125</v>
      </c>
    </row>
    <row r="1198" s="4" customFormat="1" ht="46" spans="1:35">
      <c r="A1198" s="37"/>
      <c r="B1198" s="3640"/>
      <c r="C1198" s="3734"/>
      <c r="D1198" s="37"/>
      <c r="E1198" s="37"/>
      <c r="F1198" s="3739"/>
      <c r="G1198" s="37"/>
      <c r="H1198" s="3739"/>
      <c r="I1198" s="37"/>
      <c r="J1198" s="37"/>
      <c r="K1198" s="3662"/>
      <c r="L1198" s="37"/>
      <c r="M1198" s="37">
        <v>2</v>
      </c>
      <c r="N1198" s="2618" t="s">
        <v>4222</v>
      </c>
      <c r="O1198" s="3680">
        <v>0.2</v>
      </c>
      <c r="P1198" s="3662">
        <f>11569056*O1198</f>
        <v>2313811.2</v>
      </c>
      <c r="Q1198" s="1949">
        <v>2313811.2</v>
      </c>
      <c r="R1198" s="294" t="s">
        <v>4603</v>
      </c>
      <c r="S1198" s="1948">
        <v>44644</v>
      </c>
      <c r="T1198" s="37">
        <v>2313811.2</v>
      </c>
      <c r="U1198" s="3607">
        <v>44641</v>
      </c>
      <c r="V1198" s="37">
        <v>2313811.2</v>
      </c>
      <c r="W1198" s="3718">
        <v>44664</v>
      </c>
      <c r="X1198" s="3791">
        <v>2313811.2</v>
      </c>
      <c r="Y1198" s="3718">
        <v>44701</v>
      </c>
      <c r="Z1198" s="37">
        <f t="shared" si="40"/>
        <v>0</v>
      </c>
      <c r="AA1198" s="37"/>
      <c r="AB1198" s="11"/>
      <c r="AC1198" s="11"/>
      <c r="AD1198" s="3508"/>
      <c r="AE1198" s="3508"/>
      <c r="AF1198" s="3508"/>
      <c r="AG1198" s="3508"/>
      <c r="AH1198" s="3508"/>
      <c r="AI1198" s="3508"/>
    </row>
    <row r="1199" s="4" customFormat="1" ht="61" spans="1:35">
      <c r="A1199" s="37"/>
      <c r="B1199" s="3640"/>
      <c r="C1199" s="3734"/>
      <c r="D1199" s="37"/>
      <c r="E1199" s="37"/>
      <c r="F1199" s="3739"/>
      <c r="G1199" s="37"/>
      <c r="H1199" s="3739"/>
      <c r="I1199" s="37"/>
      <c r="J1199" s="37"/>
      <c r="K1199" s="3662"/>
      <c r="L1199" s="37"/>
      <c r="M1199" s="37">
        <v>3</v>
      </c>
      <c r="N1199" s="2618" t="s">
        <v>4223</v>
      </c>
      <c r="O1199" s="3680">
        <v>0.3</v>
      </c>
      <c r="P1199" s="3662">
        <f>11569056*O1199</f>
        <v>3470716.8</v>
      </c>
      <c r="Q1199" s="1949">
        <v>3470716.8</v>
      </c>
      <c r="R1199" s="294" t="s">
        <v>4603</v>
      </c>
      <c r="S1199" s="1948">
        <v>44644</v>
      </c>
      <c r="T1199" s="37">
        <v>3470716.8</v>
      </c>
      <c r="U1199" s="3607">
        <v>44641</v>
      </c>
      <c r="V1199" s="37">
        <v>3470716.8</v>
      </c>
      <c r="W1199" s="3718">
        <v>44664</v>
      </c>
      <c r="X1199" s="3791">
        <v>3470716.8</v>
      </c>
      <c r="Y1199" s="3718">
        <v>44701</v>
      </c>
      <c r="Z1199" s="37">
        <f t="shared" si="40"/>
        <v>0</v>
      </c>
      <c r="AA1199" s="37"/>
      <c r="AB1199" s="11"/>
      <c r="AC1199" s="11"/>
      <c r="AD1199" s="3508"/>
      <c r="AE1199" s="3508"/>
      <c r="AF1199" s="3508"/>
      <c r="AG1199" s="3508"/>
      <c r="AH1199" s="3508"/>
      <c r="AI1199" s="3508"/>
    </row>
    <row r="1200" s="4" customFormat="1" ht="46" spans="1:35">
      <c r="A1200" s="37"/>
      <c r="B1200" s="3640"/>
      <c r="C1200" s="3734"/>
      <c r="D1200" s="37"/>
      <c r="E1200" s="37"/>
      <c r="F1200" s="3739"/>
      <c r="G1200" s="37"/>
      <c r="H1200" s="3739"/>
      <c r="I1200" s="37"/>
      <c r="J1200" s="37"/>
      <c r="K1200" s="3662"/>
      <c r="L1200" s="37"/>
      <c r="M1200" s="37">
        <v>4</v>
      </c>
      <c r="N1200" s="2618" t="s">
        <v>4224</v>
      </c>
      <c r="O1200" s="3680">
        <v>0.25</v>
      </c>
      <c r="P1200" s="3662">
        <f>11569056*O1200</f>
        <v>2892264</v>
      </c>
      <c r="Q1200" s="1949">
        <v>2892264</v>
      </c>
      <c r="R1200" s="294" t="s">
        <v>4603</v>
      </c>
      <c r="S1200" s="1948">
        <v>44671</v>
      </c>
      <c r="T1200" s="37">
        <v>2892264</v>
      </c>
      <c r="U1200" s="3607">
        <v>44671</v>
      </c>
      <c r="V1200" s="37">
        <v>2892264</v>
      </c>
      <c r="W1200" s="3718">
        <v>44755</v>
      </c>
      <c r="X1200" s="3792">
        <v>2892264</v>
      </c>
      <c r="Y1200" s="3800">
        <v>44764</v>
      </c>
      <c r="Z1200" s="37">
        <f t="shared" si="40"/>
        <v>0</v>
      </c>
      <c r="AA1200" s="37"/>
      <c r="AB1200" s="11"/>
      <c r="AC1200" s="11"/>
      <c r="AD1200" s="3508"/>
      <c r="AE1200" s="3508"/>
      <c r="AF1200" s="3508"/>
      <c r="AG1200" s="3508"/>
      <c r="AH1200" s="3508"/>
      <c r="AI1200" s="3508"/>
    </row>
    <row r="1201" s="4" customFormat="1" ht="61" spans="1:35">
      <c r="A1201" s="37"/>
      <c r="B1201" s="3642"/>
      <c r="C1201" s="3734"/>
      <c r="D1201" s="37"/>
      <c r="E1201" s="37"/>
      <c r="F1201" s="3739"/>
      <c r="G1201" s="37"/>
      <c r="H1201" s="3739"/>
      <c r="I1201" s="37"/>
      <c r="J1201" s="37"/>
      <c r="K1201" s="3662"/>
      <c r="L1201" s="37"/>
      <c r="M1201" s="37">
        <v>5</v>
      </c>
      <c r="N1201" s="2618" t="s">
        <v>6171</v>
      </c>
      <c r="O1201" s="3680">
        <v>0.05</v>
      </c>
      <c r="P1201" s="3662">
        <f>11569056*O1201</f>
        <v>578452.8</v>
      </c>
      <c r="Q1201" s="1949"/>
      <c r="R1201" s="3588"/>
      <c r="S1201" s="3588"/>
      <c r="T1201" s="37"/>
      <c r="U1201" s="37"/>
      <c r="V1201" s="37"/>
      <c r="W1201" s="11"/>
      <c r="X1201" s="11"/>
      <c r="Y1201" s="11"/>
      <c r="Z1201" s="37">
        <f t="shared" si="40"/>
        <v>0</v>
      </c>
      <c r="AA1201" s="37"/>
      <c r="AB1201" s="11"/>
      <c r="AC1201" s="11"/>
      <c r="AD1201" s="3681"/>
      <c r="AE1201" s="3681"/>
      <c r="AF1201" s="3681"/>
      <c r="AG1201" s="3681"/>
      <c r="AH1201" s="3681"/>
      <c r="AI1201" s="3681"/>
    </row>
    <row r="1202" s="4" customFormat="1" ht="31" spans="1:35">
      <c r="A1202" s="1768" t="s">
        <v>2570</v>
      </c>
      <c r="B1202" s="3638">
        <v>44525</v>
      </c>
      <c r="C1202" s="3735" t="s">
        <v>6168</v>
      </c>
      <c r="D1202" s="3505"/>
      <c r="E1202" s="2068" t="s">
        <v>6172</v>
      </c>
      <c r="F1202" s="2068" t="s">
        <v>6173</v>
      </c>
      <c r="G1202" s="1768" t="s">
        <v>658</v>
      </c>
      <c r="H1202" s="2068" t="s">
        <v>6174</v>
      </c>
      <c r="I1202" s="3505"/>
      <c r="J1202" s="3505"/>
      <c r="K1202" s="3744">
        <v>14016754.22</v>
      </c>
      <c r="L1202" s="1768" t="s">
        <v>126</v>
      </c>
      <c r="M1202" s="37">
        <v>1</v>
      </c>
      <c r="N1202" s="2618" t="s">
        <v>4228</v>
      </c>
      <c r="O1202" s="3680">
        <v>0.2</v>
      </c>
      <c r="P1202" s="3662">
        <f>14016754.22*O1202</f>
        <v>2803350.844</v>
      </c>
      <c r="Q1202" s="3684">
        <v>2803350.84</v>
      </c>
      <c r="R1202" s="294" t="s">
        <v>4603</v>
      </c>
      <c r="S1202" s="1948">
        <v>44641</v>
      </c>
      <c r="T1202" s="37">
        <v>2803350.84</v>
      </c>
      <c r="U1202" s="1948">
        <v>44641</v>
      </c>
      <c r="V1202" s="3684">
        <v>2803350.84</v>
      </c>
      <c r="W1202" s="1948">
        <v>44663</v>
      </c>
      <c r="X1202" s="11">
        <v>2803350.84</v>
      </c>
      <c r="Y1202" s="3718">
        <v>44677</v>
      </c>
      <c r="Z1202" s="37">
        <f t="shared" si="40"/>
        <v>0</v>
      </c>
      <c r="AA1202" s="37"/>
      <c r="AB1202" s="11"/>
      <c r="AC1202" s="11"/>
      <c r="AD1202" s="11"/>
      <c r="AE1202" s="11"/>
      <c r="AF1202" s="11"/>
      <c r="AG1202" s="11"/>
      <c r="AH1202" s="11"/>
      <c r="AI1202" s="11"/>
    </row>
    <row r="1203" s="4" customFormat="1" ht="46" spans="1:35">
      <c r="A1203" s="3508"/>
      <c r="B1203" s="3640"/>
      <c r="C1203" s="3736"/>
      <c r="D1203" s="3508"/>
      <c r="E1203" s="1817"/>
      <c r="F1203" s="1817"/>
      <c r="G1203" s="3508"/>
      <c r="H1203" s="1817"/>
      <c r="I1203" s="3508"/>
      <c r="J1203" s="3508"/>
      <c r="K1203" s="3666"/>
      <c r="L1203" s="3508"/>
      <c r="M1203" s="37">
        <v>2</v>
      </c>
      <c r="N1203" s="2618" t="s">
        <v>4229</v>
      </c>
      <c r="O1203" s="3680">
        <v>0.2</v>
      </c>
      <c r="P1203" s="3662">
        <f>14016754.22*O1203</f>
        <v>2803350.844</v>
      </c>
      <c r="Q1203" s="3684">
        <v>2803350.84</v>
      </c>
      <c r="R1203" s="294" t="s">
        <v>4603</v>
      </c>
      <c r="S1203" s="1948">
        <v>44641</v>
      </c>
      <c r="T1203" s="37">
        <v>2803350.84</v>
      </c>
      <c r="U1203" s="1948">
        <v>44641</v>
      </c>
      <c r="V1203" s="3684">
        <v>2803350.84</v>
      </c>
      <c r="W1203" s="1948">
        <v>44663</v>
      </c>
      <c r="X1203" s="11">
        <v>2803350.84</v>
      </c>
      <c r="Y1203" s="3718">
        <v>44677</v>
      </c>
      <c r="Z1203" s="37">
        <f t="shared" si="40"/>
        <v>0</v>
      </c>
      <c r="AA1203" s="37"/>
      <c r="AB1203" s="11"/>
      <c r="AC1203" s="11"/>
      <c r="AD1203" s="11"/>
      <c r="AE1203" s="11"/>
      <c r="AF1203" s="11"/>
      <c r="AG1203" s="11"/>
      <c r="AH1203" s="11"/>
      <c r="AI1203" s="11"/>
    </row>
    <row r="1204" s="4" customFormat="1" ht="61" spans="1:35">
      <c r="A1204" s="3508"/>
      <c r="B1204" s="3640"/>
      <c r="C1204" s="3736"/>
      <c r="D1204" s="3508"/>
      <c r="E1204" s="1817"/>
      <c r="F1204" s="1817"/>
      <c r="G1204" s="3508"/>
      <c r="H1204" s="1817"/>
      <c r="I1204" s="3508"/>
      <c r="J1204" s="3508"/>
      <c r="K1204" s="3666"/>
      <c r="L1204" s="3508"/>
      <c r="M1204" s="37">
        <v>3</v>
      </c>
      <c r="N1204" s="2618" t="s">
        <v>4230</v>
      </c>
      <c r="O1204" s="3680">
        <v>0.1</v>
      </c>
      <c r="P1204" s="3662">
        <v>1401675.43</v>
      </c>
      <c r="Q1204" s="3684">
        <v>1401675.43</v>
      </c>
      <c r="R1204" s="294" t="s">
        <v>4603</v>
      </c>
      <c r="S1204" s="1948">
        <v>44641</v>
      </c>
      <c r="T1204" s="37">
        <v>1401675.43</v>
      </c>
      <c r="U1204" s="1948">
        <v>44641</v>
      </c>
      <c r="V1204" s="3684">
        <v>1401675.43</v>
      </c>
      <c r="W1204" s="1948">
        <v>44663</v>
      </c>
      <c r="X1204" s="11">
        <v>1401675.43</v>
      </c>
      <c r="Y1204" s="3718">
        <v>44677</v>
      </c>
      <c r="Z1204" s="37">
        <f t="shared" si="40"/>
        <v>0</v>
      </c>
      <c r="AA1204" s="37"/>
      <c r="AB1204" s="11"/>
      <c r="AC1204" s="11"/>
      <c r="AD1204" s="11"/>
      <c r="AE1204" s="11"/>
      <c r="AF1204" s="11"/>
      <c r="AG1204" s="11"/>
      <c r="AH1204" s="11"/>
      <c r="AI1204" s="11"/>
    </row>
    <row r="1205" s="4" customFormat="1" ht="46" spans="1:35">
      <c r="A1205" s="3508"/>
      <c r="B1205" s="3640"/>
      <c r="C1205" s="3736"/>
      <c r="D1205" s="3508"/>
      <c r="E1205" s="1817"/>
      <c r="F1205" s="1817"/>
      <c r="G1205" s="3508"/>
      <c r="H1205" s="1817"/>
      <c r="I1205" s="3508"/>
      <c r="J1205" s="3508"/>
      <c r="K1205" s="3666"/>
      <c r="L1205" s="3508"/>
      <c r="M1205" s="37">
        <v>4</v>
      </c>
      <c r="N1205" s="2618" t="s">
        <v>4231</v>
      </c>
      <c r="O1205" s="3680">
        <v>0.2</v>
      </c>
      <c r="P1205" s="3662">
        <f>14016754.22*O1205</f>
        <v>2803350.844</v>
      </c>
      <c r="Q1205" s="3684">
        <v>2803350.844</v>
      </c>
      <c r="R1205" s="294" t="s">
        <v>4603</v>
      </c>
      <c r="S1205" s="1948">
        <v>44671</v>
      </c>
      <c r="T1205" s="3778">
        <v>2803350.844</v>
      </c>
      <c r="U1205" s="1948">
        <v>44671</v>
      </c>
      <c r="V1205" s="3778">
        <v>2803350.844</v>
      </c>
      <c r="W1205" s="1948">
        <v>44748</v>
      </c>
      <c r="X1205" s="3684">
        <v>2803350.844</v>
      </c>
      <c r="Y1205" s="1948">
        <v>44764</v>
      </c>
      <c r="Z1205" s="37">
        <f t="shared" si="40"/>
        <v>0</v>
      </c>
      <c r="AA1205" s="37"/>
      <c r="AB1205" s="11"/>
      <c r="AC1205" s="11"/>
      <c r="AD1205" s="11"/>
      <c r="AE1205" s="11"/>
      <c r="AF1205" s="11"/>
      <c r="AG1205" s="11"/>
      <c r="AH1205" s="11"/>
      <c r="AI1205" s="11"/>
    </row>
    <row r="1206" s="4" customFormat="1" spans="1:35">
      <c r="A1206" s="3508"/>
      <c r="B1206" s="3640"/>
      <c r="C1206" s="3736"/>
      <c r="D1206" s="3508"/>
      <c r="E1206" s="1817"/>
      <c r="F1206" s="1817"/>
      <c r="G1206" s="3508"/>
      <c r="H1206" s="1817"/>
      <c r="I1206" s="3508"/>
      <c r="J1206" s="3508"/>
      <c r="K1206" s="3666"/>
      <c r="L1206" s="3508"/>
      <c r="M1206" s="3505">
        <v>5</v>
      </c>
      <c r="N1206" s="705" t="s">
        <v>4232</v>
      </c>
      <c r="O1206" s="3762">
        <v>0.15</v>
      </c>
      <c r="P1206" s="3744">
        <f>14016754.22*O1206</f>
        <v>2102513.133</v>
      </c>
      <c r="Q1206" s="3779">
        <v>2102513.133</v>
      </c>
      <c r="R1206" s="1768" t="s">
        <v>4603</v>
      </c>
      <c r="S1206" s="3780">
        <v>45651</v>
      </c>
      <c r="T1206" s="3781">
        <v>2102513.133</v>
      </c>
      <c r="U1206" s="3780">
        <v>45651</v>
      </c>
      <c r="V1206" s="37">
        <v>500000</v>
      </c>
      <c r="W1206" s="3607">
        <v>45667</v>
      </c>
      <c r="X1206" s="37">
        <v>500000</v>
      </c>
      <c r="Y1206" s="3607">
        <v>45681</v>
      </c>
      <c r="Z1206" s="3794">
        <f t="shared" si="40"/>
        <v>1602513.133</v>
      </c>
      <c r="AA1206" s="37"/>
      <c r="AB1206" s="11"/>
      <c r="AC1206" s="11"/>
      <c r="AD1206" s="11"/>
      <c r="AE1206" s="11"/>
      <c r="AF1206" s="11"/>
      <c r="AG1206" s="11"/>
      <c r="AH1206" s="11"/>
      <c r="AI1206" s="11"/>
    </row>
    <row r="1207" s="4" customFormat="1" spans="1:35">
      <c r="A1207" s="3508"/>
      <c r="B1207" s="3640"/>
      <c r="C1207" s="3736"/>
      <c r="D1207" s="3508"/>
      <c r="E1207" s="1817"/>
      <c r="F1207" s="1817"/>
      <c r="G1207" s="3508"/>
      <c r="H1207" s="1817"/>
      <c r="I1207" s="3508"/>
      <c r="J1207" s="3508"/>
      <c r="K1207" s="3666"/>
      <c r="L1207" s="3508"/>
      <c r="M1207" s="3508"/>
      <c r="N1207" s="709"/>
      <c r="O1207" s="3763"/>
      <c r="P1207" s="3666"/>
      <c r="Q1207" s="3782"/>
      <c r="R1207" s="1771"/>
      <c r="S1207" s="3783"/>
      <c r="T1207" s="3784"/>
      <c r="U1207" s="3783"/>
      <c r="V1207" s="37">
        <v>1000000</v>
      </c>
      <c r="W1207" s="3607">
        <v>45705</v>
      </c>
      <c r="X1207" s="3793">
        <v>1000000</v>
      </c>
      <c r="Y1207" s="3607">
        <v>45714</v>
      </c>
      <c r="Z1207" s="3794"/>
      <c r="AA1207" s="37"/>
      <c r="AB1207" s="11"/>
      <c r="AC1207" s="11"/>
      <c r="AD1207" s="11"/>
      <c r="AE1207" s="11"/>
      <c r="AF1207" s="11"/>
      <c r="AG1207" s="11"/>
      <c r="AH1207" s="11"/>
      <c r="AI1207" s="11"/>
    </row>
    <row r="1208" s="4" customFormat="1" spans="1:35">
      <c r="A1208" s="3508"/>
      <c r="B1208" s="3640"/>
      <c r="C1208" s="3736"/>
      <c r="D1208" s="3508"/>
      <c r="E1208" s="1817"/>
      <c r="F1208" s="1817"/>
      <c r="G1208" s="3508"/>
      <c r="H1208" s="1817"/>
      <c r="I1208" s="3508"/>
      <c r="J1208" s="3508"/>
      <c r="K1208" s="3666"/>
      <c r="L1208" s="3508"/>
      <c r="M1208" s="3508"/>
      <c r="N1208" s="709"/>
      <c r="O1208" s="3763"/>
      <c r="P1208" s="3666"/>
      <c r="Q1208" s="3782"/>
      <c r="R1208" s="1771"/>
      <c r="S1208" s="3783"/>
      <c r="T1208" s="3784"/>
      <c r="U1208" s="3783"/>
      <c r="V1208" s="3794">
        <f>Q1206-V1207-V1206</f>
        <v>602513.133</v>
      </c>
      <c r="W1208" s="3607">
        <v>45734</v>
      </c>
      <c r="X1208" s="3795">
        <v>602513.133</v>
      </c>
      <c r="Y1208" s="1948">
        <v>45744</v>
      </c>
      <c r="Z1208" s="3794"/>
      <c r="AA1208" s="37"/>
      <c r="AB1208" s="11"/>
      <c r="AC1208" s="11"/>
      <c r="AD1208" s="11"/>
      <c r="AE1208" s="11"/>
      <c r="AF1208" s="11"/>
      <c r="AG1208" s="11"/>
      <c r="AH1208" s="11"/>
      <c r="AI1208" s="11"/>
    </row>
    <row r="1209" s="4" customFormat="1" spans="1:35">
      <c r="A1209" s="3508"/>
      <c r="B1209" s="3640"/>
      <c r="C1209" s="3736"/>
      <c r="D1209" s="3508"/>
      <c r="E1209" s="1817"/>
      <c r="F1209" s="1817"/>
      <c r="G1209" s="3508"/>
      <c r="H1209" s="1817"/>
      <c r="I1209" s="3508"/>
      <c r="J1209" s="3508"/>
      <c r="K1209" s="3666"/>
      <c r="L1209" s="3508"/>
      <c r="M1209" s="3681"/>
      <c r="N1209" s="3541"/>
      <c r="O1209" s="3764"/>
      <c r="P1209" s="3667"/>
      <c r="Q1209" s="3785"/>
      <c r="R1209" s="1772"/>
      <c r="S1209" s="3786"/>
      <c r="T1209" s="3787"/>
      <c r="U1209" s="3786"/>
      <c r="V1209" s="37"/>
      <c r="W1209" s="11"/>
      <c r="X1209" s="11"/>
      <c r="Y1209" s="11"/>
      <c r="Z1209" s="37"/>
      <c r="AA1209" s="37"/>
      <c r="AB1209" s="11"/>
      <c r="AC1209" s="11"/>
      <c r="AD1209" s="11"/>
      <c r="AE1209" s="11"/>
      <c r="AF1209" s="11"/>
      <c r="AG1209" s="11"/>
      <c r="AH1209" s="11"/>
      <c r="AI1209" s="11"/>
    </row>
    <row r="1210" s="4" customFormat="1" ht="46" spans="1:35">
      <c r="A1210" s="3508"/>
      <c r="B1210" s="3640"/>
      <c r="C1210" s="3736"/>
      <c r="D1210" s="3508"/>
      <c r="E1210" s="1817"/>
      <c r="F1210" s="1817"/>
      <c r="G1210" s="3508"/>
      <c r="H1210" s="1817"/>
      <c r="I1210" s="3508"/>
      <c r="J1210" s="3508"/>
      <c r="K1210" s="3666"/>
      <c r="L1210" s="3508"/>
      <c r="M1210" s="37">
        <v>6</v>
      </c>
      <c r="N1210" s="2618" t="s">
        <v>4233</v>
      </c>
      <c r="O1210" s="3680">
        <v>0.05</v>
      </c>
      <c r="P1210" s="3662">
        <f>14016754.22*O1210</f>
        <v>700837.711</v>
      </c>
      <c r="Q1210" s="1874">
        <v>700837.711</v>
      </c>
      <c r="R1210" s="294" t="s">
        <v>4603</v>
      </c>
      <c r="S1210" s="1948">
        <v>45652</v>
      </c>
      <c r="T1210" s="3608">
        <v>700837.711</v>
      </c>
      <c r="U1210" s="1948">
        <v>45652</v>
      </c>
      <c r="V1210" s="37"/>
      <c r="W1210" s="11"/>
      <c r="X1210" s="11"/>
      <c r="Y1210" s="11"/>
      <c r="Z1210" s="3794">
        <f t="shared" ref="Z1210:Z1219" si="41">Q1210-X1210</f>
        <v>700837.711</v>
      </c>
      <c r="AA1210" s="37"/>
      <c r="AB1210" s="11"/>
      <c r="AC1210" s="11"/>
      <c r="AD1210" s="11"/>
      <c r="AE1210" s="11"/>
      <c r="AF1210" s="11"/>
      <c r="AG1210" s="11"/>
      <c r="AH1210" s="11"/>
      <c r="AI1210" s="11"/>
    </row>
    <row r="1211" s="4" customFormat="1" ht="31" spans="1:35">
      <c r="A1211" s="3681"/>
      <c r="B1211" s="3642"/>
      <c r="C1211" s="3737"/>
      <c r="D1211" s="3681"/>
      <c r="E1211" s="2161"/>
      <c r="F1211" s="2161"/>
      <c r="G1211" s="3681"/>
      <c r="H1211" s="2161"/>
      <c r="I1211" s="3681"/>
      <c r="J1211" s="3681"/>
      <c r="K1211" s="3667"/>
      <c r="L1211" s="3681"/>
      <c r="M1211" s="37">
        <v>7</v>
      </c>
      <c r="N1211" s="2618" t="s">
        <v>4234</v>
      </c>
      <c r="O1211" s="3680">
        <v>0.1</v>
      </c>
      <c r="P1211" s="3662">
        <f>14016754.22*O1211</f>
        <v>1401675.422</v>
      </c>
      <c r="Q1211" s="1949"/>
      <c r="R1211" s="3588"/>
      <c r="S1211" s="3588"/>
      <c r="T1211" s="37"/>
      <c r="U1211" s="37"/>
      <c r="V1211" s="37"/>
      <c r="W1211" s="11"/>
      <c r="X1211" s="11"/>
      <c r="Y1211" s="11"/>
      <c r="Z1211" s="37">
        <f t="shared" si="41"/>
        <v>0</v>
      </c>
      <c r="AA1211" s="37"/>
      <c r="AB1211" s="11"/>
      <c r="AC1211" s="11"/>
      <c r="AD1211" s="11"/>
      <c r="AE1211" s="11"/>
      <c r="AF1211" s="11"/>
      <c r="AG1211" s="11"/>
      <c r="AH1211" s="11"/>
      <c r="AI1211" s="11"/>
    </row>
    <row r="1212" s="4" customFormat="1" ht="47" spans="1:35">
      <c r="A1212" s="294" t="s">
        <v>2570</v>
      </c>
      <c r="B1212" s="3638">
        <v>44533</v>
      </c>
      <c r="C1212" s="363" t="s">
        <v>6168</v>
      </c>
      <c r="D1212" s="37"/>
      <c r="E1212" s="1499" t="s">
        <v>6175</v>
      </c>
      <c r="F1212" s="1499" t="s">
        <v>6176</v>
      </c>
      <c r="G1212" s="294" t="s">
        <v>3723</v>
      </c>
      <c r="H1212" s="1499" t="s">
        <v>6177</v>
      </c>
      <c r="I1212" s="37"/>
      <c r="J1212" s="37"/>
      <c r="K1212" s="3662">
        <v>3050000</v>
      </c>
      <c r="L1212" s="294" t="s">
        <v>126</v>
      </c>
      <c r="M1212" s="1499" t="s">
        <v>4236</v>
      </c>
      <c r="N1212" s="2618" t="s">
        <v>6178</v>
      </c>
      <c r="O1212" s="3680">
        <v>0.2</v>
      </c>
      <c r="P1212" s="3662">
        <f>148500*O1212</f>
        <v>29700</v>
      </c>
      <c r="Q1212" s="1949">
        <v>29700</v>
      </c>
      <c r="R1212" s="294" t="s">
        <v>4603</v>
      </c>
      <c r="S1212" s="1948">
        <v>44641</v>
      </c>
      <c r="T1212" s="1949">
        <v>29700</v>
      </c>
      <c r="U1212" s="1948">
        <v>44641</v>
      </c>
      <c r="V1212" s="1949">
        <v>29700</v>
      </c>
      <c r="W1212" s="1948">
        <v>44722</v>
      </c>
      <c r="X1212" s="1949">
        <v>29700</v>
      </c>
      <c r="Y1212" s="1948">
        <v>44735</v>
      </c>
      <c r="Z1212" s="37">
        <f t="shared" si="41"/>
        <v>0</v>
      </c>
      <c r="AA1212" s="37"/>
      <c r="AB1212" s="11"/>
      <c r="AC1212" s="11"/>
      <c r="AD1212" s="11"/>
      <c r="AE1212" s="11"/>
      <c r="AF1212" s="11"/>
      <c r="AG1212" s="11"/>
      <c r="AH1212" s="11"/>
      <c r="AI1212" s="11"/>
    </row>
    <row r="1213" s="4" customFormat="1" ht="47" spans="1:35">
      <c r="A1213" s="37"/>
      <c r="B1213" s="3640"/>
      <c r="C1213" s="3734"/>
      <c r="D1213" s="37"/>
      <c r="E1213" s="1499"/>
      <c r="F1213" s="1499"/>
      <c r="G1213" s="37"/>
      <c r="H1213" s="1499"/>
      <c r="I1213" s="37"/>
      <c r="J1213" s="37"/>
      <c r="K1213" s="3662"/>
      <c r="L1213" s="37"/>
      <c r="M1213" s="1499" t="s">
        <v>4238</v>
      </c>
      <c r="N1213" s="2618" t="s">
        <v>6179</v>
      </c>
      <c r="O1213" s="3680">
        <v>0.3</v>
      </c>
      <c r="P1213" s="3662">
        <f>148500*O1213</f>
        <v>44550</v>
      </c>
      <c r="Q1213" s="1949">
        <v>44550</v>
      </c>
      <c r="R1213" s="294" t="s">
        <v>4603</v>
      </c>
      <c r="S1213" s="1948">
        <v>44641</v>
      </c>
      <c r="T1213" s="1949">
        <v>44550</v>
      </c>
      <c r="U1213" s="1948">
        <v>44641</v>
      </c>
      <c r="V1213" s="1949">
        <v>44550</v>
      </c>
      <c r="W1213" s="1948">
        <v>44722</v>
      </c>
      <c r="X1213" s="1949">
        <v>44550</v>
      </c>
      <c r="Y1213" s="1948">
        <v>44735</v>
      </c>
      <c r="Z1213" s="37">
        <f t="shared" si="41"/>
        <v>0</v>
      </c>
      <c r="AA1213" s="37"/>
      <c r="AB1213" s="11"/>
      <c r="AC1213" s="11"/>
      <c r="AD1213" s="11"/>
      <c r="AE1213" s="11"/>
      <c r="AF1213" s="11"/>
      <c r="AG1213" s="11"/>
      <c r="AH1213" s="11"/>
      <c r="AI1213" s="11"/>
    </row>
    <row r="1214" s="4" customFormat="1" ht="47" spans="1:35">
      <c r="A1214" s="37"/>
      <c r="B1214" s="3640"/>
      <c r="C1214" s="3734"/>
      <c r="D1214" s="37"/>
      <c r="E1214" s="1499"/>
      <c r="F1214" s="1499"/>
      <c r="G1214" s="37"/>
      <c r="H1214" s="1499"/>
      <c r="I1214" s="37"/>
      <c r="J1214" s="37"/>
      <c r="K1214" s="3662"/>
      <c r="L1214" s="37"/>
      <c r="M1214" s="1499" t="s">
        <v>4240</v>
      </c>
      <c r="N1214" s="2618" t="s">
        <v>6180</v>
      </c>
      <c r="O1214" s="3680">
        <v>0.2</v>
      </c>
      <c r="P1214" s="3662">
        <f>148500*O1214</f>
        <v>29700</v>
      </c>
      <c r="Q1214" s="1949">
        <v>29700</v>
      </c>
      <c r="R1214" s="294" t="s">
        <v>4603</v>
      </c>
      <c r="S1214" s="1948">
        <v>44641</v>
      </c>
      <c r="T1214" s="1949">
        <v>29700</v>
      </c>
      <c r="U1214" s="1948">
        <v>44641</v>
      </c>
      <c r="V1214" s="1949">
        <v>29700</v>
      </c>
      <c r="W1214" s="1948">
        <v>44722</v>
      </c>
      <c r="X1214" s="1949">
        <v>29700</v>
      </c>
      <c r="Y1214" s="1948">
        <v>44735</v>
      </c>
      <c r="Z1214" s="37">
        <f t="shared" si="41"/>
        <v>0</v>
      </c>
      <c r="AA1214" s="37"/>
      <c r="AB1214" s="11"/>
      <c r="AC1214" s="11"/>
      <c r="AD1214" s="11"/>
      <c r="AE1214" s="11"/>
      <c r="AF1214" s="11"/>
      <c r="AG1214" s="11"/>
      <c r="AH1214" s="11"/>
      <c r="AI1214" s="11"/>
    </row>
    <row r="1215" s="4" customFormat="1" ht="47" spans="1:35">
      <c r="A1215" s="37"/>
      <c r="B1215" s="3640"/>
      <c r="C1215" s="3734"/>
      <c r="D1215" s="37"/>
      <c r="E1215" s="1499"/>
      <c r="F1215" s="1499"/>
      <c r="G1215" s="37"/>
      <c r="H1215" s="1499"/>
      <c r="I1215" s="37"/>
      <c r="J1215" s="37"/>
      <c r="K1215" s="3662"/>
      <c r="L1215" s="37"/>
      <c r="M1215" s="1499" t="s">
        <v>4242</v>
      </c>
      <c r="N1215" s="2618" t="s">
        <v>6181</v>
      </c>
      <c r="O1215" s="3680">
        <v>0.25</v>
      </c>
      <c r="P1215" s="3662">
        <f>148500*O1215</f>
        <v>37125</v>
      </c>
      <c r="Q1215" s="1949">
        <v>37125</v>
      </c>
      <c r="R1215" s="294" t="s">
        <v>4603</v>
      </c>
      <c r="S1215" s="1948">
        <v>44671</v>
      </c>
      <c r="T1215" s="1949">
        <v>37125</v>
      </c>
      <c r="U1215" s="1948">
        <v>44671</v>
      </c>
      <c r="V1215" s="1949">
        <v>37125</v>
      </c>
      <c r="W1215" s="1948">
        <v>44747</v>
      </c>
      <c r="X1215" s="1949">
        <v>37125</v>
      </c>
      <c r="Y1215" s="1948">
        <v>44764</v>
      </c>
      <c r="Z1215" s="37">
        <f t="shared" si="41"/>
        <v>0</v>
      </c>
      <c r="AA1215" s="37"/>
      <c r="AB1215" s="11"/>
      <c r="AC1215" s="11"/>
      <c r="AD1215" s="11"/>
      <c r="AE1215" s="11"/>
      <c r="AF1215" s="11"/>
      <c r="AG1215" s="11"/>
      <c r="AH1215" s="11"/>
      <c r="AI1215" s="11"/>
    </row>
    <row r="1216" s="4" customFormat="1" ht="61" spans="1:35">
      <c r="A1216" s="37"/>
      <c r="B1216" s="3640"/>
      <c r="C1216" s="3734"/>
      <c r="D1216" s="37"/>
      <c r="E1216" s="1499"/>
      <c r="F1216" s="1499"/>
      <c r="G1216" s="37"/>
      <c r="H1216" s="1499"/>
      <c r="I1216" s="37"/>
      <c r="J1216" s="37"/>
      <c r="K1216" s="3662"/>
      <c r="L1216" s="37"/>
      <c r="M1216" s="1499" t="s">
        <v>4244</v>
      </c>
      <c r="N1216" s="2618" t="s">
        <v>4245</v>
      </c>
      <c r="O1216" s="3680">
        <v>0.05</v>
      </c>
      <c r="P1216" s="3662">
        <f>148500*O1216</f>
        <v>7425</v>
      </c>
      <c r="Q1216" s="1949"/>
      <c r="R1216" s="3588"/>
      <c r="S1216" s="3588"/>
      <c r="T1216" s="37"/>
      <c r="U1216" s="37"/>
      <c r="V1216" s="37"/>
      <c r="W1216" s="11"/>
      <c r="X1216" s="11"/>
      <c r="Y1216" s="11"/>
      <c r="Z1216" s="37">
        <f t="shared" si="41"/>
        <v>0</v>
      </c>
      <c r="AA1216" s="37"/>
      <c r="AB1216" s="11"/>
      <c r="AC1216" s="11"/>
      <c r="AD1216" s="11"/>
      <c r="AE1216" s="11"/>
      <c r="AF1216" s="11"/>
      <c r="AG1216" s="11"/>
      <c r="AH1216" s="11"/>
      <c r="AI1216" s="11"/>
    </row>
    <row r="1217" s="4" customFormat="1" ht="46" spans="1:35">
      <c r="A1217" s="37"/>
      <c r="B1217" s="3640"/>
      <c r="C1217" s="3734"/>
      <c r="D1217" s="37"/>
      <c r="E1217" s="1499"/>
      <c r="F1217" s="1499"/>
      <c r="G1217" s="37"/>
      <c r="H1217" s="1499"/>
      <c r="I1217" s="37"/>
      <c r="J1217" s="37"/>
      <c r="K1217" s="3662"/>
      <c r="L1217" s="37"/>
      <c r="M1217" s="294" t="s">
        <v>4247</v>
      </c>
      <c r="N1217" s="2618" t="s">
        <v>4248</v>
      </c>
      <c r="O1217" s="3680">
        <v>0.2</v>
      </c>
      <c r="P1217" s="3662">
        <f>2901500*O1217</f>
        <v>580300</v>
      </c>
      <c r="Q1217" s="1949">
        <v>580300</v>
      </c>
      <c r="R1217" s="294" t="s">
        <v>4603</v>
      </c>
      <c r="S1217" s="1948">
        <v>44641</v>
      </c>
      <c r="T1217" s="1949">
        <v>580300</v>
      </c>
      <c r="U1217" s="1948">
        <v>44641</v>
      </c>
      <c r="V1217" s="1949">
        <v>580300</v>
      </c>
      <c r="W1217" s="1948">
        <v>44722</v>
      </c>
      <c r="X1217" s="1949">
        <v>580300</v>
      </c>
      <c r="Y1217" s="1948">
        <v>44735</v>
      </c>
      <c r="Z1217" s="37">
        <f t="shared" si="41"/>
        <v>0</v>
      </c>
      <c r="AA1217" s="37"/>
      <c r="AB1217" s="11"/>
      <c r="AC1217" s="11"/>
      <c r="AD1217" s="11"/>
      <c r="AE1217" s="11"/>
      <c r="AF1217" s="11"/>
      <c r="AG1217" s="11"/>
      <c r="AH1217" s="11"/>
      <c r="AI1217" s="11"/>
    </row>
    <row r="1218" s="4" customFormat="1" ht="46" spans="1:35">
      <c r="A1218" s="37"/>
      <c r="B1218" s="3640"/>
      <c r="C1218" s="3734"/>
      <c r="D1218" s="37"/>
      <c r="E1218" s="1499"/>
      <c r="F1218" s="1499"/>
      <c r="G1218" s="37"/>
      <c r="H1218" s="1499"/>
      <c r="I1218" s="37"/>
      <c r="J1218" s="37"/>
      <c r="K1218" s="3662"/>
      <c r="L1218" s="37"/>
      <c r="M1218" s="294" t="s">
        <v>2094</v>
      </c>
      <c r="N1218" s="2618" t="s">
        <v>4250</v>
      </c>
      <c r="O1218" s="3680">
        <v>0.3</v>
      </c>
      <c r="P1218" s="3662">
        <f>2901500*O1218</f>
        <v>870450</v>
      </c>
      <c r="Q1218" s="1949">
        <v>870450</v>
      </c>
      <c r="R1218" s="294" t="s">
        <v>4603</v>
      </c>
      <c r="S1218" s="3586">
        <v>44671</v>
      </c>
      <c r="T1218" s="1949">
        <v>870450</v>
      </c>
      <c r="U1218" s="1948">
        <v>44671</v>
      </c>
      <c r="V1218" s="1949">
        <v>870450</v>
      </c>
      <c r="W1218" s="1948">
        <v>44747</v>
      </c>
      <c r="X1218" s="1949">
        <v>870450</v>
      </c>
      <c r="Y1218" s="1948">
        <v>44764</v>
      </c>
      <c r="Z1218" s="37">
        <f t="shared" si="41"/>
        <v>0</v>
      </c>
      <c r="AA1218" s="37"/>
      <c r="AB1218" s="11"/>
      <c r="AC1218" s="11"/>
      <c r="AD1218" s="11"/>
      <c r="AE1218" s="11"/>
      <c r="AF1218" s="11"/>
      <c r="AG1218" s="11"/>
      <c r="AH1218" s="11"/>
      <c r="AI1218" s="11"/>
    </row>
    <row r="1219" s="4" customFormat="1" ht="46" spans="1:35">
      <c r="A1219" s="37"/>
      <c r="B1219" s="3640"/>
      <c r="C1219" s="3734"/>
      <c r="D1219" s="37"/>
      <c r="E1219" s="1499"/>
      <c r="F1219" s="1499"/>
      <c r="G1219" s="37"/>
      <c r="H1219" s="1499"/>
      <c r="I1219" s="37"/>
      <c r="J1219" s="37"/>
      <c r="K1219" s="3662"/>
      <c r="L1219" s="37"/>
      <c r="M1219" s="294" t="s">
        <v>2095</v>
      </c>
      <c r="N1219" s="2618" t="s">
        <v>4251</v>
      </c>
      <c r="O1219" s="3680">
        <v>0.2</v>
      </c>
      <c r="P1219" s="3684">
        <f>2901500*O1219</f>
        <v>580300</v>
      </c>
      <c r="Q1219" s="1949">
        <v>580300</v>
      </c>
      <c r="R1219" s="294" t="s">
        <v>4603</v>
      </c>
      <c r="S1219" s="3586">
        <v>44921</v>
      </c>
      <c r="T1219" s="1949">
        <v>580300</v>
      </c>
      <c r="U1219" s="3586">
        <v>44921</v>
      </c>
      <c r="V1219" s="37">
        <v>580300</v>
      </c>
      <c r="W1219" s="3607">
        <v>45063</v>
      </c>
      <c r="X1219" s="1949">
        <v>580300</v>
      </c>
      <c r="Y1219" s="3586">
        <v>45075</v>
      </c>
      <c r="Z1219" s="37">
        <f t="shared" si="41"/>
        <v>0</v>
      </c>
      <c r="AA1219" s="37"/>
      <c r="AB1219" s="11"/>
      <c r="AC1219" s="11"/>
      <c r="AD1219" s="11"/>
      <c r="AE1219" s="11"/>
      <c r="AF1219" s="11"/>
      <c r="AG1219" s="11"/>
      <c r="AH1219" s="11"/>
      <c r="AI1219" s="11"/>
    </row>
    <row r="1220" s="4" customFormat="1" spans="1:35">
      <c r="A1220" s="37"/>
      <c r="B1220" s="3640"/>
      <c r="C1220" s="3734"/>
      <c r="D1220" s="37"/>
      <c r="E1220" s="1499"/>
      <c r="F1220" s="1499"/>
      <c r="G1220" s="37"/>
      <c r="H1220" s="1499"/>
      <c r="I1220" s="37"/>
      <c r="J1220" s="37"/>
      <c r="K1220" s="3662"/>
      <c r="L1220" s="37"/>
      <c r="M1220" s="1768" t="s">
        <v>2096</v>
      </c>
      <c r="N1220" s="705" t="s">
        <v>4252</v>
      </c>
      <c r="O1220" s="3762">
        <v>0.25</v>
      </c>
      <c r="P1220" s="3744">
        <f>2901500*O1220</f>
        <v>725375</v>
      </c>
      <c r="Q1220" s="3781">
        <v>337500</v>
      </c>
      <c r="R1220" s="1768" t="s">
        <v>4603</v>
      </c>
      <c r="S1220" s="3780">
        <v>45651</v>
      </c>
      <c r="T1220" s="3781">
        <v>337500</v>
      </c>
      <c r="U1220" s="3780">
        <v>45651</v>
      </c>
      <c r="V1220" s="3505">
        <v>337500</v>
      </c>
      <c r="W1220" s="3638">
        <v>45667</v>
      </c>
      <c r="X1220" s="1949">
        <v>200000</v>
      </c>
      <c r="Y1220" s="3586">
        <v>45681</v>
      </c>
      <c r="Z1220" s="37"/>
      <c r="AA1220" s="37"/>
      <c r="AB1220" s="11"/>
      <c r="AC1220" s="11"/>
      <c r="AD1220" s="11"/>
      <c r="AE1220" s="11"/>
      <c r="AF1220" s="11"/>
      <c r="AG1220" s="11"/>
      <c r="AH1220" s="11"/>
      <c r="AI1220" s="11"/>
    </row>
    <row r="1221" s="4" customFormat="1" spans="1:35">
      <c r="A1221" s="37"/>
      <c r="B1221" s="3640"/>
      <c r="C1221" s="3734"/>
      <c r="D1221" s="37"/>
      <c r="E1221" s="1499"/>
      <c r="F1221" s="1499"/>
      <c r="G1221" s="37"/>
      <c r="H1221" s="1499"/>
      <c r="I1221" s="37"/>
      <c r="J1221" s="37"/>
      <c r="K1221" s="3662"/>
      <c r="L1221" s="37"/>
      <c r="M1221" s="1771"/>
      <c r="N1221" s="709"/>
      <c r="O1221" s="3763"/>
      <c r="P1221" s="3666"/>
      <c r="Q1221" s="3787"/>
      <c r="R1221" s="1772"/>
      <c r="S1221" s="3786"/>
      <c r="T1221" s="3787"/>
      <c r="U1221" s="3786"/>
      <c r="V1221" s="3681"/>
      <c r="W1221" s="3642"/>
      <c r="X1221" s="1949">
        <v>137500</v>
      </c>
      <c r="Y1221" s="3586">
        <v>45714</v>
      </c>
      <c r="Z1221" s="37"/>
      <c r="AA1221" s="37"/>
      <c r="AB1221" s="11"/>
      <c r="AC1221" s="11"/>
      <c r="AD1221" s="11"/>
      <c r="AE1221" s="11"/>
      <c r="AF1221" s="11"/>
      <c r="AG1221" s="11"/>
      <c r="AH1221" s="11"/>
      <c r="AI1221" s="11"/>
    </row>
    <row r="1222" s="4" customFormat="1" spans="1:35">
      <c r="A1222" s="37"/>
      <c r="B1222" s="3640"/>
      <c r="C1222" s="3734"/>
      <c r="D1222" s="37"/>
      <c r="E1222" s="1499"/>
      <c r="F1222" s="1499"/>
      <c r="G1222" s="37"/>
      <c r="H1222" s="1499"/>
      <c r="I1222" s="37"/>
      <c r="J1222" s="37"/>
      <c r="K1222" s="3662"/>
      <c r="L1222" s="37"/>
      <c r="M1222" s="1772"/>
      <c r="N1222" s="3541"/>
      <c r="O1222" s="3764"/>
      <c r="P1222" s="3667"/>
      <c r="Q1222" s="1950"/>
      <c r="R1222" s="3605"/>
      <c r="S1222" s="3724"/>
      <c r="T1222" s="37"/>
      <c r="U1222" s="37"/>
      <c r="V1222" s="37"/>
      <c r="W1222" s="11"/>
      <c r="X1222" s="1950"/>
      <c r="Y1222" s="3723"/>
      <c r="Z1222" s="37"/>
      <c r="AA1222" s="37"/>
      <c r="AB1222" s="11"/>
      <c r="AC1222" s="11"/>
      <c r="AD1222" s="11"/>
      <c r="AE1222" s="11"/>
      <c r="AF1222" s="11"/>
      <c r="AG1222" s="11"/>
      <c r="AH1222" s="11"/>
      <c r="AI1222" s="11"/>
    </row>
    <row r="1223" s="4" customFormat="1" ht="61" spans="1:35">
      <c r="A1223" s="37"/>
      <c r="B1223" s="3642"/>
      <c r="C1223" s="3734"/>
      <c r="D1223" s="37"/>
      <c r="E1223" s="1499"/>
      <c r="F1223" s="1499"/>
      <c r="G1223" s="37"/>
      <c r="H1223" s="1499"/>
      <c r="I1223" s="37"/>
      <c r="J1223" s="37"/>
      <c r="K1223" s="3662"/>
      <c r="L1223" s="37"/>
      <c r="M1223" s="294" t="s">
        <v>2042</v>
      </c>
      <c r="N1223" s="2618" t="s">
        <v>4245</v>
      </c>
      <c r="O1223" s="3680">
        <v>0.05</v>
      </c>
      <c r="P1223" s="3662">
        <f>2901500*O1223</f>
        <v>145075</v>
      </c>
      <c r="Q1223" s="1949"/>
      <c r="R1223" s="37"/>
      <c r="S1223" s="37"/>
      <c r="T1223" s="37"/>
      <c r="U1223" s="37"/>
      <c r="V1223" s="37"/>
      <c r="W1223" s="11"/>
      <c r="X1223" s="11"/>
      <c r="Y1223" s="11"/>
      <c r="Z1223" s="37">
        <f>Q1223-X1223</f>
        <v>0</v>
      </c>
      <c r="AA1223" s="37"/>
      <c r="AB1223" s="11"/>
      <c r="AC1223" s="11"/>
      <c r="AD1223" s="11"/>
      <c r="AE1223" s="11"/>
      <c r="AF1223" s="11"/>
      <c r="AG1223" s="11"/>
      <c r="AH1223" s="11"/>
      <c r="AI1223" s="11"/>
    </row>
    <row r="1224" s="4" customFormat="1" ht="92" spans="1:35">
      <c r="A1224" s="1768" t="s">
        <v>2570</v>
      </c>
      <c r="B1224" s="3640">
        <v>45594</v>
      </c>
      <c r="C1224" s="3735" t="s">
        <v>6168</v>
      </c>
      <c r="D1224" s="37"/>
      <c r="E1224" s="2068" t="s">
        <v>6182</v>
      </c>
      <c r="F1224" s="2068" t="s">
        <v>6183</v>
      </c>
      <c r="G1224" s="1768" t="s">
        <v>3723</v>
      </c>
      <c r="H1224" s="2068" t="s">
        <v>6177</v>
      </c>
      <c r="I1224" s="3505"/>
      <c r="J1224" s="3505"/>
      <c r="K1224" s="3744">
        <v>135460</v>
      </c>
      <c r="L1224" s="1768" t="s">
        <v>126</v>
      </c>
      <c r="M1224" s="294">
        <v>1</v>
      </c>
      <c r="N1224" s="185" t="s">
        <v>4255</v>
      </c>
      <c r="O1224" s="3680">
        <v>0.2</v>
      </c>
      <c r="P1224" s="3662">
        <f>K1224*O1224</f>
        <v>27092</v>
      </c>
      <c r="Q1224" s="1874">
        <v>27092</v>
      </c>
      <c r="R1224" s="294" t="s">
        <v>4603</v>
      </c>
      <c r="S1224" s="1948">
        <v>45652</v>
      </c>
      <c r="T1224" s="3608">
        <v>27092</v>
      </c>
      <c r="U1224" s="1948">
        <v>45652</v>
      </c>
      <c r="V1224" s="3794">
        <v>27092</v>
      </c>
      <c r="W1224" s="3718">
        <v>45947</v>
      </c>
      <c r="X1224" s="3835">
        <f>Q1224</f>
        <v>27092</v>
      </c>
      <c r="Y1224" s="3843">
        <v>45961</v>
      </c>
      <c r="Z1224" s="37"/>
      <c r="AA1224" s="37"/>
      <c r="AB1224" s="11"/>
      <c r="AC1224" s="11"/>
      <c r="AD1224" s="3848"/>
      <c r="AE1224" s="3848"/>
      <c r="AF1224" s="3848"/>
      <c r="AG1224" s="3848"/>
      <c r="AH1224" s="3848"/>
      <c r="AI1224" s="3848"/>
    </row>
    <row r="1225" s="4" customFormat="1" ht="76" spans="1:35">
      <c r="A1225" s="3508"/>
      <c r="B1225" s="3640"/>
      <c r="C1225" s="3736"/>
      <c r="D1225" s="37"/>
      <c r="E1225" s="1817"/>
      <c r="F1225" s="1817"/>
      <c r="G1225" s="3508"/>
      <c r="H1225" s="1817"/>
      <c r="I1225" s="3508"/>
      <c r="J1225" s="3508"/>
      <c r="K1225" s="3666"/>
      <c r="L1225" s="3508"/>
      <c r="M1225" s="294">
        <v>2</v>
      </c>
      <c r="N1225" s="185" t="s">
        <v>4256</v>
      </c>
      <c r="O1225" s="3680">
        <v>0.3</v>
      </c>
      <c r="P1225" s="3684">
        <f>K1224*O1225</f>
        <v>40638</v>
      </c>
      <c r="Q1225" s="1874">
        <v>40638</v>
      </c>
      <c r="R1225" s="294" t="s">
        <v>4603</v>
      </c>
      <c r="S1225" s="1948">
        <v>45652</v>
      </c>
      <c r="T1225" s="3608">
        <v>40638</v>
      </c>
      <c r="U1225" s="1948">
        <v>45652</v>
      </c>
      <c r="V1225" s="3794">
        <v>40638</v>
      </c>
      <c r="W1225" s="3718">
        <v>45947</v>
      </c>
      <c r="X1225" s="3835">
        <f>Q1225</f>
        <v>40638</v>
      </c>
      <c r="Y1225" s="3843">
        <v>45961</v>
      </c>
      <c r="Z1225" s="37"/>
      <c r="AA1225" s="37"/>
      <c r="AB1225" s="11"/>
      <c r="AC1225" s="11"/>
      <c r="AD1225" s="3848"/>
      <c r="AE1225" s="3848"/>
      <c r="AF1225" s="3848"/>
      <c r="AG1225" s="3848"/>
      <c r="AH1225" s="3848"/>
      <c r="AI1225" s="3848"/>
    </row>
    <row r="1226" s="4" customFormat="1" ht="76" spans="1:35">
      <c r="A1226" s="3508"/>
      <c r="B1226" s="3640"/>
      <c r="C1226" s="3736"/>
      <c r="D1226" s="37"/>
      <c r="E1226" s="1817"/>
      <c r="F1226" s="1817"/>
      <c r="G1226" s="3508"/>
      <c r="H1226" s="1817"/>
      <c r="I1226" s="3508"/>
      <c r="J1226" s="3508"/>
      <c r="K1226" s="3666"/>
      <c r="L1226" s="3508"/>
      <c r="M1226" s="294">
        <v>3</v>
      </c>
      <c r="N1226" s="185" t="s">
        <v>4257</v>
      </c>
      <c r="O1226" s="3680">
        <v>0.2</v>
      </c>
      <c r="P1226" s="3684">
        <f>K1224*O1226</f>
        <v>27092</v>
      </c>
      <c r="Q1226" s="1874">
        <v>27092</v>
      </c>
      <c r="R1226" s="294" t="s">
        <v>4603</v>
      </c>
      <c r="S1226" s="1948">
        <v>45652</v>
      </c>
      <c r="T1226" s="3608">
        <v>27092</v>
      </c>
      <c r="U1226" s="1948">
        <v>45652</v>
      </c>
      <c r="V1226" s="3794">
        <v>27092</v>
      </c>
      <c r="W1226" s="3718">
        <v>45947</v>
      </c>
      <c r="X1226" s="3835">
        <f>Q1226</f>
        <v>27092</v>
      </c>
      <c r="Y1226" s="3843">
        <v>45961</v>
      </c>
      <c r="Z1226" s="37"/>
      <c r="AA1226" s="37"/>
      <c r="AB1226" s="11"/>
      <c r="AC1226" s="11"/>
      <c r="AD1226" s="3848"/>
      <c r="AE1226" s="3848"/>
      <c r="AF1226" s="3848"/>
      <c r="AG1226" s="3848"/>
      <c r="AH1226" s="3848"/>
      <c r="AI1226" s="3848"/>
    </row>
    <row r="1227" s="4" customFormat="1" ht="76" spans="1:35">
      <c r="A1227" s="3508"/>
      <c r="B1227" s="3640"/>
      <c r="C1227" s="3736"/>
      <c r="D1227" s="37"/>
      <c r="E1227" s="1817"/>
      <c r="F1227" s="1817"/>
      <c r="G1227" s="3508"/>
      <c r="H1227" s="1817"/>
      <c r="I1227" s="3508"/>
      <c r="J1227" s="3508"/>
      <c r="K1227" s="3666"/>
      <c r="L1227" s="3508"/>
      <c r="M1227" s="294">
        <v>4</v>
      </c>
      <c r="N1227" s="185" t="s">
        <v>4258</v>
      </c>
      <c r="O1227" s="3680">
        <v>0.25</v>
      </c>
      <c r="P1227" s="3684">
        <f>K1224*O1227</f>
        <v>33865</v>
      </c>
      <c r="Q1227" s="1874">
        <v>33865</v>
      </c>
      <c r="R1227" s="294" t="s">
        <v>4603</v>
      </c>
      <c r="S1227" s="1948">
        <v>45652</v>
      </c>
      <c r="T1227" s="3608">
        <v>33865</v>
      </c>
      <c r="U1227" s="1948">
        <v>45652</v>
      </c>
      <c r="V1227" s="3794">
        <v>33965</v>
      </c>
      <c r="W1227" s="3718">
        <v>45947</v>
      </c>
      <c r="X1227" s="3835">
        <f>Q1227</f>
        <v>33865</v>
      </c>
      <c r="Y1227" s="3843">
        <v>45961</v>
      </c>
      <c r="Z1227" s="37"/>
      <c r="AA1227" s="37"/>
      <c r="AB1227" s="11"/>
      <c r="AC1227" s="11"/>
      <c r="AD1227" s="3848"/>
      <c r="AE1227" s="3848"/>
      <c r="AF1227" s="3848"/>
      <c r="AG1227" s="3848"/>
      <c r="AH1227" s="3848"/>
      <c r="AI1227" s="3848"/>
    </row>
    <row r="1228" s="4" customFormat="1" ht="61" spans="1:35">
      <c r="A1228" s="3681"/>
      <c r="B1228" s="3640"/>
      <c r="C1228" s="3737"/>
      <c r="D1228" s="37"/>
      <c r="E1228" s="2161"/>
      <c r="F1228" s="2161"/>
      <c r="G1228" s="3681"/>
      <c r="H1228" s="2161"/>
      <c r="I1228" s="3681"/>
      <c r="J1228" s="3681"/>
      <c r="K1228" s="3667"/>
      <c r="L1228" s="3681"/>
      <c r="M1228" s="294">
        <v>5</v>
      </c>
      <c r="N1228" s="185" t="s">
        <v>4259</v>
      </c>
      <c r="O1228" s="3680">
        <v>0.05</v>
      </c>
      <c r="P1228" s="3684">
        <f>K1224*O1228</f>
        <v>6773</v>
      </c>
      <c r="Q1228" s="1949"/>
      <c r="R1228" s="37"/>
      <c r="S1228" s="37"/>
      <c r="T1228" s="37"/>
      <c r="U1228" s="37"/>
      <c r="V1228" s="37"/>
      <c r="W1228" s="11"/>
      <c r="X1228" s="11"/>
      <c r="Y1228" s="11"/>
      <c r="Z1228" s="37"/>
      <c r="AA1228" s="37"/>
      <c r="AB1228" s="11"/>
      <c r="AC1228" s="11"/>
      <c r="AD1228" s="3848"/>
      <c r="AE1228" s="3848"/>
      <c r="AF1228" s="3848"/>
      <c r="AG1228" s="3848"/>
      <c r="AH1228" s="3848"/>
      <c r="AI1228" s="3848"/>
    </row>
    <row r="1229" s="4" customFormat="1" ht="46" spans="1:35">
      <c r="A1229" s="294" t="s">
        <v>2570</v>
      </c>
      <c r="B1229" s="3638">
        <v>44533</v>
      </c>
      <c r="C1229" s="363" t="s">
        <v>6168</v>
      </c>
      <c r="D1229" s="37"/>
      <c r="E1229" s="1499" t="s">
        <v>6184</v>
      </c>
      <c r="F1229" s="1499" t="s">
        <v>6185</v>
      </c>
      <c r="G1229" s="294" t="s">
        <v>3620</v>
      </c>
      <c r="H1229" s="1499" t="s">
        <v>6186</v>
      </c>
      <c r="I1229" s="37"/>
      <c r="J1229" s="37"/>
      <c r="K1229" s="3662">
        <v>1639387.52</v>
      </c>
      <c r="L1229" s="294" t="s">
        <v>126</v>
      </c>
      <c r="M1229" s="37">
        <v>1</v>
      </c>
      <c r="N1229" s="2618" t="s">
        <v>4262</v>
      </c>
      <c r="O1229" s="3680">
        <v>0.3</v>
      </c>
      <c r="P1229" s="3662">
        <f>1639387.52*O1229</f>
        <v>491816.256</v>
      </c>
      <c r="Q1229" s="1949">
        <v>491816.25</v>
      </c>
      <c r="R1229" s="294" t="s">
        <v>4603</v>
      </c>
      <c r="S1229" s="1948">
        <v>44644</v>
      </c>
      <c r="T1229" s="37">
        <v>491816.25</v>
      </c>
      <c r="U1229" s="3607">
        <v>44635</v>
      </c>
      <c r="V1229" s="37">
        <v>491816.25</v>
      </c>
      <c r="W1229" s="3718">
        <v>44634</v>
      </c>
      <c r="X1229" s="37">
        <v>491816.25</v>
      </c>
      <c r="Y1229" s="3718">
        <v>44677</v>
      </c>
      <c r="Z1229" s="37">
        <f>Q1229-X1229</f>
        <v>0</v>
      </c>
      <c r="AA1229" s="37"/>
      <c r="AB1229" s="11"/>
      <c r="AC1229" s="3849" t="s">
        <v>128</v>
      </c>
      <c r="AD1229" s="3505">
        <f>SUM(T1229:T1232)</f>
        <v>1475448.76</v>
      </c>
      <c r="AE1229" s="3505">
        <f>SUM(V1229:V1232)</f>
        <v>1475448.76</v>
      </c>
      <c r="AF1229" s="3505">
        <f>SUM(X1229:X1232)</f>
        <v>1639387.512</v>
      </c>
      <c r="AG1229" s="3505">
        <f>K1229-AD1229</f>
        <v>163938.76</v>
      </c>
      <c r="AH1229" s="1768" t="s">
        <v>247</v>
      </c>
      <c r="AI1229" s="1768" t="s">
        <v>125</v>
      </c>
    </row>
    <row r="1230" s="4" customFormat="1" ht="46" spans="1:35">
      <c r="A1230" s="37"/>
      <c r="B1230" s="3640"/>
      <c r="C1230" s="3734"/>
      <c r="D1230" s="37"/>
      <c r="E1230" s="1499"/>
      <c r="F1230" s="3739"/>
      <c r="G1230" s="37"/>
      <c r="H1230" s="1499"/>
      <c r="I1230" s="37"/>
      <c r="J1230" s="37"/>
      <c r="K1230" s="3662"/>
      <c r="L1230" s="37"/>
      <c r="M1230" s="37">
        <v>2</v>
      </c>
      <c r="N1230" s="2618" t="s">
        <v>4263</v>
      </c>
      <c r="O1230" s="3680">
        <v>0.3</v>
      </c>
      <c r="P1230" s="3662">
        <f>1639387.52*O1230</f>
        <v>491816.256</v>
      </c>
      <c r="Q1230" s="1949">
        <v>491816.26</v>
      </c>
      <c r="R1230" s="294" t="s">
        <v>4603</v>
      </c>
      <c r="S1230" s="1948">
        <v>44644</v>
      </c>
      <c r="T1230" s="37">
        <v>491816.26</v>
      </c>
      <c r="U1230" s="3607">
        <v>44635</v>
      </c>
      <c r="V1230" s="37">
        <v>491816.26</v>
      </c>
      <c r="W1230" s="3718">
        <v>44634</v>
      </c>
      <c r="X1230" s="37">
        <v>491816.26</v>
      </c>
      <c r="Y1230" s="3718">
        <v>44701</v>
      </c>
      <c r="Z1230" s="37">
        <f>Q1230-X1230</f>
        <v>0</v>
      </c>
      <c r="AA1230" s="37"/>
      <c r="AB1230" s="11"/>
      <c r="AC1230" s="3849" t="s">
        <v>128</v>
      </c>
      <c r="AD1230" s="3508"/>
      <c r="AE1230" s="3508"/>
      <c r="AF1230" s="3508"/>
      <c r="AG1230" s="3508"/>
      <c r="AH1230" s="3508"/>
      <c r="AI1230" s="3508"/>
    </row>
    <row r="1231" s="4" customFormat="1" ht="61" spans="1:35">
      <c r="A1231" s="37"/>
      <c r="B1231" s="3640"/>
      <c r="C1231" s="3734"/>
      <c r="D1231" s="37"/>
      <c r="E1231" s="1499"/>
      <c r="F1231" s="3739"/>
      <c r="G1231" s="37"/>
      <c r="H1231" s="1499"/>
      <c r="I1231" s="37"/>
      <c r="J1231" s="37"/>
      <c r="K1231" s="3662"/>
      <c r="L1231" s="37"/>
      <c r="M1231" s="37">
        <v>3</v>
      </c>
      <c r="N1231" s="2618" t="s">
        <v>6187</v>
      </c>
      <c r="O1231" s="3680">
        <v>0.3</v>
      </c>
      <c r="P1231" s="3662">
        <f>1639387.52*O1231</f>
        <v>491816.256</v>
      </c>
      <c r="Q1231" s="1949">
        <v>491816.25</v>
      </c>
      <c r="R1231" s="294" t="s">
        <v>4603</v>
      </c>
      <c r="S1231" s="3586">
        <v>44828</v>
      </c>
      <c r="T1231" s="1949">
        <v>491816.25</v>
      </c>
      <c r="U1231" s="3607">
        <v>44805</v>
      </c>
      <c r="V1231" s="1949">
        <v>491816.25</v>
      </c>
      <c r="W1231" s="3718">
        <v>44805</v>
      </c>
      <c r="X1231" s="1949">
        <v>491816.25</v>
      </c>
      <c r="Y1231" s="3586">
        <v>44844</v>
      </c>
      <c r="Z1231" s="37">
        <f>Q1231-X1231</f>
        <v>0</v>
      </c>
      <c r="AA1231" s="37"/>
      <c r="AB1231" s="11"/>
      <c r="AC1231" s="11"/>
      <c r="AD1231" s="3508"/>
      <c r="AE1231" s="3508"/>
      <c r="AF1231" s="3508"/>
      <c r="AG1231" s="3508"/>
      <c r="AH1231" s="3508"/>
      <c r="AI1231" s="3508"/>
    </row>
    <row r="1232" s="4" customFormat="1" ht="76" spans="1:35">
      <c r="A1232" s="37"/>
      <c r="B1232" s="3642"/>
      <c r="C1232" s="3734"/>
      <c r="D1232" s="37"/>
      <c r="E1232" s="1499"/>
      <c r="F1232" s="3739"/>
      <c r="G1232" s="37"/>
      <c r="H1232" s="1499"/>
      <c r="I1232" s="37"/>
      <c r="J1232" s="37"/>
      <c r="K1232" s="3662"/>
      <c r="L1232" s="37"/>
      <c r="M1232" s="37">
        <v>4</v>
      </c>
      <c r="N1232" s="2618" t="s">
        <v>4265</v>
      </c>
      <c r="O1232" s="3680">
        <v>0.1</v>
      </c>
      <c r="P1232" s="3662">
        <f>1639387.52*O1232</f>
        <v>163938.752</v>
      </c>
      <c r="Q1232" s="3822">
        <v>163938.752</v>
      </c>
      <c r="R1232" s="3605"/>
      <c r="S1232" s="3724"/>
      <c r="T1232" s="37"/>
      <c r="U1232" s="37"/>
      <c r="V1232" s="37"/>
      <c r="W1232" s="11"/>
      <c r="X1232" s="3822">
        <v>163938.752</v>
      </c>
      <c r="Y1232" s="3724"/>
      <c r="Z1232" s="37">
        <f>Q1232-X1232</f>
        <v>0</v>
      </c>
      <c r="AA1232" s="37"/>
      <c r="AB1232" s="11"/>
      <c r="AC1232" s="11"/>
      <c r="AD1232" s="3681"/>
      <c r="AE1232" s="3681"/>
      <c r="AF1232" s="3681"/>
      <c r="AG1232" s="3681"/>
      <c r="AH1232" s="3681"/>
      <c r="AI1232" s="3681"/>
    </row>
    <row r="1233" s="4" customFormat="1" ht="26.25" customHeight="1" spans="1:35">
      <c r="A1233" s="1768" t="s">
        <v>2570</v>
      </c>
      <c r="B1233" s="3638">
        <v>45224</v>
      </c>
      <c r="C1233" s="2068" t="s">
        <v>6168</v>
      </c>
      <c r="D1233" s="1768"/>
      <c r="E1233" s="2068" t="s">
        <v>6188</v>
      </c>
      <c r="F1233" s="2068" t="s">
        <v>6189</v>
      </c>
      <c r="G1233" s="2068" t="s">
        <v>6190</v>
      </c>
      <c r="H1233" s="2068" t="s">
        <v>6186</v>
      </c>
      <c r="I1233" s="1768"/>
      <c r="J1233" s="1768"/>
      <c r="K1233" s="1768">
        <v>120000</v>
      </c>
      <c r="L1233" s="1768" t="s">
        <v>126</v>
      </c>
      <c r="M1233" s="37">
        <v>1</v>
      </c>
      <c r="N1233" s="185" t="s">
        <v>6191</v>
      </c>
      <c r="O1233" s="3680">
        <v>0.3</v>
      </c>
      <c r="P1233" s="3662">
        <f>K1233*O1233</f>
        <v>36000</v>
      </c>
      <c r="Q1233" s="1949">
        <v>36000</v>
      </c>
      <c r="R1233" s="294" t="s">
        <v>4603</v>
      </c>
      <c r="S1233" s="1948">
        <v>45280</v>
      </c>
      <c r="T1233" s="1949">
        <v>36000</v>
      </c>
      <c r="U1233" s="1948">
        <v>45280</v>
      </c>
      <c r="V1233" s="37"/>
      <c r="W1233" s="11"/>
      <c r="X1233" s="3822"/>
      <c r="Y1233" s="3724"/>
      <c r="Z1233" s="37"/>
      <c r="AA1233" s="37"/>
      <c r="AB1233" s="11"/>
      <c r="AC1233" s="11"/>
      <c r="AD1233" s="3508"/>
      <c r="AE1233" s="3508"/>
      <c r="AF1233" s="3508"/>
      <c r="AG1233" s="3508"/>
      <c r="AH1233" s="3508"/>
      <c r="AI1233" s="3508"/>
    </row>
    <row r="1234" s="4" customFormat="1" ht="26.25" customHeight="1" spans="1:35">
      <c r="A1234" s="1771"/>
      <c r="B1234" s="3640"/>
      <c r="C1234" s="1817"/>
      <c r="D1234" s="1771"/>
      <c r="E1234" s="1817"/>
      <c r="F1234" s="1817"/>
      <c r="G1234" s="1771"/>
      <c r="H1234" s="1817"/>
      <c r="I1234" s="1771"/>
      <c r="J1234" s="1771"/>
      <c r="K1234" s="1771"/>
      <c r="L1234" s="1771"/>
      <c r="M1234" s="37">
        <v>2</v>
      </c>
      <c r="N1234" s="185" t="s">
        <v>6192</v>
      </c>
      <c r="O1234" s="3680">
        <v>0.3</v>
      </c>
      <c r="P1234" s="3814">
        <f>K1233*O1234</f>
        <v>36000</v>
      </c>
      <c r="Q1234" s="1949">
        <v>36000</v>
      </c>
      <c r="R1234" s="294" t="s">
        <v>4603</v>
      </c>
      <c r="S1234" s="1948">
        <v>45280</v>
      </c>
      <c r="T1234" s="1949">
        <v>36000</v>
      </c>
      <c r="U1234" s="1948">
        <v>45280</v>
      </c>
      <c r="V1234" s="3662"/>
      <c r="W1234" s="3718"/>
      <c r="X1234" s="3662"/>
      <c r="Y1234" s="3718"/>
      <c r="Z1234" s="37"/>
      <c r="AA1234" s="37"/>
      <c r="AB1234" s="11"/>
      <c r="AC1234" s="3849"/>
      <c r="AD1234" s="3508"/>
      <c r="AE1234" s="3508"/>
      <c r="AF1234" s="3508"/>
      <c r="AG1234" s="3508"/>
      <c r="AH1234" s="1771"/>
      <c r="AI1234" s="1771"/>
    </row>
    <row r="1235" s="4" customFormat="1" ht="26.25" customHeight="1" spans="1:35">
      <c r="A1235" s="1771"/>
      <c r="B1235" s="3640"/>
      <c r="C1235" s="1817"/>
      <c r="D1235" s="1771"/>
      <c r="E1235" s="1817"/>
      <c r="F1235" s="1817"/>
      <c r="G1235" s="1771"/>
      <c r="H1235" s="1817"/>
      <c r="I1235" s="1771"/>
      <c r="J1235" s="1771"/>
      <c r="K1235" s="1771"/>
      <c r="L1235" s="1771"/>
      <c r="M1235" s="37">
        <v>3</v>
      </c>
      <c r="N1235" s="185" t="s">
        <v>6193</v>
      </c>
      <c r="O1235" s="3680">
        <v>0.3</v>
      </c>
      <c r="P1235" s="3814">
        <f>K1233*O1235</f>
        <v>36000</v>
      </c>
      <c r="Q1235" s="3823"/>
      <c r="R1235" s="3605"/>
      <c r="S1235" s="3724"/>
      <c r="T1235" s="3662"/>
      <c r="U1235" s="3607"/>
      <c r="V1235" s="3662"/>
      <c r="W1235" s="3718"/>
      <c r="X1235" s="3662"/>
      <c r="Y1235" s="3718"/>
      <c r="Z1235" s="37"/>
      <c r="AA1235" s="37"/>
      <c r="AB1235" s="11"/>
      <c r="AC1235" s="3849"/>
      <c r="AD1235" s="3508"/>
      <c r="AE1235" s="3508"/>
      <c r="AF1235" s="3508"/>
      <c r="AG1235" s="3508"/>
      <c r="AH1235" s="1771"/>
      <c r="AI1235" s="1771"/>
    </row>
    <row r="1236" s="4" customFormat="1" ht="26.25" customHeight="1" spans="1:35">
      <c r="A1236" s="1772"/>
      <c r="B1236" s="3642"/>
      <c r="C1236" s="2161"/>
      <c r="D1236" s="1772"/>
      <c r="E1236" s="2161"/>
      <c r="F1236" s="2161"/>
      <c r="G1236" s="1772"/>
      <c r="H1236" s="2161"/>
      <c r="I1236" s="1772"/>
      <c r="J1236" s="1772"/>
      <c r="K1236" s="1772"/>
      <c r="L1236" s="1772"/>
      <c r="M1236" s="37">
        <v>4</v>
      </c>
      <c r="N1236" s="185" t="s">
        <v>6194</v>
      </c>
      <c r="O1236" s="3680">
        <v>0.1</v>
      </c>
      <c r="P1236" s="3814">
        <f>K1233*O1236</f>
        <v>12000</v>
      </c>
      <c r="Q1236" s="1949"/>
      <c r="R1236" s="294"/>
      <c r="S1236" s="1948"/>
      <c r="T1236" s="3662"/>
      <c r="U1236" s="3607"/>
      <c r="V1236" s="3662"/>
      <c r="W1236" s="3718"/>
      <c r="X1236" s="3662"/>
      <c r="Y1236" s="3718"/>
      <c r="Z1236" s="37"/>
      <c r="AA1236" s="37"/>
      <c r="AB1236" s="11"/>
      <c r="AC1236" s="3849"/>
      <c r="AD1236" s="3508"/>
      <c r="AE1236" s="3508"/>
      <c r="AF1236" s="3508"/>
      <c r="AG1236" s="3508"/>
      <c r="AH1236" s="1771"/>
      <c r="AI1236" s="1771"/>
    </row>
    <row r="1237" s="4" customFormat="1" ht="46" spans="1:35">
      <c r="A1237" s="294" t="s">
        <v>2570</v>
      </c>
      <c r="B1237" s="3638">
        <v>44533</v>
      </c>
      <c r="C1237" s="363" t="s">
        <v>6168</v>
      </c>
      <c r="D1237" s="37"/>
      <c r="E1237" s="1499" t="s">
        <v>6195</v>
      </c>
      <c r="F1237" s="1499" t="s">
        <v>6196</v>
      </c>
      <c r="G1237" s="294" t="s">
        <v>6197</v>
      </c>
      <c r="H1237" s="1499" t="s">
        <v>6198</v>
      </c>
      <c r="I1237" s="37"/>
      <c r="J1237" s="37"/>
      <c r="K1237" s="3662">
        <v>1752500</v>
      </c>
      <c r="L1237" s="294" t="s">
        <v>126</v>
      </c>
      <c r="M1237" s="37">
        <v>1</v>
      </c>
      <c r="N1237" s="2618" t="s">
        <v>4277</v>
      </c>
      <c r="O1237" s="3680">
        <v>0.3</v>
      </c>
      <c r="P1237" s="3814">
        <f>1752500*O1237</f>
        <v>525750</v>
      </c>
      <c r="Q1237" s="1949">
        <v>525750</v>
      </c>
      <c r="R1237" s="294" t="s">
        <v>4603</v>
      </c>
      <c r="S1237" s="1948">
        <v>44644</v>
      </c>
      <c r="T1237" s="3662">
        <v>525750</v>
      </c>
      <c r="U1237" s="3607">
        <v>44635</v>
      </c>
      <c r="V1237" s="3662">
        <v>525750</v>
      </c>
      <c r="W1237" s="3718">
        <v>44635</v>
      </c>
      <c r="X1237" s="3662">
        <v>525750</v>
      </c>
      <c r="Y1237" s="3718">
        <v>44677</v>
      </c>
      <c r="Z1237" s="37">
        <f>Q1237-X1237</f>
        <v>0</v>
      </c>
      <c r="AA1237" s="37"/>
      <c r="AB1237" s="11"/>
      <c r="AC1237" s="3849" t="s">
        <v>128</v>
      </c>
      <c r="AD1237" s="3505">
        <f>SUM(T1237:T1240)</f>
        <v>1680500</v>
      </c>
      <c r="AE1237" s="3505">
        <f>SUM(V1237:V1240)</f>
        <v>1680500</v>
      </c>
      <c r="AF1237" s="3505">
        <f>SUM(X1237:X1240)</f>
        <v>1657250</v>
      </c>
      <c r="AG1237" s="3505">
        <f>K1237-AD1237</f>
        <v>72000</v>
      </c>
      <c r="AH1237" s="1768" t="s">
        <v>247</v>
      </c>
      <c r="AI1237" s="1768" t="s">
        <v>125</v>
      </c>
    </row>
    <row r="1238" s="4" customFormat="1" ht="46" spans="1:35">
      <c r="A1238" s="37"/>
      <c r="B1238" s="3640"/>
      <c r="C1238" s="3734"/>
      <c r="D1238" s="37"/>
      <c r="E1238" s="1499"/>
      <c r="F1238" s="3739"/>
      <c r="G1238" s="37"/>
      <c r="H1238" s="1499"/>
      <c r="I1238" s="37"/>
      <c r="J1238" s="37"/>
      <c r="K1238" s="3662"/>
      <c r="L1238" s="37"/>
      <c r="M1238" s="37">
        <v>2</v>
      </c>
      <c r="N1238" s="2618" t="s">
        <v>4278</v>
      </c>
      <c r="O1238" s="3680">
        <v>0.3</v>
      </c>
      <c r="P1238" s="3814">
        <f>1752500*O1238</f>
        <v>525750</v>
      </c>
      <c r="Q1238" s="1949">
        <v>525750</v>
      </c>
      <c r="R1238" s="294" t="s">
        <v>4603</v>
      </c>
      <c r="S1238" s="1948">
        <v>44644</v>
      </c>
      <c r="T1238" s="3662">
        <v>525750</v>
      </c>
      <c r="U1238" s="3607">
        <v>44635</v>
      </c>
      <c r="V1238" s="3662">
        <v>525750</v>
      </c>
      <c r="W1238" s="3607">
        <v>44635</v>
      </c>
      <c r="X1238" s="3662">
        <v>525750</v>
      </c>
      <c r="Y1238" s="3718">
        <v>44677</v>
      </c>
      <c r="Z1238" s="37">
        <f>Q1238-X1238</f>
        <v>0</v>
      </c>
      <c r="AA1238" s="37"/>
      <c r="AB1238" s="11"/>
      <c r="AC1238" s="3849" t="s">
        <v>128</v>
      </c>
      <c r="AD1238" s="3508"/>
      <c r="AE1238" s="3508"/>
      <c r="AF1238" s="3508"/>
      <c r="AG1238" s="3508"/>
      <c r="AH1238" s="3508"/>
      <c r="AI1238" s="3508"/>
    </row>
    <row r="1239" s="4" customFormat="1" ht="46" spans="1:35">
      <c r="A1239" s="37"/>
      <c r="B1239" s="3640"/>
      <c r="C1239" s="3734"/>
      <c r="D1239" s="37"/>
      <c r="E1239" s="1499"/>
      <c r="F1239" s="3739"/>
      <c r="G1239" s="37"/>
      <c r="H1239" s="1499"/>
      <c r="I1239" s="37"/>
      <c r="J1239" s="37"/>
      <c r="K1239" s="3662"/>
      <c r="L1239" s="37"/>
      <c r="M1239" s="37">
        <v>3</v>
      </c>
      <c r="N1239" s="2618" t="s">
        <v>4279</v>
      </c>
      <c r="O1239" s="3680">
        <v>0.3</v>
      </c>
      <c r="P1239" s="3814">
        <f>1752500*O1239</f>
        <v>525750</v>
      </c>
      <c r="Q1239" s="1949">
        <v>525750</v>
      </c>
      <c r="R1239" s="294" t="s">
        <v>4603</v>
      </c>
      <c r="S1239" s="1948">
        <v>44644</v>
      </c>
      <c r="T1239" s="3662">
        <v>525750</v>
      </c>
      <c r="U1239" s="3607">
        <v>44635</v>
      </c>
      <c r="V1239" s="3662">
        <v>525750</v>
      </c>
      <c r="W1239" s="3607">
        <v>44635</v>
      </c>
      <c r="X1239" s="3662">
        <v>525750</v>
      </c>
      <c r="Y1239" s="3718">
        <v>44677</v>
      </c>
      <c r="Z1239" s="37">
        <f>Q1239-X1239</f>
        <v>0</v>
      </c>
      <c r="AA1239" s="37"/>
      <c r="AB1239" s="11"/>
      <c r="AC1239" s="3849" t="s">
        <v>128</v>
      </c>
      <c r="AD1239" s="3508"/>
      <c r="AE1239" s="3508"/>
      <c r="AF1239" s="3508"/>
      <c r="AG1239" s="3508"/>
      <c r="AH1239" s="3508"/>
      <c r="AI1239" s="3508"/>
    </row>
    <row r="1240" s="4" customFormat="1" ht="83.35" customHeight="1" spans="1:35">
      <c r="A1240" s="37"/>
      <c r="B1240" s="3642"/>
      <c r="C1240" s="3734"/>
      <c r="D1240" s="37"/>
      <c r="E1240" s="1499"/>
      <c r="F1240" s="3739"/>
      <c r="G1240" s="37"/>
      <c r="H1240" s="1499"/>
      <c r="I1240" s="37"/>
      <c r="J1240" s="37"/>
      <c r="K1240" s="3662"/>
      <c r="L1240" s="37"/>
      <c r="M1240" s="37">
        <v>4</v>
      </c>
      <c r="N1240" s="2618" t="s">
        <v>4265</v>
      </c>
      <c r="O1240" s="3680">
        <v>0.1</v>
      </c>
      <c r="P1240" s="3814">
        <f>1752500*O1240</f>
        <v>175250</v>
      </c>
      <c r="Q1240" s="3824">
        <v>103250</v>
      </c>
      <c r="R1240" s="3825" t="s">
        <v>4603</v>
      </c>
      <c r="S1240" s="3826">
        <v>45665</v>
      </c>
      <c r="T1240" s="37">
        <f>Q1240</f>
        <v>103250</v>
      </c>
      <c r="U1240" s="3607">
        <v>45665</v>
      </c>
      <c r="V1240" s="37">
        <f>T1240</f>
        <v>103250</v>
      </c>
      <c r="W1240" s="3718">
        <v>45673</v>
      </c>
      <c r="X1240" s="37">
        <v>80000</v>
      </c>
      <c r="Y1240" s="3718">
        <v>45681</v>
      </c>
      <c r="Z1240" s="37">
        <f>Q1240-X1240</f>
        <v>23250</v>
      </c>
      <c r="AA1240" s="294" t="s">
        <v>4280</v>
      </c>
      <c r="AB1240" s="11"/>
      <c r="AC1240" s="11"/>
      <c r="AD1240" s="3681"/>
      <c r="AE1240" s="3681"/>
      <c r="AF1240" s="3681"/>
      <c r="AG1240" s="3681"/>
      <c r="AH1240" s="3681"/>
      <c r="AI1240" s="3681"/>
    </row>
    <row r="1241" s="4" customFormat="1" ht="92" spans="1:35">
      <c r="A1241" s="1768" t="s">
        <v>2570</v>
      </c>
      <c r="B1241" s="3640">
        <v>45658</v>
      </c>
      <c r="C1241" s="3735" t="s">
        <v>6168</v>
      </c>
      <c r="D1241" s="3505"/>
      <c r="E1241" s="2068" t="s">
        <v>6199</v>
      </c>
      <c r="F1241" s="2068" t="s">
        <v>6200</v>
      </c>
      <c r="G1241" s="1768" t="s">
        <v>5201</v>
      </c>
      <c r="H1241" s="2068" t="s">
        <v>5128</v>
      </c>
      <c r="I1241" s="3505">
        <v>1108.84</v>
      </c>
      <c r="J1241" s="2068" t="s">
        <v>6201</v>
      </c>
      <c r="K1241" s="3744">
        <v>261708.8</v>
      </c>
      <c r="L1241" s="1768" t="s">
        <v>126</v>
      </c>
      <c r="M1241" s="3505">
        <v>1</v>
      </c>
      <c r="N1241" s="185" t="s">
        <v>4268</v>
      </c>
      <c r="O1241" s="3680">
        <v>0.15</v>
      </c>
      <c r="P1241" s="3814">
        <f>K1241*O1241</f>
        <v>39256.32</v>
      </c>
      <c r="Q1241" s="1949">
        <v>39256.32</v>
      </c>
      <c r="R1241" s="294" t="s">
        <v>4603</v>
      </c>
      <c r="S1241" s="1948">
        <v>45950</v>
      </c>
      <c r="T1241" s="37">
        <v>39256.32</v>
      </c>
      <c r="U1241" s="3607">
        <v>45950</v>
      </c>
      <c r="V1241" s="37">
        <v>39256.32</v>
      </c>
      <c r="W1241" s="3718">
        <v>45947</v>
      </c>
      <c r="X1241" s="37">
        <v>39256.32</v>
      </c>
      <c r="Y1241" s="3718">
        <v>45961</v>
      </c>
      <c r="Z1241" s="37"/>
      <c r="AA1241" s="294"/>
      <c r="AB1241" s="11"/>
      <c r="AC1241" s="11"/>
      <c r="AD1241" s="3681"/>
      <c r="AE1241" s="3681"/>
      <c r="AF1241" s="3681"/>
      <c r="AG1241" s="3681"/>
      <c r="AH1241" s="3508"/>
      <c r="AI1241" s="3508"/>
    </row>
    <row r="1242" s="4" customFormat="1" ht="92" spans="1:35">
      <c r="A1242" s="3508"/>
      <c r="B1242" s="3640"/>
      <c r="C1242" s="3736"/>
      <c r="D1242" s="3505"/>
      <c r="E1242" s="1817"/>
      <c r="F1242" s="3808"/>
      <c r="G1242" s="3508"/>
      <c r="H1242" s="1817"/>
      <c r="I1242" s="3508"/>
      <c r="J1242" s="3808"/>
      <c r="K1242" s="3666"/>
      <c r="L1242" s="3508"/>
      <c r="M1242" s="3505">
        <v>2</v>
      </c>
      <c r="N1242" s="185" t="s">
        <v>4269</v>
      </c>
      <c r="O1242" s="3680">
        <v>0.2</v>
      </c>
      <c r="P1242" s="3814">
        <f>K1241*O1242</f>
        <v>52341.76</v>
      </c>
      <c r="Q1242" s="1949">
        <v>52341.76</v>
      </c>
      <c r="R1242" s="294" t="s">
        <v>4603</v>
      </c>
      <c r="S1242" s="1948">
        <v>45950</v>
      </c>
      <c r="T1242" s="37">
        <v>52341.76</v>
      </c>
      <c r="U1242" s="3607">
        <v>45950</v>
      </c>
      <c r="V1242" s="37">
        <v>52341.76</v>
      </c>
      <c r="W1242" s="3718">
        <v>45947</v>
      </c>
      <c r="X1242" s="37">
        <v>52341.76</v>
      </c>
      <c r="Y1242" s="3718">
        <v>45961</v>
      </c>
      <c r="Z1242" s="37"/>
      <c r="AA1242" s="294"/>
      <c r="AB1242" s="11"/>
      <c r="AC1242" s="11"/>
      <c r="AD1242" s="3681"/>
      <c r="AE1242" s="3681"/>
      <c r="AF1242" s="3681"/>
      <c r="AG1242" s="3681"/>
      <c r="AH1242" s="3508"/>
      <c r="AI1242" s="3508"/>
    </row>
    <row r="1243" s="4" customFormat="1" ht="107" spans="1:35">
      <c r="A1243" s="3508"/>
      <c r="B1243" s="3640"/>
      <c r="C1243" s="3736"/>
      <c r="D1243" s="3505"/>
      <c r="E1243" s="1817"/>
      <c r="F1243" s="3808"/>
      <c r="G1243" s="3508"/>
      <c r="H1243" s="1817"/>
      <c r="I1243" s="3508"/>
      <c r="J1243" s="3808"/>
      <c r="K1243" s="3666"/>
      <c r="L1243" s="3508"/>
      <c r="M1243" s="3505">
        <v>3</v>
      </c>
      <c r="N1243" s="185" t="s">
        <v>6202</v>
      </c>
      <c r="O1243" s="3680">
        <v>0.15</v>
      </c>
      <c r="P1243" s="3814">
        <f>K1241*O1243</f>
        <v>39256.32</v>
      </c>
      <c r="Q1243" s="1949">
        <v>39256.32</v>
      </c>
      <c r="R1243" s="294" t="s">
        <v>4603</v>
      </c>
      <c r="S1243" s="1948">
        <v>45950</v>
      </c>
      <c r="T1243" s="37">
        <v>39256.32</v>
      </c>
      <c r="U1243" s="3607">
        <v>45950</v>
      </c>
      <c r="V1243" s="37">
        <v>39256.32</v>
      </c>
      <c r="W1243" s="3718">
        <v>45947</v>
      </c>
      <c r="X1243" s="37">
        <v>39256.32</v>
      </c>
      <c r="Y1243" s="3718">
        <v>45961</v>
      </c>
      <c r="Z1243" s="37"/>
      <c r="AA1243" s="294"/>
      <c r="AB1243" s="11"/>
      <c r="AC1243" s="11"/>
      <c r="AD1243" s="3681"/>
      <c r="AE1243" s="3681"/>
      <c r="AF1243" s="3681"/>
      <c r="AG1243" s="3681"/>
      <c r="AH1243" s="3508"/>
      <c r="AI1243" s="3508"/>
    </row>
    <row r="1244" s="4" customFormat="1" ht="122" spans="1:35">
      <c r="A1244" s="3508"/>
      <c r="B1244" s="3640"/>
      <c r="C1244" s="3736"/>
      <c r="D1244" s="3505"/>
      <c r="E1244" s="1817"/>
      <c r="F1244" s="3808"/>
      <c r="G1244" s="3508"/>
      <c r="H1244" s="1817"/>
      <c r="I1244" s="3508"/>
      <c r="J1244" s="3808"/>
      <c r="K1244" s="3666"/>
      <c r="L1244" s="3508"/>
      <c r="M1244" s="3505">
        <v>4</v>
      </c>
      <c r="N1244" s="185" t="s">
        <v>4271</v>
      </c>
      <c r="O1244" s="3680">
        <v>0.3</v>
      </c>
      <c r="P1244" s="3814">
        <f>K1241</f>
        <v>261708.8</v>
      </c>
      <c r="Q1244" s="3824"/>
      <c r="R1244" s="294"/>
      <c r="S1244" s="1948"/>
      <c r="T1244" s="37"/>
      <c r="U1244" s="3607"/>
      <c r="V1244" s="37"/>
      <c r="W1244" s="3718"/>
      <c r="X1244" s="37"/>
      <c r="Y1244" s="3718"/>
      <c r="Z1244" s="37"/>
      <c r="AA1244" s="294"/>
      <c r="AB1244" s="11"/>
      <c r="AC1244" s="11"/>
      <c r="AD1244" s="3681"/>
      <c r="AE1244" s="3681"/>
      <c r="AF1244" s="3681"/>
      <c r="AG1244" s="3681"/>
      <c r="AH1244" s="3508"/>
      <c r="AI1244" s="3508"/>
    </row>
    <row r="1245" s="4" customFormat="1" ht="76" spans="1:35">
      <c r="A1245" s="3508"/>
      <c r="B1245" s="3640"/>
      <c r="C1245" s="3736"/>
      <c r="D1245" s="3505"/>
      <c r="E1245" s="1817"/>
      <c r="F1245" s="3808"/>
      <c r="G1245" s="3508"/>
      <c r="H1245" s="1817"/>
      <c r="I1245" s="3508"/>
      <c r="J1245" s="3808"/>
      <c r="K1245" s="3666"/>
      <c r="L1245" s="3508"/>
      <c r="M1245" s="3505">
        <v>5</v>
      </c>
      <c r="N1245" s="185" t="s">
        <v>4272</v>
      </c>
      <c r="O1245" s="3680">
        <v>0.05</v>
      </c>
      <c r="P1245" s="3814">
        <f>K1241*O1245</f>
        <v>13085.44</v>
      </c>
      <c r="Q1245" s="3824"/>
      <c r="R1245" s="294"/>
      <c r="S1245" s="1948"/>
      <c r="T1245" s="37"/>
      <c r="U1245" s="3607"/>
      <c r="V1245" s="37"/>
      <c r="W1245" s="3718"/>
      <c r="X1245" s="37"/>
      <c r="Y1245" s="3718"/>
      <c r="Z1245" s="37"/>
      <c r="AA1245" s="294"/>
      <c r="AB1245" s="11"/>
      <c r="AC1245" s="11"/>
      <c r="AD1245" s="3681"/>
      <c r="AE1245" s="3681"/>
      <c r="AF1245" s="3681"/>
      <c r="AG1245" s="3681"/>
      <c r="AH1245" s="3508"/>
      <c r="AI1245" s="3508"/>
    </row>
    <row r="1246" s="4" customFormat="1" ht="76" spans="1:35">
      <c r="A1246" s="3508"/>
      <c r="B1246" s="3640"/>
      <c r="C1246" s="3736"/>
      <c r="D1246" s="3505"/>
      <c r="E1246" s="1817"/>
      <c r="F1246" s="3808"/>
      <c r="G1246" s="3508"/>
      <c r="H1246" s="1817"/>
      <c r="I1246" s="3508"/>
      <c r="J1246" s="3808"/>
      <c r="K1246" s="3666"/>
      <c r="L1246" s="3508"/>
      <c r="M1246" s="3505">
        <v>6</v>
      </c>
      <c r="N1246" s="185" t="s">
        <v>4273</v>
      </c>
      <c r="O1246" s="3680">
        <v>0.05</v>
      </c>
      <c r="P1246" s="3814">
        <f>K1241*O1246</f>
        <v>13085.44</v>
      </c>
      <c r="Q1246" s="3824"/>
      <c r="R1246" s="294"/>
      <c r="S1246" s="1948"/>
      <c r="T1246" s="37"/>
      <c r="U1246" s="3607"/>
      <c r="V1246" s="37"/>
      <c r="W1246" s="3718"/>
      <c r="X1246" s="37"/>
      <c r="Y1246" s="3718"/>
      <c r="Z1246" s="37"/>
      <c r="AA1246" s="294"/>
      <c r="AB1246" s="11"/>
      <c r="AC1246" s="11"/>
      <c r="AD1246" s="3681"/>
      <c r="AE1246" s="3681"/>
      <c r="AF1246" s="3681"/>
      <c r="AG1246" s="3681"/>
      <c r="AH1246" s="3508"/>
      <c r="AI1246" s="3508"/>
    </row>
    <row r="1247" s="4" customFormat="1" ht="76" spans="1:35">
      <c r="A1247" s="3508"/>
      <c r="B1247" s="3640"/>
      <c r="C1247" s="3736"/>
      <c r="D1247" s="3505"/>
      <c r="E1247" s="1817"/>
      <c r="F1247" s="3808"/>
      <c r="G1247" s="3508"/>
      <c r="H1247" s="2161"/>
      <c r="I1247" s="3508"/>
      <c r="J1247" s="3808"/>
      <c r="K1247" s="3667"/>
      <c r="L1247" s="3681"/>
      <c r="M1247" s="3505">
        <v>7</v>
      </c>
      <c r="N1247" s="185" t="s">
        <v>4274</v>
      </c>
      <c r="O1247" s="3680">
        <v>0.1</v>
      </c>
      <c r="P1247" s="3814">
        <f>K1241*O1247</f>
        <v>26170.88</v>
      </c>
      <c r="Q1247" s="3824"/>
      <c r="R1247" s="294"/>
      <c r="S1247" s="1948"/>
      <c r="T1247" s="37"/>
      <c r="U1247" s="3607"/>
      <c r="V1247" s="37"/>
      <c r="W1247" s="3718"/>
      <c r="X1247" s="37"/>
      <c r="Y1247" s="3718"/>
      <c r="Z1247" s="37"/>
      <c r="AA1247" s="294"/>
      <c r="AB1247" s="11"/>
      <c r="AC1247" s="11"/>
      <c r="AD1247" s="3681"/>
      <c r="AE1247" s="3681"/>
      <c r="AF1247" s="3681"/>
      <c r="AG1247" s="3681"/>
      <c r="AH1247" s="3508"/>
      <c r="AI1247" s="3508"/>
    </row>
    <row r="1248" s="4" customFormat="1" ht="60.85" customHeight="1" spans="1:35">
      <c r="A1248" s="1768" t="s">
        <v>2570</v>
      </c>
      <c r="B1248" s="3638">
        <v>44648</v>
      </c>
      <c r="C1248" s="3801" t="s">
        <v>6168</v>
      </c>
      <c r="D1248" s="3505"/>
      <c r="E1248" s="2068" t="s">
        <v>6203</v>
      </c>
      <c r="F1248" s="2068" t="s">
        <v>6204</v>
      </c>
      <c r="G1248" s="1768" t="s">
        <v>4789</v>
      </c>
      <c r="H1248" s="1499" t="s">
        <v>6205</v>
      </c>
      <c r="I1248" s="3505"/>
      <c r="J1248" s="3505"/>
      <c r="K1248" s="3662">
        <v>320000</v>
      </c>
      <c r="L1248" s="294" t="s">
        <v>126</v>
      </c>
      <c r="M1248" s="3505">
        <v>1</v>
      </c>
      <c r="N1248" s="2618" t="s">
        <v>6206</v>
      </c>
      <c r="O1248" s="3680">
        <v>0.2</v>
      </c>
      <c r="P1248" s="3814">
        <v>64000</v>
      </c>
      <c r="Q1248" s="3814">
        <v>64000</v>
      </c>
      <c r="R1248" s="294" t="s">
        <v>4603</v>
      </c>
      <c r="S1248" s="2433">
        <v>44669</v>
      </c>
      <c r="T1248" s="3814">
        <v>64000</v>
      </c>
      <c r="U1248" s="3607">
        <v>44649</v>
      </c>
      <c r="V1248" s="3814">
        <v>64000</v>
      </c>
      <c r="W1248" s="3718">
        <v>44652</v>
      </c>
      <c r="X1248" s="3814">
        <v>64000</v>
      </c>
      <c r="Y1248" s="3844">
        <v>44708</v>
      </c>
      <c r="Z1248" s="37"/>
      <c r="AA1248" s="37"/>
      <c r="AB1248" s="11"/>
      <c r="AC1248" s="11"/>
      <c r="AD1248" s="3681"/>
      <c r="AE1248" s="3681"/>
      <c r="AF1248" s="3681"/>
      <c r="AG1248" s="3681"/>
      <c r="AH1248" s="3508"/>
      <c r="AI1248" s="3508"/>
    </row>
    <row r="1249" s="4" customFormat="1" ht="60.85" customHeight="1" spans="1:35">
      <c r="A1249" s="3508"/>
      <c r="B1249" s="3640"/>
      <c r="C1249" s="3736"/>
      <c r="D1249" s="3508"/>
      <c r="E1249" s="1817"/>
      <c r="F1249" s="3808"/>
      <c r="G1249" s="3508"/>
      <c r="H1249" s="1499"/>
      <c r="I1249" s="3508"/>
      <c r="J1249" s="3508"/>
      <c r="K1249" s="3662"/>
      <c r="L1249" s="37"/>
      <c r="M1249" s="3505">
        <v>2</v>
      </c>
      <c r="N1249" s="2618" t="s">
        <v>6207</v>
      </c>
      <c r="O1249" s="3680">
        <v>0.6</v>
      </c>
      <c r="P1249" s="3814">
        <v>192000</v>
      </c>
      <c r="Q1249" s="3814">
        <v>192000</v>
      </c>
      <c r="R1249" s="294" t="s">
        <v>4603</v>
      </c>
      <c r="S1249" s="2433">
        <v>44669</v>
      </c>
      <c r="T1249" s="3814">
        <v>192000</v>
      </c>
      <c r="U1249" s="3607">
        <v>44649</v>
      </c>
      <c r="V1249" s="3814">
        <v>192000</v>
      </c>
      <c r="W1249" s="3718">
        <v>44686</v>
      </c>
      <c r="X1249" s="3814">
        <v>192000</v>
      </c>
      <c r="Y1249" s="3844">
        <v>44708</v>
      </c>
      <c r="Z1249" s="37"/>
      <c r="AA1249" s="37"/>
      <c r="AB1249" s="11"/>
      <c r="AC1249" s="11"/>
      <c r="AD1249" s="3681"/>
      <c r="AE1249" s="3681"/>
      <c r="AF1249" s="3681"/>
      <c r="AG1249" s="3681"/>
      <c r="AH1249" s="3508"/>
      <c r="AI1249" s="3508"/>
    </row>
    <row r="1250" s="4" customFormat="1" ht="60.85" customHeight="1" spans="1:35">
      <c r="A1250" s="3681"/>
      <c r="B1250" s="3640"/>
      <c r="C1250" s="3737"/>
      <c r="D1250" s="3681"/>
      <c r="E1250" s="2161"/>
      <c r="F1250" s="3809"/>
      <c r="G1250" s="3681"/>
      <c r="H1250" s="1499"/>
      <c r="I1250" s="3681"/>
      <c r="J1250" s="3681"/>
      <c r="K1250" s="3662"/>
      <c r="L1250" s="37"/>
      <c r="M1250" s="3505">
        <v>3</v>
      </c>
      <c r="N1250" s="2618" t="s">
        <v>6208</v>
      </c>
      <c r="O1250" s="3680">
        <v>0.2</v>
      </c>
      <c r="P1250" s="3814">
        <v>64000</v>
      </c>
      <c r="Q1250" s="1949"/>
      <c r="R1250" s="37"/>
      <c r="S1250" s="37"/>
      <c r="T1250" s="37"/>
      <c r="U1250" s="37"/>
      <c r="V1250" s="37"/>
      <c r="W1250" s="11"/>
      <c r="X1250" s="11"/>
      <c r="Y1250" s="11"/>
      <c r="Z1250" s="37"/>
      <c r="AA1250" s="37"/>
      <c r="AB1250" s="11"/>
      <c r="AC1250" s="11"/>
      <c r="AD1250" s="3681"/>
      <c r="AE1250" s="3681"/>
      <c r="AF1250" s="3681"/>
      <c r="AG1250" s="3681"/>
      <c r="AH1250" s="3508"/>
      <c r="AI1250" s="3508"/>
    </row>
    <row r="1251" s="4" customFormat="1" ht="74.25" customHeight="1" spans="1:35">
      <c r="A1251" s="1768" t="s">
        <v>2570</v>
      </c>
      <c r="B1251" s="3638">
        <v>44680</v>
      </c>
      <c r="C1251" s="3801" t="s">
        <v>6168</v>
      </c>
      <c r="D1251" s="3505"/>
      <c r="E1251" s="2068" t="s">
        <v>6209</v>
      </c>
      <c r="F1251" s="2068" t="s">
        <v>6210</v>
      </c>
      <c r="G1251" s="1768" t="s">
        <v>4761</v>
      </c>
      <c r="H1251" s="2068" t="s">
        <v>6211</v>
      </c>
      <c r="I1251" s="3505"/>
      <c r="J1251" s="1768" t="s">
        <v>997</v>
      </c>
      <c r="K1251" s="3662">
        <v>600000</v>
      </c>
      <c r="L1251" s="294" t="s">
        <v>126</v>
      </c>
      <c r="M1251" s="3505">
        <v>1</v>
      </c>
      <c r="N1251" s="2618" t="s">
        <v>6212</v>
      </c>
      <c r="O1251" s="3680">
        <v>0.2</v>
      </c>
      <c r="P1251" s="3814">
        <v>120000</v>
      </c>
      <c r="Q1251" s="3814">
        <v>120000</v>
      </c>
      <c r="R1251" s="294" t="s">
        <v>4603</v>
      </c>
      <c r="S1251" s="2433">
        <v>44687</v>
      </c>
      <c r="T1251" s="3814">
        <v>120000</v>
      </c>
      <c r="U1251" s="3607">
        <v>44687</v>
      </c>
      <c r="V1251" s="3814">
        <v>120000</v>
      </c>
      <c r="W1251" s="3718">
        <v>44687</v>
      </c>
      <c r="X1251" s="3814">
        <v>120000</v>
      </c>
      <c r="Y1251" s="3844">
        <v>44708</v>
      </c>
      <c r="Z1251" s="37"/>
      <c r="AA1251" s="37"/>
      <c r="AB1251" s="11"/>
      <c r="AC1251" s="11"/>
      <c r="AD1251" s="3681"/>
      <c r="AE1251" s="3681"/>
      <c r="AF1251" s="3681"/>
      <c r="AG1251" s="3681"/>
      <c r="AH1251" s="3508"/>
      <c r="AI1251" s="3508"/>
    </row>
    <row r="1252" s="4" customFormat="1" ht="72" customHeight="1" spans="1:35">
      <c r="A1252" s="3508"/>
      <c r="B1252" s="3640"/>
      <c r="C1252" s="3736"/>
      <c r="D1252" s="3508"/>
      <c r="E1252" s="1817"/>
      <c r="F1252" s="3808"/>
      <c r="G1252" s="3508"/>
      <c r="H1252" s="1817"/>
      <c r="I1252" s="3508"/>
      <c r="J1252" s="3508"/>
      <c r="K1252" s="3662"/>
      <c r="L1252" s="37"/>
      <c r="M1252" s="3505">
        <v>2</v>
      </c>
      <c r="N1252" s="2618" t="s">
        <v>6213</v>
      </c>
      <c r="O1252" s="3680">
        <v>0.6</v>
      </c>
      <c r="P1252" s="3814">
        <v>360000</v>
      </c>
      <c r="Q1252" s="3814">
        <v>360000</v>
      </c>
      <c r="R1252" s="294" t="s">
        <v>4603</v>
      </c>
      <c r="S1252" s="2433">
        <v>44687</v>
      </c>
      <c r="T1252" s="3814">
        <v>360000</v>
      </c>
      <c r="U1252" s="3607">
        <v>44687</v>
      </c>
      <c r="V1252" s="3814">
        <v>360000</v>
      </c>
      <c r="W1252" s="3718">
        <v>44687</v>
      </c>
      <c r="X1252" s="3814">
        <v>360000</v>
      </c>
      <c r="Y1252" s="3844">
        <v>44708</v>
      </c>
      <c r="Z1252" s="37"/>
      <c r="AA1252" s="37"/>
      <c r="AB1252" s="11"/>
      <c r="AC1252" s="11"/>
      <c r="AD1252" s="3681"/>
      <c r="AE1252" s="3681"/>
      <c r="AF1252" s="3681"/>
      <c r="AG1252" s="3681"/>
      <c r="AH1252" s="3508"/>
      <c r="AI1252" s="3508"/>
    </row>
    <row r="1253" s="4" customFormat="1" ht="60.85" customHeight="1" spans="1:35">
      <c r="A1253" s="3681"/>
      <c r="B1253" s="3640"/>
      <c r="C1253" s="3737"/>
      <c r="D1253" s="3681"/>
      <c r="E1253" s="2161"/>
      <c r="F1253" s="3809"/>
      <c r="G1253" s="3681"/>
      <c r="H1253" s="2161"/>
      <c r="I1253" s="3681"/>
      <c r="J1253" s="3681"/>
      <c r="K1253" s="3662"/>
      <c r="L1253" s="37"/>
      <c r="M1253" s="3505">
        <v>3</v>
      </c>
      <c r="N1253" s="2618" t="s">
        <v>6208</v>
      </c>
      <c r="O1253" s="3680">
        <v>0.2</v>
      </c>
      <c r="P1253" s="3814">
        <v>120000</v>
      </c>
      <c r="Q1253" s="1949"/>
      <c r="R1253" s="37"/>
      <c r="S1253" s="37"/>
      <c r="T1253" s="37"/>
      <c r="U1253" s="37"/>
      <c r="V1253" s="37"/>
      <c r="W1253" s="11"/>
      <c r="X1253" s="11"/>
      <c r="Y1253" s="11"/>
      <c r="Z1253" s="37"/>
      <c r="AA1253" s="37"/>
      <c r="AB1253" s="11"/>
      <c r="AC1253" s="11"/>
      <c r="AD1253" s="3681"/>
      <c r="AE1253" s="3681"/>
      <c r="AF1253" s="3681"/>
      <c r="AG1253" s="3681"/>
      <c r="AH1253" s="3508"/>
      <c r="AI1253" s="3508"/>
    </row>
    <row r="1254" s="4" customFormat="1" ht="60.85" customHeight="1" spans="1:35">
      <c r="A1254" s="1768" t="s">
        <v>2570</v>
      </c>
      <c r="B1254" s="3638">
        <v>44652</v>
      </c>
      <c r="C1254" s="3801" t="s">
        <v>6168</v>
      </c>
      <c r="D1254" s="3505"/>
      <c r="E1254" s="2068" t="s">
        <v>6214</v>
      </c>
      <c r="F1254" s="2068" t="s">
        <v>6215</v>
      </c>
      <c r="G1254" s="1768" t="s">
        <v>193</v>
      </c>
      <c r="H1254" s="2068" t="s">
        <v>5837</v>
      </c>
      <c r="I1254" s="3505"/>
      <c r="J1254" s="3505"/>
      <c r="K1254" s="3662">
        <v>408000</v>
      </c>
      <c r="L1254" s="294" t="s">
        <v>32</v>
      </c>
      <c r="M1254" s="3505">
        <v>1</v>
      </c>
      <c r="N1254" s="2618" t="s">
        <v>6216</v>
      </c>
      <c r="O1254" s="3680">
        <v>0.2</v>
      </c>
      <c r="P1254" s="3814">
        <v>81600</v>
      </c>
      <c r="Q1254" s="3814">
        <v>81600</v>
      </c>
      <c r="R1254" s="294" t="s">
        <v>4603</v>
      </c>
      <c r="S1254" s="3607">
        <v>44665</v>
      </c>
      <c r="T1254" s="3814">
        <v>81600</v>
      </c>
      <c r="U1254" s="3607">
        <v>44678</v>
      </c>
      <c r="V1254" s="3814">
        <v>81600</v>
      </c>
      <c r="W1254" s="3607">
        <v>44678</v>
      </c>
      <c r="X1254" s="3814">
        <v>81600</v>
      </c>
      <c r="Y1254" s="3718">
        <v>44708</v>
      </c>
      <c r="Z1254" s="37"/>
      <c r="AA1254" s="37"/>
      <c r="AB1254" s="11"/>
      <c r="AC1254" s="11"/>
      <c r="AD1254" s="3681"/>
      <c r="AE1254" s="3681"/>
      <c r="AF1254" s="3681"/>
      <c r="AG1254" s="3681"/>
      <c r="AH1254" s="3508"/>
      <c r="AI1254" s="3508"/>
    </row>
    <row r="1255" s="4" customFormat="1" ht="60.85" customHeight="1" spans="1:35">
      <c r="A1255" s="3508"/>
      <c r="B1255" s="3640"/>
      <c r="C1255" s="3736"/>
      <c r="D1255" s="3508"/>
      <c r="E1255" s="1817"/>
      <c r="F1255" s="3808"/>
      <c r="G1255" s="3508"/>
      <c r="H1255" s="1817"/>
      <c r="I1255" s="3508"/>
      <c r="J1255" s="3508"/>
      <c r="K1255" s="3662"/>
      <c r="L1255" s="37"/>
      <c r="M1255" s="3505">
        <v>2</v>
      </c>
      <c r="N1255" s="2618" t="s">
        <v>6217</v>
      </c>
      <c r="O1255" s="3680">
        <v>0.6</v>
      </c>
      <c r="P1255" s="3814">
        <v>244800</v>
      </c>
      <c r="Q1255" s="3814">
        <v>244800</v>
      </c>
      <c r="R1255" s="294" t="s">
        <v>4603</v>
      </c>
      <c r="S1255" s="2433">
        <v>44771</v>
      </c>
      <c r="T1255" s="3814">
        <v>244800</v>
      </c>
      <c r="U1255" s="294" t="s">
        <v>6218</v>
      </c>
      <c r="V1255" s="3814">
        <v>244800</v>
      </c>
      <c r="W1255" s="3718">
        <v>44774</v>
      </c>
      <c r="X1255" s="3814">
        <v>244800</v>
      </c>
      <c r="Y1255" s="3718">
        <v>44784</v>
      </c>
      <c r="Z1255" s="37"/>
      <c r="AA1255" s="37"/>
      <c r="AB1255" s="11"/>
      <c r="AC1255" s="11"/>
      <c r="AD1255" s="3681"/>
      <c r="AE1255" s="3681"/>
      <c r="AF1255" s="3681"/>
      <c r="AG1255" s="3681"/>
      <c r="AH1255" s="3508"/>
      <c r="AI1255" s="3508"/>
    </row>
    <row r="1256" s="4" customFormat="1" ht="52.5" customHeight="1" spans="1:35">
      <c r="A1256" s="3508"/>
      <c r="B1256" s="3640"/>
      <c r="C1256" s="3736"/>
      <c r="D1256" s="3508"/>
      <c r="E1256" s="1817"/>
      <c r="F1256" s="3808"/>
      <c r="G1256" s="3508"/>
      <c r="H1256" s="1817"/>
      <c r="I1256" s="3508"/>
      <c r="J1256" s="3508"/>
      <c r="K1256" s="3744"/>
      <c r="L1256" s="3505"/>
      <c r="M1256" s="3505">
        <v>3</v>
      </c>
      <c r="N1256" s="2618" t="s">
        <v>746</v>
      </c>
      <c r="O1256" s="3680">
        <v>0.2</v>
      </c>
      <c r="P1256" s="3814">
        <v>81600</v>
      </c>
      <c r="Q1256" s="3827"/>
      <c r="R1256" s="3605"/>
      <c r="S1256" s="3724"/>
      <c r="T1256" s="37"/>
      <c r="U1256" s="37"/>
      <c r="V1256" s="37"/>
      <c r="W1256" s="11"/>
      <c r="X1256" s="3827">
        <f>81600/2</f>
        <v>40800</v>
      </c>
      <c r="Y1256" s="3724"/>
      <c r="Z1256" s="37"/>
      <c r="AA1256" s="37"/>
      <c r="AB1256" s="11"/>
      <c r="AC1256" s="11"/>
      <c r="AD1256" s="3681"/>
      <c r="AE1256" s="3681"/>
      <c r="AF1256" s="3681"/>
      <c r="AG1256" s="3681"/>
      <c r="AH1256" s="3508"/>
      <c r="AI1256" s="3508"/>
    </row>
    <row r="1257" s="4" customFormat="1" ht="107" spans="1:35">
      <c r="A1257" s="1768" t="s">
        <v>2570</v>
      </c>
      <c r="B1257" s="3638">
        <v>45819</v>
      </c>
      <c r="C1257" s="3735" t="s">
        <v>6168</v>
      </c>
      <c r="D1257" s="37"/>
      <c r="E1257" s="2068" t="s">
        <v>6219</v>
      </c>
      <c r="F1257" s="2068" t="s">
        <v>6220</v>
      </c>
      <c r="G1257" s="1768" t="s">
        <v>193</v>
      </c>
      <c r="H1257" s="2068" t="s">
        <v>6221</v>
      </c>
      <c r="I1257" s="1768" t="s">
        <v>6222</v>
      </c>
      <c r="J1257" s="2068" t="s">
        <v>5365</v>
      </c>
      <c r="K1257" s="3744">
        <v>59658.4</v>
      </c>
      <c r="L1257" s="1768" t="s">
        <v>32</v>
      </c>
      <c r="M1257" s="1499">
        <v>1</v>
      </c>
      <c r="N1257" s="172" t="s">
        <v>6223</v>
      </c>
      <c r="O1257" s="3762">
        <v>0.4</v>
      </c>
      <c r="P1257" s="3815">
        <f>59658.4*O1257</f>
        <v>23863.36</v>
      </c>
      <c r="Q1257" s="3827"/>
      <c r="R1257" s="3605"/>
      <c r="S1257" s="3724"/>
      <c r="T1257" s="37"/>
      <c r="U1257" s="37"/>
      <c r="V1257" s="37"/>
      <c r="W1257" s="11"/>
      <c r="X1257" s="3827"/>
      <c r="Y1257" s="3724"/>
      <c r="Z1257" s="37"/>
      <c r="AA1257" s="37"/>
      <c r="AB1257" s="11"/>
      <c r="AC1257" s="11"/>
      <c r="AD1257" s="3681"/>
      <c r="AE1257" s="3681"/>
      <c r="AF1257" s="3681"/>
      <c r="AG1257" s="3681"/>
      <c r="AH1257" s="3508"/>
      <c r="AI1257" s="3508"/>
    </row>
    <row r="1258" s="4" customFormat="1" ht="122" spans="1:35">
      <c r="A1258" s="1771"/>
      <c r="B1258" s="3640"/>
      <c r="C1258" s="1770"/>
      <c r="D1258" s="37"/>
      <c r="E1258" s="1817"/>
      <c r="F1258" s="1817"/>
      <c r="G1258" s="1771"/>
      <c r="H1258" s="1817"/>
      <c r="I1258" s="1771"/>
      <c r="J1258" s="1817"/>
      <c r="K1258" s="3666"/>
      <c r="L1258" s="1771"/>
      <c r="M1258" s="37">
        <v>2</v>
      </c>
      <c r="N1258" s="172" t="s">
        <v>6224</v>
      </c>
      <c r="O1258" s="3762">
        <v>0.55</v>
      </c>
      <c r="P1258" s="3815">
        <f>59658.4*O1258</f>
        <v>32812.12</v>
      </c>
      <c r="Q1258" s="3827"/>
      <c r="R1258" s="3605"/>
      <c r="S1258" s="3724"/>
      <c r="T1258" s="37"/>
      <c r="U1258" s="37"/>
      <c r="V1258" s="37"/>
      <c r="W1258" s="11"/>
      <c r="X1258" s="3827"/>
      <c r="Y1258" s="3724"/>
      <c r="Z1258" s="37"/>
      <c r="AA1258" s="37"/>
      <c r="AB1258" s="11"/>
      <c r="AC1258" s="11"/>
      <c r="AD1258" s="3681"/>
      <c r="AE1258" s="3681"/>
      <c r="AF1258" s="3681"/>
      <c r="AG1258" s="3681"/>
      <c r="AH1258" s="3508"/>
      <c r="AI1258" s="3508"/>
    </row>
    <row r="1259" s="4" customFormat="1" ht="92" spans="1:35">
      <c r="A1259" s="1772"/>
      <c r="B1259" s="3642"/>
      <c r="C1259" s="3802"/>
      <c r="D1259" s="37"/>
      <c r="E1259" s="2161"/>
      <c r="F1259" s="2161"/>
      <c r="G1259" s="1772"/>
      <c r="H1259" s="2161"/>
      <c r="I1259" s="1772"/>
      <c r="J1259" s="2161"/>
      <c r="K1259" s="3667"/>
      <c r="L1259" s="1772"/>
      <c r="M1259" s="294">
        <v>3</v>
      </c>
      <c r="N1259" s="172" t="s">
        <v>6225</v>
      </c>
      <c r="O1259" s="3762">
        <v>0.05</v>
      </c>
      <c r="P1259" s="3815">
        <f>59658.4*O1259</f>
        <v>2982.92</v>
      </c>
      <c r="Q1259" s="3827"/>
      <c r="R1259" s="3605"/>
      <c r="S1259" s="3724"/>
      <c r="T1259" s="37"/>
      <c r="U1259" s="37"/>
      <c r="V1259" s="37"/>
      <c r="W1259" s="11"/>
      <c r="X1259" s="3827"/>
      <c r="Y1259" s="3724"/>
      <c r="Z1259" s="37"/>
      <c r="AA1259" s="37"/>
      <c r="AB1259" s="11"/>
      <c r="AC1259" s="11"/>
      <c r="AD1259" s="3681"/>
      <c r="AE1259" s="3681"/>
      <c r="AF1259" s="3681"/>
      <c r="AG1259" s="3681"/>
      <c r="AH1259" s="3508"/>
      <c r="AI1259" s="3508"/>
    </row>
    <row r="1260" s="4" customFormat="1" ht="107" spans="1:35">
      <c r="A1260" s="1771" t="s">
        <v>2570</v>
      </c>
      <c r="B1260" s="3640">
        <v>45236</v>
      </c>
      <c r="C1260" s="1770" t="s">
        <v>6168</v>
      </c>
      <c r="D1260" s="3508"/>
      <c r="E1260" s="1817" t="s">
        <v>6226</v>
      </c>
      <c r="F1260" s="1817" t="s">
        <v>6227</v>
      </c>
      <c r="G1260" s="1771" t="s">
        <v>193</v>
      </c>
      <c r="H1260" s="1817" t="s">
        <v>5586</v>
      </c>
      <c r="I1260" s="3508"/>
      <c r="J1260" s="3508"/>
      <c r="K1260" s="3666">
        <v>102056.8</v>
      </c>
      <c r="L1260" s="1771" t="s">
        <v>32</v>
      </c>
      <c r="M1260" s="3508">
        <v>1</v>
      </c>
      <c r="N1260" s="172" t="s">
        <v>5588</v>
      </c>
      <c r="O1260" s="3564">
        <v>0.4</v>
      </c>
      <c r="P1260" s="3815">
        <f>102056.8*O1260</f>
        <v>40822.72</v>
      </c>
      <c r="Q1260" s="3587">
        <v>40822.72</v>
      </c>
      <c r="R1260" s="294" t="s">
        <v>4603</v>
      </c>
      <c r="S1260" s="1948">
        <v>45282</v>
      </c>
      <c r="T1260" s="3587">
        <v>40822.72</v>
      </c>
      <c r="U1260" s="1948">
        <v>45282</v>
      </c>
      <c r="V1260" s="3587">
        <v>40822.72</v>
      </c>
      <c r="W1260" s="1948">
        <v>44934</v>
      </c>
      <c r="X1260" s="3814">
        <v>40822.72</v>
      </c>
      <c r="Y1260" s="1948">
        <v>44945</v>
      </c>
      <c r="Z1260" s="3724"/>
      <c r="AA1260" s="37"/>
      <c r="AB1260" s="11"/>
      <c r="AC1260" s="11"/>
      <c r="AD1260" s="3681"/>
      <c r="AE1260" s="3681"/>
      <c r="AF1260" s="3681"/>
      <c r="AG1260" s="3681"/>
      <c r="AH1260" s="3508"/>
      <c r="AI1260" s="3508"/>
    </row>
    <row r="1261" s="4" customFormat="1" ht="137" spans="1:35">
      <c r="A1261" s="3508"/>
      <c r="B1261" s="3640"/>
      <c r="C1261" s="3736"/>
      <c r="D1261" s="3508"/>
      <c r="E1261" s="1817"/>
      <c r="F1261" s="3808"/>
      <c r="G1261" s="3508"/>
      <c r="H1261" s="1817"/>
      <c r="I1261" s="3508"/>
      <c r="J1261" s="3508"/>
      <c r="K1261" s="3666"/>
      <c r="L1261" s="3508"/>
      <c r="M1261" s="1768">
        <v>2</v>
      </c>
      <c r="N1261" s="172" t="s">
        <v>6228</v>
      </c>
      <c r="O1261" s="3762">
        <v>0.55</v>
      </c>
      <c r="P1261" s="3815">
        <f>102056.8*O1261</f>
        <v>56131.24</v>
      </c>
      <c r="Q1261" s="3828">
        <v>56131.24</v>
      </c>
      <c r="R1261" s="3605" t="s">
        <v>5015</v>
      </c>
      <c r="S1261" s="3724">
        <v>46052</v>
      </c>
      <c r="T1261" s="37"/>
      <c r="U1261" s="37"/>
      <c r="V1261" s="37"/>
      <c r="W1261" s="11"/>
      <c r="X1261" s="3828">
        <v>56131.24</v>
      </c>
      <c r="Y1261" s="3724">
        <v>46052</v>
      </c>
      <c r="Z1261" s="3724"/>
      <c r="AA1261" s="37"/>
      <c r="AB1261" s="11"/>
      <c r="AC1261" s="11"/>
      <c r="AD1261" s="3681"/>
      <c r="AE1261" s="3681"/>
      <c r="AF1261" s="3681"/>
      <c r="AG1261" s="3681"/>
      <c r="AH1261" s="3508"/>
      <c r="AI1261" s="3508"/>
    </row>
    <row r="1262" s="4" customFormat="1" ht="107" spans="1:35">
      <c r="A1262" s="3681"/>
      <c r="B1262" s="3642"/>
      <c r="C1262" s="3737"/>
      <c r="D1262" s="3681"/>
      <c r="E1262" s="2161"/>
      <c r="F1262" s="3809"/>
      <c r="G1262" s="3681"/>
      <c r="H1262" s="2161"/>
      <c r="I1262" s="3681"/>
      <c r="J1262" s="3681"/>
      <c r="K1262" s="3667"/>
      <c r="L1262" s="3681"/>
      <c r="M1262" s="3505">
        <v>3</v>
      </c>
      <c r="N1262" s="172" t="s">
        <v>6229</v>
      </c>
      <c r="O1262" s="3762">
        <v>0.05</v>
      </c>
      <c r="P1262" s="3815">
        <f>102056.8*O1262</f>
        <v>5102.84</v>
      </c>
      <c r="Q1262" s="3827"/>
      <c r="R1262" s="3605"/>
      <c r="S1262" s="3724"/>
      <c r="T1262" s="37"/>
      <c r="U1262" s="37"/>
      <c r="V1262" s="37"/>
      <c r="W1262" s="11"/>
      <c r="X1262" s="3827"/>
      <c r="Y1262" s="3724"/>
      <c r="Z1262" s="37"/>
      <c r="AA1262" s="37"/>
      <c r="AB1262" s="11"/>
      <c r="AC1262" s="11"/>
      <c r="AD1262" s="3681"/>
      <c r="AE1262" s="3681"/>
      <c r="AF1262" s="3681"/>
      <c r="AG1262" s="3681"/>
      <c r="AH1262" s="3508"/>
      <c r="AI1262" s="3508"/>
    </row>
    <row r="1263" s="29" customFormat="1" ht="31" spans="1:35">
      <c r="A1263" s="128" t="s">
        <v>111</v>
      </c>
      <c r="B1263" s="3803">
        <v>45421</v>
      </c>
      <c r="C1263" s="649" t="s">
        <v>1763</v>
      </c>
      <c r="D1263" s="3804"/>
      <c r="E1263" s="647" t="s">
        <v>6230</v>
      </c>
      <c r="F1263" s="127" t="s">
        <v>6231</v>
      </c>
      <c r="G1263" s="647" t="s">
        <v>6232</v>
      </c>
      <c r="H1263" s="647" t="s">
        <v>4638</v>
      </c>
      <c r="I1263" s="3745">
        <v>392617.45</v>
      </c>
      <c r="J1263" s="3811">
        <f>K1263/I1263</f>
        <v>5.85463516713279</v>
      </c>
      <c r="K1263" s="3812">
        <v>2298631.93</v>
      </c>
      <c r="L1263" s="128" t="s">
        <v>26</v>
      </c>
      <c r="M1263" s="3745">
        <v>1</v>
      </c>
      <c r="N1263" s="647" t="s">
        <v>3320</v>
      </c>
      <c r="O1263" s="3816">
        <v>0.2</v>
      </c>
      <c r="P1263" s="3817">
        <f>K1263*O1263</f>
        <v>459726.386</v>
      </c>
      <c r="Q1263" s="3576">
        <v>228902.87</v>
      </c>
      <c r="R1263" s="128" t="s">
        <v>4603</v>
      </c>
      <c r="S1263" s="3615">
        <v>45510</v>
      </c>
      <c r="T1263" s="3576">
        <v>228902.87</v>
      </c>
      <c r="U1263" s="3615">
        <v>45510</v>
      </c>
      <c r="V1263" s="3836">
        <v>204036.71</v>
      </c>
      <c r="W1263" s="3837">
        <v>45664</v>
      </c>
      <c r="X1263" s="3836">
        <v>204036.71</v>
      </c>
      <c r="Y1263" s="3837">
        <v>45682</v>
      </c>
      <c r="Z1263" s="3845"/>
      <c r="AA1263" s="127" t="s">
        <v>6233</v>
      </c>
      <c r="AB1263" s="3846"/>
      <c r="AC1263" s="3846"/>
      <c r="AD1263" s="3846"/>
      <c r="AE1263" s="3846"/>
      <c r="AF1263" s="3846"/>
      <c r="AG1263" s="3846"/>
      <c r="AH1263" s="3850" t="s">
        <v>197</v>
      </c>
      <c r="AI1263" s="3850" t="s">
        <v>154</v>
      </c>
    </row>
    <row r="1264" s="29" customFormat="1" ht="24" customHeight="1" spans="1:35">
      <c r="A1264" s="128"/>
      <c r="B1264" s="3805"/>
      <c r="C1264" s="653"/>
      <c r="D1264" s="3806"/>
      <c r="E1264" s="651"/>
      <c r="F1264" s="127"/>
      <c r="G1264" s="651"/>
      <c r="H1264" s="651"/>
      <c r="I1264" s="3747"/>
      <c r="J1264" s="3813"/>
      <c r="K1264" s="2676"/>
      <c r="L1264" s="128"/>
      <c r="M1264" s="3747"/>
      <c r="N1264" s="651"/>
      <c r="O1264" s="3818"/>
      <c r="P1264" s="3819"/>
      <c r="Q1264" s="3811">
        <v>230823.52</v>
      </c>
      <c r="R1264" s="149" t="s">
        <v>4603</v>
      </c>
      <c r="S1264" s="3803">
        <v>45651</v>
      </c>
      <c r="T1264" s="3811">
        <v>230823.52</v>
      </c>
      <c r="U1264" s="3803">
        <v>45651</v>
      </c>
      <c r="V1264" s="3836">
        <v>160000</v>
      </c>
      <c r="W1264" s="3837">
        <v>45874</v>
      </c>
      <c r="X1264" s="3836">
        <v>160000</v>
      </c>
      <c r="Y1264" s="3837">
        <v>45884</v>
      </c>
      <c r="Z1264" s="3845"/>
      <c r="AA1264" s="647" t="s">
        <v>6234</v>
      </c>
      <c r="AB1264" s="3846"/>
      <c r="AC1264" s="3846"/>
      <c r="AD1264" s="3846"/>
      <c r="AE1264" s="3846"/>
      <c r="AF1264" s="3846"/>
      <c r="AG1264" s="3846"/>
      <c r="AH1264" s="3851"/>
      <c r="AI1264" s="3851"/>
    </row>
    <row r="1265" s="29" customFormat="1" ht="27.75" customHeight="1" spans="1:35">
      <c r="A1265" s="3576"/>
      <c r="B1265" s="3805"/>
      <c r="C1265" s="3807"/>
      <c r="D1265" s="3806"/>
      <c r="E1265" s="3806"/>
      <c r="F1265" s="3810"/>
      <c r="G1265" s="3806"/>
      <c r="H1265" s="3806"/>
      <c r="I1265" s="3747"/>
      <c r="J1265" s="3813"/>
      <c r="K1265" s="2676"/>
      <c r="L1265" s="3576"/>
      <c r="M1265" s="3747"/>
      <c r="N1265" s="651"/>
      <c r="O1265" s="3818"/>
      <c r="P1265" s="3819"/>
      <c r="Q1265" s="3829"/>
      <c r="R1265" s="152"/>
      <c r="S1265" s="3830"/>
      <c r="T1265" s="3829"/>
      <c r="U1265" s="3830"/>
      <c r="V1265" s="3838">
        <f>179273.32-V1264</f>
        <v>19273.32</v>
      </c>
      <c r="W1265" s="3837">
        <v>45911</v>
      </c>
      <c r="X1265" s="3838">
        <f>179273.32-X1264</f>
        <v>19273.32</v>
      </c>
      <c r="Y1265" s="3837">
        <v>45926</v>
      </c>
      <c r="Z1265" s="3709"/>
      <c r="AA1265" s="1067"/>
      <c r="AB1265" s="3846"/>
      <c r="AC1265" s="3846"/>
      <c r="AD1265" s="3846"/>
      <c r="AE1265" s="3846"/>
      <c r="AF1265" s="3846"/>
      <c r="AG1265" s="3846"/>
      <c r="AH1265" s="3851"/>
      <c r="AI1265" s="3851"/>
    </row>
    <row r="1266" s="29" customFormat="1" ht="27.75" customHeight="1" spans="1:35">
      <c r="A1266" s="3576"/>
      <c r="B1266" s="3805"/>
      <c r="C1266" s="3807"/>
      <c r="D1266" s="3806"/>
      <c r="E1266" s="3806"/>
      <c r="F1266" s="3810"/>
      <c r="G1266" s="3806"/>
      <c r="H1266" s="3806"/>
      <c r="I1266" s="3747"/>
      <c r="J1266" s="3813"/>
      <c r="K1266" s="2676"/>
      <c r="L1266" s="3576"/>
      <c r="M1266" s="3747"/>
      <c r="N1266" s="651"/>
      <c r="O1266" s="3818"/>
      <c r="P1266" s="3819"/>
      <c r="Q1266" s="2676"/>
      <c r="R1266" s="128"/>
      <c r="S1266" s="3615"/>
      <c r="T1266" s="2676"/>
      <c r="U1266" s="3615"/>
      <c r="V1266" s="3838"/>
      <c r="W1266" s="3615"/>
      <c r="X1266" s="3838"/>
      <c r="Y1266" s="3576"/>
      <c r="Z1266" s="3709"/>
      <c r="AA1266" s="127" t="s">
        <v>6235</v>
      </c>
      <c r="AB1266" s="3846"/>
      <c r="AC1266" s="3846"/>
      <c r="AD1266" s="3846"/>
      <c r="AE1266" s="3846"/>
      <c r="AF1266" s="3846"/>
      <c r="AG1266" s="3846"/>
      <c r="AH1266" s="3851"/>
      <c r="AI1266" s="3851"/>
    </row>
    <row r="1267" s="29" customFormat="1" ht="27.75" customHeight="1" spans="1:35">
      <c r="A1267" s="3576"/>
      <c r="B1267" s="3805"/>
      <c r="C1267" s="3807"/>
      <c r="D1267" s="3806"/>
      <c r="E1267" s="3806"/>
      <c r="F1267" s="3810"/>
      <c r="G1267" s="3806"/>
      <c r="H1267" s="3806"/>
      <c r="I1267" s="3747"/>
      <c r="J1267" s="3813"/>
      <c r="K1267" s="3812"/>
      <c r="L1267" s="3576"/>
      <c r="M1267" s="3747"/>
      <c r="N1267" s="651"/>
      <c r="O1267" s="3818"/>
      <c r="P1267" s="3819"/>
      <c r="Q1267" s="2676"/>
      <c r="R1267" s="128"/>
      <c r="S1267" s="3615"/>
      <c r="T1267" s="2676"/>
      <c r="U1267" s="3615"/>
      <c r="V1267" s="3838"/>
      <c r="W1267" s="3615"/>
      <c r="X1267" s="3838"/>
      <c r="Y1267" s="3576"/>
      <c r="Z1267" s="3709"/>
      <c r="AA1267" s="127" t="s">
        <v>6236</v>
      </c>
      <c r="AB1267" s="3846"/>
      <c r="AC1267" s="3846"/>
      <c r="AD1267" s="3846"/>
      <c r="AE1267" s="3846"/>
      <c r="AF1267" s="3846"/>
      <c r="AG1267" s="3846"/>
      <c r="AH1267" s="3851"/>
      <c r="AI1267" s="3851"/>
    </row>
    <row r="1268" s="29" customFormat="1" ht="27.75" customHeight="1" spans="1:35">
      <c r="A1268" s="3576"/>
      <c r="B1268" s="3805"/>
      <c r="C1268" s="3807"/>
      <c r="D1268" s="3806"/>
      <c r="E1268" s="3806"/>
      <c r="F1268" s="3810"/>
      <c r="G1268" s="3806"/>
      <c r="H1268" s="3806"/>
      <c r="I1268" s="3747"/>
      <c r="J1268" s="3813"/>
      <c r="K1268" s="3812"/>
      <c r="L1268" s="3576"/>
      <c r="M1268" s="3745">
        <v>2</v>
      </c>
      <c r="N1268" s="172" t="s">
        <v>3321</v>
      </c>
      <c r="O1268" s="3816">
        <v>0.3</v>
      </c>
      <c r="P1268" s="3817">
        <f>K1263*O1268</f>
        <v>689589.579</v>
      </c>
      <c r="Q1268" s="3576">
        <v>343354.31</v>
      </c>
      <c r="R1268" s="128" t="s">
        <v>4603</v>
      </c>
      <c r="S1268" s="3615">
        <v>45510</v>
      </c>
      <c r="T1268" s="3576">
        <v>343354.31</v>
      </c>
      <c r="U1268" s="3615">
        <v>45510</v>
      </c>
      <c r="V1268" s="3838">
        <v>306055.07</v>
      </c>
      <c r="W1268" s="3837">
        <v>45664</v>
      </c>
      <c r="X1268" s="3838">
        <v>306055.07</v>
      </c>
      <c r="Y1268" s="3837">
        <v>45682</v>
      </c>
      <c r="Z1268" s="3709"/>
      <c r="AA1268" s="280"/>
      <c r="AB1268" s="3846"/>
      <c r="AC1268" s="3846"/>
      <c r="AD1268" s="3846"/>
      <c r="AE1268" s="3846"/>
      <c r="AF1268" s="3846"/>
      <c r="AG1268" s="3846"/>
      <c r="AH1268" s="3851"/>
      <c r="AI1268" s="3851"/>
    </row>
    <row r="1269" s="29" customFormat="1" ht="25.5" customHeight="1" spans="1:35">
      <c r="A1269" s="3576"/>
      <c r="B1269" s="3805"/>
      <c r="C1269" s="3807"/>
      <c r="D1269" s="3806"/>
      <c r="E1269" s="3806"/>
      <c r="F1269" s="3810"/>
      <c r="G1269" s="3806"/>
      <c r="H1269" s="3806"/>
      <c r="I1269" s="3747"/>
      <c r="J1269" s="3813"/>
      <c r="K1269" s="2676"/>
      <c r="L1269" s="3576"/>
      <c r="M1269" s="3747"/>
      <c r="N1269" s="176"/>
      <c r="O1269" s="3818"/>
      <c r="P1269" s="3819"/>
      <c r="Q1269" s="2676">
        <v>346235.27</v>
      </c>
      <c r="R1269" s="128" t="s">
        <v>4603</v>
      </c>
      <c r="S1269" s="3615">
        <v>45651</v>
      </c>
      <c r="T1269" s="2676">
        <v>346235.27</v>
      </c>
      <c r="U1269" s="3615">
        <v>45651</v>
      </c>
      <c r="V1269" s="3839">
        <v>268909.97</v>
      </c>
      <c r="W1269" s="3616"/>
      <c r="X1269" s="3839">
        <v>268909.97</v>
      </c>
      <c r="Y1269" s="3616">
        <v>46016</v>
      </c>
      <c r="Z1269" s="3709"/>
      <c r="AA1269" s="280"/>
      <c r="AB1269" s="3846"/>
      <c r="AC1269" s="3846"/>
      <c r="AD1269" s="3846"/>
      <c r="AE1269" s="3846"/>
      <c r="AF1269" s="3846"/>
      <c r="AG1269" s="3846"/>
      <c r="AH1269" s="3851"/>
      <c r="AI1269" s="3851"/>
    </row>
    <row r="1270" s="29" customFormat="1" ht="25.5" customHeight="1" spans="1:35">
      <c r="A1270" s="3576"/>
      <c r="B1270" s="3805"/>
      <c r="C1270" s="3807"/>
      <c r="D1270" s="3806"/>
      <c r="E1270" s="3806"/>
      <c r="F1270" s="3810"/>
      <c r="G1270" s="3806"/>
      <c r="H1270" s="3806"/>
      <c r="I1270" s="3747"/>
      <c r="J1270" s="3813"/>
      <c r="K1270" s="2676"/>
      <c r="L1270" s="3576"/>
      <c r="M1270" s="3747"/>
      <c r="N1270" s="176"/>
      <c r="O1270" s="3818"/>
      <c r="P1270" s="3819"/>
      <c r="Q1270" s="2676"/>
      <c r="R1270" s="128"/>
      <c r="S1270" s="3615"/>
      <c r="T1270" s="2676"/>
      <c r="U1270" s="3615"/>
      <c r="W1270" s="3615"/>
      <c r="X1270" s="3838"/>
      <c r="Y1270" s="3576"/>
      <c r="Z1270" s="3709"/>
      <c r="AA1270" s="280"/>
      <c r="AB1270" s="3846"/>
      <c r="AC1270" s="3846"/>
      <c r="AD1270" s="3846"/>
      <c r="AE1270" s="3846"/>
      <c r="AF1270" s="3846"/>
      <c r="AG1270" s="3846"/>
      <c r="AH1270" s="3851"/>
      <c r="AI1270" s="3851"/>
    </row>
    <row r="1271" s="29" customFormat="1" ht="25.5" customHeight="1" spans="1:35">
      <c r="A1271" s="3576"/>
      <c r="B1271" s="3805"/>
      <c r="C1271" s="3807"/>
      <c r="D1271" s="3806"/>
      <c r="E1271" s="3806"/>
      <c r="F1271" s="3810"/>
      <c r="G1271" s="3806"/>
      <c r="H1271" s="3806"/>
      <c r="I1271" s="3747"/>
      <c r="J1271" s="3813"/>
      <c r="K1271" s="3812"/>
      <c r="L1271" s="3576"/>
      <c r="M1271" s="3577"/>
      <c r="N1271" s="179"/>
      <c r="O1271" s="3820"/>
      <c r="P1271" s="3821"/>
      <c r="Q1271" s="2676"/>
      <c r="R1271" s="128"/>
      <c r="S1271" s="3615"/>
      <c r="T1271" s="2676"/>
      <c r="U1271" s="3615"/>
      <c r="V1271" s="3838"/>
      <c r="W1271" s="3615"/>
      <c r="X1271" s="3838"/>
      <c r="Y1271" s="3576"/>
      <c r="Z1271" s="3709"/>
      <c r="AA1271" s="280"/>
      <c r="AB1271" s="3846"/>
      <c r="AC1271" s="3846"/>
      <c r="AD1271" s="3846"/>
      <c r="AE1271" s="3846"/>
      <c r="AF1271" s="3846"/>
      <c r="AG1271" s="3846"/>
      <c r="AH1271" s="3851"/>
      <c r="AI1271" s="3851"/>
    </row>
    <row r="1272" s="29" customFormat="1" ht="20.25" customHeight="1" spans="1:35">
      <c r="A1272" s="3576"/>
      <c r="B1272" s="3805"/>
      <c r="C1272" s="3807"/>
      <c r="D1272" s="3806"/>
      <c r="E1272" s="3806"/>
      <c r="F1272" s="3810"/>
      <c r="G1272" s="3806"/>
      <c r="H1272" s="3806"/>
      <c r="I1272" s="3747"/>
      <c r="J1272" s="3813"/>
      <c r="K1272" s="3812"/>
      <c r="L1272" s="3576"/>
      <c r="M1272" s="3745">
        <v>3</v>
      </c>
      <c r="N1272" s="647" t="s">
        <v>3322</v>
      </c>
      <c r="O1272" s="3816">
        <v>0.2</v>
      </c>
      <c r="P1272" s="3817">
        <f>K1263*O1272</f>
        <v>459726.386</v>
      </c>
      <c r="Q1272" s="3576">
        <v>228902.87</v>
      </c>
      <c r="R1272" s="128" t="s">
        <v>4603</v>
      </c>
      <c r="S1272" s="3615">
        <v>45510</v>
      </c>
      <c r="T1272" s="3576">
        <v>228902.87</v>
      </c>
      <c r="U1272" s="3615">
        <v>45510</v>
      </c>
      <c r="V1272" s="3838">
        <v>204036.71</v>
      </c>
      <c r="W1272" s="3837">
        <v>45664</v>
      </c>
      <c r="X1272" s="3838">
        <v>204036.71</v>
      </c>
      <c r="Y1272" s="3837">
        <v>45682</v>
      </c>
      <c r="Z1272" s="3709"/>
      <c r="AA1272" s="280"/>
      <c r="AB1272" s="3846"/>
      <c r="AC1272" s="3846"/>
      <c r="AD1272" s="3846"/>
      <c r="AE1272" s="3846"/>
      <c r="AF1272" s="3846"/>
      <c r="AG1272" s="3846"/>
      <c r="AH1272" s="3851"/>
      <c r="AI1272" s="3851"/>
    </row>
    <row r="1273" s="29" customFormat="1" ht="20.25" customHeight="1" spans="1:35">
      <c r="A1273" s="3576"/>
      <c r="B1273" s="3805"/>
      <c r="C1273" s="3807"/>
      <c r="D1273" s="3806"/>
      <c r="E1273" s="3806"/>
      <c r="F1273" s="3810"/>
      <c r="G1273" s="3806"/>
      <c r="H1273" s="3806"/>
      <c r="I1273" s="3747"/>
      <c r="J1273" s="3813"/>
      <c r="K1273" s="2676"/>
      <c r="L1273" s="3576"/>
      <c r="M1273" s="3747"/>
      <c r="N1273" s="651"/>
      <c r="O1273" s="3818"/>
      <c r="P1273" s="3819"/>
      <c r="Q1273" s="2676">
        <v>230823.52</v>
      </c>
      <c r="R1273" s="128" t="s">
        <v>4603</v>
      </c>
      <c r="S1273" s="3615">
        <v>45651</v>
      </c>
      <c r="T1273" s="2676">
        <v>230823.52</v>
      </c>
      <c r="U1273" s="3615">
        <v>45651</v>
      </c>
      <c r="V1273" s="3836">
        <v>179273.32</v>
      </c>
      <c r="W1273" s="3837">
        <v>45911</v>
      </c>
      <c r="X1273" s="3838">
        <v>179273.32</v>
      </c>
      <c r="Y1273" s="3837">
        <v>45926</v>
      </c>
      <c r="Z1273" s="3709"/>
      <c r="AA1273" s="280"/>
      <c r="AB1273" s="3846"/>
      <c r="AC1273" s="3846"/>
      <c r="AD1273" s="3846"/>
      <c r="AE1273" s="3846"/>
      <c r="AF1273" s="3846"/>
      <c r="AG1273" s="3846"/>
      <c r="AH1273" s="3851"/>
      <c r="AI1273" s="3851"/>
    </row>
    <row r="1274" s="29" customFormat="1" ht="22.5" customHeight="1" spans="1:35">
      <c r="A1274" s="3576"/>
      <c r="B1274" s="3805"/>
      <c r="C1274" s="3807"/>
      <c r="D1274" s="3806"/>
      <c r="E1274" s="3806"/>
      <c r="F1274" s="3810"/>
      <c r="G1274" s="3806"/>
      <c r="H1274" s="3806"/>
      <c r="I1274" s="3747"/>
      <c r="J1274" s="3813"/>
      <c r="K1274" s="2676"/>
      <c r="L1274" s="3576"/>
      <c r="M1274" s="3747"/>
      <c r="N1274" s="651"/>
      <c r="O1274" s="3818"/>
      <c r="P1274" s="3819"/>
      <c r="Q1274" s="2676"/>
      <c r="R1274" s="128"/>
      <c r="S1274" s="3615"/>
      <c r="T1274" s="2676"/>
      <c r="U1274" s="3615"/>
      <c r="V1274" s="3834"/>
      <c r="W1274" s="3615"/>
      <c r="X1274" s="3840"/>
      <c r="Y1274" s="3847"/>
      <c r="Z1274" s="3709"/>
      <c r="AA1274" s="280"/>
      <c r="AB1274" s="3846"/>
      <c r="AC1274" s="3846"/>
      <c r="AD1274" s="3846"/>
      <c r="AE1274" s="3846"/>
      <c r="AF1274" s="3846"/>
      <c r="AG1274" s="3846"/>
      <c r="AH1274" s="3851"/>
      <c r="AI1274" s="3851"/>
    </row>
    <row r="1275" s="29" customFormat="1" ht="22.5" customHeight="1" spans="1:35">
      <c r="A1275" s="3576"/>
      <c r="B1275" s="3805"/>
      <c r="C1275" s="3807"/>
      <c r="D1275" s="3806"/>
      <c r="E1275" s="3806"/>
      <c r="F1275" s="3810"/>
      <c r="G1275" s="3806"/>
      <c r="H1275" s="3806"/>
      <c r="I1275" s="3747"/>
      <c r="J1275" s="3813"/>
      <c r="K1275" s="3812"/>
      <c r="L1275" s="3576"/>
      <c r="M1275" s="3577"/>
      <c r="N1275" s="1067"/>
      <c r="O1275" s="3820"/>
      <c r="P1275" s="3821"/>
      <c r="Q1275" s="2676"/>
      <c r="R1275" s="128"/>
      <c r="S1275" s="3615"/>
      <c r="T1275" s="2676"/>
      <c r="U1275" s="3615"/>
      <c r="V1275" s="3834"/>
      <c r="W1275" s="3615"/>
      <c r="X1275" s="3840"/>
      <c r="Y1275" s="3847"/>
      <c r="Z1275" s="3709"/>
      <c r="AA1275" s="280"/>
      <c r="AB1275" s="3846"/>
      <c r="AC1275" s="3846"/>
      <c r="AD1275" s="3846"/>
      <c r="AE1275" s="3846"/>
      <c r="AF1275" s="3846"/>
      <c r="AG1275" s="3846"/>
      <c r="AH1275" s="3851"/>
      <c r="AI1275" s="3851"/>
    </row>
    <row r="1276" s="29" customFormat="1" ht="20" customHeight="1" spans="1:35">
      <c r="A1276" s="3576"/>
      <c r="B1276" s="3805"/>
      <c r="C1276" s="3807"/>
      <c r="D1276" s="3806"/>
      <c r="E1276" s="3806"/>
      <c r="F1276" s="3810"/>
      <c r="G1276" s="3806"/>
      <c r="H1276" s="3806"/>
      <c r="I1276" s="3747"/>
      <c r="J1276" s="3813"/>
      <c r="K1276" s="3812"/>
      <c r="L1276" s="3576"/>
      <c r="M1276" s="3745">
        <v>4</v>
      </c>
      <c r="N1276" s="647" t="s">
        <v>5166</v>
      </c>
      <c r="O1276" s="3816">
        <v>0.05</v>
      </c>
      <c r="P1276" s="3817">
        <f>K1263*O1276</f>
        <v>114931.5965</v>
      </c>
      <c r="Q1276" s="2676">
        <v>51009.18</v>
      </c>
      <c r="R1276" s="128" t="s">
        <v>4603</v>
      </c>
      <c r="S1276" s="3615">
        <v>45652</v>
      </c>
      <c r="T1276" s="2676">
        <v>51009.18</v>
      </c>
      <c r="U1276" s="3615">
        <v>45652</v>
      </c>
      <c r="V1276" s="3834"/>
      <c r="W1276" s="3615"/>
      <c r="X1276" s="3841"/>
      <c r="Y1276" s="3584"/>
      <c r="Z1276" s="3709"/>
      <c r="AA1276" s="280"/>
      <c r="AB1276" s="3846"/>
      <c r="AC1276" s="3846"/>
      <c r="AD1276" s="3846"/>
      <c r="AE1276" s="3846"/>
      <c r="AF1276" s="3846"/>
      <c r="AG1276" s="3846"/>
      <c r="AH1276" s="3851"/>
      <c r="AI1276" s="3851"/>
    </row>
    <row r="1277" s="29" customFormat="1" ht="20" customHeight="1" spans="1:35">
      <c r="A1277" s="3576"/>
      <c r="B1277" s="3805"/>
      <c r="C1277" s="3807"/>
      <c r="D1277" s="3806"/>
      <c r="E1277" s="3806"/>
      <c r="F1277" s="3810"/>
      <c r="G1277" s="3806"/>
      <c r="H1277" s="3806"/>
      <c r="I1277" s="3747"/>
      <c r="J1277" s="3813"/>
      <c r="K1277" s="2676"/>
      <c r="L1277" s="3576"/>
      <c r="M1277" s="3747"/>
      <c r="N1277" s="651"/>
      <c r="O1277" s="3818"/>
      <c r="P1277" s="3819"/>
      <c r="Q1277" s="3831"/>
      <c r="R1277" s="280"/>
      <c r="S1277" s="282"/>
      <c r="T1277" s="3832"/>
      <c r="U1277" s="3842"/>
      <c r="V1277" s="3841"/>
      <c r="W1277" s="3615"/>
      <c r="X1277" s="3841"/>
      <c r="Y1277" s="3615"/>
      <c r="Z1277" s="3709"/>
      <c r="AA1277" s="280"/>
      <c r="AB1277" s="3846"/>
      <c r="AC1277" s="3846"/>
      <c r="AD1277" s="3846"/>
      <c r="AE1277" s="3846"/>
      <c r="AF1277" s="3846"/>
      <c r="AG1277" s="3846"/>
      <c r="AH1277" s="3851"/>
      <c r="AI1277" s="3851"/>
    </row>
    <row r="1278" s="29" customFormat="1" ht="20" customHeight="1" spans="1:35">
      <c r="A1278" s="3576"/>
      <c r="B1278" s="3805"/>
      <c r="C1278" s="3807"/>
      <c r="D1278" s="3806"/>
      <c r="E1278" s="3806"/>
      <c r="F1278" s="3810"/>
      <c r="G1278" s="3806"/>
      <c r="H1278" s="3806"/>
      <c r="I1278" s="3747"/>
      <c r="J1278" s="3813"/>
      <c r="K1278" s="3812"/>
      <c r="L1278" s="3576"/>
      <c r="M1278" s="3577"/>
      <c r="N1278" s="1067"/>
      <c r="O1278" s="3820"/>
      <c r="P1278" s="3821"/>
      <c r="Q1278" s="3833"/>
      <c r="R1278" s="280"/>
      <c r="S1278" s="282"/>
      <c r="T1278" s="3832"/>
      <c r="U1278" s="3842"/>
      <c r="V1278" s="3841"/>
      <c r="W1278" s="3615"/>
      <c r="X1278" s="3841"/>
      <c r="Y1278" s="3615"/>
      <c r="Z1278" s="3709"/>
      <c r="AA1278" s="280"/>
      <c r="AB1278" s="3846"/>
      <c r="AC1278" s="3846"/>
      <c r="AD1278" s="3846"/>
      <c r="AE1278" s="3846"/>
      <c r="AF1278" s="3846"/>
      <c r="AG1278" s="3846"/>
      <c r="AH1278" s="3851"/>
      <c r="AI1278" s="3851"/>
    </row>
    <row r="1279" s="29" customFormat="1" ht="20" customHeight="1" spans="1:35">
      <c r="A1279" s="3576"/>
      <c r="B1279" s="3805"/>
      <c r="C1279" s="3807"/>
      <c r="D1279" s="3806"/>
      <c r="E1279" s="3806"/>
      <c r="F1279" s="3810"/>
      <c r="G1279" s="3806"/>
      <c r="H1279" s="3806"/>
      <c r="I1279" s="3747"/>
      <c r="J1279" s="3813"/>
      <c r="K1279" s="3812"/>
      <c r="L1279" s="3576"/>
      <c r="M1279" s="3745">
        <v>5</v>
      </c>
      <c r="N1279" s="647" t="s">
        <v>5054</v>
      </c>
      <c r="O1279" s="3816">
        <v>0.1</v>
      </c>
      <c r="P1279" s="3817">
        <f>K1263*O1279</f>
        <v>229863.193</v>
      </c>
      <c r="Q1279" s="3834">
        <v>102018.36</v>
      </c>
      <c r="R1279" s="128" t="s">
        <v>4603</v>
      </c>
      <c r="S1279" s="3615">
        <v>45652</v>
      </c>
      <c r="T1279" s="3834">
        <v>102018.36</v>
      </c>
      <c r="U1279" s="3615">
        <v>45652</v>
      </c>
      <c r="V1279" s="3841"/>
      <c r="W1279" s="3615"/>
      <c r="X1279" s="3841"/>
      <c r="Y1279" s="3615"/>
      <c r="Z1279" s="3709"/>
      <c r="AA1279" s="280"/>
      <c r="AB1279" s="3846"/>
      <c r="AC1279" s="3846"/>
      <c r="AD1279" s="3846"/>
      <c r="AE1279" s="3846"/>
      <c r="AF1279" s="3846"/>
      <c r="AG1279" s="3846"/>
      <c r="AH1279" s="3851"/>
      <c r="AI1279" s="3851"/>
    </row>
    <row r="1280" s="29" customFormat="1" ht="20" customHeight="1" spans="1:35">
      <c r="A1280" s="3576"/>
      <c r="B1280" s="3805"/>
      <c r="C1280" s="3807"/>
      <c r="D1280" s="3806"/>
      <c r="E1280" s="3806"/>
      <c r="F1280" s="3810"/>
      <c r="G1280" s="3806"/>
      <c r="H1280" s="3806"/>
      <c r="I1280" s="3747"/>
      <c r="J1280" s="3813"/>
      <c r="K1280" s="3812"/>
      <c r="L1280" s="3576"/>
      <c r="M1280" s="3577"/>
      <c r="N1280" s="1067"/>
      <c r="O1280" s="3820"/>
      <c r="P1280" s="3821"/>
      <c r="Q1280" s="3833"/>
      <c r="R1280" s="280"/>
      <c r="S1280" s="282"/>
      <c r="T1280" s="3832"/>
      <c r="U1280" s="3842"/>
      <c r="V1280" s="3841"/>
      <c r="W1280" s="3615"/>
      <c r="X1280" s="3841"/>
      <c r="Y1280" s="3615"/>
      <c r="Z1280" s="3709"/>
      <c r="AA1280" s="280"/>
      <c r="AB1280" s="3846"/>
      <c r="AC1280" s="3846"/>
      <c r="AD1280" s="3846"/>
      <c r="AE1280" s="3846"/>
      <c r="AF1280" s="3846"/>
      <c r="AG1280" s="3846"/>
      <c r="AH1280" s="3851"/>
      <c r="AI1280" s="3851"/>
    </row>
    <row r="1281" s="29" customFormat="1" ht="20" customHeight="1" spans="1:35">
      <c r="A1281" s="3576"/>
      <c r="B1281" s="3805"/>
      <c r="C1281" s="3807"/>
      <c r="D1281" s="3806"/>
      <c r="E1281" s="3806"/>
      <c r="F1281" s="3810"/>
      <c r="G1281" s="3806"/>
      <c r="H1281" s="3806"/>
      <c r="I1281" s="3747"/>
      <c r="J1281" s="3813"/>
      <c r="K1281" s="3812"/>
      <c r="L1281" s="3576"/>
      <c r="M1281" s="3745">
        <v>6</v>
      </c>
      <c r="N1281" s="647" t="s">
        <v>5167</v>
      </c>
      <c r="O1281" s="3816">
        <v>0.05</v>
      </c>
      <c r="P1281" s="3817">
        <f>K1263*O1281</f>
        <v>114931.5965</v>
      </c>
      <c r="Q1281" s="2676">
        <v>51009.18</v>
      </c>
      <c r="R1281" s="128" t="s">
        <v>4603</v>
      </c>
      <c r="S1281" s="3615">
        <v>45652</v>
      </c>
      <c r="T1281" s="2676">
        <v>51009.18</v>
      </c>
      <c r="U1281" s="3615">
        <v>45652</v>
      </c>
      <c r="V1281" s="3841"/>
      <c r="W1281" s="3615"/>
      <c r="X1281" s="3841"/>
      <c r="Y1281" s="3615"/>
      <c r="Z1281" s="3709"/>
      <c r="AA1281" s="280"/>
      <c r="AB1281" s="3846"/>
      <c r="AC1281" s="3846"/>
      <c r="AD1281" s="3846"/>
      <c r="AE1281" s="3846"/>
      <c r="AF1281" s="3846"/>
      <c r="AG1281" s="3846"/>
      <c r="AH1281" s="3851"/>
      <c r="AI1281" s="3851"/>
    </row>
    <row r="1282" s="29" customFormat="1" ht="20" customHeight="1" spans="1:35">
      <c r="A1282" s="3576"/>
      <c r="B1282" s="3805"/>
      <c r="C1282" s="3807"/>
      <c r="D1282" s="3806"/>
      <c r="E1282" s="3806"/>
      <c r="F1282" s="3810"/>
      <c r="G1282" s="3806"/>
      <c r="H1282" s="3806"/>
      <c r="I1282" s="3747"/>
      <c r="J1282" s="3813"/>
      <c r="K1282" s="3812"/>
      <c r="L1282" s="3576"/>
      <c r="M1282" s="3577"/>
      <c r="N1282" s="1067"/>
      <c r="O1282" s="3820"/>
      <c r="P1282" s="3821"/>
      <c r="Q1282" s="3858"/>
      <c r="R1282" s="280"/>
      <c r="S1282" s="3584"/>
      <c r="T1282" s="3709"/>
      <c r="U1282" s="3870"/>
      <c r="V1282" s="3709"/>
      <c r="W1282" s="3846"/>
      <c r="X1282" s="3858"/>
      <c r="Y1282" s="282"/>
      <c r="Z1282" s="3846"/>
      <c r="AA1282" s="3709"/>
      <c r="AB1282" s="3846"/>
      <c r="AC1282" s="3846"/>
      <c r="AD1282" s="3846"/>
      <c r="AE1282" s="3846"/>
      <c r="AF1282" s="3846"/>
      <c r="AG1282" s="3846"/>
      <c r="AH1282" s="3851"/>
      <c r="AI1282" s="3851"/>
    </row>
    <row r="1283" s="29" customFormat="1" ht="61" spans="1:35">
      <c r="A1283" s="3576"/>
      <c r="B1283" s="3830"/>
      <c r="C1283" s="3852"/>
      <c r="D1283" s="3853"/>
      <c r="E1283" s="3853"/>
      <c r="F1283" s="3810"/>
      <c r="G1283" s="3853"/>
      <c r="H1283" s="3853"/>
      <c r="I1283" s="3577"/>
      <c r="J1283" s="3829"/>
      <c r="K1283" s="2676"/>
      <c r="L1283" s="3576"/>
      <c r="M1283" s="128" t="s">
        <v>6237</v>
      </c>
      <c r="N1283" s="185" t="s">
        <v>6238</v>
      </c>
      <c r="O1283" s="3854">
        <v>0.1</v>
      </c>
      <c r="P1283" s="837">
        <f>K1263*O1283</f>
        <v>229863.193</v>
      </c>
      <c r="Q1283" s="3858"/>
      <c r="R1283" s="280"/>
      <c r="S1283" s="3584"/>
      <c r="T1283" s="3709"/>
      <c r="U1283" s="3709"/>
      <c r="V1283" s="3709"/>
      <c r="W1283" s="3846"/>
      <c r="X1283" s="3858"/>
      <c r="Y1283" s="282"/>
      <c r="Z1283" s="3846"/>
      <c r="AA1283" s="3709"/>
      <c r="AB1283" s="3846"/>
      <c r="AC1283" s="3846"/>
      <c r="AD1283" s="3846"/>
      <c r="AE1283" s="3846"/>
      <c r="AF1283" s="3846"/>
      <c r="AG1283" s="3846"/>
      <c r="AH1283" s="930"/>
      <c r="AI1283" s="930"/>
    </row>
    <row r="1284" s="29" customFormat="1" ht="76" spans="1:35">
      <c r="A1284" s="128" t="s">
        <v>111</v>
      </c>
      <c r="B1284" s="3803">
        <v>45421</v>
      </c>
      <c r="C1284" s="649" t="s">
        <v>1763</v>
      </c>
      <c r="D1284" s="3804"/>
      <c r="E1284" s="647" t="s">
        <v>6239</v>
      </c>
      <c r="F1284" s="127" t="s">
        <v>6240</v>
      </c>
      <c r="G1284" s="647" t="s">
        <v>3579</v>
      </c>
      <c r="H1284" s="647" t="s">
        <v>5505</v>
      </c>
      <c r="I1284" s="3745">
        <v>75718.4</v>
      </c>
      <c r="J1284" s="3745">
        <v>22</v>
      </c>
      <c r="K1284" s="3812">
        <f>I1284*J1284</f>
        <v>1665804.8</v>
      </c>
      <c r="L1284" s="128" t="s">
        <v>126</v>
      </c>
      <c r="M1284" s="3576">
        <v>1</v>
      </c>
      <c r="N1284" s="185" t="s">
        <v>5063</v>
      </c>
      <c r="O1284" s="3854">
        <v>0.1</v>
      </c>
      <c r="P1284" s="837">
        <f>K1284*O1284</f>
        <v>166580.48</v>
      </c>
      <c r="Q1284" s="3576">
        <f>P1284</f>
        <v>166580.48</v>
      </c>
      <c r="R1284" s="128" t="s">
        <v>4603</v>
      </c>
      <c r="S1284" s="3615">
        <v>45442</v>
      </c>
      <c r="T1284" s="3576">
        <v>166580.48</v>
      </c>
      <c r="U1284" s="3615">
        <v>45442</v>
      </c>
      <c r="V1284" s="3871">
        <v>166258.64</v>
      </c>
      <c r="W1284" s="3615">
        <v>45666</v>
      </c>
      <c r="X1284" s="837">
        <v>220000</v>
      </c>
      <c r="Y1284" s="3615">
        <v>45681</v>
      </c>
      <c r="Z1284" s="3845"/>
      <c r="AA1284" s="3890" t="s">
        <v>6241</v>
      </c>
      <c r="AB1284" s="3846"/>
      <c r="AC1284" s="3846"/>
      <c r="AD1284" s="3846"/>
      <c r="AE1284" s="3846"/>
      <c r="AF1284" s="3846"/>
      <c r="AG1284" s="3846"/>
      <c r="AH1284" s="3850" t="s">
        <v>197</v>
      </c>
      <c r="AI1284" s="3850" t="s">
        <v>154</v>
      </c>
    </row>
    <row r="1285" s="29" customFormat="1" ht="20" customHeight="1" spans="1:35">
      <c r="A1285" s="3576"/>
      <c r="B1285" s="3805"/>
      <c r="C1285" s="3807"/>
      <c r="D1285" s="3806"/>
      <c r="E1285" s="3806"/>
      <c r="F1285" s="3810"/>
      <c r="G1285" s="3806"/>
      <c r="H1285" s="3806"/>
      <c r="I1285" s="3747"/>
      <c r="J1285" s="3747"/>
      <c r="K1285" s="3812"/>
      <c r="L1285" s="3576"/>
      <c r="M1285" s="3745">
        <v>2</v>
      </c>
      <c r="N1285" s="172" t="s">
        <v>5067</v>
      </c>
      <c r="O1285" s="3816">
        <v>0.15</v>
      </c>
      <c r="P1285" s="3817">
        <f>K1284*O1285</f>
        <v>249870.72</v>
      </c>
      <c r="Q1285" s="3745">
        <f>P1285</f>
        <v>249870.72</v>
      </c>
      <c r="R1285" s="149" t="s">
        <v>4603</v>
      </c>
      <c r="S1285" s="3803">
        <v>45442</v>
      </c>
      <c r="T1285" s="3745">
        <v>249870.72</v>
      </c>
      <c r="U1285" s="3803">
        <v>45442</v>
      </c>
      <c r="V1285" s="3872">
        <v>53741.36</v>
      </c>
      <c r="W1285" s="3615">
        <v>45666</v>
      </c>
      <c r="X1285" s="837"/>
      <c r="Y1285" s="3615"/>
      <c r="Z1285" s="3845"/>
      <c r="AA1285" s="185" t="s">
        <v>6242</v>
      </c>
      <c r="AB1285" s="3846"/>
      <c r="AC1285" s="3846"/>
      <c r="AD1285" s="3846"/>
      <c r="AE1285" s="3846"/>
      <c r="AF1285" s="3846"/>
      <c r="AG1285" s="3846"/>
      <c r="AH1285" s="3851"/>
      <c r="AI1285" s="3851"/>
    </row>
    <row r="1286" s="29" customFormat="1" ht="20" customHeight="1" spans="1:35">
      <c r="A1286" s="3576"/>
      <c r="B1286" s="3805"/>
      <c r="C1286" s="3807"/>
      <c r="D1286" s="3806"/>
      <c r="E1286" s="3806"/>
      <c r="F1286" s="3810"/>
      <c r="G1286" s="3806"/>
      <c r="H1286" s="3806"/>
      <c r="I1286" s="3747"/>
      <c r="J1286" s="3747"/>
      <c r="K1286" s="3812"/>
      <c r="L1286" s="3576"/>
      <c r="M1286" s="3747"/>
      <c r="N1286" s="176"/>
      <c r="O1286" s="3818"/>
      <c r="P1286" s="3819"/>
      <c r="Q1286" s="3747"/>
      <c r="R1286" s="151"/>
      <c r="S1286" s="3805"/>
      <c r="T1286" s="3747"/>
      <c r="U1286" s="3805"/>
      <c r="V1286" s="3872">
        <v>83261.57</v>
      </c>
      <c r="W1286" s="3615">
        <v>45873</v>
      </c>
      <c r="X1286" s="3872">
        <v>83261.57</v>
      </c>
      <c r="Y1286" s="3615">
        <v>45884</v>
      </c>
      <c r="Z1286" s="3709"/>
      <c r="AA1286" s="185"/>
      <c r="AB1286" s="3846"/>
      <c r="AC1286" s="3846"/>
      <c r="AD1286" s="3846"/>
      <c r="AE1286" s="3846"/>
      <c r="AF1286" s="3846"/>
      <c r="AG1286" s="3846"/>
      <c r="AH1286" s="3851"/>
      <c r="AI1286" s="3851"/>
    </row>
    <row r="1287" s="29" customFormat="1" ht="20" customHeight="1" spans="1:35">
      <c r="A1287" s="3576"/>
      <c r="B1287" s="3805"/>
      <c r="C1287" s="3807"/>
      <c r="D1287" s="3806"/>
      <c r="E1287" s="3806"/>
      <c r="F1287" s="3810"/>
      <c r="G1287" s="3806"/>
      <c r="H1287" s="3806"/>
      <c r="I1287" s="3747"/>
      <c r="J1287" s="3747"/>
      <c r="K1287" s="3812"/>
      <c r="L1287" s="3576"/>
      <c r="M1287" s="3747"/>
      <c r="N1287" s="176"/>
      <c r="O1287" s="3818"/>
      <c r="P1287" s="3819"/>
      <c r="Q1287" s="3747"/>
      <c r="R1287" s="151"/>
      <c r="S1287" s="3805"/>
      <c r="T1287" s="3747"/>
      <c r="U1287" s="3805"/>
      <c r="V1287" s="3872"/>
      <c r="W1287" s="3615"/>
      <c r="X1287" s="3872"/>
      <c r="Y1287" s="3615"/>
      <c r="Z1287" s="3709"/>
      <c r="AA1287" s="3891"/>
      <c r="AB1287" s="3846"/>
      <c r="AC1287" s="3846"/>
      <c r="AD1287" s="3846"/>
      <c r="AE1287" s="3846"/>
      <c r="AF1287" s="3846"/>
      <c r="AG1287" s="3846"/>
      <c r="AH1287" s="3851"/>
      <c r="AI1287" s="3851"/>
    </row>
    <row r="1288" s="29" customFormat="1" ht="20" customHeight="1" spans="1:35">
      <c r="A1288" s="3576"/>
      <c r="B1288" s="3805"/>
      <c r="C1288" s="3807"/>
      <c r="D1288" s="3806"/>
      <c r="E1288" s="3806"/>
      <c r="F1288" s="3810"/>
      <c r="G1288" s="3806"/>
      <c r="H1288" s="3806"/>
      <c r="I1288" s="3747"/>
      <c r="J1288" s="3747"/>
      <c r="K1288" s="3812"/>
      <c r="L1288" s="3576"/>
      <c r="M1288" s="3577"/>
      <c r="N1288" s="176"/>
      <c r="O1288" s="3820"/>
      <c r="P1288" s="3821"/>
      <c r="Q1288" s="3577"/>
      <c r="R1288" s="152"/>
      <c r="S1288" s="3830"/>
      <c r="T1288" s="3577"/>
      <c r="U1288" s="3830"/>
      <c r="V1288" s="3839"/>
      <c r="W1288" s="3616"/>
      <c r="X1288" s="3839"/>
      <c r="Y1288" s="3616"/>
      <c r="Z1288" s="3709"/>
      <c r="AA1288" s="3892"/>
      <c r="AB1288" s="3846"/>
      <c r="AC1288" s="3846"/>
      <c r="AD1288" s="3846"/>
      <c r="AE1288" s="3846"/>
      <c r="AF1288" s="3846"/>
      <c r="AG1288" s="3846"/>
      <c r="AH1288" s="3851"/>
      <c r="AI1288" s="3851"/>
    </row>
    <row r="1289" s="29" customFormat="1" ht="20" customHeight="1" spans="1:35">
      <c r="A1289" s="3576"/>
      <c r="B1289" s="3805"/>
      <c r="C1289" s="3807"/>
      <c r="D1289" s="3806"/>
      <c r="E1289" s="3806"/>
      <c r="F1289" s="3810"/>
      <c r="G1289" s="3806"/>
      <c r="H1289" s="3806"/>
      <c r="I1289" s="3747"/>
      <c r="J1289" s="3747"/>
      <c r="K1289" s="3812"/>
      <c r="L1289" s="3576"/>
      <c r="M1289" s="3745">
        <v>3</v>
      </c>
      <c r="N1289" s="647" t="s">
        <v>5064</v>
      </c>
      <c r="O1289" s="3816">
        <v>0.2</v>
      </c>
      <c r="P1289" s="3817">
        <f>K1284*O1289</f>
        <v>333160.96</v>
      </c>
      <c r="Q1289" s="3745">
        <f>P1289</f>
        <v>333160.96</v>
      </c>
      <c r="R1289" s="149" t="s">
        <v>4603</v>
      </c>
      <c r="S1289" s="3803">
        <v>45442</v>
      </c>
      <c r="T1289" s="3745">
        <v>333160.96</v>
      </c>
      <c r="U1289" s="3803">
        <v>45442</v>
      </c>
      <c r="V1289" s="3872">
        <v>76738.43</v>
      </c>
      <c r="W1289" s="3615">
        <v>45873</v>
      </c>
      <c r="X1289" s="3872">
        <v>76738.43</v>
      </c>
      <c r="Y1289" s="3615">
        <v>45884</v>
      </c>
      <c r="Z1289" s="3709"/>
      <c r="AA1289" s="172" t="s">
        <v>6243</v>
      </c>
      <c r="AB1289" s="3846"/>
      <c r="AC1289" s="3846"/>
      <c r="AD1289" s="3846"/>
      <c r="AE1289" s="3846"/>
      <c r="AF1289" s="3846"/>
      <c r="AG1289" s="3846"/>
      <c r="AH1289" s="3851"/>
      <c r="AI1289" s="3851"/>
    </row>
    <row r="1290" s="29" customFormat="1" ht="20" customHeight="1" spans="1:35">
      <c r="A1290" s="3576"/>
      <c r="B1290" s="3805"/>
      <c r="C1290" s="3807"/>
      <c r="D1290" s="3806"/>
      <c r="E1290" s="3806"/>
      <c r="F1290" s="3810"/>
      <c r="G1290" s="3806"/>
      <c r="H1290" s="3806"/>
      <c r="I1290" s="3747"/>
      <c r="J1290" s="3747"/>
      <c r="K1290" s="3812"/>
      <c r="L1290" s="3576"/>
      <c r="M1290" s="3747"/>
      <c r="N1290" s="651"/>
      <c r="O1290" s="3818"/>
      <c r="P1290" s="3819"/>
      <c r="Q1290" s="3747"/>
      <c r="R1290" s="151"/>
      <c r="S1290" s="3805"/>
      <c r="T1290" s="3747"/>
      <c r="U1290" s="3805"/>
      <c r="V1290" s="3873">
        <v>105932.15</v>
      </c>
      <c r="W1290" s="3837">
        <v>45904</v>
      </c>
      <c r="X1290" s="3873">
        <v>105932.15</v>
      </c>
      <c r="Y1290" s="3837">
        <v>45919</v>
      </c>
      <c r="Z1290" s="3709"/>
      <c r="AA1290" s="3893"/>
      <c r="AB1290" s="3846"/>
      <c r="AC1290" s="3846"/>
      <c r="AD1290" s="3846"/>
      <c r="AE1290" s="3846"/>
      <c r="AF1290" s="3846"/>
      <c r="AG1290" s="3846"/>
      <c r="AH1290" s="3851"/>
      <c r="AI1290" s="3851"/>
    </row>
    <row r="1291" s="29" customFormat="1" ht="20" customHeight="1" spans="1:35">
      <c r="A1291" s="3576"/>
      <c r="B1291" s="3805"/>
      <c r="C1291" s="3807"/>
      <c r="D1291" s="3806"/>
      <c r="E1291" s="3806"/>
      <c r="F1291" s="3810"/>
      <c r="G1291" s="3806"/>
      <c r="H1291" s="3806"/>
      <c r="I1291" s="3747"/>
      <c r="J1291" s="3747"/>
      <c r="K1291" s="3812"/>
      <c r="L1291" s="3576"/>
      <c r="M1291" s="3747"/>
      <c r="N1291" s="651"/>
      <c r="O1291" s="3818"/>
      <c r="P1291" s="3819"/>
      <c r="Q1291" s="3747"/>
      <c r="R1291" s="151"/>
      <c r="S1291" s="3805"/>
      <c r="T1291" s="3747"/>
      <c r="U1291" s="3805"/>
      <c r="V1291" s="3873"/>
      <c r="W1291" s="3837"/>
      <c r="X1291" s="3873"/>
      <c r="Y1291" s="3837"/>
      <c r="Z1291" s="3709"/>
      <c r="AA1291" s="3892"/>
      <c r="AB1291" s="3846"/>
      <c r="AC1291" s="3846"/>
      <c r="AD1291" s="3846"/>
      <c r="AE1291" s="3846"/>
      <c r="AF1291" s="3846"/>
      <c r="AG1291" s="3846"/>
      <c r="AH1291" s="3851"/>
      <c r="AI1291" s="3851"/>
    </row>
    <row r="1292" s="29" customFormat="1" ht="20" customHeight="1" spans="1:35">
      <c r="A1292" s="3576"/>
      <c r="B1292" s="3805"/>
      <c r="C1292" s="3807"/>
      <c r="D1292" s="3806"/>
      <c r="E1292" s="3806"/>
      <c r="F1292" s="3810"/>
      <c r="G1292" s="3806"/>
      <c r="H1292" s="3806"/>
      <c r="I1292" s="3747"/>
      <c r="J1292" s="3747"/>
      <c r="K1292" s="3812"/>
      <c r="L1292" s="3576"/>
      <c r="M1292" s="3577"/>
      <c r="N1292" s="651"/>
      <c r="O1292" s="3820"/>
      <c r="P1292" s="3821"/>
      <c r="Q1292" s="3577"/>
      <c r="R1292" s="152"/>
      <c r="S1292" s="3830"/>
      <c r="T1292" s="3577"/>
      <c r="U1292" s="3830"/>
      <c r="V1292" s="3873"/>
      <c r="W1292" s="3837"/>
      <c r="X1292" s="3873"/>
      <c r="Y1292" s="3837"/>
      <c r="Z1292" s="3709"/>
      <c r="AA1292" s="3892"/>
      <c r="AB1292" s="3846"/>
      <c r="AC1292" s="3846"/>
      <c r="AD1292" s="3846"/>
      <c r="AE1292" s="3846"/>
      <c r="AF1292" s="3846"/>
      <c r="AG1292" s="3846"/>
      <c r="AH1292" s="3851"/>
      <c r="AI1292" s="3851"/>
    </row>
    <row r="1293" s="29" customFormat="1" ht="20" customHeight="1" spans="1:35">
      <c r="A1293" s="3576"/>
      <c r="B1293" s="3805"/>
      <c r="C1293" s="3807"/>
      <c r="D1293" s="3806"/>
      <c r="E1293" s="3806"/>
      <c r="F1293" s="3810"/>
      <c r="G1293" s="3806"/>
      <c r="H1293" s="3806"/>
      <c r="I1293" s="3747"/>
      <c r="J1293" s="3747"/>
      <c r="K1293" s="3812"/>
      <c r="L1293" s="3576"/>
      <c r="M1293" s="3745">
        <v>4</v>
      </c>
      <c r="N1293" s="647" t="s">
        <v>5068</v>
      </c>
      <c r="O1293" s="3816">
        <v>0.15</v>
      </c>
      <c r="P1293" s="3817">
        <f>K1284*O1293</f>
        <v>249870.72</v>
      </c>
      <c r="Q1293" s="3745">
        <f>P1293</f>
        <v>249870.72</v>
      </c>
      <c r="R1293" s="149" t="s">
        <v>4603</v>
      </c>
      <c r="S1293" s="3803">
        <v>45442</v>
      </c>
      <c r="T1293" s="3576">
        <v>249870.72</v>
      </c>
      <c r="U1293" s="3615">
        <v>45442</v>
      </c>
      <c r="V1293" s="3873">
        <v>54067.85</v>
      </c>
      <c r="W1293" s="3837">
        <v>45904</v>
      </c>
      <c r="X1293" s="3873">
        <v>54067.85</v>
      </c>
      <c r="Y1293" s="3837">
        <v>45919</v>
      </c>
      <c r="Z1293" s="3709"/>
      <c r="AA1293" s="172" t="s">
        <v>6244</v>
      </c>
      <c r="AB1293" s="3846"/>
      <c r="AC1293" s="3846"/>
      <c r="AD1293" s="3846"/>
      <c r="AE1293" s="3846"/>
      <c r="AF1293" s="3846"/>
      <c r="AG1293" s="3846"/>
      <c r="AH1293" s="3851"/>
      <c r="AI1293" s="3851"/>
    </row>
    <row r="1294" s="29" customFormat="1" ht="20" customHeight="1" spans="1:35">
      <c r="A1294" s="3576"/>
      <c r="B1294" s="3805"/>
      <c r="C1294" s="3807"/>
      <c r="D1294" s="3806"/>
      <c r="E1294" s="3806"/>
      <c r="F1294" s="3810"/>
      <c r="G1294" s="3806"/>
      <c r="H1294" s="3806"/>
      <c r="I1294" s="3747"/>
      <c r="J1294" s="3747"/>
      <c r="K1294" s="3812"/>
      <c r="L1294" s="3576"/>
      <c r="M1294" s="3747"/>
      <c r="N1294" s="651"/>
      <c r="O1294" s="3818"/>
      <c r="P1294" s="3819"/>
      <c r="Q1294" s="3747"/>
      <c r="R1294" s="151"/>
      <c r="S1294" s="3805"/>
      <c r="T1294" s="3576"/>
      <c r="U1294" s="3615"/>
      <c r="V1294" s="3874">
        <v>113912.81</v>
      </c>
      <c r="W1294" s="3837">
        <v>45904</v>
      </c>
      <c r="X1294" s="3874">
        <v>113912.81</v>
      </c>
      <c r="Y1294" s="3837">
        <v>45919</v>
      </c>
      <c r="Z1294" s="3709"/>
      <c r="AA1294" s="179"/>
      <c r="AB1294" s="3846"/>
      <c r="AC1294" s="3846"/>
      <c r="AD1294" s="3846"/>
      <c r="AE1294" s="3846"/>
      <c r="AF1294" s="3846"/>
      <c r="AG1294" s="3846"/>
      <c r="AH1294" s="3851"/>
      <c r="AI1294" s="3851"/>
    </row>
    <row r="1295" s="29" customFormat="1" ht="20" customHeight="1" spans="1:35">
      <c r="A1295" s="3576"/>
      <c r="B1295" s="3805"/>
      <c r="C1295" s="3807"/>
      <c r="D1295" s="3806"/>
      <c r="E1295" s="3806"/>
      <c r="F1295" s="3810"/>
      <c r="G1295" s="3806"/>
      <c r="H1295" s="3806"/>
      <c r="I1295" s="3747"/>
      <c r="J1295" s="3747"/>
      <c r="K1295" s="3812"/>
      <c r="L1295" s="3576"/>
      <c r="M1295" s="3747"/>
      <c r="N1295" s="651"/>
      <c r="O1295" s="3818"/>
      <c r="P1295" s="3819"/>
      <c r="Q1295" s="3747"/>
      <c r="R1295" s="151"/>
      <c r="S1295" s="3805"/>
      <c r="T1295" s="3576"/>
      <c r="U1295" s="3615"/>
      <c r="V1295" s="3841"/>
      <c r="W1295" s="3615"/>
      <c r="X1295" s="3841"/>
      <c r="Y1295" s="3615"/>
      <c r="Z1295" s="3709"/>
      <c r="AA1295" s="280"/>
      <c r="AB1295" s="3846"/>
      <c r="AC1295" s="3846"/>
      <c r="AD1295" s="3846"/>
      <c r="AE1295" s="3846"/>
      <c r="AF1295" s="3846"/>
      <c r="AG1295" s="3846"/>
      <c r="AH1295" s="3851"/>
      <c r="AI1295" s="3851"/>
    </row>
    <row r="1296" s="29" customFormat="1" ht="20" customHeight="1" spans="1:35">
      <c r="A1296" s="3576"/>
      <c r="B1296" s="3805"/>
      <c r="C1296" s="3807"/>
      <c r="D1296" s="3806"/>
      <c r="E1296" s="3806"/>
      <c r="F1296" s="3810"/>
      <c r="G1296" s="3806"/>
      <c r="H1296" s="3806"/>
      <c r="I1296" s="3747"/>
      <c r="J1296" s="3747"/>
      <c r="K1296" s="3812"/>
      <c r="L1296" s="3576"/>
      <c r="M1296" s="3577"/>
      <c r="N1296" s="651"/>
      <c r="O1296" s="3820"/>
      <c r="P1296" s="3821"/>
      <c r="Q1296" s="3577"/>
      <c r="R1296" s="152"/>
      <c r="S1296" s="3830"/>
      <c r="T1296" s="3576"/>
      <c r="U1296" s="3615"/>
      <c r="V1296" s="3841"/>
      <c r="W1296" s="3615"/>
      <c r="X1296" s="3841"/>
      <c r="Y1296" s="3615"/>
      <c r="Z1296" s="3709"/>
      <c r="AA1296" s="280"/>
      <c r="AB1296" s="3846"/>
      <c r="AC1296" s="3846"/>
      <c r="AD1296" s="3846"/>
      <c r="AE1296" s="3846"/>
      <c r="AF1296" s="3846"/>
      <c r="AG1296" s="3846"/>
      <c r="AH1296" s="3851"/>
      <c r="AI1296" s="3851"/>
    </row>
    <row r="1297" s="29" customFormat="1" ht="20" customHeight="1" spans="1:35">
      <c r="A1297" s="3576"/>
      <c r="B1297" s="3805"/>
      <c r="C1297" s="3807"/>
      <c r="D1297" s="3806"/>
      <c r="E1297" s="3806"/>
      <c r="F1297" s="3810"/>
      <c r="G1297" s="3806"/>
      <c r="H1297" s="3806"/>
      <c r="I1297" s="3747"/>
      <c r="J1297" s="3747"/>
      <c r="K1297" s="3812"/>
      <c r="L1297" s="3576"/>
      <c r="M1297" s="3745">
        <v>5</v>
      </c>
      <c r="N1297" s="647" t="s">
        <v>5065</v>
      </c>
      <c r="O1297" s="3816">
        <v>0.2</v>
      </c>
      <c r="P1297" s="3817">
        <f>K1284*O1297</f>
        <v>333160.96</v>
      </c>
      <c r="Q1297" s="3859"/>
      <c r="R1297" s="3850"/>
      <c r="S1297" s="3860"/>
      <c r="T1297" s="3861"/>
      <c r="U1297" s="3875"/>
      <c r="V1297" s="3841"/>
      <c r="W1297" s="3615"/>
      <c r="X1297" s="3841"/>
      <c r="Y1297" s="3615"/>
      <c r="Z1297" s="3709"/>
      <c r="AA1297" s="280"/>
      <c r="AB1297" s="3846"/>
      <c r="AC1297" s="3846"/>
      <c r="AD1297" s="3846"/>
      <c r="AE1297" s="3846"/>
      <c r="AF1297" s="3846"/>
      <c r="AG1297" s="3846"/>
      <c r="AH1297" s="3851"/>
      <c r="AI1297" s="3851"/>
    </row>
    <row r="1298" s="29" customFormat="1" ht="20" customHeight="1" spans="1:35">
      <c r="A1298" s="3576"/>
      <c r="B1298" s="3805"/>
      <c r="C1298" s="3807"/>
      <c r="D1298" s="3806"/>
      <c r="E1298" s="3806"/>
      <c r="F1298" s="3810"/>
      <c r="G1298" s="3806"/>
      <c r="H1298" s="3806"/>
      <c r="I1298" s="3747"/>
      <c r="J1298" s="3747"/>
      <c r="K1298" s="3812"/>
      <c r="L1298" s="3576"/>
      <c r="M1298" s="3747"/>
      <c r="N1298" s="651"/>
      <c r="O1298" s="3818"/>
      <c r="P1298" s="3819"/>
      <c r="Q1298" s="3862"/>
      <c r="R1298" s="3851"/>
      <c r="S1298" s="3863"/>
      <c r="T1298" s="3864"/>
      <c r="U1298" s="3876"/>
      <c r="V1298" s="3841"/>
      <c r="W1298" s="3615"/>
      <c r="X1298" s="3841"/>
      <c r="Y1298" s="3615"/>
      <c r="Z1298" s="3709"/>
      <c r="AA1298" s="280"/>
      <c r="AB1298" s="3846"/>
      <c r="AC1298" s="3846"/>
      <c r="AD1298" s="3846"/>
      <c r="AE1298" s="3846"/>
      <c r="AF1298" s="3846"/>
      <c r="AG1298" s="3846"/>
      <c r="AH1298" s="3851"/>
      <c r="AI1298" s="3851"/>
    </row>
    <row r="1299" s="29" customFormat="1" ht="20" customHeight="1" spans="1:35">
      <c r="A1299" s="3576"/>
      <c r="B1299" s="3805"/>
      <c r="C1299" s="3807"/>
      <c r="D1299" s="3806"/>
      <c r="E1299" s="3806"/>
      <c r="F1299" s="3810"/>
      <c r="G1299" s="3806"/>
      <c r="H1299" s="3806"/>
      <c r="I1299" s="3747"/>
      <c r="J1299" s="3747"/>
      <c r="K1299" s="3812"/>
      <c r="L1299" s="3576"/>
      <c r="M1299" s="3747"/>
      <c r="N1299" s="651"/>
      <c r="O1299" s="3818"/>
      <c r="P1299" s="3819"/>
      <c r="Q1299" s="3862"/>
      <c r="R1299" s="3851"/>
      <c r="S1299" s="3863"/>
      <c r="T1299" s="3864"/>
      <c r="U1299" s="3876"/>
      <c r="V1299" s="3841"/>
      <c r="W1299" s="3615"/>
      <c r="X1299" s="3841"/>
      <c r="Y1299" s="3615"/>
      <c r="Z1299" s="3709"/>
      <c r="AA1299" s="280"/>
      <c r="AB1299" s="3846"/>
      <c r="AC1299" s="3846"/>
      <c r="AD1299" s="3846"/>
      <c r="AE1299" s="3846"/>
      <c r="AF1299" s="3846"/>
      <c r="AG1299" s="3846"/>
      <c r="AH1299" s="3851"/>
      <c r="AI1299" s="3851"/>
    </row>
    <row r="1300" s="29" customFormat="1" ht="20" customHeight="1" spans="1:35">
      <c r="A1300" s="3576"/>
      <c r="B1300" s="3805"/>
      <c r="C1300" s="3807"/>
      <c r="D1300" s="3806"/>
      <c r="E1300" s="3806"/>
      <c r="F1300" s="3810"/>
      <c r="G1300" s="3806"/>
      <c r="H1300" s="3806"/>
      <c r="I1300" s="3747"/>
      <c r="J1300" s="3747"/>
      <c r="K1300" s="3812"/>
      <c r="L1300" s="3576"/>
      <c r="M1300" s="3577"/>
      <c r="N1300" s="651"/>
      <c r="O1300" s="3820"/>
      <c r="P1300" s="3821"/>
      <c r="Q1300" s="3865"/>
      <c r="R1300" s="930"/>
      <c r="S1300" s="3866"/>
      <c r="T1300" s="3867"/>
      <c r="U1300" s="3877"/>
      <c r="V1300" s="3841"/>
      <c r="W1300" s="3615"/>
      <c r="X1300" s="3841"/>
      <c r="Y1300" s="3615"/>
      <c r="Z1300" s="3709"/>
      <c r="AA1300" s="280"/>
      <c r="AB1300" s="3846"/>
      <c r="AC1300" s="3846"/>
      <c r="AD1300" s="3846"/>
      <c r="AE1300" s="3846"/>
      <c r="AF1300" s="3846"/>
      <c r="AG1300" s="3846"/>
      <c r="AH1300" s="3851"/>
      <c r="AI1300" s="3851"/>
    </row>
    <row r="1301" s="29" customFormat="1" ht="92" spans="1:35">
      <c r="A1301" s="3576"/>
      <c r="B1301" s="3805"/>
      <c r="C1301" s="3807"/>
      <c r="D1301" s="3806"/>
      <c r="E1301" s="3806"/>
      <c r="F1301" s="3810"/>
      <c r="G1301" s="3806"/>
      <c r="H1301" s="3806"/>
      <c r="I1301" s="3747"/>
      <c r="J1301" s="3747"/>
      <c r="K1301" s="3812"/>
      <c r="L1301" s="3576"/>
      <c r="M1301" s="3576">
        <v>6</v>
      </c>
      <c r="N1301" s="172" t="s">
        <v>5070</v>
      </c>
      <c r="O1301" s="3854">
        <v>0.05</v>
      </c>
      <c r="P1301" s="837">
        <f>K1284*O1301</f>
        <v>83290.24</v>
      </c>
      <c r="Q1301" s="3833"/>
      <c r="R1301" s="280"/>
      <c r="S1301" s="282"/>
      <c r="T1301" s="3832"/>
      <c r="U1301" s="3842"/>
      <c r="V1301" s="3841"/>
      <c r="W1301" s="3615"/>
      <c r="X1301" s="3841"/>
      <c r="Y1301" s="3615"/>
      <c r="Z1301" s="3709"/>
      <c r="AA1301" s="280"/>
      <c r="AB1301" s="3846"/>
      <c r="AC1301" s="3846"/>
      <c r="AD1301" s="3846"/>
      <c r="AE1301" s="3846"/>
      <c r="AF1301" s="3846"/>
      <c r="AG1301" s="3846"/>
      <c r="AH1301" s="3851"/>
      <c r="AI1301" s="3851"/>
    </row>
    <row r="1302" s="29" customFormat="1" ht="92" spans="1:35">
      <c r="A1302" s="3576"/>
      <c r="B1302" s="3805"/>
      <c r="C1302" s="3807"/>
      <c r="D1302" s="3806"/>
      <c r="E1302" s="3806"/>
      <c r="F1302" s="3810"/>
      <c r="G1302" s="3806"/>
      <c r="H1302" s="3806"/>
      <c r="I1302" s="3747"/>
      <c r="J1302" s="3747"/>
      <c r="K1302" s="3812"/>
      <c r="L1302" s="3576"/>
      <c r="M1302" s="128">
        <v>7</v>
      </c>
      <c r="N1302" s="172" t="s">
        <v>5071</v>
      </c>
      <c r="O1302" s="3854">
        <v>0.05</v>
      </c>
      <c r="P1302" s="837">
        <f>K1284*O1302</f>
        <v>83290.24</v>
      </c>
      <c r="Q1302" s="3858"/>
      <c r="R1302" s="280"/>
      <c r="S1302" s="3584"/>
      <c r="T1302" s="3709"/>
      <c r="U1302" s="3870"/>
      <c r="V1302" s="3709"/>
      <c r="W1302" s="3846"/>
      <c r="X1302" s="3858"/>
      <c r="Y1302" s="282"/>
      <c r="Z1302" s="3846"/>
      <c r="AA1302" s="3709"/>
      <c r="AB1302" s="3846"/>
      <c r="AC1302" s="3846"/>
      <c r="AD1302" s="3846"/>
      <c r="AE1302" s="3846"/>
      <c r="AF1302" s="3846"/>
      <c r="AG1302" s="3846"/>
      <c r="AH1302" s="3851"/>
      <c r="AI1302" s="3851"/>
    </row>
    <row r="1303" s="29" customFormat="1" ht="92" spans="1:35">
      <c r="A1303" s="3576"/>
      <c r="B1303" s="3830"/>
      <c r="C1303" s="3852"/>
      <c r="D1303" s="3853"/>
      <c r="E1303" s="3853"/>
      <c r="F1303" s="3810"/>
      <c r="G1303" s="3853"/>
      <c r="H1303" s="3853"/>
      <c r="I1303" s="3577"/>
      <c r="J1303" s="3577"/>
      <c r="K1303" s="3812"/>
      <c r="L1303" s="3576"/>
      <c r="M1303" s="128" t="s">
        <v>6237</v>
      </c>
      <c r="N1303" s="185" t="s">
        <v>6245</v>
      </c>
      <c r="O1303" s="3854">
        <v>0.1</v>
      </c>
      <c r="P1303" s="837">
        <f>K1284*O1303</f>
        <v>166580.48</v>
      </c>
      <c r="Q1303" s="3858"/>
      <c r="R1303" s="280"/>
      <c r="S1303" s="3584"/>
      <c r="T1303" s="3709"/>
      <c r="U1303" s="3709"/>
      <c r="V1303" s="3709"/>
      <c r="W1303" s="3846"/>
      <c r="X1303" s="3858"/>
      <c r="Y1303" s="282"/>
      <c r="Z1303" s="3846"/>
      <c r="AA1303" s="3709"/>
      <c r="AB1303" s="3846"/>
      <c r="AC1303" s="3846"/>
      <c r="AD1303" s="3846"/>
      <c r="AE1303" s="3846"/>
      <c r="AF1303" s="3846"/>
      <c r="AG1303" s="3846"/>
      <c r="AH1303" s="930"/>
      <c r="AI1303" s="930"/>
    </row>
    <row r="1304" s="29" customFormat="1" ht="92" spans="1:35">
      <c r="A1304" s="128" t="s">
        <v>111</v>
      </c>
      <c r="B1304" s="3803">
        <v>45421</v>
      </c>
      <c r="C1304" s="649" t="s">
        <v>1763</v>
      </c>
      <c r="D1304" s="3804"/>
      <c r="E1304" s="647" t="s">
        <v>6246</v>
      </c>
      <c r="F1304" s="127" t="s">
        <v>6247</v>
      </c>
      <c r="G1304" s="647" t="s">
        <v>6248</v>
      </c>
      <c r="H1304" s="647" t="s">
        <v>5074</v>
      </c>
      <c r="I1304" s="3745">
        <v>1044.5</v>
      </c>
      <c r="J1304" s="3745">
        <v>430</v>
      </c>
      <c r="K1304" s="3812">
        <f>I1304*J1304</f>
        <v>449135</v>
      </c>
      <c r="L1304" s="128" t="s">
        <v>126</v>
      </c>
      <c r="M1304" s="3576">
        <v>1</v>
      </c>
      <c r="N1304" s="185" t="s">
        <v>5513</v>
      </c>
      <c r="O1304" s="3854">
        <v>0.2</v>
      </c>
      <c r="P1304" s="837">
        <f>K1304*O1304</f>
        <v>89827</v>
      </c>
      <c r="Q1304" s="3576">
        <f>P1304</f>
        <v>89827</v>
      </c>
      <c r="R1304" s="128" t="s">
        <v>4603</v>
      </c>
      <c r="S1304" s="3615">
        <v>45442</v>
      </c>
      <c r="T1304" s="3576">
        <v>89827</v>
      </c>
      <c r="U1304" s="3615">
        <v>45442</v>
      </c>
      <c r="V1304" s="3878">
        <v>100000</v>
      </c>
      <c r="W1304" s="3837">
        <v>45665</v>
      </c>
      <c r="X1304" s="3879">
        <v>100000</v>
      </c>
      <c r="Y1304" s="3837">
        <v>45681</v>
      </c>
      <c r="Z1304" s="3894"/>
      <c r="AA1304" s="280"/>
      <c r="AB1304" s="3846"/>
      <c r="AC1304" s="3846"/>
      <c r="AD1304" s="3846"/>
      <c r="AE1304" s="3846"/>
      <c r="AF1304" s="3846"/>
      <c r="AG1304" s="3846"/>
      <c r="AH1304" s="3850" t="s">
        <v>197</v>
      </c>
      <c r="AI1304" s="3850" t="s">
        <v>154</v>
      </c>
    </row>
    <row r="1305" s="29" customFormat="1" ht="92" spans="1:35">
      <c r="A1305" s="3576"/>
      <c r="B1305" s="3805"/>
      <c r="C1305" s="3807"/>
      <c r="D1305" s="3806"/>
      <c r="E1305" s="3806"/>
      <c r="F1305" s="3810"/>
      <c r="G1305" s="3806"/>
      <c r="H1305" s="3806"/>
      <c r="I1305" s="3747"/>
      <c r="J1305" s="3747"/>
      <c r="K1305" s="3812"/>
      <c r="L1305" s="3576"/>
      <c r="M1305" s="3576">
        <v>2</v>
      </c>
      <c r="N1305" s="185" t="s">
        <v>6249</v>
      </c>
      <c r="O1305" s="3854">
        <v>0.2</v>
      </c>
      <c r="P1305" s="837">
        <f>K1304*O1305</f>
        <v>89827</v>
      </c>
      <c r="Q1305" s="3576">
        <f>P1305</f>
        <v>89827</v>
      </c>
      <c r="R1305" s="128" t="s">
        <v>4603</v>
      </c>
      <c r="S1305" s="3615">
        <v>45442</v>
      </c>
      <c r="T1305" s="3576">
        <v>89827</v>
      </c>
      <c r="U1305" s="3803">
        <v>45442</v>
      </c>
      <c r="V1305" s="3880">
        <v>160000</v>
      </c>
      <c r="W1305" s="3881">
        <v>45873</v>
      </c>
      <c r="X1305" s="3882">
        <v>160000</v>
      </c>
      <c r="Y1305" s="3881">
        <v>45884</v>
      </c>
      <c r="Z1305" s="3709"/>
      <c r="AA1305" s="280"/>
      <c r="AB1305" s="3846"/>
      <c r="AC1305" s="3846"/>
      <c r="AD1305" s="3846"/>
      <c r="AE1305" s="3846"/>
      <c r="AF1305" s="3846"/>
      <c r="AG1305" s="3846"/>
      <c r="AH1305" s="3851"/>
      <c r="AI1305" s="3851"/>
    </row>
    <row r="1306" s="29" customFormat="1" ht="92" spans="1:35">
      <c r="A1306" s="3576"/>
      <c r="B1306" s="3805"/>
      <c r="C1306" s="3807"/>
      <c r="D1306" s="3806"/>
      <c r="E1306" s="3806"/>
      <c r="F1306" s="3810"/>
      <c r="G1306" s="3806"/>
      <c r="H1306" s="3806"/>
      <c r="I1306" s="3747"/>
      <c r="J1306" s="3747"/>
      <c r="K1306" s="3812"/>
      <c r="L1306" s="3576"/>
      <c r="M1306" s="3576">
        <v>3</v>
      </c>
      <c r="N1306" s="185" t="s">
        <v>6250</v>
      </c>
      <c r="O1306" s="3854">
        <v>0.2</v>
      </c>
      <c r="P1306" s="837">
        <f>K1304*O1306</f>
        <v>89827</v>
      </c>
      <c r="Q1306" s="3576">
        <f>P1306</f>
        <v>89827</v>
      </c>
      <c r="R1306" s="128" t="s">
        <v>4603</v>
      </c>
      <c r="S1306" s="3615">
        <v>45442</v>
      </c>
      <c r="T1306" s="3576">
        <v>89827</v>
      </c>
      <c r="U1306" s="3615">
        <v>45442</v>
      </c>
      <c r="V1306" s="3838">
        <v>60000</v>
      </c>
      <c r="W1306" s="3837">
        <v>45905</v>
      </c>
      <c r="X1306" s="3883">
        <v>60000</v>
      </c>
      <c r="Y1306" s="3837">
        <v>45919</v>
      </c>
      <c r="Z1306" s="3709"/>
      <c r="AA1306" s="280"/>
      <c r="AB1306" s="3846"/>
      <c r="AC1306" s="3846"/>
      <c r="AD1306" s="3846"/>
      <c r="AE1306" s="3846"/>
      <c r="AF1306" s="3846"/>
      <c r="AG1306" s="3846"/>
      <c r="AH1306" s="3851"/>
      <c r="AI1306" s="3851"/>
    </row>
    <row r="1307" s="29" customFormat="1" ht="92" spans="1:35">
      <c r="A1307" s="3576"/>
      <c r="B1307" s="3805"/>
      <c r="C1307" s="3807"/>
      <c r="D1307" s="3806"/>
      <c r="E1307" s="3806"/>
      <c r="F1307" s="3810"/>
      <c r="G1307" s="3806"/>
      <c r="H1307" s="3806"/>
      <c r="I1307" s="3747"/>
      <c r="J1307" s="3747"/>
      <c r="K1307" s="3812"/>
      <c r="L1307" s="3576"/>
      <c r="M1307" s="3576">
        <v>4</v>
      </c>
      <c r="N1307" s="185" t="s">
        <v>6251</v>
      </c>
      <c r="O1307" s="3854">
        <v>0.2</v>
      </c>
      <c r="P1307" s="837">
        <f>K1304*O1307</f>
        <v>89827</v>
      </c>
      <c r="Q1307" s="3576">
        <f>P1307</f>
        <v>89827</v>
      </c>
      <c r="R1307" s="128" t="s">
        <v>4603</v>
      </c>
      <c r="S1307" s="3615">
        <v>45442</v>
      </c>
      <c r="T1307" s="3576">
        <v>89827</v>
      </c>
      <c r="U1307" s="3615">
        <v>45442</v>
      </c>
      <c r="V1307" s="3839">
        <v>39308</v>
      </c>
      <c r="W1307" s="3616"/>
      <c r="X1307" s="3884">
        <v>39308</v>
      </c>
      <c r="Y1307" s="3616">
        <v>46016</v>
      </c>
      <c r="Z1307" s="3709"/>
      <c r="AA1307" s="280"/>
      <c r="AB1307" s="3846"/>
      <c r="AC1307" s="3846"/>
      <c r="AD1307" s="3846"/>
      <c r="AE1307" s="3846"/>
      <c r="AF1307" s="3846"/>
      <c r="AG1307" s="3846"/>
      <c r="AH1307" s="3851"/>
      <c r="AI1307" s="3851"/>
    </row>
    <row r="1308" s="29" customFormat="1" ht="76" spans="1:35">
      <c r="A1308" s="3576"/>
      <c r="B1308" s="3805"/>
      <c r="C1308" s="3807"/>
      <c r="D1308" s="3806"/>
      <c r="E1308" s="3806"/>
      <c r="F1308" s="3810"/>
      <c r="G1308" s="3806"/>
      <c r="H1308" s="3806"/>
      <c r="I1308" s="3747"/>
      <c r="J1308" s="3747"/>
      <c r="K1308" s="3812"/>
      <c r="L1308" s="3576"/>
      <c r="M1308" s="3576">
        <v>5</v>
      </c>
      <c r="N1308" s="185" t="s">
        <v>5312</v>
      </c>
      <c r="O1308" s="3854">
        <v>0.05</v>
      </c>
      <c r="P1308" s="837">
        <f>K1304*O1308</f>
        <v>22456.75</v>
      </c>
      <c r="Q1308" s="3833"/>
      <c r="R1308" s="280"/>
      <c r="S1308" s="282"/>
      <c r="T1308" s="3832"/>
      <c r="U1308" s="276"/>
      <c r="V1308" s="3841"/>
      <c r="W1308" s="3615"/>
      <c r="X1308" s="3841"/>
      <c r="Y1308" s="3615"/>
      <c r="Z1308" s="3709"/>
      <c r="AA1308" s="280"/>
      <c r="AB1308" s="3846"/>
      <c r="AC1308" s="3846"/>
      <c r="AD1308" s="3846"/>
      <c r="AE1308" s="3846"/>
      <c r="AF1308" s="3846"/>
      <c r="AG1308" s="3846"/>
      <c r="AH1308" s="3851"/>
      <c r="AI1308" s="3851"/>
    </row>
    <row r="1309" s="29" customFormat="1" ht="76" spans="1:35">
      <c r="A1309" s="3576"/>
      <c r="B1309" s="3805"/>
      <c r="C1309" s="3807"/>
      <c r="D1309" s="3806"/>
      <c r="E1309" s="3806"/>
      <c r="F1309" s="3810"/>
      <c r="G1309" s="3806"/>
      <c r="H1309" s="3806"/>
      <c r="I1309" s="3747"/>
      <c r="J1309" s="3747"/>
      <c r="K1309" s="3812"/>
      <c r="L1309" s="3576"/>
      <c r="M1309" s="3576">
        <v>6</v>
      </c>
      <c r="N1309" s="185" t="s">
        <v>3634</v>
      </c>
      <c r="O1309" s="3854">
        <v>0.05</v>
      </c>
      <c r="P1309" s="837">
        <f>K1304*O1309</f>
        <v>22456.75</v>
      </c>
      <c r="Q1309" s="3833"/>
      <c r="R1309" s="280"/>
      <c r="S1309" s="282"/>
      <c r="T1309" s="3832"/>
      <c r="U1309" s="3842"/>
      <c r="V1309" s="3841"/>
      <c r="W1309" s="3615"/>
      <c r="X1309" s="3841"/>
      <c r="Y1309" s="3615"/>
      <c r="Z1309" s="3709"/>
      <c r="AA1309" s="280"/>
      <c r="AB1309" s="3846"/>
      <c r="AC1309" s="3846"/>
      <c r="AD1309" s="3846"/>
      <c r="AE1309" s="3846"/>
      <c r="AF1309" s="3846"/>
      <c r="AG1309" s="3846"/>
      <c r="AH1309" s="3851"/>
      <c r="AI1309" s="3851"/>
    </row>
    <row r="1310" s="29" customFormat="1" ht="92" spans="1:35">
      <c r="A1310" s="3576"/>
      <c r="B1310" s="3830"/>
      <c r="C1310" s="3852"/>
      <c r="D1310" s="3853"/>
      <c r="E1310" s="3853"/>
      <c r="F1310" s="3810"/>
      <c r="G1310" s="3853"/>
      <c r="H1310" s="3853"/>
      <c r="I1310" s="3577"/>
      <c r="J1310" s="3577"/>
      <c r="K1310" s="3812"/>
      <c r="L1310" s="3576"/>
      <c r="M1310" s="128" t="s">
        <v>6237</v>
      </c>
      <c r="N1310" s="185" t="s">
        <v>6245</v>
      </c>
      <c r="O1310" s="3854">
        <v>0.1</v>
      </c>
      <c r="P1310" s="837">
        <f>K1304*O1310</f>
        <v>44913.5</v>
      </c>
      <c r="Q1310" s="3858"/>
      <c r="R1310" s="280"/>
      <c r="S1310" s="3584"/>
      <c r="T1310" s="3709"/>
      <c r="U1310" s="3709"/>
      <c r="V1310" s="3709"/>
      <c r="W1310" s="3846"/>
      <c r="X1310" s="3858"/>
      <c r="Y1310" s="282"/>
      <c r="Z1310" s="3846"/>
      <c r="AA1310" s="3709"/>
      <c r="AB1310" s="3846"/>
      <c r="AC1310" s="3846"/>
      <c r="AD1310" s="3846"/>
      <c r="AE1310" s="3846"/>
      <c r="AF1310" s="3846"/>
      <c r="AG1310" s="3846"/>
      <c r="AH1310" s="930"/>
      <c r="AI1310" s="930"/>
    </row>
    <row r="1311" s="29" customFormat="1" ht="92" spans="1:35">
      <c r="A1311" s="128" t="s">
        <v>111</v>
      </c>
      <c r="B1311" s="3803">
        <v>45576</v>
      </c>
      <c r="C1311" s="649" t="s">
        <v>1763</v>
      </c>
      <c r="D1311" s="3804"/>
      <c r="E1311" s="647" t="s">
        <v>6252</v>
      </c>
      <c r="F1311" s="127" t="s">
        <v>6253</v>
      </c>
      <c r="G1311" s="647" t="s">
        <v>6254</v>
      </c>
      <c r="H1311" s="647" t="s">
        <v>5128</v>
      </c>
      <c r="I1311" s="3745">
        <v>1507.21</v>
      </c>
      <c r="J1311" s="3745">
        <v>334.51</v>
      </c>
      <c r="K1311" s="3812">
        <v>504177.8</v>
      </c>
      <c r="L1311" s="128" t="s">
        <v>126</v>
      </c>
      <c r="M1311" s="3576">
        <v>1</v>
      </c>
      <c r="N1311" s="185" t="s">
        <v>5513</v>
      </c>
      <c r="O1311" s="3854">
        <v>0.15</v>
      </c>
      <c r="P1311" s="837">
        <f>K1311*O1311</f>
        <v>75626.67</v>
      </c>
      <c r="Q1311" s="3576">
        <f>P1311</f>
        <v>75626.67</v>
      </c>
      <c r="R1311" s="128" t="s">
        <v>4603</v>
      </c>
      <c r="S1311" s="3615">
        <v>45623</v>
      </c>
      <c r="T1311" s="3576">
        <f>Q1311</f>
        <v>75626.67</v>
      </c>
      <c r="U1311" s="3885">
        <v>45623</v>
      </c>
      <c r="V1311" s="3817">
        <v>302506.68</v>
      </c>
      <c r="W1311" s="3803">
        <v>45628</v>
      </c>
      <c r="X1311" s="3817">
        <v>220000</v>
      </c>
      <c r="Y1311" s="3803">
        <v>45656</v>
      </c>
      <c r="Z1311" s="3894"/>
      <c r="AA1311" s="647" t="s">
        <v>6255</v>
      </c>
      <c r="AB1311" s="3846"/>
      <c r="AC1311" s="3846"/>
      <c r="AD1311" s="3846"/>
      <c r="AE1311" s="3846"/>
      <c r="AF1311" s="3846"/>
      <c r="AG1311" s="3846"/>
      <c r="AH1311" s="3850" t="s">
        <v>197</v>
      </c>
      <c r="AI1311" s="3850" t="s">
        <v>154</v>
      </c>
    </row>
    <row r="1312" s="29" customFormat="1" ht="92" spans="1:35">
      <c r="A1312" s="3576"/>
      <c r="B1312" s="3805"/>
      <c r="C1312" s="3807"/>
      <c r="D1312" s="3806"/>
      <c r="E1312" s="3806"/>
      <c r="F1312" s="3810"/>
      <c r="G1312" s="3806"/>
      <c r="H1312" s="3806"/>
      <c r="I1312" s="3747"/>
      <c r="J1312" s="3747"/>
      <c r="K1312" s="3812"/>
      <c r="L1312" s="3576"/>
      <c r="M1312" s="3576">
        <v>2</v>
      </c>
      <c r="N1312" s="185" t="s">
        <v>6249</v>
      </c>
      <c r="O1312" s="3854">
        <v>0.25</v>
      </c>
      <c r="P1312" s="837">
        <f>K1311*O1312</f>
        <v>126044.45</v>
      </c>
      <c r="Q1312" s="3576">
        <f>P1312</f>
        <v>126044.45</v>
      </c>
      <c r="R1312" s="128" t="s">
        <v>4603</v>
      </c>
      <c r="S1312" s="3615">
        <v>45623</v>
      </c>
      <c r="T1312" s="3576">
        <f>Q1312</f>
        <v>126044.45</v>
      </c>
      <c r="U1312" s="3885">
        <v>45623</v>
      </c>
      <c r="V1312" s="3819"/>
      <c r="W1312" s="3805"/>
      <c r="X1312" s="3821"/>
      <c r="Y1312" s="3830"/>
      <c r="Z1312" s="3709"/>
      <c r="AA1312" s="651"/>
      <c r="AB1312" s="3846"/>
      <c r="AC1312" s="3846"/>
      <c r="AD1312" s="3846"/>
      <c r="AE1312" s="3846"/>
      <c r="AF1312" s="3846"/>
      <c r="AG1312" s="3846"/>
      <c r="AH1312" s="3851"/>
      <c r="AI1312" s="3851"/>
    </row>
    <row r="1313" s="29" customFormat="1" ht="92" spans="1:35">
      <c r="A1313" s="3576"/>
      <c r="B1313" s="3805"/>
      <c r="C1313" s="3807"/>
      <c r="D1313" s="3806"/>
      <c r="E1313" s="3806"/>
      <c r="F1313" s="3810"/>
      <c r="G1313" s="3806"/>
      <c r="H1313" s="3806"/>
      <c r="I1313" s="3747"/>
      <c r="J1313" s="3747"/>
      <c r="K1313" s="3812"/>
      <c r="L1313" s="3576"/>
      <c r="M1313" s="3576">
        <v>3</v>
      </c>
      <c r="N1313" s="185" t="s">
        <v>6250</v>
      </c>
      <c r="O1313" s="3854">
        <v>0.2</v>
      </c>
      <c r="P1313" s="837">
        <f>K1311*O1313</f>
        <v>100835.56</v>
      </c>
      <c r="Q1313" s="3576">
        <f>P1313</f>
        <v>100835.56</v>
      </c>
      <c r="R1313" s="128" t="s">
        <v>4603</v>
      </c>
      <c r="S1313" s="3615">
        <v>45623</v>
      </c>
      <c r="T1313" s="3576">
        <f>Q1313</f>
        <v>100835.56</v>
      </c>
      <c r="U1313" s="3615">
        <v>45623</v>
      </c>
      <c r="V1313" s="3821"/>
      <c r="W1313" s="3830"/>
      <c r="X1313" s="3576">
        <f>V1311-X1311</f>
        <v>82506.68</v>
      </c>
      <c r="Y1313" s="3615">
        <v>45884</v>
      </c>
      <c r="Z1313" s="3709"/>
      <c r="AA1313" s="651"/>
      <c r="AB1313" s="3846"/>
      <c r="AC1313" s="3846"/>
      <c r="AD1313" s="3846"/>
      <c r="AE1313" s="3846"/>
      <c r="AF1313" s="3846"/>
      <c r="AG1313" s="3846"/>
      <c r="AH1313" s="3851"/>
      <c r="AI1313" s="3851"/>
    </row>
    <row r="1314" s="29" customFormat="1" ht="47.25" customHeight="1" spans="1:35">
      <c r="A1314" s="3576"/>
      <c r="B1314" s="3805"/>
      <c r="C1314" s="3807"/>
      <c r="D1314" s="3806"/>
      <c r="E1314" s="3806"/>
      <c r="F1314" s="3810"/>
      <c r="G1314" s="3806"/>
      <c r="H1314" s="3806"/>
      <c r="I1314" s="3747"/>
      <c r="J1314" s="3747"/>
      <c r="K1314" s="3812"/>
      <c r="L1314" s="3576"/>
      <c r="M1314" s="3745">
        <v>4</v>
      </c>
      <c r="N1314" s="647" t="s">
        <v>6251</v>
      </c>
      <c r="O1314" s="3816">
        <v>0.2</v>
      </c>
      <c r="P1314" s="3817">
        <f>K1311*O1314</f>
        <v>100835.56</v>
      </c>
      <c r="Q1314" s="3745">
        <f>P1314</f>
        <v>100835.56</v>
      </c>
      <c r="R1314" s="149" t="s">
        <v>4603</v>
      </c>
      <c r="S1314" s="3803">
        <v>45623</v>
      </c>
      <c r="T1314" s="3745">
        <f>Q1314</f>
        <v>100835.56</v>
      </c>
      <c r="U1314" s="3615">
        <v>45623</v>
      </c>
      <c r="V1314" s="3886">
        <v>77493.32</v>
      </c>
      <c r="W1314" s="3442">
        <v>45873</v>
      </c>
      <c r="X1314" s="3841">
        <v>44866.28</v>
      </c>
      <c r="Y1314" s="3615">
        <v>45884</v>
      </c>
      <c r="Z1314" s="3585"/>
      <c r="AA1314" s="1067"/>
      <c r="AB1314" s="3846"/>
      <c r="AC1314" s="3846"/>
      <c r="AD1314" s="3846"/>
      <c r="AE1314" s="3846"/>
      <c r="AF1314" s="3846"/>
      <c r="AG1314" s="3846"/>
      <c r="AH1314" s="3851"/>
      <c r="AI1314" s="3851"/>
    </row>
    <row r="1315" s="29" customFormat="1" ht="47.25" customHeight="1" spans="1:35">
      <c r="A1315" s="3576"/>
      <c r="B1315" s="3805"/>
      <c r="C1315" s="3807"/>
      <c r="D1315" s="3806"/>
      <c r="E1315" s="3806"/>
      <c r="F1315" s="3810"/>
      <c r="G1315" s="3806"/>
      <c r="H1315" s="3806"/>
      <c r="I1315" s="3747"/>
      <c r="J1315" s="3747"/>
      <c r="K1315" s="2676"/>
      <c r="L1315" s="3576"/>
      <c r="M1315" s="3747"/>
      <c r="N1315" s="651"/>
      <c r="O1315" s="3818"/>
      <c r="P1315" s="3819"/>
      <c r="Q1315" s="3813"/>
      <c r="R1315" s="151"/>
      <c r="S1315" s="3805"/>
      <c r="T1315" s="3747"/>
      <c r="U1315" s="3615"/>
      <c r="V1315" s="3887"/>
      <c r="W1315" s="3444"/>
      <c r="X1315" s="3841">
        <v>32627.04</v>
      </c>
      <c r="Y1315" s="3615">
        <v>45884</v>
      </c>
      <c r="Z1315" s="3709"/>
      <c r="AA1315" s="930"/>
      <c r="AB1315" s="3846"/>
      <c r="AC1315" s="3846"/>
      <c r="AD1315" s="3846"/>
      <c r="AE1315" s="3846"/>
      <c r="AF1315" s="3846"/>
      <c r="AG1315" s="3846"/>
      <c r="AH1315" s="3851"/>
      <c r="AI1315" s="3851"/>
    </row>
    <row r="1316" s="29" customFormat="1" ht="47.25" customHeight="1" spans="1:35">
      <c r="A1316" s="3576"/>
      <c r="B1316" s="3805"/>
      <c r="C1316" s="3807"/>
      <c r="D1316" s="3806"/>
      <c r="E1316" s="3806"/>
      <c r="F1316" s="3810"/>
      <c r="G1316" s="3806"/>
      <c r="H1316" s="3806"/>
      <c r="I1316" s="3747"/>
      <c r="J1316" s="3747"/>
      <c r="K1316" s="2676"/>
      <c r="L1316" s="3576"/>
      <c r="M1316" s="3577"/>
      <c r="N1316" s="1067"/>
      <c r="O1316" s="3820"/>
      <c r="P1316" s="3821"/>
      <c r="Q1316" s="3829"/>
      <c r="R1316" s="152"/>
      <c r="S1316" s="3830"/>
      <c r="T1316" s="3577"/>
      <c r="U1316" s="3615"/>
      <c r="V1316" s="3888">
        <f>T1314-V1314</f>
        <v>23342.24</v>
      </c>
      <c r="W1316" s="3440"/>
      <c r="X1316" s="3841"/>
      <c r="Y1316" s="3615"/>
      <c r="Z1316" s="3709"/>
      <c r="AA1316" s="280" t="s">
        <v>6256</v>
      </c>
      <c r="AB1316" s="3846"/>
      <c r="AC1316" s="3846"/>
      <c r="AD1316" s="3846"/>
      <c r="AE1316" s="3846"/>
      <c r="AF1316" s="3846"/>
      <c r="AG1316" s="3846"/>
      <c r="AH1316" s="3851"/>
      <c r="AI1316" s="3851"/>
    </row>
    <row r="1317" s="29" customFormat="1" ht="76" spans="1:35">
      <c r="A1317" s="3576"/>
      <c r="B1317" s="3805"/>
      <c r="C1317" s="3807"/>
      <c r="D1317" s="3806"/>
      <c r="E1317" s="3806"/>
      <c r="F1317" s="3810"/>
      <c r="G1317" s="3806"/>
      <c r="H1317" s="3806"/>
      <c r="I1317" s="3747"/>
      <c r="J1317" s="3747"/>
      <c r="K1317" s="3812"/>
      <c r="L1317" s="3576"/>
      <c r="M1317" s="3576">
        <v>5</v>
      </c>
      <c r="N1317" s="185" t="s">
        <v>5312</v>
      </c>
      <c r="O1317" s="3854">
        <v>0.05</v>
      </c>
      <c r="P1317" s="837">
        <f>K1311*O1317</f>
        <v>25208.89</v>
      </c>
      <c r="Q1317" s="3833"/>
      <c r="R1317" s="280"/>
      <c r="S1317" s="282"/>
      <c r="T1317" s="3832"/>
      <c r="U1317" s="3842"/>
      <c r="V1317" s="3841"/>
      <c r="W1317" s="3615"/>
      <c r="X1317" s="3841"/>
      <c r="Y1317" s="3615"/>
      <c r="Z1317" s="3709"/>
      <c r="AA1317" s="280"/>
      <c r="AB1317" s="3846"/>
      <c r="AC1317" s="3846"/>
      <c r="AD1317" s="3846"/>
      <c r="AE1317" s="3846"/>
      <c r="AF1317" s="3846"/>
      <c r="AG1317" s="3846"/>
      <c r="AH1317" s="3851"/>
      <c r="AI1317" s="3851"/>
    </row>
    <row r="1318" s="29" customFormat="1" ht="76" spans="1:35">
      <c r="A1318" s="3576"/>
      <c r="B1318" s="3805"/>
      <c r="C1318" s="3807"/>
      <c r="D1318" s="3806"/>
      <c r="E1318" s="3806"/>
      <c r="F1318" s="3810"/>
      <c r="G1318" s="3806"/>
      <c r="H1318" s="3806"/>
      <c r="I1318" s="3747"/>
      <c r="J1318" s="3747"/>
      <c r="K1318" s="3812"/>
      <c r="L1318" s="3576"/>
      <c r="M1318" s="3576">
        <v>6</v>
      </c>
      <c r="N1318" s="185" t="s">
        <v>3634</v>
      </c>
      <c r="O1318" s="3854">
        <v>0.05</v>
      </c>
      <c r="P1318" s="837">
        <f>K1311*O1318</f>
        <v>25208.89</v>
      </c>
      <c r="Q1318" s="3833"/>
      <c r="R1318" s="280"/>
      <c r="S1318" s="282"/>
      <c r="T1318" s="3832"/>
      <c r="U1318" s="3842"/>
      <c r="V1318" s="3841"/>
      <c r="W1318" s="3615"/>
      <c r="X1318" s="3841"/>
      <c r="Y1318" s="3615"/>
      <c r="Z1318" s="3709"/>
      <c r="AA1318" s="280"/>
      <c r="AB1318" s="3846"/>
      <c r="AC1318" s="3846"/>
      <c r="AD1318" s="3846"/>
      <c r="AE1318" s="3846"/>
      <c r="AF1318" s="3846"/>
      <c r="AG1318" s="3846"/>
      <c r="AH1318" s="3851"/>
      <c r="AI1318" s="3851"/>
    </row>
    <row r="1319" s="29" customFormat="1" ht="92" spans="1:35">
      <c r="A1319" s="3576"/>
      <c r="B1319" s="3830"/>
      <c r="C1319" s="3852"/>
      <c r="D1319" s="3853"/>
      <c r="E1319" s="3853"/>
      <c r="F1319" s="3810"/>
      <c r="G1319" s="3853"/>
      <c r="H1319" s="3853"/>
      <c r="I1319" s="3577"/>
      <c r="J1319" s="3577"/>
      <c r="K1319" s="3812"/>
      <c r="L1319" s="3576"/>
      <c r="M1319" s="128" t="s">
        <v>6237</v>
      </c>
      <c r="N1319" s="185" t="s">
        <v>6245</v>
      </c>
      <c r="O1319" s="3854">
        <v>0.1</v>
      </c>
      <c r="P1319" s="837">
        <f>K1311*O1319</f>
        <v>50417.78</v>
      </c>
      <c r="Q1319" s="3858"/>
      <c r="R1319" s="280"/>
      <c r="S1319" s="3584"/>
      <c r="T1319" s="3709"/>
      <c r="U1319" s="3709"/>
      <c r="V1319" s="3709"/>
      <c r="W1319" s="3846"/>
      <c r="X1319" s="3858"/>
      <c r="Y1319" s="282"/>
      <c r="Z1319" s="3846"/>
      <c r="AA1319" s="3709"/>
      <c r="AB1319" s="3846"/>
      <c r="AC1319" s="3846"/>
      <c r="AD1319" s="3846"/>
      <c r="AE1319" s="3846"/>
      <c r="AF1319" s="3846"/>
      <c r="AG1319" s="3846"/>
      <c r="AH1319" s="930"/>
      <c r="AI1319" s="930"/>
    </row>
    <row r="1320" s="4" customFormat="1" ht="30" customHeight="1" spans="1:35">
      <c r="A1320" s="3643" t="s">
        <v>111</v>
      </c>
      <c r="B1320" s="3644">
        <v>44445</v>
      </c>
      <c r="C1320" s="982" t="s">
        <v>1585</v>
      </c>
      <c r="D1320" s="3668" t="s">
        <v>171</v>
      </c>
      <c r="E1320" s="3738" t="s">
        <v>6257</v>
      </c>
      <c r="F1320" s="3738" t="s">
        <v>6258</v>
      </c>
      <c r="G1320" s="3668" t="s">
        <v>658</v>
      </c>
      <c r="H1320" s="3738" t="s">
        <v>6259</v>
      </c>
      <c r="I1320" s="3738">
        <v>295488.82</v>
      </c>
      <c r="J1320" s="3643">
        <v>25.83</v>
      </c>
      <c r="K1320" s="2678">
        <v>7631363.03</v>
      </c>
      <c r="L1320" s="3668" t="s">
        <v>126</v>
      </c>
      <c r="M1320" s="3855" t="s">
        <v>6260</v>
      </c>
      <c r="N1320" s="705" t="s">
        <v>6261</v>
      </c>
      <c r="O1320" s="3751">
        <v>0.1</v>
      </c>
      <c r="P1320" s="3752">
        <f>4697771.46*O1320</f>
        <v>469777.146</v>
      </c>
      <c r="Q1320" s="3643">
        <v>66653.3</v>
      </c>
      <c r="R1320" s="3668" t="s">
        <v>4603</v>
      </c>
      <c r="S1320" s="858">
        <v>44911</v>
      </c>
      <c r="T1320" s="3643">
        <v>66653.3</v>
      </c>
      <c r="U1320" s="858">
        <v>44896</v>
      </c>
      <c r="V1320" s="1029">
        <v>66653.3</v>
      </c>
      <c r="W1320" s="858">
        <v>44930</v>
      </c>
      <c r="X1320" s="1029">
        <v>66653.3</v>
      </c>
      <c r="Y1320" s="858">
        <v>44939</v>
      </c>
      <c r="Z1320" s="3789"/>
      <c r="AA1320" s="3789"/>
      <c r="AB1320" s="3789"/>
      <c r="AC1320" s="3789"/>
      <c r="AD1320" s="3789"/>
      <c r="AE1320" s="3789"/>
      <c r="AF1320" s="3789"/>
      <c r="AG1320" s="3789"/>
      <c r="AH1320" s="3771" t="s">
        <v>6007</v>
      </c>
      <c r="AI1320" s="3771" t="s">
        <v>125</v>
      </c>
    </row>
    <row r="1321" s="4" customFormat="1" ht="30" customHeight="1" spans="1:35">
      <c r="A1321" s="3643"/>
      <c r="B1321" s="3645"/>
      <c r="C1321" s="982"/>
      <c r="D1321" s="3668"/>
      <c r="E1321" s="3738"/>
      <c r="F1321" s="3738"/>
      <c r="G1321" s="3668"/>
      <c r="H1321" s="3738"/>
      <c r="I1321" s="3738"/>
      <c r="J1321" s="3643"/>
      <c r="K1321" s="2678"/>
      <c r="L1321" s="3668"/>
      <c r="M1321" s="3856"/>
      <c r="N1321" s="709"/>
      <c r="O1321" s="3754"/>
      <c r="P1321" s="3755"/>
      <c r="Q1321" s="3643">
        <v>175975.702</v>
      </c>
      <c r="R1321" s="3668" t="s">
        <v>4603</v>
      </c>
      <c r="S1321" s="858">
        <v>44911</v>
      </c>
      <c r="T1321" s="3643">
        <v>175975.702</v>
      </c>
      <c r="U1321" s="858">
        <v>44896</v>
      </c>
      <c r="V1321" s="1029">
        <v>175975.7</v>
      </c>
      <c r="W1321" s="858">
        <v>44930</v>
      </c>
      <c r="X1321" s="1029">
        <v>175975.702</v>
      </c>
      <c r="Y1321" s="858">
        <v>44939</v>
      </c>
      <c r="Z1321" s="3789"/>
      <c r="AA1321" s="3789"/>
      <c r="AB1321" s="3789"/>
      <c r="AC1321" s="3789"/>
      <c r="AD1321" s="3789"/>
      <c r="AE1321" s="3789"/>
      <c r="AF1321" s="3789"/>
      <c r="AG1321" s="3789"/>
      <c r="AH1321" s="3868"/>
      <c r="AI1321" s="3868"/>
    </row>
    <row r="1322" s="4" customFormat="1" ht="30" customHeight="1" spans="1:35">
      <c r="A1322" s="3643"/>
      <c r="B1322" s="3645"/>
      <c r="C1322" s="3733"/>
      <c r="D1322" s="3643"/>
      <c r="E1322" s="3731"/>
      <c r="F1322" s="3731"/>
      <c r="G1322" s="3643"/>
      <c r="H1322" s="3731"/>
      <c r="I1322" s="3731"/>
      <c r="J1322" s="3643"/>
      <c r="K1322" s="2678"/>
      <c r="L1322" s="3643"/>
      <c r="M1322" s="3856"/>
      <c r="N1322" s="3541"/>
      <c r="O1322" s="3759"/>
      <c r="P1322" s="3760"/>
      <c r="Q1322" s="3643"/>
      <c r="R1322" s="3668"/>
      <c r="S1322" s="858"/>
      <c r="T1322" s="3643"/>
      <c r="U1322" s="3889"/>
      <c r="V1322" s="1029"/>
      <c r="W1322" s="3789"/>
      <c r="X1322" s="1029"/>
      <c r="Y1322" s="3643"/>
      <c r="Z1322" s="3789"/>
      <c r="AA1322" s="3789"/>
      <c r="AB1322" s="3789"/>
      <c r="AC1322" s="3789"/>
      <c r="AD1322" s="3789"/>
      <c r="AE1322" s="3789"/>
      <c r="AF1322" s="3789"/>
      <c r="AG1322" s="3789"/>
      <c r="AH1322" s="3868"/>
      <c r="AI1322" s="3868"/>
    </row>
    <row r="1323" s="4" customFormat="1" ht="30" customHeight="1" spans="1:35">
      <c r="A1323" s="3643"/>
      <c r="B1323" s="3645"/>
      <c r="C1323" s="3733"/>
      <c r="D1323" s="3643"/>
      <c r="E1323" s="3731"/>
      <c r="F1323" s="3731"/>
      <c r="G1323" s="3643"/>
      <c r="H1323" s="3731"/>
      <c r="I1323" s="3731"/>
      <c r="J1323" s="3643"/>
      <c r="K1323" s="2678"/>
      <c r="L1323" s="3643"/>
      <c r="M1323" s="3856"/>
      <c r="N1323" s="705" t="s">
        <v>6262</v>
      </c>
      <c r="O1323" s="3751">
        <v>0.05</v>
      </c>
      <c r="P1323" s="3752">
        <f>4697771.46*O1323</f>
        <v>234888.573</v>
      </c>
      <c r="Q1323" s="1029">
        <v>87987.851</v>
      </c>
      <c r="R1323" s="3668" t="s">
        <v>4603</v>
      </c>
      <c r="S1323" s="858">
        <v>44911</v>
      </c>
      <c r="T1323" s="3643">
        <v>87987.851</v>
      </c>
      <c r="U1323" s="858">
        <v>44896</v>
      </c>
      <c r="V1323" s="1029">
        <v>87987.85</v>
      </c>
      <c r="W1323" s="858">
        <v>44930</v>
      </c>
      <c r="X1323" s="1029">
        <v>87987.851</v>
      </c>
      <c r="Y1323" s="858">
        <v>44939</v>
      </c>
      <c r="Z1323" s="3789"/>
      <c r="AA1323" s="3789"/>
      <c r="AB1323" s="3789"/>
      <c r="AC1323" s="3789"/>
      <c r="AD1323" s="3789"/>
      <c r="AE1323" s="3789"/>
      <c r="AF1323" s="3789"/>
      <c r="AG1323" s="3789"/>
      <c r="AH1323" s="3868"/>
      <c r="AI1323" s="3868"/>
    </row>
    <row r="1324" s="4" customFormat="1" ht="30" customHeight="1" spans="1:35">
      <c r="A1324" s="3643"/>
      <c r="B1324" s="3645"/>
      <c r="C1324" s="3733"/>
      <c r="D1324" s="3643"/>
      <c r="E1324" s="3731"/>
      <c r="F1324" s="3731"/>
      <c r="G1324" s="3643"/>
      <c r="H1324" s="3731"/>
      <c r="I1324" s="3731"/>
      <c r="J1324" s="3643"/>
      <c r="K1324" s="2678"/>
      <c r="L1324" s="3643"/>
      <c r="M1324" s="3856"/>
      <c r="N1324" s="3541"/>
      <c r="O1324" s="3759"/>
      <c r="P1324" s="3760"/>
      <c r="Q1324" s="1029"/>
      <c r="R1324" s="3668"/>
      <c r="S1324" s="858"/>
      <c r="T1324" s="3643"/>
      <c r="U1324" s="858"/>
      <c r="V1324" s="1029"/>
      <c r="W1324" s="3789"/>
      <c r="X1324" s="1029"/>
      <c r="Y1324" s="3643"/>
      <c r="Z1324" s="3789"/>
      <c r="AA1324" s="3789"/>
      <c r="AB1324" s="3789"/>
      <c r="AC1324" s="3789"/>
      <c r="AD1324" s="3789"/>
      <c r="AE1324" s="3789"/>
      <c r="AF1324" s="3789"/>
      <c r="AG1324" s="3789"/>
      <c r="AH1324" s="3868"/>
      <c r="AI1324" s="3868"/>
    </row>
    <row r="1325" s="4" customFormat="1" ht="30" customHeight="1" spans="1:35">
      <c r="A1325" s="3643"/>
      <c r="B1325" s="3645"/>
      <c r="C1325" s="3733"/>
      <c r="D1325" s="3643"/>
      <c r="E1325" s="3731"/>
      <c r="F1325" s="3731"/>
      <c r="G1325" s="3643"/>
      <c r="H1325" s="3731"/>
      <c r="I1325" s="3731"/>
      <c r="J1325" s="3643"/>
      <c r="K1325" s="2678"/>
      <c r="L1325" s="3643"/>
      <c r="M1325" s="3856"/>
      <c r="N1325" s="705" t="s">
        <v>6263</v>
      </c>
      <c r="O1325" s="3751">
        <v>0.05</v>
      </c>
      <c r="P1325" s="3752">
        <f>4697771.46*O1325</f>
        <v>234888.573</v>
      </c>
      <c r="Q1325" s="1029">
        <v>87987.851</v>
      </c>
      <c r="R1325" s="3668" t="s">
        <v>4603</v>
      </c>
      <c r="S1325" s="858">
        <v>44911</v>
      </c>
      <c r="T1325" s="3643">
        <v>87987.851</v>
      </c>
      <c r="U1325" s="858">
        <v>44896</v>
      </c>
      <c r="V1325" s="1029">
        <v>87987.85</v>
      </c>
      <c r="W1325" s="858">
        <v>44930</v>
      </c>
      <c r="X1325" s="1029">
        <v>87987.851</v>
      </c>
      <c r="Y1325" s="858">
        <v>44939</v>
      </c>
      <c r="Z1325" s="3789"/>
      <c r="AA1325" s="3789"/>
      <c r="AB1325" s="3789"/>
      <c r="AC1325" s="3789"/>
      <c r="AD1325" s="3789"/>
      <c r="AE1325" s="3789"/>
      <c r="AF1325" s="3789"/>
      <c r="AG1325" s="3789"/>
      <c r="AH1325" s="3868"/>
      <c r="AI1325" s="3868"/>
    </row>
    <row r="1326" s="4" customFormat="1" ht="30" customHeight="1" spans="1:35">
      <c r="A1326" s="3643"/>
      <c r="B1326" s="3645"/>
      <c r="C1326" s="3733"/>
      <c r="D1326" s="3643"/>
      <c r="E1326" s="3731"/>
      <c r="F1326" s="3731"/>
      <c r="G1326" s="3643"/>
      <c r="H1326" s="3731"/>
      <c r="I1326" s="3731"/>
      <c r="J1326" s="3643"/>
      <c r="K1326" s="2678"/>
      <c r="L1326" s="3643"/>
      <c r="M1326" s="3856"/>
      <c r="N1326" s="3541"/>
      <c r="O1326" s="3759"/>
      <c r="P1326" s="3760"/>
      <c r="Q1326" s="1029"/>
      <c r="R1326" s="3668"/>
      <c r="S1326" s="858"/>
      <c r="T1326" s="3643"/>
      <c r="U1326" s="3889"/>
      <c r="V1326" s="1029"/>
      <c r="W1326" s="3789"/>
      <c r="X1326" s="1029"/>
      <c r="Y1326" s="3643"/>
      <c r="Z1326" s="3789"/>
      <c r="AA1326" s="3789"/>
      <c r="AB1326" s="3789"/>
      <c r="AC1326" s="3789"/>
      <c r="AD1326" s="3789"/>
      <c r="AE1326" s="3789"/>
      <c r="AF1326" s="3789"/>
      <c r="AG1326" s="3789"/>
      <c r="AH1326" s="3868"/>
      <c r="AI1326" s="3868"/>
    </row>
    <row r="1327" s="4" customFormat="1" ht="30" customHeight="1" spans="1:35">
      <c r="A1327" s="3643"/>
      <c r="B1327" s="3645"/>
      <c r="C1327" s="3733"/>
      <c r="D1327" s="3643"/>
      <c r="E1327" s="3731"/>
      <c r="F1327" s="3731"/>
      <c r="G1327" s="3643"/>
      <c r="H1327" s="3731"/>
      <c r="I1327" s="3731"/>
      <c r="J1327" s="3643"/>
      <c r="K1327" s="2678"/>
      <c r="L1327" s="3643"/>
      <c r="M1327" s="3856"/>
      <c r="N1327" s="705" t="s">
        <v>6264</v>
      </c>
      <c r="O1327" s="3751">
        <v>0.05</v>
      </c>
      <c r="P1327" s="3752">
        <f>4697771.46*O1327</f>
        <v>234888.573</v>
      </c>
      <c r="Q1327" s="1029">
        <v>87987.851</v>
      </c>
      <c r="R1327" s="3668" t="s">
        <v>4603</v>
      </c>
      <c r="S1327" s="858">
        <v>44911</v>
      </c>
      <c r="T1327" s="3643">
        <v>87987.851</v>
      </c>
      <c r="U1327" s="858">
        <v>44896</v>
      </c>
      <c r="V1327" s="1029">
        <v>87987.85</v>
      </c>
      <c r="W1327" s="858">
        <v>44930</v>
      </c>
      <c r="X1327" s="1029">
        <v>87987.851</v>
      </c>
      <c r="Y1327" s="858">
        <v>44939</v>
      </c>
      <c r="Z1327" s="3789"/>
      <c r="AA1327" s="3789"/>
      <c r="AB1327" s="3789"/>
      <c r="AC1327" s="3789"/>
      <c r="AD1327" s="3789"/>
      <c r="AE1327" s="3789"/>
      <c r="AF1327" s="3789"/>
      <c r="AG1327" s="3789"/>
      <c r="AH1327" s="3868"/>
      <c r="AI1327" s="3868"/>
    </row>
    <row r="1328" s="4" customFormat="1" ht="30" customHeight="1" spans="1:35">
      <c r="A1328" s="3643"/>
      <c r="B1328" s="3645"/>
      <c r="C1328" s="3733"/>
      <c r="D1328" s="3643"/>
      <c r="E1328" s="3731"/>
      <c r="F1328" s="3731"/>
      <c r="G1328" s="3643"/>
      <c r="H1328" s="3731"/>
      <c r="I1328" s="3731"/>
      <c r="J1328" s="3643"/>
      <c r="K1328" s="2678"/>
      <c r="L1328" s="3643"/>
      <c r="M1328" s="3856"/>
      <c r="N1328" s="3541"/>
      <c r="O1328" s="3759"/>
      <c r="P1328" s="3760"/>
      <c r="Q1328" s="1029"/>
      <c r="R1328" s="3668"/>
      <c r="S1328" s="858"/>
      <c r="T1328" s="3643"/>
      <c r="U1328" s="3889"/>
      <c r="V1328" s="1029"/>
      <c r="W1328" s="3789"/>
      <c r="X1328" s="1029"/>
      <c r="Y1328" s="3643"/>
      <c r="Z1328" s="3789"/>
      <c r="AA1328" s="3789"/>
      <c r="AB1328" s="3789"/>
      <c r="AC1328" s="3789"/>
      <c r="AD1328" s="3789"/>
      <c r="AE1328" s="3789"/>
      <c r="AF1328" s="3789"/>
      <c r="AG1328" s="3789"/>
      <c r="AH1328" s="3868"/>
      <c r="AI1328" s="3868"/>
    </row>
    <row r="1329" s="4" customFormat="1" ht="30" customHeight="1" spans="1:35">
      <c r="A1329" s="3643"/>
      <c r="B1329" s="3645"/>
      <c r="C1329" s="3733"/>
      <c r="D1329" s="3643"/>
      <c r="E1329" s="3731"/>
      <c r="F1329" s="3731"/>
      <c r="G1329" s="3643"/>
      <c r="H1329" s="3731"/>
      <c r="I1329" s="3731"/>
      <c r="J1329" s="3643"/>
      <c r="K1329" s="2678"/>
      <c r="L1329" s="3643"/>
      <c r="M1329" s="3856"/>
      <c r="N1329" s="705" t="s">
        <v>6265</v>
      </c>
      <c r="O1329" s="3751">
        <v>0.05</v>
      </c>
      <c r="P1329" s="3752">
        <f>4697771.46*O1329</f>
        <v>234888.573</v>
      </c>
      <c r="Q1329" s="1029">
        <v>87987.851</v>
      </c>
      <c r="R1329" s="3668" t="s">
        <v>4603</v>
      </c>
      <c r="S1329" s="858">
        <v>44911</v>
      </c>
      <c r="T1329" s="3643">
        <v>87987.851</v>
      </c>
      <c r="U1329" s="858">
        <v>44896</v>
      </c>
      <c r="V1329" s="1029">
        <v>87987.85</v>
      </c>
      <c r="W1329" s="858">
        <v>44930</v>
      </c>
      <c r="X1329" s="1029">
        <v>87987.851</v>
      </c>
      <c r="Y1329" s="858">
        <v>44939</v>
      </c>
      <c r="Z1329" s="3789"/>
      <c r="AA1329" s="3789"/>
      <c r="AB1329" s="3789"/>
      <c r="AC1329" s="3789"/>
      <c r="AD1329" s="3789"/>
      <c r="AE1329" s="3789"/>
      <c r="AF1329" s="3789"/>
      <c r="AG1329" s="3789"/>
      <c r="AH1329" s="3868"/>
      <c r="AI1329" s="3868"/>
    </row>
    <row r="1330" s="4" customFormat="1" ht="30" customHeight="1" spans="1:35">
      <c r="A1330" s="3643"/>
      <c r="B1330" s="3645"/>
      <c r="C1330" s="3733"/>
      <c r="D1330" s="3643"/>
      <c r="E1330" s="3731"/>
      <c r="F1330" s="3731"/>
      <c r="G1330" s="3643"/>
      <c r="H1330" s="3731"/>
      <c r="I1330" s="3731"/>
      <c r="J1330" s="3643"/>
      <c r="K1330" s="2678"/>
      <c r="L1330" s="3643"/>
      <c r="M1330" s="3856"/>
      <c r="N1330" s="3541"/>
      <c r="O1330" s="3754"/>
      <c r="P1330" s="3755"/>
      <c r="Q1330" s="1029"/>
      <c r="R1330" s="3771"/>
      <c r="S1330" s="3772"/>
      <c r="T1330" s="3774"/>
      <c r="U1330" s="3889"/>
      <c r="V1330" s="1029"/>
      <c r="W1330" s="3789"/>
      <c r="X1330" s="1029"/>
      <c r="Y1330" s="3643"/>
      <c r="Z1330" s="3789"/>
      <c r="AA1330" s="3789"/>
      <c r="AB1330" s="3789"/>
      <c r="AC1330" s="3789"/>
      <c r="AD1330" s="3789"/>
      <c r="AE1330" s="3789"/>
      <c r="AF1330" s="3789"/>
      <c r="AG1330" s="3789"/>
      <c r="AH1330" s="3868"/>
      <c r="AI1330" s="3868"/>
    </row>
    <row r="1331" s="4" customFormat="1" ht="30" customHeight="1" spans="1:35">
      <c r="A1331" s="3643"/>
      <c r="B1331" s="3645"/>
      <c r="C1331" s="3733"/>
      <c r="D1331" s="3643"/>
      <c r="E1331" s="3731"/>
      <c r="F1331" s="3731"/>
      <c r="G1331" s="3643"/>
      <c r="H1331" s="3731"/>
      <c r="I1331" s="3731"/>
      <c r="J1331" s="3643"/>
      <c r="K1331" s="2678"/>
      <c r="L1331" s="3643"/>
      <c r="M1331" s="3856"/>
      <c r="N1331" s="705" t="s">
        <v>6266</v>
      </c>
      <c r="O1331" s="3751">
        <v>0.2</v>
      </c>
      <c r="P1331" s="3752">
        <f>4697771.46*O1331</f>
        <v>939554.292</v>
      </c>
      <c r="Q1331" s="1029">
        <v>205419.597</v>
      </c>
      <c r="R1331" s="3771" t="s">
        <v>4603</v>
      </c>
      <c r="S1331" s="3772">
        <v>44911</v>
      </c>
      <c r="T1331" s="1029">
        <v>205419.597</v>
      </c>
      <c r="U1331" s="858">
        <v>44896</v>
      </c>
      <c r="V1331" s="1029">
        <v>205419.6</v>
      </c>
      <c r="W1331" s="858">
        <v>44930</v>
      </c>
      <c r="X1331" s="1029">
        <v>205419.597</v>
      </c>
      <c r="Y1331" s="858">
        <v>44939</v>
      </c>
      <c r="Z1331" s="3789"/>
      <c r="AA1331" s="3789"/>
      <c r="AB1331" s="3789"/>
      <c r="AC1331" s="3789"/>
      <c r="AD1331" s="3789"/>
      <c r="AE1331" s="3789"/>
      <c r="AF1331" s="3789"/>
      <c r="AG1331" s="3789"/>
      <c r="AH1331" s="3868"/>
      <c r="AI1331" s="3868"/>
    </row>
    <row r="1332" s="4" customFormat="1" ht="30" customHeight="1" spans="1:35">
      <c r="A1332" s="3643"/>
      <c r="B1332" s="3645"/>
      <c r="C1332" s="3733"/>
      <c r="D1332" s="3643"/>
      <c r="E1332" s="3731"/>
      <c r="F1332" s="3731"/>
      <c r="G1332" s="3643"/>
      <c r="H1332" s="3731"/>
      <c r="I1332" s="3731"/>
      <c r="J1332" s="3643"/>
      <c r="K1332" s="2678"/>
      <c r="L1332" s="3643"/>
      <c r="M1332" s="3856"/>
      <c r="N1332" s="709"/>
      <c r="O1332" s="3754"/>
      <c r="P1332" s="3755"/>
      <c r="Q1332" s="1029">
        <v>146531.807</v>
      </c>
      <c r="R1332" s="3771" t="s">
        <v>4603</v>
      </c>
      <c r="S1332" s="3772">
        <v>44911</v>
      </c>
      <c r="T1332" s="1029">
        <v>146531.807</v>
      </c>
      <c r="U1332" s="858">
        <v>44896</v>
      </c>
      <c r="V1332" s="1029">
        <v>146531.81</v>
      </c>
      <c r="W1332" s="858">
        <v>45078</v>
      </c>
      <c r="X1332" s="1029">
        <v>146531.81</v>
      </c>
      <c r="Y1332" s="3770">
        <v>45117</v>
      </c>
      <c r="Z1332" s="3789"/>
      <c r="AA1332" s="3789"/>
      <c r="AB1332" s="3789"/>
      <c r="AC1332" s="3789"/>
      <c r="AD1332" s="3789"/>
      <c r="AE1332" s="3789"/>
      <c r="AF1332" s="3789"/>
      <c r="AG1332" s="3789"/>
      <c r="AH1332" s="3868"/>
      <c r="AI1332" s="3868"/>
    </row>
    <row r="1333" s="4" customFormat="1" ht="30" customHeight="1" spans="1:35">
      <c r="A1333" s="3643"/>
      <c r="B1333" s="3645"/>
      <c r="C1333" s="3733"/>
      <c r="D1333" s="3643"/>
      <c r="E1333" s="3731"/>
      <c r="F1333" s="3731"/>
      <c r="G1333" s="3643"/>
      <c r="H1333" s="3731"/>
      <c r="I1333" s="3731"/>
      <c r="J1333" s="3643"/>
      <c r="K1333" s="2678"/>
      <c r="L1333" s="3643"/>
      <c r="M1333" s="3856"/>
      <c r="N1333" s="3541"/>
      <c r="O1333" s="3759"/>
      <c r="P1333" s="3760"/>
      <c r="Q1333" s="1029"/>
      <c r="R1333" s="3668"/>
      <c r="S1333" s="858"/>
      <c r="T1333" s="3774"/>
      <c r="U1333" s="3889"/>
      <c r="V1333" s="3643"/>
      <c r="W1333" s="3789"/>
      <c r="X1333" s="3789"/>
      <c r="Y1333" s="3643"/>
      <c r="Z1333" s="3789"/>
      <c r="AA1333" s="3789"/>
      <c r="AB1333" s="3789"/>
      <c r="AC1333" s="3789"/>
      <c r="AD1333" s="3789"/>
      <c r="AE1333" s="3789"/>
      <c r="AF1333" s="3789"/>
      <c r="AG1333" s="3789"/>
      <c r="AH1333" s="3868"/>
      <c r="AI1333" s="3868"/>
    </row>
    <row r="1334" s="4" customFormat="1" ht="30" customHeight="1" spans="1:35">
      <c r="A1334" s="3643"/>
      <c r="B1334" s="3645"/>
      <c r="C1334" s="3733"/>
      <c r="D1334" s="3643"/>
      <c r="E1334" s="3731"/>
      <c r="F1334" s="3731"/>
      <c r="G1334" s="3643"/>
      <c r="H1334" s="3731"/>
      <c r="I1334" s="3731"/>
      <c r="J1334" s="3643"/>
      <c r="K1334" s="2678"/>
      <c r="L1334" s="3643"/>
      <c r="M1334" s="3856"/>
      <c r="N1334" s="705" t="s">
        <v>6267</v>
      </c>
      <c r="O1334" s="3751">
        <v>0.4</v>
      </c>
      <c r="P1334" s="3752">
        <f>4697771.46*O1334</f>
        <v>1879108.584</v>
      </c>
      <c r="Q1334" s="3752">
        <v>703902.808</v>
      </c>
      <c r="R1334" s="3771" t="s">
        <v>4603</v>
      </c>
      <c r="S1334" s="3772">
        <v>44911</v>
      </c>
      <c r="T1334" s="3757">
        <v>703902.81</v>
      </c>
      <c r="U1334" s="3644">
        <v>44896</v>
      </c>
      <c r="V1334" s="3643">
        <v>37900.97</v>
      </c>
      <c r="W1334" s="858">
        <v>45078</v>
      </c>
      <c r="X1334" s="3643">
        <v>37900.97</v>
      </c>
      <c r="Y1334" s="3770">
        <v>45117</v>
      </c>
      <c r="Z1334" s="3789"/>
      <c r="AA1334" s="3789"/>
      <c r="AB1334" s="3789"/>
      <c r="AC1334" s="3789"/>
      <c r="AD1334" s="3789"/>
      <c r="AE1334" s="3789"/>
      <c r="AF1334" s="3789"/>
      <c r="AG1334" s="3789"/>
      <c r="AH1334" s="3868"/>
      <c r="AI1334" s="3868"/>
    </row>
    <row r="1335" s="4" customFormat="1" ht="30" customHeight="1" spans="1:35">
      <c r="A1335" s="3643"/>
      <c r="B1335" s="3645"/>
      <c r="C1335" s="3733"/>
      <c r="D1335" s="3643"/>
      <c r="E1335" s="3731"/>
      <c r="F1335" s="3731"/>
      <c r="G1335" s="3643"/>
      <c r="H1335" s="3731"/>
      <c r="I1335" s="3731"/>
      <c r="J1335" s="3643"/>
      <c r="K1335" s="2678"/>
      <c r="L1335" s="3643"/>
      <c r="M1335" s="3856"/>
      <c r="N1335" s="709"/>
      <c r="O1335" s="3754"/>
      <c r="P1335" s="3755"/>
      <c r="Q1335" s="3755"/>
      <c r="R1335" s="3868"/>
      <c r="S1335" s="3869"/>
      <c r="T1335" s="3797"/>
      <c r="U1335" s="3645"/>
      <c r="V1335" s="3643">
        <v>250000</v>
      </c>
      <c r="W1335" s="858">
        <v>45174</v>
      </c>
      <c r="X1335" s="3643">
        <v>250000</v>
      </c>
      <c r="Y1335" s="858">
        <v>45190</v>
      </c>
      <c r="Z1335" s="3789"/>
      <c r="AA1335" s="3789"/>
      <c r="AB1335" s="3789"/>
      <c r="AC1335" s="3789"/>
      <c r="AD1335" s="3789"/>
      <c r="AE1335" s="3789"/>
      <c r="AF1335" s="3789"/>
      <c r="AG1335" s="3789"/>
      <c r="AH1335" s="3868"/>
      <c r="AI1335" s="3868"/>
    </row>
    <row r="1336" s="4" customFormat="1" ht="30" customHeight="1" spans="1:35">
      <c r="A1336" s="3643"/>
      <c r="B1336" s="3645"/>
      <c r="C1336" s="3733"/>
      <c r="D1336" s="3643"/>
      <c r="E1336" s="3731"/>
      <c r="F1336" s="3731"/>
      <c r="G1336" s="3643"/>
      <c r="H1336" s="3731"/>
      <c r="I1336" s="3731"/>
      <c r="J1336" s="3643"/>
      <c r="K1336" s="2678"/>
      <c r="L1336" s="3643"/>
      <c r="M1336" s="3856"/>
      <c r="N1336" s="709"/>
      <c r="O1336" s="3754"/>
      <c r="P1336" s="3755"/>
      <c r="Q1336" s="3760"/>
      <c r="R1336" s="3773"/>
      <c r="S1336" s="3578"/>
      <c r="T1336" s="3758"/>
      <c r="U1336" s="3646"/>
      <c r="V1336" s="1029">
        <f>Q1334-V1334-V1335</f>
        <v>416001.838</v>
      </c>
      <c r="W1336" s="3789"/>
      <c r="X1336" s="3789"/>
      <c r="Y1336" s="3643"/>
      <c r="Z1336" s="3789"/>
      <c r="AA1336" s="3789"/>
      <c r="AB1336" s="3789"/>
      <c r="AC1336" s="3789"/>
      <c r="AD1336" s="3789"/>
      <c r="AE1336" s="3789"/>
      <c r="AF1336" s="3789"/>
      <c r="AG1336" s="3789"/>
      <c r="AH1336" s="3868"/>
      <c r="AI1336" s="3868"/>
    </row>
    <row r="1337" s="4" customFormat="1" ht="30" customHeight="1" spans="1:35">
      <c r="A1337" s="3643"/>
      <c r="B1337" s="3645"/>
      <c r="C1337" s="3733"/>
      <c r="D1337" s="3643"/>
      <c r="E1337" s="3731"/>
      <c r="F1337" s="3731"/>
      <c r="G1337" s="3643"/>
      <c r="H1337" s="3731"/>
      <c r="I1337" s="3731"/>
      <c r="J1337" s="3643"/>
      <c r="K1337" s="2678"/>
      <c r="L1337" s="3643"/>
      <c r="M1337" s="3856"/>
      <c r="N1337" s="3541"/>
      <c r="O1337" s="3759"/>
      <c r="P1337" s="3760"/>
      <c r="Q1337" s="3643"/>
      <c r="R1337" s="3643"/>
      <c r="S1337" s="3643"/>
      <c r="T1337" s="3774"/>
      <c r="U1337" s="3643"/>
      <c r="V1337" s="3643"/>
      <c r="W1337" s="3789"/>
      <c r="X1337" s="3789"/>
      <c r="Y1337" s="3643"/>
      <c r="Z1337" s="3789"/>
      <c r="AA1337" s="3789"/>
      <c r="AB1337" s="3789"/>
      <c r="AC1337" s="3789"/>
      <c r="AD1337" s="3789"/>
      <c r="AE1337" s="3789"/>
      <c r="AF1337" s="3789"/>
      <c r="AG1337" s="3789"/>
      <c r="AH1337" s="3868"/>
      <c r="AI1337" s="3868"/>
    </row>
    <row r="1338" s="4" customFormat="1" ht="30" customHeight="1" spans="1:35">
      <c r="A1338" s="3643"/>
      <c r="B1338" s="3645"/>
      <c r="C1338" s="3733"/>
      <c r="D1338" s="3643"/>
      <c r="E1338" s="3731"/>
      <c r="F1338" s="3731"/>
      <c r="G1338" s="3643"/>
      <c r="H1338" s="3731"/>
      <c r="I1338" s="3731"/>
      <c r="J1338" s="3643"/>
      <c r="K1338" s="2678"/>
      <c r="L1338" s="3643"/>
      <c r="M1338" s="3856"/>
      <c r="N1338" s="705" t="s">
        <v>6268</v>
      </c>
      <c r="O1338" s="3751">
        <v>0.1</v>
      </c>
      <c r="P1338" s="3752">
        <f>4697771.46*O1338</f>
        <v>469777.146</v>
      </c>
      <c r="Q1338" s="3643"/>
      <c r="R1338" s="3643"/>
      <c r="S1338" s="3643"/>
      <c r="T1338" s="3774"/>
      <c r="U1338" s="3643"/>
      <c r="V1338" s="3643"/>
      <c r="W1338" s="3789"/>
      <c r="X1338" s="3789"/>
      <c r="Y1338" s="3643"/>
      <c r="Z1338" s="3789"/>
      <c r="AA1338" s="3789"/>
      <c r="AB1338" s="3789"/>
      <c r="AC1338" s="3789"/>
      <c r="AD1338" s="3789"/>
      <c r="AE1338" s="3789"/>
      <c r="AF1338" s="3789"/>
      <c r="AG1338" s="3789"/>
      <c r="AH1338" s="3868"/>
      <c r="AI1338" s="3868"/>
    </row>
    <row r="1339" s="4" customFormat="1" ht="30" customHeight="1" spans="1:35">
      <c r="A1339" s="3643"/>
      <c r="B1339" s="3645"/>
      <c r="C1339" s="3733"/>
      <c r="D1339" s="3643"/>
      <c r="E1339" s="3731"/>
      <c r="F1339" s="3731"/>
      <c r="G1339" s="3643"/>
      <c r="H1339" s="3731"/>
      <c r="I1339" s="3731"/>
      <c r="J1339" s="3643"/>
      <c r="K1339" s="2678"/>
      <c r="L1339" s="3643"/>
      <c r="M1339" s="3856"/>
      <c r="N1339" s="3541"/>
      <c r="O1339" s="3759"/>
      <c r="P1339" s="3760"/>
      <c r="Q1339" s="3643"/>
      <c r="R1339" s="3643"/>
      <c r="S1339" s="3643"/>
      <c r="T1339" s="3774"/>
      <c r="U1339" s="3643"/>
      <c r="V1339" s="3643"/>
      <c r="W1339" s="3789"/>
      <c r="X1339" s="3789"/>
      <c r="Y1339" s="3643"/>
      <c r="Z1339" s="3789"/>
      <c r="AA1339" s="3789"/>
      <c r="AB1339" s="3789"/>
      <c r="AC1339" s="3789"/>
      <c r="AD1339" s="3789"/>
      <c r="AE1339" s="3789"/>
      <c r="AF1339" s="3789"/>
      <c r="AG1339" s="3789"/>
      <c r="AH1339" s="3868"/>
      <c r="AI1339" s="3868"/>
    </row>
    <row r="1340" s="4" customFormat="1" ht="20" customHeight="1" spans="1:35">
      <c r="A1340" s="3643"/>
      <c r="B1340" s="3645"/>
      <c r="C1340" s="3733"/>
      <c r="D1340" s="3643"/>
      <c r="E1340" s="3731"/>
      <c r="F1340" s="3731"/>
      <c r="G1340" s="3643"/>
      <c r="H1340" s="3731"/>
      <c r="I1340" s="3731"/>
      <c r="J1340" s="3643"/>
      <c r="K1340" s="2678"/>
      <c r="L1340" s="3643"/>
      <c r="M1340" s="3855" t="s">
        <v>1658</v>
      </c>
      <c r="N1340" s="2618" t="s">
        <v>6269</v>
      </c>
      <c r="O1340" s="3756">
        <v>0.1</v>
      </c>
      <c r="P1340" s="1029">
        <f>1406359.37*O1340</f>
        <v>140635.937</v>
      </c>
      <c r="Q1340" s="3643"/>
      <c r="R1340" s="3643"/>
      <c r="S1340" s="3643"/>
      <c r="T1340" s="3774"/>
      <c r="U1340" s="3643"/>
      <c r="V1340" s="3643"/>
      <c r="W1340" s="3789"/>
      <c r="X1340" s="3789"/>
      <c r="Y1340" s="3643"/>
      <c r="Z1340" s="3789"/>
      <c r="AA1340" s="3789"/>
      <c r="AB1340" s="3789"/>
      <c r="AC1340" s="3789"/>
      <c r="AD1340" s="3789"/>
      <c r="AE1340" s="3789"/>
      <c r="AF1340" s="3789"/>
      <c r="AG1340" s="3789"/>
      <c r="AH1340" s="3868"/>
      <c r="AI1340" s="3868"/>
    </row>
    <row r="1341" s="4" customFormat="1" ht="20" customHeight="1" spans="1:35">
      <c r="A1341" s="3643"/>
      <c r="B1341" s="3645"/>
      <c r="C1341" s="3733"/>
      <c r="D1341" s="3643"/>
      <c r="E1341" s="3731"/>
      <c r="F1341" s="3731"/>
      <c r="G1341" s="3643"/>
      <c r="H1341" s="3731"/>
      <c r="I1341" s="3731"/>
      <c r="J1341" s="3643"/>
      <c r="K1341" s="2678"/>
      <c r="L1341" s="3643"/>
      <c r="M1341" s="3753"/>
      <c r="N1341" s="2618" t="s">
        <v>6270</v>
      </c>
      <c r="O1341" s="3756">
        <v>0.1</v>
      </c>
      <c r="P1341" s="1029">
        <f>1406359.37*O1341</f>
        <v>140635.937</v>
      </c>
      <c r="Q1341" s="3643"/>
      <c r="R1341" s="3643"/>
      <c r="S1341" s="3643"/>
      <c r="T1341" s="3774"/>
      <c r="U1341" s="3643"/>
      <c r="V1341" s="3643"/>
      <c r="W1341" s="3789"/>
      <c r="X1341" s="3789"/>
      <c r="Y1341" s="3643"/>
      <c r="Z1341" s="3789"/>
      <c r="AA1341" s="3789"/>
      <c r="AB1341" s="3789"/>
      <c r="AC1341" s="3789"/>
      <c r="AD1341" s="3789"/>
      <c r="AE1341" s="3789"/>
      <c r="AF1341" s="3789"/>
      <c r="AG1341" s="3789"/>
      <c r="AH1341" s="3868"/>
      <c r="AI1341" s="3868"/>
    </row>
    <row r="1342" s="4" customFormat="1" ht="20" customHeight="1" spans="1:35">
      <c r="A1342" s="3643"/>
      <c r="B1342" s="3645"/>
      <c r="C1342" s="3733"/>
      <c r="D1342" s="3643"/>
      <c r="E1342" s="3731"/>
      <c r="F1342" s="3731"/>
      <c r="G1342" s="3643"/>
      <c r="H1342" s="3731"/>
      <c r="I1342" s="3731"/>
      <c r="J1342" s="3643"/>
      <c r="K1342" s="2678"/>
      <c r="L1342" s="3643"/>
      <c r="M1342" s="3753"/>
      <c r="N1342" s="2618" t="s">
        <v>6271</v>
      </c>
      <c r="O1342" s="3756">
        <v>0.4</v>
      </c>
      <c r="P1342" s="1029">
        <f>1406359.37*O1342</f>
        <v>562543.748</v>
      </c>
      <c r="Q1342" s="3643"/>
      <c r="R1342" s="3643"/>
      <c r="S1342" s="3643"/>
      <c r="T1342" s="3774"/>
      <c r="U1342" s="3643"/>
      <c r="V1342" s="3643"/>
      <c r="W1342" s="3789"/>
      <c r="X1342" s="3789"/>
      <c r="Y1342" s="3643"/>
      <c r="Z1342" s="3789"/>
      <c r="AA1342" s="3789"/>
      <c r="AB1342" s="3789"/>
      <c r="AC1342" s="3789"/>
      <c r="AD1342" s="3789"/>
      <c r="AE1342" s="3789"/>
      <c r="AF1342" s="3789"/>
      <c r="AG1342" s="3789"/>
      <c r="AH1342" s="3868"/>
      <c r="AI1342" s="3868"/>
    </row>
    <row r="1343" s="4" customFormat="1" ht="20" customHeight="1" spans="1:35">
      <c r="A1343" s="3643"/>
      <c r="B1343" s="3645"/>
      <c r="C1343" s="3733"/>
      <c r="D1343" s="3643"/>
      <c r="E1343" s="3731"/>
      <c r="F1343" s="3731"/>
      <c r="G1343" s="3643"/>
      <c r="H1343" s="3731"/>
      <c r="I1343" s="3731"/>
      <c r="J1343" s="3643"/>
      <c r="K1343" s="2678"/>
      <c r="L1343" s="3643"/>
      <c r="M1343" s="3753"/>
      <c r="N1343" s="2618" t="s">
        <v>6272</v>
      </c>
      <c r="O1343" s="3756">
        <v>0.3</v>
      </c>
      <c r="P1343" s="1029">
        <f>1406359.37*O1343</f>
        <v>421907.811</v>
      </c>
      <c r="Q1343" s="3643"/>
      <c r="R1343" s="3643"/>
      <c r="S1343" s="3643"/>
      <c r="T1343" s="3774"/>
      <c r="U1343" s="3643"/>
      <c r="V1343" s="3643"/>
      <c r="W1343" s="3789"/>
      <c r="X1343" s="3789"/>
      <c r="Y1343" s="3643"/>
      <c r="Z1343" s="3789"/>
      <c r="AA1343" s="3789"/>
      <c r="AB1343" s="3789"/>
      <c r="AC1343" s="3789"/>
      <c r="AD1343" s="3789"/>
      <c r="AE1343" s="3789"/>
      <c r="AF1343" s="3789"/>
      <c r="AG1343" s="3789"/>
      <c r="AH1343" s="3868"/>
      <c r="AI1343" s="3868"/>
    </row>
    <row r="1344" s="4" customFormat="1" ht="20" customHeight="1" spans="1:35">
      <c r="A1344" s="3643"/>
      <c r="B1344" s="3645"/>
      <c r="C1344" s="3733"/>
      <c r="D1344" s="3643"/>
      <c r="E1344" s="3731"/>
      <c r="F1344" s="3731"/>
      <c r="G1344" s="3643"/>
      <c r="H1344" s="3731"/>
      <c r="I1344" s="3731"/>
      <c r="J1344" s="3643"/>
      <c r="K1344" s="2678"/>
      <c r="L1344" s="3643"/>
      <c r="M1344" s="3857"/>
      <c r="N1344" s="2618" t="s">
        <v>6273</v>
      </c>
      <c r="O1344" s="3756">
        <v>0.1</v>
      </c>
      <c r="P1344" s="1029">
        <f>1406359.37*O1344</f>
        <v>140635.937</v>
      </c>
      <c r="Q1344" s="3643"/>
      <c r="R1344" s="3643"/>
      <c r="S1344" s="3643"/>
      <c r="T1344" s="3774"/>
      <c r="U1344" s="3643"/>
      <c r="V1344" s="3643"/>
      <c r="W1344" s="3789"/>
      <c r="X1344" s="3789"/>
      <c r="Y1344" s="3643"/>
      <c r="Z1344" s="3789"/>
      <c r="AA1344" s="3789"/>
      <c r="AB1344" s="3789"/>
      <c r="AC1344" s="3789"/>
      <c r="AD1344" s="3789"/>
      <c r="AE1344" s="3789"/>
      <c r="AF1344" s="3789"/>
      <c r="AG1344" s="3789"/>
      <c r="AH1344" s="3868"/>
      <c r="AI1344" s="3868"/>
    </row>
    <row r="1345" s="4" customFormat="1" ht="20" customHeight="1" spans="1:35">
      <c r="A1345" s="3643"/>
      <c r="B1345" s="3645"/>
      <c r="C1345" s="3733"/>
      <c r="D1345" s="3643"/>
      <c r="E1345" s="3731"/>
      <c r="F1345" s="3731"/>
      <c r="G1345" s="3643"/>
      <c r="H1345" s="3731"/>
      <c r="I1345" s="3731"/>
      <c r="J1345" s="3643"/>
      <c r="K1345" s="2678"/>
      <c r="L1345" s="3643"/>
      <c r="M1345" s="3915" t="s">
        <v>6274</v>
      </c>
      <c r="N1345" s="2618" t="s">
        <v>6275</v>
      </c>
      <c r="O1345" s="3916">
        <v>0.1</v>
      </c>
      <c r="P1345" s="3917">
        <f>360687.8*O1345</f>
        <v>36068.78</v>
      </c>
      <c r="Q1345" s="3643"/>
      <c r="R1345" s="3643"/>
      <c r="S1345" s="3643"/>
      <c r="T1345" s="3774"/>
      <c r="U1345" s="3643"/>
      <c r="V1345" s="3643"/>
      <c r="W1345" s="3789"/>
      <c r="X1345" s="3789"/>
      <c r="Y1345" s="3643"/>
      <c r="Z1345" s="3789"/>
      <c r="AA1345" s="3789"/>
      <c r="AB1345" s="3789"/>
      <c r="AC1345" s="3789"/>
      <c r="AD1345" s="3789"/>
      <c r="AE1345" s="3789"/>
      <c r="AF1345" s="3789"/>
      <c r="AG1345" s="3789"/>
      <c r="AH1345" s="3868"/>
      <c r="AI1345" s="3868"/>
    </row>
    <row r="1346" s="4" customFormat="1" ht="20" customHeight="1" spans="1:35">
      <c r="A1346" s="3643"/>
      <c r="B1346" s="3645"/>
      <c r="C1346" s="3733"/>
      <c r="D1346" s="3643"/>
      <c r="E1346" s="3731"/>
      <c r="F1346" s="3731"/>
      <c r="G1346" s="3643"/>
      <c r="H1346" s="3731"/>
      <c r="I1346" s="3731"/>
      <c r="J1346" s="3643"/>
      <c r="K1346" s="2678"/>
      <c r="L1346" s="3643"/>
      <c r="M1346" s="3918"/>
      <c r="N1346" s="2618" t="s">
        <v>6276</v>
      </c>
      <c r="O1346" s="3916">
        <v>0.1</v>
      </c>
      <c r="P1346" s="3917">
        <f>360687.8*O1346</f>
        <v>36068.78</v>
      </c>
      <c r="Q1346" s="3643"/>
      <c r="R1346" s="3643"/>
      <c r="S1346" s="3643"/>
      <c r="T1346" s="3774"/>
      <c r="U1346" s="3643"/>
      <c r="V1346" s="3643"/>
      <c r="W1346" s="3789"/>
      <c r="X1346" s="3789"/>
      <c r="Y1346" s="3643"/>
      <c r="Z1346" s="3789"/>
      <c r="AA1346" s="3789"/>
      <c r="AB1346" s="3789"/>
      <c r="AC1346" s="3789"/>
      <c r="AD1346" s="3789"/>
      <c r="AE1346" s="3789"/>
      <c r="AF1346" s="3789"/>
      <c r="AG1346" s="3789"/>
      <c r="AH1346" s="3868"/>
      <c r="AI1346" s="3868"/>
    </row>
    <row r="1347" s="4" customFormat="1" ht="20" customHeight="1" spans="1:35">
      <c r="A1347" s="3643"/>
      <c r="B1347" s="3645"/>
      <c r="C1347" s="3733"/>
      <c r="D1347" s="3643"/>
      <c r="E1347" s="3731"/>
      <c r="F1347" s="3731"/>
      <c r="G1347" s="3643"/>
      <c r="H1347" s="3731"/>
      <c r="I1347" s="3731"/>
      <c r="J1347" s="3643"/>
      <c r="K1347" s="2678"/>
      <c r="L1347" s="3643"/>
      <c r="M1347" s="3918"/>
      <c r="N1347" s="2618" t="s">
        <v>6277</v>
      </c>
      <c r="O1347" s="3916">
        <v>0.7</v>
      </c>
      <c r="P1347" s="3917">
        <f>360687.8*O1347</f>
        <v>252481.46</v>
      </c>
      <c r="Q1347" s="3643"/>
      <c r="R1347" s="3643"/>
      <c r="S1347" s="3643"/>
      <c r="T1347" s="3774"/>
      <c r="U1347" s="3643"/>
      <c r="V1347" s="3643"/>
      <c r="W1347" s="3789"/>
      <c r="X1347" s="3789"/>
      <c r="Y1347" s="3643"/>
      <c r="Z1347" s="3789"/>
      <c r="AA1347" s="3789"/>
      <c r="AB1347" s="3789"/>
      <c r="AC1347" s="3789"/>
      <c r="AD1347" s="3789"/>
      <c r="AE1347" s="3789"/>
      <c r="AF1347" s="3789"/>
      <c r="AG1347" s="3789"/>
      <c r="AH1347" s="3868"/>
      <c r="AI1347" s="3868"/>
    </row>
    <row r="1348" s="4" customFormat="1" ht="20" customHeight="1" spans="1:35">
      <c r="A1348" s="3643"/>
      <c r="B1348" s="3645"/>
      <c r="C1348" s="3733"/>
      <c r="D1348" s="3643"/>
      <c r="E1348" s="3731"/>
      <c r="F1348" s="3731"/>
      <c r="G1348" s="3643"/>
      <c r="H1348" s="3731"/>
      <c r="I1348" s="3731"/>
      <c r="J1348" s="3643"/>
      <c r="K1348" s="2678"/>
      <c r="L1348" s="3643"/>
      <c r="M1348" s="3919"/>
      <c r="N1348" s="2618" t="s">
        <v>6268</v>
      </c>
      <c r="O1348" s="3916">
        <v>0.1</v>
      </c>
      <c r="P1348" s="3917">
        <f>360687.8*O1348</f>
        <v>36068.78</v>
      </c>
      <c r="Q1348" s="3643"/>
      <c r="R1348" s="3643"/>
      <c r="S1348" s="3643"/>
      <c r="T1348" s="3774"/>
      <c r="U1348" s="3643"/>
      <c r="V1348" s="3643"/>
      <c r="W1348" s="3789"/>
      <c r="X1348" s="3789"/>
      <c r="Y1348" s="3643"/>
      <c r="Z1348" s="3789"/>
      <c r="AA1348" s="3789"/>
      <c r="AB1348" s="3789"/>
      <c r="AC1348" s="3789"/>
      <c r="AD1348" s="3789"/>
      <c r="AE1348" s="3789"/>
      <c r="AF1348" s="3789"/>
      <c r="AG1348" s="3789"/>
      <c r="AH1348" s="3868"/>
      <c r="AI1348" s="3868"/>
    </row>
    <row r="1349" s="4" customFormat="1" ht="20" customHeight="1" spans="1:35">
      <c r="A1349" s="3643"/>
      <c r="B1349" s="3645"/>
      <c r="C1349" s="3733"/>
      <c r="D1349" s="3643"/>
      <c r="E1349" s="3731"/>
      <c r="F1349" s="3731"/>
      <c r="G1349" s="3643"/>
      <c r="H1349" s="3731"/>
      <c r="I1349" s="3731"/>
      <c r="J1349" s="3643"/>
      <c r="K1349" s="2678"/>
      <c r="L1349" s="3643"/>
      <c r="M1349" s="3855" t="s">
        <v>6075</v>
      </c>
      <c r="N1349" s="2618" t="s">
        <v>6278</v>
      </c>
      <c r="O1349" s="3756">
        <v>0.1</v>
      </c>
      <c r="P1349" s="1029">
        <f>1018800*O1349</f>
        <v>101880</v>
      </c>
      <c r="Q1349" s="2678">
        <v>36783.9576</v>
      </c>
      <c r="R1349" s="3668" t="s">
        <v>4603</v>
      </c>
      <c r="S1349" s="858">
        <v>44911</v>
      </c>
      <c r="T1349" s="2678">
        <v>36783.9576</v>
      </c>
      <c r="U1349" s="858">
        <v>44911</v>
      </c>
      <c r="V1349" s="2678">
        <v>36783.96</v>
      </c>
      <c r="W1349" s="858">
        <v>45078</v>
      </c>
      <c r="X1349" s="2678">
        <v>36783.96</v>
      </c>
      <c r="Y1349" s="3770">
        <v>45117</v>
      </c>
      <c r="Z1349" s="3789"/>
      <c r="AA1349" s="3789"/>
      <c r="AB1349" s="3789"/>
      <c r="AC1349" s="3789"/>
      <c r="AD1349" s="3789"/>
      <c r="AE1349" s="3789"/>
      <c r="AF1349" s="3789"/>
      <c r="AG1349" s="3789"/>
      <c r="AH1349" s="3868"/>
      <c r="AI1349" s="3868"/>
    </row>
    <row r="1350" s="4" customFormat="1" ht="20" customHeight="1" spans="1:35">
      <c r="A1350" s="3643"/>
      <c r="B1350" s="3645"/>
      <c r="C1350" s="3733"/>
      <c r="D1350" s="3643"/>
      <c r="E1350" s="3731"/>
      <c r="F1350" s="3731"/>
      <c r="G1350" s="3643"/>
      <c r="H1350" s="3731"/>
      <c r="I1350" s="3731"/>
      <c r="J1350" s="3643"/>
      <c r="K1350" s="2678"/>
      <c r="L1350" s="3643"/>
      <c r="M1350" s="3753"/>
      <c r="N1350" s="2618" t="s">
        <v>6279</v>
      </c>
      <c r="O1350" s="3756">
        <v>0.35</v>
      </c>
      <c r="P1350" s="1029">
        <f>1018800*O1350</f>
        <v>356580</v>
      </c>
      <c r="Q1350" s="2678">
        <v>128743.8516</v>
      </c>
      <c r="R1350" s="3668" t="s">
        <v>4603</v>
      </c>
      <c r="S1350" s="858">
        <v>44911</v>
      </c>
      <c r="T1350" s="3932"/>
      <c r="U1350" s="3889"/>
      <c r="V1350" s="3643"/>
      <c r="W1350" s="3789"/>
      <c r="X1350" s="3643"/>
      <c r="Y1350" s="3643"/>
      <c r="Z1350" s="3789"/>
      <c r="AA1350" s="3789"/>
      <c r="AB1350" s="3789"/>
      <c r="AC1350" s="3789"/>
      <c r="AD1350" s="3789"/>
      <c r="AE1350" s="3789"/>
      <c r="AF1350" s="3789"/>
      <c r="AG1350" s="3789"/>
      <c r="AH1350" s="3868"/>
      <c r="AI1350" s="3868"/>
    </row>
    <row r="1351" s="4" customFormat="1" ht="20" customHeight="1" spans="1:35">
      <c r="A1351" s="3643"/>
      <c r="B1351" s="3645"/>
      <c r="C1351" s="3733"/>
      <c r="D1351" s="3643"/>
      <c r="E1351" s="3731"/>
      <c r="F1351" s="3731"/>
      <c r="G1351" s="3643"/>
      <c r="H1351" s="3731"/>
      <c r="I1351" s="3731"/>
      <c r="J1351" s="3643"/>
      <c r="K1351" s="2678"/>
      <c r="L1351" s="3643"/>
      <c r="M1351" s="3753"/>
      <c r="N1351" s="2618" t="s">
        <v>6280</v>
      </c>
      <c r="O1351" s="3756">
        <v>0.5</v>
      </c>
      <c r="P1351" s="1029">
        <f>1018800*O1351</f>
        <v>509400</v>
      </c>
      <c r="Q1351" s="2678">
        <v>183919.788</v>
      </c>
      <c r="R1351" s="3668" t="s">
        <v>4603</v>
      </c>
      <c r="S1351" s="858">
        <v>44911</v>
      </c>
      <c r="T1351" s="3932"/>
      <c r="U1351" s="3889"/>
      <c r="V1351" s="3643"/>
      <c r="W1351" s="3789"/>
      <c r="X1351" s="3643"/>
      <c r="Y1351" s="3643"/>
      <c r="Z1351" s="3789"/>
      <c r="AA1351" s="3789"/>
      <c r="AB1351" s="3789"/>
      <c r="AC1351" s="3789"/>
      <c r="AD1351" s="3789"/>
      <c r="AE1351" s="3789"/>
      <c r="AF1351" s="3789"/>
      <c r="AG1351" s="3789"/>
      <c r="AH1351" s="3868"/>
      <c r="AI1351" s="3868"/>
    </row>
    <row r="1352" s="4" customFormat="1" ht="20" customHeight="1" spans="1:35">
      <c r="A1352" s="3643"/>
      <c r="B1352" s="3645"/>
      <c r="C1352" s="3733"/>
      <c r="D1352" s="3643"/>
      <c r="E1352" s="3731"/>
      <c r="F1352" s="3731"/>
      <c r="G1352" s="3643"/>
      <c r="H1352" s="3731"/>
      <c r="I1352" s="3731"/>
      <c r="J1352" s="3643"/>
      <c r="K1352" s="2678"/>
      <c r="L1352" s="3643"/>
      <c r="M1352" s="3857"/>
      <c r="N1352" s="2618" t="s">
        <v>6281</v>
      </c>
      <c r="O1352" s="3756">
        <v>0.05</v>
      </c>
      <c r="P1352" s="1029">
        <f>1018800*O1352</f>
        <v>50940</v>
      </c>
      <c r="Q1352" s="2678"/>
      <c r="R1352" s="3643"/>
      <c r="S1352" s="3643"/>
      <c r="T1352" s="3932"/>
      <c r="U1352" s="3643"/>
      <c r="V1352" s="3643"/>
      <c r="W1352" s="3789"/>
      <c r="X1352" s="3643"/>
      <c r="Y1352" s="3643"/>
      <c r="Z1352" s="3789"/>
      <c r="AA1352" s="3789"/>
      <c r="AB1352" s="3789"/>
      <c r="AC1352" s="3789"/>
      <c r="AD1352" s="3789"/>
      <c r="AE1352" s="3789"/>
      <c r="AF1352" s="3789"/>
      <c r="AG1352" s="3789"/>
      <c r="AH1352" s="3868"/>
      <c r="AI1352" s="3868"/>
    </row>
    <row r="1353" s="4" customFormat="1" ht="20" customHeight="1" spans="1:35">
      <c r="A1353" s="3643"/>
      <c r="B1353" s="3645"/>
      <c r="C1353" s="3733"/>
      <c r="D1353" s="3643"/>
      <c r="E1353" s="3731"/>
      <c r="F1353" s="3731"/>
      <c r="G1353" s="3643"/>
      <c r="H1353" s="3731"/>
      <c r="I1353" s="3731"/>
      <c r="J1353" s="3643"/>
      <c r="K1353" s="2678"/>
      <c r="L1353" s="3643"/>
      <c r="M1353" s="3855" t="s">
        <v>6282</v>
      </c>
      <c r="N1353" s="2618" t="s">
        <v>6283</v>
      </c>
      <c r="O1353" s="3756">
        <v>0.1</v>
      </c>
      <c r="P1353" s="1029">
        <f>147744.4*O1353</f>
        <v>14774.44</v>
      </c>
      <c r="Q1353" s="2678">
        <v>6396.2795</v>
      </c>
      <c r="R1353" s="3668" t="s">
        <v>4603</v>
      </c>
      <c r="S1353" s="858">
        <v>44911</v>
      </c>
      <c r="T1353" s="2678">
        <v>6396.2795</v>
      </c>
      <c r="U1353" s="858">
        <v>44911</v>
      </c>
      <c r="V1353" s="2678">
        <v>6396.28</v>
      </c>
      <c r="W1353" s="858">
        <v>45078</v>
      </c>
      <c r="X1353" s="2678">
        <v>6396.28</v>
      </c>
      <c r="Y1353" s="3770">
        <v>45117</v>
      </c>
      <c r="Z1353" s="3789"/>
      <c r="AA1353" s="3789"/>
      <c r="AB1353" s="3789"/>
      <c r="AC1353" s="3789"/>
      <c r="AD1353" s="3789"/>
      <c r="AE1353" s="3789"/>
      <c r="AF1353" s="3789"/>
      <c r="AG1353" s="3789"/>
      <c r="AH1353" s="3868"/>
      <c r="AI1353" s="3868"/>
    </row>
    <row r="1354" s="4" customFormat="1" ht="20" customHeight="1" spans="1:35">
      <c r="A1354" s="3643"/>
      <c r="B1354" s="3645"/>
      <c r="C1354" s="3733"/>
      <c r="D1354" s="3643"/>
      <c r="E1354" s="3731"/>
      <c r="F1354" s="3731"/>
      <c r="G1354" s="3643"/>
      <c r="H1354" s="3731"/>
      <c r="I1354" s="3731"/>
      <c r="J1354" s="3643"/>
      <c r="K1354" s="2678"/>
      <c r="L1354" s="3643"/>
      <c r="M1354" s="3753"/>
      <c r="N1354" s="2618" t="s">
        <v>6284</v>
      </c>
      <c r="O1354" s="3756">
        <v>0.35</v>
      </c>
      <c r="P1354" s="1029">
        <f>147744.4*O1354</f>
        <v>51710.54</v>
      </c>
      <c r="Q1354" s="2678">
        <v>22386.97825</v>
      </c>
      <c r="R1354" s="3668" t="s">
        <v>4603</v>
      </c>
      <c r="S1354" s="858">
        <v>44911</v>
      </c>
      <c r="T1354" s="2678">
        <v>22386.97825</v>
      </c>
      <c r="U1354" s="858">
        <v>44911</v>
      </c>
      <c r="V1354" s="2678">
        <v>22386.98</v>
      </c>
      <c r="W1354" s="858">
        <v>45078</v>
      </c>
      <c r="X1354" s="2678">
        <v>22386.98</v>
      </c>
      <c r="Y1354" s="3770">
        <v>45117</v>
      </c>
      <c r="Z1354" s="3789"/>
      <c r="AA1354" s="3789"/>
      <c r="AB1354" s="3789"/>
      <c r="AC1354" s="3789"/>
      <c r="AD1354" s="3789"/>
      <c r="AE1354" s="3789"/>
      <c r="AF1354" s="3789"/>
      <c r="AG1354" s="3789"/>
      <c r="AH1354" s="3868"/>
      <c r="AI1354" s="3868"/>
    </row>
    <row r="1355" s="4" customFormat="1" ht="20" customHeight="1" spans="1:35">
      <c r="A1355" s="3643"/>
      <c r="B1355" s="3645"/>
      <c r="C1355" s="3733"/>
      <c r="D1355" s="3643"/>
      <c r="E1355" s="3731"/>
      <c r="F1355" s="3731"/>
      <c r="G1355" s="3643"/>
      <c r="H1355" s="3731"/>
      <c r="I1355" s="3731"/>
      <c r="J1355" s="3643"/>
      <c r="K1355" s="2678"/>
      <c r="L1355" s="3643"/>
      <c r="M1355" s="3753"/>
      <c r="N1355" s="2618" t="s">
        <v>6285</v>
      </c>
      <c r="O1355" s="3756">
        <v>0.45</v>
      </c>
      <c r="P1355" s="1029">
        <f>147744.4*O1355</f>
        <v>66484.98</v>
      </c>
      <c r="Q1355" s="3643"/>
      <c r="R1355" s="3775"/>
      <c r="S1355" s="3643"/>
      <c r="T1355" s="3643"/>
      <c r="U1355" s="3889"/>
      <c r="V1355" s="3643"/>
      <c r="W1355" s="3789"/>
      <c r="X1355" s="3789"/>
      <c r="Y1355" s="3643"/>
      <c r="Z1355" s="3789"/>
      <c r="AA1355" s="3789"/>
      <c r="AB1355" s="3789"/>
      <c r="AC1355" s="3789"/>
      <c r="AD1355" s="3789"/>
      <c r="AE1355" s="3789"/>
      <c r="AF1355" s="3789"/>
      <c r="AG1355" s="3789"/>
      <c r="AH1355" s="3868"/>
      <c r="AI1355" s="3868"/>
    </row>
    <row r="1356" s="4" customFormat="1" ht="20" customHeight="1" spans="1:35">
      <c r="A1356" s="3643"/>
      <c r="B1356" s="3645"/>
      <c r="C1356" s="3733"/>
      <c r="D1356" s="3643"/>
      <c r="E1356" s="3731"/>
      <c r="F1356" s="3731"/>
      <c r="G1356" s="3643"/>
      <c r="H1356" s="3731"/>
      <c r="I1356" s="3731"/>
      <c r="J1356" s="3643"/>
      <c r="K1356" s="2678"/>
      <c r="L1356" s="3643"/>
      <c r="M1356" s="3857"/>
      <c r="N1356" s="2618" t="s">
        <v>6286</v>
      </c>
      <c r="O1356" s="3756">
        <v>0.1</v>
      </c>
      <c r="P1356" s="1029">
        <f>147744.4*O1356</f>
        <v>14774.44</v>
      </c>
      <c r="Q1356" s="3643"/>
      <c r="R1356" s="3643"/>
      <c r="S1356" s="3643"/>
      <c r="T1356" s="3643"/>
      <c r="U1356" s="3643"/>
      <c r="V1356" s="3643"/>
      <c r="W1356" s="3789"/>
      <c r="X1356" s="3789"/>
      <c r="Y1356" s="3643"/>
      <c r="Z1356" s="3789"/>
      <c r="AA1356" s="3789"/>
      <c r="AB1356" s="3789"/>
      <c r="AC1356" s="3789"/>
      <c r="AD1356" s="3789"/>
      <c r="AE1356" s="3789"/>
      <c r="AF1356" s="3789"/>
      <c r="AG1356" s="3789"/>
      <c r="AH1356" s="3773"/>
      <c r="AI1356" s="3773"/>
    </row>
    <row r="1357" s="4" customFormat="1" ht="46" spans="1:35">
      <c r="A1357" s="2068" t="s">
        <v>2570</v>
      </c>
      <c r="B1357" s="3895">
        <v>44742</v>
      </c>
      <c r="C1357" s="3735" t="s">
        <v>6168</v>
      </c>
      <c r="D1357" s="2068"/>
      <c r="E1357" s="2068" t="s">
        <v>6287</v>
      </c>
      <c r="F1357" s="2068" t="s">
        <v>6288</v>
      </c>
      <c r="G1357" s="1499" t="s">
        <v>4290</v>
      </c>
      <c r="H1357" s="2068" t="s">
        <v>6289</v>
      </c>
      <c r="I1357" s="2068"/>
      <c r="J1357" s="2068" t="s">
        <v>997</v>
      </c>
      <c r="K1357" s="3909">
        <v>828000</v>
      </c>
      <c r="L1357" s="1768" t="s">
        <v>126</v>
      </c>
      <c r="M1357" s="37">
        <v>1</v>
      </c>
      <c r="N1357" s="2618" t="s">
        <v>4289</v>
      </c>
      <c r="O1357" s="3920">
        <v>0.2</v>
      </c>
      <c r="P1357" s="3814">
        <v>165600</v>
      </c>
      <c r="Q1357" s="294">
        <v>165600</v>
      </c>
      <c r="R1357" s="294" t="s">
        <v>4603</v>
      </c>
      <c r="S1357" s="3586">
        <v>44766</v>
      </c>
      <c r="T1357" s="37">
        <v>165600</v>
      </c>
      <c r="U1357" s="3607">
        <v>44757</v>
      </c>
      <c r="V1357" s="37">
        <v>165600</v>
      </c>
      <c r="W1357" s="3718">
        <v>44757</v>
      </c>
      <c r="X1357" s="294">
        <v>165600</v>
      </c>
      <c r="Y1357" s="3586">
        <v>44768</v>
      </c>
      <c r="Z1357" s="37">
        <f>Q1357-X1357</f>
        <v>0</v>
      </c>
      <c r="AA1357" s="294" t="s">
        <v>6290</v>
      </c>
      <c r="AB1357" s="11"/>
      <c r="AC1357" s="11"/>
      <c r="AD1357" s="11"/>
      <c r="AE1357" s="11"/>
      <c r="AF1357" s="11"/>
      <c r="AG1357" s="11"/>
      <c r="AH1357" s="11"/>
      <c r="AI1357" s="11"/>
    </row>
    <row r="1358" s="4" customFormat="1" ht="46" spans="1:35">
      <c r="A1358" s="1817"/>
      <c r="B1358" s="3896"/>
      <c r="C1358" s="1770"/>
      <c r="D1358" s="1817"/>
      <c r="E1358" s="1817"/>
      <c r="F1358" s="1817"/>
      <c r="G1358" s="3739"/>
      <c r="H1358" s="1817"/>
      <c r="I1358" s="1817"/>
      <c r="J1358" s="1817"/>
      <c r="K1358" s="3910"/>
      <c r="L1358" s="3508"/>
      <c r="M1358" s="37">
        <v>2</v>
      </c>
      <c r="N1358" s="2618" t="s">
        <v>3480</v>
      </c>
      <c r="O1358" s="3920">
        <v>0.6</v>
      </c>
      <c r="P1358" s="3814">
        <v>496800</v>
      </c>
      <c r="Q1358" s="294">
        <v>496800</v>
      </c>
      <c r="R1358" s="294" t="s">
        <v>4603</v>
      </c>
      <c r="S1358" s="3586">
        <v>44797</v>
      </c>
      <c r="T1358" s="294">
        <v>496800</v>
      </c>
      <c r="U1358" s="3586">
        <v>44783</v>
      </c>
      <c r="V1358" s="294">
        <v>496800</v>
      </c>
      <c r="W1358" s="3718">
        <v>44805</v>
      </c>
      <c r="X1358" s="294">
        <v>496800</v>
      </c>
      <c r="Y1358" s="3586">
        <v>44820</v>
      </c>
      <c r="Z1358" s="37">
        <f>Q1358-X1358</f>
        <v>0</v>
      </c>
      <c r="AA1358" s="294" t="s">
        <v>6290</v>
      </c>
      <c r="AB1358" s="11"/>
      <c r="AC1358" s="11"/>
      <c r="AD1358" s="11"/>
      <c r="AE1358" s="11"/>
      <c r="AF1358" s="11"/>
      <c r="AG1358" s="11"/>
      <c r="AH1358" s="11"/>
      <c r="AI1358" s="11"/>
    </row>
    <row r="1359" s="4" customFormat="1" ht="31" spans="1:35">
      <c r="A1359" s="2161"/>
      <c r="B1359" s="3897"/>
      <c r="C1359" s="3802"/>
      <c r="D1359" s="2161"/>
      <c r="E1359" s="2161"/>
      <c r="F1359" s="2161"/>
      <c r="G1359" s="3739"/>
      <c r="H1359" s="2161"/>
      <c r="I1359" s="2161"/>
      <c r="J1359" s="2161"/>
      <c r="K1359" s="3911"/>
      <c r="L1359" s="3681"/>
      <c r="M1359" s="37">
        <v>3</v>
      </c>
      <c r="N1359" s="2618" t="s">
        <v>3490</v>
      </c>
      <c r="O1359" s="3920">
        <v>0.2</v>
      </c>
      <c r="P1359" s="3814">
        <v>165600</v>
      </c>
      <c r="Q1359" s="37"/>
      <c r="R1359" s="37"/>
      <c r="S1359" s="37"/>
      <c r="T1359" s="37"/>
      <c r="U1359" s="37"/>
      <c r="V1359" s="37"/>
      <c r="W1359" s="11"/>
      <c r="X1359" s="37"/>
      <c r="Y1359" s="37"/>
      <c r="Z1359" s="37">
        <f>Q1359-X1359</f>
        <v>0</v>
      </c>
      <c r="AA1359" s="37"/>
      <c r="AB1359" s="11"/>
      <c r="AC1359" s="11"/>
      <c r="AD1359" s="11"/>
      <c r="AE1359" s="11"/>
      <c r="AF1359" s="11"/>
      <c r="AG1359" s="11"/>
      <c r="AH1359" s="11"/>
      <c r="AI1359" s="11"/>
    </row>
    <row r="1360" s="4" customFormat="1" ht="122" spans="1:35">
      <c r="A1360" s="2068" t="s">
        <v>2570</v>
      </c>
      <c r="B1360" s="3895">
        <v>44921</v>
      </c>
      <c r="C1360" s="3735" t="s">
        <v>6168</v>
      </c>
      <c r="D1360" s="2068"/>
      <c r="E1360" s="2068" t="s">
        <v>6291</v>
      </c>
      <c r="F1360" s="2068" t="s">
        <v>6292</v>
      </c>
      <c r="G1360" s="1499" t="s">
        <v>4291</v>
      </c>
      <c r="H1360" s="2068" t="s">
        <v>6293</v>
      </c>
      <c r="I1360" s="2068"/>
      <c r="J1360" s="2068" t="s">
        <v>997</v>
      </c>
      <c r="K1360" s="3909">
        <v>200000</v>
      </c>
      <c r="L1360" s="1768" t="s">
        <v>126</v>
      </c>
      <c r="M1360" s="37">
        <v>1</v>
      </c>
      <c r="N1360" s="185" t="s">
        <v>6294</v>
      </c>
      <c r="O1360" s="3920">
        <v>0.2</v>
      </c>
      <c r="P1360" s="3814">
        <f>K1360*O1360</f>
        <v>40000</v>
      </c>
      <c r="Q1360" s="3588">
        <v>40000</v>
      </c>
      <c r="R1360" s="294" t="s">
        <v>4603</v>
      </c>
      <c r="S1360" s="1948">
        <v>45280</v>
      </c>
      <c r="T1360" s="3588">
        <v>40000</v>
      </c>
      <c r="U1360" s="1948">
        <v>45280</v>
      </c>
      <c r="V1360" s="3505">
        <v>160000</v>
      </c>
      <c r="W1360" s="3638">
        <v>45642</v>
      </c>
      <c r="X1360" s="3588">
        <v>40000</v>
      </c>
      <c r="Y1360" s="1948">
        <v>45681</v>
      </c>
      <c r="Z1360" s="37">
        <f>Q1360-X1360</f>
        <v>0</v>
      </c>
      <c r="AA1360" s="37"/>
      <c r="AB1360" s="11"/>
      <c r="AC1360" s="11"/>
      <c r="AD1360" s="11"/>
      <c r="AE1360" s="11"/>
      <c r="AF1360" s="11"/>
      <c r="AG1360" s="11"/>
      <c r="AH1360" s="11"/>
      <c r="AI1360" s="11"/>
    </row>
    <row r="1361" s="4" customFormat="1" ht="122" spans="1:35">
      <c r="A1361" s="1817"/>
      <c r="B1361" s="3896"/>
      <c r="C1361" s="1770"/>
      <c r="D1361" s="1817"/>
      <c r="E1361" s="1817"/>
      <c r="F1361" s="1817"/>
      <c r="G1361" s="3739"/>
      <c r="H1361" s="1817"/>
      <c r="I1361" s="1817"/>
      <c r="J1361" s="1817"/>
      <c r="K1361" s="3910"/>
      <c r="L1361" s="3508"/>
      <c r="M1361" s="37">
        <v>2</v>
      </c>
      <c r="N1361" s="185" t="s">
        <v>6295</v>
      </c>
      <c r="O1361" s="3920">
        <v>0.6</v>
      </c>
      <c r="P1361" s="3814">
        <f>K1360*O1361</f>
        <v>120000</v>
      </c>
      <c r="Q1361" s="3588">
        <v>120000</v>
      </c>
      <c r="R1361" s="294" t="s">
        <v>4603</v>
      </c>
      <c r="S1361" s="1948">
        <v>45280</v>
      </c>
      <c r="T1361" s="3588">
        <v>120000</v>
      </c>
      <c r="U1361" s="1948">
        <v>45280</v>
      </c>
      <c r="V1361" s="3681"/>
      <c r="W1361" s="3681"/>
      <c r="X1361" s="3588">
        <v>120000</v>
      </c>
      <c r="Y1361" s="1948">
        <v>45681</v>
      </c>
      <c r="Z1361" s="37">
        <f>Q1361-X1361</f>
        <v>0</v>
      </c>
      <c r="AA1361" s="37"/>
      <c r="AB1361" s="11"/>
      <c r="AC1361" s="11"/>
      <c r="AD1361" s="11"/>
      <c r="AE1361" s="11"/>
      <c r="AF1361" s="11"/>
      <c r="AG1361" s="11"/>
      <c r="AH1361" s="11"/>
      <c r="AI1361" s="11"/>
    </row>
    <row r="1362" s="4" customFormat="1" ht="43.5" customHeight="1" spans="1:35">
      <c r="A1362" s="1817"/>
      <c r="B1362" s="3896"/>
      <c r="C1362" s="1770"/>
      <c r="D1362" s="1817"/>
      <c r="E1362" s="1817"/>
      <c r="F1362" s="1817"/>
      <c r="G1362" s="3739"/>
      <c r="H1362" s="1817"/>
      <c r="I1362" s="1817"/>
      <c r="J1362" s="1817"/>
      <c r="K1362" s="3910"/>
      <c r="L1362" s="3508"/>
      <c r="M1362" s="3505">
        <v>3</v>
      </c>
      <c r="N1362" s="647" t="s">
        <v>6296</v>
      </c>
      <c r="O1362" s="3920">
        <v>0.1</v>
      </c>
      <c r="P1362" s="3814">
        <v>20000</v>
      </c>
      <c r="Q1362" s="37">
        <v>20000</v>
      </c>
      <c r="R1362" s="294" t="s">
        <v>4603</v>
      </c>
      <c r="S1362" s="1948">
        <v>45280</v>
      </c>
      <c r="T1362" s="3588">
        <v>20000</v>
      </c>
      <c r="U1362" s="1948">
        <v>45280</v>
      </c>
      <c r="V1362" s="37"/>
      <c r="W1362" s="11"/>
      <c r="X1362" s="3706"/>
      <c r="Y1362" s="3724"/>
      <c r="Z1362" s="37"/>
      <c r="AA1362" s="37"/>
      <c r="AB1362" s="11"/>
      <c r="AC1362" s="11"/>
      <c r="AD1362" s="11"/>
      <c r="AE1362" s="11"/>
      <c r="AF1362" s="11"/>
      <c r="AG1362" s="11"/>
      <c r="AH1362" s="11"/>
      <c r="AI1362" s="11"/>
    </row>
    <row r="1363" s="4" customFormat="1" ht="43.5" customHeight="1" spans="1:35">
      <c r="A1363" s="2161"/>
      <c r="B1363" s="3897"/>
      <c r="C1363" s="3802"/>
      <c r="D1363" s="2161"/>
      <c r="E1363" s="2161"/>
      <c r="F1363" s="2161"/>
      <c r="G1363" s="3739"/>
      <c r="H1363" s="2161"/>
      <c r="I1363" s="2161"/>
      <c r="J1363" s="2161"/>
      <c r="K1363" s="3911"/>
      <c r="L1363" s="3681"/>
      <c r="M1363" s="3681"/>
      <c r="N1363" s="179"/>
      <c r="O1363" s="3920">
        <v>0.1</v>
      </c>
      <c r="P1363" s="3814">
        <f>K1360*O1363</f>
        <v>20000</v>
      </c>
      <c r="Q1363" s="37"/>
      <c r="R1363" s="294"/>
      <c r="S1363" s="1948"/>
      <c r="T1363" s="37"/>
      <c r="U1363" s="37"/>
      <c r="V1363" s="37"/>
      <c r="W1363" s="11"/>
      <c r="X1363" s="37"/>
      <c r="Y1363" s="37"/>
      <c r="Z1363" s="37">
        <f t="shared" ref="Z1363:Z1368" si="42">Q1363-X1363</f>
        <v>0</v>
      </c>
      <c r="AA1363" s="37"/>
      <c r="AB1363" s="11"/>
      <c r="AC1363" s="11"/>
      <c r="AD1363" s="11"/>
      <c r="AE1363" s="11"/>
      <c r="AF1363" s="11"/>
      <c r="AG1363" s="11"/>
      <c r="AH1363" s="11"/>
      <c r="AI1363" s="11"/>
    </row>
    <row r="1364" s="4" customFormat="1" ht="61" spans="1:35">
      <c r="A1364" s="2068" t="s">
        <v>2570</v>
      </c>
      <c r="B1364" s="3895">
        <v>44775</v>
      </c>
      <c r="C1364" s="3735" t="s">
        <v>6168</v>
      </c>
      <c r="D1364" s="2068"/>
      <c r="E1364" s="2068" t="s">
        <v>6297</v>
      </c>
      <c r="F1364" s="2068" t="s">
        <v>6298</v>
      </c>
      <c r="G1364" s="1499" t="s">
        <v>4292</v>
      </c>
      <c r="H1364" s="2068" t="s">
        <v>6299</v>
      </c>
      <c r="I1364" s="2068"/>
      <c r="J1364" s="2068" t="s">
        <v>997</v>
      </c>
      <c r="K1364" s="3909">
        <v>205000</v>
      </c>
      <c r="L1364" s="1768" t="s">
        <v>126</v>
      </c>
      <c r="M1364" s="37">
        <v>1</v>
      </c>
      <c r="N1364" s="2618" t="s">
        <v>6300</v>
      </c>
      <c r="O1364" s="3920">
        <v>0.8</v>
      </c>
      <c r="P1364" s="3814">
        <f>K1364*O1364</f>
        <v>164000</v>
      </c>
      <c r="Q1364" s="294">
        <v>164000</v>
      </c>
      <c r="R1364" s="294" t="s">
        <v>4603</v>
      </c>
      <c r="S1364" s="3586">
        <v>44797</v>
      </c>
      <c r="T1364" s="294">
        <v>164000</v>
      </c>
      <c r="U1364" s="3586">
        <v>44783</v>
      </c>
      <c r="V1364" s="294">
        <v>164000</v>
      </c>
      <c r="W1364" s="3718">
        <v>44803</v>
      </c>
      <c r="X1364" s="294">
        <v>164000</v>
      </c>
      <c r="Y1364" s="3586">
        <v>44813</v>
      </c>
      <c r="Z1364" s="37">
        <f t="shared" si="42"/>
        <v>0</v>
      </c>
      <c r="AA1364" s="37"/>
      <c r="AB1364" s="11"/>
      <c r="AC1364" s="11"/>
      <c r="AD1364" s="11"/>
      <c r="AE1364" s="11"/>
      <c r="AF1364" s="11"/>
      <c r="AG1364" s="11"/>
      <c r="AH1364" s="11"/>
      <c r="AI1364" s="11"/>
    </row>
    <row r="1365" s="4" customFormat="1" ht="61" spans="1:35">
      <c r="A1365" s="2161"/>
      <c r="B1365" s="3897"/>
      <c r="C1365" s="3802"/>
      <c r="D1365" s="2161"/>
      <c r="E1365" s="2161"/>
      <c r="F1365" s="2161"/>
      <c r="G1365" s="3739"/>
      <c r="H1365" s="2161"/>
      <c r="I1365" s="2161"/>
      <c r="J1365" s="2161"/>
      <c r="K1365" s="3911"/>
      <c r="L1365" s="3681"/>
      <c r="M1365" s="37">
        <v>3</v>
      </c>
      <c r="N1365" s="2618" t="s">
        <v>6301</v>
      </c>
      <c r="O1365" s="3920">
        <v>0.2</v>
      </c>
      <c r="P1365" s="3814">
        <v>41000</v>
      </c>
      <c r="Q1365" s="37"/>
      <c r="R1365" s="37"/>
      <c r="S1365" s="37"/>
      <c r="T1365" s="37"/>
      <c r="U1365" s="37"/>
      <c r="V1365" s="37"/>
      <c r="W1365" s="11"/>
      <c r="X1365" s="37"/>
      <c r="Y1365" s="37"/>
      <c r="Z1365" s="37">
        <f t="shared" si="42"/>
        <v>0</v>
      </c>
      <c r="AA1365" s="37"/>
      <c r="AB1365" s="11"/>
      <c r="AC1365" s="11"/>
      <c r="AD1365" s="11"/>
      <c r="AE1365" s="11"/>
      <c r="AF1365" s="11"/>
      <c r="AG1365" s="11"/>
      <c r="AH1365" s="11"/>
      <c r="AI1365" s="11"/>
    </row>
    <row r="1366" s="4" customFormat="1" ht="46" spans="1:35">
      <c r="A1366" s="2068" t="s">
        <v>2570</v>
      </c>
      <c r="B1366" s="3895">
        <v>44688</v>
      </c>
      <c r="C1366" s="3735" t="s">
        <v>6168</v>
      </c>
      <c r="D1366" s="2068"/>
      <c r="E1366" s="2068" t="s">
        <v>6302</v>
      </c>
      <c r="F1366" s="2068" t="s">
        <v>6303</v>
      </c>
      <c r="G1366" s="1499" t="s">
        <v>4294</v>
      </c>
      <c r="H1366" s="2068" t="s">
        <v>6304</v>
      </c>
      <c r="I1366" s="2068"/>
      <c r="J1366" s="2068" t="s">
        <v>6305</v>
      </c>
      <c r="K1366" s="3909">
        <v>365849.2</v>
      </c>
      <c r="L1366" s="1768" t="s">
        <v>126</v>
      </c>
      <c r="M1366" s="37">
        <v>1</v>
      </c>
      <c r="N1366" s="2618" t="s">
        <v>4289</v>
      </c>
      <c r="O1366" s="3920">
        <v>0.2</v>
      </c>
      <c r="P1366" s="3814">
        <f>K1366*O1366</f>
        <v>73169.84</v>
      </c>
      <c r="Q1366" s="294">
        <v>73169.84</v>
      </c>
      <c r="R1366" s="294" t="s">
        <v>4603</v>
      </c>
      <c r="S1366" s="2433">
        <v>44688</v>
      </c>
      <c r="T1366" s="294">
        <v>73169.84</v>
      </c>
      <c r="U1366" s="2433">
        <v>44688</v>
      </c>
      <c r="V1366" s="294">
        <v>73169.84</v>
      </c>
      <c r="W1366" s="3718">
        <v>44775</v>
      </c>
      <c r="X1366" s="294">
        <v>73169.84</v>
      </c>
      <c r="Y1366" s="3586">
        <v>44784</v>
      </c>
      <c r="Z1366" s="3706">
        <f t="shared" si="42"/>
        <v>0</v>
      </c>
      <c r="AA1366" s="37"/>
      <c r="AB1366" s="11"/>
      <c r="AC1366" s="11"/>
      <c r="AD1366" s="11"/>
      <c r="AE1366" s="11"/>
      <c r="AF1366" s="11"/>
      <c r="AG1366" s="11"/>
      <c r="AH1366" s="11"/>
      <c r="AI1366" s="11"/>
    </row>
    <row r="1367" s="4" customFormat="1" ht="46" spans="1:35">
      <c r="A1367" s="1817"/>
      <c r="B1367" s="3896"/>
      <c r="C1367" s="1770"/>
      <c r="D1367" s="1817"/>
      <c r="E1367" s="1817"/>
      <c r="F1367" s="1817"/>
      <c r="G1367" s="3739"/>
      <c r="H1367" s="1817"/>
      <c r="I1367" s="1817"/>
      <c r="J1367" s="1817"/>
      <c r="K1367" s="3910"/>
      <c r="L1367" s="3508"/>
      <c r="M1367" s="37">
        <v>2</v>
      </c>
      <c r="N1367" s="2618" t="s">
        <v>3480</v>
      </c>
      <c r="O1367" s="3920">
        <v>0.6</v>
      </c>
      <c r="P1367" s="3814">
        <f>K1366*O1367</f>
        <v>219509.52</v>
      </c>
      <c r="Q1367" s="3588">
        <v>219509.52</v>
      </c>
      <c r="R1367" s="294" t="s">
        <v>4603</v>
      </c>
      <c r="S1367" s="2433">
        <v>44911</v>
      </c>
      <c r="T1367" s="3588">
        <v>219509.52</v>
      </c>
      <c r="U1367" s="2433">
        <v>44911</v>
      </c>
      <c r="V1367" s="3588">
        <v>219509.52</v>
      </c>
      <c r="W1367" s="3718">
        <v>45072</v>
      </c>
      <c r="X1367" s="3588">
        <v>219509.52</v>
      </c>
      <c r="Y1367" s="2433">
        <v>45090</v>
      </c>
      <c r="Z1367" s="37">
        <f t="shared" si="42"/>
        <v>0</v>
      </c>
      <c r="AA1367" s="37"/>
      <c r="AB1367" s="11"/>
      <c r="AC1367" s="11"/>
      <c r="AD1367" s="11"/>
      <c r="AE1367" s="11"/>
      <c r="AF1367" s="11"/>
      <c r="AG1367" s="11"/>
      <c r="AH1367" s="11"/>
      <c r="AI1367" s="11"/>
    </row>
    <row r="1368" s="4" customFormat="1" ht="31" spans="1:35">
      <c r="A1368" s="2161"/>
      <c r="B1368" s="3897"/>
      <c r="C1368" s="3802"/>
      <c r="D1368" s="2161"/>
      <c r="E1368" s="2161"/>
      <c r="F1368" s="2161"/>
      <c r="G1368" s="3739"/>
      <c r="H1368" s="2161"/>
      <c r="I1368" s="2161"/>
      <c r="J1368" s="2161"/>
      <c r="K1368" s="3911"/>
      <c r="L1368" s="3681"/>
      <c r="M1368" s="37">
        <v>3</v>
      </c>
      <c r="N1368" s="2618" t="s">
        <v>3490</v>
      </c>
      <c r="O1368" s="3920">
        <v>0.2</v>
      </c>
      <c r="P1368" s="3814">
        <f>K1366*O1368</f>
        <v>73169.84</v>
      </c>
      <c r="Q1368" s="3706"/>
      <c r="R1368" s="3706"/>
      <c r="T1368" s="37"/>
      <c r="U1368" s="37"/>
      <c r="V1368" s="37">
        <v>4000</v>
      </c>
      <c r="W1368" s="11"/>
      <c r="X1368" s="11"/>
      <c r="Y1368" s="11"/>
      <c r="Z1368" s="37">
        <f t="shared" si="42"/>
        <v>0</v>
      </c>
      <c r="AA1368" s="37"/>
      <c r="AB1368" s="11"/>
      <c r="AC1368" s="11"/>
      <c r="AD1368" s="11"/>
      <c r="AE1368" s="11"/>
      <c r="AF1368" s="11"/>
      <c r="AG1368" s="11"/>
      <c r="AH1368" s="11"/>
      <c r="AI1368" s="11"/>
    </row>
    <row r="1369" s="4" customFormat="1" ht="92" spans="1:35">
      <c r="A1369" s="1817" t="s">
        <v>2570</v>
      </c>
      <c r="B1369" s="3896">
        <v>45016</v>
      </c>
      <c r="C1369" s="1770" t="s">
        <v>6168</v>
      </c>
      <c r="D1369" s="1817"/>
      <c r="E1369" s="1817" t="s">
        <v>6306</v>
      </c>
      <c r="F1369" s="1817" t="s">
        <v>6307</v>
      </c>
      <c r="G1369" s="2068" t="s">
        <v>4293</v>
      </c>
      <c r="H1369" s="1817" t="s">
        <v>6308</v>
      </c>
      <c r="I1369" s="1817"/>
      <c r="J1369" s="1817"/>
      <c r="K1369" s="3910">
        <v>200000</v>
      </c>
      <c r="L1369" s="1771" t="s">
        <v>126</v>
      </c>
      <c r="M1369" s="37">
        <v>1</v>
      </c>
      <c r="N1369" s="185" t="s">
        <v>6309</v>
      </c>
      <c r="O1369" s="3920">
        <v>0.2</v>
      </c>
      <c r="P1369" s="3814">
        <f>200000*O1369</f>
        <v>40000</v>
      </c>
      <c r="Q1369" s="3588">
        <v>40000</v>
      </c>
      <c r="R1369" s="294" t="s">
        <v>4603</v>
      </c>
      <c r="S1369" s="1948">
        <v>45282</v>
      </c>
      <c r="T1369" s="3588">
        <v>40000</v>
      </c>
      <c r="U1369" s="1948">
        <v>45282</v>
      </c>
      <c r="V1369" s="37">
        <v>40000</v>
      </c>
      <c r="W1369" s="3718">
        <v>45642</v>
      </c>
      <c r="X1369" s="3588">
        <v>40000</v>
      </c>
      <c r="Y1369" s="1948">
        <v>45681</v>
      </c>
      <c r="Z1369" s="37"/>
      <c r="AA1369" s="37"/>
      <c r="AB1369" s="11"/>
      <c r="AC1369" s="11"/>
      <c r="AD1369" s="11"/>
      <c r="AE1369" s="11"/>
      <c r="AF1369" s="11"/>
      <c r="AG1369" s="11"/>
      <c r="AH1369" s="11"/>
      <c r="AI1369" s="11"/>
    </row>
    <row r="1370" s="4" customFormat="1" ht="92" spans="1:35">
      <c r="A1370" s="1817"/>
      <c r="B1370" s="3896"/>
      <c r="C1370" s="1770"/>
      <c r="D1370" s="1817"/>
      <c r="E1370" s="1817"/>
      <c r="F1370" s="1817"/>
      <c r="G1370" s="1817"/>
      <c r="H1370" s="1817"/>
      <c r="I1370" s="1817"/>
      <c r="J1370" s="1817"/>
      <c r="K1370" s="3910"/>
      <c r="L1370" s="3508"/>
      <c r="M1370" s="294">
        <v>2</v>
      </c>
      <c r="N1370" s="185" t="s">
        <v>6310</v>
      </c>
      <c r="O1370" s="3921">
        <v>0.6</v>
      </c>
      <c r="P1370" s="3922">
        <f>200000*O1370</f>
        <v>120000</v>
      </c>
      <c r="Q1370" s="3588">
        <v>100000</v>
      </c>
      <c r="R1370" s="294" t="s">
        <v>4603</v>
      </c>
      <c r="S1370" s="1948">
        <v>45282</v>
      </c>
      <c r="T1370" s="3588">
        <v>100000</v>
      </c>
      <c r="U1370" s="1948">
        <v>45282</v>
      </c>
      <c r="V1370" s="37">
        <v>70000</v>
      </c>
      <c r="W1370" s="3718">
        <v>45642</v>
      </c>
      <c r="X1370" s="3588">
        <v>70000</v>
      </c>
      <c r="Y1370" s="1948">
        <v>45681</v>
      </c>
      <c r="Z1370" s="37"/>
      <c r="AA1370" s="37"/>
      <c r="AB1370" s="11"/>
      <c r="AC1370" s="11"/>
      <c r="AD1370" s="11"/>
      <c r="AE1370" s="11"/>
      <c r="AF1370" s="11"/>
      <c r="AG1370" s="11"/>
      <c r="AH1370" s="11"/>
      <c r="AI1370" s="11"/>
    </row>
    <row r="1371" s="4" customFormat="1" ht="92" spans="1:35">
      <c r="A1371" s="2161"/>
      <c r="B1371" s="3897"/>
      <c r="C1371" s="3802"/>
      <c r="D1371" s="2161"/>
      <c r="E1371" s="2161"/>
      <c r="F1371" s="2161"/>
      <c r="G1371" s="2161"/>
      <c r="H1371" s="2161"/>
      <c r="I1371" s="2161"/>
      <c r="J1371" s="2161"/>
      <c r="K1371" s="3911"/>
      <c r="L1371" s="3681"/>
      <c r="M1371" s="37">
        <v>3</v>
      </c>
      <c r="N1371" s="185" t="s">
        <v>6311</v>
      </c>
      <c r="O1371" s="3921">
        <v>0.2</v>
      </c>
      <c r="P1371" s="3922">
        <v>40000</v>
      </c>
      <c r="Q1371" s="37"/>
      <c r="R1371" s="37"/>
      <c r="S1371" s="37"/>
      <c r="T1371" s="37"/>
      <c r="U1371" s="37"/>
      <c r="V1371" s="37"/>
      <c r="W1371" s="11"/>
      <c r="X1371" s="11"/>
      <c r="Y1371" s="11"/>
      <c r="Z1371" s="37"/>
      <c r="AA1371" s="37"/>
      <c r="AB1371" s="11"/>
      <c r="AC1371" s="11"/>
      <c r="AD1371" s="11"/>
      <c r="AE1371" s="11"/>
      <c r="AF1371" s="11"/>
      <c r="AG1371" s="11"/>
      <c r="AH1371" s="11"/>
      <c r="AI1371" s="11"/>
    </row>
    <row r="1372" s="6" customFormat="1" ht="47" spans="1:35">
      <c r="A1372" s="992" t="s">
        <v>2570</v>
      </c>
      <c r="B1372" s="3898">
        <v>44525</v>
      </c>
      <c r="C1372" s="982" t="s">
        <v>6312</v>
      </c>
      <c r="D1372" s="34"/>
      <c r="E1372" s="986" t="s">
        <v>6313</v>
      </c>
      <c r="F1372" s="986" t="s">
        <v>6314</v>
      </c>
      <c r="G1372" s="986" t="s">
        <v>6315</v>
      </c>
      <c r="H1372" s="986" t="s">
        <v>4890</v>
      </c>
      <c r="I1372" s="34"/>
      <c r="J1372" s="34"/>
      <c r="K1372" s="2678">
        <f>1820000-235000</f>
        <v>1585000</v>
      </c>
      <c r="L1372" s="992" t="s">
        <v>126</v>
      </c>
      <c r="M1372" s="992">
        <v>1</v>
      </c>
      <c r="N1372" s="2618" t="s">
        <v>6316</v>
      </c>
      <c r="O1372" s="3923">
        <v>0.3</v>
      </c>
      <c r="P1372" s="2680">
        <f>K1372*O1372</f>
        <v>475500</v>
      </c>
      <c r="Q1372" s="3933">
        <v>475500</v>
      </c>
      <c r="R1372" s="992" t="s">
        <v>4603</v>
      </c>
      <c r="S1372" s="1044">
        <v>44721</v>
      </c>
      <c r="T1372" s="3933">
        <v>475500</v>
      </c>
      <c r="U1372" s="1044">
        <v>44721</v>
      </c>
      <c r="V1372" s="3933">
        <v>475500</v>
      </c>
      <c r="W1372" s="1044">
        <v>44721</v>
      </c>
      <c r="X1372" s="3935">
        <v>475500</v>
      </c>
      <c r="Y1372" s="3770">
        <v>44735</v>
      </c>
      <c r="Z1372" s="30"/>
      <c r="AA1372" s="34"/>
      <c r="AB1372" s="30"/>
      <c r="AC1372" s="30"/>
      <c r="AD1372" s="30"/>
      <c r="AE1372" s="30"/>
      <c r="AF1372" s="30"/>
      <c r="AG1372" s="30"/>
      <c r="AH1372" s="30"/>
      <c r="AI1372" s="30"/>
    </row>
    <row r="1373" s="6" customFormat="1" ht="62" spans="1:35">
      <c r="A1373" s="34"/>
      <c r="B1373" s="3899"/>
      <c r="C1373" s="3900"/>
      <c r="D1373" s="34"/>
      <c r="E1373" s="986"/>
      <c r="F1373" s="2308"/>
      <c r="G1373" s="2308"/>
      <c r="H1373" s="986"/>
      <c r="I1373" s="34"/>
      <c r="J1373" s="34"/>
      <c r="K1373" s="2678"/>
      <c r="L1373" s="34"/>
      <c r="M1373" s="34">
        <v>2</v>
      </c>
      <c r="N1373" s="2618" t="s">
        <v>6317</v>
      </c>
      <c r="O1373" s="3923">
        <v>0.5</v>
      </c>
      <c r="P1373" s="2680">
        <f>K1372*O1373</f>
        <v>792500</v>
      </c>
      <c r="Q1373" s="3933">
        <v>792500</v>
      </c>
      <c r="R1373" s="992" t="s">
        <v>4603</v>
      </c>
      <c r="S1373" s="1044">
        <v>44721</v>
      </c>
      <c r="T1373" s="3933">
        <v>792500</v>
      </c>
      <c r="U1373" s="1044">
        <v>44721</v>
      </c>
      <c r="V1373" s="3933">
        <v>792500</v>
      </c>
      <c r="W1373" s="1044">
        <v>44721</v>
      </c>
      <c r="X1373" s="3935">
        <v>792500</v>
      </c>
      <c r="Y1373" s="3770">
        <v>44735</v>
      </c>
      <c r="Z1373" s="30"/>
      <c r="AA1373" s="34"/>
      <c r="AB1373" s="30"/>
      <c r="AC1373" s="30"/>
      <c r="AD1373" s="30"/>
      <c r="AE1373" s="30"/>
      <c r="AF1373" s="30"/>
      <c r="AG1373" s="30"/>
      <c r="AH1373" s="30"/>
      <c r="AI1373" s="30"/>
    </row>
    <row r="1374" s="6" customFormat="1" ht="47" spans="1:35">
      <c r="A1374" s="34"/>
      <c r="B1374" s="3899"/>
      <c r="C1374" s="3900"/>
      <c r="D1374" s="34"/>
      <c r="E1374" s="986"/>
      <c r="F1374" s="2308"/>
      <c r="G1374" s="2308"/>
      <c r="H1374" s="986"/>
      <c r="I1374" s="34"/>
      <c r="J1374" s="34"/>
      <c r="K1374" s="2678"/>
      <c r="L1374" s="34"/>
      <c r="M1374" s="34">
        <v>3</v>
      </c>
      <c r="N1374" s="2618" t="s">
        <v>6318</v>
      </c>
      <c r="O1374" s="3923">
        <v>0.1</v>
      </c>
      <c r="P1374" s="2680">
        <f>K1372*O1374</f>
        <v>158500</v>
      </c>
      <c r="Q1374" s="3933">
        <v>158500</v>
      </c>
      <c r="R1374" s="992" t="s">
        <v>4603</v>
      </c>
      <c r="S1374" s="1044">
        <v>44721</v>
      </c>
      <c r="T1374" s="3933">
        <v>158500</v>
      </c>
      <c r="U1374" s="1044">
        <v>44721</v>
      </c>
      <c r="V1374" s="3933">
        <v>158500</v>
      </c>
      <c r="W1374" s="1044">
        <v>44721</v>
      </c>
      <c r="X1374" s="3935">
        <v>158500</v>
      </c>
      <c r="Y1374" s="3770">
        <v>44735</v>
      </c>
      <c r="Z1374" s="30"/>
      <c r="AA1374" s="34"/>
      <c r="AB1374" s="30"/>
      <c r="AC1374" s="30"/>
      <c r="AD1374" s="30"/>
      <c r="AE1374" s="30"/>
      <c r="AF1374" s="30"/>
      <c r="AG1374" s="30"/>
      <c r="AH1374" s="30"/>
      <c r="AI1374" s="30"/>
    </row>
    <row r="1375" s="6" customFormat="1" spans="1:35">
      <c r="A1375" s="34"/>
      <c r="B1375" s="3899"/>
      <c r="C1375" s="3900"/>
      <c r="D1375" s="34"/>
      <c r="E1375" s="986"/>
      <c r="F1375" s="2308"/>
      <c r="G1375" s="2308"/>
      <c r="H1375" s="986"/>
      <c r="I1375" s="34"/>
      <c r="J1375" s="34"/>
      <c r="K1375" s="2678"/>
      <c r="L1375" s="34"/>
      <c r="M1375" s="44">
        <v>4</v>
      </c>
      <c r="N1375" s="705" t="s">
        <v>6319</v>
      </c>
      <c r="O1375" s="3924">
        <v>0.1</v>
      </c>
      <c r="P1375" s="3925">
        <f>K1372*O1375</f>
        <v>158500</v>
      </c>
      <c r="Q1375" s="3934">
        <f>K1372*0.07</f>
        <v>110950</v>
      </c>
      <c r="R1375" s="1054" t="s">
        <v>5015</v>
      </c>
      <c r="S1375" s="3889">
        <v>46386</v>
      </c>
      <c r="T1375" s="3933"/>
      <c r="U1375" s="1044"/>
      <c r="V1375" s="3933"/>
      <c r="W1375" s="1044"/>
      <c r="X1375" s="3935"/>
      <c r="Y1375" s="3770"/>
      <c r="Z1375" s="30"/>
      <c r="AA1375" s="34"/>
      <c r="AB1375" s="30"/>
      <c r="AC1375" s="30"/>
      <c r="AD1375" s="30"/>
      <c r="AE1375" s="30"/>
      <c r="AF1375" s="30"/>
      <c r="AG1375" s="30"/>
      <c r="AH1375" s="30"/>
      <c r="AI1375" s="30"/>
    </row>
    <row r="1376" s="6" customFormat="1" spans="1:35">
      <c r="A1376" s="34"/>
      <c r="B1376" s="3901"/>
      <c r="C1376" s="3900"/>
      <c r="D1376" s="34"/>
      <c r="E1376" s="986"/>
      <c r="F1376" s="2308"/>
      <c r="G1376" s="2308"/>
      <c r="H1376" s="986"/>
      <c r="I1376" s="34"/>
      <c r="J1376" s="34"/>
      <c r="K1376" s="2678"/>
      <c r="L1376" s="34"/>
      <c r="M1376" s="2334"/>
      <c r="N1376" s="3558"/>
      <c r="O1376" s="3926"/>
      <c r="P1376" s="3927"/>
      <c r="Q1376" s="3788">
        <f>K1372*0.03</f>
        <v>47550</v>
      </c>
      <c r="R1376" s="1054" t="s">
        <v>349</v>
      </c>
      <c r="S1376" s="3889"/>
      <c r="T1376" s="34"/>
      <c r="U1376" s="34"/>
      <c r="V1376" s="34"/>
      <c r="W1376" s="30"/>
      <c r="X1376" s="30"/>
      <c r="Y1376" s="30"/>
      <c r="Z1376" s="30"/>
      <c r="AA1376" s="34"/>
      <c r="AB1376" s="30"/>
      <c r="AC1376" s="30"/>
      <c r="AD1376" s="30"/>
      <c r="AE1376" s="30"/>
      <c r="AF1376" s="30"/>
      <c r="AG1376" s="30"/>
      <c r="AH1376" s="30"/>
      <c r="AI1376" s="30"/>
    </row>
    <row r="1377" s="6" customFormat="1" ht="46" spans="1:35">
      <c r="A1377" s="1019" t="s">
        <v>2570</v>
      </c>
      <c r="B1377" s="3898">
        <v>44525</v>
      </c>
      <c r="C1377" s="3902" t="s">
        <v>6312</v>
      </c>
      <c r="D1377" s="1057" t="s">
        <v>4445</v>
      </c>
      <c r="E1377" s="1057" t="s">
        <v>6320</v>
      </c>
      <c r="F1377" s="1057" t="s">
        <v>6321</v>
      </c>
      <c r="G1377" s="1057" t="s">
        <v>658</v>
      </c>
      <c r="H1377" s="1057" t="s">
        <v>6322</v>
      </c>
      <c r="I1377" s="1057" t="s">
        <v>6323</v>
      </c>
      <c r="J1377" s="1057" t="s">
        <v>6324</v>
      </c>
      <c r="K1377" s="3912">
        <f>3960000-60000</f>
        <v>3900000</v>
      </c>
      <c r="L1377" s="1019" t="s">
        <v>126</v>
      </c>
      <c r="M1377" s="34">
        <v>1</v>
      </c>
      <c r="N1377" s="2618" t="s">
        <v>6325</v>
      </c>
      <c r="O1377" s="3923">
        <v>0.1</v>
      </c>
      <c r="P1377" s="34">
        <f>K1377*O1377</f>
        <v>390000</v>
      </c>
      <c r="Q1377" s="34">
        <v>390000</v>
      </c>
      <c r="R1377" s="992" t="s">
        <v>4603</v>
      </c>
      <c r="S1377" s="1044">
        <v>44717</v>
      </c>
      <c r="T1377" s="34">
        <v>390000</v>
      </c>
      <c r="U1377" s="1044">
        <v>44717</v>
      </c>
      <c r="V1377" s="34">
        <v>390000</v>
      </c>
      <c r="W1377" s="1044">
        <v>44721</v>
      </c>
      <c r="X1377" s="2677">
        <v>390000</v>
      </c>
      <c r="Y1377" s="3770">
        <v>44735</v>
      </c>
      <c r="Z1377" s="30"/>
      <c r="AA1377" s="34"/>
      <c r="AB1377" s="30"/>
      <c r="AC1377" s="30"/>
      <c r="AD1377" s="30"/>
      <c r="AE1377" s="30"/>
      <c r="AF1377" s="30"/>
      <c r="AG1377" s="30"/>
      <c r="AH1377" s="30"/>
      <c r="AI1377" s="30"/>
    </row>
    <row r="1378" s="6" customFormat="1" ht="46" spans="1:35">
      <c r="A1378" s="1006"/>
      <c r="B1378" s="3899"/>
      <c r="C1378" s="3903"/>
      <c r="D1378" s="3904"/>
      <c r="E1378" s="1058"/>
      <c r="F1378" s="1058"/>
      <c r="G1378" s="1058"/>
      <c r="H1378" s="1058"/>
      <c r="I1378" s="3907"/>
      <c r="J1378" s="3904"/>
      <c r="K1378" s="3913"/>
      <c r="L1378" s="1006"/>
      <c r="M1378" s="34">
        <v>2</v>
      </c>
      <c r="N1378" s="2618" t="s">
        <v>6326</v>
      </c>
      <c r="O1378" s="3923">
        <v>0.1</v>
      </c>
      <c r="P1378" s="34">
        <f>K1377*O1378</f>
        <v>390000</v>
      </c>
      <c r="Q1378" s="34">
        <v>390000</v>
      </c>
      <c r="R1378" s="992" t="s">
        <v>4603</v>
      </c>
      <c r="S1378" s="1044">
        <v>44717</v>
      </c>
      <c r="T1378" s="34">
        <v>390000</v>
      </c>
      <c r="U1378" s="1044">
        <v>44717</v>
      </c>
      <c r="V1378" s="34">
        <v>390000</v>
      </c>
      <c r="W1378" s="1044">
        <v>44721</v>
      </c>
      <c r="X1378" s="2677">
        <v>390000</v>
      </c>
      <c r="Y1378" s="3770">
        <v>44735</v>
      </c>
      <c r="Z1378" s="30"/>
      <c r="AA1378" s="34"/>
      <c r="AB1378" s="30"/>
      <c r="AC1378" s="30"/>
      <c r="AD1378" s="30"/>
      <c r="AE1378" s="30"/>
      <c r="AF1378" s="30"/>
      <c r="AG1378" s="30"/>
      <c r="AH1378" s="30"/>
      <c r="AI1378" s="30"/>
    </row>
    <row r="1379" s="6" customFormat="1" ht="16" spans="1:35">
      <c r="A1379" s="1006"/>
      <c r="B1379" s="3899"/>
      <c r="C1379" s="3903"/>
      <c r="D1379" s="3904"/>
      <c r="E1379" s="1058"/>
      <c r="F1379" s="1058"/>
      <c r="G1379" s="1058"/>
      <c r="H1379" s="1058"/>
      <c r="I1379" s="3907"/>
      <c r="J1379" s="3904"/>
      <c r="K1379" s="3913"/>
      <c r="L1379" s="1006"/>
      <c r="M1379" s="34">
        <v>3</v>
      </c>
      <c r="N1379" s="2618" t="s">
        <v>6327</v>
      </c>
      <c r="O1379" s="3923">
        <v>0.1</v>
      </c>
      <c r="P1379" s="34">
        <f>K1377*O1379</f>
        <v>390000</v>
      </c>
      <c r="Q1379" s="34">
        <v>390000</v>
      </c>
      <c r="R1379" s="992" t="s">
        <v>4603</v>
      </c>
      <c r="S1379" s="1044">
        <v>44717</v>
      </c>
      <c r="T1379" s="34">
        <v>390000</v>
      </c>
      <c r="U1379" s="1044">
        <v>44717</v>
      </c>
      <c r="V1379" s="34">
        <v>390000</v>
      </c>
      <c r="W1379" s="1044">
        <v>44721</v>
      </c>
      <c r="X1379" s="2677">
        <v>390000</v>
      </c>
      <c r="Y1379" s="3770">
        <v>44735</v>
      </c>
      <c r="Z1379" s="30"/>
      <c r="AA1379" s="34"/>
      <c r="AB1379" s="30"/>
      <c r="AC1379" s="30"/>
      <c r="AD1379" s="30"/>
      <c r="AE1379" s="30"/>
      <c r="AF1379" s="30"/>
      <c r="AG1379" s="30"/>
      <c r="AH1379" s="30"/>
      <c r="AI1379" s="30"/>
    </row>
    <row r="1380" s="6" customFormat="1" ht="16" spans="1:35">
      <c r="A1380" s="1006"/>
      <c r="B1380" s="3899"/>
      <c r="C1380" s="3903"/>
      <c r="D1380" s="3904"/>
      <c r="E1380" s="1058"/>
      <c r="F1380" s="1058"/>
      <c r="G1380" s="1058"/>
      <c r="H1380" s="1058"/>
      <c r="I1380" s="3907"/>
      <c r="J1380" s="3904"/>
      <c r="K1380" s="3913"/>
      <c r="L1380" s="1006"/>
      <c r="M1380" s="34">
        <v>4</v>
      </c>
      <c r="N1380" s="2618" t="s">
        <v>6328</v>
      </c>
      <c r="O1380" s="3923">
        <v>0.1</v>
      </c>
      <c r="P1380" s="34">
        <f>K1377*O1380</f>
        <v>390000</v>
      </c>
      <c r="Q1380" s="34">
        <v>390000</v>
      </c>
      <c r="R1380" s="992" t="s">
        <v>4603</v>
      </c>
      <c r="S1380" s="1044">
        <v>44717</v>
      </c>
      <c r="T1380" s="34">
        <v>390000</v>
      </c>
      <c r="U1380" s="1044">
        <v>44717</v>
      </c>
      <c r="V1380" s="34">
        <v>390000</v>
      </c>
      <c r="W1380" s="1044">
        <v>44721</v>
      </c>
      <c r="X1380" s="2677">
        <v>390000</v>
      </c>
      <c r="Y1380" s="3770">
        <v>44735</v>
      </c>
      <c r="Z1380" s="30"/>
      <c r="AA1380" s="34"/>
      <c r="AB1380" s="30"/>
      <c r="AC1380" s="30"/>
      <c r="AD1380" s="30"/>
      <c r="AE1380" s="30"/>
      <c r="AF1380" s="30"/>
      <c r="AG1380" s="30"/>
      <c r="AH1380" s="30"/>
      <c r="AI1380" s="30"/>
    </row>
    <row r="1381" s="6" customFormat="1" ht="46" spans="1:35">
      <c r="A1381" s="1006"/>
      <c r="B1381" s="3899"/>
      <c r="C1381" s="3903"/>
      <c r="D1381" s="3904"/>
      <c r="E1381" s="1058"/>
      <c r="F1381" s="1058"/>
      <c r="G1381" s="1058"/>
      <c r="H1381" s="1058"/>
      <c r="I1381" s="3907"/>
      <c r="J1381" s="3904"/>
      <c r="K1381" s="3913"/>
      <c r="L1381" s="1006"/>
      <c r="M1381" s="34">
        <v>5</v>
      </c>
      <c r="N1381" s="2618" t="s">
        <v>6329</v>
      </c>
      <c r="O1381" s="3923">
        <v>0.25</v>
      </c>
      <c r="P1381" s="34">
        <f>K1377*O1381</f>
        <v>975000</v>
      </c>
      <c r="Q1381" s="34">
        <v>975000</v>
      </c>
      <c r="R1381" s="992" t="s">
        <v>4603</v>
      </c>
      <c r="S1381" s="1044">
        <v>44717</v>
      </c>
      <c r="T1381" s="34">
        <v>975000</v>
      </c>
      <c r="U1381" s="1044">
        <v>44717</v>
      </c>
      <c r="V1381" s="34">
        <v>975000</v>
      </c>
      <c r="W1381" s="1044">
        <v>44721</v>
      </c>
      <c r="X1381" s="2677">
        <v>975000</v>
      </c>
      <c r="Y1381" s="3770">
        <v>44735</v>
      </c>
      <c r="Z1381" s="30"/>
      <c r="AA1381" s="34"/>
      <c r="AB1381" s="30"/>
      <c r="AC1381" s="30"/>
      <c r="AD1381" s="30"/>
      <c r="AE1381" s="30"/>
      <c r="AF1381" s="30"/>
      <c r="AG1381" s="30"/>
      <c r="AH1381" s="30"/>
      <c r="AI1381" s="30"/>
    </row>
    <row r="1382" s="6" customFormat="1" ht="46" spans="1:35">
      <c r="A1382" s="1006"/>
      <c r="B1382" s="3899"/>
      <c r="C1382" s="3903"/>
      <c r="D1382" s="3904"/>
      <c r="E1382" s="1058"/>
      <c r="F1382" s="1058"/>
      <c r="G1382" s="1058"/>
      <c r="H1382" s="1058"/>
      <c r="I1382" s="3907"/>
      <c r="J1382" s="3904"/>
      <c r="K1382" s="3913"/>
      <c r="L1382" s="1006"/>
      <c r="M1382" s="34">
        <v>6</v>
      </c>
      <c r="N1382" s="2618" t="s">
        <v>4452</v>
      </c>
      <c r="O1382" s="3923">
        <v>0.2</v>
      </c>
      <c r="P1382" s="34">
        <f>K1377*O1382</f>
        <v>780000</v>
      </c>
      <c r="Q1382" s="2677">
        <v>780000</v>
      </c>
      <c r="R1382" s="992" t="s">
        <v>4603</v>
      </c>
      <c r="S1382" s="3770">
        <v>44830</v>
      </c>
      <c r="T1382" s="2677">
        <v>780000</v>
      </c>
      <c r="U1382" s="3770">
        <v>44830</v>
      </c>
      <c r="V1382" s="2677">
        <v>780000</v>
      </c>
      <c r="W1382" s="3770">
        <v>44965</v>
      </c>
      <c r="X1382" s="2677">
        <v>780000</v>
      </c>
      <c r="Y1382" s="3770">
        <v>44980</v>
      </c>
      <c r="Z1382" s="30"/>
      <c r="AA1382" s="34"/>
      <c r="AB1382" s="30"/>
      <c r="AC1382" s="30"/>
      <c r="AD1382" s="30"/>
      <c r="AE1382" s="30"/>
      <c r="AF1382" s="30"/>
      <c r="AG1382" s="30"/>
      <c r="AH1382" s="30"/>
      <c r="AI1382" s="30"/>
    </row>
    <row r="1383" s="6" customFormat="1" ht="46" spans="1:35">
      <c r="A1383" s="1006"/>
      <c r="B1383" s="3899"/>
      <c r="C1383" s="3903"/>
      <c r="D1383" s="3904"/>
      <c r="E1383" s="1058"/>
      <c r="F1383" s="1058"/>
      <c r="G1383" s="1058"/>
      <c r="H1383" s="1058"/>
      <c r="I1383" s="3907"/>
      <c r="J1383" s="3904"/>
      <c r="K1383" s="3913"/>
      <c r="L1383" s="1006"/>
      <c r="M1383" s="34">
        <v>7</v>
      </c>
      <c r="N1383" s="2618" t="s">
        <v>6330</v>
      </c>
      <c r="O1383" s="3923">
        <v>0.05</v>
      </c>
      <c r="P1383" s="34">
        <f>K1377*O1383</f>
        <v>195000</v>
      </c>
      <c r="Q1383" s="2677">
        <v>195000</v>
      </c>
      <c r="R1383" s="992" t="s">
        <v>4603</v>
      </c>
      <c r="S1383" s="3770">
        <v>44830</v>
      </c>
      <c r="T1383" s="2677">
        <v>195000</v>
      </c>
      <c r="U1383" s="3770">
        <v>44830</v>
      </c>
      <c r="V1383" s="2677">
        <v>195000</v>
      </c>
      <c r="W1383" s="3770">
        <v>44965</v>
      </c>
      <c r="X1383" s="2677">
        <v>195000</v>
      </c>
      <c r="Y1383" s="3770">
        <v>44980</v>
      </c>
      <c r="Z1383" s="30"/>
      <c r="AA1383" s="34"/>
      <c r="AB1383" s="30"/>
      <c r="AC1383" s="30"/>
      <c r="AD1383" s="30"/>
      <c r="AE1383" s="30"/>
      <c r="AF1383" s="30"/>
      <c r="AG1383" s="30"/>
      <c r="AH1383" s="30"/>
      <c r="AI1383" s="30"/>
    </row>
    <row r="1384" s="6" customFormat="1" ht="61" spans="1:35">
      <c r="A1384" s="1006"/>
      <c r="B1384" s="3899"/>
      <c r="C1384" s="3903"/>
      <c r="D1384" s="3904"/>
      <c r="E1384" s="1058"/>
      <c r="F1384" s="1058"/>
      <c r="G1384" s="1058"/>
      <c r="H1384" s="1058"/>
      <c r="I1384" s="3907"/>
      <c r="J1384" s="3904"/>
      <c r="K1384" s="3913"/>
      <c r="L1384" s="1006"/>
      <c r="M1384" s="34">
        <v>8</v>
      </c>
      <c r="N1384" s="2618" t="s">
        <v>6331</v>
      </c>
      <c r="O1384" s="3923">
        <v>0.05</v>
      </c>
      <c r="P1384" s="34">
        <f>K1377*O1384</f>
        <v>195000</v>
      </c>
      <c r="Q1384" s="3788">
        <v>195000</v>
      </c>
      <c r="R1384" s="1054" t="s">
        <v>5015</v>
      </c>
      <c r="S1384" s="3889">
        <v>46052</v>
      </c>
      <c r="T1384" s="34"/>
      <c r="U1384" s="34"/>
      <c r="V1384" s="34"/>
      <c r="W1384" s="30"/>
      <c r="X1384" s="30"/>
      <c r="Y1384" s="3889"/>
      <c r="Z1384" s="30"/>
      <c r="AA1384" s="34"/>
      <c r="AB1384" s="30"/>
      <c r="AC1384" s="30"/>
      <c r="AD1384" s="30"/>
      <c r="AE1384" s="30"/>
      <c r="AF1384" s="30"/>
      <c r="AG1384" s="30"/>
      <c r="AH1384" s="30"/>
      <c r="AI1384" s="30"/>
    </row>
    <row r="1385" s="6" customFormat="1" spans="1:35">
      <c r="A1385" s="1006"/>
      <c r="B1385" s="3899"/>
      <c r="C1385" s="3903"/>
      <c r="D1385" s="3904"/>
      <c r="E1385" s="1058"/>
      <c r="F1385" s="1058"/>
      <c r="G1385" s="1058"/>
      <c r="H1385" s="1058"/>
      <c r="I1385" s="3907"/>
      <c r="J1385" s="3904"/>
      <c r="K1385" s="3913"/>
      <c r="L1385" s="1006"/>
      <c r="M1385" s="44">
        <v>9</v>
      </c>
      <c r="N1385" s="705" t="s">
        <v>6332</v>
      </c>
      <c r="O1385" s="3924">
        <v>0.05</v>
      </c>
      <c r="P1385" s="44">
        <f>K1377*O1385</f>
        <v>195000</v>
      </c>
      <c r="Q1385" s="3788">
        <f>3900000*0.03</f>
        <v>117000</v>
      </c>
      <c r="R1385" s="1054" t="s">
        <v>5015</v>
      </c>
      <c r="S1385" s="3889">
        <v>46386</v>
      </c>
      <c r="T1385" s="34"/>
      <c r="U1385" s="34"/>
      <c r="V1385" s="34"/>
      <c r="W1385" s="30"/>
      <c r="X1385" s="30"/>
      <c r="Y1385" s="3889"/>
      <c r="Z1385" s="30"/>
      <c r="AA1385" s="34"/>
      <c r="AB1385" s="30"/>
      <c r="AC1385" s="30"/>
      <c r="AD1385" s="30"/>
      <c r="AE1385" s="30"/>
      <c r="AF1385" s="30"/>
      <c r="AG1385" s="30"/>
      <c r="AH1385" s="30"/>
      <c r="AI1385" s="30"/>
    </row>
    <row r="1386" s="6" customFormat="1" spans="1:35">
      <c r="A1386" s="1022"/>
      <c r="B1386" s="3901"/>
      <c r="C1386" s="3905"/>
      <c r="D1386" s="3906"/>
      <c r="E1386" s="1059"/>
      <c r="F1386" s="1059"/>
      <c r="G1386" s="1059"/>
      <c r="H1386" s="1059"/>
      <c r="I1386" s="2334"/>
      <c r="J1386" s="3906"/>
      <c r="K1386" s="3914"/>
      <c r="L1386" s="1022"/>
      <c r="M1386" s="2334"/>
      <c r="N1386" s="3558"/>
      <c r="O1386" s="3926"/>
      <c r="P1386" s="2334"/>
      <c r="Q1386" s="3788">
        <f>3900000*0.02</f>
        <v>78000</v>
      </c>
      <c r="R1386" s="1054" t="s">
        <v>349</v>
      </c>
      <c r="S1386" s="3889"/>
      <c r="T1386" s="34"/>
      <c r="U1386" s="34"/>
      <c r="V1386" s="34"/>
      <c r="W1386" s="30"/>
      <c r="X1386" s="30"/>
      <c r="Y1386" s="30"/>
      <c r="Z1386" s="30"/>
      <c r="AA1386" s="34"/>
      <c r="AB1386" s="30"/>
      <c r="AC1386" s="30"/>
      <c r="AD1386" s="30"/>
      <c r="AE1386" s="30"/>
      <c r="AF1386" s="30"/>
      <c r="AG1386" s="30"/>
      <c r="AH1386" s="30"/>
      <c r="AI1386" s="30"/>
    </row>
    <row r="1387" s="6" customFormat="1" ht="46" spans="1:35">
      <c r="A1387" s="992" t="s">
        <v>2570</v>
      </c>
      <c r="B1387" s="3898">
        <v>44533</v>
      </c>
      <c r="C1387" s="982" t="s">
        <v>6312</v>
      </c>
      <c r="D1387" s="34"/>
      <c r="E1387" s="986" t="s">
        <v>6333</v>
      </c>
      <c r="F1387" s="986" t="s">
        <v>6334</v>
      </c>
      <c r="G1387" s="986" t="s">
        <v>3579</v>
      </c>
      <c r="H1387" s="986" t="s">
        <v>6335</v>
      </c>
      <c r="I1387" s="986" t="s">
        <v>6336</v>
      </c>
      <c r="J1387" s="986" t="s">
        <v>6337</v>
      </c>
      <c r="K1387" s="2680">
        <v>1015975</v>
      </c>
      <c r="L1387" s="992" t="s">
        <v>126</v>
      </c>
      <c r="M1387" s="992" t="s">
        <v>6338</v>
      </c>
      <c r="N1387" s="2618" t="s">
        <v>4324</v>
      </c>
      <c r="O1387" s="3923">
        <v>0.2</v>
      </c>
      <c r="P1387" s="2680">
        <f t="shared" ref="P1387:P1392" si="43">1015975*O1387</f>
        <v>203195</v>
      </c>
      <c r="Q1387" s="2677">
        <v>203195</v>
      </c>
      <c r="R1387" s="992" t="s">
        <v>4603</v>
      </c>
      <c r="S1387" s="858">
        <v>44705</v>
      </c>
      <c r="T1387" s="34">
        <v>203195</v>
      </c>
      <c r="U1387" s="1044">
        <v>44717</v>
      </c>
      <c r="V1387" s="2677">
        <v>203195</v>
      </c>
      <c r="W1387" s="1044">
        <v>44721</v>
      </c>
      <c r="X1387" s="2677">
        <v>203195</v>
      </c>
      <c r="Y1387" s="3770">
        <v>44735</v>
      </c>
      <c r="Z1387" s="30"/>
      <c r="AA1387" s="34"/>
      <c r="AB1387" s="30"/>
      <c r="AC1387" s="30"/>
      <c r="AD1387" s="30"/>
      <c r="AE1387" s="30"/>
      <c r="AF1387" s="30"/>
      <c r="AG1387" s="30"/>
      <c r="AH1387" s="30"/>
      <c r="AI1387" s="30"/>
    </row>
    <row r="1388" s="6" customFormat="1" ht="46" spans="1:35">
      <c r="A1388" s="34"/>
      <c r="B1388" s="3899"/>
      <c r="C1388" s="3900"/>
      <c r="D1388" s="34"/>
      <c r="E1388" s="986"/>
      <c r="F1388" s="2308"/>
      <c r="G1388" s="2308"/>
      <c r="H1388" s="986"/>
      <c r="I1388" s="2308"/>
      <c r="J1388" s="2308"/>
      <c r="K1388" s="2680"/>
      <c r="L1388" s="34"/>
      <c r="M1388" s="992" t="s">
        <v>6339</v>
      </c>
      <c r="N1388" s="2618" t="s">
        <v>4326</v>
      </c>
      <c r="O1388" s="3923">
        <v>0.1</v>
      </c>
      <c r="P1388" s="2680">
        <f t="shared" si="43"/>
        <v>101597.5</v>
      </c>
      <c r="Q1388" s="2677">
        <v>101597.5</v>
      </c>
      <c r="R1388" s="992" t="s">
        <v>4603</v>
      </c>
      <c r="S1388" s="3770">
        <v>44830</v>
      </c>
      <c r="T1388" s="34">
        <v>101597.5</v>
      </c>
      <c r="U1388" s="3770">
        <v>44830</v>
      </c>
      <c r="V1388" s="34">
        <v>101597.5</v>
      </c>
      <c r="W1388" s="1044">
        <v>44963</v>
      </c>
      <c r="X1388" s="2677">
        <v>101597.5</v>
      </c>
      <c r="Y1388" s="3770">
        <v>44980</v>
      </c>
      <c r="Z1388" s="30"/>
      <c r="AA1388" s="34"/>
      <c r="AB1388" s="30"/>
      <c r="AC1388" s="30"/>
      <c r="AD1388" s="30"/>
      <c r="AE1388" s="30"/>
      <c r="AF1388" s="30"/>
      <c r="AG1388" s="30"/>
      <c r="AH1388" s="30"/>
      <c r="AI1388" s="30"/>
    </row>
    <row r="1389" s="6" customFormat="1" ht="31" spans="1:35">
      <c r="A1389" s="34"/>
      <c r="B1389" s="3899"/>
      <c r="C1389" s="3900"/>
      <c r="D1389" s="34"/>
      <c r="E1389" s="986"/>
      <c r="F1389" s="2308"/>
      <c r="G1389" s="2308"/>
      <c r="H1389" s="986"/>
      <c r="I1389" s="2308"/>
      <c r="J1389" s="2308"/>
      <c r="K1389" s="2680"/>
      <c r="L1389" s="34"/>
      <c r="M1389" s="992" t="s">
        <v>6340</v>
      </c>
      <c r="N1389" s="2618" t="s">
        <v>4328</v>
      </c>
      <c r="O1389" s="3923">
        <v>0.05</v>
      </c>
      <c r="P1389" s="2680">
        <f t="shared" si="43"/>
        <v>50798.75</v>
      </c>
      <c r="Q1389" s="2677">
        <v>50798.75</v>
      </c>
      <c r="R1389" s="992" t="s">
        <v>4603</v>
      </c>
      <c r="S1389" s="3770">
        <v>44830</v>
      </c>
      <c r="T1389" s="34">
        <v>50798.75</v>
      </c>
      <c r="U1389" s="3770">
        <v>44830</v>
      </c>
      <c r="V1389" s="34">
        <v>50798.75</v>
      </c>
      <c r="W1389" s="1044">
        <v>44963</v>
      </c>
      <c r="X1389" s="2677">
        <v>50798.75</v>
      </c>
      <c r="Y1389" s="3770">
        <v>44980</v>
      </c>
      <c r="Z1389" s="30"/>
      <c r="AA1389" s="34"/>
      <c r="AB1389" s="30"/>
      <c r="AC1389" s="30"/>
      <c r="AD1389" s="30"/>
      <c r="AE1389" s="30"/>
      <c r="AF1389" s="30"/>
      <c r="AG1389" s="30"/>
      <c r="AH1389" s="30"/>
      <c r="AI1389" s="30"/>
    </row>
    <row r="1390" s="6" customFormat="1" ht="46" spans="1:35">
      <c r="A1390" s="34"/>
      <c r="B1390" s="3899"/>
      <c r="C1390" s="3900"/>
      <c r="D1390" s="34"/>
      <c r="E1390" s="986"/>
      <c r="F1390" s="2308"/>
      <c r="G1390" s="2308"/>
      <c r="H1390" s="986"/>
      <c r="I1390" s="2308"/>
      <c r="J1390" s="2308"/>
      <c r="K1390" s="2680"/>
      <c r="L1390" s="34"/>
      <c r="M1390" s="992" t="s">
        <v>6341</v>
      </c>
      <c r="N1390" s="2618" t="s">
        <v>4330</v>
      </c>
      <c r="O1390" s="3923">
        <v>0.25</v>
      </c>
      <c r="P1390" s="2680">
        <f t="shared" si="43"/>
        <v>253993.75</v>
      </c>
      <c r="Q1390" s="2677">
        <v>253993.75</v>
      </c>
      <c r="R1390" s="992" t="s">
        <v>4603</v>
      </c>
      <c r="S1390" s="3770">
        <v>44830</v>
      </c>
      <c r="T1390" s="34">
        <v>253993.75</v>
      </c>
      <c r="U1390" s="3770">
        <v>44830</v>
      </c>
      <c r="V1390" s="34">
        <v>253993.75</v>
      </c>
      <c r="W1390" s="1044">
        <v>44963</v>
      </c>
      <c r="X1390" s="2677">
        <v>253993.75</v>
      </c>
      <c r="Y1390" s="3770">
        <v>44980</v>
      </c>
      <c r="Z1390" s="30"/>
      <c r="AA1390" s="34"/>
      <c r="AB1390" s="30"/>
      <c r="AC1390" s="30"/>
      <c r="AD1390" s="30"/>
      <c r="AE1390" s="30"/>
      <c r="AF1390" s="30"/>
      <c r="AG1390" s="30"/>
      <c r="AH1390" s="30"/>
      <c r="AI1390" s="30"/>
    </row>
    <row r="1391" s="6" customFormat="1" ht="46" spans="1:35">
      <c r="A1391" s="34"/>
      <c r="B1391" s="3899"/>
      <c r="C1391" s="3900"/>
      <c r="D1391" s="34"/>
      <c r="E1391" s="986"/>
      <c r="F1391" s="2308"/>
      <c r="G1391" s="2308"/>
      <c r="H1391" s="986"/>
      <c r="I1391" s="2308"/>
      <c r="J1391" s="2308"/>
      <c r="K1391" s="2680"/>
      <c r="L1391" s="34"/>
      <c r="M1391" s="992" t="s">
        <v>6342</v>
      </c>
      <c r="N1391" s="2618" t="s">
        <v>4332</v>
      </c>
      <c r="O1391" s="3923">
        <v>0.3</v>
      </c>
      <c r="P1391" s="2680">
        <f t="shared" si="43"/>
        <v>304792.5</v>
      </c>
      <c r="Q1391" s="2677">
        <v>304792.5</v>
      </c>
      <c r="R1391" s="992" t="s">
        <v>4603</v>
      </c>
      <c r="S1391" s="3770">
        <v>44830</v>
      </c>
      <c r="T1391" s="2677">
        <v>304792.5</v>
      </c>
      <c r="U1391" s="3770">
        <v>44830</v>
      </c>
      <c r="V1391" s="34">
        <v>304792.5</v>
      </c>
      <c r="W1391" s="1044">
        <v>45485</v>
      </c>
      <c r="X1391" s="3936">
        <v>304792.5</v>
      </c>
      <c r="Y1391" s="3942">
        <v>45136</v>
      </c>
      <c r="Z1391" s="30"/>
      <c r="AA1391" s="34"/>
      <c r="AB1391" s="30"/>
      <c r="AC1391" s="30"/>
      <c r="AD1391" s="30"/>
      <c r="AE1391" s="30"/>
      <c r="AF1391" s="30"/>
      <c r="AG1391" s="30"/>
      <c r="AH1391" s="30"/>
      <c r="AI1391" s="30"/>
    </row>
    <row r="1392" s="6" customFormat="1" spans="1:35">
      <c r="A1392" s="34"/>
      <c r="B1392" s="3899"/>
      <c r="C1392" s="3900"/>
      <c r="D1392" s="34"/>
      <c r="E1392" s="986"/>
      <c r="F1392" s="2308"/>
      <c r="G1392" s="2308"/>
      <c r="H1392" s="986"/>
      <c r="I1392" s="2308"/>
      <c r="J1392" s="2308"/>
      <c r="K1392" s="2680"/>
      <c r="L1392" s="34"/>
      <c r="M1392" s="1019" t="s">
        <v>6343</v>
      </c>
      <c r="N1392" s="705" t="s">
        <v>4334</v>
      </c>
      <c r="O1392" s="3924">
        <v>0.1</v>
      </c>
      <c r="P1392" s="3925">
        <f t="shared" si="43"/>
        <v>101597.5</v>
      </c>
      <c r="Q1392" s="3788">
        <f>1015975*0.07</f>
        <v>71118.25</v>
      </c>
      <c r="R1392" s="1054" t="s">
        <v>349</v>
      </c>
      <c r="S1392" s="3889"/>
      <c r="T1392" s="2677"/>
      <c r="U1392" s="3770"/>
      <c r="V1392" s="34"/>
      <c r="W1392" s="1044"/>
      <c r="X1392" s="3936"/>
      <c r="Y1392" s="3942"/>
      <c r="Z1392" s="30"/>
      <c r="AA1392" s="34"/>
      <c r="AB1392" s="30"/>
      <c r="AC1392" s="30"/>
      <c r="AD1392" s="30"/>
      <c r="AE1392" s="30"/>
      <c r="AF1392" s="30"/>
      <c r="AG1392" s="30"/>
      <c r="AH1392" s="30"/>
      <c r="AI1392" s="30"/>
    </row>
    <row r="1393" s="6" customFormat="1" spans="1:35">
      <c r="A1393" s="34"/>
      <c r="B1393" s="3901"/>
      <c r="C1393" s="3900"/>
      <c r="D1393" s="34"/>
      <c r="E1393" s="986"/>
      <c r="F1393" s="2308"/>
      <c r="G1393" s="2308"/>
      <c r="H1393" s="986"/>
      <c r="I1393" s="2308"/>
      <c r="J1393" s="2308"/>
      <c r="K1393" s="2680"/>
      <c r="L1393" s="34"/>
      <c r="M1393" s="1022"/>
      <c r="N1393" s="3558"/>
      <c r="O1393" s="3926"/>
      <c r="P1393" s="3927"/>
      <c r="Q1393" s="3788">
        <f>1015975*0.03</f>
        <v>30479.25</v>
      </c>
      <c r="R1393" s="1054" t="s">
        <v>349</v>
      </c>
      <c r="S1393" s="3889"/>
      <c r="T1393" s="34"/>
      <c r="U1393" s="34"/>
      <c r="V1393" s="34"/>
      <c r="W1393" s="30"/>
      <c r="X1393" s="30"/>
      <c r="Y1393" s="30"/>
      <c r="Z1393" s="30"/>
      <c r="AA1393" s="34"/>
      <c r="AB1393" s="30"/>
      <c r="AC1393" s="30"/>
      <c r="AD1393" s="30"/>
      <c r="AE1393" s="30"/>
      <c r="AF1393" s="30"/>
      <c r="AG1393" s="30"/>
      <c r="AH1393" s="30"/>
      <c r="AI1393" s="30"/>
    </row>
    <row r="1394" s="6" customFormat="1" ht="46" spans="1:35">
      <c r="A1394" s="992" t="s">
        <v>2570</v>
      </c>
      <c r="B1394" s="3898">
        <v>44533</v>
      </c>
      <c r="C1394" s="982" t="s">
        <v>6312</v>
      </c>
      <c r="D1394" s="34"/>
      <c r="E1394" s="986" t="s">
        <v>6344</v>
      </c>
      <c r="F1394" s="986" t="s">
        <v>6345</v>
      </c>
      <c r="G1394" s="986" t="s">
        <v>5718</v>
      </c>
      <c r="H1394" s="986" t="s">
        <v>6346</v>
      </c>
      <c r="I1394" s="992" t="s">
        <v>171</v>
      </c>
      <c r="J1394" s="986" t="s">
        <v>6347</v>
      </c>
      <c r="K1394" s="2680">
        <v>1365380</v>
      </c>
      <c r="L1394" s="992" t="s">
        <v>126</v>
      </c>
      <c r="M1394" s="34">
        <v>1</v>
      </c>
      <c r="N1394" s="2618" t="s">
        <v>6099</v>
      </c>
      <c r="O1394" s="3923">
        <v>0.3</v>
      </c>
      <c r="P1394" s="3928">
        <f>1365380*O1394</f>
        <v>409614</v>
      </c>
      <c r="Q1394" s="2677">
        <v>409614</v>
      </c>
      <c r="R1394" s="992" t="s">
        <v>4603</v>
      </c>
      <c r="S1394" s="1044">
        <v>44717</v>
      </c>
      <c r="T1394" s="2677">
        <v>409614</v>
      </c>
      <c r="U1394" s="1044">
        <v>44717</v>
      </c>
      <c r="V1394" s="2677">
        <v>409614</v>
      </c>
      <c r="W1394" s="3937">
        <v>44721</v>
      </c>
      <c r="X1394" s="2677">
        <v>409614</v>
      </c>
      <c r="Y1394" s="3770">
        <v>44735</v>
      </c>
      <c r="Z1394" s="30"/>
      <c r="AA1394" s="34"/>
      <c r="AB1394" s="30"/>
      <c r="AC1394" s="30"/>
      <c r="AD1394" s="30"/>
      <c r="AE1394" s="30"/>
      <c r="AF1394" s="30"/>
      <c r="AG1394" s="30"/>
      <c r="AH1394" s="30"/>
      <c r="AI1394" s="30"/>
    </row>
    <row r="1395" s="6" customFormat="1" ht="59.25" customHeight="1" spans="1:35">
      <c r="A1395" s="34"/>
      <c r="B1395" s="3899"/>
      <c r="C1395" s="3900"/>
      <c r="D1395" s="34"/>
      <c r="E1395" s="986"/>
      <c r="F1395" s="2308"/>
      <c r="G1395" s="2308"/>
      <c r="H1395" s="986"/>
      <c r="I1395" s="34"/>
      <c r="J1395" s="34"/>
      <c r="K1395" s="2680"/>
      <c r="L1395" s="34"/>
      <c r="M1395" s="34">
        <v>2</v>
      </c>
      <c r="N1395" s="2618" t="s">
        <v>6348</v>
      </c>
      <c r="O1395" s="3923">
        <v>0.3</v>
      </c>
      <c r="P1395" s="3928">
        <f>1365380*O1395</f>
        <v>409614</v>
      </c>
      <c r="Q1395" s="2677">
        <v>409614</v>
      </c>
      <c r="R1395" s="992" t="s">
        <v>4603</v>
      </c>
      <c r="S1395" s="858">
        <v>44829</v>
      </c>
      <c r="T1395" s="2677">
        <v>409614</v>
      </c>
      <c r="U1395" s="1044">
        <v>44820</v>
      </c>
      <c r="V1395" s="2677">
        <v>409614</v>
      </c>
      <c r="W1395" s="3937">
        <v>44967</v>
      </c>
      <c r="X1395" s="2677">
        <v>409614</v>
      </c>
      <c r="Y1395" s="3770">
        <v>44980</v>
      </c>
      <c r="Z1395" s="30"/>
      <c r="AA1395" s="34"/>
      <c r="AB1395" s="30"/>
      <c r="AC1395" s="30"/>
      <c r="AD1395" s="30"/>
      <c r="AE1395" s="30"/>
      <c r="AF1395" s="30"/>
      <c r="AG1395" s="30"/>
      <c r="AH1395" s="30"/>
      <c r="AI1395" s="30"/>
    </row>
    <row r="1396" s="6" customFormat="1" ht="64.5" customHeight="1" spans="1:35">
      <c r="A1396" s="34"/>
      <c r="B1396" s="3899"/>
      <c r="C1396" s="3900"/>
      <c r="D1396" s="34"/>
      <c r="E1396" s="986"/>
      <c r="F1396" s="2308"/>
      <c r="G1396" s="2308"/>
      <c r="H1396" s="986"/>
      <c r="I1396" s="34"/>
      <c r="J1396" s="34"/>
      <c r="K1396" s="2680"/>
      <c r="L1396" s="34"/>
      <c r="M1396" s="34">
        <v>3</v>
      </c>
      <c r="N1396" s="2618" t="s">
        <v>6349</v>
      </c>
      <c r="O1396" s="3923">
        <v>0.3</v>
      </c>
      <c r="P1396" s="3928">
        <f>1365380*O1396</f>
        <v>409614</v>
      </c>
      <c r="Q1396" s="2677">
        <v>409614</v>
      </c>
      <c r="R1396" s="992" t="s">
        <v>4603</v>
      </c>
      <c r="S1396" s="858">
        <v>44829</v>
      </c>
      <c r="T1396" s="2677">
        <v>409614</v>
      </c>
      <c r="U1396" s="1044">
        <v>44820</v>
      </c>
      <c r="V1396" s="34">
        <v>409614</v>
      </c>
      <c r="W1396" s="3937">
        <v>45061</v>
      </c>
      <c r="X1396" s="2677">
        <v>409614</v>
      </c>
      <c r="Y1396" s="3770">
        <v>45064</v>
      </c>
      <c r="Z1396" s="30"/>
      <c r="AA1396" s="34"/>
      <c r="AB1396" s="30"/>
      <c r="AC1396" s="30"/>
      <c r="AD1396" s="30"/>
      <c r="AE1396" s="30"/>
      <c r="AF1396" s="30"/>
      <c r="AG1396" s="30"/>
      <c r="AH1396" s="30"/>
      <c r="AI1396" s="30"/>
    </row>
    <row r="1397" s="6" customFormat="1" ht="64.5" customHeight="1" spans="1:35">
      <c r="A1397" s="34"/>
      <c r="B1397" s="3899"/>
      <c r="C1397" s="3900"/>
      <c r="D1397" s="34"/>
      <c r="E1397" s="986"/>
      <c r="F1397" s="2308"/>
      <c r="G1397" s="2308"/>
      <c r="H1397" s="986"/>
      <c r="I1397" s="34"/>
      <c r="J1397" s="34"/>
      <c r="K1397" s="2680"/>
      <c r="L1397" s="34"/>
      <c r="M1397" s="44">
        <v>4</v>
      </c>
      <c r="N1397" s="705" t="s">
        <v>6103</v>
      </c>
      <c r="O1397" s="3924">
        <v>0.1</v>
      </c>
      <c r="P1397" s="3929">
        <f>1365380*O1397</f>
        <v>136538</v>
      </c>
      <c r="Q1397" s="3788">
        <f>1365380*0.07</f>
        <v>95576.6</v>
      </c>
      <c r="R1397" s="1054" t="s">
        <v>349</v>
      </c>
      <c r="S1397" s="3889">
        <v>46052</v>
      </c>
      <c r="T1397" s="2677"/>
      <c r="U1397" s="1044"/>
      <c r="V1397" s="34"/>
      <c r="W1397" s="3937"/>
      <c r="X1397" s="2677"/>
      <c r="Y1397" s="3770"/>
      <c r="Z1397" s="30"/>
      <c r="AA1397" s="34"/>
      <c r="AB1397" s="30"/>
      <c r="AC1397" s="30"/>
      <c r="AD1397" s="30"/>
      <c r="AE1397" s="30"/>
      <c r="AF1397" s="30"/>
      <c r="AG1397" s="30"/>
      <c r="AH1397" s="30"/>
      <c r="AI1397" s="30"/>
    </row>
    <row r="1398" s="6" customFormat="1" ht="78" customHeight="1" spans="1:35">
      <c r="A1398" s="34"/>
      <c r="B1398" s="3901"/>
      <c r="C1398" s="3900"/>
      <c r="D1398" s="34"/>
      <c r="E1398" s="986"/>
      <c r="F1398" s="2308"/>
      <c r="G1398" s="2308"/>
      <c r="H1398" s="986"/>
      <c r="I1398" s="34"/>
      <c r="J1398" s="34"/>
      <c r="K1398" s="2680"/>
      <c r="L1398" s="34"/>
      <c r="M1398" s="2334"/>
      <c r="N1398" s="3558"/>
      <c r="O1398" s="3926"/>
      <c r="P1398" s="3930"/>
      <c r="Q1398" s="3788">
        <f>1365380*0.03</f>
        <v>40961.4</v>
      </c>
      <c r="R1398" s="1054" t="s">
        <v>349</v>
      </c>
      <c r="S1398" s="3889"/>
      <c r="T1398" s="34"/>
      <c r="U1398" s="34"/>
      <c r="V1398" s="34"/>
      <c r="W1398" s="30"/>
      <c r="X1398" s="30"/>
      <c r="Y1398" s="30"/>
      <c r="Z1398" s="30"/>
      <c r="AA1398" s="34"/>
      <c r="AB1398" s="30"/>
      <c r="AC1398" s="30"/>
      <c r="AD1398" s="30"/>
      <c r="AE1398" s="30"/>
      <c r="AF1398" s="30"/>
      <c r="AG1398" s="30"/>
      <c r="AH1398" s="30"/>
      <c r="AI1398" s="30"/>
    </row>
    <row r="1399" s="6" customFormat="1" ht="107" spans="1:35">
      <c r="A1399" s="992" t="s">
        <v>2570</v>
      </c>
      <c r="B1399" s="3898">
        <v>45022</v>
      </c>
      <c r="C1399" s="982" t="s">
        <v>6312</v>
      </c>
      <c r="D1399" s="44"/>
      <c r="E1399" s="986" t="s">
        <v>6350</v>
      </c>
      <c r="F1399" s="1057" t="s">
        <v>6351</v>
      </c>
      <c r="G1399" s="986" t="s">
        <v>6352</v>
      </c>
      <c r="H1399" s="1057" t="s">
        <v>6293</v>
      </c>
      <c r="I1399" s="44">
        <v>26660</v>
      </c>
      <c r="J1399" s="1057" t="s">
        <v>6353</v>
      </c>
      <c r="K1399" s="2678">
        <v>100000</v>
      </c>
      <c r="L1399" s="1019" t="s">
        <v>126</v>
      </c>
      <c r="M1399" s="34">
        <v>1</v>
      </c>
      <c r="N1399" s="185" t="s">
        <v>6354</v>
      </c>
      <c r="O1399" s="3923">
        <v>0.2</v>
      </c>
      <c r="P1399" s="859">
        <f>K1399*O1399</f>
        <v>20000</v>
      </c>
      <c r="Q1399" s="2677">
        <v>20000</v>
      </c>
      <c r="R1399" s="992" t="s">
        <v>4603</v>
      </c>
      <c r="S1399" s="896">
        <v>45071</v>
      </c>
      <c r="T1399" s="34">
        <v>20000</v>
      </c>
      <c r="U1399" s="1044">
        <v>45056</v>
      </c>
      <c r="V1399" s="34">
        <v>20000</v>
      </c>
      <c r="W1399" s="3937">
        <v>45063</v>
      </c>
      <c r="X1399" s="3938">
        <v>20000</v>
      </c>
      <c r="Y1399" s="3941">
        <v>45075</v>
      </c>
      <c r="Z1399" s="30"/>
      <c r="AA1399" s="34"/>
      <c r="AB1399" s="30"/>
      <c r="AC1399" s="30"/>
      <c r="AD1399" s="30"/>
      <c r="AE1399" s="30"/>
      <c r="AF1399" s="30"/>
      <c r="AG1399" s="30"/>
      <c r="AH1399" s="30"/>
      <c r="AI1399" s="30"/>
    </row>
    <row r="1400" s="6" customFormat="1" ht="78.35" customHeight="1" spans="1:35">
      <c r="A1400" s="34"/>
      <c r="B1400" s="3899"/>
      <c r="C1400" s="3900"/>
      <c r="D1400" s="3907"/>
      <c r="E1400" s="986" t="s">
        <v>6355</v>
      </c>
      <c r="F1400" s="3904"/>
      <c r="G1400" s="2308"/>
      <c r="H1400" s="3904"/>
      <c r="I1400" s="3907"/>
      <c r="J1400" s="3907"/>
      <c r="K1400" s="2678"/>
      <c r="L1400" s="3907"/>
      <c r="M1400" s="34">
        <v>2</v>
      </c>
      <c r="N1400" s="185" t="s">
        <v>6356</v>
      </c>
      <c r="O1400" s="3923">
        <v>0.6</v>
      </c>
      <c r="P1400" s="859">
        <f>K1399*O1400</f>
        <v>60000</v>
      </c>
      <c r="Q1400" s="2677">
        <v>60000</v>
      </c>
      <c r="R1400" s="992" t="s">
        <v>4603</v>
      </c>
      <c r="S1400" s="896">
        <v>45071</v>
      </c>
      <c r="T1400" s="34">
        <v>60000</v>
      </c>
      <c r="U1400" s="1044">
        <v>45056</v>
      </c>
      <c r="V1400" s="34">
        <v>60000</v>
      </c>
      <c r="W1400" s="3937">
        <v>45062</v>
      </c>
      <c r="X1400" s="3938">
        <v>60000</v>
      </c>
      <c r="Y1400" s="3941">
        <v>45075</v>
      </c>
      <c r="Z1400" s="30"/>
      <c r="AA1400" s="34"/>
      <c r="AB1400" s="30"/>
      <c r="AC1400" s="30"/>
      <c r="AD1400" s="30"/>
      <c r="AE1400" s="30"/>
      <c r="AF1400" s="30"/>
      <c r="AG1400" s="30"/>
      <c r="AH1400" s="30"/>
      <c r="AI1400" s="30"/>
    </row>
    <row r="1401" s="6" customFormat="1" ht="92" spans="1:35">
      <c r="A1401" s="34"/>
      <c r="B1401" s="3899"/>
      <c r="C1401" s="3900"/>
      <c r="D1401" s="3907"/>
      <c r="E1401" s="986"/>
      <c r="F1401" s="3904"/>
      <c r="G1401" s="2308"/>
      <c r="H1401" s="3904"/>
      <c r="I1401" s="3907"/>
      <c r="J1401" s="3907"/>
      <c r="K1401" s="2678"/>
      <c r="L1401" s="3907"/>
      <c r="M1401" s="34">
        <v>3</v>
      </c>
      <c r="N1401" s="185" t="s">
        <v>6357</v>
      </c>
      <c r="O1401" s="3923">
        <v>0.2</v>
      </c>
      <c r="P1401" s="859">
        <f>K1399*O1401</f>
        <v>20000</v>
      </c>
      <c r="Q1401" s="3788">
        <v>20000</v>
      </c>
      <c r="R1401" s="1054" t="s">
        <v>349</v>
      </c>
      <c r="S1401" s="3889"/>
      <c r="T1401" s="34"/>
      <c r="U1401" s="34"/>
      <c r="V1401" s="34"/>
      <c r="W1401" s="30"/>
      <c r="X1401" s="3939" t="s">
        <v>6358</v>
      </c>
      <c r="Y1401" s="30"/>
      <c r="Z1401" s="30"/>
      <c r="AA1401" s="34"/>
      <c r="AB1401" s="30"/>
      <c r="AC1401" s="30"/>
      <c r="AD1401" s="30"/>
      <c r="AE1401" s="30"/>
      <c r="AF1401" s="30"/>
      <c r="AG1401" s="30"/>
      <c r="AH1401" s="30"/>
      <c r="AI1401" s="30"/>
    </row>
    <row r="1402" s="6" customFormat="1" ht="46" spans="1:35">
      <c r="A1402" s="1019" t="s">
        <v>2570</v>
      </c>
      <c r="B1402" s="3898">
        <v>44774</v>
      </c>
      <c r="C1402" s="982" t="s">
        <v>6312</v>
      </c>
      <c r="D1402" s="986"/>
      <c r="E1402" s="2309" t="s">
        <v>6359</v>
      </c>
      <c r="F1402" s="986" t="s">
        <v>6360</v>
      </c>
      <c r="G1402" s="986" t="s">
        <v>6361</v>
      </c>
      <c r="H1402" s="2309" t="s">
        <v>6289</v>
      </c>
      <c r="I1402" s="44"/>
      <c r="J1402" s="1019" t="s">
        <v>997</v>
      </c>
      <c r="K1402" s="2678">
        <v>194000</v>
      </c>
      <c r="L1402" s="1019" t="s">
        <v>126</v>
      </c>
      <c r="M1402" s="34">
        <v>1</v>
      </c>
      <c r="N1402" s="2618" t="s">
        <v>6362</v>
      </c>
      <c r="O1402" s="3923">
        <v>0.2</v>
      </c>
      <c r="P1402" s="2678">
        <f>K1402*O1402</f>
        <v>38800</v>
      </c>
      <c r="Q1402" s="2677">
        <v>38800</v>
      </c>
      <c r="R1402" s="992" t="s">
        <v>4603</v>
      </c>
      <c r="S1402" s="896">
        <v>44829</v>
      </c>
      <c r="T1402" s="2677">
        <v>38800</v>
      </c>
      <c r="U1402" s="1044">
        <v>44818</v>
      </c>
      <c r="V1402" s="2677">
        <v>38800</v>
      </c>
      <c r="W1402" s="3940">
        <v>44967</v>
      </c>
      <c r="X1402" s="2677">
        <v>38800</v>
      </c>
      <c r="Y1402" s="3770">
        <v>44980</v>
      </c>
      <c r="Z1402" s="1123"/>
      <c r="AA1402" s="34"/>
      <c r="AB1402" s="30"/>
      <c r="AC1402" s="30"/>
      <c r="AD1402" s="30"/>
      <c r="AE1402" s="30"/>
      <c r="AF1402" s="30"/>
      <c r="AG1402" s="30"/>
      <c r="AH1402" s="30"/>
      <c r="AI1402" s="30"/>
    </row>
    <row r="1403" s="6" customFormat="1" ht="61" spans="1:35">
      <c r="A1403" s="3907"/>
      <c r="B1403" s="3899"/>
      <c r="C1403" s="3900"/>
      <c r="D1403" s="2308"/>
      <c r="E1403" s="3904"/>
      <c r="F1403" s="2308"/>
      <c r="G1403" s="2308"/>
      <c r="H1403" s="3904"/>
      <c r="I1403" s="3907"/>
      <c r="J1403" s="3907"/>
      <c r="K1403" s="2678"/>
      <c r="L1403" s="3907"/>
      <c r="M1403" s="34">
        <v>2</v>
      </c>
      <c r="N1403" s="2618" t="s">
        <v>6363</v>
      </c>
      <c r="O1403" s="3923">
        <v>0.6</v>
      </c>
      <c r="P1403" s="2678">
        <f>K1402*O1403</f>
        <v>116400</v>
      </c>
      <c r="Q1403" s="2677">
        <v>116400</v>
      </c>
      <c r="R1403" s="992" t="s">
        <v>4603</v>
      </c>
      <c r="S1403" s="896">
        <v>44829</v>
      </c>
      <c r="T1403" s="2677">
        <v>116400</v>
      </c>
      <c r="U1403" s="897">
        <v>44820</v>
      </c>
      <c r="V1403" s="2677">
        <v>116400</v>
      </c>
      <c r="W1403" s="3937">
        <v>44967</v>
      </c>
      <c r="X1403" s="2677">
        <v>116400</v>
      </c>
      <c r="Y1403" s="3770">
        <v>44980</v>
      </c>
      <c r="Z1403" s="1123"/>
      <c r="AA1403" s="34"/>
      <c r="AB1403" s="30"/>
      <c r="AC1403" s="30"/>
      <c r="AD1403" s="30"/>
      <c r="AE1403" s="30"/>
      <c r="AF1403" s="30"/>
      <c r="AG1403" s="30"/>
      <c r="AH1403" s="30"/>
      <c r="AI1403" s="30"/>
    </row>
    <row r="1404" s="6" customFormat="1" ht="31" spans="1:35">
      <c r="A1404" s="2334"/>
      <c r="B1404" s="3901"/>
      <c r="C1404" s="3900"/>
      <c r="D1404" s="2308"/>
      <c r="E1404" s="3906"/>
      <c r="F1404" s="2308"/>
      <c r="G1404" s="2308"/>
      <c r="H1404" s="3906"/>
      <c r="I1404" s="2334"/>
      <c r="J1404" s="2334"/>
      <c r="K1404" s="2678"/>
      <c r="L1404" s="2334"/>
      <c r="M1404" s="34">
        <v>3</v>
      </c>
      <c r="N1404" s="2618" t="s">
        <v>3490</v>
      </c>
      <c r="O1404" s="3923">
        <v>0.2</v>
      </c>
      <c r="P1404" s="2678">
        <f>K1402*O1404</f>
        <v>38800</v>
      </c>
      <c r="Q1404" s="3788">
        <v>38800</v>
      </c>
      <c r="R1404" s="1054" t="s">
        <v>349</v>
      </c>
      <c r="S1404" s="3889"/>
      <c r="T1404" s="34"/>
      <c r="U1404" s="34"/>
      <c r="V1404" s="34"/>
      <c r="W1404" s="30"/>
      <c r="X1404" s="3788">
        <v>38800</v>
      </c>
      <c r="Y1404" s="1123"/>
      <c r="Z1404" s="1123"/>
      <c r="AA1404" s="34"/>
      <c r="AB1404" s="30"/>
      <c r="AC1404" s="30"/>
      <c r="AD1404" s="30"/>
      <c r="AE1404" s="30"/>
      <c r="AF1404" s="30"/>
      <c r="AG1404" s="30"/>
      <c r="AH1404" s="30"/>
      <c r="AI1404" s="30"/>
    </row>
    <row r="1405" s="6" customFormat="1" ht="54" customHeight="1" spans="1:35">
      <c r="A1405" s="1006" t="s">
        <v>2570</v>
      </c>
      <c r="B1405" s="3899">
        <v>44784</v>
      </c>
      <c r="C1405" s="982" t="s">
        <v>6312</v>
      </c>
      <c r="D1405" s="3907"/>
      <c r="E1405" s="1057" t="s">
        <v>6364</v>
      </c>
      <c r="F1405" s="986" t="s">
        <v>6365</v>
      </c>
      <c r="G1405" s="986" t="s">
        <v>6366</v>
      </c>
      <c r="H1405" s="1058" t="s">
        <v>6299</v>
      </c>
      <c r="I1405" s="3907"/>
      <c r="J1405" s="1006" t="s">
        <v>997</v>
      </c>
      <c r="K1405" s="3912">
        <v>41340</v>
      </c>
      <c r="L1405" s="1019" t="s">
        <v>126</v>
      </c>
      <c r="M1405" s="986">
        <v>1</v>
      </c>
      <c r="N1405" s="2618" t="s">
        <v>4354</v>
      </c>
      <c r="O1405" s="3923">
        <v>0.8</v>
      </c>
      <c r="P1405" s="2678">
        <f>K1405*O1405</f>
        <v>33072</v>
      </c>
      <c r="Q1405" s="2678">
        <v>33072</v>
      </c>
      <c r="R1405" s="992" t="s">
        <v>4603</v>
      </c>
      <c r="S1405" s="896">
        <v>44829</v>
      </c>
      <c r="T1405" s="2678">
        <v>33072</v>
      </c>
      <c r="U1405" s="1044">
        <v>44820</v>
      </c>
      <c r="V1405" s="2678">
        <v>33072</v>
      </c>
      <c r="W1405" s="3937">
        <v>45002</v>
      </c>
      <c r="X1405" s="2678">
        <v>33072</v>
      </c>
      <c r="Y1405" s="896">
        <v>45037</v>
      </c>
      <c r="Z1405" s="1123"/>
      <c r="AA1405" s="34"/>
      <c r="AB1405" s="30"/>
      <c r="AC1405" s="30"/>
      <c r="AD1405" s="30"/>
      <c r="AE1405" s="30"/>
      <c r="AF1405" s="30"/>
      <c r="AG1405" s="30"/>
      <c r="AH1405" s="30"/>
      <c r="AI1405" s="30"/>
    </row>
    <row r="1406" s="6" customFormat="1" ht="58.5" customHeight="1" spans="1:35">
      <c r="A1406" s="3907"/>
      <c r="B1406" s="3899"/>
      <c r="C1406" s="3900"/>
      <c r="D1406" s="3907"/>
      <c r="E1406" s="3906"/>
      <c r="F1406" s="2308"/>
      <c r="G1406" s="2308"/>
      <c r="H1406" s="3904"/>
      <c r="I1406" s="3907"/>
      <c r="J1406" s="3907"/>
      <c r="K1406" s="3914"/>
      <c r="L1406" s="2334"/>
      <c r="M1406" s="34">
        <v>2</v>
      </c>
      <c r="N1406" s="2618" t="s">
        <v>4355</v>
      </c>
      <c r="O1406" s="3923">
        <v>0.2</v>
      </c>
      <c r="P1406" s="2678">
        <f>K1405*O1406</f>
        <v>8268</v>
      </c>
      <c r="Q1406" s="3932">
        <v>8268</v>
      </c>
      <c r="R1406" s="1054" t="s">
        <v>349</v>
      </c>
      <c r="S1406" s="3889"/>
      <c r="T1406" s="34"/>
      <c r="U1406" s="34"/>
      <c r="V1406" s="34"/>
      <c r="W1406" s="30"/>
      <c r="X1406" s="3932">
        <v>8268</v>
      </c>
      <c r="Y1406" s="1123"/>
      <c r="Z1406" s="1123"/>
      <c r="AA1406" s="34"/>
      <c r="AB1406" s="30"/>
      <c r="AC1406" s="30"/>
      <c r="AD1406" s="30"/>
      <c r="AE1406" s="30"/>
      <c r="AF1406" s="30"/>
      <c r="AG1406" s="30"/>
      <c r="AH1406" s="30"/>
      <c r="AI1406" s="30"/>
    </row>
    <row r="1407" s="30" customFormat="1" ht="35.85" customHeight="1" spans="1:27">
      <c r="A1407" s="1019" t="s">
        <v>2570</v>
      </c>
      <c r="B1407" s="3898">
        <v>44757</v>
      </c>
      <c r="C1407" s="3902" t="s">
        <v>6312</v>
      </c>
      <c r="D1407" s="44"/>
      <c r="E1407" s="1057" t="s">
        <v>6367</v>
      </c>
      <c r="F1407" s="2309" t="s">
        <v>6368</v>
      </c>
      <c r="G1407" s="1057" t="s">
        <v>193</v>
      </c>
      <c r="H1407" s="1057" t="s">
        <v>6369</v>
      </c>
      <c r="I1407" s="44"/>
      <c r="J1407" s="1019" t="s">
        <v>5255</v>
      </c>
      <c r="K1407" s="3912">
        <v>139513.32</v>
      </c>
      <c r="L1407" s="1019" t="s">
        <v>32</v>
      </c>
      <c r="M1407" s="34">
        <v>1</v>
      </c>
      <c r="N1407" s="2618" t="s">
        <v>6216</v>
      </c>
      <c r="O1407" s="3931">
        <v>0.2</v>
      </c>
      <c r="P1407" s="2678">
        <v>27902.66</v>
      </c>
      <c r="Q1407" s="2678">
        <v>27902.66</v>
      </c>
      <c r="R1407" s="128" t="s">
        <v>4603</v>
      </c>
      <c r="S1407" s="3770">
        <v>44771</v>
      </c>
      <c r="T1407" s="2678">
        <v>27902.66</v>
      </c>
      <c r="U1407" s="3770">
        <v>44771</v>
      </c>
      <c r="V1407" s="2678">
        <v>27902.66</v>
      </c>
      <c r="W1407" s="3941">
        <v>44777</v>
      </c>
      <c r="X1407" s="2678">
        <v>27902.66</v>
      </c>
      <c r="Y1407" s="3937">
        <v>44784</v>
      </c>
      <c r="AA1407" s="34"/>
    </row>
    <row r="1408" s="30" customFormat="1" ht="32.5" customHeight="1" spans="1:27">
      <c r="A1408" s="1006"/>
      <c r="B1408" s="3899"/>
      <c r="C1408" s="3908"/>
      <c r="D1408" s="3907"/>
      <c r="E1408" s="1058"/>
      <c r="F1408" s="3904"/>
      <c r="G1408" s="1058"/>
      <c r="H1408" s="1058"/>
      <c r="I1408" s="3907"/>
      <c r="J1408" s="1006"/>
      <c r="K1408" s="3913"/>
      <c r="L1408" s="1006"/>
      <c r="M1408" s="34">
        <v>2</v>
      </c>
      <c r="N1408" s="2618" t="s">
        <v>6217</v>
      </c>
      <c r="O1408" s="3923">
        <v>0.6</v>
      </c>
      <c r="P1408" s="2678">
        <v>83707.99</v>
      </c>
      <c r="Q1408" s="2678">
        <v>83707.99</v>
      </c>
      <c r="R1408" s="128" t="s">
        <v>4603</v>
      </c>
      <c r="S1408" s="1044">
        <v>44809</v>
      </c>
      <c r="T1408" s="2678">
        <v>83707.99</v>
      </c>
      <c r="U1408" s="3937">
        <v>44809</v>
      </c>
      <c r="V1408" s="2678">
        <v>83707.99</v>
      </c>
      <c r="W1408" s="3937">
        <v>44810</v>
      </c>
      <c r="X1408" s="2678">
        <v>83707.99</v>
      </c>
      <c r="Y1408" s="3937">
        <v>44819</v>
      </c>
      <c r="AA1408" s="34"/>
    </row>
    <row r="1409" s="30" customFormat="1" ht="44.15" customHeight="1" spans="1:27">
      <c r="A1409" s="1006"/>
      <c r="B1409" s="3899"/>
      <c r="C1409" s="3908"/>
      <c r="D1409" s="3907"/>
      <c r="E1409" s="1058"/>
      <c r="F1409" s="3904"/>
      <c r="G1409" s="1058"/>
      <c r="H1409" s="1058"/>
      <c r="I1409" s="3907"/>
      <c r="J1409" s="1006"/>
      <c r="K1409" s="3913"/>
      <c r="L1409" s="1006"/>
      <c r="M1409" s="34">
        <v>3</v>
      </c>
      <c r="N1409" s="2618" t="s">
        <v>746</v>
      </c>
      <c r="O1409" s="3923">
        <v>0.2</v>
      </c>
      <c r="P1409" s="2678">
        <v>27902.67</v>
      </c>
      <c r="Q1409" s="3932">
        <v>27902.67</v>
      </c>
      <c r="R1409" s="1054" t="s">
        <v>5015</v>
      </c>
      <c r="S1409" s="3889">
        <v>46052</v>
      </c>
      <c r="T1409" s="34"/>
      <c r="U1409" s="34"/>
      <c r="V1409" s="34"/>
      <c r="X1409" s="3932">
        <v>27902.67</v>
      </c>
      <c r="Y1409" s="4069">
        <v>46052</v>
      </c>
      <c r="Z1409" s="4069"/>
      <c r="AA1409" s="34"/>
    </row>
    <row r="1410" s="30" customFormat="1" ht="44.15" customHeight="1" spans="1:27">
      <c r="A1410" s="1019" t="s">
        <v>2570</v>
      </c>
      <c r="B1410" s="3898">
        <v>44760</v>
      </c>
      <c r="C1410" s="982" t="s">
        <v>6312</v>
      </c>
      <c r="D1410" s="44"/>
      <c r="E1410" s="1057" t="s">
        <v>6370</v>
      </c>
      <c r="F1410" s="2309" t="s">
        <v>6371</v>
      </c>
      <c r="G1410" s="986" t="s">
        <v>3469</v>
      </c>
      <c r="H1410" s="1057" t="s">
        <v>6372</v>
      </c>
      <c r="I1410" s="44"/>
      <c r="J1410" s="1019" t="s">
        <v>997</v>
      </c>
      <c r="K1410" s="2678">
        <v>50000</v>
      </c>
      <c r="L1410" s="1019" t="s">
        <v>126</v>
      </c>
      <c r="M1410" s="34">
        <v>1</v>
      </c>
      <c r="N1410" s="2618" t="s">
        <v>6373</v>
      </c>
      <c r="O1410" s="3923">
        <v>0.2</v>
      </c>
      <c r="P1410" s="2678">
        <v>10000</v>
      </c>
      <c r="Q1410" s="2678">
        <v>10000</v>
      </c>
      <c r="R1410" s="992" t="s">
        <v>4603</v>
      </c>
      <c r="S1410" s="3770">
        <v>44774</v>
      </c>
      <c r="T1410" s="2678">
        <v>10000</v>
      </c>
      <c r="U1410" s="3770">
        <v>44774</v>
      </c>
      <c r="V1410" s="2678">
        <v>10000</v>
      </c>
      <c r="W1410" s="3770">
        <v>44777</v>
      </c>
      <c r="X1410" s="2678">
        <v>10000</v>
      </c>
      <c r="Y1410" s="3937">
        <v>44813</v>
      </c>
      <c r="AA1410" s="34"/>
    </row>
    <row r="1411" s="30" customFormat="1" ht="44.15" customHeight="1" spans="1:27">
      <c r="A1411" s="3907"/>
      <c r="B1411" s="3899"/>
      <c r="C1411" s="3900"/>
      <c r="D1411" s="3907"/>
      <c r="E1411" s="3907"/>
      <c r="F1411" s="3904"/>
      <c r="G1411" s="2308"/>
      <c r="H1411" s="3904"/>
      <c r="I1411" s="3907"/>
      <c r="J1411" s="3907"/>
      <c r="K1411" s="2678"/>
      <c r="L1411" s="3907"/>
      <c r="M1411" s="34">
        <v>2</v>
      </c>
      <c r="N1411" s="2618" t="s">
        <v>6374</v>
      </c>
      <c r="O1411" s="3923">
        <v>0.6</v>
      </c>
      <c r="P1411" s="2678">
        <v>30000</v>
      </c>
      <c r="Q1411" s="2678">
        <v>30000</v>
      </c>
      <c r="R1411" s="128" t="s">
        <v>4603</v>
      </c>
      <c r="S1411" s="3770">
        <v>44827</v>
      </c>
      <c r="T1411" s="2678">
        <v>30000</v>
      </c>
      <c r="U1411" s="3770">
        <v>44827</v>
      </c>
      <c r="V1411" s="2678">
        <v>30000</v>
      </c>
      <c r="W1411" s="3937">
        <v>44929</v>
      </c>
      <c r="X1411" s="2678">
        <v>30000</v>
      </c>
      <c r="Y1411" s="3937">
        <v>44939</v>
      </c>
      <c r="AA1411" s="34"/>
    </row>
    <row r="1412" s="30" customFormat="1" ht="44.15" customHeight="1" spans="1:27">
      <c r="A1412" s="2334"/>
      <c r="B1412" s="3901"/>
      <c r="C1412" s="3900"/>
      <c r="D1412" s="2334"/>
      <c r="E1412" s="2334"/>
      <c r="F1412" s="3906"/>
      <c r="G1412" s="2308"/>
      <c r="H1412" s="3906"/>
      <c r="I1412" s="2334"/>
      <c r="J1412" s="2334"/>
      <c r="K1412" s="2678"/>
      <c r="L1412" s="2334"/>
      <c r="M1412" s="34">
        <v>3</v>
      </c>
      <c r="N1412" s="2618" t="s">
        <v>6375</v>
      </c>
      <c r="O1412" s="3923">
        <v>0.2</v>
      </c>
      <c r="P1412" s="2678">
        <v>10000</v>
      </c>
      <c r="Q1412" s="3932">
        <v>10000</v>
      </c>
      <c r="R1412" s="1054" t="s">
        <v>349</v>
      </c>
      <c r="S1412" s="3889"/>
      <c r="T1412" s="34"/>
      <c r="U1412" s="34"/>
      <c r="V1412" s="34"/>
      <c r="AA1412" s="34"/>
    </row>
    <row r="1413" s="30" customFormat="1" ht="35.85" customHeight="1" spans="1:27">
      <c r="A1413" s="1019" t="s">
        <v>2570</v>
      </c>
      <c r="B1413" s="3898">
        <v>44747</v>
      </c>
      <c r="C1413" s="982" t="s">
        <v>6312</v>
      </c>
      <c r="D1413" s="44"/>
      <c r="E1413" s="1057" t="s">
        <v>6376</v>
      </c>
      <c r="F1413" s="2309" t="s">
        <v>6377</v>
      </c>
      <c r="G1413" s="986" t="s">
        <v>4789</v>
      </c>
      <c r="H1413" s="1057" t="s">
        <v>6378</v>
      </c>
      <c r="I1413" s="44"/>
      <c r="J1413" s="1019" t="s">
        <v>997</v>
      </c>
      <c r="K1413" s="2678">
        <v>98000</v>
      </c>
      <c r="L1413" s="1019" t="s">
        <v>126</v>
      </c>
      <c r="M1413" s="34">
        <v>1</v>
      </c>
      <c r="N1413" s="2618" t="s">
        <v>6206</v>
      </c>
      <c r="O1413" s="3923">
        <v>0.2</v>
      </c>
      <c r="P1413" s="2678">
        <v>19600</v>
      </c>
      <c r="Q1413" s="2678">
        <v>19600</v>
      </c>
      <c r="R1413" s="128" t="s">
        <v>4603</v>
      </c>
      <c r="S1413" s="3770">
        <v>44827</v>
      </c>
      <c r="T1413" s="2678">
        <v>19600</v>
      </c>
      <c r="U1413" s="3770">
        <v>44827</v>
      </c>
      <c r="V1413" s="2678">
        <v>19600</v>
      </c>
      <c r="W1413" s="3937">
        <v>44890</v>
      </c>
      <c r="X1413" s="2678">
        <v>19600</v>
      </c>
      <c r="Y1413" s="3941">
        <v>44915</v>
      </c>
      <c r="AA1413" s="34"/>
    </row>
    <row r="1414" s="30" customFormat="1" ht="32.5" customHeight="1" spans="1:27">
      <c r="A1414" s="3907"/>
      <c r="B1414" s="3899"/>
      <c r="C1414" s="3900"/>
      <c r="D1414" s="3907"/>
      <c r="E1414" s="3907"/>
      <c r="F1414" s="3904"/>
      <c r="G1414" s="2308"/>
      <c r="H1414" s="3904"/>
      <c r="I1414" s="3907"/>
      <c r="J1414" s="3907"/>
      <c r="K1414" s="2678"/>
      <c r="L1414" s="3907"/>
      <c r="M1414" s="34">
        <v>2</v>
      </c>
      <c r="N1414" s="2618" t="s">
        <v>6207</v>
      </c>
      <c r="O1414" s="3923">
        <v>0.6</v>
      </c>
      <c r="P1414" s="2678">
        <v>58800</v>
      </c>
      <c r="Q1414" s="2678">
        <v>58800</v>
      </c>
      <c r="R1414" s="128" t="s">
        <v>4603</v>
      </c>
      <c r="S1414" s="3770">
        <v>44827</v>
      </c>
      <c r="T1414" s="2678">
        <v>58800</v>
      </c>
      <c r="U1414" s="3770">
        <v>44827</v>
      </c>
      <c r="V1414" s="2678">
        <v>58800</v>
      </c>
      <c r="W1414" s="3937">
        <v>44971</v>
      </c>
      <c r="X1414" s="2678">
        <v>58800</v>
      </c>
      <c r="Y1414" s="4070">
        <v>44980</v>
      </c>
      <c r="AA1414" s="34"/>
    </row>
    <row r="1415" s="30" customFormat="1" ht="44.15" customHeight="1" spans="1:27">
      <c r="A1415" s="2334"/>
      <c r="B1415" s="3901"/>
      <c r="C1415" s="3900"/>
      <c r="D1415" s="2334"/>
      <c r="E1415" s="2334"/>
      <c r="F1415" s="3906"/>
      <c r="G1415" s="2308"/>
      <c r="H1415" s="3906"/>
      <c r="I1415" s="2334"/>
      <c r="J1415" s="2334"/>
      <c r="K1415" s="2678"/>
      <c r="L1415" s="2334"/>
      <c r="M1415" s="34">
        <v>3</v>
      </c>
      <c r="N1415" s="2618" t="s">
        <v>6208</v>
      </c>
      <c r="O1415" s="3923">
        <v>0.2</v>
      </c>
      <c r="P1415" s="2678">
        <v>19600</v>
      </c>
      <c r="Q1415" s="3932">
        <v>19600</v>
      </c>
      <c r="R1415" s="1054" t="s">
        <v>349</v>
      </c>
      <c r="S1415" s="3889"/>
      <c r="T1415" s="34"/>
      <c r="U1415" s="34"/>
      <c r="V1415" s="34"/>
      <c r="AA1415" s="34"/>
    </row>
    <row r="1416" s="6" customFormat="1" ht="289" spans="1:35">
      <c r="A1416" s="1019" t="s">
        <v>690</v>
      </c>
      <c r="B1416" s="1042">
        <v>44629</v>
      </c>
      <c r="C1416" s="3943" t="s">
        <v>6379</v>
      </c>
      <c r="D1416" s="1019" t="s">
        <v>171</v>
      </c>
      <c r="E1416" s="1057" t="s">
        <v>6380</v>
      </c>
      <c r="F1416" s="1057" t="s">
        <v>6381</v>
      </c>
      <c r="G1416" s="1057" t="s">
        <v>6382</v>
      </c>
      <c r="H1416" s="1057" t="s">
        <v>6383</v>
      </c>
      <c r="I1416" s="1019" t="s">
        <v>171</v>
      </c>
      <c r="J1416" s="1019" t="s">
        <v>171</v>
      </c>
      <c r="K1416" s="3925">
        <v>420000</v>
      </c>
      <c r="L1416" s="986" t="s">
        <v>6384</v>
      </c>
      <c r="M1416" s="34">
        <v>1</v>
      </c>
      <c r="N1416" s="2618" t="s">
        <v>6385</v>
      </c>
      <c r="O1416" s="992" t="s">
        <v>171</v>
      </c>
      <c r="P1416" s="992" t="s">
        <v>6386</v>
      </c>
      <c r="Q1416" s="34">
        <v>100000</v>
      </c>
      <c r="R1416" s="992" t="s">
        <v>4603</v>
      </c>
      <c r="S1416" s="1044">
        <v>44743</v>
      </c>
      <c r="T1416" s="34">
        <v>100000</v>
      </c>
      <c r="U1416" s="1044">
        <v>44743</v>
      </c>
      <c r="V1416" s="34">
        <v>100000</v>
      </c>
      <c r="W1416" s="1044">
        <v>44747</v>
      </c>
      <c r="X1416" s="2677">
        <v>100000</v>
      </c>
      <c r="Y1416" s="3770">
        <v>44764</v>
      </c>
      <c r="Z1416" s="2677">
        <f>Q1416-X1416</f>
        <v>0</v>
      </c>
      <c r="AA1416" s="1060" t="s">
        <v>6387</v>
      </c>
      <c r="AB1416" s="30"/>
      <c r="AC1416" s="30"/>
      <c r="AD1416" s="30"/>
      <c r="AE1416" s="30"/>
      <c r="AF1416" s="30"/>
      <c r="AG1416" s="30"/>
      <c r="AH1416" s="30"/>
      <c r="AI1416" s="30"/>
    </row>
    <row r="1417" s="6" customFormat="1" ht="274" spans="1:35">
      <c r="A1417" s="1006"/>
      <c r="B1417" s="3944"/>
      <c r="C1417" s="3945"/>
      <c r="D1417" s="1006"/>
      <c r="E1417" s="1058"/>
      <c r="F1417" s="1058"/>
      <c r="G1417" s="1058"/>
      <c r="H1417" s="1058"/>
      <c r="I1417" s="1006"/>
      <c r="J1417" s="1006"/>
      <c r="K1417" s="4026"/>
      <c r="L1417" s="34"/>
      <c r="M1417" s="34">
        <v>2</v>
      </c>
      <c r="N1417" s="2618" t="s">
        <v>552</v>
      </c>
      <c r="O1417" s="992" t="s">
        <v>171</v>
      </c>
      <c r="P1417" s="992" t="s">
        <v>6386</v>
      </c>
      <c r="Q1417" s="34">
        <v>100000</v>
      </c>
      <c r="R1417" s="992" t="s">
        <v>4603</v>
      </c>
      <c r="S1417" s="3898">
        <v>44817</v>
      </c>
      <c r="T1417" s="34">
        <v>100000</v>
      </c>
      <c r="U1417" s="3898">
        <v>44817</v>
      </c>
      <c r="V1417" s="34">
        <v>100000</v>
      </c>
      <c r="W1417" s="3898">
        <v>44823</v>
      </c>
      <c r="X1417" s="34">
        <v>100000</v>
      </c>
      <c r="Y1417" s="3898">
        <v>44827</v>
      </c>
      <c r="Z1417" s="2677">
        <f>Q1417-X1417</f>
        <v>0</v>
      </c>
      <c r="AA1417" s="1060" t="s">
        <v>6388</v>
      </c>
      <c r="AB1417" s="30"/>
      <c r="AC1417" s="30"/>
      <c r="AD1417" s="30"/>
      <c r="AE1417" s="30"/>
      <c r="AF1417" s="30"/>
      <c r="AG1417" s="30"/>
      <c r="AH1417" s="30"/>
      <c r="AI1417" s="30"/>
    </row>
    <row r="1418" s="6" customFormat="1" ht="228" spans="1:35">
      <c r="A1418" s="1006"/>
      <c r="B1418" s="3944"/>
      <c r="C1418" s="3945"/>
      <c r="D1418" s="1006"/>
      <c r="E1418" s="1058"/>
      <c r="F1418" s="1058"/>
      <c r="G1418" s="1058"/>
      <c r="H1418" s="1058"/>
      <c r="I1418" s="1006"/>
      <c r="J1418" s="1006"/>
      <c r="K1418" s="4026"/>
      <c r="L1418" s="34"/>
      <c r="M1418" s="34">
        <v>3</v>
      </c>
      <c r="N1418" s="2618" t="s">
        <v>552</v>
      </c>
      <c r="O1418" s="992" t="s">
        <v>171</v>
      </c>
      <c r="P1418" s="992" t="s">
        <v>6386</v>
      </c>
      <c r="Q1418" s="34">
        <v>87000</v>
      </c>
      <c r="R1418" s="1019" t="s">
        <v>4603</v>
      </c>
      <c r="S1418" s="3898">
        <v>44936</v>
      </c>
      <c r="T1418" s="34">
        <v>87000</v>
      </c>
      <c r="U1418" s="3898">
        <v>44929</v>
      </c>
      <c r="V1418" s="34">
        <v>87000</v>
      </c>
      <c r="W1418" s="3644">
        <v>44936</v>
      </c>
      <c r="X1418" s="34">
        <v>87000</v>
      </c>
      <c r="Y1418" s="3644">
        <v>44945</v>
      </c>
      <c r="Z1418" s="2677">
        <f>Q1418-X1418</f>
        <v>0</v>
      </c>
      <c r="AA1418" s="4071" t="s">
        <v>6389</v>
      </c>
      <c r="AB1418" s="4072"/>
      <c r="AC1418" s="4072"/>
      <c r="AD1418" s="4072"/>
      <c r="AE1418" s="4072"/>
      <c r="AF1418" s="4072"/>
      <c r="AG1418" s="4072"/>
      <c r="AH1418" s="4072"/>
      <c r="AI1418" s="4072"/>
    </row>
    <row r="1419" s="6" customFormat="1" ht="41.65" customHeight="1" spans="1:35">
      <c r="A1419" s="1006"/>
      <c r="B1419" s="3944"/>
      <c r="C1419" s="3945"/>
      <c r="D1419" s="1006"/>
      <c r="E1419" s="1058"/>
      <c r="F1419" s="1058"/>
      <c r="G1419" s="1058"/>
      <c r="H1419" s="1058"/>
      <c r="I1419" s="1006"/>
      <c r="J1419" s="1006"/>
      <c r="K1419" s="4026"/>
      <c r="L1419" s="1057" t="s">
        <v>6384</v>
      </c>
      <c r="M1419" s="44">
        <v>4</v>
      </c>
      <c r="N1419" s="647" t="s">
        <v>552</v>
      </c>
      <c r="O1419" s="1019"/>
      <c r="P1419" s="992" t="s">
        <v>6386</v>
      </c>
      <c r="Q1419" s="34">
        <v>172000</v>
      </c>
      <c r="R1419" s="1019" t="s">
        <v>4603</v>
      </c>
      <c r="S1419" s="3898">
        <v>45184</v>
      </c>
      <c r="T1419" s="34">
        <v>172000</v>
      </c>
      <c r="U1419" s="3898">
        <v>45184</v>
      </c>
      <c r="V1419" s="34">
        <v>172000</v>
      </c>
      <c r="W1419" s="3898">
        <v>45189</v>
      </c>
      <c r="X1419" s="2677">
        <v>72000</v>
      </c>
      <c r="Y1419" s="3644">
        <v>45195</v>
      </c>
      <c r="Z1419" s="2677"/>
      <c r="AA1419" s="1057" t="s">
        <v>6390</v>
      </c>
      <c r="AB1419" s="4072"/>
      <c r="AC1419" s="4072"/>
      <c r="AD1419" s="4072"/>
      <c r="AE1419" s="4072"/>
      <c r="AF1419" s="4072"/>
      <c r="AG1419" s="4072"/>
      <c r="AH1419" s="4072"/>
      <c r="AI1419" s="4072"/>
    </row>
    <row r="1420" s="6" customFormat="1" ht="60" customHeight="1" spans="1:35">
      <c r="A1420" s="1006"/>
      <c r="B1420" s="3944"/>
      <c r="C1420" s="3946"/>
      <c r="D1420" s="1006"/>
      <c r="E1420" s="1058"/>
      <c r="F1420" s="1058"/>
      <c r="G1420" s="1059"/>
      <c r="H1420" s="1058"/>
      <c r="I1420" s="1022"/>
      <c r="J1420" s="1006"/>
      <c r="K1420" s="4026"/>
      <c r="L1420" s="3907"/>
      <c r="M1420" s="2334"/>
      <c r="N1420" s="3541"/>
      <c r="O1420" s="1022"/>
      <c r="P1420" s="992"/>
      <c r="Q1420" s="34"/>
      <c r="R1420" s="1022"/>
      <c r="S1420" s="3901"/>
      <c r="T1420" s="34"/>
      <c r="U1420" s="3901"/>
      <c r="V1420" s="34"/>
      <c r="W1420" s="3901"/>
      <c r="X1420" s="2677">
        <v>100000</v>
      </c>
      <c r="Y1420" s="3770">
        <v>45212</v>
      </c>
      <c r="Z1420" s="2677"/>
      <c r="AA1420" s="4073"/>
      <c r="AB1420" s="4072"/>
      <c r="AC1420" s="4072"/>
      <c r="AD1420" s="4072"/>
      <c r="AE1420" s="4072"/>
      <c r="AF1420" s="4072"/>
      <c r="AG1420" s="4072"/>
      <c r="AH1420" s="4072"/>
      <c r="AI1420" s="4072"/>
    </row>
    <row r="1421" s="6" customFormat="1" ht="45" customHeight="1" spans="1:35">
      <c r="A1421" s="3947" t="s">
        <v>2570</v>
      </c>
      <c r="B1421" s="3948">
        <v>44777</v>
      </c>
      <c r="C1421" s="3949" t="s">
        <v>6391</v>
      </c>
      <c r="D1421" s="3471"/>
      <c r="E1421" s="4002" t="s">
        <v>6392</v>
      </c>
      <c r="F1421" s="4002" t="s">
        <v>6393</v>
      </c>
      <c r="G1421" s="3136" t="s">
        <v>4314</v>
      </c>
      <c r="H1421" s="4002" t="s">
        <v>6394</v>
      </c>
      <c r="I1421" s="3136" t="s">
        <v>4315</v>
      </c>
      <c r="J1421" s="4002" t="s">
        <v>4316</v>
      </c>
      <c r="K1421" s="4027">
        <v>3459767.12</v>
      </c>
      <c r="L1421" s="3947" t="s">
        <v>126</v>
      </c>
      <c r="M1421" s="3349">
        <v>1</v>
      </c>
      <c r="N1421" s="1191" t="s">
        <v>4228</v>
      </c>
      <c r="O1421" s="4035">
        <v>0.2</v>
      </c>
      <c r="P1421" s="3399">
        <f t="shared" ref="P1421:P1427" si="44">3459767.12*O1421</f>
        <v>691953.424</v>
      </c>
      <c r="Q1421" s="3812">
        <v>691953.42</v>
      </c>
      <c r="R1421" s="128" t="s">
        <v>4603</v>
      </c>
      <c r="S1421" s="3770">
        <v>44827</v>
      </c>
      <c r="T1421" s="3812">
        <v>691953.42</v>
      </c>
      <c r="U1421" s="3770">
        <v>44827</v>
      </c>
      <c r="V1421" s="3812">
        <v>691953.42</v>
      </c>
      <c r="W1421" s="1044">
        <v>44843</v>
      </c>
      <c r="X1421" s="3812">
        <v>691953.42</v>
      </c>
      <c r="Y1421" s="3770">
        <v>44848</v>
      </c>
      <c r="Z1421" s="30"/>
      <c r="AA1421" s="34"/>
      <c r="AB1421" s="30"/>
      <c r="AC1421" s="30"/>
      <c r="AD1421" s="30"/>
      <c r="AE1421" s="30"/>
      <c r="AF1421" s="30"/>
      <c r="AG1421" s="30"/>
      <c r="AH1421" s="30"/>
      <c r="AI1421" s="30"/>
    </row>
    <row r="1422" s="6" customFormat="1" ht="45" customHeight="1" spans="1:35">
      <c r="A1422" s="3318"/>
      <c r="B1422" s="3950"/>
      <c r="C1422" s="3949"/>
      <c r="D1422" s="3318"/>
      <c r="E1422" s="3286"/>
      <c r="F1422" s="3286"/>
      <c r="G1422" s="3252"/>
      <c r="H1422" s="3286"/>
      <c r="I1422" s="3136"/>
      <c r="J1422" s="3286"/>
      <c r="K1422" s="4028"/>
      <c r="L1422" s="3318"/>
      <c r="M1422" s="3349">
        <v>2</v>
      </c>
      <c r="N1422" s="1191" t="s">
        <v>4229</v>
      </c>
      <c r="O1422" s="4035">
        <v>0.2</v>
      </c>
      <c r="P1422" s="3399">
        <f t="shared" si="44"/>
        <v>691953.424</v>
      </c>
      <c r="Q1422" s="3812">
        <v>691953.42</v>
      </c>
      <c r="R1422" s="128" t="s">
        <v>4603</v>
      </c>
      <c r="S1422" s="3770">
        <v>44827</v>
      </c>
      <c r="T1422" s="3812">
        <v>691953.42</v>
      </c>
      <c r="U1422" s="3770">
        <v>44827</v>
      </c>
      <c r="V1422" s="3812">
        <v>691953.42</v>
      </c>
      <c r="W1422" s="1044">
        <v>44843</v>
      </c>
      <c r="X1422" s="3812">
        <v>691953.42</v>
      </c>
      <c r="Y1422" s="3770">
        <v>44848</v>
      </c>
      <c r="Z1422" s="30"/>
      <c r="AA1422" s="34"/>
      <c r="AB1422" s="30"/>
      <c r="AC1422" s="30"/>
      <c r="AD1422" s="30"/>
      <c r="AE1422" s="30"/>
      <c r="AF1422" s="30"/>
      <c r="AG1422" s="30"/>
      <c r="AH1422" s="30"/>
      <c r="AI1422" s="30"/>
    </row>
    <row r="1423" s="6" customFormat="1" ht="45" customHeight="1" spans="1:35">
      <c r="A1423" s="3318"/>
      <c r="B1423" s="3950"/>
      <c r="C1423" s="3949"/>
      <c r="D1423" s="3318"/>
      <c r="E1423" s="3286"/>
      <c r="F1423" s="3286"/>
      <c r="G1423" s="3252"/>
      <c r="H1423" s="3286"/>
      <c r="I1423" s="3136"/>
      <c r="J1423" s="3286"/>
      <c r="K1423" s="4028"/>
      <c r="L1423" s="3318"/>
      <c r="M1423" s="3349">
        <v>3</v>
      </c>
      <c r="N1423" s="1191" t="s">
        <v>4230</v>
      </c>
      <c r="O1423" s="4035">
        <v>0.1</v>
      </c>
      <c r="P1423" s="3399">
        <f t="shared" si="44"/>
        <v>345976.712</v>
      </c>
      <c r="Q1423" s="3812">
        <v>345976.71</v>
      </c>
      <c r="R1423" s="128" t="s">
        <v>4603</v>
      </c>
      <c r="S1423" s="3770">
        <v>44827</v>
      </c>
      <c r="T1423" s="3812">
        <v>345976.71</v>
      </c>
      <c r="U1423" s="3770">
        <v>44827</v>
      </c>
      <c r="V1423" s="3812">
        <v>345976.71</v>
      </c>
      <c r="W1423" s="1044">
        <v>44843</v>
      </c>
      <c r="X1423" s="3812">
        <v>345976.71</v>
      </c>
      <c r="Y1423" s="3770">
        <v>44848</v>
      </c>
      <c r="Z1423" s="30"/>
      <c r="AA1423" s="34"/>
      <c r="AB1423" s="30"/>
      <c r="AC1423" s="30"/>
      <c r="AD1423" s="30"/>
      <c r="AE1423" s="30"/>
      <c r="AF1423" s="30"/>
      <c r="AG1423" s="30"/>
      <c r="AH1423" s="30"/>
      <c r="AI1423" s="30"/>
    </row>
    <row r="1424" s="6" customFormat="1" ht="45" customHeight="1" spans="1:35">
      <c r="A1424" s="3318"/>
      <c r="B1424" s="3950"/>
      <c r="C1424" s="3949"/>
      <c r="D1424" s="3318"/>
      <c r="E1424" s="3286"/>
      <c r="F1424" s="3286"/>
      <c r="G1424" s="3252"/>
      <c r="H1424" s="3286"/>
      <c r="I1424" s="3136"/>
      <c r="J1424" s="3286"/>
      <c r="K1424" s="4028"/>
      <c r="L1424" s="3318"/>
      <c r="M1424" s="3349">
        <v>4</v>
      </c>
      <c r="N1424" s="1191" t="s">
        <v>4231</v>
      </c>
      <c r="O1424" s="4035">
        <v>0.2</v>
      </c>
      <c r="P1424" s="4036">
        <f t="shared" si="44"/>
        <v>691953.424</v>
      </c>
      <c r="Q1424" s="2678">
        <v>691953.42</v>
      </c>
      <c r="R1424" s="128" t="s">
        <v>4603</v>
      </c>
      <c r="S1424" s="3770">
        <v>44897</v>
      </c>
      <c r="T1424" s="2678">
        <v>691953.42</v>
      </c>
      <c r="U1424" s="3770">
        <v>44897</v>
      </c>
      <c r="V1424" s="2678">
        <v>691953.42</v>
      </c>
      <c r="W1424" s="1044">
        <v>44931</v>
      </c>
      <c r="X1424" s="2678">
        <v>691953.42</v>
      </c>
      <c r="Y1424" s="3770">
        <v>44944</v>
      </c>
      <c r="Z1424" s="30"/>
      <c r="AA1424" s="34"/>
      <c r="AB1424" s="30"/>
      <c r="AC1424" s="30"/>
      <c r="AD1424" s="30"/>
      <c r="AE1424" s="30"/>
      <c r="AF1424" s="30"/>
      <c r="AG1424" s="30"/>
      <c r="AH1424" s="30"/>
      <c r="AI1424" s="30"/>
    </row>
    <row r="1425" s="6" customFormat="1" ht="45" customHeight="1" spans="1:35">
      <c r="A1425" s="3318"/>
      <c r="B1425" s="3950"/>
      <c r="C1425" s="3949"/>
      <c r="D1425" s="3318"/>
      <c r="E1425" s="3286"/>
      <c r="F1425" s="3286"/>
      <c r="G1425" s="3252"/>
      <c r="H1425" s="3286"/>
      <c r="I1425" s="3136"/>
      <c r="J1425" s="3286"/>
      <c r="K1425" s="4028"/>
      <c r="L1425" s="3318"/>
      <c r="M1425" s="3349">
        <v>5</v>
      </c>
      <c r="N1425" s="1191" t="s">
        <v>4232</v>
      </c>
      <c r="O1425" s="4035">
        <v>0.15</v>
      </c>
      <c r="P1425" s="3399">
        <f t="shared" si="44"/>
        <v>518965.068</v>
      </c>
      <c r="Q1425" s="2678">
        <v>518965.07</v>
      </c>
      <c r="R1425" s="128" t="s">
        <v>4603</v>
      </c>
      <c r="S1425" s="313">
        <v>45280</v>
      </c>
      <c r="T1425" s="2678">
        <v>518965.07</v>
      </c>
      <c r="U1425" s="313">
        <v>45280</v>
      </c>
      <c r="V1425" s="2678">
        <v>518965.07</v>
      </c>
      <c r="W1425" s="1044">
        <v>45356</v>
      </c>
      <c r="X1425" s="2678">
        <v>518965.07</v>
      </c>
      <c r="Y1425" s="1044">
        <v>45380</v>
      </c>
      <c r="Z1425" s="30"/>
      <c r="AA1425" s="34"/>
      <c r="AB1425" s="30"/>
      <c r="AC1425" s="30"/>
      <c r="AD1425" s="30"/>
      <c r="AE1425" s="30"/>
      <c r="AF1425" s="30"/>
      <c r="AG1425" s="30"/>
      <c r="AH1425" s="30"/>
      <c r="AI1425" s="30"/>
    </row>
    <row r="1426" s="6" customFormat="1" ht="45" customHeight="1" spans="1:35">
      <c r="A1426" s="3318"/>
      <c r="B1426" s="3950"/>
      <c r="C1426" s="3949"/>
      <c r="D1426" s="3318"/>
      <c r="E1426" s="3286"/>
      <c r="F1426" s="3286"/>
      <c r="G1426" s="3252"/>
      <c r="H1426" s="3286"/>
      <c r="I1426" s="3136"/>
      <c r="J1426" s="3286"/>
      <c r="K1426" s="4028"/>
      <c r="L1426" s="3318"/>
      <c r="M1426" s="3349">
        <v>6</v>
      </c>
      <c r="N1426" s="1191" t="s">
        <v>4233</v>
      </c>
      <c r="O1426" s="4035">
        <v>0.05</v>
      </c>
      <c r="P1426" s="3399">
        <f t="shared" si="44"/>
        <v>172988.356</v>
      </c>
      <c r="Q1426" s="2678">
        <v>172988.356</v>
      </c>
      <c r="R1426" s="992" t="s">
        <v>4603</v>
      </c>
      <c r="S1426" s="3770">
        <v>45555</v>
      </c>
      <c r="T1426" s="2678">
        <v>172988.356</v>
      </c>
      <c r="U1426" s="1044">
        <v>45555</v>
      </c>
      <c r="V1426" s="34">
        <f>T1426</f>
        <v>172988.356</v>
      </c>
      <c r="W1426" s="1044">
        <v>45614</v>
      </c>
      <c r="X1426" s="34">
        <f>V1426</f>
        <v>172988.356</v>
      </c>
      <c r="Y1426" s="1044">
        <v>45621</v>
      </c>
      <c r="Z1426" s="30"/>
      <c r="AA1426" s="34"/>
      <c r="AB1426" s="30"/>
      <c r="AC1426" s="30"/>
      <c r="AD1426" s="30"/>
      <c r="AE1426" s="30"/>
      <c r="AF1426" s="30"/>
      <c r="AG1426" s="30"/>
      <c r="AH1426" s="30"/>
      <c r="AI1426" s="30"/>
    </row>
    <row r="1427" s="6" customFormat="1" ht="45" customHeight="1" spans="1:35">
      <c r="A1427" s="3951"/>
      <c r="B1427" s="3952"/>
      <c r="C1427" s="3949"/>
      <c r="D1427" s="3951"/>
      <c r="E1427" s="3286"/>
      <c r="F1427" s="3286"/>
      <c r="G1427" s="4003"/>
      <c r="H1427" s="3286"/>
      <c r="I1427" s="4002"/>
      <c r="J1427" s="3286"/>
      <c r="K1427" s="4028"/>
      <c r="L1427" s="3318"/>
      <c r="M1427" s="3471">
        <v>7</v>
      </c>
      <c r="N1427" s="4037" t="s">
        <v>4234</v>
      </c>
      <c r="O1427" s="4038">
        <v>0.1</v>
      </c>
      <c r="P1427" s="4039">
        <f t="shared" si="44"/>
        <v>345976.712</v>
      </c>
      <c r="Q1427" s="34"/>
      <c r="R1427" s="34"/>
      <c r="S1427" s="34"/>
      <c r="T1427" s="34"/>
      <c r="U1427" s="34"/>
      <c r="V1427" s="34"/>
      <c r="W1427" s="34"/>
      <c r="X1427" s="30"/>
      <c r="Y1427" s="34"/>
      <c r="Z1427" s="30"/>
      <c r="AA1427" s="34"/>
      <c r="AB1427" s="30"/>
      <c r="AC1427" s="30"/>
      <c r="AD1427" s="30"/>
      <c r="AE1427" s="30"/>
      <c r="AF1427" s="30"/>
      <c r="AG1427" s="30"/>
      <c r="AH1427" s="30"/>
      <c r="AI1427" s="30"/>
    </row>
    <row r="1428" s="31" customFormat="1" ht="45" customHeight="1" spans="1:35">
      <c r="A1428" s="1299" t="s">
        <v>2570</v>
      </c>
      <c r="B1428" s="3953">
        <v>45364</v>
      </c>
      <c r="C1428" s="3954" t="s">
        <v>6391</v>
      </c>
      <c r="D1428" s="3954"/>
      <c r="E1428" s="1280" t="s">
        <v>6395</v>
      </c>
      <c r="F1428" s="1280" t="s">
        <v>6396</v>
      </c>
      <c r="G1428" s="1280" t="s">
        <v>4314</v>
      </c>
      <c r="H1428" s="1280" t="s">
        <v>6394</v>
      </c>
      <c r="I1428" s="1280" t="s">
        <v>171</v>
      </c>
      <c r="J1428" s="1280" t="s">
        <v>997</v>
      </c>
      <c r="K1428" s="4029">
        <v>98000</v>
      </c>
      <c r="L1428" s="1299" t="s">
        <v>126</v>
      </c>
      <c r="M1428" s="3121">
        <v>1</v>
      </c>
      <c r="N1428" s="3041" t="s">
        <v>4318</v>
      </c>
      <c r="O1428" s="1850">
        <v>0.9</v>
      </c>
      <c r="P1428" s="3066">
        <f>98000*O1428</f>
        <v>88200</v>
      </c>
      <c r="Q1428" s="4055">
        <v>88200</v>
      </c>
      <c r="R1428" s="1252" t="s">
        <v>4603</v>
      </c>
      <c r="S1428" s="4056">
        <v>45555</v>
      </c>
      <c r="T1428" s="4055">
        <v>88200</v>
      </c>
      <c r="U1428" s="4065">
        <v>45555</v>
      </c>
      <c r="V1428" s="3121">
        <f>T1428</f>
        <v>88200</v>
      </c>
      <c r="W1428" s="4065">
        <v>45614</v>
      </c>
      <c r="X1428" s="3121">
        <f>V1428</f>
        <v>88200</v>
      </c>
      <c r="Y1428" s="4065">
        <v>45621</v>
      </c>
      <c r="Z1428" s="3110"/>
      <c r="AA1428" s="3121"/>
      <c r="AB1428" s="3110"/>
      <c r="AC1428" s="3110"/>
      <c r="AD1428" s="3110"/>
      <c r="AE1428" s="3110"/>
      <c r="AF1428" s="3110"/>
      <c r="AG1428" s="3110"/>
      <c r="AH1428" s="3110"/>
      <c r="AI1428" s="3110"/>
    </row>
    <row r="1429" s="31" customFormat="1" ht="45" customHeight="1" spans="1:35">
      <c r="A1429" s="3955"/>
      <c r="B1429" s="3956"/>
      <c r="C1429" s="3957"/>
      <c r="D1429" s="3957"/>
      <c r="E1429" s="4004"/>
      <c r="F1429" s="4004"/>
      <c r="G1429" s="4004"/>
      <c r="H1429" s="4004"/>
      <c r="I1429" s="1846"/>
      <c r="J1429" s="4004"/>
      <c r="K1429" s="4030"/>
      <c r="L1429" s="3955"/>
      <c r="M1429" s="1252">
        <v>2</v>
      </c>
      <c r="N1429" s="3041" t="s">
        <v>4319</v>
      </c>
      <c r="O1429" s="1850">
        <v>0.1</v>
      </c>
      <c r="P1429" s="3066">
        <f>98000*O1429</f>
        <v>9800</v>
      </c>
      <c r="Q1429" s="3121"/>
      <c r="R1429" s="3121"/>
      <c r="S1429" s="3121"/>
      <c r="T1429" s="3121"/>
      <c r="U1429" s="3121"/>
      <c r="V1429" s="3121"/>
      <c r="W1429" s="3121"/>
      <c r="X1429" s="3110"/>
      <c r="Y1429" s="3121"/>
      <c r="Z1429" s="3110"/>
      <c r="AA1429" s="3121"/>
      <c r="AB1429" s="3110"/>
      <c r="AC1429" s="3110"/>
      <c r="AD1429" s="3110"/>
      <c r="AE1429" s="3110"/>
      <c r="AF1429" s="3110"/>
      <c r="AG1429" s="3110"/>
      <c r="AH1429" s="3110"/>
      <c r="AI1429" s="3110"/>
    </row>
    <row r="1430" s="6" customFormat="1" ht="46" spans="1:35">
      <c r="A1430" s="3958" t="s">
        <v>2570</v>
      </c>
      <c r="B1430" s="3959">
        <v>44784</v>
      </c>
      <c r="C1430" s="3960" t="s">
        <v>6391</v>
      </c>
      <c r="D1430" s="3961"/>
      <c r="E1430" s="4005" t="s">
        <v>6397</v>
      </c>
      <c r="F1430" s="4005" t="s">
        <v>6398</v>
      </c>
      <c r="G1430" s="4006" t="s">
        <v>4320</v>
      </c>
      <c r="H1430" s="4005" t="s">
        <v>6399</v>
      </c>
      <c r="I1430" s="4006" t="s">
        <v>4321</v>
      </c>
      <c r="J1430" s="4005" t="s">
        <v>4322</v>
      </c>
      <c r="K1430" s="3961">
        <v>1116800</v>
      </c>
      <c r="L1430" s="3958" t="s">
        <v>126</v>
      </c>
      <c r="M1430" s="4006" t="s">
        <v>4323</v>
      </c>
      <c r="N1430" s="2618" t="s">
        <v>4324</v>
      </c>
      <c r="O1430" s="4040">
        <v>0.2</v>
      </c>
      <c r="P1430" s="4041">
        <f>1116800*20%</f>
        <v>223360</v>
      </c>
      <c r="Q1430" s="3812">
        <f t="shared" ref="Q1430:V1430" si="45">1116800*20%</f>
        <v>223360</v>
      </c>
      <c r="R1430" s="128" t="s">
        <v>4603</v>
      </c>
      <c r="S1430" s="3770">
        <v>44827</v>
      </c>
      <c r="T1430" s="3812">
        <f t="shared" si="45"/>
        <v>223360</v>
      </c>
      <c r="U1430" s="3770">
        <v>44827</v>
      </c>
      <c r="V1430" s="3812">
        <f t="shared" si="45"/>
        <v>223360</v>
      </c>
      <c r="W1430" s="1044">
        <v>44842</v>
      </c>
      <c r="X1430" s="3812">
        <f>1116800*20%</f>
        <v>223360</v>
      </c>
      <c r="Y1430" s="3770">
        <v>44864</v>
      </c>
      <c r="Z1430" s="30"/>
      <c r="AA1430" s="34"/>
      <c r="AB1430" s="30"/>
      <c r="AC1430" s="30"/>
      <c r="AD1430" s="30"/>
      <c r="AE1430" s="30"/>
      <c r="AF1430" s="30"/>
      <c r="AG1430" s="30"/>
      <c r="AH1430" s="30"/>
      <c r="AI1430" s="30"/>
    </row>
    <row r="1431" s="6" customFormat="1" ht="46" spans="1:35">
      <c r="A1431" s="3962"/>
      <c r="B1431" s="3963"/>
      <c r="C1431" s="3964"/>
      <c r="D1431" s="3962"/>
      <c r="E1431" s="3962"/>
      <c r="F1431" s="4007"/>
      <c r="G1431" s="4008"/>
      <c r="H1431" s="3962"/>
      <c r="I1431" s="4006"/>
      <c r="J1431" s="4007"/>
      <c r="K1431" s="3962"/>
      <c r="L1431" s="3962"/>
      <c r="M1431" s="4006" t="s">
        <v>4325</v>
      </c>
      <c r="N1431" s="2618" t="s">
        <v>4326</v>
      </c>
      <c r="O1431" s="4040">
        <v>0.1</v>
      </c>
      <c r="P1431" s="4042">
        <f>1116800*O1431</f>
        <v>111680</v>
      </c>
      <c r="Q1431" s="3812">
        <v>111680</v>
      </c>
      <c r="R1431" s="128" t="s">
        <v>4603</v>
      </c>
      <c r="S1431" s="3770">
        <v>44905</v>
      </c>
      <c r="T1431" s="3812">
        <v>111680</v>
      </c>
      <c r="U1431" s="3770">
        <v>44897</v>
      </c>
      <c r="V1431" s="3812">
        <v>111680</v>
      </c>
      <c r="W1431" s="1044">
        <v>44929</v>
      </c>
      <c r="X1431" s="2677">
        <v>111680</v>
      </c>
      <c r="Y1431" s="3770">
        <v>44944</v>
      </c>
      <c r="Z1431" s="30"/>
      <c r="AA1431" s="34"/>
      <c r="AB1431" s="30"/>
      <c r="AC1431" s="30"/>
      <c r="AD1431" s="30"/>
      <c r="AE1431" s="30"/>
      <c r="AF1431" s="30"/>
      <c r="AG1431" s="30"/>
      <c r="AH1431" s="30"/>
      <c r="AI1431" s="30"/>
    </row>
    <row r="1432" s="6" customFormat="1" ht="46" spans="1:35">
      <c r="A1432" s="3962"/>
      <c r="B1432" s="3963"/>
      <c r="C1432" s="3964"/>
      <c r="D1432" s="3962"/>
      <c r="E1432" s="3962"/>
      <c r="F1432" s="4007"/>
      <c r="G1432" s="4008"/>
      <c r="H1432" s="3962"/>
      <c r="I1432" s="4006"/>
      <c r="J1432" s="4007"/>
      <c r="K1432" s="3962"/>
      <c r="L1432" s="3962"/>
      <c r="M1432" s="4006" t="s">
        <v>4327</v>
      </c>
      <c r="N1432" s="2618" t="s">
        <v>4328</v>
      </c>
      <c r="O1432" s="4040">
        <v>0.05</v>
      </c>
      <c r="P1432" s="4042">
        <f>1116800*O1432</f>
        <v>55840</v>
      </c>
      <c r="Q1432" s="3812">
        <v>55840</v>
      </c>
      <c r="R1432" s="128" t="s">
        <v>4603</v>
      </c>
      <c r="S1432" s="3770">
        <v>44905</v>
      </c>
      <c r="T1432" s="3812">
        <v>55840</v>
      </c>
      <c r="U1432" s="3770">
        <v>44897</v>
      </c>
      <c r="V1432" s="3812">
        <v>55840</v>
      </c>
      <c r="W1432" s="1044">
        <v>44929</v>
      </c>
      <c r="X1432" s="2677">
        <v>55840</v>
      </c>
      <c r="Y1432" s="3770">
        <v>44944</v>
      </c>
      <c r="Z1432" s="30"/>
      <c r="AA1432" s="34"/>
      <c r="AB1432" s="30"/>
      <c r="AC1432" s="30"/>
      <c r="AD1432" s="30"/>
      <c r="AE1432" s="30"/>
      <c r="AF1432" s="30"/>
      <c r="AG1432" s="30"/>
      <c r="AH1432" s="30"/>
      <c r="AI1432" s="30"/>
    </row>
    <row r="1433" s="6" customFormat="1" ht="46" spans="1:35">
      <c r="A1433" s="3962"/>
      <c r="B1433" s="3963"/>
      <c r="C1433" s="3964"/>
      <c r="D1433" s="3962"/>
      <c r="E1433" s="3962"/>
      <c r="F1433" s="4007"/>
      <c r="G1433" s="4008"/>
      <c r="H1433" s="3962"/>
      <c r="I1433" s="4006"/>
      <c r="J1433" s="4007"/>
      <c r="K1433" s="3962"/>
      <c r="L1433" s="3962"/>
      <c r="M1433" s="4006" t="s">
        <v>4329</v>
      </c>
      <c r="N1433" s="2618" t="s">
        <v>4330</v>
      </c>
      <c r="O1433" s="4040">
        <v>0.25</v>
      </c>
      <c r="P1433" s="4042">
        <f>1116800*O1433</f>
        <v>279200</v>
      </c>
      <c r="Q1433" s="3812">
        <v>279200</v>
      </c>
      <c r="R1433" s="128" t="s">
        <v>4603</v>
      </c>
      <c r="S1433" s="3770">
        <v>44905</v>
      </c>
      <c r="T1433" s="3812">
        <v>279200</v>
      </c>
      <c r="U1433" s="3770">
        <v>44897</v>
      </c>
      <c r="V1433" s="3812">
        <v>279200</v>
      </c>
      <c r="W1433" s="1044">
        <v>44929</v>
      </c>
      <c r="X1433" s="2677">
        <v>279200</v>
      </c>
      <c r="Y1433" s="3770">
        <v>44944</v>
      </c>
      <c r="Z1433" s="30"/>
      <c r="AA1433" s="34"/>
      <c r="AB1433" s="30"/>
      <c r="AC1433" s="30"/>
      <c r="AD1433" s="30"/>
      <c r="AE1433" s="30"/>
      <c r="AF1433" s="30"/>
      <c r="AG1433" s="30"/>
      <c r="AH1433" s="30"/>
      <c r="AI1433" s="30"/>
    </row>
    <row r="1434" s="6" customFormat="1" ht="46" spans="1:35">
      <c r="A1434" s="3962"/>
      <c r="B1434" s="3963"/>
      <c r="C1434" s="3964"/>
      <c r="D1434" s="3962"/>
      <c r="E1434" s="3962"/>
      <c r="F1434" s="4007"/>
      <c r="G1434" s="4008"/>
      <c r="H1434" s="3962"/>
      <c r="I1434" s="4006"/>
      <c r="J1434" s="4007"/>
      <c r="K1434" s="3962"/>
      <c r="L1434" s="3962"/>
      <c r="M1434" s="4006" t="s">
        <v>4331</v>
      </c>
      <c r="N1434" s="2618" t="s">
        <v>4332</v>
      </c>
      <c r="O1434" s="4040">
        <v>0.3</v>
      </c>
      <c r="P1434" s="4041">
        <f>1116800*O1434</f>
        <v>335040</v>
      </c>
      <c r="Q1434" s="3576">
        <v>335040</v>
      </c>
      <c r="R1434" s="128" t="s">
        <v>4603</v>
      </c>
      <c r="S1434" s="313">
        <v>45280</v>
      </c>
      <c r="T1434" s="3576">
        <v>335040</v>
      </c>
      <c r="U1434" s="313">
        <v>45280</v>
      </c>
      <c r="V1434" s="3576">
        <v>335040</v>
      </c>
      <c r="W1434" s="3770">
        <v>45355</v>
      </c>
      <c r="X1434" s="3576">
        <v>335040</v>
      </c>
      <c r="Y1434" s="3770">
        <v>45380</v>
      </c>
      <c r="Z1434" s="30"/>
      <c r="AA1434" s="34"/>
      <c r="AB1434" s="30"/>
      <c r="AC1434" s="30"/>
      <c r="AD1434" s="30"/>
      <c r="AE1434" s="30"/>
      <c r="AF1434" s="30"/>
      <c r="AG1434" s="30"/>
      <c r="AH1434" s="30"/>
      <c r="AI1434" s="30"/>
    </row>
    <row r="1435" s="6" customFormat="1" ht="76" spans="1:35">
      <c r="A1435" s="3965"/>
      <c r="B1435" s="3966"/>
      <c r="C1435" s="3964"/>
      <c r="D1435" s="3965"/>
      <c r="E1435" s="3965"/>
      <c r="F1435" s="4009"/>
      <c r="G1435" s="4008"/>
      <c r="H1435" s="3965"/>
      <c r="I1435" s="4005"/>
      <c r="J1435" s="4007"/>
      <c r="K1435" s="3962"/>
      <c r="L1435" s="3965"/>
      <c r="M1435" s="4006" t="s">
        <v>4333</v>
      </c>
      <c r="N1435" s="2618" t="s">
        <v>4334</v>
      </c>
      <c r="O1435" s="4040">
        <v>0.1</v>
      </c>
      <c r="P1435" s="4041">
        <f>1116800*O1435</f>
        <v>111680</v>
      </c>
      <c r="Q1435" s="3476"/>
      <c r="R1435" s="3476"/>
      <c r="S1435" s="3476"/>
      <c r="T1435" s="3476"/>
      <c r="U1435" s="34"/>
      <c r="V1435" s="34"/>
      <c r="W1435" s="34"/>
      <c r="X1435" s="30"/>
      <c r="Y1435" s="34"/>
      <c r="Z1435" s="30"/>
      <c r="AA1435" s="34"/>
      <c r="AB1435" s="30"/>
      <c r="AC1435" s="30"/>
      <c r="AD1435" s="30"/>
      <c r="AE1435" s="30"/>
      <c r="AF1435" s="30"/>
      <c r="AG1435" s="30"/>
      <c r="AH1435" s="30"/>
      <c r="AI1435" s="30"/>
    </row>
    <row r="1436" s="6" customFormat="1" ht="46" spans="1:35">
      <c r="A1436" s="3967" t="s">
        <v>2570</v>
      </c>
      <c r="B1436" s="3968">
        <v>44851</v>
      </c>
      <c r="C1436" s="3969" t="s">
        <v>6391</v>
      </c>
      <c r="D1436" s="3970"/>
      <c r="E1436" s="4010" t="s">
        <v>6400</v>
      </c>
      <c r="F1436" s="4010" t="s">
        <v>6401</v>
      </c>
      <c r="G1436" s="4011" t="s">
        <v>4335</v>
      </c>
      <c r="H1436" s="4010" t="s">
        <v>6402</v>
      </c>
      <c r="I1436" s="3970"/>
      <c r="J1436" s="3967" t="s">
        <v>997</v>
      </c>
      <c r="K1436" s="3970">
        <v>1304150</v>
      </c>
      <c r="L1436" s="3967" t="s">
        <v>126</v>
      </c>
      <c r="M1436" s="4043">
        <v>1</v>
      </c>
      <c r="N1436" s="2618" t="s">
        <v>4262</v>
      </c>
      <c r="O1436" s="4044">
        <v>0.3</v>
      </c>
      <c r="P1436" s="4045">
        <f>K1436*O1436</f>
        <v>391245</v>
      </c>
      <c r="Q1436" s="2677">
        <v>391245</v>
      </c>
      <c r="R1436" s="128" t="s">
        <v>4603</v>
      </c>
      <c r="S1436" s="3770">
        <v>44905</v>
      </c>
      <c r="T1436" s="2677">
        <v>391245</v>
      </c>
      <c r="U1436" s="1044">
        <v>44905</v>
      </c>
      <c r="V1436" s="2677">
        <v>391245</v>
      </c>
      <c r="W1436" s="1044">
        <v>44908</v>
      </c>
      <c r="X1436" s="2677">
        <v>391245</v>
      </c>
      <c r="Y1436" s="3770">
        <v>44916</v>
      </c>
      <c r="Z1436" s="30"/>
      <c r="AA1436" s="34"/>
      <c r="AB1436" s="30"/>
      <c r="AC1436" s="30"/>
      <c r="AD1436" s="30"/>
      <c r="AE1436" s="30"/>
      <c r="AF1436" s="30"/>
      <c r="AG1436" s="30"/>
      <c r="AH1436" s="30"/>
      <c r="AI1436" s="30"/>
    </row>
    <row r="1437" s="6" customFormat="1" ht="46" spans="1:35">
      <c r="A1437" s="3971"/>
      <c r="B1437" s="3972"/>
      <c r="C1437" s="3973"/>
      <c r="D1437" s="3971"/>
      <c r="E1437" s="4012"/>
      <c r="F1437" s="4012"/>
      <c r="G1437" s="4013"/>
      <c r="H1437" s="4012"/>
      <c r="I1437" s="3971"/>
      <c r="J1437" s="3971"/>
      <c r="K1437" s="3971"/>
      <c r="L1437" s="3971"/>
      <c r="M1437" s="4043">
        <v>2</v>
      </c>
      <c r="N1437" s="2618" t="s">
        <v>4263</v>
      </c>
      <c r="O1437" s="4044">
        <v>0.3</v>
      </c>
      <c r="P1437" s="4046">
        <f>K1436*O1437</f>
        <v>391245</v>
      </c>
      <c r="Q1437" s="2677">
        <v>391245</v>
      </c>
      <c r="R1437" s="3668" t="s">
        <v>4603</v>
      </c>
      <c r="S1437" s="3615">
        <v>45229</v>
      </c>
      <c r="T1437" s="2677">
        <v>391245</v>
      </c>
      <c r="U1437" s="3615">
        <v>45229</v>
      </c>
      <c r="V1437" s="2677">
        <v>391245</v>
      </c>
      <c r="W1437" s="1044">
        <v>45224</v>
      </c>
      <c r="X1437" s="2677">
        <v>391245</v>
      </c>
      <c r="Y1437" s="3770">
        <v>45260</v>
      </c>
      <c r="Z1437" s="30"/>
      <c r="AA1437" s="34"/>
      <c r="AB1437" s="30"/>
      <c r="AC1437" s="30"/>
      <c r="AD1437" s="30"/>
      <c r="AE1437" s="30"/>
      <c r="AF1437" s="30"/>
      <c r="AG1437" s="30"/>
      <c r="AH1437" s="30"/>
      <c r="AI1437" s="30"/>
    </row>
    <row r="1438" s="6" customFormat="1" ht="46" spans="1:35">
      <c r="A1438" s="3971"/>
      <c r="B1438" s="3972"/>
      <c r="C1438" s="3973"/>
      <c r="D1438" s="3971"/>
      <c r="E1438" s="4012"/>
      <c r="F1438" s="4012"/>
      <c r="G1438" s="4013"/>
      <c r="H1438" s="4012"/>
      <c r="I1438" s="3971"/>
      <c r="J1438" s="3971"/>
      <c r="K1438" s="3971"/>
      <c r="L1438" s="3971"/>
      <c r="M1438" s="4043">
        <v>3</v>
      </c>
      <c r="N1438" s="2618" t="s">
        <v>4264</v>
      </c>
      <c r="O1438" s="4044">
        <v>0.3</v>
      </c>
      <c r="P1438" s="4046">
        <f>K1436*O1438</f>
        <v>391245</v>
      </c>
      <c r="Q1438" s="2677">
        <v>391245</v>
      </c>
      <c r="R1438" s="3668"/>
      <c r="S1438" s="3615">
        <v>45229</v>
      </c>
      <c r="T1438" s="2677">
        <v>391245</v>
      </c>
      <c r="U1438" s="3615">
        <v>45229</v>
      </c>
      <c r="V1438" s="2677">
        <v>391245</v>
      </c>
      <c r="W1438" s="1044">
        <v>45357</v>
      </c>
      <c r="X1438" s="2677">
        <v>391245</v>
      </c>
      <c r="Y1438" s="3770">
        <v>45380</v>
      </c>
      <c r="Z1438" s="30"/>
      <c r="AA1438" s="34"/>
      <c r="AB1438" s="30"/>
      <c r="AC1438" s="30"/>
      <c r="AD1438" s="30"/>
      <c r="AE1438" s="30"/>
      <c r="AF1438" s="30"/>
      <c r="AG1438" s="30"/>
      <c r="AH1438" s="30"/>
      <c r="AI1438" s="30"/>
    </row>
    <row r="1439" s="6" customFormat="1" ht="76" spans="1:35">
      <c r="A1439" s="3974"/>
      <c r="B1439" s="3975"/>
      <c r="C1439" s="3973"/>
      <c r="D1439" s="3974"/>
      <c r="E1439" s="4014"/>
      <c r="F1439" s="4014"/>
      <c r="G1439" s="4013"/>
      <c r="H1439" s="4014"/>
      <c r="I1439" s="3974"/>
      <c r="J1439" s="3974"/>
      <c r="K1439" s="3974"/>
      <c r="L1439" s="3974"/>
      <c r="M1439" s="4043">
        <v>4</v>
      </c>
      <c r="N1439" s="2618" t="s">
        <v>4265</v>
      </c>
      <c r="O1439" s="4044">
        <v>0.1</v>
      </c>
      <c r="P1439" s="4046">
        <f>K1436*O1439</f>
        <v>130415</v>
      </c>
      <c r="Q1439" s="34"/>
      <c r="R1439" s="34"/>
      <c r="S1439" s="34"/>
      <c r="T1439" s="34"/>
      <c r="U1439" s="34"/>
      <c r="V1439" s="34"/>
      <c r="W1439" s="34"/>
      <c r="X1439" s="30"/>
      <c r="Y1439" s="34"/>
      <c r="Z1439" s="30"/>
      <c r="AA1439" s="34"/>
      <c r="AB1439" s="30"/>
      <c r="AC1439" s="30"/>
      <c r="AD1439" s="30"/>
      <c r="AE1439" s="30"/>
      <c r="AF1439" s="30"/>
      <c r="AG1439" s="30"/>
      <c r="AH1439" s="30"/>
      <c r="AI1439" s="30"/>
    </row>
    <row r="1440" s="6" customFormat="1" ht="35.25" customHeight="1" spans="1:35">
      <c r="A1440" s="3976" t="s">
        <v>2570</v>
      </c>
      <c r="B1440" s="3977">
        <v>45161</v>
      </c>
      <c r="C1440" s="3978" t="s">
        <v>6391</v>
      </c>
      <c r="D1440" s="3979"/>
      <c r="E1440" s="4015" t="s">
        <v>6403</v>
      </c>
      <c r="F1440" s="4015" t="s">
        <v>6404</v>
      </c>
      <c r="G1440" s="4016" t="s">
        <v>4336</v>
      </c>
      <c r="H1440" s="4015" t="s">
        <v>5074</v>
      </c>
      <c r="I1440" s="3979"/>
      <c r="J1440" s="3976" t="s">
        <v>997</v>
      </c>
      <c r="K1440" s="4031">
        <v>554582</v>
      </c>
      <c r="L1440" s="3976" t="s">
        <v>126</v>
      </c>
      <c r="M1440" s="4016">
        <v>1</v>
      </c>
      <c r="N1440" s="185" t="s">
        <v>6405</v>
      </c>
      <c r="O1440" s="4047">
        <v>0.15</v>
      </c>
      <c r="P1440" s="4048">
        <f>K1440*O1440</f>
        <v>83187.3</v>
      </c>
      <c r="Q1440" s="34">
        <v>83187.3</v>
      </c>
      <c r="R1440" s="992" t="s">
        <v>4603</v>
      </c>
      <c r="S1440" s="3770">
        <v>45209</v>
      </c>
      <c r="T1440" s="34">
        <v>83187.3</v>
      </c>
      <c r="U1440" s="3770">
        <v>45209</v>
      </c>
      <c r="V1440" s="34">
        <v>83187.3</v>
      </c>
      <c r="W1440" s="897">
        <v>45210</v>
      </c>
      <c r="X1440" s="2677">
        <v>83187.3</v>
      </c>
      <c r="Y1440" s="3615">
        <v>45224</v>
      </c>
      <c r="Z1440" s="30"/>
      <c r="AA1440" s="34"/>
      <c r="AB1440" s="30"/>
      <c r="AC1440" s="30"/>
      <c r="AD1440" s="30"/>
      <c r="AE1440" s="30"/>
      <c r="AF1440" s="30"/>
      <c r="AG1440" s="30"/>
      <c r="AH1440" s="30"/>
      <c r="AI1440" s="30"/>
    </row>
    <row r="1441" s="6" customFormat="1" ht="35.25" customHeight="1" spans="1:35">
      <c r="A1441" s="3980"/>
      <c r="B1441" s="3981"/>
      <c r="C1441" s="3982"/>
      <c r="D1441" s="3980"/>
      <c r="E1441" s="4017"/>
      <c r="F1441" s="4017"/>
      <c r="G1441" s="4018"/>
      <c r="H1441" s="4017"/>
      <c r="I1441" s="3980"/>
      <c r="J1441" s="3980"/>
      <c r="K1441" s="4032"/>
      <c r="L1441" s="3980"/>
      <c r="M1441" s="4016">
        <v>2</v>
      </c>
      <c r="N1441" s="185" t="s">
        <v>6406</v>
      </c>
      <c r="O1441" s="4047">
        <v>0.25</v>
      </c>
      <c r="P1441" s="4048">
        <f>K1440*O1441</f>
        <v>138645.5</v>
      </c>
      <c r="Q1441" s="34">
        <v>138645.5</v>
      </c>
      <c r="R1441" s="992" t="s">
        <v>4603</v>
      </c>
      <c r="S1441" s="3770">
        <v>45209</v>
      </c>
      <c r="T1441" s="34">
        <v>138645.5</v>
      </c>
      <c r="U1441" s="3770">
        <v>45209</v>
      </c>
      <c r="V1441" s="34">
        <v>138645.5</v>
      </c>
      <c r="W1441" s="897">
        <v>45210</v>
      </c>
      <c r="X1441" s="2677">
        <v>138645.5</v>
      </c>
      <c r="Y1441" s="3615">
        <v>45224</v>
      </c>
      <c r="Z1441" s="30"/>
      <c r="AA1441" s="34"/>
      <c r="AB1441" s="30"/>
      <c r="AC1441" s="30"/>
      <c r="AD1441" s="30"/>
      <c r="AE1441" s="30"/>
      <c r="AF1441" s="30"/>
      <c r="AG1441" s="30"/>
      <c r="AH1441" s="30"/>
      <c r="AI1441" s="30"/>
    </row>
    <row r="1442" s="6" customFormat="1" ht="35.25" customHeight="1" spans="1:35">
      <c r="A1442" s="3980"/>
      <c r="B1442" s="3981"/>
      <c r="C1442" s="3982"/>
      <c r="D1442" s="3980"/>
      <c r="E1442" s="4017"/>
      <c r="F1442" s="4017"/>
      <c r="G1442" s="4018"/>
      <c r="H1442" s="4017"/>
      <c r="I1442" s="3980"/>
      <c r="J1442" s="3980"/>
      <c r="K1442" s="4032"/>
      <c r="L1442" s="3980"/>
      <c r="M1442" s="4016">
        <v>3</v>
      </c>
      <c r="N1442" s="185" t="s">
        <v>6407</v>
      </c>
      <c r="O1442" s="4047">
        <v>0.1</v>
      </c>
      <c r="P1442" s="4048">
        <f>K1440*O1442</f>
        <v>55458.2</v>
      </c>
      <c r="Q1442" s="34">
        <v>55458.2</v>
      </c>
      <c r="R1442" s="992" t="s">
        <v>4603</v>
      </c>
      <c r="S1442" s="3770">
        <v>45209</v>
      </c>
      <c r="T1442" s="34">
        <v>55458.2</v>
      </c>
      <c r="U1442" s="3770">
        <v>45209</v>
      </c>
      <c r="V1442" s="34">
        <v>55458.2</v>
      </c>
      <c r="W1442" s="897">
        <v>45210</v>
      </c>
      <c r="X1442" s="2677">
        <v>55458.2</v>
      </c>
      <c r="Y1442" s="3770">
        <v>45281</v>
      </c>
      <c r="Z1442" s="30"/>
      <c r="AA1442" s="34"/>
      <c r="AB1442" s="30"/>
      <c r="AC1442" s="30"/>
      <c r="AD1442" s="30"/>
      <c r="AE1442" s="30"/>
      <c r="AF1442" s="30"/>
      <c r="AG1442" s="30"/>
      <c r="AH1442" s="30"/>
      <c r="AI1442" s="30"/>
    </row>
    <row r="1443" s="6" customFormat="1" ht="35.25" customHeight="1" spans="1:35">
      <c r="A1443" s="3980"/>
      <c r="B1443" s="3981"/>
      <c r="C1443" s="3982"/>
      <c r="D1443" s="3980"/>
      <c r="E1443" s="4017"/>
      <c r="F1443" s="4017"/>
      <c r="G1443" s="4018"/>
      <c r="H1443" s="4017"/>
      <c r="I1443" s="3980"/>
      <c r="J1443" s="3980"/>
      <c r="K1443" s="4032"/>
      <c r="L1443" s="3980"/>
      <c r="M1443" s="4016">
        <v>4</v>
      </c>
      <c r="N1443" s="185" t="s">
        <v>6408</v>
      </c>
      <c r="O1443" s="4047">
        <v>0.3</v>
      </c>
      <c r="P1443" s="4048">
        <f>K1440*O1443</f>
        <v>166374.6</v>
      </c>
      <c r="Q1443" s="3788">
        <v>166374.6</v>
      </c>
      <c r="R1443" s="1054" t="s">
        <v>5015</v>
      </c>
      <c r="S1443" s="315">
        <v>46111</v>
      </c>
      <c r="T1443" s="34"/>
      <c r="U1443" s="34"/>
      <c r="V1443" s="34"/>
      <c r="W1443" s="34"/>
      <c r="X1443" s="3788">
        <v>166374.6</v>
      </c>
      <c r="Y1443" s="315">
        <v>46111</v>
      </c>
      <c r="Z1443" s="30"/>
      <c r="AA1443" s="34"/>
      <c r="AB1443" s="30"/>
      <c r="AC1443" s="30"/>
      <c r="AD1443" s="30"/>
      <c r="AE1443" s="30"/>
      <c r="AF1443" s="30"/>
      <c r="AG1443" s="30"/>
      <c r="AH1443" s="30"/>
      <c r="AI1443" s="30"/>
    </row>
    <row r="1444" s="6" customFormat="1" ht="35.25" customHeight="1" spans="1:35">
      <c r="A1444" s="3980"/>
      <c r="B1444" s="3981"/>
      <c r="C1444" s="3982"/>
      <c r="D1444" s="3980"/>
      <c r="E1444" s="4017"/>
      <c r="F1444" s="4017"/>
      <c r="G1444" s="4018"/>
      <c r="H1444" s="4017"/>
      <c r="I1444" s="3980"/>
      <c r="J1444" s="3980"/>
      <c r="K1444" s="4032"/>
      <c r="L1444" s="3980"/>
      <c r="M1444" s="4016">
        <v>5</v>
      </c>
      <c r="N1444" s="185" t="s">
        <v>6409</v>
      </c>
      <c r="O1444" s="4047">
        <v>0.05</v>
      </c>
      <c r="P1444" s="4048">
        <f>K1440*O1444</f>
        <v>27729.1</v>
      </c>
      <c r="Q1444" s="3788">
        <v>27729.1</v>
      </c>
      <c r="R1444" s="1054" t="s">
        <v>5015</v>
      </c>
      <c r="S1444" s="315">
        <v>46111</v>
      </c>
      <c r="T1444" s="34"/>
      <c r="U1444" s="34"/>
      <c r="V1444" s="34"/>
      <c r="W1444" s="34"/>
      <c r="X1444" s="3788">
        <v>27729.1</v>
      </c>
      <c r="Y1444" s="315">
        <v>46111</v>
      </c>
      <c r="Z1444" s="30"/>
      <c r="AA1444" s="34"/>
      <c r="AB1444" s="30"/>
      <c r="AC1444" s="30"/>
      <c r="AD1444" s="30"/>
      <c r="AE1444" s="30"/>
      <c r="AF1444" s="30"/>
      <c r="AG1444" s="30"/>
      <c r="AH1444" s="30"/>
      <c r="AI1444" s="30"/>
    </row>
    <row r="1445" s="6" customFormat="1" ht="35.25" customHeight="1" spans="1:35">
      <c r="A1445" s="3980"/>
      <c r="B1445" s="3981"/>
      <c r="C1445" s="3982"/>
      <c r="D1445" s="3980"/>
      <c r="E1445" s="4017"/>
      <c r="F1445" s="4017"/>
      <c r="G1445" s="4018"/>
      <c r="H1445" s="4017"/>
      <c r="I1445" s="3980"/>
      <c r="J1445" s="3980"/>
      <c r="K1445" s="4032"/>
      <c r="L1445" s="3980"/>
      <c r="M1445" s="4016">
        <v>6</v>
      </c>
      <c r="N1445" s="185" t="s">
        <v>6410</v>
      </c>
      <c r="O1445" s="4047">
        <v>0.05</v>
      </c>
      <c r="P1445" s="4048">
        <f>K1440*O1445</f>
        <v>27729.1</v>
      </c>
      <c r="Q1445" s="3788">
        <v>27729.1</v>
      </c>
      <c r="R1445" s="1054" t="s">
        <v>5015</v>
      </c>
      <c r="S1445" s="315">
        <v>46111</v>
      </c>
      <c r="T1445" s="34"/>
      <c r="U1445" s="34"/>
      <c r="V1445" s="34"/>
      <c r="W1445" s="34"/>
      <c r="X1445" s="3788">
        <v>27729.1</v>
      </c>
      <c r="Y1445" s="3584"/>
      <c r="Z1445" s="30"/>
      <c r="AA1445" s="34"/>
      <c r="AB1445" s="30"/>
      <c r="AC1445" s="30"/>
      <c r="AD1445" s="30"/>
      <c r="AE1445" s="30"/>
      <c r="AF1445" s="30"/>
      <c r="AG1445" s="30"/>
      <c r="AH1445" s="30"/>
      <c r="AI1445" s="30"/>
    </row>
    <row r="1446" s="6" customFormat="1" ht="35.25" customHeight="1" spans="1:35">
      <c r="A1446" s="3983"/>
      <c r="B1446" s="3984"/>
      <c r="C1446" s="3982"/>
      <c r="D1446" s="3983"/>
      <c r="E1446" s="4019"/>
      <c r="F1446" s="4019"/>
      <c r="G1446" s="4018"/>
      <c r="H1446" s="4019"/>
      <c r="I1446" s="3983"/>
      <c r="J1446" s="3983"/>
      <c r="K1446" s="4033"/>
      <c r="L1446" s="3983"/>
      <c r="M1446" s="4016">
        <v>7</v>
      </c>
      <c r="N1446" s="185" t="s">
        <v>6411</v>
      </c>
      <c r="O1446" s="4049">
        <v>0.1</v>
      </c>
      <c r="P1446" s="4048">
        <f>K1440*O1446</f>
        <v>55458.2</v>
      </c>
      <c r="Q1446" s="34">
        <v>55458.2</v>
      </c>
      <c r="R1446" s="34"/>
      <c r="S1446" s="34"/>
      <c r="T1446" s="34"/>
      <c r="U1446" s="34"/>
      <c r="V1446" s="34"/>
      <c r="W1446" s="34"/>
      <c r="X1446" s="30"/>
      <c r="Y1446" s="34"/>
      <c r="Z1446" s="30"/>
      <c r="AA1446" s="34"/>
      <c r="AB1446" s="30"/>
      <c r="AC1446" s="30"/>
      <c r="AD1446" s="30"/>
      <c r="AE1446" s="30"/>
      <c r="AF1446" s="30"/>
      <c r="AG1446" s="30"/>
      <c r="AH1446" s="30"/>
      <c r="AI1446" s="30"/>
    </row>
    <row r="1447" s="3" customFormat="1" ht="37.5" customHeight="1" spans="1:35">
      <c r="A1447" s="428" t="s">
        <v>2570</v>
      </c>
      <c r="B1447" s="3711">
        <v>44896</v>
      </c>
      <c r="C1447" s="3985" t="s">
        <v>6391</v>
      </c>
      <c r="D1447" s="3533"/>
      <c r="E1447" s="413" t="s">
        <v>6412</v>
      </c>
      <c r="F1447" s="413" t="s">
        <v>6413</v>
      </c>
      <c r="G1447" s="413" t="s">
        <v>5897</v>
      </c>
      <c r="H1447" s="413" t="s">
        <v>5837</v>
      </c>
      <c r="I1447" s="413" t="s">
        <v>6414</v>
      </c>
      <c r="J1447" s="413" t="s">
        <v>6415</v>
      </c>
      <c r="K1447" s="769">
        <v>165549.69</v>
      </c>
      <c r="L1447" s="428" t="s">
        <v>32</v>
      </c>
      <c r="M1447" s="413">
        <v>1</v>
      </c>
      <c r="N1447" s="2618" t="s">
        <v>6416</v>
      </c>
      <c r="O1447" s="1092">
        <v>0.2</v>
      </c>
      <c r="P1447" s="3058">
        <f>165549.69*O1447</f>
        <v>33109.938</v>
      </c>
      <c r="Q1447" s="4057">
        <v>33109.938</v>
      </c>
      <c r="R1447" s="428" t="s">
        <v>4603</v>
      </c>
      <c r="S1447" s="4058">
        <v>44909</v>
      </c>
      <c r="T1447" s="4057">
        <v>33109.938</v>
      </c>
      <c r="U1447" s="4058">
        <v>44909</v>
      </c>
      <c r="V1447" s="4057">
        <v>33109.938</v>
      </c>
      <c r="W1447" s="3609">
        <v>44929</v>
      </c>
      <c r="X1447" s="4066">
        <v>33109.938</v>
      </c>
      <c r="Y1447" s="3609">
        <v>44942</v>
      </c>
      <c r="Z1447" s="7"/>
      <c r="AA1447" s="769"/>
      <c r="AB1447" s="7"/>
      <c r="AC1447" s="7"/>
      <c r="AD1447" s="7"/>
      <c r="AE1447" s="7"/>
      <c r="AF1447" s="7"/>
      <c r="AG1447" s="7"/>
      <c r="AH1447" s="7"/>
      <c r="AI1447" s="7"/>
    </row>
    <row r="1448" s="3" customFormat="1" ht="107" spans="1:35">
      <c r="A1448" s="428"/>
      <c r="B1448" s="3986"/>
      <c r="C1448" s="3985"/>
      <c r="D1448" s="3534"/>
      <c r="E1448" s="769"/>
      <c r="F1448" s="4020"/>
      <c r="G1448" s="413"/>
      <c r="H1448" s="4020"/>
      <c r="I1448" s="4020"/>
      <c r="J1448" s="4020"/>
      <c r="K1448" s="769"/>
      <c r="L1448" s="769"/>
      <c r="M1448" s="413">
        <v>2</v>
      </c>
      <c r="N1448" s="2618" t="s">
        <v>6417</v>
      </c>
      <c r="O1448" s="1092">
        <v>0.3</v>
      </c>
      <c r="P1448" s="3058">
        <f>165549.69*O1448</f>
        <v>49664.907</v>
      </c>
      <c r="Q1448" s="4057">
        <v>49664.907</v>
      </c>
      <c r="R1448" s="428" t="s">
        <v>4603</v>
      </c>
      <c r="S1448" s="4058">
        <v>44909</v>
      </c>
      <c r="T1448" s="4057">
        <v>49664.907</v>
      </c>
      <c r="U1448" s="4058">
        <v>44909</v>
      </c>
      <c r="V1448" s="4057">
        <v>49664.907</v>
      </c>
      <c r="W1448" s="3609">
        <v>44929</v>
      </c>
      <c r="X1448" s="4066">
        <v>49664.907</v>
      </c>
      <c r="Y1448" s="3609">
        <v>44942</v>
      </c>
      <c r="Z1448" s="7"/>
      <c r="AA1448" s="769"/>
      <c r="AB1448" s="7"/>
      <c r="AC1448" s="7"/>
      <c r="AD1448" s="7"/>
      <c r="AE1448" s="7"/>
      <c r="AF1448" s="7"/>
      <c r="AG1448" s="7"/>
      <c r="AH1448" s="7"/>
      <c r="AI1448" s="7"/>
    </row>
    <row r="1449" s="3" customFormat="1" ht="107" spans="1:35">
      <c r="A1449" s="428"/>
      <c r="B1449" s="3986"/>
      <c r="C1449" s="3985"/>
      <c r="D1449" s="3534"/>
      <c r="E1449" s="769"/>
      <c r="F1449" s="4020"/>
      <c r="G1449" s="413"/>
      <c r="H1449" s="4020"/>
      <c r="I1449" s="4020"/>
      <c r="J1449" s="4020"/>
      <c r="K1449" s="769"/>
      <c r="L1449" s="769"/>
      <c r="M1449" s="413">
        <v>3</v>
      </c>
      <c r="N1449" s="2618" t="s">
        <v>6418</v>
      </c>
      <c r="O1449" s="1092">
        <v>0.4</v>
      </c>
      <c r="P1449" s="3058">
        <f>165549.69*O1449</f>
        <v>66219.876</v>
      </c>
      <c r="Q1449" s="4057">
        <v>66219.876</v>
      </c>
      <c r="R1449" s="428" t="s">
        <v>4603</v>
      </c>
      <c r="S1449" s="4058">
        <v>44909</v>
      </c>
      <c r="T1449" s="4057">
        <v>66219.876</v>
      </c>
      <c r="U1449" s="4058">
        <v>44909</v>
      </c>
      <c r="V1449" s="428"/>
      <c r="W1449" s="428"/>
      <c r="X1449" s="4067">
        <v>0</v>
      </c>
      <c r="Y1449" s="552"/>
      <c r="Z1449" s="7"/>
      <c r="AA1449" s="407" t="s">
        <v>6419</v>
      </c>
      <c r="AB1449" s="7"/>
      <c r="AC1449" s="7"/>
      <c r="AD1449" s="7"/>
      <c r="AE1449" s="7"/>
      <c r="AF1449" s="7"/>
      <c r="AG1449" s="7"/>
      <c r="AH1449" s="7"/>
      <c r="AI1449" s="7"/>
    </row>
    <row r="1450" s="3" customFormat="1" ht="16" spans="1:35">
      <c r="A1450" s="428"/>
      <c r="B1450" s="3986"/>
      <c r="C1450" s="3985"/>
      <c r="D1450" s="3534"/>
      <c r="E1450" s="769"/>
      <c r="F1450" s="4020"/>
      <c r="G1450" s="413"/>
      <c r="H1450" s="4020"/>
      <c r="I1450" s="4020"/>
      <c r="J1450" s="4020"/>
      <c r="K1450" s="769"/>
      <c r="L1450" s="769"/>
      <c r="M1450" s="413" t="s">
        <v>171</v>
      </c>
      <c r="N1450" s="127" t="s">
        <v>552</v>
      </c>
      <c r="O1450" s="4050" t="s">
        <v>171</v>
      </c>
      <c r="P1450" s="584" t="s">
        <v>171</v>
      </c>
      <c r="Q1450" s="4057">
        <v>-66219.876</v>
      </c>
      <c r="R1450" s="428" t="s">
        <v>4603</v>
      </c>
      <c r="S1450" s="4058">
        <v>45005</v>
      </c>
      <c r="T1450" s="4057">
        <v>-66219.876</v>
      </c>
      <c r="U1450" s="4058">
        <v>45005</v>
      </c>
      <c r="V1450" s="428"/>
      <c r="W1450" s="428"/>
      <c r="X1450" s="4067">
        <v>0</v>
      </c>
      <c r="Y1450" s="552"/>
      <c r="Z1450" s="7"/>
      <c r="AA1450" s="411"/>
      <c r="AB1450" s="7"/>
      <c r="AC1450" s="7"/>
      <c r="AD1450" s="7"/>
      <c r="AE1450" s="7"/>
      <c r="AF1450" s="7"/>
      <c r="AG1450" s="7"/>
      <c r="AH1450" s="7"/>
      <c r="AI1450" s="7"/>
    </row>
    <row r="1451" s="3" customFormat="1" ht="61" spans="1:35">
      <c r="A1451" s="428"/>
      <c r="B1451" s="3986"/>
      <c r="C1451" s="3985"/>
      <c r="D1451" s="3534"/>
      <c r="E1451" s="769"/>
      <c r="F1451" s="4020"/>
      <c r="G1451" s="413"/>
      <c r="H1451" s="4020"/>
      <c r="I1451" s="4020"/>
      <c r="J1451" s="4020"/>
      <c r="K1451" s="769"/>
      <c r="L1451" s="769"/>
      <c r="M1451" s="413" t="s">
        <v>171</v>
      </c>
      <c r="N1451" s="127" t="s">
        <v>552</v>
      </c>
      <c r="O1451" s="4050" t="s">
        <v>171</v>
      </c>
      <c r="P1451" s="584" t="s">
        <v>171</v>
      </c>
      <c r="Q1451" s="4057">
        <v>32467.03</v>
      </c>
      <c r="R1451" s="428" t="s">
        <v>4603</v>
      </c>
      <c r="S1451" s="4058">
        <v>45019</v>
      </c>
      <c r="T1451" s="4057">
        <v>32467.03</v>
      </c>
      <c r="U1451" s="4058">
        <v>45019</v>
      </c>
      <c r="V1451" s="4057">
        <v>32467.03</v>
      </c>
      <c r="W1451" s="4058">
        <v>45028</v>
      </c>
      <c r="X1451" s="4057">
        <v>32467.03</v>
      </c>
      <c r="Y1451" s="4058">
        <v>45039</v>
      </c>
      <c r="Z1451" s="7"/>
      <c r="AA1451" s="413" t="s">
        <v>6420</v>
      </c>
      <c r="AB1451" s="7"/>
      <c r="AC1451" s="7"/>
      <c r="AD1451" s="7"/>
      <c r="AE1451" s="7"/>
      <c r="AF1451" s="7"/>
      <c r="AG1451" s="7"/>
      <c r="AH1451" s="7"/>
      <c r="AI1451" s="7"/>
    </row>
    <row r="1452" s="3" customFormat="1" ht="28.35" customHeight="1" spans="1:35">
      <c r="A1452" s="428"/>
      <c r="B1452" s="3986"/>
      <c r="C1452" s="3985"/>
      <c r="D1452" s="3534"/>
      <c r="E1452" s="769"/>
      <c r="F1452" s="4020"/>
      <c r="G1452" s="413"/>
      <c r="H1452" s="4020"/>
      <c r="I1452" s="4020"/>
      <c r="J1452" s="4020"/>
      <c r="K1452" s="769"/>
      <c r="L1452" s="769"/>
      <c r="M1452" s="413" t="s">
        <v>171</v>
      </c>
      <c r="N1452" s="127" t="s">
        <v>552</v>
      </c>
      <c r="O1452" s="4050" t="s">
        <v>171</v>
      </c>
      <c r="P1452" s="584" t="s">
        <v>171</v>
      </c>
      <c r="Q1452" s="4057">
        <v>33109.94</v>
      </c>
      <c r="R1452" s="428" t="s">
        <v>4603</v>
      </c>
      <c r="S1452" s="4058">
        <v>45189</v>
      </c>
      <c r="T1452" s="4057">
        <v>33109.94</v>
      </c>
      <c r="U1452" s="4058">
        <v>45189</v>
      </c>
      <c r="V1452" s="4057">
        <v>33109.94</v>
      </c>
      <c r="W1452" s="4058">
        <v>45194</v>
      </c>
      <c r="X1452" s="4057">
        <v>33109.94</v>
      </c>
      <c r="Y1452" s="4058">
        <v>45273</v>
      </c>
      <c r="Z1452" s="7"/>
      <c r="AA1452" s="428" t="s">
        <v>6421</v>
      </c>
      <c r="AB1452" s="7"/>
      <c r="AC1452" s="7"/>
      <c r="AD1452" s="7"/>
      <c r="AE1452" s="7"/>
      <c r="AF1452" s="7"/>
      <c r="AG1452" s="7"/>
      <c r="AH1452" s="7"/>
      <c r="AI1452" s="7"/>
    </row>
    <row r="1453" s="3" customFormat="1" ht="67.5" customHeight="1" spans="1:35">
      <c r="A1453" s="428"/>
      <c r="B1453" s="3987"/>
      <c r="C1453" s="3985"/>
      <c r="D1453" s="3988"/>
      <c r="E1453" s="769"/>
      <c r="F1453" s="4020"/>
      <c r="G1453" s="413"/>
      <c r="H1453" s="4020"/>
      <c r="I1453" s="4020"/>
      <c r="J1453" s="4020"/>
      <c r="K1453" s="769"/>
      <c r="L1453" s="769"/>
      <c r="M1453" s="413">
        <v>4</v>
      </c>
      <c r="N1453" s="2618" t="s">
        <v>746</v>
      </c>
      <c r="O1453" s="1092">
        <v>0.1</v>
      </c>
      <c r="P1453" s="3058">
        <f>165549.69*O1453</f>
        <v>16554.969</v>
      </c>
      <c r="Q1453" s="4059">
        <v>16554.969</v>
      </c>
      <c r="R1453" s="593"/>
      <c r="S1453" s="4060"/>
      <c r="T1453" s="769"/>
      <c r="U1453" s="769"/>
      <c r="V1453" s="769"/>
      <c r="W1453" s="769"/>
      <c r="X1453" s="4068">
        <v>16554.969</v>
      </c>
      <c r="Y1453" s="4060"/>
      <c r="Z1453" s="7"/>
      <c r="AA1453" s="769"/>
      <c r="AB1453" s="7"/>
      <c r="AC1453" s="7"/>
      <c r="AD1453" s="7"/>
      <c r="AE1453" s="7"/>
      <c r="AF1453" s="7"/>
      <c r="AG1453" s="7"/>
      <c r="AH1453" s="7"/>
      <c r="AI1453" s="7"/>
    </row>
    <row r="1454" s="6" customFormat="1" ht="25.5" customHeight="1" spans="1:35">
      <c r="A1454" s="926" t="s">
        <v>2570</v>
      </c>
      <c r="B1454" s="3989">
        <v>44846</v>
      </c>
      <c r="C1454" s="3990" t="s">
        <v>6391</v>
      </c>
      <c r="D1454" s="3468"/>
      <c r="E1454" s="639" t="s">
        <v>6422</v>
      </c>
      <c r="F1454" s="4021" t="s">
        <v>6423</v>
      </c>
      <c r="G1454" s="745" t="s">
        <v>4338</v>
      </c>
      <c r="H1454" s="639" t="s">
        <v>6205</v>
      </c>
      <c r="I1454" s="3468"/>
      <c r="J1454" s="926" t="s">
        <v>997</v>
      </c>
      <c r="K1454" s="3468">
        <v>130000</v>
      </c>
      <c r="L1454" s="926" t="s">
        <v>126</v>
      </c>
      <c r="M1454" s="636">
        <v>1</v>
      </c>
      <c r="N1454" s="2618" t="s">
        <v>6424</v>
      </c>
      <c r="O1454" s="4051">
        <v>0.2</v>
      </c>
      <c r="P1454" s="2960">
        <v>26000</v>
      </c>
      <c r="Q1454" s="2960">
        <v>26000</v>
      </c>
      <c r="R1454" s="745" t="s">
        <v>4603</v>
      </c>
      <c r="S1454" s="4061">
        <v>44907</v>
      </c>
      <c r="T1454" s="2960">
        <v>26000</v>
      </c>
      <c r="U1454" s="4061">
        <v>44907</v>
      </c>
      <c r="V1454" s="2960">
        <v>26000</v>
      </c>
      <c r="W1454" s="4061">
        <v>45111</v>
      </c>
      <c r="X1454" s="2960">
        <v>26000</v>
      </c>
      <c r="Y1454" s="4061">
        <v>45132</v>
      </c>
      <c r="Z1454" s="62"/>
      <c r="AA1454" s="2995"/>
      <c r="AB1454" s="62"/>
      <c r="AC1454" s="62"/>
      <c r="AD1454" s="62"/>
      <c r="AE1454" s="62"/>
      <c r="AF1454" s="62"/>
      <c r="AG1454" s="62"/>
      <c r="AH1454" s="62"/>
      <c r="AI1454" s="62"/>
    </row>
    <row r="1455" s="6" customFormat="1" ht="25.5" customHeight="1" spans="1:35">
      <c r="A1455" s="3325"/>
      <c r="B1455" s="3991"/>
      <c r="C1455" s="3992"/>
      <c r="D1455" s="3325"/>
      <c r="E1455" s="3325"/>
      <c r="F1455" s="3325"/>
      <c r="G1455" s="2995"/>
      <c r="H1455" s="3263"/>
      <c r="I1455" s="3325"/>
      <c r="J1455" s="3325"/>
      <c r="K1455" s="3325"/>
      <c r="L1455" s="3325"/>
      <c r="M1455" s="2995">
        <v>2</v>
      </c>
      <c r="N1455" s="2618" t="s">
        <v>4341</v>
      </c>
      <c r="O1455" s="4051">
        <v>0.6</v>
      </c>
      <c r="P1455" s="2960">
        <v>78000</v>
      </c>
      <c r="Q1455" s="2960">
        <v>78000</v>
      </c>
      <c r="R1455" s="745" t="s">
        <v>4603</v>
      </c>
      <c r="S1455" s="4061">
        <v>44907</v>
      </c>
      <c r="T1455" s="2960">
        <v>78000</v>
      </c>
      <c r="U1455" s="4061">
        <v>44907</v>
      </c>
      <c r="V1455" s="2960">
        <v>78000</v>
      </c>
      <c r="W1455" s="4061">
        <v>45111</v>
      </c>
      <c r="X1455" s="2960">
        <v>78000</v>
      </c>
      <c r="Y1455" s="4061">
        <v>45132</v>
      </c>
      <c r="Z1455" s="62"/>
      <c r="AA1455" s="2995"/>
      <c r="AB1455" s="62"/>
      <c r="AC1455" s="62"/>
      <c r="AD1455" s="62"/>
      <c r="AE1455" s="62"/>
      <c r="AF1455" s="62"/>
      <c r="AG1455" s="62"/>
      <c r="AH1455" s="62"/>
      <c r="AI1455" s="62"/>
    </row>
    <row r="1456" s="6" customFormat="1" ht="25.5" customHeight="1" spans="1:35">
      <c r="A1456" s="3465"/>
      <c r="B1456" s="3993"/>
      <c r="C1456" s="3992"/>
      <c r="D1456" s="3465"/>
      <c r="E1456" s="3465"/>
      <c r="F1456" s="3465"/>
      <c r="G1456" s="2995"/>
      <c r="H1456" s="4022"/>
      <c r="I1456" s="3465"/>
      <c r="J1456" s="3465"/>
      <c r="K1456" s="3465"/>
      <c r="L1456" s="3465"/>
      <c r="M1456" s="2995">
        <v>3</v>
      </c>
      <c r="N1456" s="2618" t="s">
        <v>4343</v>
      </c>
      <c r="O1456" s="4051">
        <v>0.2</v>
      </c>
      <c r="P1456" s="2963">
        <v>26000</v>
      </c>
      <c r="Q1456" s="2995"/>
      <c r="R1456" s="2995"/>
      <c r="S1456" s="4062"/>
      <c r="T1456" s="2995"/>
      <c r="U1456" s="2995"/>
      <c r="V1456" s="2995"/>
      <c r="W1456" s="2995"/>
      <c r="X1456" s="62"/>
      <c r="Y1456" s="2995"/>
      <c r="Z1456" s="62"/>
      <c r="AA1456" s="2995"/>
      <c r="AB1456" s="62"/>
      <c r="AC1456" s="62"/>
      <c r="AD1456" s="62"/>
      <c r="AE1456" s="62"/>
      <c r="AF1456" s="62"/>
      <c r="AG1456" s="62"/>
      <c r="AH1456" s="62"/>
      <c r="AI1456" s="62"/>
    </row>
    <row r="1457" s="6" customFormat="1" ht="25.5" customHeight="1" spans="1:35">
      <c r="A1457" s="926" t="s">
        <v>2570</v>
      </c>
      <c r="B1457" s="3989">
        <v>44854</v>
      </c>
      <c r="C1457" s="3990" t="s">
        <v>6391</v>
      </c>
      <c r="D1457" s="3468"/>
      <c r="E1457" s="639" t="s">
        <v>6425</v>
      </c>
      <c r="F1457" s="639" t="s">
        <v>6426</v>
      </c>
      <c r="G1457" s="745" t="s">
        <v>4344</v>
      </c>
      <c r="H1457" s="639" t="s">
        <v>6289</v>
      </c>
      <c r="I1457" s="3468"/>
      <c r="J1457" s="926" t="s">
        <v>997</v>
      </c>
      <c r="K1457" s="3468">
        <v>218000</v>
      </c>
      <c r="L1457" s="926" t="s">
        <v>126</v>
      </c>
      <c r="M1457" s="636">
        <v>1</v>
      </c>
      <c r="N1457" s="2618" t="s">
        <v>6427</v>
      </c>
      <c r="O1457" s="4051">
        <v>0.2</v>
      </c>
      <c r="P1457" s="2963">
        <v>43600</v>
      </c>
      <c r="Q1457" s="2960">
        <v>43600</v>
      </c>
      <c r="R1457" s="745" t="s">
        <v>4603</v>
      </c>
      <c r="S1457" s="4061">
        <v>44890</v>
      </c>
      <c r="T1457" s="2960">
        <v>43600</v>
      </c>
      <c r="U1457" s="4061">
        <v>44890</v>
      </c>
      <c r="V1457" s="2960">
        <v>43600</v>
      </c>
      <c r="W1457" s="4064">
        <v>44915</v>
      </c>
      <c r="X1457" s="2960">
        <v>43600</v>
      </c>
      <c r="Y1457" s="4064">
        <v>44918</v>
      </c>
      <c r="Z1457" s="62"/>
      <c r="AA1457" s="745" t="s">
        <v>6428</v>
      </c>
      <c r="AB1457" s="62"/>
      <c r="AC1457" s="62"/>
      <c r="AD1457" s="62"/>
      <c r="AE1457" s="62"/>
      <c r="AF1457" s="62"/>
      <c r="AG1457" s="62"/>
      <c r="AH1457" s="62"/>
      <c r="AI1457" s="62"/>
    </row>
    <row r="1458" s="6" customFormat="1" ht="25.5" customHeight="1" spans="1:35">
      <c r="A1458" s="3325"/>
      <c r="B1458" s="3991"/>
      <c r="C1458" s="3992"/>
      <c r="D1458" s="3325"/>
      <c r="E1458" s="3325"/>
      <c r="F1458" s="3263"/>
      <c r="G1458" s="2995"/>
      <c r="H1458" s="3263"/>
      <c r="I1458" s="3325"/>
      <c r="J1458" s="3325"/>
      <c r="K1458" s="3325"/>
      <c r="L1458" s="3325"/>
      <c r="M1458" s="2995">
        <v>2</v>
      </c>
      <c r="N1458" s="2618" t="s">
        <v>4347</v>
      </c>
      <c r="O1458" s="4051">
        <v>0.6</v>
      </c>
      <c r="P1458" s="2960">
        <v>130800</v>
      </c>
      <c r="Q1458" s="2960">
        <v>130800</v>
      </c>
      <c r="R1458" s="745" t="s">
        <v>4603</v>
      </c>
      <c r="S1458" s="4061">
        <v>44911</v>
      </c>
      <c r="T1458" s="2960">
        <v>130800</v>
      </c>
      <c r="U1458" s="4061">
        <v>44911</v>
      </c>
      <c r="V1458" s="2960">
        <v>130800</v>
      </c>
      <c r="W1458" s="4064">
        <v>45091</v>
      </c>
      <c r="X1458" s="2995">
        <v>130800</v>
      </c>
      <c r="Y1458" s="4064">
        <v>45121</v>
      </c>
      <c r="Z1458" s="62"/>
      <c r="AA1458" s="2995"/>
      <c r="AB1458" s="62"/>
      <c r="AC1458" s="62"/>
      <c r="AD1458" s="62"/>
      <c r="AE1458" s="62"/>
      <c r="AF1458" s="62"/>
      <c r="AG1458" s="62"/>
      <c r="AH1458" s="62"/>
      <c r="AI1458" s="62"/>
    </row>
    <row r="1459" s="6" customFormat="1" ht="25.5" customHeight="1" spans="1:35">
      <c r="A1459" s="3465"/>
      <c r="B1459" s="3993"/>
      <c r="C1459" s="3992"/>
      <c r="D1459" s="3465"/>
      <c r="E1459" s="3465"/>
      <c r="F1459" s="4022"/>
      <c r="G1459" s="2995"/>
      <c r="H1459" s="4022"/>
      <c r="I1459" s="3465"/>
      <c r="J1459" s="3465"/>
      <c r="K1459" s="3465"/>
      <c r="L1459" s="3465"/>
      <c r="M1459" s="2995">
        <v>3</v>
      </c>
      <c r="N1459" s="2618" t="s">
        <v>6429</v>
      </c>
      <c r="O1459" s="4051">
        <v>0.2</v>
      </c>
      <c r="P1459" s="2963">
        <v>43600</v>
      </c>
      <c r="Q1459" s="4062"/>
      <c r="R1459" s="4062"/>
      <c r="S1459" s="4062"/>
      <c r="T1459" s="2995"/>
      <c r="U1459" s="2995"/>
      <c r="V1459" s="2995"/>
      <c r="W1459" s="2995"/>
      <c r="X1459" s="2995"/>
      <c r="Y1459" s="2995"/>
      <c r="Z1459" s="62"/>
      <c r="AA1459" s="2995"/>
      <c r="AB1459" s="62"/>
      <c r="AC1459" s="62"/>
      <c r="AD1459" s="62"/>
      <c r="AE1459" s="62"/>
      <c r="AF1459" s="62"/>
      <c r="AG1459" s="62"/>
      <c r="AH1459" s="62"/>
      <c r="AI1459" s="62"/>
    </row>
    <row r="1460" s="6" customFormat="1" ht="25.5" customHeight="1" spans="1:35">
      <c r="A1460" s="926" t="s">
        <v>2570</v>
      </c>
      <c r="B1460" s="3989">
        <v>44854</v>
      </c>
      <c r="C1460" s="3990" t="s">
        <v>6391</v>
      </c>
      <c r="D1460" s="3468"/>
      <c r="E1460" s="639" t="s">
        <v>6430</v>
      </c>
      <c r="F1460" s="639" t="s">
        <v>6431</v>
      </c>
      <c r="G1460" s="636" t="s">
        <v>4349</v>
      </c>
      <c r="H1460" s="4021" t="s">
        <v>6293</v>
      </c>
      <c r="I1460" s="3468"/>
      <c r="J1460" s="926" t="s">
        <v>997</v>
      </c>
      <c r="K1460" s="3468">
        <v>100000</v>
      </c>
      <c r="L1460" s="926" t="s">
        <v>126</v>
      </c>
      <c r="M1460" s="2995">
        <v>1</v>
      </c>
      <c r="N1460" s="2618" t="s">
        <v>6432</v>
      </c>
      <c r="O1460" s="4051">
        <v>0.2</v>
      </c>
      <c r="P1460" s="2963">
        <v>20000</v>
      </c>
      <c r="Q1460" s="2960">
        <v>20000</v>
      </c>
      <c r="R1460" s="745" t="s">
        <v>4603</v>
      </c>
      <c r="S1460" s="4061">
        <v>44890</v>
      </c>
      <c r="T1460" s="2960">
        <v>20000</v>
      </c>
      <c r="U1460" s="4061">
        <v>44890</v>
      </c>
      <c r="V1460" s="2960">
        <v>20000</v>
      </c>
      <c r="W1460" s="4064">
        <v>44915</v>
      </c>
      <c r="X1460" s="2960">
        <v>20000</v>
      </c>
      <c r="Y1460" s="4064">
        <v>44918</v>
      </c>
      <c r="Z1460" s="62"/>
      <c r="AA1460" s="2995"/>
      <c r="AB1460" s="62"/>
      <c r="AC1460" s="62"/>
      <c r="AD1460" s="62"/>
      <c r="AE1460" s="62"/>
      <c r="AF1460" s="62"/>
      <c r="AG1460" s="62"/>
      <c r="AH1460" s="62"/>
      <c r="AI1460" s="62"/>
    </row>
    <row r="1461" s="6" customFormat="1" ht="25.5" customHeight="1" spans="1:35">
      <c r="A1461" s="3325"/>
      <c r="B1461" s="3991"/>
      <c r="C1461" s="3992"/>
      <c r="D1461" s="3325"/>
      <c r="E1461" s="3325"/>
      <c r="F1461" s="3263"/>
      <c r="G1461" s="4023"/>
      <c r="H1461" s="3263"/>
      <c r="I1461" s="3325"/>
      <c r="J1461" s="3325"/>
      <c r="K1461" s="3325"/>
      <c r="L1461" s="3325"/>
      <c r="M1461" s="745">
        <v>2</v>
      </c>
      <c r="N1461" s="2618" t="s">
        <v>4351</v>
      </c>
      <c r="O1461" s="4051">
        <v>0.6</v>
      </c>
      <c r="P1461" s="2960">
        <v>60000</v>
      </c>
      <c r="Q1461" s="2960">
        <v>60000</v>
      </c>
      <c r="R1461" s="745" t="s">
        <v>4603</v>
      </c>
      <c r="S1461" s="4061">
        <v>44911</v>
      </c>
      <c r="T1461" s="2960">
        <v>60000</v>
      </c>
      <c r="U1461" s="4061">
        <v>44911</v>
      </c>
      <c r="V1461" s="2995">
        <v>60000</v>
      </c>
      <c r="W1461" s="4064">
        <v>45221</v>
      </c>
      <c r="X1461" s="4053">
        <v>60000</v>
      </c>
      <c r="Y1461" s="4061">
        <v>45244</v>
      </c>
      <c r="Z1461" s="62"/>
      <c r="AA1461" s="2995"/>
      <c r="AB1461" s="62"/>
      <c r="AC1461" s="62"/>
      <c r="AD1461" s="62"/>
      <c r="AE1461" s="62"/>
      <c r="AF1461" s="62"/>
      <c r="AG1461" s="62"/>
      <c r="AH1461" s="62"/>
      <c r="AI1461" s="62"/>
    </row>
    <row r="1462" s="6" customFormat="1" ht="25.5" customHeight="1" spans="1:35">
      <c r="A1462" s="3465"/>
      <c r="B1462" s="3993"/>
      <c r="C1462" s="3992"/>
      <c r="D1462" s="3465"/>
      <c r="E1462" s="3465"/>
      <c r="F1462" s="4022"/>
      <c r="G1462" s="4023"/>
      <c r="H1462" s="4022"/>
      <c r="I1462" s="3465"/>
      <c r="J1462" s="3465"/>
      <c r="K1462" s="3465"/>
      <c r="L1462" s="3465"/>
      <c r="M1462" s="2995">
        <v>3</v>
      </c>
      <c r="N1462" s="2618" t="s">
        <v>4352</v>
      </c>
      <c r="O1462" s="4051">
        <v>0.2</v>
      </c>
      <c r="P1462" s="2963">
        <f>K1460*O1462</f>
        <v>20000</v>
      </c>
      <c r="Q1462" s="4062"/>
      <c r="R1462" s="4062"/>
      <c r="S1462" s="4062"/>
      <c r="T1462" s="2995"/>
      <c r="U1462" s="2995"/>
      <c r="V1462" s="2995"/>
      <c r="W1462" s="2995"/>
      <c r="X1462" s="2995"/>
      <c r="Y1462" s="2995"/>
      <c r="Z1462" s="62"/>
      <c r="AA1462" s="2995"/>
      <c r="AB1462" s="62"/>
      <c r="AC1462" s="62"/>
      <c r="AD1462" s="62"/>
      <c r="AE1462" s="62"/>
      <c r="AF1462" s="62"/>
      <c r="AG1462" s="62"/>
      <c r="AH1462" s="62"/>
      <c r="AI1462" s="62"/>
    </row>
    <row r="1463" s="6" customFormat="1" ht="25.5" customHeight="1" spans="1:35">
      <c r="A1463" s="926" t="s">
        <v>2570</v>
      </c>
      <c r="B1463" s="3989">
        <v>44915</v>
      </c>
      <c r="C1463" s="3990" t="s">
        <v>6391</v>
      </c>
      <c r="D1463" s="3468"/>
      <c r="E1463" s="639" t="s">
        <v>6433</v>
      </c>
      <c r="F1463" s="639" t="s">
        <v>6434</v>
      </c>
      <c r="G1463" s="636" t="s">
        <v>4353</v>
      </c>
      <c r="H1463" s="4021" t="s">
        <v>6299</v>
      </c>
      <c r="I1463" s="3468"/>
      <c r="J1463" s="926" t="s">
        <v>997</v>
      </c>
      <c r="K1463" s="3468">
        <v>42800</v>
      </c>
      <c r="L1463" s="926" t="s">
        <v>126</v>
      </c>
      <c r="M1463" s="2995">
        <v>1</v>
      </c>
      <c r="N1463" s="2618" t="s">
        <v>4354</v>
      </c>
      <c r="O1463" s="4052">
        <v>0.8</v>
      </c>
      <c r="P1463" s="2963">
        <f>K1463*O1463</f>
        <v>34240</v>
      </c>
      <c r="Q1463" s="4053">
        <v>34240</v>
      </c>
      <c r="R1463" s="745" t="s">
        <v>4603</v>
      </c>
      <c r="S1463" s="4061">
        <v>45098</v>
      </c>
      <c r="T1463" s="2995">
        <v>34240</v>
      </c>
      <c r="U1463" s="4064">
        <v>45098</v>
      </c>
      <c r="V1463" s="2995">
        <v>34240</v>
      </c>
      <c r="W1463" s="4064">
        <v>45102</v>
      </c>
      <c r="X1463" s="4053">
        <v>34240</v>
      </c>
      <c r="Y1463" s="4061">
        <v>45121</v>
      </c>
      <c r="Z1463" s="62"/>
      <c r="AA1463" s="2995"/>
      <c r="AB1463" s="62"/>
      <c r="AC1463" s="62"/>
      <c r="AD1463" s="62"/>
      <c r="AE1463" s="62"/>
      <c r="AF1463" s="62"/>
      <c r="AG1463" s="62"/>
      <c r="AH1463" s="62"/>
      <c r="AI1463" s="62"/>
    </row>
    <row r="1464" s="6" customFormat="1" ht="25.5" customHeight="1" spans="1:35">
      <c r="A1464" s="3325"/>
      <c r="B1464" s="3991"/>
      <c r="C1464" s="3992"/>
      <c r="D1464" s="3325"/>
      <c r="E1464" s="3325"/>
      <c r="F1464" s="3263"/>
      <c r="G1464" s="636"/>
      <c r="H1464" s="3263"/>
      <c r="I1464" s="3325"/>
      <c r="J1464" s="3325"/>
      <c r="K1464" s="3325"/>
      <c r="L1464" s="3325"/>
      <c r="M1464" s="2995">
        <v>2</v>
      </c>
      <c r="N1464" s="2618" t="s">
        <v>4355</v>
      </c>
      <c r="O1464" s="4052">
        <v>0.2</v>
      </c>
      <c r="P1464" s="2963">
        <f>K1463*O1464</f>
        <v>8560</v>
      </c>
      <c r="Q1464" s="4062">
        <v>8560</v>
      </c>
      <c r="R1464" s="821"/>
      <c r="S1464" s="4063"/>
      <c r="T1464" s="2995"/>
      <c r="U1464" s="2995"/>
      <c r="V1464" s="2995"/>
      <c r="W1464" s="2995"/>
      <c r="X1464" s="4062">
        <v>8560</v>
      </c>
      <c r="Y1464" s="4063"/>
      <c r="Z1464" s="62"/>
      <c r="AA1464" s="2995"/>
      <c r="AB1464" s="62"/>
      <c r="AC1464" s="62"/>
      <c r="AD1464" s="62"/>
      <c r="AE1464" s="62"/>
      <c r="AF1464" s="62"/>
      <c r="AG1464" s="62"/>
      <c r="AH1464" s="62"/>
      <c r="AI1464" s="62"/>
    </row>
    <row r="1465" s="10" customFormat="1" ht="25.5" customHeight="1" spans="1:35">
      <c r="A1465" s="926" t="s">
        <v>2570</v>
      </c>
      <c r="B1465" s="3994">
        <v>44847</v>
      </c>
      <c r="C1465" s="3990" t="s">
        <v>6391</v>
      </c>
      <c r="D1465" s="3995"/>
      <c r="E1465" s="639" t="s">
        <v>6435</v>
      </c>
      <c r="F1465" s="639" t="s">
        <v>6436</v>
      </c>
      <c r="G1465" s="636" t="s">
        <v>4356</v>
      </c>
      <c r="H1465" s="636" t="s">
        <v>6304</v>
      </c>
      <c r="I1465" s="3995"/>
      <c r="J1465" s="926" t="s">
        <v>997</v>
      </c>
      <c r="K1465" s="3995">
        <v>130000</v>
      </c>
      <c r="L1465" s="926" t="s">
        <v>126</v>
      </c>
      <c r="M1465" s="4053">
        <v>1</v>
      </c>
      <c r="N1465" s="185" t="s">
        <v>6437</v>
      </c>
      <c r="O1465" s="4054">
        <v>0.2</v>
      </c>
      <c r="P1465" s="2960">
        <f>130000*O1465</f>
        <v>26000</v>
      </c>
      <c r="Q1465" s="2960">
        <v>26000</v>
      </c>
      <c r="R1465" s="745" t="s">
        <v>4603</v>
      </c>
      <c r="S1465" s="4061">
        <v>44907</v>
      </c>
      <c r="T1465" s="2960">
        <v>26000</v>
      </c>
      <c r="U1465" s="4061">
        <v>44907</v>
      </c>
      <c r="V1465" s="2960">
        <v>26000</v>
      </c>
      <c r="W1465" s="4061">
        <v>44932</v>
      </c>
      <c r="X1465" s="2960">
        <v>26000</v>
      </c>
      <c r="Y1465" s="4061">
        <v>44939</v>
      </c>
      <c r="Z1465" s="4074"/>
      <c r="AA1465" s="4053"/>
      <c r="AB1465" s="4074"/>
      <c r="AC1465" s="4074"/>
      <c r="AD1465" s="4074"/>
      <c r="AE1465" s="4074"/>
      <c r="AF1465" s="4074"/>
      <c r="AG1465" s="4074"/>
      <c r="AH1465" s="4074"/>
      <c r="AI1465" s="4074"/>
    </row>
    <row r="1466" s="10" customFormat="1" ht="25.5" customHeight="1" spans="1:35">
      <c r="A1466" s="3996"/>
      <c r="B1466" s="3997"/>
      <c r="C1466" s="3998"/>
      <c r="D1466" s="3996"/>
      <c r="E1466" s="4024"/>
      <c r="F1466" s="4024"/>
      <c r="G1466" s="4025"/>
      <c r="H1466" s="4025"/>
      <c r="I1466" s="3996"/>
      <c r="J1466" s="3996"/>
      <c r="K1466" s="3996"/>
      <c r="L1466" s="3996"/>
      <c r="M1466" s="4053">
        <v>2</v>
      </c>
      <c r="N1466" s="185" t="s">
        <v>4358</v>
      </c>
      <c r="O1466" s="4054">
        <v>0.6</v>
      </c>
      <c r="P1466" s="2960">
        <f>130000*O1466</f>
        <v>78000</v>
      </c>
      <c r="Q1466" s="2960">
        <v>78000</v>
      </c>
      <c r="R1466" s="745" t="s">
        <v>4603</v>
      </c>
      <c r="S1466" s="4061">
        <v>44907</v>
      </c>
      <c r="T1466" s="2960">
        <v>78000</v>
      </c>
      <c r="U1466" s="4061">
        <v>44907</v>
      </c>
      <c r="V1466" s="2960">
        <v>78000</v>
      </c>
      <c r="W1466" s="4061">
        <v>45110</v>
      </c>
      <c r="X1466" s="2960">
        <v>78000</v>
      </c>
      <c r="Y1466" s="4061">
        <v>45132</v>
      </c>
      <c r="Z1466" s="4074"/>
      <c r="AA1466" s="4053"/>
      <c r="AB1466" s="4074"/>
      <c r="AC1466" s="4074"/>
      <c r="AD1466" s="4074"/>
      <c r="AE1466" s="4074"/>
      <c r="AF1466" s="4074"/>
      <c r="AG1466" s="4074"/>
      <c r="AH1466" s="4074"/>
      <c r="AI1466" s="4074"/>
    </row>
    <row r="1467" s="6" customFormat="1" ht="25.5" customHeight="1" spans="1:35">
      <c r="A1467" s="3465"/>
      <c r="B1467" s="3999"/>
      <c r="C1467" s="3992"/>
      <c r="D1467" s="3465"/>
      <c r="E1467" s="4022"/>
      <c r="F1467" s="4022"/>
      <c r="G1467" s="4023"/>
      <c r="H1467" s="4023"/>
      <c r="I1467" s="3465"/>
      <c r="J1467" s="3465"/>
      <c r="K1467" s="3465"/>
      <c r="L1467" s="3465"/>
      <c r="M1467" s="2995">
        <v>3</v>
      </c>
      <c r="N1467" s="2618" t="s">
        <v>4359</v>
      </c>
      <c r="O1467" s="4052">
        <v>0.2</v>
      </c>
      <c r="P1467" s="2963">
        <f>130000*O1467</f>
        <v>26000</v>
      </c>
      <c r="Q1467" s="2995"/>
      <c r="R1467" s="2995"/>
      <c r="S1467" s="2995"/>
      <c r="T1467" s="2995"/>
      <c r="U1467" s="2995"/>
      <c r="V1467" s="2995"/>
      <c r="W1467" s="2995"/>
      <c r="X1467" s="62"/>
      <c r="Y1467" s="2995"/>
      <c r="Z1467" s="62"/>
      <c r="AA1467" s="2995"/>
      <c r="AB1467" s="62"/>
      <c r="AC1467" s="62"/>
      <c r="AD1467" s="62"/>
      <c r="AE1467" s="62"/>
      <c r="AF1467" s="62"/>
      <c r="AG1467" s="62"/>
      <c r="AH1467" s="62"/>
      <c r="AI1467" s="62"/>
    </row>
    <row r="1468" s="6" customFormat="1" ht="25.5" customHeight="1" spans="1:35">
      <c r="A1468" s="745" t="s">
        <v>2570</v>
      </c>
      <c r="B1468" s="3989">
        <v>44879</v>
      </c>
      <c r="C1468" s="3990" t="s">
        <v>6391</v>
      </c>
      <c r="D1468" s="2995"/>
      <c r="E1468" s="636" t="s">
        <v>6438</v>
      </c>
      <c r="F1468" s="636" t="s">
        <v>6439</v>
      </c>
      <c r="G1468" s="636" t="s">
        <v>6440</v>
      </c>
      <c r="H1468" s="636" t="s">
        <v>6441</v>
      </c>
      <c r="I1468" s="4034">
        <f>K1468/7</f>
        <v>39285.7142857143</v>
      </c>
      <c r="J1468" s="636" t="s">
        <v>6442</v>
      </c>
      <c r="K1468" s="2995">
        <v>275000</v>
      </c>
      <c r="L1468" s="745" t="s">
        <v>26</v>
      </c>
      <c r="M1468" s="2995">
        <v>1</v>
      </c>
      <c r="N1468" s="2618" t="s">
        <v>6443</v>
      </c>
      <c r="O1468" s="4052">
        <v>0.2</v>
      </c>
      <c r="P1468" s="2963">
        <v>55000</v>
      </c>
      <c r="Q1468" s="2963">
        <v>55000</v>
      </c>
      <c r="R1468" s="745" t="s">
        <v>4603</v>
      </c>
      <c r="S1468" s="4064">
        <v>44890</v>
      </c>
      <c r="T1468" s="2963">
        <v>55000</v>
      </c>
      <c r="U1468" s="4064">
        <v>44890</v>
      </c>
      <c r="V1468" s="2963">
        <v>55000</v>
      </c>
      <c r="W1468" s="4064">
        <v>44893</v>
      </c>
      <c r="X1468" s="2960">
        <v>55000</v>
      </c>
      <c r="Y1468" s="4064">
        <v>44916</v>
      </c>
      <c r="Z1468" s="62"/>
      <c r="AA1468" s="2995"/>
      <c r="AB1468" s="62"/>
      <c r="AC1468" s="62"/>
      <c r="AD1468" s="62"/>
      <c r="AE1468" s="62"/>
      <c r="AF1468" s="62"/>
      <c r="AG1468" s="62"/>
      <c r="AH1468" s="62"/>
      <c r="AI1468" s="62"/>
    </row>
    <row r="1469" s="6" customFormat="1" ht="25.5" customHeight="1" spans="1:35">
      <c r="A1469" s="2995"/>
      <c r="B1469" s="3991"/>
      <c r="C1469" s="3992"/>
      <c r="D1469" s="2995"/>
      <c r="E1469" s="2995"/>
      <c r="F1469" s="4023"/>
      <c r="G1469" s="4023"/>
      <c r="H1469" s="4023"/>
      <c r="I1469" s="4034"/>
      <c r="J1469" s="2995"/>
      <c r="K1469" s="2995"/>
      <c r="L1469" s="2995"/>
      <c r="M1469" s="2995">
        <v>2</v>
      </c>
      <c r="N1469" s="2618" t="s">
        <v>6444</v>
      </c>
      <c r="O1469" s="4052">
        <v>0.6</v>
      </c>
      <c r="P1469" s="2963">
        <v>165000</v>
      </c>
      <c r="Q1469" s="2963">
        <v>165000</v>
      </c>
      <c r="R1469" s="745" t="s">
        <v>4603</v>
      </c>
      <c r="S1469" s="4064">
        <v>45028</v>
      </c>
      <c r="T1469" s="2963">
        <v>165000</v>
      </c>
      <c r="U1469" s="4064">
        <v>45028</v>
      </c>
      <c r="V1469" s="2963">
        <v>165000</v>
      </c>
      <c r="W1469" s="4064">
        <v>45026</v>
      </c>
      <c r="X1469" s="2960">
        <v>165000</v>
      </c>
      <c r="Y1469" s="4064">
        <v>45037</v>
      </c>
      <c r="Z1469" s="62"/>
      <c r="AA1469" s="2995"/>
      <c r="AB1469" s="62"/>
      <c r="AC1469" s="62"/>
      <c r="AD1469" s="62"/>
      <c r="AE1469" s="62"/>
      <c r="AF1469" s="62"/>
      <c r="AG1469" s="62"/>
      <c r="AH1469" s="62"/>
      <c r="AI1469" s="62"/>
    </row>
    <row r="1470" s="6" customFormat="1" ht="25.5" customHeight="1" spans="1:35">
      <c r="A1470" s="2995"/>
      <c r="B1470" s="3993"/>
      <c r="C1470" s="3992"/>
      <c r="D1470" s="2995"/>
      <c r="E1470" s="2995"/>
      <c r="F1470" s="4023"/>
      <c r="G1470" s="4023"/>
      <c r="H1470" s="4023"/>
      <c r="I1470" s="4034"/>
      <c r="J1470" s="2995"/>
      <c r="K1470" s="2995"/>
      <c r="L1470" s="2995"/>
      <c r="M1470" s="2995">
        <v>3</v>
      </c>
      <c r="N1470" s="2618" t="s">
        <v>6445</v>
      </c>
      <c r="O1470" s="4052">
        <v>0.2</v>
      </c>
      <c r="P1470" s="2963">
        <v>55000</v>
      </c>
      <c r="Q1470" s="2995"/>
      <c r="R1470" s="2995"/>
      <c r="S1470" s="2995"/>
      <c r="T1470" s="2995"/>
      <c r="U1470" s="2995"/>
      <c r="V1470" s="2995"/>
      <c r="W1470" s="2995"/>
      <c r="X1470" s="62"/>
      <c r="Y1470" s="2995"/>
      <c r="Z1470" s="62"/>
      <c r="AA1470" s="2995"/>
      <c r="AB1470" s="62"/>
      <c r="AC1470" s="62"/>
      <c r="AD1470" s="62"/>
      <c r="AE1470" s="62"/>
      <c r="AF1470" s="62"/>
      <c r="AG1470" s="62"/>
      <c r="AH1470" s="62"/>
      <c r="AI1470" s="62"/>
    </row>
    <row r="1471" customFormat="1" ht="25.5" customHeight="1" spans="1:35">
      <c r="A1471" s="745" t="s">
        <v>2570</v>
      </c>
      <c r="B1471" s="4000">
        <v>45037</v>
      </c>
      <c r="C1471" s="3990" t="s">
        <v>6391</v>
      </c>
      <c r="D1471" s="2995"/>
      <c r="E1471" s="636" t="s">
        <v>6446</v>
      </c>
      <c r="F1471" s="636" t="s">
        <v>6447</v>
      </c>
      <c r="G1471" s="636" t="s">
        <v>6448</v>
      </c>
      <c r="H1471" s="636" t="s">
        <v>4638</v>
      </c>
      <c r="I1471" s="3468"/>
      <c r="J1471" s="745" t="s">
        <v>997</v>
      </c>
      <c r="K1471" s="2995">
        <v>300000</v>
      </c>
      <c r="L1471" s="745" t="s">
        <v>126</v>
      </c>
      <c r="M1471" s="2995">
        <v>1</v>
      </c>
      <c r="N1471" s="2618" t="s">
        <v>4221</v>
      </c>
      <c r="O1471" s="4052">
        <v>0.2</v>
      </c>
      <c r="P1471" s="2963">
        <v>60000</v>
      </c>
      <c r="Q1471" s="2963">
        <v>60000</v>
      </c>
      <c r="R1471" s="745" t="s">
        <v>4603</v>
      </c>
      <c r="S1471" s="4061">
        <v>45056</v>
      </c>
      <c r="T1471" s="2963">
        <v>60000</v>
      </c>
      <c r="U1471" s="4064">
        <v>45056</v>
      </c>
      <c r="V1471" s="2963">
        <v>60000</v>
      </c>
      <c r="W1471" s="4064">
        <v>45061</v>
      </c>
      <c r="X1471" s="2963">
        <v>60000</v>
      </c>
      <c r="Y1471" s="4061">
        <v>45064</v>
      </c>
      <c r="Z1471" s="62"/>
      <c r="AA1471" s="2995"/>
      <c r="AB1471" s="62"/>
      <c r="AC1471" s="62"/>
      <c r="AD1471" s="62"/>
      <c r="AE1471" s="62"/>
      <c r="AF1471" s="62"/>
      <c r="AG1471" s="62"/>
      <c r="AH1471" s="62"/>
      <c r="AI1471" s="62"/>
    </row>
    <row r="1472" customFormat="1" ht="25.5" customHeight="1" spans="1:35">
      <c r="A1472" s="745"/>
      <c r="B1472" s="4001"/>
      <c r="C1472" s="3990"/>
      <c r="D1472" s="2995"/>
      <c r="E1472" s="636"/>
      <c r="F1472" s="636"/>
      <c r="G1472" s="636"/>
      <c r="H1472" s="636"/>
      <c r="I1472" s="3325"/>
      <c r="J1472" s="745"/>
      <c r="K1472" s="2995"/>
      <c r="L1472" s="745"/>
      <c r="M1472" s="2995">
        <v>2</v>
      </c>
      <c r="N1472" s="2618" t="s">
        <v>4222</v>
      </c>
      <c r="O1472" s="4052">
        <v>0.2</v>
      </c>
      <c r="P1472" s="2963">
        <v>60000</v>
      </c>
      <c r="Q1472" s="2963">
        <v>60000</v>
      </c>
      <c r="R1472" s="745" t="s">
        <v>4603</v>
      </c>
      <c r="S1472" s="4061">
        <v>45089</v>
      </c>
      <c r="T1472" s="2963">
        <v>60000</v>
      </c>
      <c r="U1472" s="4061">
        <v>45089</v>
      </c>
      <c r="V1472" s="2963">
        <v>60000</v>
      </c>
      <c r="W1472" s="4064">
        <v>45084</v>
      </c>
      <c r="X1472" s="2963">
        <v>60000</v>
      </c>
      <c r="Y1472" s="4064">
        <v>45098</v>
      </c>
      <c r="Z1472" s="62"/>
      <c r="AA1472" s="2995"/>
      <c r="AB1472" s="62"/>
      <c r="AC1472" s="62"/>
      <c r="AD1472" s="62"/>
      <c r="AE1472" s="62"/>
      <c r="AF1472" s="62"/>
      <c r="AG1472" s="62"/>
      <c r="AH1472" s="62"/>
      <c r="AI1472" s="62"/>
    </row>
    <row r="1473" customFormat="1" ht="25.5" customHeight="1" spans="1:35">
      <c r="A1473" s="745"/>
      <c r="B1473" s="4001"/>
      <c r="C1473" s="3990"/>
      <c r="D1473" s="2995"/>
      <c r="E1473" s="636"/>
      <c r="F1473" s="636"/>
      <c r="G1473" s="636"/>
      <c r="H1473" s="636"/>
      <c r="I1473" s="3325"/>
      <c r="J1473" s="745"/>
      <c r="K1473" s="2995"/>
      <c r="L1473" s="745"/>
      <c r="M1473" s="2995">
        <v>3</v>
      </c>
      <c r="N1473" s="2618" t="s">
        <v>6449</v>
      </c>
      <c r="O1473" s="4052">
        <v>0.3</v>
      </c>
      <c r="P1473" s="2963">
        <v>90000</v>
      </c>
      <c r="Q1473" s="2963">
        <v>90000</v>
      </c>
      <c r="R1473" s="745" t="s">
        <v>4603</v>
      </c>
      <c r="S1473" s="4061">
        <v>45089</v>
      </c>
      <c r="T1473" s="2963">
        <v>90000</v>
      </c>
      <c r="U1473" s="4061">
        <v>45089</v>
      </c>
      <c r="V1473" s="2963">
        <v>90000</v>
      </c>
      <c r="W1473" s="4064">
        <v>45084</v>
      </c>
      <c r="X1473" s="2963">
        <v>90000</v>
      </c>
      <c r="Y1473" s="4064">
        <v>45098</v>
      </c>
      <c r="Z1473" s="62"/>
      <c r="AA1473" s="2995"/>
      <c r="AB1473" s="62"/>
      <c r="AC1473" s="62"/>
      <c r="AD1473" s="62"/>
      <c r="AE1473" s="62"/>
      <c r="AF1473" s="62"/>
      <c r="AG1473" s="62"/>
      <c r="AH1473" s="62"/>
      <c r="AI1473" s="62"/>
    </row>
    <row r="1474" customFormat="1" ht="25.5" customHeight="1" spans="1:35">
      <c r="A1474" s="2995"/>
      <c r="B1474" s="4001"/>
      <c r="C1474" s="3992"/>
      <c r="D1474" s="2995"/>
      <c r="E1474" s="2995"/>
      <c r="F1474" s="636"/>
      <c r="G1474" s="4023"/>
      <c r="H1474" s="4023"/>
      <c r="I1474" s="3325"/>
      <c r="J1474" s="2995"/>
      <c r="K1474" s="2995"/>
      <c r="L1474" s="2995"/>
      <c r="M1474" s="2995">
        <v>4</v>
      </c>
      <c r="N1474" s="2618" t="s">
        <v>6450</v>
      </c>
      <c r="O1474" s="4052">
        <v>0.25</v>
      </c>
      <c r="P1474" s="2963">
        <v>75000</v>
      </c>
      <c r="Q1474" s="2963">
        <v>75000</v>
      </c>
      <c r="R1474" s="745" t="s">
        <v>4603</v>
      </c>
      <c r="S1474" s="4061">
        <v>45089</v>
      </c>
      <c r="T1474" s="2963">
        <v>75000</v>
      </c>
      <c r="U1474" s="4061">
        <v>45089</v>
      </c>
      <c r="V1474" s="2963">
        <v>75000</v>
      </c>
      <c r="W1474" s="4064">
        <v>45084</v>
      </c>
      <c r="X1474" s="2963">
        <v>75000</v>
      </c>
      <c r="Y1474" s="4064">
        <v>45098</v>
      </c>
      <c r="Z1474" s="62"/>
      <c r="AA1474" s="2995"/>
      <c r="AB1474" s="62"/>
      <c r="AC1474" s="62"/>
      <c r="AD1474" s="62"/>
      <c r="AE1474" s="62"/>
      <c r="AF1474" s="62"/>
      <c r="AG1474" s="62"/>
      <c r="AH1474" s="62"/>
      <c r="AI1474" s="62"/>
    </row>
    <row r="1475" customFormat="1" ht="25.5" customHeight="1" spans="1:35">
      <c r="A1475" s="2995"/>
      <c r="B1475" s="4075"/>
      <c r="C1475" s="3992"/>
      <c r="D1475" s="2995"/>
      <c r="E1475" s="2995"/>
      <c r="F1475" s="636"/>
      <c r="G1475" s="4023"/>
      <c r="H1475" s="4023"/>
      <c r="I1475" s="3465"/>
      <c r="J1475" s="2995"/>
      <c r="K1475" s="2995"/>
      <c r="L1475" s="2995"/>
      <c r="M1475" s="2995">
        <v>5</v>
      </c>
      <c r="N1475" s="2618" t="s">
        <v>6451</v>
      </c>
      <c r="O1475" s="4052">
        <v>0.05</v>
      </c>
      <c r="P1475" s="2963">
        <v>15000</v>
      </c>
      <c r="Q1475" s="2995"/>
      <c r="R1475" s="2995"/>
      <c r="S1475" s="2995"/>
      <c r="T1475" s="2995"/>
      <c r="U1475" s="2995"/>
      <c r="V1475" s="2995"/>
      <c r="W1475" s="2995"/>
      <c r="X1475" s="62"/>
      <c r="Y1475" s="2995"/>
      <c r="Z1475" s="62"/>
      <c r="AA1475" s="2995"/>
      <c r="AB1475" s="62"/>
      <c r="AC1475" s="62"/>
      <c r="AD1475" s="62"/>
      <c r="AE1475" s="62"/>
      <c r="AF1475" s="62"/>
      <c r="AG1475" s="62"/>
      <c r="AH1475" s="62"/>
      <c r="AI1475" s="62"/>
    </row>
    <row r="1476" customFormat="1" ht="25.5" customHeight="1" spans="1:35">
      <c r="A1476" s="2152" t="s">
        <v>2570</v>
      </c>
      <c r="B1476" s="3293">
        <v>44824</v>
      </c>
      <c r="C1476" s="4076" t="s">
        <v>6452</v>
      </c>
      <c r="D1476" s="2152"/>
      <c r="E1476" s="2109" t="s">
        <v>6453</v>
      </c>
      <c r="F1476" s="2109" t="s">
        <v>6454</v>
      </c>
      <c r="G1476" s="2152" t="s">
        <v>286</v>
      </c>
      <c r="H1476" s="2109" t="s">
        <v>4890</v>
      </c>
      <c r="I1476" s="2152"/>
      <c r="J1476" s="2109" t="s">
        <v>6455</v>
      </c>
      <c r="K1476" s="3063">
        <v>900000</v>
      </c>
      <c r="L1476" s="1825" t="s">
        <v>126</v>
      </c>
      <c r="M1476" s="2152">
        <v>1</v>
      </c>
      <c r="N1476" s="3352" t="s">
        <v>6456</v>
      </c>
      <c r="O1476" s="4093" t="s">
        <v>6457</v>
      </c>
      <c r="P1476" s="1825">
        <v>50000</v>
      </c>
      <c r="Q1476" s="1825">
        <v>50000</v>
      </c>
      <c r="R1476" s="1825" t="s">
        <v>4603</v>
      </c>
      <c r="S1476" s="3602">
        <v>44923</v>
      </c>
      <c r="T1476" s="1825">
        <v>50000</v>
      </c>
      <c r="U1476" s="3602">
        <v>44923</v>
      </c>
      <c r="V1476" s="1825">
        <v>50000</v>
      </c>
      <c r="W1476" s="3602">
        <v>44932</v>
      </c>
      <c r="X1476" s="1825">
        <v>50000</v>
      </c>
      <c r="Y1476" s="3602">
        <v>44937</v>
      </c>
      <c r="Z1476" s="1825"/>
      <c r="AA1476" s="1825"/>
      <c r="AB1476" s="1825"/>
      <c r="AC1476" s="1825"/>
      <c r="AD1476" s="1825"/>
      <c r="AE1476" s="1825"/>
      <c r="AF1476" s="1825"/>
      <c r="AG1476" s="1825"/>
      <c r="AH1476" s="1825"/>
      <c r="AI1476" s="1825"/>
    </row>
    <row r="1477" customFormat="1" ht="25.5" customHeight="1" spans="1:35">
      <c r="A1477" s="2154"/>
      <c r="B1477" s="3295"/>
      <c r="C1477" s="4077"/>
      <c r="D1477" s="2154"/>
      <c r="E1477" s="2112"/>
      <c r="F1477" s="2112"/>
      <c r="G1477" s="2154"/>
      <c r="H1477" s="2112"/>
      <c r="I1477" s="2154"/>
      <c r="J1477" s="2112"/>
      <c r="K1477" s="3334"/>
      <c r="L1477" s="2152" t="s">
        <v>26</v>
      </c>
      <c r="M1477" s="1842"/>
      <c r="N1477" s="3352" t="s">
        <v>6458</v>
      </c>
      <c r="O1477" s="4093"/>
      <c r="P1477" s="1825">
        <v>200000</v>
      </c>
      <c r="Q1477" s="1825">
        <v>200000</v>
      </c>
      <c r="R1477" s="1825" t="s">
        <v>4603</v>
      </c>
      <c r="S1477" s="3602">
        <v>44923</v>
      </c>
      <c r="T1477" s="1825">
        <v>200000</v>
      </c>
      <c r="U1477" s="3602">
        <v>44923</v>
      </c>
      <c r="V1477" s="1825">
        <v>200000</v>
      </c>
      <c r="W1477" s="3602">
        <v>44932</v>
      </c>
      <c r="X1477" s="1825">
        <v>200000</v>
      </c>
      <c r="Y1477" s="3602">
        <v>44937</v>
      </c>
      <c r="Z1477" s="1825"/>
      <c r="AA1477" s="1825"/>
      <c r="AB1477" s="1825"/>
      <c r="AC1477" s="1825"/>
      <c r="AD1477" s="1825"/>
      <c r="AE1477" s="1825"/>
      <c r="AF1477" s="1825"/>
      <c r="AG1477" s="1825"/>
      <c r="AH1477" s="1825"/>
      <c r="AI1477" s="1825"/>
    </row>
    <row r="1478" customFormat="1" ht="25.5" customHeight="1" spans="1:35">
      <c r="A1478" s="2154"/>
      <c r="B1478" s="3295"/>
      <c r="C1478" s="4077"/>
      <c r="D1478" s="2154"/>
      <c r="E1478" s="2112"/>
      <c r="F1478" s="2112"/>
      <c r="G1478" s="2154"/>
      <c r="H1478" s="2112"/>
      <c r="I1478" s="2154"/>
      <c r="J1478" s="2112"/>
      <c r="K1478" s="3334"/>
      <c r="L1478" s="2152" t="s">
        <v>27</v>
      </c>
      <c r="M1478" s="2112">
        <v>2</v>
      </c>
      <c r="N1478" s="3035" t="s">
        <v>6459</v>
      </c>
      <c r="O1478" s="4094" t="s">
        <v>6460</v>
      </c>
      <c r="P1478" s="1825">
        <v>50000</v>
      </c>
      <c r="Q1478" s="1825">
        <v>50000</v>
      </c>
      <c r="R1478" s="1825" t="s">
        <v>4603</v>
      </c>
      <c r="S1478" s="3404">
        <v>45526</v>
      </c>
      <c r="T1478" s="1825">
        <v>50000</v>
      </c>
      <c r="U1478" s="3404">
        <v>45526</v>
      </c>
      <c r="V1478" s="1825">
        <v>50000</v>
      </c>
      <c r="W1478" s="3602">
        <v>45530</v>
      </c>
      <c r="X1478" s="1825">
        <v>50000</v>
      </c>
      <c r="Y1478" s="3602">
        <v>45533</v>
      </c>
      <c r="Z1478" s="3117">
        <f>Q1478-X1478</f>
        <v>0</v>
      </c>
      <c r="AA1478" s="1825"/>
      <c r="AB1478" s="1825"/>
      <c r="AC1478" s="1825"/>
      <c r="AD1478" s="1825"/>
      <c r="AE1478" s="1825"/>
      <c r="AF1478" s="1825"/>
      <c r="AG1478" s="1825"/>
      <c r="AH1478" s="1825"/>
      <c r="AI1478" s="1825"/>
    </row>
    <row r="1479" customFormat="1" ht="25.5" customHeight="1" spans="1:35">
      <c r="A1479" s="2154"/>
      <c r="B1479" s="3295"/>
      <c r="C1479" s="4077"/>
      <c r="D1479" s="2154"/>
      <c r="E1479" s="2112"/>
      <c r="F1479" s="2112"/>
      <c r="G1479" s="2154"/>
      <c r="H1479" s="2112"/>
      <c r="I1479" s="2154"/>
      <c r="J1479" s="2112"/>
      <c r="K1479" s="3334"/>
      <c r="L1479" s="1825" t="s">
        <v>26</v>
      </c>
      <c r="M1479" s="2112"/>
      <c r="N1479" s="3035" t="s">
        <v>6461</v>
      </c>
      <c r="O1479" s="4094" t="s">
        <v>6462</v>
      </c>
      <c r="P1479" s="1825">
        <v>50000</v>
      </c>
      <c r="Q1479" s="1825">
        <v>50000</v>
      </c>
      <c r="R1479" s="1825" t="s">
        <v>4603</v>
      </c>
      <c r="S1479" s="3404">
        <v>45526</v>
      </c>
      <c r="T1479" s="1825">
        <v>50000</v>
      </c>
      <c r="U1479" s="3404">
        <v>45526</v>
      </c>
      <c r="V1479" s="1825">
        <v>50000</v>
      </c>
      <c r="W1479" s="3602">
        <v>45530</v>
      </c>
      <c r="X1479" s="1825">
        <v>50000</v>
      </c>
      <c r="Y1479" s="3602">
        <v>45533</v>
      </c>
      <c r="Z1479" s="3117">
        <f>Q1479-X1479</f>
        <v>0</v>
      </c>
      <c r="AA1479" s="1825"/>
      <c r="AB1479" s="1825"/>
      <c r="AC1479" s="1825"/>
      <c r="AD1479" s="1825"/>
      <c r="AE1479" s="1825"/>
      <c r="AF1479" s="1825"/>
      <c r="AG1479" s="1825"/>
      <c r="AH1479" s="1825"/>
      <c r="AI1479" s="1825"/>
    </row>
    <row r="1480" customFormat="1" ht="25.5" customHeight="1" spans="1:35">
      <c r="A1480" s="2154"/>
      <c r="B1480" s="3295"/>
      <c r="C1480" s="4077"/>
      <c r="D1480" s="2154"/>
      <c r="E1480" s="2112"/>
      <c r="F1480" s="2112"/>
      <c r="G1480" s="2154"/>
      <c r="H1480" s="2112"/>
      <c r="I1480" s="2154"/>
      <c r="J1480" s="2112"/>
      <c r="K1480" s="3334"/>
      <c r="L1480" s="1825" t="s">
        <v>26</v>
      </c>
      <c r="M1480" s="2112"/>
      <c r="N1480" s="3035" t="s">
        <v>6463</v>
      </c>
      <c r="O1480" s="4094" t="s">
        <v>6460</v>
      </c>
      <c r="P1480" s="1825">
        <v>20000</v>
      </c>
      <c r="Q1480" s="1825">
        <v>20000</v>
      </c>
      <c r="R1480" s="1825" t="s">
        <v>4603</v>
      </c>
      <c r="S1480" s="3404">
        <v>45526</v>
      </c>
      <c r="T1480" s="1825">
        <v>20000</v>
      </c>
      <c r="U1480" s="3404">
        <v>45526</v>
      </c>
      <c r="V1480" s="1825">
        <v>20000</v>
      </c>
      <c r="W1480" s="3602">
        <v>45530</v>
      </c>
      <c r="X1480" s="1825">
        <v>20000</v>
      </c>
      <c r="Y1480" s="3602">
        <v>45533</v>
      </c>
      <c r="Z1480" s="3117">
        <f>Q1480-X1480</f>
        <v>0</v>
      </c>
      <c r="AA1480" s="1825"/>
      <c r="AB1480" s="1825"/>
      <c r="AC1480" s="1825"/>
      <c r="AD1480" s="1825"/>
      <c r="AE1480" s="1825"/>
      <c r="AF1480" s="1825"/>
      <c r="AG1480" s="1825"/>
      <c r="AH1480" s="1825"/>
      <c r="AI1480" s="1825"/>
    </row>
    <row r="1481" customFormat="1" ht="25.5" customHeight="1" spans="1:35">
      <c r="A1481" s="2154"/>
      <c r="B1481" s="3295"/>
      <c r="C1481" s="4077"/>
      <c r="D1481" s="2154"/>
      <c r="E1481" s="2112"/>
      <c r="F1481" s="2112"/>
      <c r="G1481" s="2154"/>
      <c r="H1481" s="2112"/>
      <c r="I1481" s="2154"/>
      <c r="J1481" s="2112"/>
      <c r="K1481" s="3334"/>
      <c r="L1481" s="1825" t="s">
        <v>26</v>
      </c>
      <c r="M1481" s="2112"/>
      <c r="N1481" s="3035" t="s">
        <v>6464</v>
      </c>
      <c r="O1481" s="4094" t="s">
        <v>6460</v>
      </c>
      <c r="P1481" s="1825">
        <v>20000</v>
      </c>
      <c r="Q1481" s="1825">
        <v>20000</v>
      </c>
      <c r="R1481" s="1825" t="s">
        <v>4603</v>
      </c>
      <c r="S1481" s="3404">
        <v>45526</v>
      </c>
      <c r="T1481" s="1825">
        <v>20000</v>
      </c>
      <c r="U1481" s="3404">
        <v>45526</v>
      </c>
      <c r="V1481" s="1825">
        <v>20000</v>
      </c>
      <c r="W1481" s="3602">
        <v>45530</v>
      </c>
      <c r="X1481" s="1825">
        <v>20000</v>
      </c>
      <c r="Y1481" s="3602">
        <v>45533</v>
      </c>
      <c r="Z1481" s="3117">
        <f>Q1481-X1481</f>
        <v>0</v>
      </c>
      <c r="AA1481" s="1825"/>
      <c r="AB1481" s="1825"/>
      <c r="AC1481" s="1825"/>
      <c r="AD1481" s="1825"/>
      <c r="AE1481" s="1825"/>
      <c r="AF1481" s="1825"/>
      <c r="AG1481" s="1825"/>
      <c r="AH1481" s="1825"/>
      <c r="AI1481" s="1825"/>
    </row>
    <row r="1482" s="32" customFormat="1" ht="33" customHeight="1" spans="1:35">
      <c r="A1482" s="2154"/>
      <c r="B1482" s="3295"/>
      <c r="C1482" s="4077"/>
      <c r="D1482" s="1842"/>
      <c r="E1482" s="2112"/>
      <c r="F1482" s="2112"/>
      <c r="G1482" s="2154"/>
      <c r="H1482" s="2112"/>
      <c r="I1482" s="2154"/>
      <c r="J1482" s="2112"/>
      <c r="K1482" s="3334"/>
      <c r="L1482" s="1825" t="s">
        <v>26</v>
      </c>
      <c r="M1482" s="1969"/>
      <c r="N1482" s="3035" t="s">
        <v>6465</v>
      </c>
      <c r="O1482" s="4093" t="s">
        <v>6457</v>
      </c>
      <c r="P1482" s="1825">
        <v>60000</v>
      </c>
      <c r="Q1482" s="1825">
        <v>60000</v>
      </c>
      <c r="R1482" s="1825" t="s">
        <v>4603</v>
      </c>
      <c r="S1482" s="3404">
        <v>45526</v>
      </c>
      <c r="T1482" s="1825">
        <v>60000</v>
      </c>
      <c r="U1482" s="3404">
        <v>45526</v>
      </c>
      <c r="V1482" s="1825">
        <v>60000</v>
      </c>
      <c r="W1482" s="3433">
        <v>45530</v>
      </c>
      <c r="X1482" s="1825">
        <v>60000</v>
      </c>
      <c r="Y1482" s="3404">
        <v>45533</v>
      </c>
      <c r="Z1482" s="3117">
        <f>Q1482-X1482</f>
        <v>0</v>
      </c>
      <c r="AA1482" s="3117"/>
      <c r="AB1482" s="3117"/>
      <c r="AC1482" s="3117"/>
      <c r="AD1482" s="3117"/>
      <c r="AE1482" s="3117"/>
      <c r="AF1482" s="3117"/>
      <c r="AG1482" s="3117"/>
      <c r="AH1482" s="3117"/>
      <c r="AI1482" s="3117"/>
    </row>
    <row r="1483" s="32" customFormat="1" ht="33" customHeight="1" spans="1:35">
      <c r="A1483" s="2154"/>
      <c r="B1483" s="3295"/>
      <c r="C1483" s="4077"/>
      <c r="D1483" s="1842"/>
      <c r="E1483" s="2112"/>
      <c r="F1483" s="2112"/>
      <c r="G1483" s="2154"/>
      <c r="H1483" s="2112"/>
      <c r="I1483" s="2154"/>
      <c r="J1483" s="2112"/>
      <c r="K1483" s="3334"/>
      <c r="L1483" s="1825" t="s">
        <v>26</v>
      </c>
      <c r="M1483" s="2112"/>
      <c r="N1483" s="3035" t="s">
        <v>6466</v>
      </c>
      <c r="O1483" s="4094" t="s">
        <v>6460</v>
      </c>
      <c r="P1483" s="1825"/>
      <c r="Q1483" s="1825">
        <v>280000</v>
      </c>
      <c r="R1483" s="1825" t="s">
        <v>4603</v>
      </c>
      <c r="S1483" s="3404">
        <v>45588</v>
      </c>
      <c r="T1483" s="1825">
        <v>280000</v>
      </c>
      <c r="U1483" s="3404">
        <v>45588</v>
      </c>
      <c r="V1483" s="1825">
        <v>280000</v>
      </c>
      <c r="W1483" s="3404">
        <v>45590</v>
      </c>
      <c r="X1483" s="1825">
        <v>280000</v>
      </c>
      <c r="Y1483" s="3404">
        <v>45595</v>
      </c>
      <c r="Z1483" s="3117"/>
      <c r="AA1483" s="3117"/>
      <c r="AB1483" s="3117"/>
      <c r="AC1483" s="3117"/>
      <c r="AD1483" s="3117"/>
      <c r="AE1483" s="3117"/>
      <c r="AF1483" s="3117"/>
      <c r="AG1483" s="3117"/>
      <c r="AH1483" s="3117"/>
      <c r="AI1483" s="3117"/>
    </row>
    <row r="1484" s="32" customFormat="1" ht="33" customHeight="1" spans="1:35">
      <c r="A1484" s="2154"/>
      <c r="B1484" s="3295"/>
      <c r="C1484" s="4077"/>
      <c r="D1484" s="1842"/>
      <c r="E1484" s="2112"/>
      <c r="F1484" s="2112"/>
      <c r="G1484" s="2154"/>
      <c r="H1484" s="2112"/>
      <c r="I1484" s="2154"/>
      <c r="J1484" s="2112"/>
      <c r="K1484" s="3334"/>
      <c r="L1484" s="1825" t="s">
        <v>26</v>
      </c>
      <c r="M1484" s="2112"/>
      <c r="N1484" s="3035" t="s">
        <v>6467</v>
      </c>
      <c r="O1484" s="4094" t="s">
        <v>6462</v>
      </c>
      <c r="P1484" s="1825"/>
      <c r="Q1484" s="1825">
        <v>10000</v>
      </c>
      <c r="R1484" s="1825" t="s">
        <v>4603</v>
      </c>
      <c r="S1484" s="3404">
        <v>45588</v>
      </c>
      <c r="T1484" s="1825">
        <v>10000</v>
      </c>
      <c r="U1484" s="3404">
        <v>45588</v>
      </c>
      <c r="V1484" s="1825">
        <v>10000</v>
      </c>
      <c r="W1484" s="3404">
        <v>45590</v>
      </c>
      <c r="X1484" s="1825">
        <v>10000</v>
      </c>
      <c r="Y1484" s="3404">
        <v>45595</v>
      </c>
      <c r="Z1484" s="3117"/>
      <c r="AA1484" s="3117"/>
      <c r="AB1484" s="3117"/>
      <c r="AC1484" s="3117"/>
      <c r="AD1484" s="3117"/>
      <c r="AE1484" s="3117"/>
      <c r="AF1484" s="3117"/>
      <c r="AG1484" s="3117"/>
      <c r="AH1484" s="3117"/>
      <c r="AI1484" s="3117"/>
    </row>
    <row r="1485" s="32" customFormat="1" ht="33" customHeight="1" spans="1:35">
      <c r="A1485" s="2154"/>
      <c r="B1485" s="3295"/>
      <c r="C1485" s="4077"/>
      <c r="D1485" s="1842"/>
      <c r="E1485" s="2112"/>
      <c r="F1485" s="2112"/>
      <c r="G1485" s="2154"/>
      <c r="H1485" s="2112"/>
      <c r="I1485" s="2154"/>
      <c r="J1485" s="2112"/>
      <c r="K1485" s="3334"/>
      <c r="L1485" s="2152" t="s">
        <v>27</v>
      </c>
      <c r="M1485" s="2112"/>
      <c r="N1485" s="3035" t="s">
        <v>6468</v>
      </c>
      <c r="O1485" s="4094" t="s">
        <v>6462</v>
      </c>
      <c r="P1485" s="1825"/>
      <c r="Q1485" s="1825">
        <v>140000</v>
      </c>
      <c r="R1485" s="1825" t="s">
        <v>4603</v>
      </c>
      <c r="S1485" s="3404">
        <v>45588</v>
      </c>
      <c r="T1485" s="1825">
        <v>140000</v>
      </c>
      <c r="U1485" s="3404">
        <v>45588</v>
      </c>
      <c r="V1485" s="1825">
        <v>140000</v>
      </c>
      <c r="W1485" s="3404">
        <v>45590</v>
      </c>
      <c r="X1485" s="1825">
        <v>140000</v>
      </c>
      <c r="Y1485" s="3404">
        <v>45595</v>
      </c>
      <c r="Z1485" s="3117"/>
      <c r="AA1485" s="3117"/>
      <c r="AB1485" s="3117"/>
      <c r="AC1485" s="3117"/>
      <c r="AD1485" s="3117"/>
      <c r="AE1485" s="3117"/>
      <c r="AF1485" s="3117"/>
      <c r="AG1485" s="3117"/>
      <c r="AH1485" s="3117"/>
      <c r="AI1485" s="3117"/>
    </row>
    <row r="1486" s="32" customFormat="1" ht="33" customHeight="1" spans="1:35">
      <c r="A1486" s="2154"/>
      <c r="B1486" s="3295"/>
      <c r="C1486" s="4077"/>
      <c r="D1486" s="1842"/>
      <c r="E1486" s="2112"/>
      <c r="F1486" s="2112"/>
      <c r="G1486" s="2154"/>
      <c r="H1486" s="2112"/>
      <c r="I1486" s="2154"/>
      <c r="J1486" s="2112"/>
      <c r="K1486" s="3334"/>
      <c r="L1486" s="1825" t="s">
        <v>26</v>
      </c>
      <c r="M1486" s="2112"/>
      <c r="N1486" s="3035" t="s">
        <v>6469</v>
      </c>
      <c r="O1486" s="4093" t="s">
        <v>6470</v>
      </c>
      <c r="P1486" s="1825"/>
      <c r="Q1486" s="2151">
        <v>200000</v>
      </c>
      <c r="R1486" s="1825" t="s">
        <v>4603</v>
      </c>
      <c r="S1486" s="3404">
        <v>45646</v>
      </c>
      <c r="T1486" s="2151">
        <v>200000</v>
      </c>
      <c r="U1486" s="3404">
        <v>45646</v>
      </c>
      <c r="V1486" s="1825">
        <v>200000</v>
      </c>
      <c r="W1486" s="3404">
        <v>45677</v>
      </c>
      <c r="X1486" s="1825">
        <v>200000</v>
      </c>
      <c r="Y1486" s="3404">
        <v>45681</v>
      </c>
      <c r="Z1486" s="3117"/>
      <c r="AA1486" s="3117"/>
      <c r="AB1486" s="3117"/>
      <c r="AC1486" s="3117"/>
      <c r="AD1486" s="3117"/>
      <c r="AE1486" s="3117"/>
      <c r="AF1486" s="3117"/>
      <c r="AG1486" s="3117"/>
      <c r="AH1486" s="3117"/>
      <c r="AI1486" s="3117"/>
    </row>
    <row r="1487" s="32" customFormat="1" ht="33" customHeight="1" spans="1:35">
      <c r="A1487" s="2154"/>
      <c r="B1487" s="3295"/>
      <c r="C1487" s="4077"/>
      <c r="D1487" s="1842"/>
      <c r="E1487" s="2112"/>
      <c r="F1487" s="2112"/>
      <c r="G1487" s="2154"/>
      <c r="H1487" s="2112"/>
      <c r="I1487" s="2154"/>
      <c r="J1487" s="2112"/>
      <c r="K1487" s="3334"/>
      <c r="L1487" s="1825" t="s">
        <v>26</v>
      </c>
      <c r="M1487" s="2112"/>
      <c r="N1487" s="3035" t="s">
        <v>6471</v>
      </c>
      <c r="O1487" s="4094" t="s">
        <v>6460</v>
      </c>
      <c r="P1487" s="1825"/>
      <c r="Q1487" s="2151">
        <v>280000</v>
      </c>
      <c r="R1487" s="1825" t="s">
        <v>4603</v>
      </c>
      <c r="S1487" s="3404">
        <v>45646</v>
      </c>
      <c r="T1487" s="2151">
        <v>280000</v>
      </c>
      <c r="U1487" s="3404">
        <v>45646</v>
      </c>
      <c r="V1487" s="1825">
        <v>280000</v>
      </c>
      <c r="W1487" s="3404">
        <v>45649</v>
      </c>
      <c r="X1487" s="1825">
        <v>280000</v>
      </c>
      <c r="Y1487" s="3404">
        <v>45652</v>
      </c>
      <c r="Z1487" s="3117"/>
      <c r="AA1487" s="3117"/>
      <c r="AB1487" s="3117"/>
      <c r="AC1487" s="3117"/>
      <c r="AD1487" s="3117"/>
      <c r="AE1487" s="3117"/>
      <c r="AF1487" s="3117"/>
      <c r="AG1487" s="3117"/>
      <c r="AH1487" s="3117"/>
      <c r="AI1487" s="3117"/>
    </row>
    <row r="1488" s="32" customFormat="1" ht="33" customHeight="1" spans="1:35">
      <c r="A1488" s="2154"/>
      <c r="B1488" s="3295"/>
      <c r="C1488" s="4077"/>
      <c r="D1488" s="1842"/>
      <c r="E1488" s="2112"/>
      <c r="F1488" s="2112"/>
      <c r="G1488" s="2154"/>
      <c r="H1488" s="2112"/>
      <c r="I1488" s="2154"/>
      <c r="J1488" s="2112"/>
      <c r="K1488" s="3334"/>
      <c r="L1488" s="1825"/>
      <c r="M1488" s="2112"/>
      <c r="N1488" s="3035"/>
      <c r="O1488" s="4093"/>
      <c r="P1488" s="1825"/>
      <c r="Q1488" s="1825"/>
      <c r="R1488" s="1825"/>
      <c r="S1488" s="3404"/>
      <c r="T1488" s="1825"/>
      <c r="U1488" s="3404"/>
      <c r="V1488" s="1825"/>
      <c r="W1488" s="3433"/>
      <c r="X1488" s="1825"/>
      <c r="Y1488" s="3404"/>
      <c r="Z1488" s="3117"/>
      <c r="AA1488" s="3117"/>
      <c r="AB1488" s="3117"/>
      <c r="AC1488" s="3117"/>
      <c r="AD1488" s="3117"/>
      <c r="AE1488" s="3117"/>
      <c r="AF1488" s="3117"/>
      <c r="AG1488" s="3117"/>
      <c r="AH1488" s="3117"/>
      <c r="AI1488" s="3117"/>
    </row>
    <row r="1489" s="32" customFormat="1" ht="16" spans="1:35">
      <c r="A1489" s="2152" t="s">
        <v>2570</v>
      </c>
      <c r="B1489" s="3293">
        <v>44824</v>
      </c>
      <c r="C1489" s="3006" t="s">
        <v>6472</v>
      </c>
      <c r="D1489" s="3117"/>
      <c r="E1489" s="2109" t="s">
        <v>6473</v>
      </c>
      <c r="F1489" s="2109" t="s">
        <v>6474</v>
      </c>
      <c r="G1489" s="2152" t="s">
        <v>286</v>
      </c>
      <c r="H1489" s="2109" t="s">
        <v>6475</v>
      </c>
      <c r="I1489" s="2152" t="s">
        <v>171</v>
      </c>
      <c r="J1489" s="2109" t="s">
        <v>6476</v>
      </c>
      <c r="K1489" s="3063">
        <v>900000</v>
      </c>
      <c r="L1489" s="1825" t="s">
        <v>26</v>
      </c>
      <c r="M1489" s="2152">
        <v>1</v>
      </c>
      <c r="N1489" s="4095" t="s">
        <v>6477</v>
      </c>
      <c r="O1489" s="1824" t="s">
        <v>6478</v>
      </c>
      <c r="P1489" s="2109" t="s">
        <v>6479</v>
      </c>
      <c r="Q1489" s="4099">
        <v>50000</v>
      </c>
      <c r="R1489" s="1825" t="s">
        <v>4603</v>
      </c>
      <c r="S1489" s="3404">
        <v>45530</v>
      </c>
      <c r="T1489" s="4099">
        <v>50000</v>
      </c>
      <c r="U1489" s="3404">
        <v>45530</v>
      </c>
      <c r="V1489" s="4099">
        <v>50000</v>
      </c>
      <c r="W1489" s="3404">
        <v>45532</v>
      </c>
      <c r="X1489" s="4099">
        <v>50000</v>
      </c>
      <c r="Y1489" s="3404">
        <v>45534</v>
      </c>
      <c r="Z1489" s="3117">
        <f>Q1489-X1489</f>
        <v>0</v>
      </c>
      <c r="AA1489" s="3117"/>
      <c r="AB1489" s="3117"/>
      <c r="AC1489" s="3117"/>
      <c r="AD1489" s="3117"/>
      <c r="AE1489" s="3117"/>
      <c r="AF1489" s="3117"/>
      <c r="AG1489" s="3117"/>
      <c r="AH1489" s="3117"/>
      <c r="AI1489" s="3117"/>
    </row>
    <row r="1490" s="32" customFormat="1" ht="20" customHeight="1" spans="1:35">
      <c r="A1490" s="2154"/>
      <c r="B1490" s="3295"/>
      <c r="C1490" s="3007"/>
      <c r="D1490" s="3117"/>
      <c r="E1490" s="2112"/>
      <c r="F1490" s="2112"/>
      <c r="G1490" s="2154"/>
      <c r="H1490" s="2112"/>
      <c r="I1490" s="2154"/>
      <c r="J1490" s="2112"/>
      <c r="K1490" s="3334"/>
      <c r="L1490" s="1825" t="s">
        <v>26</v>
      </c>
      <c r="M1490" s="2154"/>
      <c r="N1490" s="4095" t="s">
        <v>6480</v>
      </c>
      <c r="O1490" s="1824"/>
      <c r="P1490" s="3321"/>
      <c r="Q1490" s="4099">
        <v>50000</v>
      </c>
      <c r="R1490" s="1825" t="s">
        <v>4603</v>
      </c>
      <c r="S1490" s="3404">
        <v>45530</v>
      </c>
      <c r="T1490" s="4099">
        <v>50000</v>
      </c>
      <c r="U1490" s="3404">
        <v>45530</v>
      </c>
      <c r="V1490" s="4099">
        <v>50000</v>
      </c>
      <c r="W1490" s="3404">
        <v>45532</v>
      </c>
      <c r="X1490" s="4099">
        <v>50000</v>
      </c>
      <c r="Y1490" s="3404">
        <v>45534</v>
      </c>
      <c r="Z1490" s="3117">
        <f>Q1490-X1490</f>
        <v>0</v>
      </c>
      <c r="AA1490" s="3117"/>
      <c r="AB1490" s="3117"/>
      <c r="AC1490" s="3117"/>
      <c r="AD1490" s="3117"/>
      <c r="AE1490" s="3117"/>
      <c r="AF1490" s="3117"/>
      <c r="AG1490" s="3117"/>
      <c r="AH1490" s="3117"/>
      <c r="AI1490" s="3117"/>
    </row>
    <row r="1491" s="32" customFormat="1" ht="20" customHeight="1" spans="1:35">
      <c r="A1491" s="2154"/>
      <c r="B1491" s="3295"/>
      <c r="C1491" s="3007"/>
      <c r="D1491" s="3117"/>
      <c r="E1491" s="2112"/>
      <c r="F1491" s="2112"/>
      <c r="G1491" s="2154"/>
      <c r="H1491" s="2112"/>
      <c r="I1491" s="2154"/>
      <c r="J1491" s="2112"/>
      <c r="K1491" s="3334"/>
      <c r="L1491" s="1825" t="s">
        <v>26</v>
      </c>
      <c r="M1491" s="2154"/>
      <c r="N1491" s="4095" t="s">
        <v>6481</v>
      </c>
      <c r="O1491" s="1824"/>
      <c r="P1491" s="3321"/>
      <c r="Q1491" s="4099">
        <v>50000</v>
      </c>
      <c r="R1491" s="1825" t="s">
        <v>4603</v>
      </c>
      <c r="S1491" s="3404">
        <v>45530</v>
      </c>
      <c r="T1491" s="4099">
        <v>50000</v>
      </c>
      <c r="U1491" s="3404">
        <v>45530</v>
      </c>
      <c r="V1491" s="4099">
        <v>50000</v>
      </c>
      <c r="W1491" s="3404">
        <v>45532</v>
      </c>
      <c r="X1491" s="4099">
        <v>50000</v>
      </c>
      <c r="Y1491" s="3404">
        <v>45534</v>
      </c>
      <c r="Z1491" s="3117">
        <f>Q1491-X1491</f>
        <v>0</v>
      </c>
      <c r="AA1491" s="3117"/>
      <c r="AB1491" s="3117"/>
      <c r="AC1491" s="3117"/>
      <c r="AD1491" s="3117"/>
      <c r="AE1491" s="3117"/>
      <c r="AF1491" s="3117"/>
      <c r="AG1491" s="3117"/>
      <c r="AH1491" s="3117"/>
      <c r="AI1491" s="3117"/>
    </row>
    <row r="1492" s="32" customFormat="1" ht="20" customHeight="1" spans="1:35">
      <c r="A1492" s="2154"/>
      <c r="B1492" s="3295"/>
      <c r="C1492" s="3007"/>
      <c r="D1492" s="3117"/>
      <c r="E1492" s="2112"/>
      <c r="F1492" s="2112"/>
      <c r="G1492" s="2154"/>
      <c r="H1492" s="2112"/>
      <c r="I1492" s="2154"/>
      <c r="J1492" s="2112"/>
      <c r="K1492" s="3334"/>
      <c r="L1492" s="1825" t="s">
        <v>26</v>
      </c>
      <c r="M1492" s="1842"/>
      <c r="N1492" s="4095" t="s">
        <v>6482</v>
      </c>
      <c r="O1492" s="1824"/>
      <c r="P1492" s="3321"/>
      <c r="Q1492" s="4099">
        <v>50000</v>
      </c>
      <c r="R1492" s="1825" t="s">
        <v>4603</v>
      </c>
      <c r="S1492" s="3404">
        <v>45530</v>
      </c>
      <c r="T1492" s="4099">
        <v>50000</v>
      </c>
      <c r="U1492" s="3404">
        <v>45530</v>
      </c>
      <c r="V1492" s="4099">
        <v>50000</v>
      </c>
      <c r="W1492" s="3404">
        <v>45532</v>
      </c>
      <c r="X1492" s="4099">
        <v>50000</v>
      </c>
      <c r="Y1492" s="3404">
        <v>45534</v>
      </c>
      <c r="Z1492" s="3117">
        <f>Q1492-X1492</f>
        <v>0</v>
      </c>
      <c r="AA1492" s="3117"/>
      <c r="AB1492" s="3117"/>
      <c r="AC1492" s="3117"/>
      <c r="AD1492" s="3117"/>
      <c r="AE1492" s="3117"/>
      <c r="AF1492" s="3117"/>
      <c r="AG1492" s="3117"/>
      <c r="AH1492" s="3117"/>
      <c r="AI1492" s="3117"/>
    </row>
    <row r="1493" s="32" customFormat="1" ht="29.25" customHeight="1" spans="1:35">
      <c r="A1493" s="2154"/>
      <c r="B1493" s="3295"/>
      <c r="C1493" s="3007"/>
      <c r="D1493" s="3117"/>
      <c r="E1493" s="2112"/>
      <c r="F1493" s="2112"/>
      <c r="G1493" s="2154"/>
      <c r="H1493" s="2112"/>
      <c r="I1493" s="2154"/>
      <c r="J1493" s="2112"/>
      <c r="K1493" s="3334"/>
      <c r="L1493" s="1825" t="s">
        <v>26</v>
      </c>
      <c r="M1493" s="3119">
        <v>2</v>
      </c>
      <c r="N1493" s="1824" t="s">
        <v>6483</v>
      </c>
      <c r="O1493" s="1824" t="s">
        <v>6478</v>
      </c>
      <c r="P1493" s="3321"/>
      <c r="Q1493" s="4099">
        <v>50000</v>
      </c>
      <c r="R1493" s="1825" t="s">
        <v>4603</v>
      </c>
      <c r="S1493" s="3404">
        <v>45555</v>
      </c>
      <c r="T1493" s="3117">
        <v>50000</v>
      </c>
      <c r="U1493" s="3433">
        <v>45555</v>
      </c>
      <c r="V1493" s="3403">
        <v>50000</v>
      </c>
      <c r="W1493" s="3404">
        <v>45558</v>
      </c>
      <c r="X1493" s="3403">
        <v>50000</v>
      </c>
      <c r="Y1493" s="3404">
        <v>45565</v>
      </c>
      <c r="Z1493" s="3117"/>
      <c r="AA1493" s="3117"/>
      <c r="AB1493" s="3117"/>
      <c r="AC1493" s="3117"/>
      <c r="AD1493" s="3117"/>
      <c r="AE1493" s="3117"/>
      <c r="AF1493" s="3117"/>
      <c r="AG1493" s="3117"/>
      <c r="AH1493" s="3117"/>
      <c r="AI1493" s="3117"/>
    </row>
    <row r="1494" s="32" customFormat="1" ht="30.75" customHeight="1" spans="1:35">
      <c r="A1494" s="2154"/>
      <c r="B1494" s="3295"/>
      <c r="C1494" s="3007"/>
      <c r="D1494" s="3117"/>
      <c r="E1494" s="2112"/>
      <c r="F1494" s="2112"/>
      <c r="G1494" s="2154"/>
      <c r="H1494" s="2112"/>
      <c r="I1494" s="2154"/>
      <c r="J1494" s="2112"/>
      <c r="K1494" s="3334"/>
      <c r="L1494" s="1825" t="s">
        <v>26</v>
      </c>
      <c r="M1494" s="3297"/>
      <c r="N1494" s="1824" t="s">
        <v>6484</v>
      </c>
      <c r="O1494" s="1824"/>
      <c r="P1494" s="3321"/>
      <c r="Q1494" s="4099">
        <v>50000</v>
      </c>
      <c r="R1494" s="1825" t="s">
        <v>4603</v>
      </c>
      <c r="S1494" s="3404">
        <v>45555</v>
      </c>
      <c r="T1494" s="3117">
        <v>50000</v>
      </c>
      <c r="U1494" s="3433">
        <v>45555</v>
      </c>
      <c r="V1494" s="3403">
        <v>50000</v>
      </c>
      <c r="W1494" s="3404">
        <v>45558</v>
      </c>
      <c r="X1494" s="3403">
        <v>50000</v>
      </c>
      <c r="Y1494" s="3404">
        <v>45565</v>
      </c>
      <c r="Z1494" s="3117"/>
      <c r="AA1494" s="3117"/>
      <c r="AB1494" s="3117"/>
      <c r="AC1494" s="3117"/>
      <c r="AD1494" s="3117"/>
      <c r="AE1494" s="3117"/>
      <c r="AF1494" s="3117"/>
      <c r="AG1494" s="3117"/>
      <c r="AH1494" s="3117"/>
      <c r="AI1494" s="3117"/>
    </row>
    <row r="1495" s="32" customFormat="1" ht="30.75" customHeight="1" spans="1:35">
      <c r="A1495" s="1842"/>
      <c r="B1495" s="3298"/>
      <c r="C1495" s="4078"/>
      <c r="D1495" s="3117"/>
      <c r="E1495" s="1969"/>
      <c r="F1495" s="1969"/>
      <c r="G1495" s="1842"/>
      <c r="H1495" s="1969"/>
      <c r="I1495" s="1842"/>
      <c r="J1495" s="1969"/>
      <c r="K1495" s="3335"/>
      <c r="L1495" s="1825" t="s">
        <v>27</v>
      </c>
      <c r="M1495" s="3297">
        <v>3</v>
      </c>
      <c r="N1495" s="1824" t="s">
        <v>6485</v>
      </c>
      <c r="O1495" s="1824" t="s">
        <v>6460</v>
      </c>
      <c r="P1495" s="3322"/>
      <c r="Q1495" s="4099">
        <v>270000</v>
      </c>
      <c r="R1495" s="1825" t="s">
        <v>4603</v>
      </c>
      <c r="S1495" s="3404">
        <v>45588</v>
      </c>
      <c r="T1495" s="4099">
        <v>270000</v>
      </c>
      <c r="U1495" s="3404">
        <v>45588</v>
      </c>
      <c r="V1495" s="4099">
        <v>270000</v>
      </c>
      <c r="W1495" s="3404">
        <v>45590</v>
      </c>
      <c r="X1495" s="4099">
        <v>270000</v>
      </c>
      <c r="Y1495" s="3404">
        <v>45595</v>
      </c>
      <c r="Z1495" s="3117"/>
      <c r="AA1495" s="3117"/>
      <c r="AB1495" s="3117"/>
      <c r="AC1495" s="3117"/>
      <c r="AD1495" s="3117"/>
      <c r="AE1495" s="3117"/>
      <c r="AF1495" s="3117"/>
      <c r="AG1495" s="3117"/>
      <c r="AH1495" s="3117"/>
      <c r="AI1495" s="3117"/>
    </row>
    <row r="1496" s="32" customFormat="1" ht="79.5" customHeight="1" spans="1:35">
      <c r="A1496" s="2152" t="s">
        <v>2570</v>
      </c>
      <c r="B1496" s="3293">
        <v>44824</v>
      </c>
      <c r="C1496" s="4076" t="s">
        <v>6452</v>
      </c>
      <c r="D1496" s="3117"/>
      <c r="E1496" s="2109" t="s">
        <v>6473</v>
      </c>
      <c r="F1496" s="2109" t="s">
        <v>6486</v>
      </c>
      <c r="G1496" s="2152" t="s">
        <v>286</v>
      </c>
      <c r="H1496" s="2109" t="s">
        <v>6063</v>
      </c>
      <c r="I1496" s="3119"/>
      <c r="J1496" s="2109" t="s">
        <v>6455</v>
      </c>
      <c r="K1496" s="3063">
        <v>900000</v>
      </c>
      <c r="L1496" s="1825" t="s">
        <v>27</v>
      </c>
      <c r="M1496" s="3119">
        <v>1</v>
      </c>
      <c r="N1496" s="1825" t="s">
        <v>6487</v>
      </c>
      <c r="O1496" s="1824" t="s">
        <v>6460</v>
      </c>
      <c r="P1496" s="3117"/>
      <c r="Q1496" s="4099">
        <v>50000</v>
      </c>
      <c r="R1496" s="1825" t="s">
        <v>4603</v>
      </c>
      <c r="S1496" s="3404">
        <v>45614</v>
      </c>
      <c r="T1496" s="4099">
        <v>50000</v>
      </c>
      <c r="U1496" s="3404">
        <v>45614</v>
      </c>
      <c r="V1496" s="4099">
        <v>50000</v>
      </c>
      <c r="W1496" s="3433">
        <v>45621</v>
      </c>
      <c r="X1496" s="4099">
        <v>50000</v>
      </c>
      <c r="Y1496" s="3404">
        <v>45650</v>
      </c>
      <c r="Z1496" s="3117"/>
      <c r="AA1496" s="3117"/>
      <c r="AB1496" s="3117"/>
      <c r="AC1496" s="3117"/>
      <c r="AD1496" s="3117"/>
      <c r="AE1496" s="3117"/>
      <c r="AF1496" s="3117"/>
      <c r="AG1496" s="3117"/>
      <c r="AH1496" s="3117"/>
      <c r="AI1496" s="3117"/>
    </row>
    <row r="1497" s="32" customFormat="1" ht="45" customHeight="1" spans="1:35">
      <c r="A1497" s="2154"/>
      <c r="B1497" s="3295"/>
      <c r="C1497" s="4077"/>
      <c r="D1497" s="3119"/>
      <c r="E1497" s="2112"/>
      <c r="F1497" s="2112"/>
      <c r="G1497" s="2154"/>
      <c r="H1497" s="2112"/>
      <c r="I1497" s="3294"/>
      <c r="J1497" s="2112"/>
      <c r="K1497" s="3334"/>
      <c r="L1497" s="1825" t="s">
        <v>27</v>
      </c>
      <c r="M1497" s="3294"/>
      <c r="N1497" s="1825" t="s">
        <v>6488</v>
      </c>
      <c r="O1497" s="1824" t="s">
        <v>6460</v>
      </c>
      <c r="P1497" s="3117"/>
      <c r="Q1497" s="4099">
        <v>50000</v>
      </c>
      <c r="R1497" s="1825" t="s">
        <v>4603</v>
      </c>
      <c r="S1497" s="3404">
        <v>45614</v>
      </c>
      <c r="T1497" s="4099">
        <v>50000</v>
      </c>
      <c r="U1497" s="3404">
        <v>45614</v>
      </c>
      <c r="V1497" s="4099">
        <v>50000</v>
      </c>
      <c r="W1497" s="2397">
        <v>45621</v>
      </c>
      <c r="X1497" s="4099">
        <v>50000</v>
      </c>
      <c r="Y1497" s="3404">
        <v>45650</v>
      </c>
      <c r="Z1497" s="3117"/>
      <c r="AA1497" s="3117"/>
      <c r="AB1497" s="3117"/>
      <c r="AC1497" s="3117"/>
      <c r="AD1497" s="3117"/>
      <c r="AE1497" s="3117"/>
      <c r="AF1497" s="3117"/>
      <c r="AG1497" s="3117"/>
      <c r="AH1497" s="3117"/>
      <c r="AI1497" s="3117"/>
    </row>
    <row r="1498" s="32" customFormat="1" ht="45" customHeight="1" spans="1:35">
      <c r="A1498" s="2154"/>
      <c r="B1498" s="3295"/>
      <c r="C1498" s="4077"/>
      <c r="D1498" s="3119"/>
      <c r="E1498" s="2112"/>
      <c r="F1498" s="2112"/>
      <c r="G1498" s="2154"/>
      <c r="H1498" s="2112"/>
      <c r="I1498" s="3294"/>
      <c r="J1498" s="2112"/>
      <c r="K1498" s="3334"/>
      <c r="L1498" s="1825" t="s">
        <v>27</v>
      </c>
      <c r="M1498" s="3294"/>
      <c r="N1498" s="1825" t="s">
        <v>6489</v>
      </c>
      <c r="O1498" s="1824" t="s">
        <v>6460</v>
      </c>
      <c r="P1498" s="3117"/>
      <c r="Q1498" s="4099">
        <v>50000</v>
      </c>
      <c r="R1498" s="1825" t="s">
        <v>4603</v>
      </c>
      <c r="S1498" s="3404">
        <v>45614</v>
      </c>
      <c r="T1498" s="4099">
        <v>50000</v>
      </c>
      <c r="U1498" s="3404">
        <v>45614</v>
      </c>
      <c r="V1498" s="4099">
        <v>50000</v>
      </c>
      <c r="W1498" s="2397">
        <v>45642</v>
      </c>
      <c r="X1498" s="4099">
        <v>50000</v>
      </c>
      <c r="Y1498" s="3404">
        <v>45650</v>
      </c>
      <c r="Z1498" s="3117"/>
      <c r="AA1498" s="3117"/>
      <c r="AB1498" s="3117"/>
      <c r="AC1498" s="3117"/>
      <c r="AD1498" s="3117"/>
      <c r="AE1498" s="3117"/>
      <c r="AF1498" s="3117"/>
      <c r="AG1498" s="3117"/>
      <c r="AH1498" s="3117"/>
      <c r="AI1498" s="3117"/>
    </row>
    <row r="1499" s="32" customFormat="1" ht="45" customHeight="1" spans="1:35">
      <c r="A1499" s="2154"/>
      <c r="B1499" s="3295"/>
      <c r="C1499" s="4077"/>
      <c r="D1499" s="3119"/>
      <c r="E1499" s="2112"/>
      <c r="F1499" s="2112"/>
      <c r="G1499" s="2154"/>
      <c r="H1499" s="2112"/>
      <c r="I1499" s="3294"/>
      <c r="J1499" s="2112"/>
      <c r="K1499" s="3334"/>
      <c r="L1499" s="1825" t="s">
        <v>27</v>
      </c>
      <c r="M1499" s="3297"/>
      <c r="N1499" s="1825" t="s">
        <v>6490</v>
      </c>
      <c r="O1499" s="1824" t="s">
        <v>6460</v>
      </c>
      <c r="P1499" s="3117"/>
      <c r="Q1499" s="4099">
        <v>50000</v>
      </c>
      <c r="R1499" s="1825" t="s">
        <v>4603</v>
      </c>
      <c r="S1499" s="3404">
        <v>45614</v>
      </c>
      <c r="T1499" s="4099">
        <v>50000</v>
      </c>
      <c r="U1499" s="3404">
        <v>45614</v>
      </c>
      <c r="V1499" s="4099">
        <v>50000</v>
      </c>
      <c r="W1499" s="2397">
        <v>45642</v>
      </c>
      <c r="X1499" s="4099">
        <v>50000</v>
      </c>
      <c r="Y1499" s="3404">
        <v>45650</v>
      </c>
      <c r="Z1499" s="3117"/>
      <c r="AA1499" s="3117"/>
      <c r="AB1499" s="3117"/>
      <c r="AC1499" s="3117"/>
      <c r="AD1499" s="3117"/>
      <c r="AE1499" s="3117"/>
      <c r="AF1499" s="3117"/>
      <c r="AG1499" s="3117"/>
      <c r="AH1499" s="3117"/>
      <c r="AI1499" s="3117"/>
    </row>
    <row r="1500" s="32" customFormat="1" ht="45" customHeight="1" spans="1:35">
      <c r="A1500" s="2152" t="s">
        <v>2570</v>
      </c>
      <c r="B1500" s="3293">
        <v>44883</v>
      </c>
      <c r="C1500" s="3006" t="s">
        <v>6491</v>
      </c>
      <c r="D1500" s="3119"/>
      <c r="E1500" s="2109" t="s">
        <v>6473</v>
      </c>
      <c r="F1500" s="2109" t="s">
        <v>6492</v>
      </c>
      <c r="G1500" s="2152" t="s">
        <v>286</v>
      </c>
      <c r="H1500" s="2109" t="s">
        <v>6493</v>
      </c>
      <c r="I1500" s="3119"/>
      <c r="J1500" s="2109" t="s">
        <v>6494</v>
      </c>
      <c r="K1500" s="3063">
        <v>900000</v>
      </c>
      <c r="L1500" s="1825" t="s">
        <v>26</v>
      </c>
      <c r="M1500" s="3117">
        <v>1</v>
      </c>
      <c r="N1500" s="185" t="s">
        <v>6495</v>
      </c>
      <c r="O1500" s="4096">
        <f>P1500/900000</f>
        <v>0.106666666666667</v>
      </c>
      <c r="P1500" s="3117">
        <f>48000*2</f>
        <v>96000</v>
      </c>
      <c r="Q1500" s="3403">
        <v>96000</v>
      </c>
      <c r="R1500" s="3403" t="s">
        <v>4603</v>
      </c>
      <c r="S1500" s="2397">
        <v>45010</v>
      </c>
      <c r="T1500" s="3403">
        <v>96000</v>
      </c>
      <c r="U1500" s="2397">
        <v>45010</v>
      </c>
      <c r="V1500" s="3403">
        <v>96000</v>
      </c>
      <c r="W1500" s="3433">
        <v>45089</v>
      </c>
      <c r="X1500" s="3403">
        <v>96000</v>
      </c>
      <c r="Y1500" s="2397">
        <v>45098</v>
      </c>
      <c r="Z1500" s="3117"/>
      <c r="AA1500" s="3117"/>
      <c r="AB1500" s="3117"/>
      <c r="AC1500" s="3117"/>
      <c r="AD1500" s="3117"/>
      <c r="AE1500" s="3117"/>
      <c r="AF1500" s="3117"/>
      <c r="AG1500" s="3117"/>
      <c r="AH1500" s="3117"/>
      <c r="AI1500" s="3117"/>
    </row>
    <row r="1501" s="32" customFormat="1" ht="111.75" customHeight="1" spans="1:35">
      <c r="A1501" s="2154"/>
      <c r="B1501" s="3295"/>
      <c r="C1501" s="3007"/>
      <c r="D1501" s="3294"/>
      <c r="E1501" s="2112"/>
      <c r="F1501" s="2112"/>
      <c r="G1501" s="2154"/>
      <c r="H1501" s="2112"/>
      <c r="I1501" s="3294"/>
      <c r="J1501" s="2112"/>
      <c r="K1501" s="3334"/>
      <c r="L1501" s="1825" t="s">
        <v>27</v>
      </c>
      <c r="M1501" s="3117">
        <v>1</v>
      </c>
      <c r="N1501" s="1824" t="s">
        <v>6496</v>
      </c>
      <c r="O1501" s="4096">
        <f>P1501/900000</f>
        <v>0.266666666666667</v>
      </c>
      <c r="P1501" s="3117">
        <f>5*48000</f>
        <v>240000</v>
      </c>
      <c r="Q1501" s="3403">
        <v>240000</v>
      </c>
      <c r="R1501" s="3403" t="s">
        <v>4603</v>
      </c>
      <c r="S1501" s="2397">
        <v>45010</v>
      </c>
      <c r="T1501" s="3403">
        <v>240000</v>
      </c>
      <c r="U1501" s="2397">
        <v>45010</v>
      </c>
      <c r="V1501" s="3403">
        <v>240000</v>
      </c>
      <c r="W1501" s="3433">
        <v>45089</v>
      </c>
      <c r="X1501" s="3403">
        <v>240000</v>
      </c>
      <c r="Y1501" s="2397">
        <v>45098</v>
      </c>
      <c r="Z1501" s="3117"/>
      <c r="AA1501" s="3117"/>
      <c r="AB1501" s="3117"/>
      <c r="AC1501" s="3117"/>
      <c r="AD1501" s="3117"/>
      <c r="AE1501" s="3117"/>
      <c r="AF1501" s="3117"/>
      <c r="AG1501" s="3117"/>
      <c r="AH1501" s="3117"/>
      <c r="AI1501" s="3117"/>
    </row>
    <row r="1502" s="32" customFormat="1" ht="42.75" customHeight="1" spans="1:35">
      <c r="A1502" s="2154"/>
      <c r="B1502" s="3295"/>
      <c r="C1502" s="3007"/>
      <c r="D1502" s="3294"/>
      <c r="E1502" s="2112"/>
      <c r="F1502" s="2112"/>
      <c r="G1502" s="2154"/>
      <c r="H1502" s="2112"/>
      <c r="I1502" s="3294"/>
      <c r="J1502" s="2112"/>
      <c r="K1502" s="3334"/>
      <c r="L1502" s="1825" t="s">
        <v>26</v>
      </c>
      <c r="M1502" s="3117">
        <v>2</v>
      </c>
      <c r="N1502" s="1825" t="s">
        <v>6497</v>
      </c>
      <c r="O1502" s="4096">
        <f>P1502/K1500</f>
        <v>0.106666666666667</v>
      </c>
      <c r="P1502" s="3403">
        <v>96000</v>
      </c>
      <c r="Q1502" s="3403">
        <v>96000</v>
      </c>
      <c r="R1502" s="1825" t="s">
        <v>4603</v>
      </c>
      <c r="S1502" s="2397">
        <v>45280</v>
      </c>
      <c r="T1502" s="3403">
        <v>96000</v>
      </c>
      <c r="U1502" s="2397">
        <v>45280</v>
      </c>
      <c r="V1502" s="3403">
        <v>96000</v>
      </c>
      <c r="W1502" s="3433">
        <v>45323</v>
      </c>
      <c r="X1502" s="3403">
        <v>96000</v>
      </c>
      <c r="Y1502" s="2397">
        <v>45370</v>
      </c>
      <c r="Z1502" s="3117"/>
      <c r="AA1502" s="3117"/>
      <c r="AB1502" s="3117"/>
      <c r="AC1502" s="3117"/>
      <c r="AD1502" s="3117"/>
      <c r="AE1502" s="3117"/>
      <c r="AF1502" s="3117"/>
      <c r="AG1502" s="3117"/>
      <c r="AH1502" s="3117"/>
      <c r="AI1502" s="3117"/>
    </row>
    <row r="1503" s="32" customFormat="1" ht="45" customHeight="1" spans="1:35">
      <c r="A1503" s="2154"/>
      <c r="B1503" s="3295"/>
      <c r="C1503" s="3007"/>
      <c r="D1503" s="3294"/>
      <c r="E1503" s="1969"/>
      <c r="F1503" s="2112"/>
      <c r="G1503" s="2154"/>
      <c r="H1503" s="2112"/>
      <c r="I1503" s="3294"/>
      <c r="J1503" s="2112"/>
      <c r="K1503" s="3335"/>
      <c r="L1503" s="1825"/>
      <c r="M1503" s="3117"/>
      <c r="N1503" s="1825"/>
      <c r="O1503" s="3117"/>
      <c r="P1503" s="3403"/>
      <c r="Q1503" s="3117"/>
      <c r="R1503" s="4100"/>
      <c r="S1503" s="3117"/>
      <c r="T1503" s="3117"/>
      <c r="U1503" s="3117"/>
      <c r="V1503" s="3117"/>
      <c r="W1503" s="3117"/>
      <c r="X1503" s="3117"/>
      <c r="Y1503" s="3117"/>
      <c r="Z1503" s="3117"/>
      <c r="AA1503" s="3117"/>
      <c r="AB1503" s="3117"/>
      <c r="AC1503" s="3117"/>
      <c r="AD1503" s="3117"/>
      <c r="AE1503" s="3117"/>
      <c r="AF1503" s="3117"/>
      <c r="AG1503" s="3117"/>
      <c r="AH1503" s="3117"/>
      <c r="AI1503" s="3117"/>
    </row>
    <row r="1504" s="32" customFormat="1" ht="79.5" customHeight="1" spans="1:35">
      <c r="A1504" s="2152" t="s">
        <v>2570</v>
      </c>
      <c r="B1504" s="3293">
        <v>44883</v>
      </c>
      <c r="C1504" s="4076" t="s">
        <v>6491</v>
      </c>
      <c r="D1504" s="3119"/>
      <c r="E1504" s="1824" t="s">
        <v>6473</v>
      </c>
      <c r="F1504" s="2109" t="s">
        <v>6498</v>
      </c>
      <c r="G1504" s="2152" t="s">
        <v>286</v>
      </c>
      <c r="H1504" s="2109" t="s">
        <v>4090</v>
      </c>
      <c r="I1504" s="3119"/>
      <c r="J1504" s="2109" t="s">
        <v>6499</v>
      </c>
      <c r="K1504" s="3061">
        <v>900000</v>
      </c>
      <c r="L1504" s="1825" t="s">
        <v>27</v>
      </c>
      <c r="M1504" s="3117">
        <v>1</v>
      </c>
      <c r="N1504" s="1824" t="s">
        <v>6500</v>
      </c>
      <c r="O1504" s="3117"/>
      <c r="P1504" s="3403">
        <v>96000</v>
      </c>
      <c r="Q1504" s="3403">
        <v>96000</v>
      </c>
      <c r="R1504" s="1825" t="s">
        <v>4603</v>
      </c>
      <c r="S1504" s="2397">
        <v>45280</v>
      </c>
      <c r="T1504" s="3403">
        <v>96000</v>
      </c>
      <c r="U1504" s="2397">
        <v>45280</v>
      </c>
      <c r="V1504" s="3403">
        <v>96000</v>
      </c>
      <c r="W1504" s="3433">
        <v>45345</v>
      </c>
      <c r="X1504" s="3403">
        <v>96000</v>
      </c>
      <c r="Y1504" s="2397">
        <v>45408</v>
      </c>
      <c r="Z1504" s="3117"/>
      <c r="AA1504" s="3117"/>
      <c r="AB1504" s="3117"/>
      <c r="AC1504" s="3117"/>
      <c r="AD1504" s="3117"/>
      <c r="AE1504" s="3117"/>
      <c r="AF1504" s="3117"/>
      <c r="AG1504" s="3117"/>
      <c r="AH1504" s="3117"/>
      <c r="AI1504" s="3117"/>
    </row>
    <row r="1505" s="32" customFormat="1" ht="99.75" customHeight="1" spans="1:35">
      <c r="A1505" s="2152" t="s">
        <v>2570</v>
      </c>
      <c r="B1505" s="4079">
        <v>44830</v>
      </c>
      <c r="C1505" s="4076" t="s">
        <v>6501</v>
      </c>
      <c r="D1505" s="3119"/>
      <c r="E1505" s="2109" t="s">
        <v>6473</v>
      </c>
      <c r="F1505" s="2109" t="s">
        <v>6502</v>
      </c>
      <c r="G1505" s="2152" t="s">
        <v>286</v>
      </c>
      <c r="H1505" s="3320" t="s">
        <v>6503</v>
      </c>
      <c r="I1505" s="3119"/>
      <c r="J1505" s="2109" t="s">
        <v>6504</v>
      </c>
      <c r="K1505" s="3063">
        <v>900000</v>
      </c>
      <c r="L1505" s="2152" t="s">
        <v>26</v>
      </c>
      <c r="M1505" s="3117">
        <v>1</v>
      </c>
      <c r="N1505" s="1825" t="s">
        <v>6505</v>
      </c>
      <c r="O1505" s="1824" t="s">
        <v>6506</v>
      </c>
      <c r="P1505" s="3117">
        <v>48000</v>
      </c>
      <c r="Q1505" s="3117">
        <v>48000</v>
      </c>
      <c r="R1505" s="1825" t="s">
        <v>4603</v>
      </c>
      <c r="S1505" s="3433">
        <v>44931</v>
      </c>
      <c r="T1505" s="3117">
        <v>48000</v>
      </c>
      <c r="U1505" s="3433">
        <v>44931</v>
      </c>
      <c r="V1505" s="3117">
        <v>48000</v>
      </c>
      <c r="W1505" s="3433">
        <v>44932</v>
      </c>
      <c r="X1505" s="3117">
        <v>48000</v>
      </c>
      <c r="Y1505" s="3433">
        <v>44951</v>
      </c>
      <c r="Z1505" s="3117"/>
      <c r="AA1505" s="3117"/>
      <c r="AB1505" s="3117"/>
      <c r="AC1505" s="3117"/>
      <c r="AD1505" s="3117"/>
      <c r="AE1505" s="3117"/>
      <c r="AF1505" s="3117"/>
      <c r="AG1505" s="3117"/>
      <c r="AH1505" s="3117"/>
      <c r="AI1505" s="3117"/>
    </row>
    <row r="1506" s="32" customFormat="1" ht="99.75" customHeight="1" spans="1:35">
      <c r="A1506" s="2154"/>
      <c r="B1506" s="4080"/>
      <c r="C1506" s="4077"/>
      <c r="D1506" s="3119"/>
      <c r="E1506" s="2112"/>
      <c r="F1506" s="2112"/>
      <c r="G1506" s="2154"/>
      <c r="H1506" s="3321"/>
      <c r="I1506" s="3294"/>
      <c r="J1506" s="2112"/>
      <c r="K1506" s="3334"/>
      <c r="L1506" s="2152" t="s">
        <v>26</v>
      </c>
      <c r="M1506" s="3117">
        <v>2</v>
      </c>
      <c r="N1506" s="1825" t="s">
        <v>6507</v>
      </c>
      <c r="O1506" s="1824" t="s">
        <v>6506</v>
      </c>
      <c r="P1506" s="3117">
        <v>48000</v>
      </c>
      <c r="Q1506" s="4101">
        <v>48000</v>
      </c>
      <c r="R1506" s="4102" t="s">
        <v>4603</v>
      </c>
      <c r="S1506" s="4103">
        <v>45645</v>
      </c>
      <c r="T1506" s="1897">
        <v>48000</v>
      </c>
      <c r="U1506" s="3404">
        <v>45645</v>
      </c>
      <c r="V1506" s="3117">
        <v>48000</v>
      </c>
      <c r="W1506" s="3433">
        <v>45706</v>
      </c>
      <c r="X1506" s="4111">
        <v>48000</v>
      </c>
      <c r="Y1506" s="3433">
        <v>45716</v>
      </c>
      <c r="Z1506" s="3117"/>
      <c r="AA1506" s="3117"/>
      <c r="AB1506" s="3117"/>
      <c r="AC1506" s="3117"/>
      <c r="AD1506" s="3117"/>
      <c r="AE1506" s="3117"/>
      <c r="AF1506" s="3117"/>
      <c r="AG1506" s="3117"/>
      <c r="AH1506" s="3117"/>
      <c r="AI1506" s="3117"/>
    </row>
    <row r="1507" s="32" customFormat="1" ht="36" customHeight="1" spans="1:35">
      <c r="A1507" s="2152" t="s">
        <v>2570</v>
      </c>
      <c r="B1507" s="3293">
        <v>44830</v>
      </c>
      <c r="C1507" s="4076" t="s">
        <v>6501</v>
      </c>
      <c r="D1507" s="3119"/>
      <c r="E1507" s="2109" t="s">
        <v>6473</v>
      </c>
      <c r="F1507" s="2109" t="s">
        <v>6508</v>
      </c>
      <c r="G1507" s="2152" t="s">
        <v>286</v>
      </c>
      <c r="H1507" s="3320" t="s">
        <v>6509</v>
      </c>
      <c r="I1507" s="3119"/>
      <c r="J1507" s="2109" t="s">
        <v>6504</v>
      </c>
      <c r="K1507" s="3063">
        <v>900000</v>
      </c>
      <c r="L1507" s="2152" t="s">
        <v>26</v>
      </c>
      <c r="M1507" s="3117">
        <v>1</v>
      </c>
      <c r="N1507" s="1824" t="s">
        <v>6510</v>
      </c>
      <c r="O1507" s="1824" t="s">
        <v>6511</v>
      </c>
      <c r="P1507" s="3117">
        <v>368000</v>
      </c>
      <c r="Q1507" s="3117">
        <v>368000</v>
      </c>
      <c r="R1507" s="1825" t="s">
        <v>4603</v>
      </c>
      <c r="S1507" s="3433">
        <v>44931</v>
      </c>
      <c r="T1507" s="3117">
        <v>368000</v>
      </c>
      <c r="U1507" s="3433">
        <v>44931</v>
      </c>
      <c r="V1507" s="3117">
        <v>368000</v>
      </c>
      <c r="W1507" s="3433">
        <v>44932</v>
      </c>
      <c r="X1507" s="3117">
        <v>368000</v>
      </c>
      <c r="Y1507" s="3433">
        <v>44944</v>
      </c>
      <c r="Z1507" s="3117"/>
      <c r="AA1507" s="3117"/>
      <c r="AB1507" s="3117"/>
      <c r="AC1507" s="3117"/>
      <c r="AD1507" s="3117"/>
      <c r="AE1507" s="3117"/>
      <c r="AF1507" s="3117"/>
      <c r="AG1507" s="3117"/>
      <c r="AH1507" s="3117"/>
      <c r="AI1507" s="3117"/>
    </row>
    <row r="1508" s="32" customFormat="1" ht="24" customHeight="1" spans="1:35">
      <c r="A1508" s="2154"/>
      <c r="B1508" s="3295"/>
      <c r="C1508" s="4077"/>
      <c r="D1508" s="3294"/>
      <c r="E1508" s="2112"/>
      <c r="F1508" s="2112"/>
      <c r="G1508" s="2154"/>
      <c r="H1508" s="3321"/>
      <c r="I1508" s="3294"/>
      <c r="J1508" s="2112"/>
      <c r="K1508" s="3334"/>
      <c r="L1508" s="2154"/>
      <c r="M1508" s="3117">
        <v>2</v>
      </c>
      <c r="N1508" s="1825" t="s">
        <v>6512</v>
      </c>
      <c r="O1508" s="1825" t="s">
        <v>6457</v>
      </c>
      <c r="P1508" s="3117">
        <v>48000</v>
      </c>
      <c r="Q1508" s="3403">
        <v>48000</v>
      </c>
      <c r="R1508" s="1825" t="s">
        <v>4603</v>
      </c>
      <c r="S1508" s="3404">
        <v>45281</v>
      </c>
      <c r="T1508" s="3403">
        <v>48000</v>
      </c>
      <c r="U1508" s="3404">
        <v>45281</v>
      </c>
      <c r="V1508" s="3403">
        <v>48000</v>
      </c>
      <c r="W1508" s="3404">
        <v>45409</v>
      </c>
      <c r="X1508" s="3403">
        <v>48000</v>
      </c>
      <c r="Y1508" s="3404">
        <v>45442</v>
      </c>
      <c r="Z1508" s="3117"/>
      <c r="AA1508" s="1824" t="s">
        <v>6513</v>
      </c>
      <c r="AB1508" s="3117"/>
      <c r="AC1508" s="3117"/>
      <c r="AD1508" s="3117"/>
      <c r="AE1508" s="3117"/>
      <c r="AF1508" s="3117"/>
      <c r="AG1508" s="3117"/>
      <c r="AH1508" s="3117"/>
      <c r="AI1508" s="3117"/>
    </row>
    <row r="1509" s="32" customFormat="1" ht="24" customHeight="1" spans="1:35">
      <c r="A1509" s="2154"/>
      <c r="B1509" s="3295"/>
      <c r="C1509" s="4077"/>
      <c r="D1509" s="3294"/>
      <c r="E1509" s="2112"/>
      <c r="F1509" s="2112"/>
      <c r="G1509" s="2154"/>
      <c r="H1509" s="3321"/>
      <c r="I1509" s="3294"/>
      <c r="J1509" s="2112"/>
      <c r="K1509" s="3334"/>
      <c r="L1509" s="2154"/>
      <c r="M1509" s="3117">
        <v>3</v>
      </c>
      <c r="N1509" s="1825" t="s">
        <v>6514</v>
      </c>
      <c r="O1509" s="1825" t="s">
        <v>6457</v>
      </c>
      <c r="P1509" s="3403">
        <v>20000</v>
      </c>
      <c r="Q1509" s="3403">
        <v>20000</v>
      </c>
      <c r="R1509" s="1825" t="s">
        <v>4603</v>
      </c>
      <c r="S1509" s="3404">
        <v>45408</v>
      </c>
      <c r="T1509" s="3403">
        <v>20000</v>
      </c>
      <c r="U1509" s="3404">
        <v>45408</v>
      </c>
      <c r="V1509" s="3403">
        <v>20000</v>
      </c>
      <c r="W1509" s="3404">
        <v>45409</v>
      </c>
      <c r="X1509" s="3403">
        <v>20000</v>
      </c>
      <c r="Y1509" s="3404">
        <v>45442</v>
      </c>
      <c r="Z1509" s="3117"/>
      <c r="AA1509" s="1824" t="s">
        <v>6513</v>
      </c>
      <c r="AB1509" s="3117"/>
      <c r="AC1509" s="3117"/>
      <c r="AD1509" s="3117"/>
      <c r="AE1509" s="3117"/>
      <c r="AF1509" s="3117"/>
      <c r="AG1509" s="3117"/>
      <c r="AH1509" s="3117"/>
      <c r="AI1509" s="3117"/>
    </row>
    <row r="1510" s="32" customFormat="1" ht="103.5" customHeight="1" spans="1:35">
      <c r="A1510" s="2154"/>
      <c r="B1510" s="3295"/>
      <c r="C1510" s="4077"/>
      <c r="D1510" s="3294"/>
      <c r="E1510" s="1969"/>
      <c r="F1510" s="2112"/>
      <c r="G1510" s="2154"/>
      <c r="H1510" s="3321"/>
      <c r="I1510" s="3294"/>
      <c r="J1510" s="2112"/>
      <c r="K1510" s="3335"/>
      <c r="L1510" s="2152" t="s">
        <v>27</v>
      </c>
      <c r="M1510" s="3117">
        <v>1</v>
      </c>
      <c r="N1510" s="1824" t="s">
        <v>6515</v>
      </c>
      <c r="O1510" s="1824" t="s">
        <v>6511</v>
      </c>
      <c r="P1510" s="3117">
        <v>476000</v>
      </c>
      <c r="Q1510" s="3117">
        <v>476000</v>
      </c>
      <c r="R1510" s="1825" t="s">
        <v>4603</v>
      </c>
      <c r="S1510" s="3433">
        <v>44931</v>
      </c>
      <c r="T1510" s="3117">
        <v>476000</v>
      </c>
      <c r="U1510" s="3433">
        <v>44931</v>
      </c>
      <c r="V1510" s="3117">
        <v>476000</v>
      </c>
      <c r="W1510" s="3433">
        <v>44932</v>
      </c>
      <c r="X1510" s="3117">
        <v>476000</v>
      </c>
      <c r="Y1510" s="3433">
        <v>44944</v>
      </c>
      <c r="Z1510" s="3117"/>
      <c r="AA1510" s="3117"/>
      <c r="AB1510" s="3117"/>
      <c r="AC1510" s="3117"/>
      <c r="AD1510" s="3117"/>
      <c r="AE1510" s="3117"/>
      <c r="AF1510" s="3117"/>
      <c r="AG1510" s="3117"/>
      <c r="AH1510" s="3117"/>
      <c r="AI1510" s="3117"/>
    </row>
    <row r="1511" s="33" customFormat="1" ht="79.5" customHeight="1" spans="1:35">
      <c r="A1511" s="149" t="s">
        <v>2570</v>
      </c>
      <c r="B1511" s="3498">
        <v>44862</v>
      </c>
      <c r="C1511" s="4081" t="s">
        <v>6452</v>
      </c>
      <c r="D1511" s="3119"/>
      <c r="E1511" s="647" t="s">
        <v>6453</v>
      </c>
      <c r="F1511" s="647" t="s">
        <v>6516</v>
      </c>
      <c r="G1511" s="149" t="s">
        <v>286</v>
      </c>
      <c r="H1511" s="2289" t="s">
        <v>4652</v>
      </c>
      <c r="I1511" s="3510"/>
      <c r="J1511" s="647" t="s">
        <v>6517</v>
      </c>
      <c r="K1511" s="4087">
        <v>900000</v>
      </c>
      <c r="L1511" s="149" t="s">
        <v>27</v>
      </c>
      <c r="M1511" s="3476">
        <v>1</v>
      </c>
      <c r="N1511" s="185" t="s">
        <v>6518</v>
      </c>
      <c r="O1511" s="128" t="s">
        <v>6457</v>
      </c>
      <c r="P1511" s="3476"/>
      <c r="Q1511" s="3576">
        <v>300000</v>
      </c>
      <c r="R1511" s="128" t="s">
        <v>4603</v>
      </c>
      <c r="S1511" s="3615">
        <v>45236</v>
      </c>
      <c r="T1511" s="3576">
        <v>300000</v>
      </c>
      <c r="U1511" s="3615">
        <v>45243</v>
      </c>
      <c r="V1511" s="3576">
        <v>300000</v>
      </c>
      <c r="W1511" s="3615">
        <v>45243</v>
      </c>
      <c r="X1511" s="3576">
        <v>300000</v>
      </c>
      <c r="Y1511" s="3615">
        <v>45273</v>
      </c>
      <c r="Z1511" s="3476"/>
      <c r="AA1511" s="3476"/>
      <c r="AB1511" s="3476"/>
      <c r="AC1511" s="3476"/>
      <c r="AD1511" s="3476"/>
      <c r="AE1511" s="3476"/>
      <c r="AF1511" s="3476"/>
      <c r="AG1511" s="3476"/>
      <c r="AH1511" s="3476"/>
      <c r="AI1511" s="3476"/>
    </row>
    <row r="1512" s="33" customFormat="1" ht="79.5" customHeight="1" spans="1:35">
      <c r="A1512" s="151"/>
      <c r="B1512" s="3499"/>
      <c r="C1512" s="4082"/>
      <c r="D1512" s="3119"/>
      <c r="E1512" s="651"/>
      <c r="F1512" s="651"/>
      <c r="G1512" s="151"/>
      <c r="H1512" s="3501"/>
      <c r="I1512" s="3511"/>
      <c r="J1512" s="651"/>
      <c r="K1512" s="4088"/>
      <c r="L1512" s="149" t="s">
        <v>26</v>
      </c>
      <c r="M1512" s="3510">
        <v>2</v>
      </c>
      <c r="N1512" s="2618" t="s">
        <v>6519</v>
      </c>
      <c r="O1512" s="127" t="s">
        <v>6520</v>
      </c>
      <c r="P1512" s="3476"/>
      <c r="Q1512" s="4104">
        <v>50000</v>
      </c>
      <c r="R1512" s="74" t="s">
        <v>4603</v>
      </c>
      <c r="S1512" s="3837">
        <v>45645</v>
      </c>
      <c r="T1512" s="2676">
        <v>50000</v>
      </c>
      <c r="U1512" s="3615">
        <v>45645</v>
      </c>
      <c r="V1512" s="3879">
        <v>50000</v>
      </c>
      <c r="W1512" s="3837">
        <v>45726</v>
      </c>
      <c r="X1512" s="3879">
        <v>50000</v>
      </c>
      <c r="Y1512" s="3615">
        <v>45737</v>
      </c>
      <c r="Z1512" s="3476"/>
      <c r="AA1512" s="647" t="s">
        <v>6521</v>
      </c>
      <c r="AB1512" s="3476"/>
      <c r="AC1512" s="3476"/>
      <c r="AD1512" s="3476"/>
      <c r="AE1512" s="3476"/>
      <c r="AF1512" s="3476"/>
      <c r="AG1512" s="3476"/>
      <c r="AH1512" s="3476"/>
      <c r="AI1512" s="3476"/>
    </row>
    <row r="1513" s="33" customFormat="1" ht="79.5" customHeight="1" spans="1:35">
      <c r="A1513" s="151"/>
      <c r="B1513" s="3499"/>
      <c r="C1513" s="4082"/>
      <c r="D1513" s="3119"/>
      <c r="E1513" s="651"/>
      <c r="F1513" s="651"/>
      <c r="G1513" s="151"/>
      <c r="H1513" s="3501"/>
      <c r="I1513" s="3511"/>
      <c r="J1513" s="651"/>
      <c r="K1513" s="4088"/>
      <c r="L1513" s="149" t="s">
        <v>26</v>
      </c>
      <c r="M1513" s="3511"/>
      <c r="N1513" s="2618" t="s">
        <v>6522</v>
      </c>
      <c r="O1513" s="127" t="s">
        <v>6523</v>
      </c>
      <c r="P1513" s="3476"/>
      <c r="Q1513" s="4104">
        <v>50000</v>
      </c>
      <c r="R1513" s="74" t="s">
        <v>4603</v>
      </c>
      <c r="S1513" s="3837">
        <v>45645</v>
      </c>
      <c r="T1513" s="2676">
        <v>50000</v>
      </c>
      <c r="U1513" s="3615">
        <v>45645</v>
      </c>
      <c r="V1513" s="3879">
        <v>50000</v>
      </c>
      <c r="W1513" s="3837">
        <v>45726</v>
      </c>
      <c r="X1513" s="3879">
        <v>50000</v>
      </c>
      <c r="Y1513" s="3615">
        <v>45737</v>
      </c>
      <c r="Z1513" s="3476"/>
      <c r="AA1513" s="3501"/>
      <c r="AB1513" s="3476"/>
      <c r="AC1513" s="3476"/>
      <c r="AD1513" s="3476"/>
      <c r="AE1513" s="3476"/>
      <c r="AF1513" s="3476"/>
      <c r="AG1513" s="3476"/>
      <c r="AH1513" s="3476"/>
      <c r="AI1513" s="3476"/>
    </row>
    <row r="1514" s="33" customFormat="1" ht="79.5" customHeight="1" spans="1:35">
      <c r="A1514" s="151"/>
      <c r="B1514" s="3499"/>
      <c r="C1514" s="4082"/>
      <c r="D1514" s="3119"/>
      <c r="E1514" s="651"/>
      <c r="F1514" s="651"/>
      <c r="G1514" s="151"/>
      <c r="H1514" s="3501"/>
      <c r="I1514" s="3511"/>
      <c r="J1514" s="651"/>
      <c r="K1514" s="4088"/>
      <c r="L1514" s="149" t="s">
        <v>26</v>
      </c>
      <c r="M1514" s="3511"/>
      <c r="N1514" s="185" t="s">
        <v>6524</v>
      </c>
      <c r="O1514" s="127" t="s">
        <v>6523</v>
      </c>
      <c r="P1514" s="3476"/>
      <c r="Q1514" s="4104">
        <v>50000</v>
      </c>
      <c r="R1514" s="74" t="s">
        <v>4603</v>
      </c>
      <c r="S1514" s="3837">
        <v>45645</v>
      </c>
      <c r="T1514" s="2676">
        <v>50000</v>
      </c>
      <c r="U1514" s="3615">
        <v>45645</v>
      </c>
      <c r="V1514" s="3879">
        <v>50000</v>
      </c>
      <c r="W1514" s="3837">
        <v>45726</v>
      </c>
      <c r="X1514" s="3879">
        <v>50000</v>
      </c>
      <c r="Y1514" s="3615">
        <v>45737</v>
      </c>
      <c r="Z1514" s="3476"/>
      <c r="AA1514" s="3504"/>
      <c r="AB1514" s="3476"/>
      <c r="AC1514" s="3476"/>
      <c r="AD1514" s="3476"/>
      <c r="AE1514" s="3476"/>
      <c r="AF1514" s="3476"/>
      <c r="AG1514" s="3476"/>
      <c r="AH1514" s="3476"/>
      <c r="AI1514" s="3476"/>
    </row>
    <row r="1515" s="33" customFormat="1" ht="79.5" customHeight="1" spans="1:35">
      <c r="A1515" s="151"/>
      <c r="B1515" s="3499"/>
      <c r="C1515" s="4082"/>
      <c r="D1515" s="3119"/>
      <c r="E1515" s="651"/>
      <c r="F1515" s="651"/>
      <c r="G1515" s="151"/>
      <c r="H1515" s="3501"/>
      <c r="I1515" s="3511"/>
      <c r="J1515" s="651"/>
      <c r="K1515" s="4088"/>
      <c r="L1515" s="149" t="s">
        <v>26</v>
      </c>
      <c r="M1515" s="3511"/>
      <c r="N1515" s="185" t="s">
        <v>6525</v>
      </c>
      <c r="O1515" s="127" t="s">
        <v>6478</v>
      </c>
      <c r="P1515" s="3476"/>
      <c r="Q1515" s="4104">
        <v>10000</v>
      </c>
      <c r="R1515" s="74" t="s">
        <v>4603</v>
      </c>
      <c r="S1515" s="3837">
        <v>45645</v>
      </c>
      <c r="T1515" s="2676">
        <v>10000</v>
      </c>
      <c r="U1515" s="3837">
        <v>45645</v>
      </c>
      <c r="V1515" s="3576"/>
      <c r="W1515" s="3615"/>
      <c r="X1515" s="3576"/>
      <c r="Y1515" s="3615"/>
      <c r="Z1515" s="3476"/>
      <c r="AA1515" s="3476"/>
      <c r="AB1515" s="3476"/>
      <c r="AC1515" s="3476"/>
      <c r="AD1515" s="3476"/>
      <c r="AE1515" s="3476"/>
      <c r="AF1515" s="3476"/>
      <c r="AG1515" s="3476"/>
      <c r="AH1515" s="3476"/>
      <c r="AI1515" s="3476"/>
    </row>
    <row r="1516" s="33" customFormat="1" ht="79.5" customHeight="1" spans="1:35">
      <c r="A1516" s="151"/>
      <c r="B1516" s="3499"/>
      <c r="C1516" s="4082"/>
      <c r="D1516" s="3119"/>
      <c r="E1516" s="651"/>
      <c r="F1516" s="651"/>
      <c r="G1516" s="151"/>
      <c r="H1516" s="3501"/>
      <c r="I1516" s="3511"/>
      <c r="J1516" s="651"/>
      <c r="K1516" s="4088"/>
      <c r="L1516" s="149" t="s">
        <v>26</v>
      </c>
      <c r="M1516" s="3522"/>
      <c r="N1516" s="185" t="s">
        <v>6526</v>
      </c>
      <c r="O1516" s="127" t="s">
        <v>6478</v>
      </c>
      <c r="P1516" s="3476"/>
      <c r="Q1516" s="4104">
        <v>10000</v>
      </c>
      <c r="R1516" s="74" t="s">
        <v>4603</v>
      </c>
      <c r="S1516" s="3837">
        <v>45645</v>
      </c>
      <c r="T1516" s="2676">
        <v>10000</v>
      </c>
      <c r="U1516" s="3837">
        <v>45645</v>
      </c>
      <c r="V1516" s="3576"/>
      <c r="W1516" s="3615"/>
      <c r="X1516" s="3576"/>
      <c r="Y1516" s="3615"/>
      <c r="Z1516" s="3476"/>
      <c r="AA1516" s="3476"/>
      <c r="AB1516" s="3476"/>
      <c r="AC1516" s="3476"/>
      <c r="AD1516" s="3476"/>
      <c r="AE1516" s="3476"/>
      <c r="AF1516" s="3476"/>
      <c r="AG1516" s="3476"/>
      <c r="AH1516" s="3476"/>
      <c r="AI1516" s="3476"/>
    </row>
    <row r="1517" s="32" customFormat="1" ht="40" customHeight="1" spans="1:35">
      <c r="A1517" s="3967" t="s">
        <v>2570</v>
      </c>
      <c r="B1517" s="3968">
        <v>45603</v>
      </c>
      <c r="C1517" s="4083" t="s">
        <v>6452</v>
      </c>
      <c r="D1517" s="3970"/>
      <c r="E1517" s="4010" t="s">
        <v>6527</v>
      </c>
      <c r="F1517" s="4010" t="s">
        <v>6528</v>
      </c>
      <c r="G1517" s="3967" t="s">
        <v>286</v>
      </c>
      <c r="H1517" s="4010" t="s">
        <v>6529</v>
      </c>
      <c r="I1517" s="3967" t="s">
        <v>171</v>
      </c>
      <c r="J1517" s="4089" t="s">
        <v>6530</v>
      </c>
      <c r="K1517" s="4090" t="s">
        <v>6531</v>
      </c>
      <c r="L1517" s="3967" t="s">
        <v>26</v>
      </c>
      <c r="M1517" s="3967" t="s">
        <v>4247</v>
      </c>
      <c r="N1517" s="4097" t="s">
        <v>6532</v>
      </c>
      <c r="O1517" s="4011" t="s">
        <v>6462</v>
      </c>
      <c r="P1517" s="4098"/>
      <c r="Q1517" s="4105">
        <v>20000</v>
      </c>
      <c r="R1517" s="4098" t="s">
        <v>4603</v>
      </c>
      <c r="S1517" s="4106">
        <v>45824</v>
      </c>
      <c r="T1517" s="4105">
        <v>20000</v>
      </c>
      <c r="U1517" s="4106">
        <v>45828</v>
      </c>
      <c r="V1517" s="4105">
        <v>20000</v>
      </c>
      <c r="W1517" s="4106">
        <v>45828</v>
      </c>
      <c r="X1517" s="4105">
        <v>20000</v>
      </c>
      <c r="Y1517" s="4106">
        <v>45838</v>
      </c>
      <c r="Z1517" s="40"/>
      <c r="AA1517" s="40"/>
      <c r="AB1517" s="40"/>
      <c r="AC1517" s="40"/>
      <c r="AD1517" s="40"/>
      <c r="AE1517" s="40"/>
      <c r="AF1517" s="40"/>
      <c r="AG1517" s="40"/>
      <c r="AH1517" s="40"/>
      <c r="AI1517" s="40"/>
    </row>
    <row r="1518" s="32" customFormat="1" ht="40" customHeight="1" spans="1:35">
      <c r="A1518" s="4084"/>
      <c r="B1518" s="3972"/>
      <c r="C1518" s="4085"/>
      <c r="D1518" s="3970"/>
      <c r="E1518" s="4086"/>
      <c r="F1518" s="4086"/>
      <c r="G1518" s="4084"/>
      <c r="H1518" s="4012"/>
      <c r="I1518" s="3971"/>
      <c r="J1518" s="4091"/>
      <c r="K1518" s="4092"/>
      <c r="L1518" s="3967" t="s">
        <v>27</v>
      </c>
      <c r="M1518" s="3971"/>
      <c r="N1518" s="4097" t="s">
        <v>6533</v>
      </c>
      <c r="O1518" s="4013"/>
      <c r="P1518" s="4098"/>
      <c r="Q1518" s="4105">
        <v>20000</v>
      </c>
      <c r="R1518" s="4098" t="s">
        <v>4603</v>
      </c>
      <c r="S1518" s="4106">
        <v>45824</v>
      </c>
      <c r="T1518" s="4105">
        <v>20000</v>
      </c>
      <c r="U1518" s="4106">
        <v>45828</v>
      </c>
      <c r="V1518" s="4105">
        <v>20000</v>
      </c>
      <c r="W1518" s="4106">
        <v>45828</v>
      </c>
      <c r="X1518" s="4105">
        <v>20000</v>
      </c>
      <c r="Y1518" s="4106">
        <v>45838</v>
      </c>
      <c r="Z1518" s="40"/>
      <c r="AA1518" s="40"/>
      <c r="AB1518" s="40"/>
      <c r="AC1518" s="40"/>
      <c r="AD1518" s="40"/>
      <c r="AE1518" s="40"/>
      <c r="AF1518" s="40"/>
      <c r="AG1518" s="40"/>
      <c r="AH1518" s="40"/>
      <c r="AI1518" s="40"/>
    </row>
    <row r="1519" s="32" customFormat="1" ht="40" customHeight="1" spans="1:35">
      <c r="A1519" s="4084"/>
      <c r="B1519" s="3972"/>
      <c r="C1519" s="4085"/>
      <c r="D1519" s="3970"/>
      <c r="E1519" s="4086"/>
      <c r="F1519" s="4086"/>
      <c r="G1519" s="4084"/>
      <c r="H1519" s="4012"/>
      <c r="I1519" s="3971"/>
      <c r="J1519" s="4091"/>
      <c r="K1519" s="4092"/>
      <c r="L1519" s="3967" t="s">
        <v>27</v>
      </c>
      <c r="M1519" s="3971"/>
      <c r="N1519" s="4097" t="s">
        <v>6534</v>
      </c>
      <c r="O1519" s="4013"/>
      <c r="P1519" s="4098"/>
      <c r="Q1519" s="4105">
        <v>48000</v>
      </c>
      <c r="R1519" s="4098" t="s">
        <v>4603</v>
      </c>
      <c r="S1519" s="4106">
        <v>45824</v>
      </c>
      <c r="T1519" s="4105">
        <v>48000</v>
      </c>
      <c r="U1519" s="4106">
        <v>45828</v>
      </c>
      <c r="V1519" s="4105">
        <v>48000</v>
      </c>
      <c r="W1519" s="4106">
        <v>45828</v>
      </c>
      <c r="X1519" s="4105">
        <v>48000</v>
      </c>
      <c r="Y1519" s="4106">
        <v>45838</v>
      </c>
      <c r="Z1519" s="40"/>
      <c r="AA1519" s="40"/>
      <c r="AB1519" s="40"/>
      <c r="AC1519" s="40"/>
      <c r="AD1519" s="40"/>
      <c r="AE1519" s="40"/>
      <c r="AF1519" s="40"/>
      <c r="AG1519" s="40"/>
      <c r="AH1519" s="40"/>
      <c r="AI1519" s="40"/>
    </row>
    <row r="1520" s="32" customFormat="1" ht="40" customHeight="1" spans="1:35">
      <c r="A1520" s="4084"/>
      <c r="B1520" s="3972"/>
      <c r="C1520" s="4085"/>
      <c r="D1520" s="3970"/>
      <c r="E1520" s="4086"/>
      <c r="F1520" s="4086"/>
      <c r="G1520" s="4084"/>
      <c r="H1520" s="4012"/>
      <c r="I1520" s="3971"/>
      <c r="J1520" s="4091"/>
      <c r="K1520" s="4092"/>
      <c r="L1520" s="3967" t="s">
        <v>27</v>
      </c>
      <c r="M1520" s="3971"/>
      <c r="N1520" s="4097" t="s">
        <v>6535</v>
      </c>
      <c r="O1520" s="4013"/>
      <c r="P1520" s="4098"/>
      <c r="Q1520" s="4105">
        <v>20000</v>
      </c>
      <c r="R1520" s="4098" t="s">
        <v>4603</v>
      </c>
      <c r="S1520" s="4106">
        <v>45824</v>
      </c>
      <c r="T1520" s="4105">
        <v>20000</v>
      </c>
      <c r="U1520" s="4106">
        <v>45828</v>
      </c>
      <c r="V1520" s="4105">
        <v>20000</v>
      </c>
      <c r="W1520" s="4106">
        <v>45828</v>
      </c>
      <c r="X1520" s="4105">
        <v>20000</v>
      </c>
      <c r="Y1520" s="4106">
        <v>45838</v>
      </c>
      <c r="Z1520" s="40"/>
      <c r="AA1520" s="40"/>
      <c r="AB1520" s="40"/>
      <c r="AC1520" s="40"/>
      <c r="AD1520" s="40"/>
      <c r="AE1520" s="40"/>
      <c r="AF1520" s="40"/>
      <c r="AG1520" s="40"/>
      <c r="AH1520" s="40"/>
      <c r="AI1520" s="40"/>
    </row>
    <row r="1521" s="32" customFormat="1" ht="40" customHeight="1" spans="1:35">
      <c r="A1521" s="4084"/>
      <c r="B1521" s="3972"/>
      <c r="C1521" s="4085"/>
      <c r="D1521" s="3970"/>
      <c r="E1521" s="4086"/>
      <c r="F1521" s="4086"/>
      <c r="G1521" s="4084"/>
      <c r="H1521" s="4012"/>
      <c r="I1521" s="3971"/>
      <c r="J1521" s="4091"/>
      <c r="K1521" s="4092"/>
      <c r="L1521" s="3967" t="s">
        <v>27</v>
      </c>
      <c r="M1521" s="3974"/>
      <c r="N1521" s="4097" t="s">
        <v>6536</v>
      </c>
      <c r="O1521" s="4013"/>
      <c r="P1521" s="4098"/>
      <c r="Q1521" s="4105">
        <v>20000</v>
      </c>
      <c r="R1521" s="4098" t="s">
        <v>4603</v>
      </c>
      <c r="S1521" s="4106">
        <v>45824</v>
      </c>
      <c r="T1521" s="4105">
        <v>20000</v>
      </c>
      <c r="U1521" s="4106">
        <v>45828</v>
      </c>
      <c r="V1521" s="4105">
        <v>20000</v>
      </c>
      <c r="W1521" s="4106">
        <v>45828</v>
      </c>
      <c r="X1521" s="4105">
        <v>20000</v>
      </c>
      <c r="Y1521" s="4106">
        <v>45838</v>
      </c>
      <c r="Z1521" s="40"/>
      <c r="AA1521" s="40"/>
      <c r="AB1521" s="40"/>
      <c r="AC1521" s="40"/>
      <c r="AD1521" s="40"/>
      <c r="AE1521" s="40"/>
      <c r="AF1521" s="40"/>
      <c r="AG1521" s="40"/>
      <c r="AH1521" s="40"/>
      <c r="AI1521" s="40"/>
    </row>
    <row r="1522" s="32" customFormat="1" ht="40" customHeight="1" spans="1:35">
      <c r="A1522" s="3967" t="s">
        <v>2570</v>
      </c>
      <c r="B1522" s="3968">
        <v>45603</v>
      </c>
      <c r="C1522" s="4083" t="s">
        <v>6452</v>
      </c>
      <c r="D1522" s="3970"/>
      <c r="E1522" s="4010" t="s">
        <v>6527</v>
      </c>
      <c r="F1522" s="4010" t="s">
        <v>6537</v>
      </c>
      <c r="G1522" s="3967" t="s">
        <v>286</v>
      </c>
      <c r="H1522" s="4010" t="s">
        <v>6538</v>
      </c>
      <c r="I1522" s="3967" t="s">
        <v>171</v>
      </c>
      <c r="J1522" s="4089" t="s">
        <v>6539</v>
      </c>
      <c r="K1522" s="4090" t="s">
        <v>6540</v>
      </c>
      <c r="L1522" s="4011" t="s">
        <v>27</v>
      </c>
      <c r="M1522" s="40"/>
      <c r="N1522" s="4097" t="s">
        <v>6541</v>
      </c>
      <c r="O1522" s="4011" t="s">
        <v>6520</v>
      </c>
      <c r="P1522" s="40"/>
      <c r="Q1522" s="4107">
        <v>49000</v>
      </c>
      <c r="R1522" s="4108" t="s">
        <v>4603</v>
      </c>
      <c r="S1522" s="4109">
        <v>45644</v>
      </c>
      <c r="T1522" s="4110">
        <v>49000</v>
      </c>
      <c r="U1522" s="4106">
        <v>45644</v>
      </c>
      <c r="V1522" s="4105">
        <v>49000</v>
      </c>
      <c r="W1522" s="4106">
        <v>45645</v>
      </c>
      <c r="X1522" s="4105">
        <v>49000</v>
      </c>
      <c r="Y1522" s="4106">
        <v>45652</v>
      </c>
      <c r="Z1522" s="40"/>
      <c r="AA1522" s="40"/>
      <c r="AB1522" s="40"/>
      <c r="AC1522" s="40"/>
      <c r="AD1522" s="40"/>
      <c r="AE1522" s="40"/>
      <c r="AF1522" s="40"/>
      <c r="AG1522" s="40"/>
      <c r="AH1522" s="40"/>
      <c r="AI1522" s="40"/>
    </row>
    <row r="1523" s="32" customFormat="1" ht="40" customHeight="1" spans="1:35">
      <c r="A1523" s="4084"/>
      <c r="B1523" s="3972"/>
      <c r="C1523" s="4085"/>
      <c r="D1523" s="3970"/>
      <c r="E1523" s="4086"/>
      <c r="F1523" s="4086"/>
      <c r="G1523" s="4084"/>
      <c r="H1523" s="4012"/>
      <c r="I1523" s="3971"/>
      <c r="J1523" s="4091"/>
      <c r="K1523" s="4092"/>
      <c r="L1523" s="4011" t="s">
        <v>27</v>
      </c>
      <c r="M1523" s="40"/>
      <c r="N1523" s="4097" t="s">
        <v>6542</v>
      </c>
      <c r="O1523" s="4011" t="s">
        <v>6520</v>
      </c>
      <c r="P1523" s="40"/>
      <c r="Q1523" s="4107">
        <v>49000</v>
      </c>
      <c r="R1523" s="4108" t="s">
        <v>4603</v>
      </c>
      <c r="S1523" s="4109">
        <v>45644</v>
      </c>
      <c r="T1523" s="4110">
        <v>49000</v>
      </c>
      <c r="U1523" s="4106">
        <v>45644</v>
      </c>
      <c r="V1523" s="4105">
        <v>49000</v>
      </c>
      <c r="W1523" s="4106">
        <v>45645</v>
      </c>
      <c r="X1523" s="4105">
        <v>49000</v>
      </c>
      <c r="Y1523" s="4106">
        <v>45652</v>
      </c>
      <c r="Z1523" s="40"/>
      <c r="AA1523" s="40"/>
      <c r="AB1523" s="40"/>
      <c r="AC1523" s="40"/>
      <c r="AD1523" s="40"/>
      <c r="AE1523" s="40"/>
      <c r="AF1523" s="40"/>
      <c r="AG1523" s="40"/>
      <c r="AH1523" s="40"/>
      <c r="AI1523" s="40"/>
    </row>
    <row r="1524" s="32" customFormat="1" ht="40" customHeight="1" spans="1:35">
      <c r="A1524" s="4084"/>
      <c r="B1524" s="3972"/>
      <c r="C1524" s="4085"/>
      <c r="D1524" s="3970"/>
      <c r="E1524" s="4086"/>
      <c r="F1524" s="4086"/>
      <c r="G1524" s="4084"/>
      <c r="H1524" s="4012"/>
      <c r="I1524" s="3971"/>
      <c r="J1524" s="4091"/>
      <c r="K1524" s="4092"/>
      <c r="L1524" s="3967"/>
      <c r="M1524" s="40"/>
      <c r="N1524" s="4097"/>
      <c r="O1524" s="40"/>
      <c r="P1524" s="40"/>
      <c r="Q1524" s="4105"/>
      <c r="R1524" s="4098"/>
      <c r="S1524" s="4106"/>
      <c r="T1524" s="4105"/>
      <c r="U1524" s="4106"/>
      <c r="V1524" s="4105"/>
      <c r="W1524" s="4106"/>
      <c r="X1524" s="4105"/>
      <c r="Y1524" s="4106"/>
      <c r="Z1524" s="40"/>
      <c r="AA1524" s="40"/>
      <c r="AB1524" s="40"/>
      <c r="AC1524" s="40"/>
      <c r="AD1524" s="40"/>
      <c r="AE1524" s="40"/>
      <c r="AF1524" s="40"/>
      <c r="AG1524" s="40"/>
      <c r="AH1524" s="40"/>
      <c r="AI1524" s="40"/>
    </row>
    <row r="1525" s="32" customFormat="1" ht="40" customHeight="1" spans="1:35">
      <c r="A1525" s="4084"/>
      <c r="B1525" s="3972"/>
      <c r="C1525" s="4085"/>
      <c r="D1525" s="3970"/>
      <c r="E1525" s="4086"/>
      <c r="F1525" s="4086"/>
      <c r="G1525" s="4084"/>
      <c r="H1525" s="4014"/>
      <c r="I1525" s="3971"/>
      <c r="J1525" s="4091"/>
      <c r="K1525" s="4092"/>
      <c r="L1525" s="3967"/>
      <c r="M1525" s="40"/>
      <c r="N1525" s="4097"/>
      <c r="O1525" s="40"/>
      <c r="P1525" s="40"/>
      <c r="Q1525" s="4105"/>
      <c r="R1525" s="4098"/>
      <c r="S1525" s="4106"/>
      <c r="T1525" s="4105"/>
      <c r="U1525" s="4106"/>
      <c r="V1525" s="4105"/>
      <c r="W1525" s="4106"/>
      <c r="X1525" s="4105"/>
      <c r="Y1525" s="4106"/>
      <c r="Z1525" s="40"/>
      <c r="AA1525" s="40"/>
      <c r="AB1525" s="40"/>
      <c r="AC1525" s="40"/>
      <c r="AD1525" s="40"/>
      <c r="AE1525" s="40"/>
      <c r="AF1525" s="40"/>
      <c r="AG1525" s="40"/>
      <c r="AH1525" s="40"/>
      <c r="AI1525" s="40"/>
    </row>
    <row r="1526" s="32" customFormat="1" ht="40" customHeight="1" spans="1:35">
      <c r="A1526" s="3967" t="s">
        <v>2570</v>
      </c>
      <c r="B1526" s="3968">
        <v>45603</v>
      </c>
      <c r="C1526" s="4083" t="s">
        <v>6452</v>
      </c>
      <c r="D1526" s="3970"/>
      <c r="E1526" s="4010" t="s">
        <v>6527</v>
      </c>
      <c r="F1526" s="4010" t="s">
        <v>6543</v>
      </c>
      <c r="G1526" s="3967" t="s">
        <v>286</v>
      </c>
      <c r="H1526" s="4010" t="s">
        <v>6544</v>
      </c>
      <c r="I1526" s="3967" t="s">
        <v>171</v>
      </c>
      <c r="J1526" s="4089" t="s">
        <v>6545</v>
      </c>
      <c r="K1526" s="4090" t="s">
        <v>6546</v>
      </c>
      <c r="L1526" s="4011" t="s">
        <v>26</v>
      </c>
      <c r="M1526" s="40"/>
      <c r="N1526" s="4097" t="s">
        <v>6547</v>
      </c>
      <c r="O1526" s="4011" t="s">
        <v>6520</v>
      </c>
      <c r="P1526" s="40"/>
      <c r="Q1526" s="4107">
        <v>20000</v>
      </c>
      <c r="R1526" s="4108" t="s">
        <v>4603</v>
      </c>
      <c r="S1526" s="4109">
        <v>45644</v>
      </c>
      <c r="T1526" s="4110">
        <v>20000</v>
      </c>
      <c r="U1526" s="4106">
        <v>45644</v>
      </c>
      <c r="V1526" s="4105">
        <v>20000</v>
      </c>
      <c r="W1526" s="4106">
        <v>45645</v>
      </c>
      <c r="X1526" s="4105">
        <v>20000</v>
      </c>
      <c r="Y1526" s="4106">
        <v>45653</v>
      </c>
      <c r="Z1526" s="40"/>
      <c r="AA1526" s="40"/>
      <c r="AB1526" s="40"/>
      <c r="AC1526" s="40"/>
      <c r="AD1526" s="40"/>
      <c r="AE1526" s="40"/>
      <c r="AF1526" s="40"/>
      <c r="AG1526" s="40"/>
      <c r="AH1526" s="40"/>
      <c r="AI1526" s="40"/>
    </row>
    <row r="1527" s="32" customFormat="1" ht="40" customHeight="1" spans="1:35">
      <c r="A1527" s="4084"/>
      <c r="B1527" s="3972"/>
      <c r="C1527" s="4085"/>
      <c r="D1527" s="3970"/>
      <c r="E1527" s="4086"/>
      <c r="F1527" s="4086"/>
      <c r="G1527" s="4084"/>
      <c r="H1527" s="4012"/>
      <c r="I1527" s="3971"/>
      <c r="J1527" s="4091"/>
      <c r="K1527" s="4092"/>
      <c r="L1527" s="4011" t="s">
        <v>26</v>
      </c>
      <c r="M1527" s="40"/>
      <c r="N1527" s="4097" t="s">
        <v>6548</v>
      </c>
      <c r="O1527" s="4011" t="s">
        <v>6520</v>
      </c>
      <c r="P1527" s="40"/>
      <c r="Q1527" s="4107">
        <v>135000</v>
      </c>
      <c r="R1527" s="4108" t="s">
        <v>4603</v>
      </c>
      <c r="S1527" s="4109">
        <v>45644</v>
      </c>
      <c r="T1527" s="4110">
        <v>135000</v>
      </c>
      <c r="U1527" s="4106">
        <v>45644</v>
      </c>
      <c r="V1527" s="4105">
        <v>135000</v>
      </c>
      <c r="W1527" s="4106">
        <v>45729</v>
      </c>
      <c r="X1527" s="4112">
        <v>135000</v>
      </c>
      <c r="Y1527" s="4106">
        <v>45743</v>
      </c>
      <c r="Z1527" s="40"/>
      <c r="AA1527" s="40"/>
      <c r="AB1527" s="40"/>
      <c r="AC1527" s="40"/>
      <c r="AD1527" s="40"/>
      <c r="AE1527" s="40"/>
      <c r="AF1527" s="40"/>
      <c r="AG1527" s="40"/>
      <c r="AH1527" s="40"/>
      <c r="AI1527" s="40"/>
    </row>
    <row r="1528" s="32" customFormat="1" ht="40" customHeight="1" spans="1:35">
      <c r="A1528" s="4084"/>
      <c r="B1528" s="3972"/>
      <c r="C1528" s="4085"/>
      <c r="D1528" s="3970"/>
      <c r="E1528" s="4086"/>
      <c r="F1528" s="4086"/>
      <c r="G1528" s="4084"/>
      <c r="H1528" s="4012"/>
      <c r="I1528" s="3971"/>
      <c r="J1528" s="4091"/>
      <c r="K1528" s="4092"/>
      <c r="L1528" s="4011" t="s">
        <v>27</v>
      </c>
      <c r="M1528" s="40"/>
      <c r="N1528" s="4097" t="s">
        <v>6549</v>
      </c>
      <c r="O1528" s="4011" t="s">
        <v>6520</v>
      </c>
      <c r="P1528" s="40"/>
      <c r="Q1528" s="4107">
        <v>45000</v>
      </c>
      <c r="R1528" s="4108" t="s">
        <v>4603</v>
      </c>
      <c r="S1528" s="4109">
        <v>45644</v>
      </c>
      <c r="T1528" s="4110">
        <v>45000</v>
      </c>
      <c r="U1528" s="4106">
        <v>45644</v>
      </c>
      <c r="V1528" s="4105">
        <v>45000</v>
      </c>
      <c r="W1528" s="4106">
        <v>45645</v>
      </c>
      <c r="X1528" s="4105">
        <v>45000</v>
      </c>
      <c r="Y1528" s="4106">
        <v>45653</v>
      </c>
      <c r="Z1528" s="40"/>
      <c r="AA1528" s="40"/>
      <c r="AB1528" s="40"/>
      <c r="AC1528" s="40"/>
      <c r="AD1528" s="40"/>
      <c r="AE1528" s="40"/>
      <c r="AF1528" s="40"/>
      <c r="AG1528" s="40"/>
      <c r="AH1528" s="40"/>
      <c r="AI1528" s="40"/>
    </row>
    <row r="1529" s="32" customFormat="1" ht="40" customHeight="1" spans="1:35">
      <c r="A1529" s="4084"/>
      <c r="B1529" s="3972"/>
      <c r="C1529" s="4085"/>
      <c r="D1529" s="3970"/>
      <c r="E1529" s="4086"/>
      <c r="F1529" s="4086"/>
      <c r="G1529" s="4084"/>
      <c r="H1529" s="4012"/>
      <c r="I1529" s="3971"/>
      <c r="J1529" s="4091"/>
      <c r="K1529" s="4092"/>
      <c r="L1529" s="4011" t="s">
        <v>27</v>
      </c>
      <c r="M1529" s="40"/>
      <c r="N1529" s="4097" t="s">
        <v>6550</v>
      </c>
      <c r="O1529" s="4011" t="s">
        <v>6520</v>
      </c>
      <c r="P1529" s="40"/>
      <c r="Q1529" s="4107">
        <v>45000</v>
      </c>
      <c r="R1529" s="4108" t="s">
        <v>4603</v>
      </c>
      <c r="S1529" s="4109">
        <v>45644</v>
      </c>
      <c r="T1529" s="4110">
        <v>45000</v>
      </c>
      <c r="U1529" s="4106">
        <v>45644</v>
      </c>
      <c r="V1529" s="4105">
        <v>45000</v>
      </c>
      <c r="W1529" s="4106">
        <v>45645</v>
      </c>
      <c r="X1529" s="4105">
        <v>45000</v>
      </c>
      <c r="Y1529" s="4106">
        <v>45653</v>
      </c>
      <c r="Z1529" s="40"/>
      <c r="AA1529" s="40"/>
      <c r="AB1529" s="40"/>
      <c r="AC1529" s="40"/>
      <c r="AD1529" s="40"/>
      <c r="AE1529" s="40"/>
      <c r="AF1529" s="40"/>
      <c r="AG1529" s="40"/>
      <c r="AH1529" s="40"/>
      <c r="AI1529" s="40"/>
    </row>
    <row r="1530" s="32" customFormat="1" ht="40" customHeight="1" spans="1:35">
      <c r="A1530" s="4084"/>
      <c r="B1530" s="3972"/>
      <c r="C1530" s="4085"/>
      <c r="D1530" s="3970"/>
      <c r="E1530" s="4086"/>
      <c r="F1530" s="4086"/>
      <c r="G1530" s="4084"/>
      <c r="H1530" s="4012"/>
      <c r="I1530" s="3971"/>
      <c r="J1530" s="4091"/>
      <c r="K1530" s="4092"/>
      <c r="L1530" s="4011" t="s">
        <v>27</v>
      </c>
      <c r="M1530" s="40"/>
      <c r="N1530" s="4097" t="s">
        <v>6551</v>
      </c>
      <c r="O1530" s="4011" t="s">
        <v>6520</v>
      </c>
      <c r="P1530" s="40"/>
      <c r="Q1530" s="4107">
        <v>20000</v>
      </c>
      <c r="R1530" s="4108" t="s">
        <v>4603</v>
      </c>
      <c r="S1530" s="4109">
        <v>45644</v>
      </c>
      <c r="T1530" s="4110">
        <v>20000</v>
      </c>
      <c r="U1530" s="4106">
        <v>45644</v>
      </c>
      <c r="V1530" s="4105">
        <v>20000</v>
      </c>
      <c r="W1530" s="4106">
        <v>45645</v>
      </c>
      <c r="X1530" s="4105">
        <v>20000</v>
      </c>
      <c r="Y1530" s="4106">
        <v>45653</v>
      </c>
      <c r="Z1530" s="40"/>
      <c r="AA1530" s="40"/>
      <c r="AB1530" s="40"/>
      <c r="AC1530" s="40"/>
      <c r="AD1530" s="40"/>
      <c r="AE1530" s="40"/>
      <c r="AF1530" s="40"/>
      <c r="AG1530" s="40"/>
      <c r="AH1530" s="40"/>
      <c r="AI1530" s="40"/>
    </row>
    <row r="1531" s="32" customFormat="1" ht="40" customHeight="1" spans="1:35">
      <c r="A1531" s="4084"/>
      <c r="B1531" s="3972"/>
      <c r="C1531" s="4085"/>
      <c r="D1531" s="3970"/>
      <c r="E1531" s="4086"/>
      <c r="F1531" s="4086"/>
      <c r="G1531" s="4084"/>
      <c r="H1531" s="4012"/>
      <c r="I1531" s="3971"/>
      <c r="J1531" s="4091"/>
      <c r="K1531" s="4092"/>
      <c r="L1531" s="4011" t="s">
        <v>27</v>
      </c>
      <c r="M1531" s="40"/>
      <c r="N1531" s="4097" t="s">
        <v>6552</v>
      </c>
      <c r="O1531" s="4011" t="s">
        <v>6520</v>
      </c>
      <c r="P1531" s="40"/>
      <c r="Q1531" s="4107">
        <v>90000</v>
      </c>
      <c r="R1531" s="4108" t="s">
        <v>4603</v>
      </c>
      <c r="S1531" s="4109">
        <v>45644</v>
      </c>
      <c r="T1531" s="4110">
        <v>90000</v>
      </c>
      <c r="U1531" s="4106">
        <v>45644</v>
      </c>
      <c r="V1531" s="4105">
        <v>90000</v>
      </c>
      <c r="W1531" s="4106">
        <v>45645</v>
      </c>
      <c r="X1531" s="4105">
        <v>90000</v>
      </c>
      <c r="Y1531" s="4106">
        <v>45653</v>
      </c>
      <c r="Z1531" s="40"/>
      <c r="AA1531" s="40"/>
      <c r="AB1531" s="40"/>
      <c r="AC1531" s="40"/>
      <c r="AD1531" s="40"/>
      <c r="AE1531" s="40"/>
      <c r="AF1531" s="40"/>
      <c r="AG1531" s="40"/>
      <c r="AH1531" s="40"/>
      <c r="AI1531" s="40"/>
    </row>
    <row r="1532" s="32" customFormat="1" ht="40" customHeight="1" spans="1:35">
      <c r="A1532" s="4084"/>
      <c r="B1532" s="3972"/>
      <c r="C1532" s="4085"/>
      <c r="D1532" s="3970"/>
      <c r="E1532" s="4086"/>
      <c r="F1532" s="4086"/>
      <c r="G1532" s="4084"/>
      <c r="H1532" s="4012"/>
      <c r="I1532" s="3971"/>
      <c r="J1532" s="4091"/>
      <c r="K1532" s="4092"/>
      <c r="L1532" s="4011" t="s">
        <v>27</v>
      </c>
      <c r="M1532" s="40"/>
      <c r="N1532" s="4097" t="s">
        <v>6553</v>
      </c>
      <c r="O1532" s="4011" t="s">
        <v>6520</v>
      </c>
      <c r="P1532" s="40"/>
      <c r="Q1532" s="4107">
        <v>45000</v>
      </c>
      <c r="R1532" s="4108" t="s">
        <v>4603</v>
      </c>
      <c r="S1532" s="4109">
        <v>45644</v>
      </c>
      <c r="T1532" s="4110">
        <v>45000</v>
      </c>
      <c r="U1532" s="4106">
        <v>45644</v>
      </c>
      <c r="V1532" s="4105">
        <v>45000</v>
      </c>
      <c r="W1532" s="4106">
        <v>45645</v>
      </c>
      <c r="X1532" s="4105">
        <v>45000</v>
      </c>
      <c r="Y1532" s="4106">
        <v>45653</v>
      </c>
      <c r="Z1532" s="40"/>
      <c r="AA1532" s="40"/>
      <c r="AB1532" s="40"/>
      <c r="AC1532" s="40"/>
      <c r="AD1532" s="40"/>
      <c r="AE1532" s="40"/>
      <c r="AF1532" s="40"/>
      <c r="AG1532" s="40"/>
      <c r="AH1532" s="40"/>
      <c r="AI1532" s="40"/>
    </row>
    <row r="1533" s="32" customFormat="1" ht="40" customHeight="1" spans="1:35">
      <c r="A1533" s="4084"/>
      <c r="B1533" s="3972"/>
      <c r="C1533" s="4085"/>
      <c r="D1533" s="3970"/>
      <c r="E1533" s="4086"/>
      <c r="F1533" s="4086"/>
      <c r="G1533" s="4084"/>
      <c r="H1533" s="4012"/>
      <c r="I1533" s="3971"/>
      <c r="J1533" s="4091"/>
      <c r="K1533" s="4092"/>
      <c r="L1533" s="4011" t="s">
        <v>27</v>
      </c>
      <c r="M1533" s="40"/>
      <c r="N1533" s="4097" t="s">
        <v>6554</v>
      </c>
      <c r="O1533" s="4011" t="s">
        <v>6520</v>
      </c>
      <c r="P1533" s="40"/>
      <c r="Q1533" s="4107">
        <v>45000</v>
      </c>
      <c r="R1533" s="4108" t="s">
        <v>4603</v>
      </c>
      <c r="S1533" s="4109">
        <v>45644</v>
      </c>
      <c r="T1533" s="4110">
        <v>45000</v>
      </c>
      <c r="U1533" s="4106">
        <v>45644</v>
      </c>
      <c r="V1533" s="4105">
        <v>45000</v>
      </c>
      <c r="W1533" s="4106">
        <v>45645</v>
      </c>
      <c r="X1533" s="4105">
        <v>45000</v>
      </c>
      <c r="Y1533" s="4106">
        <v>45653</v>
      </c>
      <c r="Z1533" s="40"/>
      <c r="AA1533" s="40"/>
      <c r="AB1533" s="40"/>
      <c r="AC1533" s="40"/>
      <c r="AD1533" s="40"/>
      <c r="AE1533" s="40"/>
      <c r="AF1533" s="40"/>
      <c r="AG1533" s="40"/>
      <c r="AH1533" s="40"/>
      <c r="AI1533" s="40"/>
    </row>
    <row r="1534" s="32" customFormat="1" ht="40" customHeight="1" spans="1:35">
      <c r="A1534" s="4084"/>
      <c r="B1534" s="3972"/>
      <c r="C1534" s="4085"/>
      <c r="D1534" s="3970"/>
      <c r="E1534" s="4086"/>
      <c r="F1534" s="4086"/>
      <c r="G1534" s="4084"/>
      <c r="H1534" s="4012"/>
      <c r="I1534" s="3971"/>
      <c r="J1534" s="4091"/>
      <c r="K1534" s="4092"/>
      <c r="L1534" s="4011" t="s">
        <v>27</v>
      </c>
      <c r="M1534" s="40"/>
      <c r="N1534" s="4097" t="s">
        <v>6555</v>
      </c>
      <c r="O1534" s="4011" t="s">
        <v>6520</v>
      </c>
      <c r="P1534" s="40"/>
      <c r="Q1534" s="4107">
        <v>45000</v>
      </c>
      <c r="R1534" s="4108" t="s">
        <v>4603</v>
      </c>
      <c r="S1534" s="4109">
        <v>45644</v>
      </c>
      <c r="T1534" s="4110">
        <v>45000</v>
      </c>
      <c r="U1534" s="4106">
        <v>45644</v>
      </c>
      <c r="V1534" s="4105">
        <v>45000</v>
      </c>
      <c r="W1534" s="4106">
        <v>45645</v>
      </c>
      <c r="X1534" s="4105">
        <v>45000</v>
      </c>
      <c r="Y1534" s="4106">
        <v>45653</v>
      </c>
      <c r="Z1534" s="40"/>
      <c r="AA1534" s="40"/>
      <c r="AB1534" s="40"/>
      <c r="AC1534" s="40"/>
      <c r="AD1534" s="40"/>
      <c r="AE1534" s="40"/>
      <c r="AF1534" s="40"/>
      <c r="AG1534" s="40"/>
      <c r="AH1534" s="40"/>
      <c r="AI1534" s="40"/>
    </row>
    <row r="1535" s="32" customFormat="1" ht="40" customHeight="1" spans="1:35">
      <c r="A1535" s="4084"/>
      <c r="B1535" s="3972"/>
      <c r="C1535" s="4085"/>
      <c r="D1535" s="3970"/>
      <c r="E1535" s="4086"/>
      <c r="F1535" s="4086"/>
      <c r="G1535" s="4084"/>
      <c r="H1535" s="4012"/>
      <c r="I1535" s="3971"/>
      <c r="J1535" s="4091"/>
      <c r="K1535" s="4092"/>
      <c r="L1535" s="4011" t="s">
        <v>27</v>
      </c>
      <c r="M1535" s="40"/>
      <c r="N1535" s="4097" t="s">
        <v>6556</v>
      </c>
      <c r="O1535" s="4011" t="s">
        <v>6520</v>
      </c>
      <c r="P1535" s="40"/>
      <c r="Q1535" s="4107">
        <v>90000</v>
      </c>
      <c r="R1535" s="4108" t="s">
        <v>4603</v>
      </c>
      <c r="S1535" s="4109">
        <v>45644</v>
      </c>
      <c r="T1535" s="4110">
        <v>90000</v>
      </c>
      <c r="U1535" s="4106">
        <v>45644</v>
      </c>
      <c r="V1535" s="4105">
        <v>90000</v>
      </c>
      <c r="W1535" s="4106">
        <v>45645</v>
      </c>
      <c r="X1535" s="4105">
        <v>90000</v>
      </c>
      <c r="Y1535" s="4106">
        <v>45681</v>
      </c>
      <c r="Z1535" s="40"/>
      <c r="AA1535" s="40"/>
      <c r="AB1535" s="40"/>
      <c r="AC1535" s="40"/>
      <c r="AD1535" s="40"/>
      <c r="AE1535" s="40"/>
      <c r="AF1535" s="40"/>
      <c r="AG1535" s="40"/>
      <c r="AH1535" s="40"/>
      <c r="AI1535" s="40"/>
    </row>
    <row r="1536" s="32" customFormat="1" ht="40" customHeight="1" spans="1:35">
      <c r="A1536" s="4084"/>
      <c r="B1536" s="3972"/>
      <c r="C1536" s="4085"/>
      <c r="D1536" s="3970"/>
      <c r="E1536" s="4086"/>
      <c r="F1536" s="4086"/>
      <c r="G1536" s="4084"/>
      <c r="H1536" s="4012"/>
      <c r="I1536" s="3971"/>
      <c r="J1536" s="4091"/>
      <c r="K1536" s="4092"/>
      <c r="L1536" s="3967"/>
      <c r="M1536" s="40"/>
      <c r="N1536" s="4097"/>
      <c r="O1536" s="40"/>
      <c r="P1536" s="40"/>
      <c r="Q1536" s="4105"/>
      <c r="R1536" s="4098"/>
      <c r="S1536" s="4106"/>
      <c r="T1536" s="4105"/>
      <c r="U1536" s="4106"/>
      <c r="V1536" s="4105"/>
      <c r="W1536" s="4106"/>
      <c r="X1536" s="4105"/>
      <c r="Y1536" s="4106"/>
      <c r="Z1536" s="40"/>
      <c r="AA1536" s="40"/>
      <c r="AB1536" s="40"/>
      <c r="AC1536" s="40"/>
      <c r="AD1536" s="40"/>
      <c r="AE1536" s="40"/>
      <c r="AF1536" s="40"/>
      <c r="AG1536" s="40"/>
      <c r="AH1536" s="40"/>
      <c r="AI1536" s="40"/>
    </row>
    <row r="1537" s="32" customFormat="1" ht="40" customHeight="1" spans="1:35">
      <c r="A1537" s="4084"/>
      <c r="B1537" s="3972"/>
      <c r="C1537" s="4085"/>
      <c r="D1537" s="3970"/>
      <c r="E1537" s="4086"/>
      <c r="F1537" s="4086"/>
      <c r="G1537" s="4084"/>
      <c r="H1537" s="4012"/>
      <c r="I1537" s="3971"/>
      <c r="J1537" s="4091"/>
      <c r="K1537" s="4092"/>
      <c r="L1537" s="3967"/>
      <c r="M1537" s="40"/>
      <c r="N1537" s="4097"/>
      <c r="O1537" s="40"/>
      <c r="P1537" s="40"/>
      <c r="Q1537" s="4105"/>
      <c r="R1537" s="4098"/>
      <c r="S1537" s="4106"/>
      <c r="T1537" s="4105"/>
      <c r="U1537" s="4106"/>
      <c r="V1537" s="4105"/>
      <c r="W1537" s="4106"/>
      <c r="X1537" s="4105"/>
      <c r="Y1537" s="4106"/>
      <c r="Z1537" s="40"/>
      <c r="AA1537" s="40"/>
      <c r="AB1537" s="40"/>
      <c r="AC1537" s="40"/>
      <c r="AD1537" s="40"/>
      <c r="AE1537" s="40"/>
      <c r="AF1537" s="40"/>
      <c r="AG1537" s="40"/>
      <c r="AH1537" s="40"/>
      <c r="AI1537" s="40"/>
    </row>
    <row r="1538" s="32" customFormat="1" ht="40" customHeight="1" spans="1:35">
      <c r="A1538" s="4084"/>
      <c r="B1538" s="3972"/>
      <c r="C1538" s="4085"/>
      <c r="D1538" s="3970"/>
      <c r="E1538" s="4086"/>
      <c r="F1538" s="4086"/>
      <c r="G1538" s="4084"/>
      <c r="H1538" s="4012"/>
      <c r="I1538" s="3971"/>
      <c r="J1538" s="4091"/>
      <c r="K1538" s="4092"/>
      <c r="L1538" s="3967"/>
      <c r="M1538" s="40"/>
      <c r="N1538" s="4097"/>
      <c r="O1538" s="40"/>
      <c r="P1538" s="40"/>
      <c r="Q1538" s="4105"/>
      <c r="R1538" s="4098"/>
      <c r="S1538" s="4106"/>
      <c r="T1538" s="4105"/>
      <c r="U1538" s="4106"/>
      <c r="V1538" s="4105"/>
      <c r="W1538" s="4106"/>
      <c r="X1538" s="4105"/>
      <c r="Y1538" s="4106"/>
      <c r="Z1538" s="40"/>
      <c r="AA1538" s="40"/>
      <c r="AB1538" s="40"/>
      <c r="AC1538" s="40"/>
      <c r="AD1538" s="40"/>
      <c r="AE1538" s="40"/>
      <c r="AF1538" s="40"/>
      <c r="AG1538" s="40"/>
      <c r="AH1538" s="40"/>
      <c r="AI1538" s="40"/>
    </row>
    <row r="1539" s="32" customFormat="1" ht="40" customHeight="1" spans="1:35">
      <c r="A1539" s="4084"/>
      <c r="B1539" s="3972"/>
      <c r="C1539" s="4085"/>
      <c r="D1539" s="3970"/>
      <c r="E1539" s="4086"/>
      <c r="F1539" s="4086"/>
      <c r="G1539" s="4084"/>
      <c r="H1539" s="4014"/>
      <c r="I1539" s="3971"/>
      <c r="J1539" s="4091"/>
      <c r="K1539" s="4092"/>
      <c r="L1539" s="3967"/>
      <c r="M1539" s="40"/>
      <c r="N1539" s="4097"/>
      <c r="O1539" s="40"/>
      <c r="P1539" s="40"/>
      <c r="Q1539" s="4105"/>
      <c r="R1539" s="4098"/>
      <c r="S1539" s="4106"/>
      <c r="T1539" s="4105"/>
      <c r="U1539" s="4106"/>
      <c r="V1539" s="4105"/>
      <c r="W1539" s="4106"/>
      <c r="X1539" s="4105"/>
      <c r="Y1539" s="4106"/>
      <c r="Z1539" s="40"/>
      <c r="AA1539" s="40"/>
      <c r="AB1539" s="40"/>
      <c r="AC1539" s="40"/>
      <c r="AD1539" s="40"/>
      <c r="AE1539" s="40"/>
      <c r="AF1539" s="40"/>
      <c r="AG1539" s="40"/>
      <c r="AH1539" s="40"/>
      <c r="AI1539" s="40"/>
    </row>
    <row r="1540" s="32" customFormat="1" ht="40" customHeight="1" spans="1:35">
      <c r="A1540" s="3967" t="s">
        <v>2570</v>
      </c>
      <c r="B1540" s="3968">
        <v>45603</v>
      </c>
      <c r="C1540" s="4083" t="s">
        <v>6452</v>
      </c>
      <c r="D1540" s="3970"/>
      <c r="E1540" s="4010" t="s">
        <v>6527</v>
      </c>
      <c r="F1540" s="4010" t="s">
        <v>6557</v>
      </c>
      <c r="G1540" s="3967" t="s">
        <v>286</v>
      </c>
      <c r="H1540" s="4010" t="s">
        <v>6558</v>
      </c>
      <c r="I1540" s="3967" t="s">
        <v>171</v>
      </c>
      <c r="J1540" s="4089" t="s">
        <v>6559</v>
      </c>
      <c r="K1540" s="4090" t="s">
        <v>6560</v>
      </c>
      <c r="L1540" s="4011" t="s">
        <v>27</v>
      </c>
      <c r="M1540" s="40"/>
      <c r="N1540" s="4097" t="s">
        <v>6561</v>
      </c>
      <c r="O1540" s="4011" t="s">
        <v>6520</v>
      </c>
      <c r="P1540" s="40"/>
      <c r="Q1540" s="4107">
        <v>40000</v>
      </c>
      <c r="R1540" s="4108" t="s">
        <v>4603</v>
      </c>
      <c r="S1540" s="4109">
        <v>45644</v>
      </c>
      <c r="T1540" s="4110">
        <v>40000</v>
      </c>
      <c r="U1540" s="4106">
        <v>45644</v>
      </c>
      <c r="V1540" s="4105">
        <v>40000</v>
      </c>
      <c r="W1540" s="4106">
        <v>45645</v>
      </c>
      <c r="X1540" s="4105">
        <v>40000</v>
      </c>
      <c r="Y1540" s="4106">
        <v>45652</v>
      </c>
      <c r="Z1540" s="40"/>
      <c r="AA1540" s="40"/>
      <c r="AB1540" s="40"/>
      <c r="AC1540" s="40"/>
      <c r="AD1540" s="40"/>
      <c r="AE1540" s="40"/>
      <c r="AF1540" s="40"/>
      <c r="AG1540" s="40"/>
      <c r="AH1540" s="40"/>
      <c r="AI1540" s="40"/>
    </row>
    <row r="1541" s="32" customFormat="1" ht="40" customHeight="1" spans="1:35">
      <c r="A1541" s="4084"/>
      <c r="B1541" s="3972"/>
      <c r="C1541" s="4085"/>
      <c r="D1541" s="3970"/>
      <c r="E1541" s="4086"/>
      <c r="F1541" s="4086"/>
      <c r="G1541" s="4084"/>
      <c r="H1541" s="4012"/>
      <c r="I1541" s="3971"/>
      <c r="J1541" s="4091"/>
      <c r="K1541" s="4092"/>
      <c r="L1541" s="4011" t="s">
        <v>27</v>
      </c>
      <c r="M1541" s="40"/>
      <c r="N1541" s="4097" t="s">
        <v>6562</v>
      </c>
      <c r="O1541" s="4011" t="s">
        <v>6520</v>
      </c>
      <c r="P1541" s="40"/>
      <c r="Q1541" s="4107">
        <v>40000</v>
      </c>
      <c r="R1541" s="4108" t="s">
        <v>4603</v>
      </c>
      <c r="S1541" s="4109">
        <v>45644</v>
      </c>
      <c r="T1541" s="4110">
        <v>40000</v>
      </c>
      <c r="U1541" s="4106">
        <v>45644</v>
      </c>
      <c r="V1541" s="4105">
        <v>40000</v>
      </c>
      <c r="W1541" s="4106">
        <v>45645</v>
      </c>
      <c r="X1541" s="4105">
        <v>40000</v>
      </c>
      <c r="Y1541" s="4106">
        <v>45652</v>
      </c>
      <c r="Z1541" s="40"/>
      <c r="AA1541" s="40"/>
      <c r="AB1541" s="40"/>
      <c r="AC1541" s="40"/>
      <c r="AD1541" s="40"/>
      <c r="AE1541" s="40"/>
      <c r="AF1541" s="40"/>
      <c r="AG1541" s="40"/>
      <c r="AH1541" s="40"/>
      <c r="AI1541" s="40"/>
    </row>
    <row r="1542" s="32" customFormat="1" ht="40" customHeight="1" spans="1:35">
      <c r="A1542" s="4084"/>
      <c r="B1542" s="3972"/>
      <c r="C1542" s="4085"/>
      <c r="D1542" s="3970"/>
      <c r="E1542" s="4086"/>
      <c r="F1542" s="4086"/>
      <c r="G1542" s="4084"/>
      <c r="H1542" s="4012"/>
      <c r="I1542" s="3971"/>
      <c r="J1542" s="4091"/>
      <c r="K1542" s="4092"/>
      <c r="L1542" s="4011" t="s">
        <v>27</v>
      </c>
      <c r="M1542" s="40"/>
      <c r="N1542" s="4097" t="s">
        <v>6563</v>
      </c>
      <c r="O1542" s="4011" t="s">
        <v>6520</v>
      </c>
      <c r="P1542" s="40"/>
      <c r="Q1542" s="4107">
        <v>40000</v>
      </c>
      <c r="R1542" s="4108" t="s">
        <v>4603</v>
      </c>
      <c r="S1542" s="4109">
        <v>45644</v>
      </c>
      <c r="T1542" s="4110">
        <v>40000</v>
      </c>
      <c r="U1542" s="4106">
        <v>45644</v>
      </c>
      <c r="V1542" s="4105">
        <v>40000</v>
      </c>
      <c r="W1542" s="4106">
        <v>45645</v>
      </c>
      <c r="X1542" s="4105">
        <v>40000</v>
      </c>
      <c r="Y1542" s="4106">
        <v>45652</v>
      </c>
      <c r="Z1542" s="40"/>
      <c r="AA1542" s="40"/>
      <c r="AB1542" s="40"/>
      <c r="AC1542" s="40"/>
      <c r="AD1542" s="40"/>
      <c r="AE1542" s="40"/>
      <c r="AF1542" s="40"/>
      <c r="AG1542" s="40"/>
      <c r="AH1542" s="40"/>
      <c r="AI1542" s="40"/>
    </row>
    <row r="1543" s="32" customFormat="1" ht="40" customHeight="1" spans="1:35">
      <c r="A1543" s="4084"/>
      <c r="B1543" s="3972"/>
      <c r="C1543" s="4085"/>
      <c r="D1543" s="3970"/>
      <c r="E1543" s="4086"/>
      <c r="F1543" s="4086"/>
      <c r="G1543" s="4084"/>
      <c r="H1543" s="4012"/>
      <c r="I1543" s="3971"/>
      <c r="J1543" s="4091"/>
      <c r="K1543" s="4092"/>
      <c r="L1543" s="3967"/>
      <c r="M1543" s="40"/>
      <c r="N1543" s="4097"/>
      <c r="O1543" s="40"/>
      <c r="P1543" s="40"/>
      <c r="Q1543" s="4105"/>
      <c r="R1543" s="4098"/>
      <c r="S1543" s="4106"/>
      <c r="T1543" s="4105"/>
      <c r="U1543" s="4106"/>
      <c r="V1543" s="4105"/>
      <c r="W1543" s="4106"/>
      <c r="X1543" s="4105"/>
      <c r="Y1543" s="4106"/>
      <c r="Z1543" s="40"/>
      <c r="AA1543" s="40"/>
      <c r="AB1543" s="40"/>
      <c r="AC1543" s="40"/>
      <c r="AD1543" s="40"/>
      <c r="AE1543" s="40"/>
      <c r="AF1543" s="40"/>
      <c r="AG1543" s="40"/>
      <c r="AH1543" s="40"/>
      <c r="AI1543" s="40"/>
    </row>
    <row r="1544" s="32" customFormat="1" ht="40" customHeight="1" spans="1:35">
      <c r="A1544" s="4084"/>
      <c r="B1544" s="3972"/>
      <c r="C1544" s="4085"/>
      <c r="D1544" s="3970"/>
      <c r="E1544" s="4086"/>
      <c r="F1544" s="4086"/>
      <c r="G1544" s="4084"/>
      <c r="H1544" s="4012"/>
      <c r="I1544" s="3971"/>
      <c r="J1544" s="4091"/>
      <c r="K1544" s="4092"/>
      <c r="L1544" s="3967"/>
      <c r="M1544" s="40"/>
      <c r="N1544" s="4097"/>
      <c r="O1544" s="40"/>
      <c r="P1544" s="40"/>
      <c r="Q1544" s="4105"/>
      <c r="R1544" s="4098"/>
      <c r="S1544" s="4106"/>
      <c r="T1544" s="4105"/>
      <c r="U1544" s="4106"/>
      <c r="V1544" s="4105"/>
      <c r="W1544" s="4106"/>
      <c r="X1544" s="4105"/>
      <c r="Y1544" s="4106"/>
      <c r="Z1544" s="40"/>
      <c r="AA1544" s="40"/>
      <c r="AB1544" s="40"/>
      <c r="AC1544" s="40"/>
      <c r="AD1544" s="40"/>
      <c r="AE1544" s="40"/>
      <c r="AF1544" s="40"/>
      <c r="AG1544" s="40"/>
      <c r="AH1544" s="40"/>
      <c r="AI1544" s="40"/>
    </row>
    <row r="1545" s="32" customFormat="1" ht="40" customHeight="1" spans="1:35">
      <c r="A1545" s="4084"/>
      <c r="B1545" s="3972"/>
      <c r="C1545" s="4085"/>
      <c r="D1545" s="3970"/>
      <c r="E1545" s="4086"/>
      <c r="F1545" s="4086"/>
      <c r="G1545" s="4084"/>
      <c r="H1545" s="4012"/>
      <c r="I1545" s="3971"/>
      <c r="J1545" s="4091"/>
      <c r="K1545" s="4092"/>
      <c r="L1545" s="3967"/>
      <c r="M1545" s="40"/>
      <c r="N1545" s="4097"/>
      <c r="O1545" s="40"/>
      <c r="P1545" s="40"/>
      <c r="Q1545" s="4105"/>
      <c r="R1545" s="4098"/>
      <c r="S1545" s="4106"/>
      <c r="T1545" s="4105"/>
      <c r="U1545" s="4106"/>
      <c r="V1545" s="4105"/>
      <c r="W1545" s="4106"/>
      <c r="X1545" s="4105"/>
      <c r="Y1545" s="4106"/>
      <c r="Z1545" s="40"/>
      <c r="AA1545" s="40"/>
      <c r="AB1545" s="40"/>
      <c r="AC1545" s="40"/>
      <c r="AD1545" s="40"/>
      <c r="AE1545" s="40"/>
      <c r="AF1545" s="40"/>
      <c r="AG1545" s="40"/>
      <c r="AH1545" s="40"/>
      <c r="AI1545" s="40"/>
    </row>
    <row r="1546" s="32" customFormat="1" ht="40" customHeight="1" spans="1:35">
      <c r="A1546" s="4084"/>
      <c r="B1546" s="3972"/>
      <c r="C1546" s="4085"/>
      <c r="D1546" s="3970"/>
      <c r="E1546" s="4086"/>
      <c r="F1546" s="4086"/>
      <c r="G1546" s="4084"/>
      <c r="H1546" s="4012"/>
      <c r="I1546" s="3971"/>
      <c r="J1546" s="4091"/>
      <c r="K1546" s="4092"/>
      <c r="L1546" s="3967"/>
      <c r="M1546" s="3970"/>
      <c r="N1546" s="4132"/>
      <c r="O1546" s="3970"/>
      <c r="P1546" s="3970"/>
      <c r="Q1546" s="4144"/>
      <c r="R1546" s="3967"/>
      <c r="S1546" s="4145"/>
      <c r="T1546" s="4144"/>
      <c r="U1546" s="4145"/>
      <c r="V1546" s="4144"/>
      <c r="W1546" s="4145"/>
      <c r="X1546" s="4144"/>
      <c r="Y1546" s="4145"/>
      <c r="Z1546" s="3970"/>
      <c r="AA1546" s="3970"/>
      <c r="AB1546" s="3970"/>
      <c r="AC1546" s="3970"/>
      <c r="AD1546" s="3970"/>
      <c r="AE1546" s="3970"/>
      <c r="AF1546" s="3970"/>
      <c r="AG1546" s="3970"/>
      <c r="AH1546" s="3970"/>
      <c r="AI1546" s="3970"/>
    </row>
    <row r="1547" s="34" customFormat="1" ht="40" customHeight="1" spans="1:35">
      <c r="A1547" s="3967" t="s">
        <v>2570</v>
      </c>
      <c r="B1547" s="3968">
        <v>45649</v>
      </c>
      <c r="C1547" s="4083" t="s">
        <v>6452</v>
      </c>
      <c r="D1547" s="3970"/>
      <c r="E1547" s="4010" t="s">
        <v>6564</v>
      </c>
      <c r="F1547" s="4010" t="s">
        <v>6565</v>
      </c>
      <c r="G1547" s="3967" t="s">
        <v>6566</v>
      </c>
      <c r="H1547" s="4010" t="s">
        <v>6567</v>
      </c>
      <c r="I1547" s="3970"/>
      <c r="J1547" s="4010"/>
      <c r="K1547" s="4124"/>
      <c r="L1547" s="4098" t="s">
        <v>26</v>
      </c>
      <c r="M1547" s="40"/>
      <c r="N1547" s="4133" t="s">
        <v>6568</v>
      </c>
      <c r="O1547" s="4133" t="s">
        <v>6520</v>
      </c>
      <c r="P1547" s="40"/>
      <c r="Q1547" s="4105">
        <v>4800</v>
      </c>
      <c r="R1547" s="4098" t="s">
        <v>4603</v>
      </c>
      <c r="S1547" s="4106">
        <v>45763</v>
      </c>
      <c r="T1547" s="4105">
        <f t="shared" ref="T1547:T1556" si="46">Q1547</f>
        <v>4800</v>
      </c>
      <c r="U1547" s="4106">
        <v>45763</v>
      </c>
      <c r="V1547" s="4144">
        <v>48000</v>
      </c>
      <c r="W1547" s="4145">
        <v>45765</v>
      </c>
      <c r="X1547" s="4156">
        <v>48000</v>
      </c>
      <c r="Y1547" s="4145">
        <v>45776</v>
      </c>
      <c r="Z1547" s="40"/>
      <c r="AA1547" s="40"/>
      <c r="AB1547" s="40"/>
      <c r="AC1547" s="40"/>
      <c r="AD1547" s="40"/>
      <c r="AE1547" s="40"/>
      <c r="AF1547" s="40"/>
      <c r="AG1547" s="40"/>
      <c r="AH1547" s="40"/>
      <c r="AI1547" s="40"/>
    </row>
    <row r="1548" s="34" customFormat="1" ht="40" customHeight="1" spans="1:35">
      <c r="A1548" s="4084"/>
      <c r="B1548" s="3972"/>
      <c r="C1548" s="4085"/>
      <c r="D1548" s="3970"/>
      <c r="E1548" s="4086"/>
      <c r="F1548" s="4086"/>
      <c r="G1548" s="4084"/>
      <c r="H1548" s="4012"/>
      <c r="I1548" s="3971"/>
      <c r="J1548" s="4086"/>
      <c r="K1548" s="4092"/>
      <c r="L1548" s="4098" t="s">
        <v>26</v>
      </c>
      <c r="M1548" s="40"/>
      <c r="N1548" s="4133" t="s">
        <v>6569</v>
      </c>
      <c r="O1548" s="4133" t="s">
        <v>6520</v>
      </c>
      <c r="P1548" s="40"/>
      <c r="Q1548" s="4105">
        <v>4800</v>
      </c>
      <c r="R1548" s="4098" t="s">
        <v>4603</v>
      </c>
      <c r="S1548" s="4106">
        <v>45763</v>
      </c>
      <c r="T1548" s="4105">
        <f t="shared" si="46"/>
        <v>4800</v>
      </c>
      <c r="U1548" s="4106">
        <v>45763</v>
      </c>
      <c r="V1548" s="4157"/>
      <c r="W1548" s="4158"/>
      <c r="X1548" s="4159"/>
      <c r="Y1548" s="4158"/>
      <c r="Z1548" s="40"/>
      <c r="AA1548" s="40"/>
      <c r="AB1548" s="40"/>
      <c r="AC1548" s="40"/>
      <c r="AD1548" s="40"/>
      <c r="AE1548" s="40"/>
      <c r="AF1548" s="40"/>
      <c r="AG1548" s="40"/>
      <c r="AH1548" s="40"/>
      <c r="AI1548" s="40"/>
    </row>
    <row r="1549" s="34" customFormat="1" ht="40" customHeight="1" spans="1:35">
      <c r="A1549" s="4084"/>
      <c r="B1549" s="3972"/>
      <c r="C1549" s="4085"/>
      <c r="D1549" s="3970"/>
      <c r="E1549" s="4086"/>
      <c r="F1549" s="4086"/>
      <c r="G1549" s="4084"/>
      <c r="H1549" s="4012"/>
      <c r="I1549" s="3971"/>
      <c r="J1549" s="4086"/>
      <c r="K1549" s="4092"/>
      <c r="L1549" s="4098" t="s">
        <v>26</v>
      </c>
      <c r="M1549" s="40"/>
      <c r="N1549" s="4133" t="s">
        <v>6570</v>
      </c>
      <c r="O1549" s="4133" t="s">
        <v>6520</v>
      </c>
      <c r="P1549" s="40"/>
      <c r="Q1549" s="4105">
        <v>4800</v>
      </c>
      <c r="R1549" s="4098" t="s">
        <v>4603</v>
      </c>
      <c r="S1549" s="4106">
        <v>45763</v>
      </c>
      <c r="T1549" s="4105">
        <f t="shared" si="46"/>
        <v>4800</v>
      </c>
      <c r="U1549" s="4106">
        <v>45763</v>
      </c>
      <c r="V1549" s="4157"/>
      <c r="W1549" s="4158"/>
      <c r="X1549" s="4159"/>
      <c r="Y1549" s="4158"/>
      <c r="Z1549" s="40"/>
      <c r="AA1549" s="40"/>
      <c r="AB1549" s="40"/>
      <c r="AC1549" s="40"/>
      <c r="AD1549" s="40"/>
      <c r="AE1549" s="40"/>
      <c r="AF1549" s="40"/>
      <c r="AG1549" s="40"/>
      <c r="AH1549" s="40"/>
      <c r="AI1549" s="40"/>
    </row>
    <row r="1550" s="34" customFormat="1" ht="40" customHeight="1" spans="1:35">
      <c r="A1550" s="4084"/>
      <c r="B1550" s="3972"/>
      <c r="C1550" s="4085"/>
      <c r="D1550" s="3970"/>
      <c r="E1550" s="4086"/>
      <c r="F1550" s="4086"/>
      <c r="G1550" s="4084"/>
      <c r="H1550" s="4012"/>
      <c r="I1550" s="3971"/>
      <c r="J1550" s="4086"/>
      <c r="K1550" s="4092"/>
      <c r="L1550" s="4098" t="s">
        <v>26</v>
      </c>
      <c r="M1550" s="40"/>
      <c r="N1550" s="4133" t="s">
        <v>6571</v>
      </c>
      <c r="O1550" s="4133" t="s">
        <v>6520</v>
      </c>
      <c r="P1550" s="40"/>
      <c r="Q1550" s="4105">
        <v>4800</v>
      </c>
      <c r="R1550" s="4098" t="s">
        <v>4603</v>
      </c>
      <c r="S1550" s="4106">
        <v>45763</v>
      </c>
      <c r="T1550" s="4105">
        <f t="shared" si="46"/>
        <v>4800</v>
      </c>
      <c r="U1550" s="4106">
        <v>45763</v>
      </c>
      <c r="V1550" s="4157"/>
      <c r="W1550" s="4158"/>
      <c r="X1550" s="4159"/>
      <c r="Y1550" s="4158"/>
      <c r="Z1550" s="40"/>
      <c r="AA1550" s="40"/>
      <c r="AB1550" s="40"/>
      <c r="AC1550" s="40"/>
      <c r="AD1550" s="40"/>
      <c r="AE1550" s="40"/>
      <c r="AF1550" s="40"/>
      <c r="AG1550" s="40"/>
      <c r="AH1550" s="40"/>
      <c r="AI1550" s="40"/>
    </row>
    <row r="1551" s="34" customFormat="1" ht="40" customHeight="1" spans="1:35">
      <c r="A1551" s="4084"/>
      <c r="B1551" s="3972"/>
      <c r="C1551" s="4085"/>
      <c r="D1551" s="3970"/>
      <c r="E1551" s="4086"/>
      <c r="F1551" s="4086"/>
      <c r="G1551" s="4084"/>
      <c r="H1551" s="4012"/>
      <c r="I1551" s="3971"/>
      <c r="J1551" s="4086"/>
      <c r="K1551" s="4092"/>
      <c r="L1551" s="4098" t="s">
        <v>26</v>
      </c>
      <c r="M1551" s="40"/>
      <c r="N1551" s="4133" t="s">
        <v>6572</v>
      </c>
      <c r="O1551" s="4133" t="s">
        <v>6520</v>
      </c>
      <c r="P1551" s="40"/>
      <c r="Q1551" s="4105">
        <v>4800</v>
      </c>
      <c r="R1551" s="4098" t="s">
        <v>4603</v>
      </c>
      <c r="S1551" s="4106">
        <v>45763</v>
      </c>
      <c r="T1551" s="4105">
        <f t="shared" si="46"/>
        <v>4800</v>
      </c>
      <c r="U1551" s="4106">
        <v>45763</v>
      </c>
      <c r="V1551" s="4157"/>
      <c r="W1551" s="4158"/>
      <c r="X1551" s="4159"/>
      <c r="Y1551" s="4158"/>
      <c r="Z1551" s="40"/>
      <c r="AA1551" s="40"/>
      <c r="AB1551" s="40"/>
      <c r="AC1551" s="40"/>
      <c r="AD1551" s="40"/>
      <c r="AE1551" s="40"/>
      <c r="AF1551" s="40"/>
      <c r="AG1551" s="40"/>
      <c r="AH1551" s="40"/>
      <c r="AI1551" s="40"/>
    </row>
    <row r="1552" s="34" customFormat="1" ht="40" customHeight="1" spans="1:35">
      <c r="A1552" s="4084"/>
      <c r="B1552" s="3972"/>
      <c r="C1552" s="4085"/>
      <c r="D1552" s="3970"/>
      <c r="E1552" s="4086"/>
      <c r="F1552" s="4086"/>
      <c r="G1552" s="4084"/>
      <c r="H1552" s="4012"/>
      <c r="I1552" s="3971"/>
      <c r="J1552" s="4086"/>
      <c r="K1552" s="4092"/>
      <c r="L1552" s="4098" t="s">
        <v>26</v>
      </c>
      <c r="M1552" s="40"/>
      <c r="N1552" s="4133" t="s">
        <v>6573</v>
      </c>
      <c r="O1552" s="4133" t="s">
        <v>6520</v>
      </c>
      <c r="P1552" s="40"/>
      <c r="Q1552" s="4105">
        <v>4800</v>
      </c>
      <c r="R1552" s="4098" t="s">
        <v>4603</v>
      </c>
      <c r="S1552" s="4106">
        <v>45763</v>
      </c>
      <c r="T1552" s="4105">
        <f t="shared" si="46"/>
        <v>4800</v>
      </c>
      <c r="U1552" s="4106">
        <v>45763</v>
      </c>
      <c r="V1552" s="4157"/>
      <c r="W1552" s="4158"/>
      <c r="X1552" s="4159"/>
      <c r="Y1552" s="4158"/>
      <c r="Z1552" s="40"/>
      <c r="AA1552" s="40"/>
      <c r="AB1552" s="40"/>
      <c r="AC1552" s="40"/>
      <c r="AD1552" s="40"/>
      <c r="AE1552" s="40"/>
      <c r="AF1552" s="40"/>
      <c r="AG1552" s="40"/>
      <c r="AH1552" s="40"/>
      <c r="AI1552" s="40"/>
    </row>
    <row r="1553" s="34" customFormat="1" ht="40" customHeight="1" spans="1:35">
      <c r="A1553" s="4084"/>
      <c r="B1553" s="3972"/>
      <c r="C1553" s="4085"/>
      <c r="D1553" s="3970"/>
      <c r="E1553" s="4086"/>
      <c r="F1553" s="4086"/>
      <c r="G1553" s="4084"/>
      <c r="H1553" s="4012"/>
      <c r="I1553" s="3971"/>
      <c r="J1553" s="4086"/>
      <c r="K1553" s="4092"/>
      <c r="L1553" s="4098" t="s">
        <v>27</v>
      </c>
      <c r="M1553" s="40"/>
      <c r="N1553" s="4133" t="s">
        <v>6574</v>
      </c>
      <c r="O1553" s="4133" t="s">
        <v>6520</v>
      </c>
      <c r="P1553" s="40"/>
      <c r="Q1553" s="4105">
        <v>4800</v>
      </c>
      <c r="R1553" s="4098" t="s">
        <v>4603</v>
      </c>
      <c r="S1553" s="4106">
        <v>45763</v>
      </c>
      <c r="T1553" s="4105">
        <f t="shared" si="46"/>
        <v>4800</v>
      </c>
      <c r="U1553" s="4106">
        <v>45763</v>
      </c>
      <c r="V1553" s="4157"/>
      <c r="W1553" s="4158"/>
      <c r="X1553" s="4159"/>
      <c r="Y1553" s="4158"/>
      <c r="Z1553" s="40"/>
      <c r="AA1553" s="40"/>
      <c r="AB1553" s="40"/>
      <c r="AC1553" s="40"/>
      <c r="AD1553" s="40"/>
      <c r="AE1553" s="40"/>
      <c r="AF1553" s="40"/>
      <c r="AG1553" s="40"/>
      <c r="AH1553" s="40"/>
      <c r="AI1553" s="40"/>
    </row>
    <row r="1554" s="34" customFormat="1" ht="40" customHeight="1" spans="1:35">
      <c r="A1554" s="4084"/>
      <c r="B1554" s="3972"/>
      <c r="C1554" s="4085"/>
      <c r="D1554" s="3970"/>
      <c r="E1554" s="4086"/>
      <c r="F1554" s="4086"/>
      <c r="G1554" s="4084"/>
      <c r="H1554" s="4012"/>
      <c r="I1554" s="3971"/>
      <c r="J1554" s="4086"/>
      <c r="K1554" s="4092"/>
      <c r="L1554" s="4098" t="s">
        <v>27</v>
      </c>
      <c r="M1554" s="40"/>
      <c r="N1554" s="4133" t="s">
        <v>6575</v>
      </c>
      <c r="O1554" s="4133" t="s">
        <v>6520</v>
      </c>
      <c r="P1554" s="40"/>
      <c r="Q1554" s="4105">
        <v>4800</v>
      </c>
      <c r="R1554" s="4098" t="s">
        <v>4603</v>
      </c>
      <c r="S1554" s="4106">
        <v>45763</v>
      </c>
      <c r="T1554" s="4105">
        <f t="shared" si="46"/>
        <v>4800</v>
      </c>
      <c r="U1554" s="4106">
        <v>45763</v>
      </c>
      <c r="V1554" s="4157"/>
      <c r="W1554" s="4158"/>
      <c r="X1554" s="4159"/>
      <c r="Y1554" s="4158"/>
      <c r="Z1554" s="40"/>
      <c r="AA1554" s="40"/>
      <c r="AB1554" s="40"/>
      <c r="AC1554" s="40"/>
      <c r="AD1554" s="40"/>
      <c r="AE1554" s="40"/>
      <c r="AF1554" s="40"/>
      <c r="AG1554" s="40"/>
      <c r="AH1554" s="40"/>
      <c r="AI1554" s="40"/>
    </row>
    <row r="1555" s="34" customFormat="1" ht="40" customHeight="1" spans="1:35">
      <c r="A1555" s="4084"/>
      <c r="B1555" s="3972"/>
      <c r="C1555" s="4085"/>
      <c r="D1555" s="3970"/>
      <c r="E1555" s="4086"/>
      <c r="F1555" s="4086"/>
      <c r="G1555" s="4084"/>
      <c r="H1555" s="4012"/>
      <c r="I1555" s="3971"/>
      <c r="J1555" s="4086"/>
      <c r="K1555" s="4092"/>
      <c r="L1555" s="4098" t="s">
        <v>27</v>
      </c>
      <c r="M1555" s="40"/>
      <c r="N1555" s="4133" t="s">
        <v>6576</v>
      </c>
      <c r="O1555" s="4133" t="s">
        <v>6520</v>
      </c>
      <c r="P1555" s="40"/>
      <c r="Q1555" s="4105">
        <v>4800</v>
      </c>
      <c r="R1555" s="4098" t="s">
        <v>4603</v>
      </c>
      <c r="S1555" s="4106">
        <v>45763</v>
      </c>
      <c r="T1555" s="4105">
        <f t="shared" si="46"/>
        <v>4800</v>
      </c>
      <c r="U1555" s="4106">
        <v>45763</v>
      </c>
      <c r="V1555" s="4157"/>
      <c r="W1555" s="4158"/>
      <c r="X1555" s="4159"/>
      <c r="Y1555" s="4158"/>
      <c r="Z1555" s="40"/>
      <c r="AA1555" s="40"/>
      <c r="AB1555" s="40"/>
      <c r="AC1555" s="40"/>
      <c r="AD1555" s="40"/>
      <c r="AE1555" s="40"/>
      <c r="AF1555" s="40"/>
      <c r="AG1555" s="40"/>
      <c r="AH1555" s="40"/>
      <c r="AI1555" s="40"/>
    </row>
    <row r="1556" s="34" customFormat="1" ht="40" customHeight="1" spans="1:35">
      <c r="A1556" s="658"/>
      <c r="B1556" s="3975"/>
      <c r="C1556" s="4113"/>
      <c r="D1556" s="3970"/>
      <c r="E1556" s="684"/>
      <c r="F1556" s="684"/>
      <c r="G1556" s="658"/>
      <c r="H1556" s="4014"/>
      <c r="I1556" s="3974"/>
      <c r="J1556" s="684"/>
      <c r="K1556" s="4125"/>
      <c r="L1556" s="4098" t="s">
        <v>27</v>
      </c>
      <c r="M1556" s="40"/>
      <c r="N1556" s="4133" t="s">
        <v>6577</v>
      </c>
      <c r="O1556" s="4133" t="s">
        <v>6520</v>
      </c>
      <c r="P1556" s="40"/>
      <c r="Q1556" s="4105">
        <v>4800</v>
      </c>
      <c r="R1556" s="4098" t="s">
        <v>4603</v>
      </c>
      <c r="S1556" s="4106">
        <v>45763</v>
      </c>
      <c r="T1556" s="4105">
        <f t="shared" si="46"/>
        <v>4800</v>
      </c>
      <c r="U1556" s="4106">
        <v>45763</v>
      </c>
      <c r="V1556" s="4146"/>
      <c r="W1556" s="4147"/>
      <c r="X1556" s="4160"/>
      <c r="Y1556" s="4147"/>
      <c r="Z1556" s="40"/>
      <c r="AA1556" s="40"/>
      <c r="AB1556" s="40"/>
      <c r="AC1556" s="40"/>
      <c r="AD1556" s="40"/>
      <c r="AE1556" s="40"/>
      <c r="AF1556" s="40"/>
      <c r="AG1556" s="40"/>
      <c r="AH1556" s="40"/>
      <c r="AI1556" s="40"/>
    </row>
    <row r="1557" s="32" customFormat="1" ht="40" customHeight="1" spans="1:35">
      <c r="A1557" s="3967" t="s">
        <v>2570</v>
      </c>
      <c r="B1557" s="3968">
        <v>45649</v>
      </c>
      <c r="C1557" s="4083" t="s">
        <v>6452</v>
      </c>
      <c r="D1557" s="3970"/>
      <c r="E1557" s="4010" t="s">
        <v>6564</v>
      </c>
      <c r="F1557" s="4010" t="s">
        <v>6578</v>
      </c>
      <c r="G1557" s="3967" t="s">
        <v>6566</v>
      </c>
      <c r="H1557" s="4010" t="s">
        <v>6124</v>
      </c>
      <c r="I1557" s="3970"/>
      <c r="J1557" s="4010"/>
      <c r="K1557" s="4124"/>
      <c r="L1557" s="4098" t="s">
        <v>26</v>
      </c>
      <c r="M1557" s="3974"/>
      <c r="N1557" s="4134" t="s">
        <v>6555</v>
      </c>
      <c r="O1557" s="4134" t="s">
        <v>6520</v>
      </c>
      <c r="P1557" s="3974"/>
      <c r="Q1557" s="4146">
        <v>4750</v>
      </c>
      <c r="R1557" s="4098" t="s">
        <v>4603</v>
      </c>
      <c r="S1557" s="4106">
        <v>45763</v>
      </c>
      <c r="T1557" s="4146">
        <v>4750</v>
      </c>
      <c r="U1557" s="4106">
        <v>45763</v>
      </c>
      <c r="V1557" s="4157">
        <v>38000</v>
      </c>
      <c r="W1557" s="4158">
        <v>45768</v>
      </c>
      <c r="X1557" s="4159">
        <v>38000</v>
      </c>
      <c r="Y1557" s="4158">
        <v>45776</v>
      </c>
      <c r="Z1557" s="3974"/>
      <c r="AA1557" s="3974"/>
      <c r="AB1557" s="3974"/>
      <c r="AC1557" s="3974"/>
      <c r="AD1557" s="3974"/>
      <c r="AE1557" s="3974"/>
      <c r="AF1557" s="3974"/>
      <c r="AG1557" s="3974"/>
      <c r="AH1557" s="3974"/>
      <c r="AI1557" s="3974"/>
    </row>
    <row r="1558" s="32" customFormat="1" ht="40" customHeight="1" spans="1:35">
      <c r="A1558" s="4084"/>
      <c r="B1558" s="3972"/>
      <c r="C1558" s="4085"/>
      <c r="D1558" s="3970"/>
      <c r="E1558" s="4086"/>
      <c r="F1558" s="4086"/>
      <c r="G1558" s="4084"/>
      <c r="H1558" s="4012"/>
      <c r="I1558" s="3971"/>
      <c r="J1558" s="4086"/>
      <c r="K1558" s="4092"/>
      <c r="L1558" s="4098" t="s">
        <v>26</v>
      </c>
      <c r="M1558" s="3974"/>
      <c r="N1558" s="4134" t="s">
        <v>6579</v>
      </c>
      <c r="O1558" s="4134" t="s">
        <v>6520</v>
      </c>
      <c r="P1558" s="3974"/>
      <c r="Q1558" s="4146">
        <v>4750</v>
      </c>
      <c r="R1558" s="4098" t="s">
        <v>4603</v>
      </c>
      <c r="S1558" s="4106">
        <v>45763</v>
      </c>
      <c r="T1558" s="4146">
        <v>4750</v>
      </c>
      <c r="U1558" s="4106">
        <v>45763</v>
      </c>
      <c r="V1558" s="4157"/>
      <c r="W1558" s="4158"/>
      <c r="X1558" s="4159"/>
      <c r="Y1558" s="4158"/>
      <c r="Z1558" s="3974"/>
      <c r="AA1558" s="3974"/>
      <c r="AB1558" s="3974"/>
      <c r="AC1558" s="3974"/>
      <c r="AD1558" s="3974"/>
      <c r="AE1558" s="3974"/>
      <c r="AF1558" s="3974"/>
      <c r="AG1558" s="3974"/>
      <c r="AH1558" s="3974"/>
      <c r="AI1558" s="3974"/>
    </row>
    <row r="1559" s="32" customFormat="1" ht="40" customHeight="1" spans="1:35">
      <c r="A1559" s="4084"/>
      <c r="B1559" s="3972"/>
      <c r="C1559" s="4085"/>
      <c r="D1559" s="3970"/>
      <c r="E1559" s="4086"/>
      <c r="F1559" s="4086"/>
      <c r="G1559" s="4084"/>
      <c r="H1559" s="4012"/>
      <c r="I1559" s="3971"/>
      <c r="J1559" s="4086"/>
      <c r="K1559" s="4092"/>
      <c r="L1559" s="4098" t="s">
        <v>27</v>
      </c>
      <c r="M1559" s="3974"/>
      <c r="N1559" s="4134" t="s">
        <v>6580</v>
      </c>
      <c r="O1559" s="4134" t="s">
        <v>6520</v>
      </c>
      <c r="P1559" s="3974"/>
      <c r="Q1559" s="4146">
        <v>4750</v>
      </c>
      <c r="R1559" s="4098" t="s">
        <v>4603</v>
      </c>
      <c r="S1559" s="4106">
        <v>45763</v>
      </c>
      <c r="T1559" s="4146">
        <v>4750</v>
      </c>
      <c r="U1559" s="4106">
        <v>45763</v>
      </c>
      <c r="V1559" s="4157"/>
      <c r="W1559" s="4158"/>
      <c r="X1559" s="4159"/>
      <c r="Y1559" s="4158"/>
      <c r="Z1559" s="3974"/>
      <c r="AA1559" s="3974"/>
      <c r="AB1559" s="3974"/>
      <c r="AC1559" s="3974"/>
      <c r="AD1559" s="3974"/>
      <c r="AE1559" s="3974"/>
      <c r="AF1559" s="3974"/>
      <c r="AG1559" s="3974"/>
      <c r="AH1559" s="3974"/>
      <c r="AI1559" s="3974"/>
    </row>
    <row r="1560" s="32" customFormat="1" ht="40" customHeight="1" spans="1:35">
      <c r="A1560" s="4084"/>
      <c r="B1560" s="3972"/>
      <c r="C1560" s="4085"/>
      <c r="D1560" s="3970"/>
      <c r="E1560" s="4086"/>
      <c r="F1560" s="4086"/>
      <c r="G1560" s="4084"/>
      <c r="H1560" s="4012"/>
      <c r="I1560" s="3971"/>
      <c r="J1560" s="4086"/>
      <c r="K1560" s="4092"/>
      <c r="L1560" s="4098" t="s">
        <v>27</v>
      </c>
      <c r="M1560" s="3974"/>
      <c r="N1560" s="4134" t="s">
        <v>6581</v>
      </c>
      <c r="O1560" s="4134" t="s">
        <v>6520</v>
      </c>
      <c r="P1560" s="3974"/>
      <c r="Q1560" s="4146">
        <v>4750</v>
      </c>
      <c r="R1560" s="4098" t="s">
        <v>4603</v>
      </c>
      <c r="S1560" s="4106">
        <v>45763</v>
      </c>
      <c r="T1560" s="4146">
        <v>4750</v>
      </c>
      <c r="U1560" s="4106">
        <v>45763</v>
      </c>
      <c r="V1560" s="4157"/>
      <c r="W1560" s="4158"/>
      <c r="X1560" s="4159"/>
      <c r="Y1560" s="4158"/>
      <c r="Z1560" s="3974"/>
      <c r="AA1560" s="3974"/>
      <c r="AB1560" s="3974"/>
      <c r="AC1560" s="3974"/>
      <c r="AD1560" s="3974"/>
      <c r="AE1560" s="3974"/>
      <c r="AF1560" s="3974"/>
      <c r="AG1560" s="3974"/>
      <c r="AH1560" s="3974"/>
      <c r="AI1560" s="3974"/>
    </row>
    <row r="1561" s="32" customFormat="1" ht="40" customHeight="1" spans="1:35">
      <c r="A1561" s="4084"/>
      <c r="B1561" s="3972"/>
      <c r="C1561" s="4085"/>
      <c r="D1561" s="3970"/>
      <c r="E1561" s="4086"/>
      <c r="F1561" s="4086"/>
      <c r="G1561" s="4084"/>
      <c r="H1561" s="4012"/>
      <c r="I1561" s="3971"/>
      <c r="J1561" s="4086"/>
      <c r="K1561" s="4092"/>
      <c r="L1561" s="4098" t="s">
        <v>27</v>
      </c>
      <c r="M1561" s="3974"/>
      <c r="N1561" s="4134" t="s">
        <v>6582</v>
      </c>
      <c r="O1561" s="4134" t="s">
        <v>6520</v>
      </c>
      <c r="P1561" s="3974"/>
      <c r="Q1561" s="4146">
        <v>4750</v>
      </c>
      <c r="R1561" s="4098" t="s">
        <v>4603</v>
      </c>
      <c r="S1561" s="4106">
        <v>45763</v>
      </c>
      <c r="T1561" s="4146">
        <v>4750</v>
      </c>
      <c r="U1561" s="4106">
        <v>45763</v>
      </c>
      <c r="V1561" s="4157"/>
      <c r="W1561" s="4158"/>
      <c r="X1561" s="4159"/>
      <c r="Y1561" s="4158"/>
      <c r="Z1561" s="3974"/>
      <c r="AA1561" s="3974"/>
      <c r="AB1561" s="3974"/>
      <c r="AC1561" s="3974"/>
      <c r="AD1561" s="3974"/>
      <c r="AE1561" s="3974"/>
      <c r="AF1561" s="3974"/>
      <c r="AG1561" s="3974"/>
      <c r="AH1561" s="3974"/>
      <c r="AI1561" s="3974"/>
    </row>
    <row r="1562" s="32" customFormat="1" ht="40" customHeight="1" spans="1:35">
      <c r="A1562" s="4084"/>
      <c r="B1562" s="3972"/>
      <c r="C1562" s="4085"/>
      <c r="D1562" s="3970"/>
      <c r="E1562" s="4086"/>
      <c r="F1562" s="4086"/>
      <c r="G1562" s="4084"/>
      <c r="H1562" s="4012"/>
      <c r="I1562" s="3971"/>
      <c r="J1562" s="4086"/>
      <c r="K1562" s="4092"/>
      <c r="L1562" s="4098" t="s">
        <v>27</v>
      </c>
      <c r="M1562" s="3974"/>
      <c r="N1562" s="4134" t="s">
        <v>6583</v>
      </c>
      <c r="O1562" s="4134" t="s">
        <v>6520</v>
      </c>
      <c r="P1562" s="3974"/>
      <c r="Q1562" s="4146">
        <v>4750</v>
      </c>
      <c r="R1562" s="4098" t="s">
        <v>4603</v>
      </c>
      <c r="S1562" s="4106">
        <v>45763</v>
      </c>
      <c r="T1562" s="4146">
        <v>4750</v>
      </c>
      <c r="U1562" s="4106">
        <v>45763</v>
      </c>
      <c r="V1562" s="4157"/>
      <c r="W1562" s="4158"/>
      <c r="X1562" s="4159"/>
      <c r="Y1562" s="4158"/>
      <c r="Z1562" s="3974"/>
      <c r="AA1562" s="3974"/>
      <c r="AB1562" s="3974"/>
      <c r="AC1562" s="3974"/>
      <c r="AD1562" s="3974"/>
      <c r="AE1562" s="3974"/>
      <c r="AF1562" s="3974"/>
      <c r="AG1562" s="3974"/>
      <c r="AH1562" s="3974"/>
      <c r="AI1562" s="3974"/>
    </row>
    <row r="1563" s="32" customFormat="1" ht="40" customHeight="1" spans="1:35">
      <c r="A1563" s="4084"/>
      <c r="B1563" s="3972"/>
      <c r="C1563" s="4085"/>
      <c r="D1563" s="3970"/>
      <c r="E1563" s="4086"/>
      <c r="F1563" s="4086"/>
      <c r="G1563" s="4084"/>
      <c r="H1563" s="4012"/>
      <c r="I1563" s="3971"/>
      <c r="J1563" s="4086"/>
      <c r="K1563" s="4092"/>
      <c r="L1563" s="4098" t="s">
        <v>27</v>
      </c>
      <c r="M1563" s="3974"/>
      <c r="N1563" s="4134" t="s">
        <v>6541</v>
      </c>
      <c r="O1563" s="4134" t="s">
        <v>6520</v>
      </c>
      <c r="P1563" s="3974"/>
      <c r="Q1563" s="4146">
        <v>4750</v>
      </c>
      <c r="R1563" s="4098" t="s">
        <v>4603</v>
      </c>
      <c r="S1563" s="4106">
        <v>45763</v>
      </c>
      <c r="T1563" s="4146">
        <v>4750</v>
      </c>
      <c r="U1563" s="4106">
        <v>45763</v>
      </c>
      <c r="V1563" s="4157"/>
      <c r="W1563" s="4158"/>
      <c r="X1563" s="4159"/>
      <c r="Y1563" s="4158"/>
      <c r="Z1563" s="3974"/>
      <c r="AA1563" s="3974"/>
      <c r="AB1563" s="3974"/>
      <c r="AC1563" s="3974"/>
      <c r="AD1563" s="3974"/>
      <c r="AE1563" s="3974"/>
      <c r="AF1563" s="3974"/>
      <c r="AG1563" s="3974"/>
      <c r="AH1563" s="3974"/>
      <c r="AI1563" s="3974"/>
    </row>
    <row r="1564" s="32" customFormat="1" ht="40" customHeight="1" spans="1:35">
      <c r="A1564" s="658"/>
      <c r="B1564" s="3975"/>
      <c r="C1564" s="4113"/>
      <c r="D1564" s="3970"/>
      <c r="E1564" s="684"/>
      <c r="F1564" s="684"/>
      <c r="G1564" s="658"/>
      <c r="H1564" s="4014"/>
      <c r="I1564" s="3974"/>
      <c r="J1564" s="684"/>
      <c r="K1564" s="4125"/>
      <c r="L1564" s="4098" t="s">
        <v>27</v>
      </c>
      <c r="M1564" s="3974"/>
      <c r="N1564" s="4134" t="s">
        <v>6524</v>
      </c>
      <c r="O1564" s="4134" t="s">
        <v>6520</v>
      </c>
      <c r="P1564" s="3974"/>
      <c r="Q1564" s="4146">
        <v>4750</v>
      </c>
      <c r="R1564" s="4098" t="s">
        <v>4603</v>
      </c>
      <c r="S1564" s="4106">
        <v>45763</v>
      </c>
      <c r="T1564" s="4146">
        <v>4750</v>
      </c>
      <c r="U1564" s="4106">
        <v>45763</v>
      </c>
      <c r="V1564" s="4146"/>
      <c r="W1564" s="4147"/>
      <c r="X1564" s="4160"/>
      <c r="Y1564" s="4147"/>
      <c r="Z1564" s="3974"/>
      <c r="AA1564" s="3974"/>
      <c r="AB1564" s="3974"/>
      <c r="AC1564" s="3974"/>
      <c r="AD1564" s="3974"/>
      <c r="AE1564" s="3974"/>
      <c r="AF1564" s="3974"/>
      <c r="AG1564" s="3974"/>
      <c r="AH1564" s="3974"/>
      <c r="AI1564" s="3974"/>
    </row>
    <row r="1565" s="32" customFormat="1" ht="40" customHeight="1" spans="1:35">
      <c r="A1565" s="4084" t="s">
        <v>2570</v>
      </c>
      <c r="B1565" s="3972">
        <v>45649</v>
      </c>
      <c r="C1565" s="4085" t="s">
        <v>6452</v>
      </c>
      <c r="D1565" s="3970"/>
      <c r="E1565" s="4086" t="s">
        <v>6564</v>
      </c>
      <c r="F1565" s="4086" t="s">
        <v>6584</v>
      </c>
      <c r="G1565" s="4084" t="s">
        <v>6566</v>
      </c>
      <c r="H1565" s="4086" t="s">
        <v>6211</v>
      </c>
      <c r="I1565" s="3971"/>
      <c r="J1565" s="4086"/>
      <c r="K1565" s="4092"/>
      <c r="L1565" s="4098" t="s">
        <v>26</v>
      </c>
      <c r="M1565" s="3974"/>
      <c r="N1565" s="4135" t="s">
        <v>6585</v>
      </c>
      <c r="O1565" s="4134" t="s">
        <v>6520</v>
      </c>
      <c r="P1565" s="3974"/>
      <c r="Q1565" s="4146">
        <v>4800</v>
      </c>
      <c r="R1565" s="4098" t="s">
        <v>4603</v>
      </c>
      <c r="S1565" s="4106">
        <v>45763</v>
      </c>
      <c r="T1565" s="4146">
        <v>4800</v>
      </c>
      <c r="U1565" s="4106">
        <v>45763</v>
      </c>
      <c r="V1565" s="4157">
        <v>14400</v>
      </c>
      <c r="W1565" s="4158">
        <v>45768</v>
      </c>
      <c r="X1565" s="4159">
        <v>14400</v>
      </c>
      <c r="Y1565" s="4158">
        <v>45776</v>
      </c>
      <c r="Z1565" s="3974"/>
      <c r="AA1565" s="3974"/>
      <c r="AB1565" s="3974"/>
      <c r="AC1565" s="3974"/>
      <c r="AD1565" s="3974"/>
      <c r="AE1565" s="3974"/>
      <c r="AF1565" s="3974"/>
      <c r="AG1565" s="3974"/>
      <c r="AH1565" s="3974"/>
      <c r="AI1565" s="3974"/>
    </row>
    <row r="1566" s="32" customFormat="1" ht="40" customHeight="1" spans="1:35">
      <c r="A1566" s="4084"/>
      <c r="B1566" s="3972"/>
      <c r="C1566" s="4085"/>
      <c r="D1566" s="3970"/>
      <c r="E1566" s="4086"/>
      <c r="F1566" s="4086"/>
      <c r="G1566" s="4084"/>
      <c r="H1566" s="4012"/>
      <c r="I1566" s="3971"/>
      <c r="J1566" s="4086"/>
      <c r="K1566" s="4092"/>
      <c r="L1566" s="4098" t="s">
        <v>27</v>
      </c>
      <c r="M1566" s="3974"/>
      <c r="N1566" s="4135" t="s">
        <v>6586</v>
      </c>
      <c r="O1566" s="4134" t="s">
        <v>6520</v>
      </c>
      <c r="P1566" s="3974"/>
      <c r="Q1566" s="4146">
        <v>4800</v>
      </c>
      <c r="R1566" s="4098" t="s">
        <v>4603</v>
      </c>
      <c r="S1566" s="4106">
        <v>45763</v>
      </c>
      <c r="T1566" s="4146">
        <v>4800</v>
      </c>
      <c r="U1566" s="4106">
        <v>45763</v>
      </c>
      <c r="V1566" s="4157"/>
      <c r="W1566" s="4158"/>
      <c r="X1566" s="4159"/>
      <c r="Y1566" s="4158"/>
      <c r="Z1566" s="3974"/>
      <c r="AA1566" s="3974"/>
      <c r="AB1566" s="3974"/>
      <c r="AC1566" s="3974"/>
      <c r="AD1566" s="3974"/>
      <c r="AE1566" s="3974"/>
      <c r="AF1566" s="3974"/>
      <c r="AG1566" s="3974"/>
      <c r="AH1566" s="3974"/>
      <c r="AI1566" s="3974"/>
    </row>
    <row r="1567" s="32" customFormat="1" ht="40" customHeight="1" spans="1:35">
      <c r="A1567" s="658"/>
      <c r="B1567" s="3975"/>
      <c r="C1567" s="4113"/>
      <c r="D1567" s="3970"/>
      <c r="E1567" s="684"/>
      <c r="F1567" s="684"/>
      <c r="G1567" s="658"/>
      <c r="H1567" s="4014"/>
      <c r="I1567" s="3974"/>
      <c r="J1567" s="684"/>
      <c r="K1567" s="4125"/>
      <c r="L1567" s="4098" t="s">
        <v>27</v>
      </c>
      <c r="M1567" s="3974"/>
      <c r="N1567" s="4135" t="s">
        <v>6587</v>
      </c>
      <c r="O1567" s="4134" t="s">
        <v>6520</v>
      </c>
      <c r="P1567" s="3974"/>
      <c r="Q1567" s="4146">
        <v>4800</v>
      </c>
      <c r="R1567" s="4098" t="s">
        <v>4603</v>
      </c>
      <c r="S1567" s="4106">
        <v>45763</v>
      </c>
      <c r="T1567" s="4146">
        <v>4800</v>
      </c>
      <c r="U1567" s="4106">
        <v>45763</v>
      </c>
      <c r="V1567" s="4146"/>
      <c r="W1567" s="4147"/>
      <c r="X1567" s="4160"/>
      <c r="Y1567" s="4147"/>
      <c r="Z1567" s="3974"/>
      <c r="AA1567" s="3974"/>
      <c r="AB1567" s="3974"/>
      <c r="AC1567" s="3974"/>
      <c r="AD1567" s="3974"/>
      <c r="AE1567" s="3974"/>
      <c r="AF1567" s="3974"/>
      <c r="AG1567" s="3974"/>
      <c r="AH1567" s="3974"/>
      <c r="AI1567" s="3974"/>
    </row>
    <row r="1568" s="32" customFormat="1" ht="40" customHeight="1" spans="1:35">
      <c r="A1568" s="4084" t="s">
        <v>2570</v>
      </c>
      <c r="B1568" s="3972">
        <v>45649</v>
      </c>
      <c r="C1568" s="4085" t="s">
        <v>6452</v>
      </c>
      <c r="D1568" s="3970"/>
      <c r="E1568" s="4086" t="s">
        <v>6564</v>
      </c>
      <c r="F1568" s="4086" t="s">
        <v>6588</v>
      </c>
      <c r="G1568" s="4084" t="s">
        <v>6566</v>
      </c>
      <c r="H1568" s="4086" t="s">
        <v>6589</v>
      </c>
      <c r="I1568" s="3971"/>
      <c r="J1568" s="4086"/>
      <c r="K1568" s="4092"/>
      <c r="L1568" s="4098" t="s">
        <v>26</v>
      </c>
      <c r="M1568" s="3974"/>
      <c r="N1568" s="4136" t="s">
        <v>6590</v>
      </c>
      <c r="O1568" s="4134" t="s">
        <v>6520</v>
      </c>
      <c r="P1568" s="3974"/>
      <c r="Q1568" s="4146">
        <v>4780</v>
      </c>
      <c r="R1568" s="4098" t="s">
        <v>4603</v>
      </c>
      <c r="S1568" s="4106">
        <v>45763</v>
      </c>
      <c r="T1568" s="4146">
        <v>4780</v>
      </c>
      <c r="U1568" s="4106">
        <v>45763</v>
      </c>
      <c r="V1568" s="4157">
        <v>14340</v>
      </c>
      <c r="W1568" s="4158">
        <v>45769</v>
      </c>
      <c r="X1568" s="4161">
        <v>14340</v>
      </c>
      <c r="Y1568" s="4158">
        <v>45776</v>
      </c>
      <c r="Z1568" s="3974"/>
      <c r="AA1568" s="3974"/>
      <c r="AB1568" s="3974"/>
      <c r="AC1568" s="3974"/>
      <c r="AD1568" s="3974"/>
      <c r="AE1568" s="3974"/>
      <c r="AF1568" s="3974"/>
      <c r="AG1568" s="3974"/>
      <c r="AH1568" s="3974"/>
      <c r="AI1568" s="3974"/>
    </row>
    <row r="1569" s="32" customFormat="1" ht="40" customHeight="1" spans="1:35">
      <c r="A1569" s="4084"/>
      <c r="B1569" s="3972"/>
      <c r="C1569" s="4085"/>
      <c r="D1569" s="3970"/>
      <c r="E1569" s="4086"/>
      <c r="F1569" s="4086"/>
      <c r="G1569" s="4084"/>
      <c r="H1569" s="4012"/>
      <c r="I1569" s="3971"/>
      <c r="J1569" s="4086"/>
      <c r="K1569" s="4092"/>
      <c r="L1569" s="4098" t="s">
        <v>27</v>
      </c>
      <c r="M1569" s="3974"/>
      <c r="N1569" s="4136" t="s">
        <v>6591</v>
      </c>
      <c r="O1569" s="4134" t="s">
        <v>6520</v>
      </c>
      <c r="P1569" s="3974"/>
      <c r="Q1569" s="4146">
        <v>4780</v>
      </c>
      <c r="R1569" s="4098" t="s">
        <v>4603</v>
      </c>
      <c r="S1569" s="4106">
        <v>45763</v>
      </c>
      <c r="T1569" s="4146">
        <v>4780</v>
      </c>
      <c r="U1569" s="4106">
        <v>45763</v>
      </c>
      <c r="V1569" s="4157"/>
      <c r="W1569" s="4158"/>
      <c r="X1569" s="4161"/>
      <c r="Y1569" s="4158"/>
      <c r="Z1569" s="3974"/>
      <c r="AA1569" s="3974"/>
      <c r="AB1569" s="3974"/>
      <c r="AC1569" s="3974"/>
      <c r="AD1569" s="3974"/>
      <c r="AE1569" s="3974"/>
      <c r="AF1569" s="3974"/>
      <c r="AG1569" s="3974"/>
      <c r="AH1569" s="3974"/>
      <c r="AI1569" s="3974"/>
    </row>
    <row r="1570" s="32" customFormat="1" ht="40" customHeight="1" spans="1:35">
      <c r="A1570" s="4084"/>
      <c r="B1570" s="3972"/>
      <c r="C1570" s="4085"/>
      <c r="D1570" s="3970"/>
      <c r="E1570" s="4086"/>
      <c r="F1570" s="4086"/>
      <c r="G1570" s="4084"/>
      <c r="H1570" s="4012"/>
      <c r="I1570" s="3971"/>
      <c r="J1570" s="4086"/>
      <c r="K1570" s="4092"/>
      <c r="L1570" s="4098" t="s">
        <v>27</v>
      </c>
      <c r="M1570" s="3974"/>
      <c r="N1570" s="4136" t="s">
        <v>6592</v>
      </c>
      <c r="O1570" s="4134" t="s">
        <v>6520</v>
      </c>
      <c r="P1570" s="3974"/>
      <c r="Q1570" s="4146">
        <v>4780</v>
      </c>
      <c r="R1570" s="4098" t="s">
        <v>4603</v>
      </c>
      <c r="S1570" s="4106">
        <v>45763</v>
      </c>
      <c r="T1570" s="4146">
        <v>4780</v>
      </c>
      <c r="U1570" s="4106">
        <v>45763</v>
      </c>
      <c r="V1570" s="4146"/>
      <c r="W1570" s="4147"/>
      <c r="X1570" s="4162"/>
      <c r="Y1570" s="4147"/>
      <c r="Z1570" s="3974"/>
      <c r="AA1570" s="3974"/>
      <c r="AB1570" s="3974"/>
      <c r="AC1570" s="3974"/>
      <c r="AD1570" s="3974"/>
      <c r="AE1570" s="3974"/>
      <c r="AF1570" s="3974"/>
      <c r="AG1570" s="3974"/>
      <c r="AH1570" s="3974"/>
      <c r="AI1570" s="3974"/>
    </row>
    <row r="1571" s="32" customFormat="1" ht="40" customHeight="1" spans="1:35">
      <c r="A1571" s="658"/>
      <c r="B1571" s="3975"/>
      <c r="C1571" s="4113"/>
      <c r="D1571" s="3970"/>
      <c r="E1571" s="684"/>
      <c r="F1571" s="684"/>
      <c r="G1571" s="658"/>
      <c r="H1571" s="4014"/>
      <c r="I1571" s="3974"/>
      <c r="J1571" s="684"/>
      <c r="K1571" s="4125"/>
      <c r="L1571" s="4098"/>
      <c r="M1571" s="3974"/>
      <c r="N1571" s="4135"/>
      <c r="O1571" s="3974"/>
      <c r="P1571" s="3974"/>
      <c r="Q1571" s="4146"/>
      <c r="R1571" s="658"/>
      <c r="S1571" s="4147"/>
      <c r="T1571" s="4146"/>
      <c r="U1571" s="4147"/>
      <c r="V1571" s="4146"/>
      <c r="W1571" s="4147"/>
      <c r="X1571" s="4146"/>
      <c r="Y1571" s="4147"/>
      <c r="Z1571" s="3974"/>
      <c r="AA1571" s="3974"/>
      <c r="AB1571" s="3974"/>
      <c r="AC1571" s="3974"/>
      <c r="AD1571" s="3974"/>
      <c r="AE1571" s="3974"/>
      <c r="AF1571" s="3974"/>
      <c r="AG1571" s="3974"/>
      <c r="AH1571" s="3974"/>
      <c r="AI1571" s="3974"/>
    </row>
    <row r="1572" s="32" customFormat="1" ht="40" customHeight="1" spans="1:35">
      <c r="A1572" s="658" t="s">
        <v>2570</v>
      </c>
      <c r="B1572" s="3975">
        <v>45649</v>
      </c>
      <c r="C1572" s="4113" t="s">
        <v>6452</v>
      </c>
      <c r="D1572" s="3970"/>
      <c r="E1572" s="684" t="s">
        <v>6564</v>
      </c>
      <c r="F1572" s="684" t="s">
        <v>6593</v>
      </c>
      <c r="G1572" s="658" t="s">
        <v>6566</v>
      </c>
      <c r="H1572" s="684" t="s">
        <v>6594</v>
      </c>
      <c r="I1572" s="3974"/>
      <c r="J1572" s="684"/>
      <c r="K1572" s="4125"/>
      <c r="L1572" s="4098"/>
      <c r="M1572" s="3974"/>
      <c r="N1572" s="4135"/>
      <c r="O1572" s="3974"/>
      <c r="P1572" s="3974"/>
      <c r="Q1572" s="4146"/>
      <c r="R1572" s="658"/>
      <c r="S1572" s="4147"/>
      <c r="T1572" s="4146"/>
      <c r="U1572" s="4147"/>
      <c r="V1572" s="4146"/>
      <c r="W1572" s="4147"/>
      <c r="X1572" s="4146"/>
      <c r="Y1572" s="4147"/>
      <c r="Z1572" s="3974"/>
      <c r="AA1572" s="3974"/>
      <c r="AB1572" s="3974"/>
      <c r="AC1572" s="3974"/>
      <c r="AD1572" s="3974"/>
      <c r="AE1572" s="3974"/>
      <c r="AF1572" s="3974"/>
      <c r="AG1572" s="3974"/>
      <c r="AH1572" s="3974"/>
      <c r="AI1572" s="3974"/>
    </row>
    <row r="1573" s="32" customFormat="1" ht="40" customHeight="1" spans="1:35">
      <c r="A1573" s="658" t="s">
        <v>2570</v>
      </c>
      <c r="B1573" s="3975">
        <v>45649</v>
      </c>
      <c r="C1573" s="4113" t="s">
        <v>6452</v>
      </c>
      <c r="D1573" s="3970"/>
      <c r="E1573" s="684" t="s">
        <v>6564</v>
      </c>
      <c r="F1573" s="684" t="s">
        <v>6595</v>
      </c>
      <c r="G1573" s="658" t="s">
        <v>6566</v>
      </c>
      <c r="H1573" s="684" t="s">
        <v>6596</v>
      </c>
      <c r="I1573" s="3974"/>
      <c r="J1573" s="684"/>
      <c r="K1573" s="4125"/>
      <c r="L1573" s="4098"/>
      <c r="M1573" s="3974"/>
      <c r="N1573" s="4135"/>
      <c r="O1573" s="3974"/>
      <c r="P1573" s="3974"/>
      <c r="Q1573" s="4146"/>
      <c r="R1573" s="658"/>
      <c r="S1573" s="4147"/>
      <c r="T1573" s="4146"/>
      <c r="U1573" s="4147"/>
      <c r="V1573" s="4146"/>
      <c r="W1573" s="4147"/>
      <c r="X1573" s="4146"/>
      <c r="Y1573" s="4147"/>
      <c r="Z1573" s="3974"/>
      <c r="AA1573" s="3974"/>
      <c r="AB1573" s="3974"/>
      <c r="AC1573" s="3974"/>
      <c r="AD1573" s="3974"/>
      <c r="AE1573" s="3974"/>
      <c r="AF1573" s="3974"/>
      <c r="AG1573" s="3974"/>
      <c r="AH1573" s="3974"/>
      <c r="AI1573" s="3974"/>
    </row>
    <row r="1574" s="32" customFormat="1" ht="40" customHeight="1" spans="1:35">
      <c r="A1574" s="4098" t="s">
        <v>2570</v>
      </c>
      <c r="B1574" s="4114">
        <v>45603</v>
      </c>
      <c r="C1574" s="3969" t="s">
        <v>6452</v>
      </c>
      <c r="D1574" s="3970"/>
      <c r="E1574" s="4011" t="s">
        <v>6527</v>
      </c>
      <c r="F1574" s="4011" t="s">
        <v>6597</v>
      </c>
      <c r="G1574" s="4098" t="s">
        <v>286</v>
      </c>
      <c r="H1574" s="4011" t="s">
        <v>6509</v>
      </c>
      <c r="I1574" s="4098" t="s">
        <v>171</v>
      </c>
      <c r="J1574" s="4126" t="s">
        <v>6598</v>
      </c>
      <c r="K1574" s="4127" t="s">
        <v>6599</v>
      </c>
      <c r="L1574" s="4098" t="s">
        <v>27</v>
      </c>
      <c r="M1574" s="3974">
        <v>1</v>
      </c>
      <c r="N1574" s="4137" t="s">
        <v>6600</v>
      </c>
      <c r="O1574" s="684" t="s">
        <v>6462</v>
      </c>
      <c r="P1574" s="3974">
        <v>141000</v>
      </c>
      <c r="Q1574" s="4146">
        <v>141000</v>
      </c>
      <c r="R1574" s="658" t="s">
        <v>4603</v>
      </c>
      <c r="S1574" s="4147">
        <v>45884</v>
      </c>
      <c r="T1574" s="4146">
        <v>141000</v>
      </c>
      <c r="U1574" s="4147">
        <v>45884</v>
      </c>
      <c r="V1574" s="4146">
        <v>141000</v>
      </c>
      <c r="W1574" s="4147">
        <v>45884</v>
      </c>
      <c r="X1574" s="4163">
        <v>141000</v>
      </c>
      <c r="Y1574" s="4164">
        <v>45899</v>
      </c>
      <c r="Z1574" s="3974"/>
      <c r="AA1574" s="3974"/>
      <c r="AB1574" s="3974"/>
      <c r="AC1574" s="3974"/>
      <c r="AD1574" s="3974"/>
      <c r="AE1574" s="3974"/>
      <c r="AF1574" s="3974"/>
      <c r="AG1574" s="3974"/>
      <c r="AH1574" s="3974"/>
      <c r="AI1574" s="3974"/>
    </row>
    <row r="1575" s="32" customFormat="1" ht="40" customHeight="1" spans="1:35">
      <c r="A1575" s="4098"/>
      <c r="B1575" s="4114"/>
      <c r="C1575" s="3969"/>
      <c r="D1575" s="3970"/>
      <c r="E1575" s="4011"/>
      <c r="F1575" s="4011"/>
      <c r="G1575" s="4098"/>
      <c r="H1575" s="4013"/>
      <c r="I1575" s="40"/>
      <c r="J1575" s="4126"/>
      <c r="K1575" s="4128"/>
      <c r="L1575" s="4098"/>
      <c r="M1575" s="40"/>
      <c r="N1575" s="4097"/>
      <c r="O1575" s="40"/>
      <c r="P1575" s="40"/>
      <c r="Q1575" s="4105"/>
      <c r="R1575" s="4098"/>
      <c r="S1575" s="4106"/>
      <c r="T1575" s="4105"/>
      <c r="U1575" s="4106"/>
      <c r="V1575" s="4105"/>
      <c r="W1575" s="4106"/>
      <c r="X1575" s="4105"/>
      <c r="Y1575" s="4106"/>
      <c r="Z1575" s="40"/>
      <c r="AA1575" s="40"/>
      <c r="AB1575" s="40"/>
      <c r="AC1575" s="40"/>
      <c r="AD1575" s="40"/>
      <c r="AE1575" s="40"/>
      <c r="AF1575" s="40"/>
      <c r="AG1575" s="40"/>
      <c r="AH1575" s="40"/>
      <c r="AI1575" s="40"/>
    </row>
    <row r="1576" s="32" customFormat="1" ht="40" customHeight="1" spans="1:35">
      <c r="A1576" s="4098"/>
      <c r="B1576" s="4114"/>
      <c r="C1576" s="3969"/>
      <c r="D1576" s="3970"/>
      <c r="E1576" s="4011"/>
      <c r="F1576" s="4011"/>
      <c r="G1576" s="4098"/>
      <c r="H1576" s="4013"/>
      <c r="I1576" s="40"/>
      <c r="J1576" s="4126"/>
      <c r="K1576" s="4128"/>
      <c r="L1576" s="4098"/>
      <c r="M1576" s="40"/>
      <c r="N1576" s="4097"/>
      <c r="O1576" s="40"/>
      <c r="P1576" s="40"/>
      <c r="Q1576" s="4105"/>
      <c r="R1576" s="4098"/>
      <c r="S1576" s="4106"/>
      <c r="T1576" s="4105"/>
      <c r="U1576" s="4106"/>
      <c r="V1576" s="4105"/>
      <c r="W1576" s="4106"/>
      <c r="X1576" s="4105"/>
      <c r="Y1576" s="4106"/>
      <c r="Z1576" s="40"/>
      <c r="AA1576" s="40"/>
      <c r="AB1576" s="40"/>
      <c r="AC1576" s="40"/>
      <c r="AD1576" s="40"/>
      <c r="AE1576" s="40"/>
      <c r="AF1576" s="40"/>
      <c r="AG1576" s="40"/>
      <c r="AH1576" s="40"/>
      <c r="AI1576" s="40"/>
    </row>
    <row r="1577" s="32" customFormat="1" ht="40" customHeight="1" spans="1:35">
      <c r="A1577" s="4098"/>
      <c r="B1577" s="4114"/>
      <c r="C1577" s="3969"/>
      <c r="D1577" s="3970"/>
      <c r="E1577" s="4011"/>
      <c r="F1577" s="4011"/>
      <c r="G1577" s="4098"/>
      <c r="H1577" s="4013"/>
      <c r="I1577" s="40"/>
      <c r="J1577" s="4126"/>
      <c r="K1577" s="4128"/>
      <c r="L1577" s="4098"/>
      <c r="M1577" s="40"/>
      <c r="N1577" s="4097"/>
      <c r="O1577" s="40"/>
      <c r="P1577" s="40"/>
      <c r="Q1577" s="4105"/>
      <c r="R1577" s="4098"/>
      <c r="S1577" s="4106"/>
      <c r="T1577" s="4105"/>
      <c r="U1577" s="4106"/>
      <c r="V1577" s="4105"/>
      <c r="W1577" s="4106"/>
      <c r="X1577" s="4105"/>
      <c r="Y1577" s="4106"/>
      <c r="Z1577" s="40"/>
      <c r="AA1577" s="40"/>
      <c r="AB1577" s="40"/>
      <c r="AC1577" s="40"/>
      <c r="AD1577" s="40"/>
      <c r="AE1577" s="40"/>
      <c r="AF1577" s="40"/>
      <c r="AG1577" s="40"/>
      <c r="AH1577" s="40"/>
      <c r="AI1577" s="40"/>
    </row>
    <row r="1578" s="32" customFormat="1" ht="33" customHeight="1" spans="1:35">
      <c r="A1578" s="1299" t="s">
        <v>2570</v>
      </c>
      <c r="B1578" s="4115">
        <v>44872</v>
      </c>
      <c r="C1578" s="1737" t="s">
        <v>6601</v>
      </c>
      <c r="D1578" s="1280" t="s">
        <v>4370</v>
      </c>
      <c r="E1578" s="1396" t="s">
        <v>6602</v>
      </c>
      <c r="F1578" s="1396" t="s">
        <v>6603</v>
      </c>
      <c r="G1578" s="1396" t="s">
        <v>3579</v>
      </c>
      <c r="H1578" s="1396" t="s">
        <v>5505</v>
      </c>
      <c r="I1578" s="4029"/>
      <c r="J1578" s="1280" t="s">
        <v>997</v>
      </c>
      <c r="K1578" s="4129">
        <v>1393604.5</v>
      </c>
      <c r="L1578" s="1299" t="s">
        <v>126</v>
      </c>
      <c r="M1578" s="1396">
        <v>1</v>
      </c>
      <c r="N1578" s="2618" t="s">
        <v>6604</v>
      </c>
      <c r="O1578" s="4138">
        <v>0.2</v>
      </c>
      <c r="P1578" s="4139">
        <v>278720.9</v>
      </c>
      <c r="Q1578" s="4139">
        <v>278720.9</v>
      </c>
      <c r="R1578" s="3771" t="s">
        <v>4603</v>
      </c>
      <c r="S1578" s="4056">
        <v>44869</v>
      </c>
      <c r="T1578" s="4139">
        <v>278720.9</v>
      </c>
      <c r="U1578" s="4056">
        <v>44869</v>
      </c>
      <c r="V1578" s="4139">
        <v>278720.9</v>
      </c>
      <c r="W1578" s="4056">
        <v>44880</v>
      </c>
      <c r="X1578" s="4139">
        <v>278720.9</v>
      </c>
      <c r="Y1578" s="4056">
        <v>44889</v>
      </c>
      <c r="Z1578" s="4055"/>
      <c r="AA1578" s="4055"/>
      <c r="AB1578" s="4055"/>
      <c r="AC1578" s="4055"/>
      <c r="AD1578" s="4055"/>
      <c r="AE1578" s="4055"/>
      <c r="AF1578" s="4055"/>
      <c r="AG1578" s="4055"/>
      <c r="AH1578" s="4055"/>
      <c r="AI1578" s="4055"/>
    </row>
    <row r="1579" s="32" customFormat="1" ht="33" customHeight="1" spans="1:35">
      <c r="A1579" s="4116"/>
      <c r="B1579" s="4117"/>
      <c r="C1579" s="1737"/>
      <c r="D1579" s="4118"/>
      <c r="E1579" s="1396"/>
      <c r="F1579" s="1396"/>
      <c r="G1579" s="1396"/>
      <c r="H1579" s="1396"/>
      <c r="I1579" s="4130"/>
      <c r="J1579" s="2052"/>
      <c r="K1579" s="4131"/>
      <c r="L1579" s="4116"/>
      <c r="M1579" s="1396">
        <v>2</v>
      </c>
      <c r="N1579" s="2618" t="s">
        <v>6605</v>
      </c>
      <c r="O1579" s="4138">
        <v>0.25</v>
      </c>
      <c r="P1579" s="4139">
        <v>348401.13</v>
      </c>
      <c r="Q1579" s="4139">
        <v>348401.13</v>
      </c>
      <c r="R1579" s="3868"/>
      <c r="S1579" s="4056">
        <v>44869</v>
      </c>
      <c r="T1579" s="4139">
        <v>348401.13</v>
      </c>
      <c r="U1579" s="4056">
        <v>44869</v>
      </c>
      <c r="V1579" s="4139">
        <v>348401.13</v>
      </c>
      <c r="W1579" s="4056">
        <v>44880</v>
      </c>
      <c r="X1579" s="4139">
        <v>348401.13</v>
      </c>
      <c r="Y1579" s="4056">
        <v>44889</v>
      </c>
      <c r="Z1579" s="4055"/>
      <c r="AA1579" s="4055"/>
      <c r="AB1579" s="4055"/>
      <c r="AC1579" s="4055"/>
      <c r="AD1579" s="4055"/>
      <c r="AE1579" s="4055"/>
      <c r="AF1579" s="4055"/>
      <c r="AG1579" s="4055"/>
      <c r="AH1579" s="4055"/>
      <c r="AI1579" s="4055"/>
    </row>
    <row r="1580" s="32" customFormat="1" ht="33" customHeight="1" spans="1:35">
      <c r="A1580" s="4116"/>
      <c r="B1580" s="4117"/>
      <c r="C1580" s="1737"/>
      <c r="D1580" s="4118"/>
      <c r="E1580" s="1396"/>
      <c r="F1580" s="1396"/>
      <c r="G1580" s="1396"/>
      <c r="H1580" s="1396"/>
      <c r="I1580" s="4130"/>
      <c r="J1580" s="2052"/>
      <c r="K1580" s="4131"/>
      <c r="L1580" s="4116"/>
      <c r="M1580" s="1396">
        <v>3</v>
      </c>
      <c r="N1580" s="2618" t="s">
        <v>6606</v>
      </c>
      <c r="O1580" s="4138">
        <v>0.15</v>
      </c>
      <c r="P1580" s="4139">
        <v>209040.68</v>
      </c>
      <c r="Q1580" s="4139">
        <v>209040.68</v>
      </c>
      <c r="R1580" s="3773"/>
      <c r="S1580" s="4148">
        <v>44918</v>
      </c>
      <c r="T1580" s="4139">
        <v>209040.68</v>
      </c>
      <c r="U1580" s="4148">
        <v>44918</v>
      </c>
      <c r="V1580" s="4139">
        <v>209040.68</v>
      </c>
      <c r="W1580" s="4148">
        <v>45320</v>
      </c>
      <c r="X1580" s="4139">
        <v>209040.68</v>
      </c>
      <c r="Y1580" s="4148">
        <v>45347</v>
      </c>
      <c r="Z1580" s="4055"/>
      <c r="AA1580" s="4055"/>
      <c r="AB1580" s="4055"/>
      <c r="AC1580" s="4055"/>
      <c r="AD1580" s="4055"/>
      <c r="AE1580" s="4055"/>
      <c r="AF1580" s="4055"/>
      <c r="AG1580" s="4055"/>
      <c r="AH1580" s="4055"/>
      <c r="AI1580" s="4055"/>
    </row>
    <row r="1581" s="32" customFormat="1" ht="33" customHeight="1" spans="1:35">
      <c r="A1581" s="4116"/>
      <c r="B1581" s="4117"/>
      <c r="C1581" s="1737"/>
      <c r="D1581" s="4118"/>
      <c r="E1581" s="1396"/>
      <c r="F1581" s="1396"/>
      <c r="G1581" s="1396"/>
      <c r="H1581" s="1396"/>
      <c r="I1581" s="4130"/>
      <c r="J1581" s="2052"/>
      <c r="K1581" s="4131"/>
      <c r="L1581" s="4116"/>
      <c r="M1581" s="1280">
        <v>4</v>
      </c>
      <c r="N1581" s="2618" t="s">
        <v>6607</v>
      </c>
      <c r="O1581" s="4140">
        <v>0.2</v>
      </c>
      <c r="P1581" s="4139">
        <v>278720.9</v>
      </c>
      <c r="Q1581" s="4139">
        <v>278720.9</v>
      </c>
      <c r="R1581" s="128" t="s">
        <v>4603</v>
      </c>
      <c r="S1581" s="4148">
        <v>44918</v>
      </c>
      <c r="T1581" s="4139">
        <v>278720.9</v>
      </c>
      <c r="U1581" s="4148">
        <v>44918</v>
      </c>
      <c r="V1581" s="4139">
        <v>278720.9</v>
      </c>
      <c r="W1581" s="4148">
        <v>45320</v>
      </c>
      <c r="X1581" s="4139">
        <v>278720.9</v>
      </c>
      <c r="Y1581" s="4148">
        <v>45347</v>
      </c>
      <c r="Z1581" s="4055"/>
      <c r="AA1581" s="4055"/>
      <c r="AB1581" s="4029"/>
      <c r="AC1581" s="4029"/>
      <c r="AD1581" s="4029"/>
      <c r="AE1581" s="4029"/>
      <c r="AF1581" s="4029"/>
      <c r="AG1581" s="4029"/>
      <c r="AH1581" s="4029"/>
      <c r="AI1581" s="4029"/>
    </row>
    <row r="1582" s="32" customFormat="1" ht="33" customHeight="1" spans="1:35">
      <c r="A1582" s="4116"/>
      <c r="B1582" s="4117"/>
      <c r="C1582" s="1737"/>
      <c r="D1582" s="4118"/>
      <c r="E1582" s="1396"/>
      <c r="F1582" s="1396"/>
      <c r="G1582" s="1396"/>
      <c r="H1582" s="1396"/>
      <c r="I1582" s="4130"/>
      <c r="J1582" s="2052"/>
      <c r="K1582" s="4131"/>
      <c r="L1582" s="4116"/>
      <c r="M1582" s="1280">
        <v>5</v>
      </c>
      <c r="N1582" s="705" t="s">
        <v>4334</v>
      </c>
      <c r="O1582" s="4140">
        <v>0.2</v>
      </c>
      <c r="P1582" s="4141">
        <v>278720.9</v>
      </c>
      <c r="Q1582" s="4149">
        <f>1393604.5*0.15</f>
        <v>209040.675</v>
      </c>
      <c r="R1582" s="4150" t="s">
        <v>5015</v>
      </c>
      <c r="S1582" s="4151">
        <v>46052</v>
      </c>
      <c r="T1582" s="4139"/>
      <c r="U1582" s="4148"/>
      <c r="V1582" s="4139"/>
      <c r="W1582" s="4148"/>
      <c r="X1582" s="4139"/>
      <c r="Y1582" s="4148"/>
      <c r="Z1582" s="4055"/>
      <c r="AA1582" s="4055"/>
      <c r="AB1582" s="4029"/>
      <c r="AC1582" s="4029"/>
      <c r="AD1582" s="4029"/>
      <c r="AE1582" s="4029"/>
      <c r="AF1582" s="4029"/>
      <c r="AG1582" s="4029"/>
      <c r="AH1582" s="4029"/>
      <c r="AI1582" s="4029"/>
    </row>
    <row r="1583" s="34" customFormat="1" ht="33" customHeight="1" spans="1:35">
      <c r="A1583" s="1252"/>
      <c r="B1583" s="4119"/>
      <c r="C1583" s="1737"/>
      <c r="D1583" s="4120"/>
      <c r="E1583" s="1396"/>
      <c r="F1583" s="1396"/>
      <c r="G1583" s="1396"/>
      <c r="H1583" s="1396"/>
      <c r="I1583" s="4055"/>
      <c r="J1583" s="1396"/>
      <c r="K1583" s="3065"/>
      <c r="L1583" s="1252"/>
      <c r="M1583" s="1846"/>
      <c r="N1583" s="3558"/>
      <c r="O1583" s="4142"/>
      <c r="P1583" s="4143"/>
      <c r="Q1583" s="4152">
        <f>1393604.5*0.05</f>
        <v>69680.225</v>
      </c>
      <c r="R1583" s="4150" t="s">
        <v>349</v>
      </c>
      <c r="S1583" s="4151">
        <v>46386</v>
      </c>
      <c r="T1583" s="4139"/>
      <c r="U1583" s="4148"/>
      <c r="V1583" s="4139"/>
      <c r="W1583" s="4148"/>
      <c r="X1583" s="4139"/>
      <c r="Y1583" s="4148"/>
      <c r="Z1583" s="4055"/>
      <c r="AA1583" s="4055"/>
      <c r="AB1583" s="4055"/>
      <c r="AC1583" s="4055"/>
      <c r="AD1583" s="4055"/>
      <c r="AE1583" s="4055"/>
      <c r="AF1583" s="4055"/>
      <c r="AG1583" s="4055"/>
      <c r="AH1583" s="4055"/>
      <c r="AI1583" s="4055"/>
    </row>
    <row r="1584" s="32" customFormat="1" ht="33" customHeight="1" spans="1:35">
      <c r="A1584" s="4116" t="s">
        <v>2570</v>
      </c>
      <c r="B1584" s="4121">
        <v>44874</v>
      </c>
      <c r="C1584" s="2054" t="s">
        <v>6601</v>
      </c>
      <c r="D1584" s="2052" t="s">
        <v>4370</v>
      </c>
      <c r="E1584" s="1396" t="s">
        <v>6608</v>
      </c>
      <c r="F1584" s="1396" t="s">
        <v>6609</v>
      </c>
      <c r="G1584" s="1396" t="s">
        <v>658</v>
      </c>
      <c r="H1584" s="1396" t="s">
        <v>6610</v>
      </c>
      <c r="I1584" s="1252"/>
      <c r="J1584" s="1252" t="s">
        <v>997</v>
      </c>
      <c r="K1584" s="1252">
        <v>4526310</v>
      </c>
      <c r="L1584" s="1252" t="s">
        <v>126</v>
      </c>
      <c r="M1584" s="1396">
        <v>1</v>
      </c>
      <c r="N1584" s="2618" t="s">
        <v>4228</v>
      </c>
      <c r="O1584" s="4138">
        <v>0.2</v>
      </c>
      <c r="P1584" s="4139">
        <v>905262</v>
      </c>
      <c r="Q1584" s="4139">
        <v>905262</v>
      </c>
      <c r="R1584" s="128" t="s">
        <v>4603</v>
      </c>
      <c r="S1584" s="4056">
        <v>44879</v>
      </c>
      <c r="T1584" s="4139">
        <v>905262</v>
      </c>
      <c r="U1584" s="4056">
        <v>44879</v>
      </c>
      <c r="V1584" s="4139">
        <v>905262</v>
      </c>
      <c r="W1584" s="4056">
        <v>44880</v>
      </c>
      <c r="X1584" s="4139">
        <v>905262</v>
      </c>
      <c r="Y1584" s="4056">
        <v>44889</v>
      </c>
      <c r="Z1584" s="4055"/>
      <c r="AA1584" s="4055"/>
      <c r="AB1584" s="4030"/>
      <c r="AC1584" s="4030"/>
      <c r="AD1584" s="4030"/>
      <c r="AE1584" s="4030"/>
      <c r="AF1584" s="4030"/>
      <c r="AG1584" s="4030"/>
      <c r="AH1584" s="4030"/>
      <c r="AI1584" s="4030"/>
    </row>
    <row r="1585" s="32" customFormat="1" ht="33" customHeight="1" spans="1:35">
      <c r="A1585" s="4116"/>
      <c r="B1585" s="4121"/>
      <c r="C1585" s="2054"/>
      <c r="D1585" s="2052"/>
      <c r="E1585" s="1396"/>
      <c r="F1585" s="1396"/>
      <c r="G1585" s="1396"/>
      <c r="H1585" s="1396"/>
      <c r="I1585" s="1252"/>
      <c r="J1585" s="1252"/>
      <c r="K1585" s="1252"/>
      <c r="L1585" s="1252"/>
      <c r="M1585" s="1396">
        <v>2</v>
      </c>
      <c r="N1585" s="2618" t="s">
        <v>4229</v>
      </c>
      <c r="O1585" s="4138">
        <v>0.2</v>
      </c>
      <c r="P1585" s="4139">
        <v>905262</v>
      </c>
      <c r="Q1585" s="4139">
        <v>905262</v>
      </c>
      <c r="R1585" s="128" t="s">
        <v>4603</v>
      </c>
      <c r="S1585" s="4056">
        <v>44879</v>
      </c>
      <c r="T1585" s="4139">
        <v>905262</v>
      </c>
      <c r="U1585" s="4056">
        <v>44879</v>
      </c>
      <c r="V1585" s="4139">
        <v>905262</v>
      </c>
      <c r="W1585" s="4056">
        <v>44880</v>
      </c>
      <c r="X1585" s="4139">
        <v>905262</v>
      </c>
      <c r="Y1585" s="4056">
        <v>44889</v>
      </c>
      <c r="Z1585" s="4055"/>
      <c r="AA1585" s="4055"/>
      <c r="AB1585" s="4055"/>
      <c r="AC1585" s="4055"/>
      <c r="AD1585" s="4055"/>
      <c r="AE1585" s="4055"/>
      <c r="AF1585" s="4055"/>
      <c r="AG1585" s="4055"/>
      <c r="AH1585" s="4055"/>
      <c r="AI1585" s="4055"/>
    </row>
    <row r="1586" s="32" customFormat="1" ht="33" customHeight="1" spans="1:35">
      <c r="A1586" s="4116"/>
      <c r="B1586" s="4121"/>
      <c r="C1586" s="2054"/>
      <c r="D1586" s="2052"/>
      <c r="E1586" s="1396"/>
      <c r="F1586" s="1396"/>
      <c r="G1586" s="1396"/>
      <c r="H1586" s="1396"/>
      <c r="I1586" s="1252"/>
      <c r="J1586" s="1252"/>
      <c r="K1586" s="1252"/>
      <c r="L1586" s="1252"/>
      <c r="M1586" s="1396">
        <v>3</v>
      </c>
      <c r="N1586" s="2618" t="s">
        <v>4230</v>
      </c>
      <c r="O1586" s="4138">
        <v>0.1</v>
      </c>
      <c r="P1586" s="4139">
        <v>452631</v>
      </c>
      <c r="Q1586" s="4139">
        <v>452631</v>
      </c>
      <c r="R1586" s="128" t="s">
        <v>4603</v>
      </c>
      <c r="S1586" s="4056">
        <v>44879</v>
      </c>
      <c r="T1586" s="4139">
        <v>452631</v>
      </c>
      <c r="U1586" s="4056">
        <v>44879</v>
      </c>
      <c r="V1586" s="4139">
        <v>452631</v>
      </c>
      <c r="W1586" s="4056">
        <v>44880</v>
      </c>
      <c r="X1586" s="4139">
        <v>452631</v>
      </c>
      <c r="Y1586" s="4056">
        <v>44889</v>
      </c>
      <c r="Z1586" s="4055"/>
      <c r="AA1586" s="4055"/>
      <c r="AB1586" s="4055"/>
      <c r="AC1586" s="4055"/>
      <c r="AD1586" s="4055"/>
      <c r="AE1586" s="4055"/>
      <c r="AF1586" s="4055"/>
      <c r="AG1586" s="4055"/>
      <c r="AH1586" s="4055"/>
      <c r="AI1586" s="4055"/>
    </row>
    <row r="1587" s="32" customFormat="1" ht="33" customHeight="1" spans="1:35">
      <c r="A1587" s="4116"/>
      <c r="B1587" s="4121"/>
      <c r="C1587" s="2054"/>
      <c r="D1587" s="2052"/>
      <c r="E1587" s="1396"/>
      <c r="F1587" s="1396"/>
      <c r="G1587" s="1396"/>
      <c r="H1587" s="1396"/>
      <c r="I1587" s="1252"/>
      <c r="J1587" s="1252"/>
      <c r="K1587" s="1252"/>
      <c r="L1587" s="1252"/>
      <c r="M1587" s="1396">
        <v>4</v>
      </c>
      <c r="N1587" s="2618" t="s">
        <v>6611</v>
      </c>
      <c r="O1587" s="4138">
        <v>0.2</v>
      </c>
      <c r="P1587" s="4139">
        <v>905262</v>
      </c>
      <c r="Q1587" s="4139">
        <v>905262</v>
      </c>
      <c r="R1587" s="128" t="s">
        <v>4603</v>
      </c>
      <c r="S1587" s="4056">
        <v>44879</v>
      </c>
      <c r="T1587" s="4139">
        <v>905262</v>
      </c>
      <c r="U1587" s="4056">
        <v>44879</v>
      </c>
      <c r="V1587" s="4139">
        <v>905262</v>
      </c>
      <c r="W1587" s="4056">
        <v>44880</v>
      </c>
      <c r="X1587" s="4139">
        <v>905262</v>
      </c>
      <c r="Y1587" s="4056">
        <v>44889</v>
      </c>
      <c r="Z1587" s="4055"/>
      <c r="AA1587" s="4055"/>
      <c r="AB1587" s="4055"/>
      <c r="AC1587" s="4055"/>
      <c r="AD1587" s="4055"/>
      <c r="AE1587" s="4055"/>
      <c r="AF1587" s="4055"/>
      <c r="AG1587" s="4055"/>
      <c r="AH1587" s="4055"/>
      <c r="AI1587" s="4055"/>
    </row>
    <row r="1588" s="32" customFormat="1" ht="33" customHeight="1" spans="1:35">
      <c r="A1588" s="4116"/>
      <c r="B1588" s="4121"/>
      <c r="C1588" s="2054"/>
      <c r="D1588" s="2052"/>
      <c r="E1588" s="1396"/>
      <c r="F1588" s="1396"/>
      <c r="G1588" s="1396"/>
      <c r="H1588" s="1396"/>
      <c r="I1588" s="1252"/>
      <c r="J1588" s="1252"/>
      <c r="K1588" s="1252"/>
      <c r="L1588" s="1252"/>
      <c r="M1588" s="1396">
        <v>5</v>
      </c>
      <c r="N1588" s="2618" t="s">
        <v>6612</v>
      </c>
      <c r="O1588" s="4138">
        <v>0.1</v>
      </c>
      <c r="P1588" s="4139">
        <v>452631</v>
      </c>
      <c r="Q1588" s="4139">
        <v>452631</v>
      </c>
      <c r="R1588" s="1019" t="s">
        <v>4603</v>
      </c>
      <c r="S1588" s="4056">
        <v>44918</v>
      </c>
      <c r="T1588" s="4139">
        <v>452631</v>
      </c>
      <c r="U1588" s="4056">
        <v>44918</v>
      </c>
      <c r="V1588" s="4139">
        <v>452631</v>
      </c>
      <c r="W1588" s="4056">
        <v>45240</v>
      </c>
      <c r="X1588" s="4139">
        <v>452631</v>
      </c>
      <c r="Y1588" s="4148">
        <v>45274</v>
      </c>
      <c r="Z1588" s="4055"/>
      <c r="AA1588" s="4055"/>
      <c r="AB1588" s="4055"/>
      <c r="AC1588" s="4055"/>
      <c r="AD1588" s="4055"/>
      <c r="AE1588" s="4055"/>
      <c r="AF1588" s="4055"/>
      <c r="AG1588" s="4055"/>
      <c r="AH1588" s="4055"/>
      <c r="AI1588" s="4055"/>
    </row>
    <row r="1589" s="32" customFormat="1" ht="33" customHeight="1" spans="1:35">
      <c r="A1589" s="4116"/>
      <c r="B1589" s="4121"/>
      <c r="C1589" s="2054"/>
      <c r="D1589" s="2052"/>
      <c r="E1589" s="1396"/>
      <c r="F1589" s="1396"/>
      <c r="G1589" s="1396"/>
      <c r="H1589" s="1396"/>
      <c r="I1589" s="1252"/>
      <c r="J1589" s="1252"/>
      <c r="K1589" s="1252"/>
      <c r="L1589" s="1252"/>
      <c r="M1589" s="1396">
        <v>6</v>
      </c>
      <c r="N1589" s="2618" t="s">
        <v>6612</v>
      </c>
      <c r="O1589" s="4138">
        <v>0.05</v>
      </c>
      <c r="P1589" s="4139">
        <v>226315.5</v>
      </c>
      <c r="Q1589" s="4139">
        <v>226315.5</v>
      </c>
      <c r="R1589" s="1022"/>
      <c r="S1589" s="4148">
        <v>45281</v>
      </c>
      <c r="T1589" s="4139">
        <v>226315.5</v>
      </c>
      <c r="U1589" s="4148">
        <v>45281</v>
      </c>
      <c r="V1589" s="4139">
        <v>226315.5</v>
      </c>
      <c r="W1589" s="4148">
        <v>45545</v>
      </c>
      <c r="X1589" s="4139">
        <v>226315.5</v>
      </c>
      <c r="Y1589" s="4148">
        <v>45562</v>
      </c>
      <c r="Z1589" s="4055"/>
      <c r="AA1589" s="4055"/>
      <c r="AB1589" s="4055"/>
      <c r="AC1589" s="4055"/>
      <c r="AD1589" s="4055"/>
      <c r="AE1589" s="4055"/>
      <c r="AF1589" s="4055"/>
      <c r="AG1589" s="4055"/>
      <c r="AH1589" s="4055"/>
      <c r="AI1589" s="4055"/>
    </row>
    <row r="1590" s="32" customFormat="1" ht="33" customHeight="1" spans="1:35">
      <c r="A1590" s="4116"/>
      <c r="B1590" s="4121"/>
      <c r="C1590" s="2054"/>
      <c r="D1590" s="2052"/>
      <c r="E1590" s="1396"/>
      <c r="F1590" s="1396"/>
      <c r="G1590" s="1396"/>
      <c r="H1590" s="1396"/>
      <c r="I1590" s="1252"/>
      <c r="J1590" s="1252"/>
      <c r="K1590" s="1252"/>
      <c r="L1590" s="1252"/>
      <c r="M1590" s="1396">
        <v>7</v>
      </c>
      <c r="N1590" s="2618" t="s">
        <v>4232</v>
      </c>
      <c r="O1590" s="4138">
        <v>0.05</v>
      </c>
      <c r="P1590" s="4139">
        <v>226315.5</v>
      </c>
      <c r="Q1590" s="4139">
        <v>226315.5</v>
      </c>
      <c r="R1590" s="128" t="s">
        <v>4603</v>
      </c>
      <c r="S1590" s="4148">
        <v>45281</v>
      </c>
      <c r="T1590" s="4139">
        <v>226315.5</v>
      </c>
      <c r="U1590" s="4148">
        <v>45281</v>
      </c>
      <c r="V1590" s="4139"/>
      <c r="W1590" s="4148"/>
      <c r="X1590" s="4152">
        <v>226315.5</v>
      </c>
      <c r="Y1590" s="4151"/>
      <c r="Z1590" s="4055"/>
      <c r="AA1590" s="4055"/>
      <c r="AB1590" s="4055"/>
      <c r="AC1590" s="4055"/>
      <c r="AD1590" s="4055"/>
      <c r="AE1590" s="4055"/>
      <c r="AF1590" s="4055"/>
      <c r="AG1590" s="4055"/>
      <c r="AH1590" s="4055"/>
      <c r="AI1590" s="4055"/>
    </row>
    <row r="1591" s="32" customFormat="1" ht="33" customHeight="1" spans="1:35">
      <c r="A1591" s="4116"/>
      <c r="B1591" s="4121"/>
      <c r="C1591" s="2054"/>
      <c r="D1591" s="2052"/>
      <c r="E1591" s="1396"/>
      <c r="F1591" s="1396"/>
      <c r="G1591" s="1396"/>
      <c r="H1591" s="1396"/>
      <c r="I1591" s="1252"/>
      <c r="J1591" s="1252"/>
      <c r="K1591" s="1252"/>
      <c r="L1591" s="1252"/>
      <c r="M1591" s="1396">
        <v>8</v>
      </c>
      <c r="N1591" s="2618" t="s">
        <v>4234</v>
      </c>
      <c r="O1591" s="4138">
        <v>0.1</v>
      </c>
      <c r="P1591" s="4139">
        <v>452631</v>
      </c>
      <c r="Q1591" s="4153">
        <v>452631</v>
      </c>
      <c r="R1591" s="4154" t="s">
        <v>4603</v>
      </c>
      <c r="S1591" s="4155">
        <v>45657</v>
      </c>
      <c r="T1591" s="4139"/>
      <c r="U1591" s="4148"/>
      <c r="V1591" s="4139"/>
      <c r="W1591" s="4148"/>
      <c r="X1591" s="4139"/>
      <c r="Y1591" s="4148"/>
      <c r="Z1591" s="4055"/>
      <c r="AA1591" s="4055"/>
      <c r="AB1591" s="4055"/>
      <c r="AC1591" s="4055"/>
      <c r="AD1591" s="4055"/>
      <c r="AE1591" s="4055"/>
      <c r="AF1591" s="4055"/>
      <c r="AG1591" s="4055"/>
      <c r="AH1591" s="4055"/>
      <c r="AI1591" s="4055"/>
    </row>
    <row r="1592" s="32" customFormat="1" ht="33" customHeight="1" spans="1:35">
      <c r="A1592" s="4116"/>
      <c r="B1592" s="4121"/>
      <c r="C1592" s="2054"/>
      <c r="D1592" s="2052"/>
      <c r="E1592" s="1396"/>
      <c r="F1592" s="1396"/>
      <c r="G1592" s="1396" t="s">
        <v>6613</v>
      </c>
      <c r="H1592" s="1396"/>
      <c r="I1592" s="1252"/>
      <c r="J1592" s="1252"/>
      <c r="K1592" s="1252">
        <v>773690</v>
      </c>
      <c r="L1592" s="1252"/>
      <c r="M1592" s="1396">
        <v>1</v>
      </c>
      <c r="N1592" s="2618" t="s">
        <v>6614</v>
      </c>
      <c r="O1592" s="4138">
        <v>0.2</v>
      </c>
      <c r="P1592" s="4139">
        <v>154738</v>
      </c>
      <c r="Q1592" s="4139">
        <v>154738</v>
      </c>
      <c r="R1592" s="128" t="s">
        <v>4603</v>
      </c>
      <c r="S1592" s="4056">
        <v>44879</v>
      </c>
      <c r="T1592" s="4139">
        <v>154738</v>
      </c>
      <c r="U1592" s="4056">
        <v>44879</v>
      </c>
      <c r="V1592" s="4139">
        <v>154738</v>
      </c>
      <c r="W1592" s="4056">
        <v>44880</v>
      </c>
      <c r="X1592" s="4139">
        <v>154738</v>
      </c>
      <c r="Y1592" s="4056">
        <v>44889</v>
      </c>
      <c r="Z1592" s="4055"/>
      <c r="AA1592" s="4055"/>
      <c r="AB1592" s="4055"/>
      <c r="AC1592" s="4055"/>
      <c r="AD1592" s="4055"/>
      <c r="AE1592" s="4055"/>
      <c r="AF1592" s="4055"/>
      <c r="AG1592" s="4055"/>
      <c r="AH1592" s="4055"/>
      <c r="AI1592" s="4055"/>
    </row>
    <row r="1593" s="32" customFormat="1" ht="33" customHeight="1" spans="1:35">
      <c r="A1593" s="4116"/>
      <c r="B1593" s="4121"/>
      <c r="C1593" s="2054"/>
      <c r="D1593" s="2052"/>
      <c r="E1593" s="1396"/>
      <c r="F1593" s="1396"/>
      <c r="G1593" s="1396"/>
      <c r="H1593" s="1396"/>
      <c r="I1593" s="1252"/>
      <c r="J1593" s="1252"/>
      <c r="K1593" s="1252"/>
      <c r="L1593" s="1252"/>
      <c r="M1593" s="1396">
        <v>2</v>
      </c>
      <c r="N1593" s="2618" t="s">
        <v>3457</v>
      </c>
      <c r="O1593" s="4138">
        <v>0.6</v>
      </c>
      <c r="P1593" s="4139">
        <v>464214</v>
      </c>
      <c r="Q1593" s="4139">
        <v>464214</v>
      </c>
      <c r="R1593" s="128" t="s">
        <v>4603</v>
      </c>
      <c r="S1593" s="4056">
        <v>44879</v>
      </c>
      <c r="T1593" s="4139">
        <v>464214</v>
      </c>
      <c r="U1593" s="4056">
        <v>44879</v>
      </c>
      <c r="V1593" s="4139">
        <v>464214</v>
      </c>
      <c r="W1593" s="4056">
        <v>44880</v>
      </c>
      <c r="X1593" s="4139">
        <v>464214</v>
      </c>
      <c r="Y1593" s="4056">
        <v>44889</v>
      </c>
      <c r="Z1593" s="4055"/>
      <c r="AA1593" s="4055"/>
      <c r="AB1593" s="4055"/>
      <c r="AC1593" s="4055"/>
      <c r="AD1593" s="4055"/>
      <c r="AE1593" s="4055"/>
      <c r="AF1593" s="4055"/>
      <c r="AG1593" s="4055"/>
      <c r="AH1593" s="4055"/>
      <c r="AI1593" s="4055"/>
    </row>
    <row r="1594" s="32" customFormat="1" ht="33" customHeight="1" spans="1:35">
      <c r="A1594" s="4116"/>
      <c r="B1594" s="4121"/>
      <c r="C1594" s="2054"/>
      <c r="D1594" s="2052"/>
      <c r="E1594" s="1396"/>
      <c r="F1594" s="1396"/>
      <c r="G1594" s="1396"/>
      <c r="H1594" s="1396"/>
      <c r="I1594" s="1252"/>
      <c r="J1594" s="1252"/>
      <c r="K1594" s="1252"/>
      <c r="L1594" s="1252"/>
      <c r="M1594" s="1396">
        <v>3</v>
      </c>
      <c r="N1594" s="2618" t="s">
        <v>3490</v>
      </c>
      <c r="O1594" s="4138">
        <v>0.2</v>
      </c>
      <c r="P1594" s="4139">
        <v>154738</v>
      </c>
      <c r="Q1594" s="4152">
        <v>154738</v>
      </c>
      <c r="R1594" s="4150" t="s">
        <v>349</v>
      </c>
      <c r="S1594" s="4151">
        <v>46386</v>
      </c>
      <c r="T1594" s="4139"/>
      <c r="U1594" s="4148"/>
      <c r="V1594" s="4139"/>
      <c r="W1594" s="4148"/>
      <c r="X1594" s="4139"/>
      <c r="Y1594" s="4148"/>
      <c r="Z1594" s="4055"/>
      <c r="AA1594" s="4055"/>
      <c r="AB1594" s="4055"/>
      <c r="AC1594" s="4055"/>
      <c r="AD1594" s="4055"/>
      <c r="AE1594" s="4055"/>
      <c r="AF1594" s="4055"/>
      <c r="AG1594" s="4055"/>
      <c r="AH1594" s="4055"/>
      <c r="AI1594" s="4055"/>
    </row>
    <row r="1595" s="32" customFormat="1" ht="33" customHeight="1" spans="1:35">
      <c r="A1595" s="1252" t="s">
        <v>2570</v>
      </c>
      <c r="B1595" s="4122">
        <v>44917</v>
      </c>
      <c r="C1595" s="1737" t="s">
        <v>6601</v>
      </c>
      <c r="D1595" s="1396" t="s">
        <v>4370</v>
      </c>
      <c r="E1595" s="1396" t="s">
        <v>6615</v>
      </c>
      <c r="F1595" s="1396" t="s">
        <v>6616</v>
      </c>
      <c r="G1595" s="1252" t="s">
        <v>6617</v>
      </c>
      <c r="H1595" s="1396" t="s">
        <v>6618</v>
      </c>
      <c r="I1595" s="1252"/>
      <c r="J1595" s="1252" t="s">
        <v>997</v>
      </c>
      <c r="K1595" s="1252">
        <v>290000</v>
      </c>
      <c r="L1595" s="1252" t="s">
        <v>126</v>
      </c>
      <c r="M1595" s="1396">
        <v>1</v>
      </c>
      <c r="N1595" s="2618" t="s">
        <v>6619</v>
      </c>
      <c r="O1595" s="4138">
        <v>0.2</v>
      </c>
      <c r="P1595" s="4139">
        <v>58000</v>
      </c>
      <c r="Q1595" s="4139">
        <v>58000</v>
      </c>
      <c r="R1595" s="128" t="s">
        <v>4603</v>
      </c>
      <c r="S1595" s="4148">
        <v>44922</v>
      </c>
      <c r="T1595" s="4139">
        <v>58000</v>
      </c>
      <c r="U1595" s="4148">
        <v>44922</v>
      </c>
      <c r="V1595" s="4139">
        <v>58000</v>
      </c>
      <c r="W1595" s="4148">
        <v>44931</v>
      </c>
      <c r="X1595" s="4139">
        <v>58000</v>
      </c>
      <c r="Y1595" s="4148">
        <v>44970</v>
      </c>
      <c r="Z1595" s="4139">
        <v>58000</v>
      </c>
      <c r="AA1595" s="4055"/>
      <c r="AB1595" s="4055"/>
      <c r="AC1595" s="4055"/>
      <c r="AD1595" s="4055"/>
      <c r="AE1595" s="4055"/>
      <c r="AF1595" s="4055"/>
      <c r="AG1595" s="4055"/>
      <c r="AH1595" s="4055"/>
      <c r="AI1595" s="4055"/>
    </row>
    <row r="1596" s="32" customFormat="1" ht="33" customHeight="1" spans="1:35">
      <c r="A1596" s="1252"/>
      <c r="B1596" s="4121"/>
      <c r="C1596" s="1737"/>
      <c r="D1596" s="1396"/>
      <c r="E1596" s="1252"/>
      <c r="F1596" s="1396"/>
      <c r="G1596" s="1252"/>
      <c r="H1596" s="1396"/>
      <c r="I1596" s="1252"/>
      <c r="J1596" s="1252"/>
      <c r="K1596" s="1252"/>
      <c r="L1596" s="1252"/>
      <c r="M1596" s="1396">
        <v>2</v>
      </c>
      <c r="N1596" s="2618" t="s">
        <v>6620</v>
      </c>
      <c r="O1596" s="4138">
        <v>0.6</v>
      </c>
      <c r="P1596" s="4139">
        <v>174000</v>
      </c>
      <c r="Q1596" s="4139">
        <v>174000</v>
      </c>
      <c r="R1596" s="128" t="s">
        <v>4603</v>
      </c>
      <c r="S1596" s="4148">
        <v>44922</v>
      </c>
      <c r="T1596" s="4139">
        <v>174000</v>
      </c>
      <c r="U1596" s="4148">
        <v>44922</v>
      </c>
      <c r="V1596" s="4139">
        <v>174000</v>
      </c>
      <c r="W1596" s="4148">
        <v>44931</v>
      </c>
      <c r="X1596" s="4139">
        <v>174000</v>
      </c>
      <c r="Y1596" s="4148">
        <v>44605</v>
      </c>
      <c r="Z1596" s="4139">
        <v>174000</v>
      </c>
      <c r="AA1596" s="4055"/>
      <c r="AB1596" s="4055"/>
      <c r="AC1596" s="4055"/>
      <c r="AD1596" s="4055"/>
      <c r="AE1596" s="4055"/>
      <c r="AF1596" s="4055"/>
      <c r="AG1596" s="4055"/>
      <c r="AH1596" s="4055"/>
      <c r="AI1596" s="4055"/>
    </row>
    <row r="1597" s="32" customFormat="1" ht="33" customHeight="1" spans="1:35">
      <c r="A1597" s="1252"/>
      <c r="B1597" s="4121"/>
      <c r="C1597" s="1737"/>
      <c r="D1597" s="1396"/>
      <c r="E1597" s="1252"/>
      <c r="F1597" s="1396"/>
      <c r="G1597" s="1252"/>
      <c r="H1597" s="1396"/>
      <c r="I1597" s="1252"/>
      <c r="J1597" s="1252"/>
      <c r="K1597" s="1252"/>
      <c r="L1597" s="1252"/>
      <c r="M1597" s="1396">
        <v>3</v>
      </c>
      <c r="N1597" s="705" t="s">
        <v>6621</v>
      </c>
      <c r="O1597" s="4138">
        <v>0.1</v>
      </c>
      <c r="P1597" s="4139">
        <v>29000</v>
      </c>
      <c r="Q1597" s="4139">
        <v>29000</v>
      </c>
      <c r="R1597" s="128" t="s">
        <v>4603</v>
      </c>
      <c r="S1597" s="4148">
        <v>45280</v>
      </c>
      <c r="T1597" s="4139">
        <v>29000</v>
      </c>
      <c r="U1597" s="4148">
        <v>45280</v>
      </c>
      <c r="V1597" s="4139"/>
      <c r="W1597" s="4148"/>
      <c r="X1597" s="4139"/>
      <c r="Y1597" s="4148"/>
      <c r="Z1597" s="4139"/>
      <c r="AA1597" s="4055"/>
      <c r="AB1597" s="4055"/>
      <c r="AC1597" s="4055"/>
      <c r="AD1597" s="4055"/>
      <c r="AE1597" s="4055"/>
      <c r="AF1597" s="4055"/>
      <c r="AG1597" s="4055"/>
      <c r="AH1597" s="4055"/>
      <c r="AI1597" s="4055"/>
    </row>
    <row r="1598" s="32" customFormat="1" ht="33" customHeight="1" spans="1:35">
      <c r="A1598" s="1252"/>
      <c r="B1598" s="4123"/>
      <c r="C1598" s="1737"/>
      <c r="D1598" s="1396"/>
      <c r="E1598" s="1252"/>
      <c r="F1598" s="1396"/>
      <c r="G1598" s="1252"/>
      <c r="H1598" s="1396"/>
      <c r="I1598" s="1252"/>
      <c r="J1598" s="1252"/>
      <c r="K1598" s="1252"/>
      <c r="L1598" s="1252"/>
      <c r="M1598" s="1396">
        <v>4</v>
      </c>
      <c r="N1598" s="3558"/>
      <c r="O1598" s="4138">
        <v>0.1</v>
      </c>
      <c r="P1598" s="4139">
        <v>29000</v>
      </c>
      <c r="Q1598" s="4152">
        <v>29000</v>
      </c>
      <c r="R1598" s="4150" t="s">
        <v>349</v>
      </c>
      <c r="S1598" s="4151">
        <v>46386</v>
      </c>
      <c r="T1598" s="4139"/>
      <c r="U1598" s="4148"/>
      <c r="V1598" s="4139"/>
      <c r="W1598" s="4148"/>
      <c r="X1598" s="4139"/>
      <c r="Y1598" s="4148"/>
      <c r="Z1598" s="4055"/>
      <c r="AA1598" s="4055"/>
      <c r="AB1598" s="4055"/>
      <c r="AC1598" s="4055"/>
      <c r="AD1598" s="4055"/>
      <c r="AE1598" s="4055"/>
      <c r="AF1598" s="4055"/>
      <c r="AG1598" s="4055"/>
      <c r="AH1598" s="4055"/>
      <c r="AI1598" s="4055"/>
    </row>
    <row r="1599" s="32" customFormat="1" ht="33" customHeight="1" spans="1:35">
      <c r="A1599" s="1252" t="s">
        <v>2570</v>
      </c>
      <c r="B1599" s="4122">
        <v>44886</v>
      </c>
      <c r="C1599" s="1737" t="s">
        <v>6601</v>
      </c>
      <c r="D1599" s="1396" t="s">
        <v>4370</v>
      </c>
      <c r="E1599" s="1396" t="s">
        <v>6622</v>
      </c>
      <c r="F1599" s="1396" t="s">
        <v>6623</v>
      </c>
      <c r="G1599" s="1252" t="s">
        <v>6624</v>
      </c>
      <c r="H1599" s="1396" t="s">
        <v>6441</v>
      </c>
      <c r="I1599" s="1252">
        <v>48000</v>
      </c>
      <c r="J1599" s="1252" t="s">
        <v>5255</v>
      </c>
      <c r="K1599" s="1252">
        <v>336000</v>
      </c>
      <c r="L1599" s="1252" t="s">
        <v>26</v>
      </c>
      <c r="M1599" s="1396">
        <v>1</v>
      </c>
      <c r="N1599" s="2618" t="s">
        <v>6625</v>
      </c>
      <c r="O1599" s="4138">
        <v>0.2</v>
      </c>
      <c r="P1599" s="4139">
        <f>336000*O1599</f>
        <v>67200</v>
      </c>
      <c r="Q1599" s="4139">
        <v>67200</v>
      </c>
      <c r="R1599" s="128" t="s">
        <v>4603</v>
      </c>
      <c r="S1599" s="4056">
        <v>44890</v>
      </c>
      <c r="T1599" s="4139">
        <v>67200</v>
      </c>
      <c r="U1599" s="4056">
        <v>44890</v>
      </c>
      <c r="V1599" s="4139">
        <v>67200</v>
      </c>
      <c r="W1599" s="4148">
        <v>44893</v>
      </c>
      <c r="X1599" s="4139">
        <v>67200</v>
      </c>
      <c r="Y1599" s="4148">
        <v>44916</v>
      </c>
      <c r="Z1599" s="4055"/>
      <c r="AA1599" s="4055"/>
      <c r="AB1599" s="4055"/>
      <c r="AC1599" s="4055"/>
      <c r="AD1599" s="4055"/>
      <c r="AE1599" s="4055"/>
      <c r="AF1599" s="4055"/>
      <c r="AG1599" s="4055"/>
      <c r="AH1599" s="4055"/>
      <c r="AI1599" s="4055"/>
    </row>
    <row r="1600" s="32" customFormat="1" ht="33" customHeight="1" spans="1:35">
      <c r="A1600" s="1252"/>
      <c r="B1600" s="4121"/>
      <c r="C1600" s="1737"/>
      <c r="D1600" s="1396"/>
      <c r="E1600" s="1252"/>
      <c r="F1600" s="1396"/>
      <c r="G1600" s="1252"/>
      <c r="H1600" s="1396"/>
      <c r="I1600" s="1252"/>
      <c r="J1600" s="1252"/>
      <c r="K1600" s="1252"/>
      <c r="L1600" s="1252"/>
      <c r="M1600" s="1396">
        <v>2</v>
      </c>
      <c r="N1600" s="2618" t="s">
        <v>6626</v>
      </c>
      <c r="O1600" s="4138">
        <v>0.75</v>
      </c>
      <c r="P1600" s="4139">
        <v>252000</v>
      </c>
      <c r="Q1600" s="4139">
        <v>252000</v>
      </c>
      <c r="R1600" s="128" t="s">
        <v>4603</v>
      </c>
      <c r="S1600" s="4056">
        <v>44918</v>
      </c>
      <c r="T1600" s="4139">
        <v>252000</v>
      </c>
      <c r="U1600" s="4056">
        <v>44918</v>
      </c>
      <c r="V1600" s="4139">
        <v>252000</v>
      </c>
      <c r="W1600" s="4148">
        <v>45275</v>
      </c>
      <c r="X1600" s="4139">
        <v>252000</v>
      </c>
      <c r="Y1600" s="4148">
        <v>45309</v>
      </c>
      <c r="Z1600" s="4055"/>
      <c r="AA1600" s="4055"/>
      <c r="AB1600" s="4055"/>
      <c r="AC1600" s="4055"/>
      <c r="AD1600" s="4055"/>
      <c r="AE1600" s="4055"/>
      <c r="AF1600" s="4055"/>
      <c r="AG1600" s="4055"/>
      <c r="AH1600" s="4055"/>
      <c r="AI1600" s="4055"/>
    </row>
    <row r="1601" s="32" customFormat="1" ht="33" customHeight="1" spans="1:35">
      <c r="A1601" s="1252"/>
      <c r="B1601" s="4123"/>
      <c r="C1601" s="1737"/>
      <c r="D1601" s="1396"/>
      <c r="E1601" s="1252"/>
      <c r="F1601" s="1396"/>
      <c r="G1601" s="1252"/>
      <c r="H1601" s="1396"/>
      <c r="I1601" s="1252"/>
      <c r="J1601" s="1252"/>
      <c r="K1601" s="1252"/>
      <c r="L1601" s="1252"/>
      <c r="M1601" s="1396">
        <v>3</v>
      </c>
      <c r="N1601" s="2618" t="s">
        <v>6627</v>
      </c>
      <c r="O1601" s="4138">
        <v>0.05</v>
      </c>
      <c r="P1601" s="4139">
        <v>16800</v>
      </c>
      <c r="Q1601" s="4152">
        <v>16800</v>
      </c>
      <c r="R1601" s="4150" t="s">
        <v>5015</v>
      </c>
      <c r="S1601" s="4151">
        <v>46386</v>
      </c>
      <c r="T1601" s="4139"/>
      <c r="U1601" s="4148"/>
      <c r="V1601" s="4139"/>
      <c r="W1601" s="4148"/>
      <c r="X1601" s="4139"/>
      <c r="Y1601" s="4148"/>
      <c r="Z1601" s="4055"/>
      <c r="AA1601" s="4055"/>
      <c r="AB1601" s="4055"/>
      <c r="AC1601" s="4055"/>
      <c r="AD1601" s="4055"/>
      <c r="AE1601" s="4055"/>
      <c r="AF1601" s="4055"/>
      <c r="AG1601" s="4055"/>
      <c r="AH1601" s="4055"/>
      <c r="AI1601" s="4055"/>
    </row>
    <row r="1602" s="32" customFormat="1" ht="92" spans="1:35">
      <c r="A1602" s="1299" t="s">
        <v>2570</v>
      </c>
      <c r="B1602" s="4122">
        <v>44918</v>
      </c>
      <c r="C1602" s="1254" t="s">
        <v>6601</v>
      </c>
      <c r="D1602" s="1280" t="s">
        <v>4370</v>
      </c>
      <c r="E1602" s="1396" t="s">
        <v>6628</v>
      </c>
      <c r="F1602" s="1280" t="s">
        <v>6629</v>
      </c>
      <c r="G1602" s="1299" t="s">
        <v>3465</v>
      </c>
      <c r="H1602" s="1396" t="s">
        <v>6050</v>
      </c>
      <c r="I1602" s="1299"/>
      <c r="J1602" s="1252" t="s">
        <v>997</v>
      </c>
      <c r="K1602" s="1252">
        <v>315000</v>
      </c>
      <c r="L1602" s="1252" t="s">
        <v>126</v>
      </c>
      <c r="M1602" s="1396">
        <v>1</v>
      </c>
      <c r="N1602" s="2618" t="s">
        <v>6630</v>
      </c>
      <c r="O1602" s="4138">
        <v>0.15</v>
      </c>
      <c r="P1602" s="4139">
        <f>$K$1602*O1602</f>
        <v>47250</v>
      </c>
      <c r="Q1602" s="4139">
        <v>47250</v>
      </c>
      <c r="R1602" s="1252" t="s">
        <v>4603</v>
      </c>
      <c r="S1602" s="4148">
        <v>44923</v>
      </c>
      <c r="T1602" s="4139">
        <f>Q1602</f>
        <v>47250</v>
      </c>
      <c r="U1602" s="4148">
        <v>44923</v>
      </c>
      <c r="V1602" s="4139">
        <v>47250</v>
      </c>
      <c r="W1602" s="4148">
        <v>44566</v>
      </c>
      <c r="X1602" s="4139">
        <v>47250</v>
      </c>
      <c r="Y1602" s="4148">
        <v>44944</v>
      </c>
      <c r="Z1602" s="4055"/>
      <c r="AA1602" s="4055"/>
      <c r="AB1602" s="4055"/>
      <c r="AC1602" s="4055"/>
      <c r="AD1602" s="4055"/>
      <c r="AE1602" s="4055"/>
      <c r="AF1602" s="4055"/>
      <c r="AG1602" s="4055"/>
      <c r="AH1602" s="4055"/>
      <c r="AI1602" s="4055"/>
    </row>
    <row r="1603" s="32" customFormat="1" ht="92" spans="1:35">
      <c r="A1603" s="4116"/>
      <c r="B1603" s="4121"/>
      <c r="C1603" s="2054"/>
      <c r="D1603" s="2052"/>
      <c r="E1603" s="1396"/>
      <c r="F1603" s="2052"/>
      <c r="G1603" s="4116"/>
      <c r="H1603" s="1396"/>
      <c r="I1603" s="4116"/>
      <c r="J1603" s="1252"/>
      <c r="K1603" s="1252"/>
      <c r="L1603" s="1252"/>
      <c r="M1603" s="1396">
        <v>2</v>
      </c>
      <c r="N1603" s="2618" t="s">
        <v>6631</v>
      </c>
      <c r="O1603" s="4138">
        <v>0.35</v>
      </c>
      <c r="P1603" s="4139">
        <f>$K$1602*O1603</f>
        <v>110250</v>
      </c>
      <c r="Q1603" s="4139">
        <v>110250</v>
      </c>
      <c r="R1603" s="1252" t="s">
        <v>4603</v>
      </c>
      <c r="S1603" s="4148">
        <v>44923</v>
      </c>
      <c r="T1603" s="4139">
        <f>Q1603</f>
        <v>110250</v>
      </c>
      <c r="U1603" s="4148">
        <v>44923</v>
      </c>
      <c r="V1603" s="4139">
        <v>110250</v>
      </c>
      <c r="W1603" s="4148">
        <v>44566</v>
      </c>
      <c r="X1603" s="4139">
        <v>110250</v>
      </c>
      <c r="Y1603" s="4148">
        <v>44944</v>
      </c>
      <c r="Z1603" s="4055"/>
      <c r="AA1603" s="4055"/>
      <c r="AB1603" s="4055"/>
      <c r="AC1603" s="4055"/>
      <c r="AD1603" s="4055"/>
      <c r="AE1603" s="4055"/>
      <c r="AF1603" s="4055"/>
      <c r="AG1603" s="4055"/>
      <c r="AH1603" s="4055"/>
      <c r="AI1603" s="4055"/>
    </row>
    <row r="1604" s="32" customFormat="1" ht="92" spans="1:35">
      <c r="A1604" s="4116"/>
      <c r="B1604" s="4121"/>
      <c r="C1604" s="2054"/>
      <c r="D1604" s="2052"/>
      <c r="E1604" s="1396"/>
      <c r="F1604" s="2052"/>
      <c r="G1604" s="4116"/>
      <c r="H1604" s="1396"/>
      <c r="I1604" s="4116"/>
      <c r="J1604" s="1252"/>
      <c r="K1604" s="1252"/>
      <c r="L1604" s="1252"/>
      <c r="M1604" s="1396">
        <v>3</v>
      </c>
      <c r="N1604" s="2618" t="s">
        <v>6632</v>
      </c>
      <c r="O1604" s="4138">
        <v>0.3</v>
      </c>
      <c r="P1604" s="4139">
        <f>$K$1602*O1604</f>
        <v>94500</v>
      </c>
      <c r="Q1604" s="4139">
        <v>94500</v>
      </c>
      <c r="R1604" s="1252" t="s">
        <v>4603</v>
      </c>
      <c r="S1604" s="4148">
        <v>44923</v>
      </c>
      <c r="T1604" s="4139">
        <f>Q1604</f>
        <v>94500</v>
      </c>
      <c r="U1604" s="4148">
        <v>44923</v>
      </c>
      <c r="V1604" s="4139">
        <v>94500</v>
      </c>
      <c r="W1604" s="4148">
        <v>44566</v>
      </c>
      <c r="X1604" s="4139">
        <v>94500</v>
      </c>
      <c r="Y1604" s="4148">
        <v>44944</v>
      </c>
      <c r="Z1604" s="4055"/>
      <c r="AA1604" s="4055"/>
      <c r="AB1604" s="4055"/>
      <c r="AC1604" s="4055"/>
      <c r="AD1604" s="4055"/>
      <c r="AE1604" s="4055"/>
      <c r="AF1604" s="4055"/>
      <c r="AG1604" s="4055"/>
      <c r="AH1604" s="4055"/>
      <c r="AI1604" s="4055"/>
    </row>
    <row r="1605" s="32" customFormat="1" ht="33" customHeight="1" spans="1:35">
      <c r="A1605" s="4116"/>
      <c r="B1605" s="4121"/>
      <c r="C1605" s="2054"/>
      <c r="D1605" s="2052"/>
      <c r="E1605" s="1396"/>
      <c r="F1605" s="2052"/>
      <c r="G1605" s="4116"/>
      <c r="H1605" s="1396"/>
      <c r="I1605" s="4116"/>
      <c r="J1605" s="1252"/>
      <c r="K1605" s="1252"/>
      <c r="L1605" s="1252"/>
      <c r="M1605" s="1396">
        <v>4</v>
      </c>
      <c r="N1605" s="2618" t="s">
        <v>6633</v>
      </c>
      <c r="O1605" s="4138">
        <v>0.2</v>
      </c>
      <c r="P1605" s="4139">
        <f>$K$1602*O1605</f>
        <v>63000</v>
      </c>
      <c r="Q1605" s="4152">
        <v>63000</v>
      </c>
      <c r="R1605" s="4150" t="s">
        <v>349</v>
      </c>
      <c r="S1605" s="4151">
        <v>46386</v>
      </c>
      <c r="T1605" s="4139"/>
      <c r="U1605" s="4148"/>
      <c r="V1605" s="4139"/>
      <c r="W1605" s="4148"/>
      <c r="X1605" s="4139"/>
      <c r="Y1605" s="4148"/>
      <c r="Z1605" s="4055"/>
      <c r="AA1605" s="4055"/>
      <c r="AB1605" s="4055"/>
      <c r="AC1605" s="4055"/>
      <c r="AD1605" s="4055"/>
      <c r="AE1605" s="4055"/>
      <c r="AF1605" s="4055"/>
      <c r="AG1605" s="4055"/>
      <c r="AH1605" s="4055"/>
      <c r="AI1605" s="4055"/>
    </row>
    <row r="1606" s="32" customFormat="1" ht="33" customHeight="1" spans="1:35">
      <c r="A1606" s="1299" t="s">
        <v>2570</v>
      </c>
      <c r="B1606" s="4122">
        <v>44923</v>
      </c>
      <c r="C1606" s="1254" t="s">
        <v>6601</v>
      </c>
      <c r="D1606" s="1280" t="s">
        <v>4370</v>
      </c>
      <c r="E1606" s="1280" t="s">
        <v>6634</v>
      </c>
      <c r="F1606" s="1396" t="s">
        <v>6635</v>
      </c>
      <c r="G1606" s="1396" t="s">
        <v>6636</v>
      </c>
      <c r="H1606" s="1280" t="s">
        <v>6637</v>
      </c>
      <c r="I1606" s="1280"/>
      <c r="J1606" s="1280" t="s">
        <v>6638</v>
      </c>
      <c r="K1606" s="1280">
        <v>344000</v>
      </c>
      <c r="L1606" s="1299" t="s">
        <v>126</v>
      </c>
      <c r="M1606" s="1396">
        <v>1</v>
      </c>
      <c r="N1606" s="2618" t="s">
        <v>6639</v>
      </c>
      <c r="O1606" s="4138">
        <v>0.2</v>
      </c>
      <c r="P1606" s="4139">
        <f>133000*O1606</f>
        <v>26600</v>
      </c>
      <c r="Q1606" s="4139">
        <v>26600</v>
      </c>
      <c r="R1606" s="1252" t="s">
        <v>4603</v>
      </c>
      <c r="S1606" s="4056">
        <v>44923</v>
      </c>
      <c r="T1606" s="4139">
        <v>26600</v>
      </c>
      <c r="U1606" s="4148">
        <v>44923</v>
      </c>
      <c r="V1606" s="4139">
        <v>26600</v>
      </c>
      <c r="W1606" s="4148">
        <v>44930</v>
      </c>
      <c r="X1606" s="4139">
        <v>26600</v>
      </c>
      <c r="Y1606" s="4148">
        <v>44944</v>
      </c>
      <c r="Z1606" s="4055"/>
      <c r="AA1606" s="4055"/>
      <c r="AB1606" s="4055"/>
      <c r="AC1606" s="4055"/>
      <c r="AD1606" s="4055"/>
      <c r="AE1606" s="4055"/>
      <c r="AF1606" s="4055"/>
      <c r="AG1606" s="4055"/>
      <c r="AH1606" s="4055"/>
      <c r="AI1606" s="4055"/>
    </row>
    <row r="1607" s="32" customFormat="1" ht="33" customHeight="1" spans="1:35">
      <c r="A1607" s="4116"/>
      <c r="B1607" s="4121"/>
      <c r="C1607" s="2054"/>
      <c r="D1607" s="2052"/>
      <c r="E1607" s="2052"/>
      <c r="F1607" s="1396"/>
      <c r="G1607" s="1396"/>
      <c r="H1607" s="2052"/>
      <c r="I1607" s="4116"/>
      <c r="J1607" s="4116"/>
      <c r="K1607" s="2052"/>
      <c r="L1607" s="4116"/>
      <c r="M1607" s="1396">
        <v>2</v>
      </c>
      <c r="N1607" s="2618" t="s">
        <v>6640</v>
      </c>
      <c r="O1607" s="4138">
        <v>0.6</v>
      </c>
      <c r="P1607" s="4139">
        <f>133000*O1607</f>
        <v>79800</v>
      </c>
      <c r="Q1607" s="4139">
        <v>79800</v>
      </c>
      <c r="R1607" s="1252" t="s">
        <v>4603</v>
      </c>
      <c r="S1607" s="4056">
        <v>44923</v>
      </c>
      <c r="T1607" s="4139">
        <v>79800</v>
      </c>
      <c r="U1607" s="4148">
        <v>44923</v>
      </c>
      <c r="V1607" s="4139">
        <v>79800</v>
      </c>
      <c r="W1607" s="4148">
        <v>44930</v>
      </c>
      <c r="X1607" s="4139">
        <v>79800</v>
      </c>
      <c r="Y1607" s="4148">
        <v>44944</v>
      </c>
      <c r="Z1607" s="4055"/>
      <c r="AA1607" s="4055"/>
      <c r="AB1607" s="4055"/>
      <c r="AC1607" s="4055"/>
      <c r="AD1607" s="4055"/>
      <c r="AE1607" s="4055"/>
      <c r="AF1607" s="4055"/>
      <c r="AG1607" s="4055"/>
      <c r="AH1607" s="4055"/>
      <c r="AI1607" s="4055"/>
    </row>
    <row r="1608" s="32" customFormat="1" ht="33" customHeight="1" spans="1:35">
      <c r="A1608" s="4116"/>
      <c r="B1608" s="4121"/>
      <c r="C1608" s="2054"/>
      <c r="D1608" s="2052"/>
      <c r="E1608" s="2052"/>
      <c r="F1608" s="1396"/>
      <c r="G1608" s="1396"/>
      <c r="H1608" s="2052"/>
      <c r="I1608" s="4116"/>
      <c r="J1608" s="4116"/>
      <c r="K1608" s="2052"/>
      <c r="L1608" s="4116"/>
      <c r="M1608" s="1396">
        <v>3</v>
      </c>
      <c r="N1608" s="705" t="s">
        <v>6641</v>
      </c>
      <c r="O1608" s="4138">
        <v>0.18</v>
      </c>
      <c r="P1608" s="4139">
        <v>61920</v>
      </c>
      <c r="Q1608" s="4139">
        <v>23940</v>
      </c>
      <c r="R1608" s="1252" t="s">
        <v>4603</v>
      </c>
      <c r="S1608" s="4056">
        <v>44923</v>
      </c>
      <c r="T1608" s="4139">
        <v>23940</v>
      </c>
      <c r="U1608" s="4148">
        <v>44923</v>
      </c>
      <c r="V1608" s="4139"/>
      <c r="W1608" s="4148"/>
      <c r="X1608" s="4152">
        <v>23940</v>
      </c>
      <c r="Y1608" s="4151"/>
      <c r="Z1608" s="4055"/>
      <c r="AA1608" s="4055"/>
      <c r="AB1608" s="4055"/>
      <c r="AC1608" s="4055"/>
      <c r="AD1608" s="4055"/>
      <c r="AE1608" s="4055"/>
      <c r="AF1608" s="4055"/>
      <c r="AG1608" s="4055"/>
      <c r="AH1608" s="4055"/>
      <c r="AI1608" s="4055"/>
    </row>
    <row r="1609" s="32" customFormat="1" ht="33" customHeight="1" spans="1:35">
      <c r="A1609" s="4116"/>
      <c r="B1609" s="4121"/>
      <c r="C1609" s="2054"/>
      <c r="D1609" s="2052"/>
      <c r="E1609" s="2052"/>
      <c r="F1609" s="1396"/>
      <c r="G1609" s="1396"/>
      <c r="H1609" s="2052"/>
      <c r="I1609" s="4116"/>
      <c r="J1609" s="4116"/>
      <c r="K1609" s="2052"/>
      <c r="L1609" s="4116"/>
      <c r="M1609" s="1396">
        <v>4</v>
      </c>
      <c r="N1609" s="3558"/>
      <c r="O1609" s="4138">
        <v>0.02</v>
      </c>
      <c r="P1609" s="4139">
        <f>133000*O1609</f>
        <v>2660</v>
      </c>
      <c r="Q1609" s="4152">
        <v>2660</v>
      </c>
      <c r="R1609" s="4150" t="s">
        <v>349</v>
      </c>
      <c r="S1609" s="4151">
        <v>46386</v>
      </c>
      <c r="T1609" s="4139"/>
      <c r="U1609" s="4139"/>
      <c r="V1609" s="4139"/>
      <c r="W1609" s="4148"/>
      <c r="X1609" s="4139"/>
      <c r="Y1609" s="4148"/>
      <c r="Z1609" s="4055"/>
      <c r="AA1609" s="4055"/>
      <c r="AB1609" s="4055"/>
      <c r="AC1609" s="4055"/>
      <c r="AD1609" s="4055"/>
      <c r="AE1609" s="4055"/>
      <c r="AF1609" s="4055"/>
      <c r="AG1609" s="4055"/>
      <c r="AH1609" s="4055"/>
      <c r="AI1609" s="4055"/>
    </row>
    <row r="1610" s="32" customFormat="1" ht="33" customHeight="1" spans="1:35">
      <c r="A1610" s="4116"/>
      <c r="B1610" s="4121"/>
      <c r="C1610" s="2054"/>
      <c r="D1610" s="2052"/>
      <c r="E1610" s="2052"/>
      <c r="F1610" s="1396"/>
      <c r="G1610" s="1396"/>
      <c r="H1610" s="2052"/>
      <c r="I1610" s="4116"/>
      <c r="J1610" s="4116"/>
      <c r="K1610" s="2052"/>
      <c r="L1610" s="4116"/>
      <c r="M1610" s="1396">
        <v>1</v>
      </c>
      <c r="N1610" s="2618" t="s">
        <v>6642</v>
      </c>
      <c r="O1610" s="4138">
        <v>0.2</v>
      </c>
      <c r="P1610" s="4139">
        <f>211000*O1610</f>
        <v>42200</v>
      </c>
      <c r="Q1610" s="4139">
        <v>42200</v>
      </c>
      <c r="R1610" s="1252" t="s">
        <v>4603</v>
      </c>
      <c r="S1610" s="4056">
        <v>44923</v>
      </c>
      <c r="T1610" s="4139">
        <v>42200</v>
      </c>
      <c r="U1610" s="4148">
        <v>44923</v>
      </c>
      <c r="V1610" s="4139">
        <v>42200</v>
      </c>
      <c r="W1610" s="4148">
        <v>44930</v>
      </c>
      <c r="X1610" s="4139">
        <v>42200</v>
      </c>
      <c r="Y1610" s="4148">
        <v>44944</v>
      </c>
      <c r="Z1610" s="4055"/>
      <c r="AA1610" s="4055"/>
      <c r="AB1610" s="4055"/>
      <c r="AC1610" s="4055"/>
      <c r="AD1610" s="4055"/>
      <c r="AE1610" s="4055"/>
      <c r="AF1610" s="4055"/>
      <c r="AG1610" s="4055"/>
      <c r="AH1610" s="4055"/>
      <c r="AI1610" s="4055"/>
    </row>
    <row r="1611" s="32" customFormat="1" ht="33" customHeight="1" spans="1:35">
      <c r="A1611" s="4116"/>
      <c r="B1611" s="4121"/>
      <c r="C1611" s="2054"/>
      <c r="D1611" s="2052"/>
      <c r="E1611" s="2052"/>
      <c r="F1611" s="1396"/>
      <c r="G1611" s="1396"/>
      <c r="H1611" s="2052"/>
      <c r="I1611" s="4116"/>
      <c r="J1611" s="4116"/>
      <c r="K1611" s="2052"/>
      <c r="L1611" s="4116"/>
      <c r="M1611" s="1396">
        <v>2</v>
      </c>
      <c r="N1611" s="2618" t="s">
        <v>6643</v>
      </c>
      <c r="O1611" s="4138">
        <v>0.6</v>
      </c>
      <c r="P1611" s="4139">
        <f>211000*O1611</f>
        <v>126600</v>
      </c>
      <c r="Q1611" s="4139">
        <v>126600</v>
      </c>
      <c r="R1611" s="1252" t="s">
        <v>4603</v>
      </c>
      <c r="S1611" s="4056">
        <v>44923</v>
      </c>
      <c r="T1611" s="4139">
        <v>126600</v>
      </c>
      <c r="U1611" s="4148">
        <v>44923</v>
      </c>
      <c r="V1611" s="4139">
        <v>126600</v>
      </c>
      <c r="W1611" s="4148">
        <v>44930</v>
      </c>
      <c r="X1611" s="4139">
        <v>126600</v>
      </c>
      <c r="Y1611" s="4148">
        <v>44944</v>
      </c>
      <c r="Z1611" s="4055"/>
      <c r="AA1611" s="4055"/>
      <c r="AB1611" s="4055"/>
      <c r="AC1611" s="4055"/>
      <c r="AD1611" s="4055"/>
      <c r="AE1611" s="4055"/>
      <c r="AF1611" s="4055"/>
      <c r="AG1611" s="4055"/>
      <c r="AH1611" s="4055"/>
      <c r="AI1611" s="4055"/>
    </row>
    <row r="1612" s="32" customFormat="1" ht="33" customHeight="1" spans="1:35">
      <c r="A1612" s="4116"/>
      <c r="B1612" s="4121"/>
      <c r="C1612" s="2054"/>
      <c r="D1612" s="2052"/>
      <c r="E1612" s="2052"/>
      <c r="F1612" s="1396"/>
      <c r="G1612" s="1396"/>
      <c r="H1612" s="2052"/>
      <c r="I1612" s="4116"/>
      <c r="J1612" s="4116"/>
      <c r="K1612" s="2052"/>
      <c r="L1612" s="4116"/>
      <c r="M1612" s="1396">
        <v>3</v>
      </c>
      <c r="N1612" s="705" t="s">
        <v>6644</v>
      </c>
      <c r="O1612" s="4138">
        <v>0.18</v>
      </c>
      <c r="P1612" s="4139">
        <v>37980</v>
      </c>
      <c r="Q1612" s="4139">
        <v>37980</v>
      </c>
      <c r="R1612" s="1252" t="s">
        <v>4603</v>
      </c>
      <c r="S1612" s="4056">
        <v>44923</v>
      </c>
      <c r="T1612" s="4139">
        <v>37980</v>
      </c>
      <c r="U1612" s="4148">
        <v>44923</v>
      </c>
      <c r="V1612" s="4139"/>
      <c r="W1612" s="4148"/>
      <c r="X1612" s="4152">
        <v>37980</v>
      </c>
      <c r="Y1612" s="4151"/>
      <c r="Z1612" s="4055"/>
      <c r="AA1612" s="4055"/>
      <c r="AB1612" s="4055"/>
      <c r="AC1612" s="4055"/>
      <c r="AD1612" s="4055"/>
      <c r="AE1612" s="4055"/>
      <c r="AF1612" s="4055"/>
      <c r="AG1612" s="4055"/>
      <c r="AH1612" s="4055"/>
      <c r="AI1612" s="4055"/>
    </row>
    <row r="1613" s="32" customFormat="1" ht="33" customHeight="1" spans="1:35">
      <c r="A1613" s="4165"/>
      <c r="B1613" s="4123"/>
      <c r="C1613" s="2056"/>
      <c r="D1613" s="1846"/>
      <c r="E1613" s="2052"/>
      <c r="F1613" s="1396"/>
      <c r="G1613" s="1396"/>
      <c r="H1613" s="2052"/>
      <c r="I1613" s="4116"/>
      <c r="J1613" s="4116"/>
      <c r="K1613" s="2052"/>
      <c r="L1613" s="4116"/>
      <c r="M1613" s="1396">
        <v>4</v>
      </c>
      <c r="N1613" s="3558"/>
      <c r="O1613" s="4138">
        <v>0.02</v>
      </c>
      <c r="P1613" s="4139">
        <f>211000*O1613</f>
        <v>4220</v>
      </c>
      <c r="Q1613" s="4152">
        <v>4220</v>
      </c>
      <c r="R1613" s="4150" t="s">
        <v>349</v>
      </c>
      <c r="S1613" s="4151">
        <v>46386</v>
      </c>
      <c r="T1613" s="4139"/>
      <c r="U1613" s="4148"/>
      <c r="V1613" s="4139"/>
      <c r="W1613" s="4148"/>
      <c r="X1613" s="4139"/>
      <c r="Y1613" s="4148"/>
      <c r="Z1613" s="4055"/>
      <c r="AA1613" s="4055"/>
      <c r="AB1613" s="4055"/>
      <c r="AC1613" s="4055"/>
      <c r="AD1613" s="4055"/>
      <c r="AE1613" s="4055"/>
      <c r="AF1613" s="4055"/>
      <c r="AG1613" s="4055"/>
      <c r="AH1613" s="4055"/>
      <c r="AI1613" s="4055"/>
    </row>
    <row r="1614" s="32" customFormat="1" ht="33" customHeight="1" spans="1:35">
      <c r="A1614" s="1299" t="s">
        <v>2570</v>
      </c>
      <c r="B1614" s="4122">
        <v>44902</v>
      </c>
      <c r="C1614" s="1254" t="s">
        <v>6601</v>
      </c>
      <c r="D1614" s="1280" t="s">
        <v>4370</v>
      </c>
      <c r="E1614" s="1280" t="s">
        <v>6645</v>
      </c>
      <c r="F1614" s="1280" t="s">
        <v>6646</v>
      </c>
      <c r="G1614" s="1299" t="s">
        <v>6647</v>
      </c>
      <c r="H1614" s="1280" t="s">
        <v>6648</v>
      </c>
      <c r="I1614" s="1299"/>
      <c r="J1614" s="1299" t="s">
        <v>997</v>
      </c>
      <c r="K1614" s="1299">
        <v>746800</v>
      </c>
      <c r="L1614" s="1299" t="s">
        <v>126</v>
      </c>
      <c r="M1614" s="1396">
        <v>1</v>
      </c>
      <c r="N1614" s="2618" t="s">
        <v>6649</v>
      </c>
      <c r="O1614" s="4138">
        <v>0.176004284949116</v>
      </c>
      <c r="P1614" s="4139">
        <v>131440</v>
      </c>
      <c r="Q1614" s="4139">
        <v>131440</v>
      </c>
      <c r="R1614" s="1252" t="s">
        <v>4603</v>
      </c>
      <c r="S1614" s="4056">
        <v>44911</v>
      </c>
      <c r="T1614" s="4139">
        <v>131440</v>
      </c>
      <c r="U1614" s="4056">
        <v>44911</v>
      </c>
      <c r="V1614" s="4139">
        <v>131440</v>
      </c>
      <c r="W1614" s="4148">
        <v>44932</v>
      </c>
      <c r="X1614" s="4139">
        <v>131440</v>
      </c>
      <c r="Y1614" s="4148">
        <v>44937</v>
      </c>
      <c r="Z1614" s="4055"/>
      <c r="AA1614" s="4055"/>
      <c r="AB1614" s="4055"/>
      <c r="AC1614" s="4055"/>
      <c r="AD1614" s="4055"/>
      <c r="AE1614" s="4055"/>
      <c r="AF1614" s="4055"/>
      <c r="AG1614" s="4055"/>
      <c r="AH1614" s="4055"/>
      <c r="AI1614" s="4055"/>
    </row>
    <row r="1615" s="32" customFormat="1" ht="33" customHeight="1" spans="1:35">
      <c r="A1615" s="4116"/>
      <c r="B1615" s="4121"/>
      <c r="C1615" s="2054"/>
      <c r="D1615" s="2052"/>
      <c r="E1615" s="2052"/>
      <c r="F1615" s="2052"/>
      <c r="G1615" s="4116"/>
      <c r="H1615" s="2052"/>
      <c r="I1615" s="4116"/>
      <c r="J1615" s="4116"/>
      <c r="K1615" s="4116"/>
      <c r="L1615" s="4116"/>
      <c r="M1615" s="1280">
        <v>2</v>
      </c>
      <c r="N1615" s="705" t="s">
        <v>6650</v>
      </c>
      <c r="O1615" s="4140">
        <v>0.704017139796465</v>
      </c>
      <c r="P1615" s="4141">
        <v>525760</v>
      </c>
      <c r="Q1615" s="4139">
        <v>466000</v>
      </c>
      <c r="R1615" s="1252" t="s">
        <v>4603</v>
      </c>
      <c r="S1615" s="4056">
        <v>44911</v>
      </c>
      <c r="T1615" s="4139">
        <v>466000</v>
      </c>
      <c r="U1615" s="4056">
        <v>44911</v>
      </c>
      <c r="V1615" s="4139">
        <v>466000</v>
      </c>
      <c r="W1615" s="4148">
        <v>44932</v>
      </c>
      <c r="X1615" s="4139">
        <v>466000</v>
      </c>
      <c r="Y1615" s="4148">
        <v>44937</v>
      </c>
      <c r="Z1615" s="4055"/>
      <c r="AA1615" s="4055"/>
      <c r="AB1615" s="4055"/>
      <c r="AC1615" s="4055"/>
      <c r="AD1615" s="4055"/>
      <c r="AE1615" s="4055"/>
      <c r="AF1615" s="4055"/>
      <c r="AG1615" s="4055"/>
      <c r="AH1615" s="4055"/>
      <c r="AI1615" s="4055"/>
    </row>
    <row r="1616" s="32" customFormat="1" ht="33" customHeight="1" spans="1:35">
      <c r="A1616" s="4116"/>
      <c r="B1616" s="4121"/>
      <c r="C1616" s="2054"/>
      <c r="D1616" s="2052"/>
      <c r="E1616" s="2052"/>
      <c r="F1616" s="2052"/>
      <c r="G1616" s="4116"/>
      <c r="H1616" s="2052"/>
      <c r="I1616" s="4116"/>
      <c r="J1616" s="4116"/>
      <c r="K1616" s="4116"/>
      <c r="L1616" s="4116"/>
      <c r="M1616" s="1846"/>
      <c r="N1616" s="3541"/>
      <c r="O1616" s="4142"/>
      <c r="P1616" s="4143"/>
      <c r="Q1616" s="4139">
        <v>59760</v>
      </c>
      <c r="R1616" s="1252" t="s">
        <v>4603</v>
      </c>
      <c r="S1616" s="4056">
        <v>44931</v>
      </c>
      <c r="T1616" s="4139">
        <v>59760</v>
      </c>
      <c r="U1616" s="4148">
        <v>44931</v>
      </c>
      <c r="V1616" s="4139">
        <v>59760</v>
      </c>
      <c r="W1616" s="4148">
        <v>44932</v>
      </c>
      <c r="X1616" s="4139">
        <v>59760</v>
      </c>
      <c r="Y1616" s="4148">
        <v>44937</v>
      </c>
      <c r="Z1616" s="4055"/>
      <c r="AA1616" s="4055"/>
      <c r="AB1616" s="4055"/>
      <c r="AC1616" s="4055"/>
      <c r="AD1616" s="4055"/>
      <c r="AE1616" s="4055"/>
      <c r="AF1616" s="4055"/>
      <c r="AG1616" s="4055"/>
      <c r="AH1616" s="4055"/>
      <c r="AI1616" s="4055"/>
    </row>
    <row r="1617" s="32" customFormat="1" ht="33" customHeight="1" spans="1:35">
      <c r="A1617" s="4116"/>
      <c r="B1617" s="4121"/>
      <c r="C1617" s="2054"/>
      <c r="D1617" s="2052"/>
      <c r="E1617" s="2052"/>
      <c r="F1617" s="2052"/>
      <c r="G1617" s="4116"/>
      <c r="H1617" s="2052"/>
      <c r="I1617" s="4116"/>
      <c r="J1617" s="4116"/>
      <c r="K1617" s="4116"/>
      <c r="L1617" s="4116"/>
      <c r="M1617" s="1396">
        <v>3</v>
      </c>
      <c r="N1617" s="2618" t="s">
        <v>6651</v>
      </c>
      <c r="O1617" s="4138">
        <v>0.0530262453133369</v>
      </c>
      <c r="P1617" s="4139">
        <v>39600</v>
      </c>
      <c r="Q1617" s="4139">
        <v>39600</v>
      </c>
      <c r="R1617" s="1252" t="s">
        <v>4603</v>
      </c>
      <c r="S1617" s="4148">
        <v>45273</v>
      </c>
      <c r="T1617" s="4139">
        <v>39600</v>
      </c>
      <c r="U1617" s="4148">
        <v>45273</v>
      </c>
      <c r="V1617" s="4139"/>
      <c r="W1617" s="4148"/>
      <c r="X1617" s="4152">
        <v>39600</v>
      </c>
      <c r="Y1617" s="4151"/>
      <c r="Z1617" s="4055"/>
      <c r="AA1617" s="4055"/>
      <c r="AB1617" s="4055"/>
      <c r="AC1617" s="4055"/>
      <c r="AD1617" s="4055"/>
      <c r="AE1617" s="4055"/>
      <c r="AF1617" s="4055"/>
      <c r="AG1617" s="4055"/>
      <c r="AH1617" s="4055"/>
      <c r="AI1617" s="4055"/>
    </row>
    <row r="1618" s="32" customFormat="1" ht="33" customHeight="1" spans="1:35">
      <c r="A1618" s="4165"/>
      <c r="B1618" s="4123"/>
      <c r="C1618" s="2056"/>
      <c r="D1618" s="1846"/>
      <c r="E1618" s="1846"/>
      <c r="F1618" s="1846"/>
      <c r="G1618" s="4165"/>
      <c r="H1618" s="1846"/>
      <c r="I1618" s="4165"/>
      <c r="J1618" s="4165"/>
      <c r="K1618" s="4165"/>
      <c r="L1618" s="4165"/>
      <c r="M1618" s="1396">
        <v>4</v>
      </c>
      <c r="N1618" s="2618" t="s">
        <v>6652</v>
      </c>
      <c r="O1618" s="4138">
        <v>0.066952329941082</v>
      </c>
      <c r="P1618" s="4139">
        <v>50000</v>
      </c>
      <c r="Q1618" s="4139">
        <v>50000</v>
      </c>
      <c r="R1618" s="1252" t="s">
        <v>4603</v>
      </c>
      <c r="S1618" s="4148">
        <v>45273</v>
      </c>
      <c r="T1618" s="4139">
        <v>50000</v>
      </c>
      <c r="U1618" s="4148">
        <v>45273</v>
      </c>
      <c r="V1618" s="4139"/>
      <c r="W1618" s="4148"/>
      <c r="X1618" s="4152">
        <v>50000</v>
      </c>
      <c r="Y1618" s="4151"/>
      <c r="Z1618" s="4055"/>
      <c r="AA1618" s="4055"/>
      <c r="AB1618" s="4055"/>
      <c r="AC1618" s="4055"/>
      <c r="AD1618" s="4055"/>
      <c r="AE1618" s="4055"/>
      <c r="AF1618" s="4055"/>
      <c r="AG1618" s="4055"/>
      <c r="AH1618" s="4055"/>
      <c r="AI1618" s="4055"/>
    </row>
    <row r="1619" s="32" customFormat="1" ht="33" customHeight="1" spans="1:35">
      <c r="A1619" s="4116" t="s">
        <v>2570</v>
      </c>
      <c r="B1619" s="4121">
        <v>44917</v>
      </c>
      <c r="C1619" s="2054" t="s">
        <v>6601</v>
      </c>
      <c r="D1619" s="2052" t="s">
        <v>4370</v>
      </c>
      <c r="E1619" s="2052" t="s">
        <v>6653</v>
      </c>
      <c r="F1619" s="2052" t="s">
        <v>6654</v>
      </c>
      <c r="G1619" s="4116" t="s">
        <v>3453</v>
      </c>
      <c r="H1619" s="2052" t="s">
        <v>6655</v>
      </c>
      <c r="I1619" s="4116"/>
      <c r="J1619" s="4116" t="s">
        <v>997</v>
      </c>
      <c r="K1619" s="1299">
        <v>441096.6</v>
      </c>
      <c r="L1619" s="4116" t="s">
        <v>126</v>
      </c>
      <c r="M1619" s="1396">
        <v>1</v>
      </c>
      <c r="N1619" s="2618" t="s">
        <v>6656</v>
      </c>
      <c r="O1619" s="4138">
        <v>0.2</v>
      </c>
      <c r="P1619" s="4139">
        <f>K1619*O1619</f>
        <v>88219.32</v>
      </c>
      <c r="Q1619" s="4139">
        <v>88219.32</v>
      </c>
      <c r="R1619" s="1252" t="s">
        <v>4603</v>
      </c>
      <c r="S1619" s="4148">
        <v>44918</v>
      </c>
      <c r="T1619" s="4139">
        <v>88219.32</v>
      </c>
      <c r="U1619" s="4148">
        <v>44918</v>
      </c>
      <c r="V1619" s="4139">
        <v>88219.32</v>
      </c>
      <c r="W1619" s="4148">
        <v>44931</v>
      </c>
      <c r="X1619" s="4139">
        <v>88219.32</v>
      </c>
      <c r="Y1619" s="4148">
        <v>44937</v>
      </c>
      <c r="Z1619" s="4055"/>
      <c r="AA1619" s="4055"/>
      <c r="AB1619" s="4055"/>
      <c r="AC1619" s="4055"/>
      <c r="AD1619" s="4055"/>
      <c r="AE1619" s="4055"/>
      <c r="AF1619" s="4055"/>
      <c r="AG1619" s="4055"/>
      <c r="AH1619" s="4055"/>
      <c r="AI1619" s="4055"/>
    </row>
    <row r="1620" s="32" customFormat="1" ht="33" customHeight="1" spans="1:35">
      <c r="A1620" s="4116"/>
      <c r="B1620" s="4121"/>
      <c r="C1620" s="2054"/>
      <c r="D1620" s="2052"/>
      <c r="E1620" s="2052"/>
      <c r="F1620" s="2052"/>
      <c r="G1620" s="4116"/>
      <c r="H1620" s="2052"/>
      <c r="I1620" s="4116"/>
      <c r="J1620" s="4116"/>
      <c r="K1620" s="4116"/>
      <c r="L1620" s="4116"/>
      <c r="M1620" s="1396">
        <v>2</v>
      </c>
      <c r="N1620" s="2618" t="s">
        <v>6657</v>
      </c>
      <c r="O1620" s="4138">
        <v>0.7</v>
      </c>
      <c r="P1620" s="4139">
        <f>K1619*O1620</f>
        <v>308767.62</v>
      </c>
      <c r="Q1620" s="4139">
        <v>308767.62</v>
      </c>
      <c r="R1620" s="1252" t="s">
        <v>4603</v>
      </c>
      <c r="S1620" s="4148">
        <v>44918</v>
      </c>
      <c r="T1620" s="4139">
        <v>308767.62</v>
      </c>
      <c r="U1620" s="4148">
        <v>44918</v>
      </c>
      <c r="V1620" s="4139">
        <v>308767.62</v>
      </c>
      <c r="W1620" s="4148">
        <v>44931</v>
      </c>
      <c r="X1620" s="4139">
        <v>308767.62</v>
      </c>
      <c r="Y1620" s="4148">
        <v>44937</v>
      </c>
      <c r="Z1620" s="4055"/>
      <c r="AA1620" s="4055"/>
      <c r="AB1620" s="4055"/>
      <c r="AC1620" s="4055"/>
      <c r="AD1620" s="4055"/>
      <c r="AE1620" s="4055"/>
      <c r="AF1620" s="4055"/>
      <c r="AG1620" s="4055"/>
      <c r="AH1620" s="4055"/>
      <c r="AI1620" s="4055"/>
    </row>
    <row r="1621" s="32" customFormat="1" ht="33" customHeight="1" spans="1:35">
      <c r="A1621" s="4116"/>
      <c r="B1621" s="4121"/>
      <c r="C1621" s="2054"/>
      <c r="D1621" s="2052"/>
      <c r="E1621" s="2052"/>
      <c r="F1621" s="2052"/>
      <c r="G1621" s="4165"/>
      <c r="H1621" s="2052"/>
      <c r="I1621" s="4116"/>
      <c r="J1621" s="4116"/>
      <c r="K1621" s="4116"/>
      <c r="L1621" s="4116"/>
      <c r="M1621" s="1396">
        <v>3</v>
      </c>
      <c r="N1621" s="2618" t="s">
        <v>6658</v>
      </c>
      <c r="O1621" s="4138">
        <v>0.1</v>
      </c>
      <c r="P1621" s="4139">
        <f>K1619*O1621</f>
        <v>44109.66</v>
      </c>
      <c r="Q1621" s="4152">
        <v>44109.66</v>
      </c>
      <c r="R1621" s="4150" t="s">
        <v>349</v>
      </c>
      <c r="S1621" s="4151">
        <v>46386</v>
      </c>
      <c r="T1621" s="4139"/>
      <c r="U1621" s="4148"/>
      <c r="V1621" s="4139"/>
      <c r="W1621" s="4148"/>
      <c r="X1621" s="4139"/>
      <c r="Y1621" s="4148"/>
      <c r="Z1621" s="4055"/>
      <c r="AA1621" s="4055"/>
      <c r="AB1621" s="4055"/>
      <c r="AC1621" s="4055"/>
      <c r="AD1621" s="4055"/>
      <c r="AE1621" s="4055"/>
      <c r="AF1621" s="4055"/>
      <c r="AG1621" s="4055"/>
      <c r="AH1621" s="4055"/>
      <c r="AI1621" s="4055"/>
    </row>
    <row r="1622" s="32" customFormat="1" ht="33" customHeight="1" spans="1:35">
      <c r="A1622" s="4116"/>
      <c r="B1622" s="4121"/>
      <c r="C1622" s="2054"/>
      <c r="D1622" s="2052"/>
      <c r="E1622" s="2052"/>
      <c r="F1622" s="2052"/>
      <c r="G1622" s="4116" t="s">
        <v>6659</v>
      </c>
      <c r="H1622" s="2052"/>
      <c r="I1622" s="4116"/>
      <c r="J1622" s="4116"/>
      <c r="K1622" s="1252">
        <v>220000</v>
      </c>
      <c r="L1622" s="4116"/>
      <c r="M1622" s="1396">
        <v>1</v>
      </c>
      <c r="N1622" s="2618" t="s">
        <v>6656</v>
      </c>
      <c r="O1622" s="4138">
        <v>0.2</v>
      </c>
      <c r="P1622" s="4139">
        <f>K1622*O1622</f>
        <v>44000</v>
      </c>
      <c r="Q1622" s="4139">
        <v>44000</v>
      </c>
      <c r="R1622" s="1252" t="s">
        <v>4603</v>
      </c>
      <c r="S1622" s="4148">
        <v>44918</v>
      </c>
      <c r="T1622" s="4139">
        <v>44000</v>
      </c>
      <c r="U1622" s="4148">
        <v>44918</v>
      </c>
      <c r="V1622" s="4139">
        <v>44000</v>
      </c>
      <c r="W1622" s="4148">
        <v>44931</v>
      </c>
      <c r="X1622" s="4139">
        <v>44000</v>
      </c>
      <c r="Y1622" s="4148">
        <v>44937</v>
      </c>
      <c r="Z1622" s="4055"/>
      <c r="AA1622" s="4055"/>
      <c r="AB1622" s="4055"/>
      <c r="AC1622" s="4055"/>
      <c r="AD1622" s="4055"/>
      <c r="AE1622" s="4055"/>
      <c r="AF1622" s="4055"/>
      <c r="AG1622" s="4055"/>
      <c r="AH1622" s="4055"/>
      <c r="AI1622" s="4055"/>
    </row>
    <row r="1623" s="32" customFormat="1" ht="33" customHeight="1" spans="1:35">
      <c r="A1623" s="4116"/>
      <c r="B1623" s="4121"/>
      <c r="C1623" s="2054"/>
      <c r="D1623" s="2052"/>
      <c r="E1623" s="2052"/>
      <c r="F1623" s="2052"/>
      <c r="G1623" s="4116"/>
      <c r="H1623" s="2052"/>
      <c r="I1623" s="4116"/>
      <c r="J1623" s="4116"/>
      <c r="K1623" s="1252"/>
      <c r="L1623" s="4116"/>
      <c r="M1623" s="1396">
        <v>2</v>
      </c>
      <c r="N1623" s="2618" t="s">
        <v>6657</v>
      </c>
      <c r="O1623" s="4138">
        <v>0.7</v>
      </c>
      <c r="P1623" s="4139">
        <f>K1622*O1623</f>
        <v>154000</v>
      </c>
      <c r="Q1623" s="4139">
        <v>154000</v>
      </c>
      <c r="R1623" s="1252" t="s">
        <v>4603</v>
      </c>
      <c r="S1623" s="4148">
        <v>44918</v>
      </c>
      <c r="T1623" s="4139">
        <v>154000</v>
      </c>
      <c r="U1623" s="4148">
        <v>44918</v>
      </c>
      <c r="V1623" s="4139">
        <v>154000</v>
      </c>
      <c r="W1623" s="4148">
        <v>44931</v>
      </c>
      <c r="X1623" s="4139">
        <v>154000</v>
      </c>
      <c r="Y1623" s="4148">
        <v>44937</v>
      </c>
      <c r="Z1623" s="4055"/>
      <c r="AA1623" s="4055"/>
      <c r="AB1623" s="4055"/>
      <c r="AC1623" s="4055"/>
      <c r="AD1623" s="4055"/>
      <c r="AE1623" s="4055"/>
      <c r="AF1623" s="4055"/>
      <c r="AG1623" s="4055"/>
      <c r="AH1623" s="4055"/>
      <c r="AI1623" s="4055"/>
    </row>
    <row r="1624" s="32" customFormat="1" ht="33" customHeight="1" spans="1:35">
      <c r="A1624" s="4165"/>
      <c r="B1624" s="4123"/>
      <c r="C1624" s="2056"/>
      <c r="D1624" s="1846"/>
      <c r="E1624" s="1846"/>
      <c r="F1624" s="1846"/>
      <c r="G1624" s="4165"/>
      <c r="H1624" s="1846"/>
      <c r="I1624" s="4165"/>
      <c r="J1624" s="4165"/>
      <c r="K1624" s="1252"/>
      <c r="L1624" s="4165"/>
      <c r="M1624" s="1396">
        <v>3</v>
      </c>
      <c r="N1624" s="2618" t="s">
        <v>6658</v>
      </c>
      <c r="O1624" s="4138">
        <v>0.1</v>
      </c>
      <c r="P1624" s="4139">
        <f>K1622*O1624</f>
        <v>22000</v>
      </c>
      <c r="Q1624" s="4152">
        <v>22000</v>
      </c>
      <c r="R1624" s="4150" t="s">
        <v>349</v>
      </c>
      <c r="S1624" s="4151">
        <v>46386</v>
      </c>
      <c r="T1624" s="4139"/>
      <c r="U1624" s="4148"/>
      <c r="V1624" s="4139"/>
      <c r="W1624" s="4148"/>
      <c r="X1624" s="4139"/>
      <c r="Y1624" s="4148"/>
      <c r="Z1624" s="4055"/>
      <c r="AA1624" s="4055"/>
      <c r="AB1624" s="4055"/>
      <c r="AC1624" s="4055"/>
      <c r="AD1624" s="4055"/>
      <c r="AE1624" s="4055"/>
      <c r="AF1624" s="4055"/>
      <c r="AG1624" s="4055"/>
      <c r="AH1624" s="4055"/>
      <c r="AI1624" s="4055"/>
    </row>
    <row r="1625" s="32" customFormat="1" ht="33" customHeight="1" spans="1:35">
      <c r="A1625" s="4116" t="s">
        <v>2570</v>
      </c>
      <c r="B1625" s="4166">
        <v>44918</v>
      </c>
      <c r="C1625" s="2054" t="s">
        <v>6601</v>
      </c>
      <c r="D1625" s="2052" t="s">
        <v>4370</v>
      </c>
      <c r="E1625" s="2052" t="s">
        <v>6660</v>
      </c>
      <c r="F1625" s="2052" t="s">
        <v>6661</v>
      </c>
      <c r="G1625" s="2052" t="s">
        <v>4761</v>
      </c>
      <c r="H1625" s="2052" t="s">
        <v>6057</v>
      </c>
      <c r="I1625" s="2052"/>
      <c r="J1625" s="2052" t="s">
        <v>997</v>
      </c>
      <c r="K1625" s="2052">
        <v>250000</v>
      </c>
      <c r="L1625" s="2052" t="s">
        <v>126</v>
      </c>
      <c r="M1625" s="1396">
        <v>1</v>
      </c>
      <c r="N1625" s="2618" t="s">
        <v>6662</v>
      </c>
      <c r="O1625" s="4138">
        <v>0.2</v>
      </c>
      <c r="P1625" s="4139">
        <f>O1625*K1625</f>
        <v>50000</v>
      </c>
      <c r="Q1625" s="4139">
        <v>50000</v>
      </c>
      <c r="R1625" s="1252" t="s">
        <v>4603</v>
      </c>
      <c r="S1625" s="4148">
        <v>44923</v>
      </c>
      <c r="T1625" s="4139">
        <v>50000</v>
      </c>
      <c r="U1625" s="4148">
        <v>44923</v>
      </c>
      <c r="V1625" s="4139">
        <v>50000</v>
      </c>
      <c r="W1625" s="4148">
        <v>44932</v>
      </c>
      <c r="X1625" s="4139">
        <v>50000</v>
      </c>
      <c r="Y1625" s="4148">
        <v>44944</v>
      </c>
      <c r="Z1625" s="4055"/>
      <c r="AA1625" s="4055"/>
      <c r="AB1625" s="4055"/>
      <c r="AC1625" s="4055"/>
      <c r="AD1625" s="4055"/>
      <c r="AE1625" s="4055"/>
      <c r="AF1625" s="4055"/>
      <c r="AG1625" s="4055"/>
      <c r="AH1625" s="4055"/>
      <c r="AI1625" s="4055"/>
    </row>
    <row r="1626" s="32" customFormat="1" ht="33" customHeight="1" spans="1:35">
      <c r="A1626" s="4116"/>
      <c r="B1626" s="4166"/>
      <c r="C1626" s="2054"/>
      <c r="D1626" s="2052"/>
      <c r="E1626" s="2052"/>
      <c r="F1626" s="2052"/>
      <c r="G1626" s="2052"/>
      <c r="H1626" s="2052"/>
      <c r="I1626" s="2052"/>
      <c r="J1626" s="2052"/>
      <c r="K1626" s="2052"/>
      <c r="L1626" s="2052"/>
      <c r="M1626" s="1396">
        <v>2</v>
      </c>
      <c r="N1626" s="2618" t="s">
        <v>6663</v>
      </c>
      <c r="O1626" s="4138">
        <v>0.3</v>
      </c>
      <c r="P1626" s="4139">
        <f>K1625*O1626</f>
        <v>75000</v>
      </c>
      <c r="Q1626" s="4139">
        <v>75000</v>
      </c>
      <c r="R1626" s="1252" t="s">
        <v>4603</v>
      </c>
      <c r="S1626" s="4148">
        <v>44923</v>
      </c>
      <c r="T1626" s="4139">
        <v>75000</v>
      </c>
      <c r="U1626" s="4148">
        <v>44923</v>
      </c>
      <c r="V1626" s="4139">
        <v>75000</v>
      </c>
      <c r="W1626" s="4148">
        <v>44932</v>
      </c>
      <c r="X1626" s="4139">
        <v>75000</v>
      </c>
      <c r="Y1626" s="4148">
        <v>44944</v>
      </c>
      <c r="Z1626" s="4055"/>
      <c r="AA1626" s="4055"/>
      <c r="AB1626" s="4055"/>
      <c r="AC1626" s="4055"/>
      <c r="AD1626" s="4055"/>
      <c r="AE1626" s="4055"/>
      <c r="AF1626" s="4055"/>
      <c r="AG1626" s="4055"/>
      <c r="AH1626" s="4055"/>
      <c r="AI1626" s="4055"/>
    </row>
    <row r="1627" s="32" customFormat="1" ht="33" customHeight="1" spans="1:35">
      <c r="A1627" s="4116"/>
      <c r="B1627" s="4166"/>
      <c r="C1627" s="2054"/>
      <c r="D1627" s="2052"/>
      <c r="E1627" s="2052"/>
      <c r="F1627" s="2052"/>
      <c r="G1627" s="2052"/>
      <c r="H1627" s="2052"/>
      <c r="I1627" s="2052"/>
      <c r="J1627" s="2052"/>
      <c r="K1627" s="2052"/>
      <c r="L1627" s="2052"/>
      <c r="M1627" s="1280">
        <v>3</v>
      </c>
      <c r="N1627" s="705" t="s">
        <v>6664</v>
      </c>
      <c r="O1627" s="4138">
        <v>0.3</v>
      </c>
      <c r="P1627" s="4139">
        <f>K1625*O1627</f>
        <v>75000</v>
      </c>
      <c r="Q1627" s="4139">
        <v>75000</v>
      </c>
      <c r="R1627" s="1252" t="s">
        <v>4603</v>
      </c>
      <c r="S1627" s="4148">
        <v>44923</v>
      </c>
      <c r="T1627" s="4139">
        <v>75000</v>
      </c>
      <c r="U1627" s="4148">
        <v>44923</v>
      </c>
      <c r="V1627" s="4139">
        <v>75000</v>
      </c>
      <c r="W1627" s="4148">
        <v>44932</v>
      </c>
      <c r="X1627" s="4139">
        <v>75000</v>
      </c>
      <c r="Y1627" s="4148">
        <v>44944</v>
      </c>
      <c r="Z1627" s="4055"/>
      <c r="AA1627" s="4055"/>
      <c r="AB1627" s="4055"/>
      <c r="AC1627" s="4055"/>
      <c r="AD1627" s="4055"/>
      <c r="AE1627" s="4055"/>
      <c r="AF1627" s="4055"/>
      <c r="AG1627" s="4055"/>
      <c r="AH1627" s="4055"/>
      <c r="AI1627" s="4055"/>
    </row>
    <row r="1628" s="32" customFormat="1" ht="33" customHeight="1" spans="1:35">
      <c r="A1628" s="4116"/>
      <c r="B1628" s="4166"/>
      <c r="C1628" s="2054"/>
      <c r="D1628" s="2052"/>
      <c r="E1628" s="2052"/>
      <c r="F1628" s="2052"/>
      <c r="G1628" s="2052"/>
      <c r="H1628" s="2052"/>
      <c r="I1628" s="2052"/>
      <c r="J1628" s="2052"/>
      <c r="K1628" s="2052"/>
      <c r="L1628" s="2052"/>
      <c r="M1628" s="1846"/>
      <c r="N1628" s="3541"/>
      <c r="O1628" s="4138">
        <v>0.1</v>
      </c>
      <c r="P1628" s="4139">
        <f>O1628*K1625</f>
        <v>25000</v>
      </c>
      <c r="Q1628" s="4139">
        <v>25000</v>
      </c>
      <c r="R1628" s="1252" t="s">
        <v>4603</v>
      </c>
      <c r="S1628" s="4148">
        <v>44923</v>
      </c>
      <c r="T1628" s="4139">
        <v>25000</v>
      </c>
      <c r="U1628" s="4148">
        <v>44923</v>
      </c>
      <c r="V1628" s="4139">
        <v>25000</v>
      </c>
      <c r="W1628" s="4148">
        <v>45295</v>
      </c>
      <c r="X1628" s="4139">
        <v>25000</v>
      </c>
      <c r="Y1628" s="4148">
        <v>45303</v>
      </c>
      <c r="Z1628" s="4055"/>
      <c r="AA1628" s="4055"/>
      <c r="AB1628" s="4055"/>
      <c r="AC1628" s="4055"/>
      <c r="AD1628" s="4055"/>
      <c r="AE1628" s="4055"/>
      <c r="AF1628" s="4055"/>
      <c r="AG1628" s="4055"/>
      <c r="AH1628" s="4055"/>
      <c r="AI1628" s="4055"/>
    </row>
    <row r="1629" s="32" customFormat="1" ht="33" customHeight="1" spans="1:35">
      <c r="A1629" s="4165"/>
      <c r="B1629" s="4167"/>
      <c r="C1629" s="2056"/>
      <c r="D1629" s="1846"/>
      <c r="E1629" s="1846"/>
      <c r="F1629" s="1846"/>
      <c r="G1629" s="1846"/>
      <c r="H1629" s="1846"/>
      <c r="I1629" s="1846"/>
      <c r="J1629" s="1846"/>
      <c r="K1629" s="1846"/>
      <c r="L1629" s="1846"/>
      <c r="M1629" s="1396">
        <v>4</v>
      </c>
      <c r="N1629" s="2618" t="s">
        <v>6665</v>
      </c>
      <c r="O1629" s="4138">
        <v>0.1</v>
      </c>
      <c r="P1629" s="4139">
        <f>K1625*O1629</f>
        <v>25000</v>
      </c>
      <c r="Q1629" s="4152">
        <v>25000</v>
      </c>
      <c r="R1629" s="4150" t="s">
        <v>349</v>
      </c>
      <c r="S1629" s="4151">
        <v>46386</v>
      </c>
      <c r="T1629" s="4139"/>
      <c r="U1629" s="4148"/>
      <c r="V1629" s="4139"/>
      <c r="W1629" s="4148"/>
      <c r="X1629" s="4139"/>
      <c r="Y1629" s="4148"/>
      <c r="Z1629" s="4055"/>
      <c r="AA1629" s="4055"/>
      <c r="AB1629" s="4055"/>
      <c r="AC1629" s="4055"/>
      <c r="AD1629" s="4055"/>
      <c r="AE1629" s="4055"/>
      <c r="AF1629" s="4055"/>
      <c r="AG1629" s="4055"/>
      <c r="AH1629" s="4055"/>
      <c r="AI1629" s="4055"/>
    </row>
    <row r="1630" s="32" customFormat="1" ht="33" customHeight="1" spans="1:35">
      <c r="A1630" s="4116" t="s">
        <v>2570</v>
      </c>
      <c r="B1630" s="4121">
        <v>44921</v>
      </c>
      <c r="C1630" s="2054" t="s">
        <v>6601</v>
      </c>
      <c r="D1630" s="2052" t="s">
        <v>4370</v>
      </c>
      <c r="E1630" s="2052" t="s">
        <v>6666</v>
      </c>
      <c r="F1630" s="2052" t="s">
        <v>6667</v>
      </c>
      <c r="G1630" s="2052" t="s">
        <v>3469</v>
      </c>
      <c r="H1630" s="2052" t="s">
        <v>6117</v>
      </c>
      <c r="I1630" s="4116"/>
      <c r="J1630" s="4116" t="s">
        <v>997</v>
      </c>
      <c r="K1630" s="4116">
        <v>271400</v>
      </c>
      <c r="L1630" s="4116" t="s">
        <v>126</v>
      </c>
      <c r="M1630" s="1396">
        <v>1</v>
      </c>
      <c r="N1630" s="2618" t="s">
        <v>6668</v>
      </c>
      <c r="O1630" s="4138">
        <v>0.15</v>
      </c>
      <c r="P1630" s="4139">
        <f>K1630*O1630</f>
        <v>40710</v>
      </c>
      <c r="Q1630" s="4139">
        <v>40710</v>
      </c>
      <c r="R1630" s="1252" t="s">
        <v>4603</v>
      </c>
      <c r="S1630" s="4148">
        <v>44923</v>
      </c>
      <c r="T1630" s="4139">
        <v>40710</v>
      </c>
      <c r="U1630" s="4148">
        <v>44923</v>
      </c>
      <c r="V1630" s="4139">
        <v>40710</v>
      </c>
      <c r="W1630" s="4148">
        <v>44932</v>
      </c>
      <c r="X1630" s="4139">
        <v>40710</v>
      </c>
      <c r="Y1630" s="4148">
        <v>44939</v>
      </c>
      <c r="Z1630" s="4055"/>
      <c r="AA1630" s="4055"/>
      <c r="AB1630" s="4055"/>
      <c r="AC1630" s="4055"/>
      <c r="AD1630" s="4055"/>
      <c r="AE1630" s="4055"/>
      <c r="AF1630" s="4055"/>
      <c r="AG1630" s="4055"/>
      <c r="AH1630" s="4055"/>
      <c r="AI1630" s="4055"/>
    </row>
    <row r="1631" s="32" customFormat="1" ht="33" customHeight="1" spans="1:35">
      <c r="A1631" s="4116"/>
      <c r="B1631" s="4121"/>
      <c r="C1631" s="2054"/>
      <c r="D1631" s="2052"/>
      <c r="E1631" s="2052"/>
      <c r="F1631" s="2052"/>
      <c r="G1631" s="2052"/>
      <c r="H1631" s="2052"/>
      <c r="I1631" s="4116"/>
      <c r="J1631" s="4116"/>
      <c r="K1631" s="4116"/>
      <c r="L1631" s="4116"/>
      <c r="M1631" s="1396">
        <v>2</v>
      </c>
      <c r="N1631" s="2618" t="s">
        <v>6669</v>
      </c>
      <c r="O1631" s="4138">
        <v>0.65</v>
      </c>
      <c r="P1631" s="4139">
        <f>K1630*O1631</f>
        <v>176410</v>
      </c>
      <c r="Q1631" s="4139">
        <v>176410</v>
      </c>
      <c r="R1631" s="1252" t="s">
        <v>4603</v>
      </c>
      <c r="S1631" s="4148">
        <v>44923</v>
      </c>
      <c r="T1631" s="4139">
        <v>176410</v>
      </c>
      <c r="U1631" s="4148">
        <v>44923</v>
      </c>
      <c r="V1631" s="4139">
        <v>176410</v>
      </c>
      <c r="W1631" s="4148">
        <v>45296</v>
      </c>
      <c r="X1631" s="4139">
        <v>176410</v>
      </c>
      <c r="Y1631" s="4148">
        <v>45310</v>
      </c>
      <c r="Z1631" s="4055"/>
      <c r="AA1631" s="4055"/>
      <c r="AB1631" s="4055"/>
      <c r="AC1631" s="4055"/>
      <c r="AD1631" s="4055"/>
      <c r="AE1631" s="4055"/>
      <c r="AF1631" s="4055"/>
      <c r="AG1631" s="4055"/>
      <c r="AH1631" s="4055"/>
      <c r="AI1631" s="4055"/>
    </row>
    <row r="1632" s="32" customFormat="1" ht="33" customHeight="1" spans="1:35">
      <c r="A1632" s="4165"/>
      <c r="B1632" s="4123"/>
      <c r="C1632" s="2056"/>
      <c r="D1632" s="1846"/>
      <c r="E1632" s="1846"/>
      <c r="F1632" s="1846"/>
      <c r="G1632" s="1846"/>
      <c r="H1632" s="1846"/>
      <c r="I1632" s="4165"/>
      <c r="J1632" s="4165"/>
      <c r="K1632" s="4165"/>
      <c r="L1632" s="4165"/>
      <c r="M1632" s="1396">
        <v>3</v>
      </c>
      <c r="N1632" s="2618" t="s">
        <v>6670</v>
      </c>
      <c r="O1632" s="4138">
        <v>0.2</v>
      </c>
      <c r="P1632" s="4139">
        <f>K1630*O1632</f>
        <v>54280</v>
      </c>
      <c r="Q1632" s="4152">
        <v>54280</v>
      </c>
      <c r="R1632" s="4150" t="s">
        <v>349</v>
      </c>
      <c r="S1632" s="4151">
        <v>46386</v>
      </c>
      <c r="T1632" s="4139"/>
      <c r="U1632" s="4148"/>
      <c r="V1632" s="4139"/>
      <c r="W1632" s="4148"/>
      <c r="X1632" s="4139"/>
      <c r="Y1632" s="4148"/>
      <c r="Z1632" s="4055"/>
      <c r="AA1632" s="4055"/>
      <c r="AB1632" s="4055"/>
      <c r="AC1632" s="4055"/>
      <c r="AD1632" s="4055"/>
      <c r="AE1632" s="4055"/>
      <c r="AF1632" s="4055"/>
      <c r="AG1632" s="4055"/>
      <c r="AH1632" s="4055"/>
      <c r="AI1632" s="4055"/>
    </row>
    <row r="1633" s="32" customFormat="1" ht="33" customHeight="1" spans="1:35">
      <c r="A1633" s="4116" t="s">
        <v>2570</v>
      </c>
      <c r="B1633" s="4122">
        <v>44973</v>
      </c>
      <c r="C1633" s="1254" t="s">
        <v>6601</v>
      </c>
      <c r="D1633" s="1280" t="s">
        <v>4370</v>
      </c>
      <c r="E1633" s="1396" t="s">
        <v>6671</v>
      </c>
      <c r="F1633" s="1396" t="s">
        <v>6672</v>
      </c>
      <c r="G1633" s="1396" t="s">
        <v>813</v>
      </c>
      <c r="H1633" s="1396" t="s">
        <v>5562</v>
      </c>
      <c r="I1633" s="1252"/>
      <c r="J1633" s="1252" t="s">
        <v>997</v>
      </c>
      <c r="K1633" s="1252">
        <v>140693.5</v>
      </c>
      <c r="L1633" s="1299" t="s">
        <v>35</v>
      </c>
      <c r="M1633" s="1396">
        <v>1</v>
      </c>
      <c r="N1633" s="185" t="s">
        <v>6673</v>
      </c>
      <c r="O1633" s="4138">
        <v>0.15</v>
      </c>
      <c r="P1633" s="4139">
        <f>K1633*O1633</f>
        <v>21104.025</v>
      </c>
      <c r="Q1633" s="4139">
        <v>21104.025</v>
      </c>
      <c r="R1633" s="1252" t="s">
        <v>4603</v>
      </c>
      <c r="S1633" s="4148">
        <v>45026</v>
      </c>
      <c r="T1633" s="4139">
        <v>21104.025</v>
      </c>
      <c r="U1633" s="4148">
        <v>45026</v>
      </c>
      <c r="V1633" s="4139">
        <v>21104.025</v>
      </c>
      <c r="W1633" s="4148">
        <v>45036</v>
      </c>
      <c r="X1633" s="4139">
        <v>21104.03</v>
      </c>
      <c r="Y1633" s="4148">
        <v>45041</v>
      </c>
      <c r="Z1633" s="4055"/>
      <c r="AA1633" s="4055"/>
      <c r="AB1633" s="4055"/>
      <c r="AC1633" s="4055"/>
      <c r="AD1633" s="4055"/>
      <c r="AE1633" s="4055"/>
      <c r="AF1633" s="4055"/>
      <c r="AG1633" s="4055"/>
      <c r="AH1633" s="4055"/>
      <c r="AI1633" s="4055"/>
    </row>
    <row r="1634" s="32" customFormat="1" ht="33" customHeight="1" spans="1:35">
      <c r="A1634" s="4116"/>
      <c r="B1634" s="4121"/>
      <c r="C1634" s="2054"/>
      <c r="D1634" s="2052"/>
      <c r="E1634" s="1396"/>
      <c r="F1634" s="1396"/>
      <c r="G1634" s="1396"/>
      <c r="H1634" s="1396"/>
      <c r="I1634" s="1252"/>
      <c r="J1634" s="1252"/>
      <c r="K1634" s="1252"/>
      <c r="L1634" s="4116"/>
      <c r="M1634" s="1396">
        <v>2</v>
      </c>
      <c r="N1634" s="185" t="s">
        <v>5802</v>
      </c>
      <c r="O1634" s="4168">
        <v>0.25</v>
      </c>
      <c r="P1634" s="4139">
        <f t="shared" ref="P1634:P1639" si="47">$K$1633*O1634</f>
        <v>35173.375</v>
      </c>
      <c r="Q1634" s="4139">
        <v>35173.375</v>
      </c>
      <c r="R1634" s="1252" t="s">
        <v>4603</v>
      </c>
      <c r="S1634" s="4148">
        <v>45026</v>
      </c>
      <c r="T1634" s="4139">
        <v>35173.375</v>
      </c>
      <c r="U1634" s="4148">
        <v>45026</v>
      </c>
      <c r="V1634" s="4139">
        <v>35173.375</v>
      </c>
      <c r="W1634" s="4148">
        <v>45036</v>
      </c>
      <c r="X1634" s="4139">
        <v>35173.38</v>
      </c>
      <c r="Y1634" s="4148">
        <v>45041</v>
      </c>
      <c r="Z1634" s="4055"/>
      <c r="AA1634" s="4055"/>
      <c r="AB1634" s="4055"/>
      <c r="AC1634" s="4055"/>
      <c r="AD1634" s="4055"/>
      <c r="AE1634" s="4055"/>
      <c r="AF1634" s="4055"/>
      <c r="AG1634" s="4055"/>
      <c r="AH1634" s="4055"/>
      <c r="AI1634" s="4055"/>
    </row>
    <row r="1635" s="32" customFormat="1" ht="33" customHeight="1" spans="1:35">
      <c r="A1635" s="4116"/>
      <c r="B1635" s="4121"/>
      <c r="C1635" s="2054"/>
      <c r="D1635" s="2052"/>
      <c r="E1635" s="1396"/>
      <c r="F1635" s="1396"/>
      <c r="G1635" s="1396"/>
      <c r="H1635" s="1396"/>
      <c r="I1635" s="1252"/>
      <c r="J1635" s="1252"/>
      <c r="K1635" s="1252"/>
      <c r="L1635" s="4116"/>
      <c r="M1635" s="1396">
        <v>3</v>
      </c>
      <c r="N1635" s="185" t="s">
        <v>5803</v>
      </c>
      <c r="O1635" s="4138">
        <v>0.1</v>
      </c>
      <c r="P1635" s="4139">
        <f t="shared" si="47"/>
        <v>14069.35</v>
      </c>
      <c r="Q1635" s="4139">
        <v>14069.35</v>
      </c>
      <c r="R1635" s="1252" t="s">
        <v>4603</v>
      </c>
      <c r="S1635" s="4148">
        <v>45026</v>
      </c>
      <c r="T1635" s="4139">
        <v>14069.35</v>
      </c>
      <c r="U1635" s="4148">
        <v>45026</v>
      </c>
      <c r="V1635" s="4139">
        <v>14069.33</v>
      </c>
      <c r="W1635" s="4148">
        <v>45036</v>
      </c>
      <c r="X1635" s="4139">
        <v>14069.33</v>
      </c>
      <c r="Y1635" s="4148">
        <v>45041</v>
      </c>
      <c r="Z1635" s="4055"/>
      <c r="AA1635" s="4055"/>
      <c r="AB1635" s="4055"/>
      <c r="AC1635" s="4055"/>
      <c r="AD1635" s="4055"/>
      <c r="AE1635" s="4055"/>
      <c r="AF1635" s="4055"/>
      <c r="AG1635" s="4055"/>
      <c r="AH1635" s="4055"/>
      <c r="AI1635" s="4055"/>
    </row>
    <row r="1636" s="32" customFormat="1" ht="33" customHeight="1" spans="1:35">
      <c r="A1636" s="4116"/>
      <c r="B1636" s="4121"/>
      <c r="C1636" s="2054"/>
      <c r="D1636" s="2052"/>
      <c r="E1636" s="1396"/>
      <c r="F1636" s="1396"/>
      <c r="G1636" s="1396"/>
      <c r="H1636" s="1396"/>
      <c r="I1636" s="1252"/>
      <c r="J1636" s="1252"/>
      <c r="K1636" s="1252"/>
      <c r="L1636" s="4116"/>
      <c r="M1636" s="1396">
        <v>4</v>
      </c>
      <c r="N1636" s="185" t="s">
        <v>5804</v>
      </c>
      <c r="O1636" s="4138">
        <v>0.3</v>
      </c>
      <c r="P1636" s="4139">
        <f t="shared" si="47"/>
        <v>42208.05</v>
      </c>
      <c r="Q1636" s="4139">
        <v>42208.05</v>
      </c>
      <c r="R1636" s="1252" t="s">
        <v>4603</v>
      </c>
      <c r="S1636" s="4148">
        <v>45257</v>
      </c>
      <c r="T1636" s="4139">
        <v>42208.05</v>
      </c>
      <c r="U1636" s="4148">
        <v>45257</v>
      </c>
      <c r="V1636" s="4139">
        <v>42208.05</v>
      </c>
      <c r="W1636" s="4148">
        <v>45296</v>
      </c>
      <c r="X1636" s="4139">
        <v>42208.05</v>
      </c>
      <c r="Y1636" s="4148">
        <v>45378</v>
      </c>
      <c r="Z1636" s="4055"/>
      <c r="AA1636" s="4055"/>
      <c r="AB1636" s="4055"/>
      <c r="AC1636" s="4055"/>
      <c r="AD1636" s="4055"/>
      <c r="AE1636" s="4055"/>
      <c r="AF1636" s="4055"/>
      <c r="AG1636" s="4055"/>
      <c r="AH1636" s="4055"/>
      <c r="AI1636" s="4055"/>
    </row>
    <row r="1637" s="32" customFormat="1" ht="33" customHeight="1" spans="1:35">
      <c r="A1637" s="4116"/>
      <c r="B1637" s="4121"/>
      <c r="C1637" s="2054"/>
      <c r="D1637" s="2052"/>
      <c r="E1637" s="1396"/>
      <c r="F1637" s="1396"/>
      <c r="G1637" s="1396"/>
      <c r="H1637" s="1396"/>
      <c r="I1637" s="1252"/>
      <c r="J1637" s="1252"/>
      <c r="K1637" s="1252"/>
      <c r="L1637" s="4116"/>
      <c r="M1637" s="1396">
        <v>5</v>
      </c>
      <c r="N1637" s="185" t="s">
        <v>6674</v>
      </c>
      <c r="O1637" s="4138">
        <v>0.05</v>
      </c>
      <c r="P1637" s="4139">
        <f t="shared" si="47"/>
        <v>7034.675</v>
      </c>
      <c r="Q1637" s="4139">
        <v>7034.68</v>
      </c>
      <c r="R1637" s="1252" t="s">
        <v>4603</v>
      </c>
      <c r="S1637" s="4148">
        <v>45257</v>
      </c>
      <c r="T1637" s="4139">
        <v>7034.68</v>
      </c>
      <c r="U1637" s="4148">
        <v>45257</v>
      </c>
      <c r="V1637" s="4139">
        <v>7034.68</v>
      </c>
      <c r="W1637" s="4148">
        <v>45296</v>
      </c>
      <c r="X1637" s="4139">
        <v>7034.68</v>
      </c>
      <c r="Y1637" s="4148">
        <v>45378</v>
      </c>
      <c r="Z1637" s="4055"/>
      <c r="AA1637" s="4055"/>
      <c r="AB1637" s="4055"/>
      <c r="AC1637" s="4055"/>
      <c r="AD1637" s="4055"/>
      <c r="AE1637" s="4055"/>
      <c r="AF1637" s="4055"/>
      <c r="AG1637" s="4055"/>
      <c r="AH1637" s="4055"/>
      <c r="AI1637" s="4055"/>
    </row>
    <row r="1638" s="32" customFormat="1" ht="33" customHeight="1" spans="1:35">
      <c r="A1638" s="4116"/>
      <c r="B1638" s="4121"/>
      <c r="C1638" s="2054"/>
      <c r="D1638" s="2052"/>
      <c r="E1638" s="1396"/>
      <c r="F1638" s="1396"/>
      <c r="G1638" s="1396"/>
      <c r="H1638" s="1396"/>
      <c r="I1638" s="1252"/>
      <c r="J1638" s="1252"/>
      <c r="K1638" s="1252"/>
      <c r="L1638" s="4116"/>
      <c r="M1638" s="1396">
        <v>6</v>
      </c>
      <c r="N1638" s="185" t="s">
        <v>6675</v>
      </c>
      <c r="O1638" s="4138">
        <v>0.05</v>
      </c>
      <c r="P1638" s="4139">
        <f t="shared" si="47"/>
        <v>7034.675</v>
      </c>
      <c r="Q1638" s="4152">
        <v>7034.675</v>
      </c>
      <c r="R1638" s="4150" t="s">
        <v>5015</v>
      </c>
      <c r="S1638" s="4151">
        <v>46386</v>
      </c>
      <c r="T1638" s="4139"/>
      <c r="U1638" s="4148"/>
      <c r="V1638" s="4139"/>
      <c r="W1638" s="4148"/>
      <c r="X1638" s="4139"/>
      <c r="Y1638" s="4148"/>
      <c r="Z1638" s="4055"/>
      <c r="AA1638" s="4055"/>
      <c r="AB1638" s="4055"/>
      <c r="AC1638" s="4055"/>
      <c r="AD1638" s="4055"/>
      <c r="AE1638" s="4055"/>
      <c r="AF1638" s="4055"/>
      <c r="AG1638" s="4055"/>
      <c r="AH1638" s="4055"/>
      <c r="AI1638" s="4055"/>
    </row>
    <row r="1639" s="32" customFormat="1" ht="33" customHeight="1" spans="1:35">
      <c r="A1639" s="4116"/>
      <c r="B1639" s="4121"/>
      <c r="C1639" s="2054"/>
      <c r="D1639" s="2052"/>
      <c r="E1639" s="1396"/>
      <c r="F1639" s="1396"/>
      <c r="G1639" s="1396"/>
      <c r="H1639" s="1396"/>
      <c r="I1639" s="1252"/>
      <c r="J1639" s="1252"/>
      <c r="K1639" s="1252"/>
      <c r="L1639" s="4116"/>
      <c r="M1639" s="1396">
        <v>7</v>
      </c>
      <c r="N1639" s="185" t="s">
        <v>3356</v>
      </c>
      <c r="O1639" s="4138">
        <v>0.1</v>
      </c>
      <c r="P1639" s="4139">
        <f t="shared" si="47"/>
        <v>14069.35</v>
      </c>
      <c r="Q1639" s="4152">
        <v>14069.35</v>
      </c>
      <c r="R1639" s="4150" t="s">
        <v>5015</v>
      </c>
      <c r="S1639" s="4151">
        <v>46386</v>
      </c>
      <c r="T1639" s="4139"/>
      <c r="U1639" s="4148"/>
      <c r="V1639" s="4139"/>
      <c r="W1639" s="4148"/>
      <c r="X1639" s="4139"/>
      <c r="Y1639" s="4148"/>
      <c r="Z1639" s="4055"/>
      <c r="AA1639" s="4055"/>
      <c r="AB1639" s="4055"/>
      <c r="AC1639" s="4055"/>
      <c r="AD1639" s="4055"/>
      <c r="AE1639" s="4055"/>
      <c r="AF1639" s="4055"/>
      <c r="AG1639" s="4055"/>
      <c r="AH1639" s="4055"/>
      <c r="AI1639" s="4055"/>
    </row>
    <row r="1640" s="32" customFormat="1" ht="33" customHeight="1" spans="1:35">
      <c r="A1640" s="4116"/>
      <c r="B1640" s="4121"/>
      <c r="C1640" s="2054"/>
      <c r="D1640" s="2052"/>
      <c r="E1640" s="1396"/>
      <c r="F1640" s="1396"/>
      <c r="G1640" s="1396"/>
      <c r="H1640" s="1396"/>
      <c r="I1640" s="4116"/>
      <c r="J1640" s="4116" t="s">
        <v>997</v>
      </c>
      <c r="K1640" s="4116">
        <v>280092.7</v>
      </c>
      <c r="L1640" s="4116"/>
      <c r="M1640" s="1396">
        <v>1</v>
      </c>
      <c r="N1640" s="185" t="s">
        <v>6673</v>
      </c>
      <c r="O1640" s="4138">
        <v>0.15</v>
      </c>
      <c r="P1640" s="4139">
        <f t="shared" ref="P1640:P1646" si="48">$K$1640*O1640</f>
        <v>42013.905</v>
      </c>
      <c r="Q1640" s="4139">
        <v>42013.9</v>
      </c>
      <c r="R1640" s="1252" t="s">
        <v>4603</v>
      </c>
      <c r="S1640" s="4148">
        <v>45026</v>
      </c>
      <c r="T1640" s="4139">
        <v>42013.9</v>
      </c>
      <c r="U1640" s="4148">
        <v>45026</v>
      </c>
      <c r="V1640" s="4139">
        <v>42013.9</v>
      </c>
      <c r="W1640" s="4148">
        <v>45036</v>
      </c>
      <c r="X1640" s="4139">
        <v>42013.9</v>
      </c>
      <c r="Y1640" s="4148">
        <v>45041</v>
      </c>
      <c r="Z1640" s="4055"/>
      <c r="AA1640" s="4055"/>
      <c r="AB1640" s="4055"/>
      <c r="AC1640" s="4055"/>
      <c r="AD1640" s="4055"/>
      <c r="AE1640" s="4055"/>
      <c r="AF1640" s="4055"/>
      <c r="AG1640" s="4055"/>
      <c r="AH1640" s="4055"/>
      <c r="AI1640" s="4055"/>
    </row>
    <row r="1641" s="32" customFormat="1" ht="33" customHeight="1" spans="1:35">
      <c r="A1641" s="4116"/>
      <c r="B1641" s="4121"/>
      <c r="C1641" s="2054"/>
      <c r="D1641" s="2052"/>
      <c r="E1641" s="1396"/>
      <c r="F1641" s="1396"/>
      <c r="G1641" s="1396"/>
      <c r="H1641" s="1396"/>
      <c r="I1641" s="4116"/>
      <c r="J1641" s="4116"/>
      <c r="K1641" s="4116"/>
      <c r="L1641" s="4116"/>
      <c r="M1641" s="1396">
        <v>2</v>
      </c>
      <c r="N1641" s="185" t="s">
        <v>6676</v>
      </c>
      <c r="O1641" s="4138">
        <v>0.25</v>
      </c>
      <c r="P1641" s="4139">
        <f t="shared" si="48"/>
        <v>70023.175</v>
      </c>
      <c r="Q1641" s="4139">
        <v>70023.18</v>
      </c>
      <c r="R1641" s="1252" t="s">
        <v>4603</v>
      </c>
      <c r="S1641" s="4148">
        <v>45026</v>
      </c>
      <c r="T1641" s="4139">
        <v>70023.18</v>
      </c>
      <c r="U1641" s="4148">
        <v>45026</v>
      </c>
      <c r="V1641" s="4139">
        <v>70023.18</v>
      </c>
      <c r="W1641" s="4148">
        <v>45036</v>
      </c>
      <c r="X1641" s="4139">
        <v>70023.18</v>
      </c>
      <c r="Y1641" s="4148">
        <v>45041</v>
      </c>
      <c r="Z1641" s="4055"/>
      <c r="AA1641" s="4055"/>
      <c r="AB1641" s="4055"/>
      <c r="AC1641" s="4055"/>
      <c r="AD1641" s="4055"/>
      <c r="AE1641" s="4055"/>
      <c r="AF1641" s="4055"/>
      <c r="AG1641" s="4055"/>
      <c r="AH1641" s="4055"/>
      <c r="AI1641" s="4055"/>
    </row>
    <row r="1642" s="32" customFormat="1" ht="33" customHeight="1" spans="1:35">
      <c r="A1642" s="4116"/>
      <c r="B1642" s="4121"/>
      <c r="C1642" s="2054"/>
      <c r="D1642" s="2052"/>
      <c r="E1642" s="1396"/>
      <c r="F1642" s="1396"/>
      <c r="G1642" s="1396"/>
      <c r="H1642" s="1396"/>
      <c r="I1642" s="4116"/>
      <c r="J1642" s="4116"/>
      <c r="K1642" s="4116"/>
      <c r="L1642" s="4116"/>
      <c r="M1642" s="1396">
        <v>3</v>
      </c>
      <c r="N1642" s="185" t="s">
        <v>6250</v>
      </c>
      <c r="O1642" s="4138">
        <v>0.1</v>
      </c>
      <c r="P1642" s="4139">
        <f t="shared" si="48"/>
        <v>28009.27</v>
      </c>
      <c r="Q1642" s="4139">
        <v>28009.27</v>
      </c>
      <c r="R1642" s="1252" t="s">
        <v>4603</v>
      </c>
      <c r="S1642" s="4148">
        <v>45026</v>
      </c>
      <c r="T1642" s="4139">
        <v>28009.27</v>
      </c>
      <c r="U1642" s="4148">
        <v>45026</v>
      </c>
      <c r="V1642" s="4139">
        <v>28009.27</v>
      </c>
      <c r="W1642" s="4148">
        <v>45036</v>
      </c>
      <c r="X1642" s="4139">
        <v>28009.27</v>
      </c>
      <c r="Y1642" s="4148">
        <v>45041</v>
      </c>
      <c r="Z1642" s="4055"/>
      <c r="AA1642" s="4055"/>
      <c r="AB1642" s="4055"/>
      <c r="AC1642" s="4055"/>
      <c r="AD1642" s="4055"/>
      <c r="AE1642" s="4055"/>
      <c r="AF1642" s="4055"/>
      <c r="AG1642" s="4055"/>
      <c r="AH1642" s="4055"/>
      <c r="AI1642" s="4055"/>
    </row>
    <row r="1643" s="32" customFormat="1" ht="33" customHeight="1" spans="1:35">
      <c r="A1643" s="4116"/>
      <c r="B1643" s="4121"/>
      <c r="C1643" s="2054"/>
      <c r="D1643" s="2052"/>
      <c r="E1643" s="1396"/>
      <c r="F1643" s="1396"/>
      <c r="G1643" s="1396"/>
      <c r="H1643" s="1396"/>
      <c r="I1643" s="4116"/>
      <c r="J1643" s="4116"/>
      <c r="K1643" s="4116"/>
      <c r="L1643" s="4116"/>
      <c r="M1643" s="1396">
        <v>4</v>
      </c>
      <c r="N1643" s="185" t="s">
        <v>5311</v>
      </c>
      <c r="O1643" s="4138">
        <v>0.3</v>
      </c>
      <c r="P1643" s="4139">
        <f t="shared" si="48"/>
        <v>84027.81</v>
      </c>
      <c r="Q1643" s="4139">
        <v>84027.81</v>
      </c>
      <c r="R1643" s="1252" t="s">
        <v>4603</v>
      </c>
      <c r="S1643" s="4148">
        <v>45257</v>
      </c>
      <c r="T1643" s="4139">
        <v>84027.81</v>
      </c>
      <c r="U1643" s="4148">
        <v>45257</v>
      </c>
      <c r="V1643" s="4139">
        <v>84027.81</v>
      </c>
      <c r="W1643" s="4148">
        <v>45296</v>
      </c>
      <c r="X1643" s="4139">
        <v>84027.81</v>
      </c>
      <c r="Y1643" s="4148">
        <v>45378</v>
      </c>
      <c r="Z1643" s="4055"/>
      <c r="AA1643" s="4055"/>
      <c r="AB1643" s="4055"/>
      <c r="AC1643" s="4055"/>
      <c r="AD1643" s="4055"/>
      <c r="AE1643" s="4055"/>
      <c r="AF1643" s="4055"/>
      <c r="AG1643" s="4055"/>
      <c r="AH1643" s="4055"/>
      <c r="AI1643" s="4055"/>
    </row>
    <row r="1644" s="32" customFormat="1" ht="33" customHeight="1" spans="1:35">
      <c r="A1644" s="4116"/>
      <c r="B1644" s="4121"/>
      <c r="C1644" s="2054"/>
      <c r="D1644" s="2052"/>
      <c r="E1644" s="1396"/>
      <c r="F1644" s="1396"/>
      <c r="G1644" s="1396"/>
      <c r="H1644" s="1396"/>
      <c r="I1644" s="4116"/>
      <c r="J1644" s="4116"/>
      <c r="K1644" s="4116"/>
      <c r="L1644" s="4116"/>
      <c r="M1644" s="1396">
        <v>5</v>
      </c>
      <c r="N1644" s="185" t="s">
        <v>6677</v>
      </c>
      <c r="O1644" s="4138">
        <v>0.05</v>
      </c>
      <c r="P1644" s="4139">
        <f t="shared" si="48"/>
        <v>14004.635</v>
      </c>
      <c r="Q1644" s="4139">
        <v>14004.64</v>
      </c>
      <c r="R1644" s="1252" t="s">
        <v>4603</v>
      </c>
      <c r="S1644" s="4148">
        <v>45257</v>
      </c>
      <c r="T1644" s="4139">
        <v>14004.64</v>
      </c>
      <c r="U1644" s="4148">
        <v>45257</v>
      </c>
      <c r="V1644" s="4139">
        <v>14004.64</v>
      </c>
      <c r="W1644" s="4148">
        <v>45296</v>
      </c>
      <c r="X1644" s="4139">
        <v>14004.64</v>
      </c>
      <c r="Y1644" s="4148">
        <v>45378</v>
      </c>
      <c r="Z1644" s="4055"/>
      <c r="AA1644" s="4055"/>
      <c r="AB1644" s="4055"/>
      <c r="AC1644" s="4055"/>
      <c r="AD1644" s="4055"/>
      <c r="AE1644" s="4055"/>
      <c r="AF1644" s="4055"/>
      <c r="AG1644" s="4055"/>
      <c r="AH1644" s="4055"/>
      <c r="AI1644" s="4055"/>
    </row>
    <row r="1645" s="32" customFormat="1" ht="33" customHeight="1" spans="1:35">
      <c r="A1645" s="4116"/>
      <c r="B1645" s="4121"/>
      <c r="C1645" s="2054"/>
      <c r="D1645" s="2052"/>
      <c r="E1645" s="1396"/>
      <c r="F1645" s="1396"/>
      <c r="G1645" s="1396"/>
      <c r="H1645" s="1396"/>
      <c r="I1645" s="4116"/>
      <c r="J1645" s="4116"/>
      <c r="K1645" s="4116"/>
      <c r="L1645" s="4116"/>
      <c r="M1645" s="1396">
        <v>6</v>
      </c>
      <c r="N1645" s="185" t="s">
        <v>6675</v>
      </c>
      <c r="O1645" s="4138">
        <v>0.05</v>
      </c>
      <c r="P1645" s="4139">
        <f t="shared" si="48"/>
        <v>14004.635</v>
      </c>
      <c r="Q1645" s="4152">
        <v>14004.635</v>
      </c>
      <c r="R1645" s="4150" t="s">
        <v>5015</v>
      </c>
      <c r="S1645" s="4151">
        <v>46386</v>
      </c>
      <c r="T1645" s="4139"/>
      <c r="U1645" s="4148"/>
      <c r="V1645" s="4139"/>
      <c r="W1645" s="4148"/>
      <c r="X1645" s="4139"/>
      <c r="Y1645" s="4148"/>
      <c r="Z1645" s="4055"/>
      <c r="AA1645" s="4055"/>
      <c r="AB1645" s="4055"/>
      <c r="AC1645" s="4055"/>
      <c r="AD1645" s="4055"/>
      <c r="AE1645" s="4055"/>
      <c r="AF1645" s="4055"/>
      <c r="AG1645" s="4055"/>
      <c r="AH1645" s="4055"/>
      <c r="AI1645" s="4055"/>
    </row>
    <row r="1646" s="32" customFormat="1" ht="33" customHeight="1" spans="1:35">
      <c r="A1646" s="4165"/>
      <c r="B1646" s="4123"/>
      <c r="C1646" s="2056"/>
      <c r="D1646" s="1846"/>
      <c r="E1646" s="1396"/>
      <c r="F1646" s="1396"/>
      <c r="G1646" s="1396"/>
      <c r="H1646" s="1396"/>
      <c r="I1646" s="4165"/>
      <c r="J1646" s="4165"/>
      <c r="K1646" s="4165"/>
      <c r="L1646" s="4165"/>
      <c r="M1646" s="1396">
        <v>7</v>
      </c>
      <c r="N1646" s="185" t="s">
        <v>3356</v>
      </c>
      <c r="O1646" s="4138">
        <v>0.1</v>
      </c>
      <c r="P1646" s="4139">
        <f t="shared" si="48"/>
        <v>28009.27</v>
      </c>
      <c r="Q1646" s="4152">
        <v>28009.27</v>
      </c>
      <c r="R1646" s="4150" t="s">
        <v>5015</v>
      </c>
      <c r="S1646" s="4151">
        <v>46386</v>
      </c>
      <c r="T1646" s="4139"/>
      <c r="U1646" s="4148"/>
      <c r="V1646" s="4139"/>
      <c r="W1646" s="4148"/>
      <c r="X1646" s="4139"/>
      <c r="Y1646" s="4148"/>
      <c r="Z1646" s="4055"/>
      <c r="AA1646" s="4055"/>
      <c r="AB1646" s="4055"/>
      <c r="AC1646" s="4055"/>
      <c r="AD1646" s="4055"/>
      <c r="AE1646" s="4055"/>
      <c r="AF1646" s="4055"/>
      <c r="AG1646" s="4055"/>
      <c r="AH1646" s="4055"/>
      <c r="AI1646" s="4055"/>
    </row>
    <row r="1647" s="32" customFormat="1" ht="33" customHeight="1" spans="1:35">
      <c r="A1647" s="4116" t="s">
        <v>2570</v>
      </c>
      <c r="B1647" s="4121">
        <v>44922</v>
      </c>
      <c r="C1647" s="2054" t="s">
        <v>6601</v>
      </c>
      <c r="D1647" s="2052" t="s">
        <v>4370</v>
      </c>
      <c r="E1647" s="2052" t="s">
        <v>6678</v>
      </c>
      <c r="F1647" s="2052" t="s">
        <v>6679</v>
      </c>
      <c r="G1647" s="2052" t="s">
        <v>3535</v>
      </c>
      <c r="H1647" s="2052" t="s">
        <v>6293</v>
      </c>
      <c r="I1647" s="2052"/>
      <c r="J1647" s="2052" t="s">
        <v>997</v>
      </c>
      <c r="K1647" s="4116">
        <v>719369.13</v>
      </c>
      <c r="L1647" s="4116" t="s">
        <v>126</v>
      </c>
      <c r="M1647" s="1396">
        <v>1</v>
      </c>
      <c r="N1647" s="2618" t="s">
        <v>6680</v>
      </c>
      <c r="O1647" s="4138">
        <v>0.2</v>
      </c>
      <c r="P1647" s="4139">
        <f>K1647*O1647</f>
        <v>143873.826</v>
      </c>
      <c r="Q1647" s="4139">
        <v>143873.826</v>
      </c>
      <c r="R1647" s="1252" t="s">
        <v>4603</v>
      </c>
      <c r="S1647" s="4148">
        <v>44923</v>
      </c>
      <c r="T1647" s="4139">
        <v>143873.826</v>
      </c>
      <c r="U1647" s="4148">
        <v>44923</v>
      </c>
      <c r="V1647" s="4139">
        <v>143873.826</v>
      </c>
      <c r="W1647" s="4148">
        <v>44932</v>
      </c>
      <c r="X1647" s="4139">
        <v>143873.826</v>
      </c>
      <c r="Y1647" s="4148">
        <v>44939</v>
      </c>
      <c r="Z1647" s="4055"/>
      <c r="AA1647" s="4055"/>
      <c r="AB1647" s="4055"/>
      <c r="AC1647" s="4055"/>
      <c r="AD1647" s="4055"/>
      <c r="AE1647" s="4055"/>
      <c r="AF1647" s="4055"/>
      <c r="AG1647" s="4055"/>
      <c r="AH1647" s="4055"/>
      <c r="AI1647" s="4055"/>
    </row>
    <row r="1648" s="32" customFormat="1" ht="33" customHeight="1" spans="1:35">
      <c r="A1648" s="4116"/>
      <c r="B1648" s="4121"/>
      <c r="C1648" s="2054"/>
      <c r="D1648" s="2052"/>
      <c r="E1648" s="2052"/>
      <c r="F1648" s="2052"/>
      <c r="G1648" s="2052"/>
      <c r="H1648" s="2052"/>
      <c r="I1648" s="2052"/>
      <c r="J1648" s="2052"/>
      <c r="K1648" s="4116"/>
      <c r="L1648" s="4116"/>
      <c r="M1648" s="1396">
        <v>2</v>
      </c>
      <c r="N1648" s="2618" t="s">
        <v>6681</v>
      </c>
      <c r="O1648" s="4138">
        <v>0.6</v>
      </c>
      <c r="P1648" s="4139">
        <f>K1647*O1648</f>
        <v>431621.478</v>
      </c>
      <c r="Q1648" s="4139">
        <v>431621.478</v>
      </c>
      <c r="R1648" s="1252" t="s">
        <v>4603</v>
      </c>
      <c r="S1648" s="4148">
        <v>45209</v>
      </c>
      <c r="T1648" s="4139">
        <v>431621.48</v>
      </c>
      <c r="U1648" s="4148">
        <v>45214</v>
      </c>
      <c r="V1648" s="4139">
        <v>431621.48</v>
      </c>
      <c r="W1648" s="4148">
        <v>45229</v>
      </c>
      <c r="X1648" s="4139">
        <v>431621.478</v>
      </c>
      <c r="Y1648" s="3064">
        <v>45273</v>
      </c>
      <c r="Z1648" s="4055"/>
      <c r="AA1648" s="4055"/>
      <c r="AB1648" s="4055"/>
      <c r="AC1648" s="4055"/>
      <c r="AD1648" s="4055"/>
      <c r="AE1648" s="4055"/>
      <c r="AF1648" s="4055"/>
      <c r="AG1648" s="4055"/>
      <c r="AH1648" s="4055"/>
      <c r="AI1648" s="4055"/>
    </row>
    <row r="1649" s="32" customFormat="1" ht="33" customHeight="1" spans="1:35">
      <c r="A1649" s="4165"/>
      <c r="B1649" s="4123"/>
      <c r="C1649" s="2056"/>
      <c r="D1649" s="1846"/>
      <c r="E1649" s="1846"/>
      <c r="F1649" s="1846"/>
      <c r="G1649" s="1846"/>
      <c r="H1649" s="1846"/>
      <c r="I1649" s="1846"/>
      <c r="J1649" s="1846"/>
      <c r="K1649" s="4165"/>
      <c r="L1649" s="4165"/>
      <c r="M1649" s="1396">
        <v>3</v>
      </c>
      <c r="N1649" s="2618" t="s">
        <v>6682</v>
      </c>
      <c r="O1649" s="4138">
        <v>0.2</v>
      </c>
      <c r="P1649" s="4139">
        <f>K1647*O1649</f>
        <v>143873.826</v>
      </c>
      <c r="Q1649" s="4152">
        <v>143873.826</v>
      </c>
      <c r="R1649" s="4150" t="s">
        <v>349</v>
      </c>
      <c r="S1649" s="4151">
        <v>46386</v>
      </c>
      <c r="T1649" s="4139"/>
      <c r="U1649" s="4148"/>
      <c r="V1649" s="4139"/>
      <c r="W1649" s="4148"/>
      <c r="X1649" s="4139"/>
      <c r="Y1649" s="4148"/>
      <c r="Z1649" s="4055"/>
      <c r="AA1649" s="4055"/>
      <c r="AB1649" s="4055"/>
      <c r="AC1649" s="4055"/>
      <c r="AD1649" s="4055"/>
      <c r="AE1649" s="4055"/>
      <c r="AF1649" s="4055"/>
      <c r="AG1649" s="4055"/>
      <c r="AH1649" s="4055"/>
      <c r="AI1649" s="4055"/>
    </row>
    <row r="1650" s="32" customFormat="1" ht="33" customHeight="1" spans="1:35">
      <c r="A1650" s="4116" t="s">
        <v>2570</v>
      </c>
      <c r="B1650" s="4121">
        <v>44921</v>
      </c>
      <c r="C1650" s="2054" t="s">
        <v>6601</v>
      </c>
      <c r="D1650" s="2052" t="s">
        <v>4370</v>
      </c>
      <c r="E1650" s="2052" t="s">
        <v>6683</v>
      </c>
      <c r="F1650" s="2052" t="s">
        <v>6684</v>
      </c>
      <c r="G1650" s="2052" t="s">
        <v>6685</v>
      </c>
      <c r="H1650" s="2052" t="s">
        <v>6686</v>
      </c>
      <c r="I1650" s="2052"/>
      <c r="J1650" s="2052" t="s">
        <v>997</v>
      </c>
      <c r="K1650" s="4116">
        <v>550000</v>
      </c>
      <c r="L1650" s="4116" t="s">
        <v>26</v>
      </c>
      <c r="M1650" s="1396">
        <v>1</v>
      </c>
      <c r="N1650" s="2618" t="s">
        <v>6687</v>
      </c>
      <c r="O1650" s="4138">
        <v>0.3</v>
      </c>
      <c r="P1650" s="4139">
        <f>K1650*O1650</f>
        <v>165000</v>
      </c>
      <c r="Q1650" s="4139">
        <v>165000</v>
      </c>
      <c r="R1650" s="1252" t="s">
        <v>4603</v>
      </c>
      <c r="S1650" s="4148">
        <v>44922</v>
      </c>
      <c r="T1650" s="4139">
        <v>165000</v>
      </c>
      <c r="U1650" s="4148">
        <v>44922</v>
      </c>
      <c r="V1650" s="4139">
        <v>165000</v>
      </c>
      <c r="W1650" s="4148">
        <v>44929</v>
      </c>
      <c r="X1650" s="4139">
        <v>165000</v>
      </c>
      <c r="Y1650" s="4148">
        <v>44944</v>
      </c>
      <c r="Z1650" s="4055"/>
      <c r="AA1650" s="4055"/>
      <c r="AB1650" s="4055"/>
      <c r="AC1650" s="4055"/>
      <c r="AD1650" s="4055"/>
      <c r="AE1650" s="4055"/>
      <c r="AF1650" s="4055"/>
      <c r="AG1650" s="4055"/>
      <c r="AH1650" s="4055"/>
      <c r="AI1650" s="4055"/>
    </row>
    <row r="1651" s="32" customFormat="1" ht="33" customHeight="1" spans="1:35">
      <c r="A1651" s="4116"/>
      <c r="B1651" s="4121"/>
      <c r="C1651" s="2054"/>
      <c r="D1651" s="2052"/>
      <c r="E1651" s="2052"/>
      <c r="F1651" s="2052"/>
      <c r="G1651" s="2052"/>
      <c r="H1651" s="2052"/>
      <c r="I1651" s="2052"/>
      <c r="J1651" s="2052"/>
      <c r="K1651" s="4116"/>
      <c r="L1651" s="4116"/>
      <c r="M1651" s="1396">
        <v>2</v>
      </c>
      <c r="N1651" s="2618" t="s">
        <v>6688</v>
      </c>
      <c r="O1651" s="4138">
        <v>0.5</v>
      </c>
      <c r="P1651" s="4139">
        <f>K1650*O1651</f>
        <v>275000</v>
      </c>
      <c r="Q1651" s="4139">
        <v>275000</v>
      </c>
      <c r="R1651" s="1252" t="s">
        <v>4603</v>
      </c>
      <c r="S1651" s="4148">
        <v>44922</v>
      </c>
      <c r="T1651" s="4139">
        <v>275000</v>
      </c>
      <c r="U1651" s="4148">
        <v>44922</v>
      </c>
      <c r="V1651" s="4139">
        <v>275000</v>
      </c>
      <c r="W1651" s="4148">
        <v>44929</v>
      </c>
      <c r="X1651" s="4139">
        <v>275000</v>
      </c>
      <c r="Y1651" s="4148">
        <v>44944</v>
      </c>
      <c r="Z1651" s="4055"/>
      <c r="AA1651" s="4055"/>
      <c r="AB1651" s="4055"/>
      <c r="AC1651" s="4055"/>
      <c r="AD1651" s="4055"/>
      <c r="AE1651" s="4055"/>
      <c r="AF1651" s="4055"/>
      <c r="AG1651" s="4055"/>
      <c r="AH1651" s="4055"/>
      <c r="AI1651" s="4055"/>
    </row>
    <row r="1652" s="32" customFormat="1" ht="33" customHeight="1" spans="1:35">
      <c r="A1652" s="4116"/>
      <c r="B1652" s="4121"/>
      <c r="C1652" s="2054"/>
      <c r="D1652" s="2052"/>
      <c r="E1652" s="2052"/>
      <c r="F1652" s="2052"/>
      <c r="G1652" s="2052"/>
      <c r="H1652" s="2052"/>
      <c r="I1652" s="2052"/>
      <c r="J1652" s="2052"/>
      <c r="K1652" s="4116"/>
      <c r="L1652" s="4116"/>
      <c r="M1652" s="1396">
        <v>3</v>
      </c>
      <c r="N1652" s="3556" t="s">
        <v>6689</v>
      </c>
      <c r="O1652" s="4138">
        <v>0.1</v>
      </c>
      <c r="P1652" s="4139">
        <f>K1650*O1652</f>
        <v>55000</v>
      </c>
      <c r="Q1652" s="4139">
        <v>55000</v>
      </c>
      <c r="R1652" s="1252" t="s">
        <v>4603</v>
      </c>
      <c r="S1652" s="4148">
        <v>44922</v>
      </c>
      <c r="T1652" s="4139">
        <v>55000</v>
      </c>
      <c r="U1652" s="4148">
        <v>44922</v>
      </c>
      <c r="V1652" s="4139">
        <v>55000</v>
      </c>
      <c r="W1652" s="4148">
        <v>44929</v>
      </c>
      <c r="X1652" s="4139">
        <v>55000</v>
      </c>
      <c r="Y1652" s="4148">
        <v>44944</v>
      </c>
      <c r="Z1652" s="4055"/>
      <c r="AA1652" s="4055"/>
      <c r="AB1652" s="4055"/>
      <c r="AC1652" s="4055"/>
      <c r="AD1652" s="4055"/>
      <c r="AE1652" s="4055"/>
      <c r="AF1652" s="4055"/>
      <c r="AG1652" s="4055"/>
      <c r="AH1652" s="4055"/>
      <c r="AI1652" s="4055"/>
    </row>
    <row r="1653" s="32" customFormat="1" ht="33" customHeight="1" spans="1:35">
      <c r="A1653" s="4116"/>
      <c r="B1653" s="4121"/>
      <c r="C1653" s="2054"/>
      <c r="D1653" s="2052"/>
      <c r="E1653" s="2052"/>
      <c r="F1653" s="2052"/>
      <c r="G1653" s="2052"/>
      <c r="H1653" s="2052"/>
      <c r="I1653" s="2052"/>
      <c r="J1653" s="2052"/>
      <c r="K1653" s="4116"/>
      <c r="L1653" s="4116"/>
      <c r="M1653" s="1396">
        <v>4</v>
      </c>
      <c r="N1653" s="3558"/>
      <c r="O1653" s="4138">
        <v>0.05</v>
      </c>
      <c r="P1653" s="4139">
        <f>K1650*O1653</f>
        <v>27500</v>
      </c>
      <c r="Q1653" s="4139">
        <v>27500</v>
      </c>
      <c r="R1653" s="1252" t="s">
        <v>4603</v>
      </c>
      <c r="S1653" s="4148">
        <v>44922</v>
      </c>
      <c r="T1653" s="4139">
        <v>27500</v>
      </c>
      <c r="U1653" s="4148">
        <v>44922</v>
      </c>
      <c r="V1653" s="4139"/>
      <c r="W1653" s="4148"/>
      <c r="X1653" s="4152">
        <v>27500</v>
      </c>
      <c r="Y1653" s="4151"/>
      <c r="Z1653" s="4055"/>
      <c r="AA1653" s="4055"/>
      <c r="AB1653" s="4055"/>
      <c r="AC1653" s="4055"/>
      <c r="AD1653" s="4055"/>
      <c r="AE1653" s="4055"/>
      <c r="AF1653" s="4055"/>
      <c r="AG1653" s="4055"/>
      <c r="AH1653" s="4055"/>
      <c r="AI1653" s="4055"/>
    </row>
    <row r="1654" s="32" customFormat="1" ht="48" customHeight="1" spans="1:35">
      <c r="A1654" s="4165"/>
      <c r="B1654" s="4123"/>
      <c r="C1654" s="2056"/>
      <c r="D1654" s="1846"/>
      <c r="E1654" s="1846"/>
      <c r="F1654" s="1846"/>
      <c r="G1654" s="1846"/>
      <c r="H1654" s="1846"/>
      <c r="I1654" s="1846"/>
      <c r="J1654" s="1846"/>
      <c r="K1654" s="4165"/>
      <c r="L1654" s="4165"/>
      <c r="M1654" s="1396">
        <v>5</v>
      </c>
      <c r="N1654" s="185" t="s">
        <v>6690</v>
      </c>
      <c r="O1654" s="4138">
        <v>0.05</v>
      </c>
      <c r="P1654" s="4139">
        <f>K1650*O1654</f>
        <v>27500</v>
      </c>
      <c r="Q1654" s="4152">
        <v>27500</v>
      </c>
      <c r="R1654" s="4150" t="s">
        <v>349</v>
      </c>
      <c r="S1654" s="4151">
        <v>46386</v>
      </c>
      <c r="T1654" s="4139"/>
      <c r="U1654" s="4148"/>
      <c r="V1654" s="4139"/>
      <c r="W1654" s="4148"/>
      <c r="X1654" s="4139"/>
      <c r="Y1654" s="4148"/>
      <c r="Z1654" s="4055"/>
      <c r="AA1654" s="4055"/>
      <c r="AB1654" s="4055"/>
      <c r="AC1654" s="4055"/>
      <c r="AD1654" s="4055"/>
      <c r="AE1654" s="4055"/>
      <c r="AF1654" s="4055"/>
      <c r="AG1654" s="4055"/>
      <c r="AH1654" s="4055"/>
      <c r="AI1654" s="4055"/>
    </row>
    <row r="1655" s="32" customFormat="1" ht="33" customHeight="1" spans="1:35">
      <c r="A1655" s="428" t="s">
        <v>2570</v>
      </c>
      <c r="B1655" s="553">
        <v>44875</v>
      </c>
      <c r="C1655" s="370" t="s">
        <v>6691</v>
      </c>
      <c r="D1655" s="428"/>
      <c r="E1655" s="413" t="s">
        <v>6692</v>
      </c>
      <c r="F1655" s="413" t="s">
        <v>6693</v>
      </c>
      <c r="G1655" s="428" t="s">
        <v>3723</v>
      </c>
      <c r="H1655" s="413" t="s">
        <v>5060</v>
      </c>
      <c r="I1655" s="428"/>
      <c r="J1655" s="428" t="s">
        <v>997</v>
      </c>
      <c r="K1655" s="428">
        <v>1070058.6</v>
      </c>
      <c r="L1655" s="428" t="s">
        <v>126</v>
      </c>
      <c r="M1655" s="413">
        <v>1</v>
      </c>
      <c r="N1655" s="2618" t="s">
        <v>6604</v>
      </c>
      <c r="O1655" s="4169">
        <v>0.2</v>
      </c>
      <c r="P1655" s="4057">
        <v>214011.72</v>
      </c>
      <c r="Q1655" s="4057">
        <v>214011.72</v>
      </c>
      <c r="R1655" s="428" t="s">
        <v>4603</v>
      </c>
      <c r="S1655" s="552">
        <v>44879</v>
      </c>
      <c r="T1655" s="4057">
        <v>214011.72</v>
      </c>
      <c r="U1655" s="552">
        <v>44879</v>
      </c>
      <c r="V1655" s="4057">
        <v>214011.72</v>
      </c>
      <c r="W1655" s="552">
        <v>44880</v>
      </c>
      <c r="X1655" s="4057">
        <v>214011.72</v>
      </c>
      <c r="Y1655" s="4058">
        <v>44887</v>
      </c>
      <c r="Z1655" s="840"/>
      <c r="AA1655" s="840"/>
      <c r="AB1655" s="840"/>
      <c r="AC1655" s="840"/>
      <c r="AD1655" s="840"/>
      <c r="AE1655" s="840"/>
      <c r="AF1655" s="840"/>
      <c r="AG1655" s="840"/>
      <c r="AH1655" s="840"/>
      <c r="AI1655" s="840"/>
    </row>
    <row r="1656" s="32" customFormat="1" ht="33" customHeight="1" spans="1:35">
      <c r="A1656" s="428"/>
      <c r="B1656" s="558"/>
      <c r="C1656" s="370"/>
      <c r="D1656" s="428"/>
      <c r="E1656" s="428"/>
      <c r="F1656" s="413"/>
      <c r="G1656" s="428"/>
      <c r="H1656" s="413"/>
      <c r="I1656" s="428"/>
      <c r="J1656" s="428"/>
      <c r="K1656" s="428"/>
      <c r="L1656" s="428"/>
      <c r="M1656" s="413">
        <v>2</v>
      </c>
      <c r="N1656" s="2618" t="s">
        <v>6605</v>
      </c>
      <c r="O1656" s="4169">
        <v>0.25</v>
      </c>
      <c r="P1656" s="4057">
        <v>267514.65</v>
      </c>
      <c r="Q1656" s="4057">
        <v>267514.65</v>
      </c>
      <c r="R1656" s="428" t="s">
        <v>4603</v>
      </c>
      <c r="S1656" s="552">
        <v>44879</v>
      </c>
      <c r="T1656" s="4057">
        <v>267514.65</v>
      </c>
      <c r="U1656" s="552">
        <v>44879</v>
      </c>
      <c r="V1656" s="4057">
        <v>267514.65</v>
      </c>
      <c r="W1656" s="552">
        <v>44880</v>
      </c>
      <c r="X1656" s="4057">
        <v>267514.65</v>
      </c>
      <c r="Y1656" s="4058">
        <v>44887</v>
      </c>
      <c r="Z1656" s="840"/>
      <c r="AA1656" s="840"/>
      <c r="AB1656" s="840"/>
      <c r="AC1656" s="840"/>
      <c r="AD1656" s="840"/>
      <c r="AE1656" s="840"/>
      <c r="AF1656" s="840"/>
      <c r="AG1656" s="840"/>
      <c r="AH1656" s="840"/>
      <c r="AI1656" s="840"/>
    </row>
    <row r="1657" s="32" customFormat="1" ht="33" customHeight="1" spans="1:35">
      <c r="A1657" s="428"/>
      <c r="B1657" s="558"/>
      <c r="C1657" s="370"/>
      <c r="D1657" s="428"/>
      <c r="E1657" s="428"/>
      <c r="F1657" s="413"/>
      <c r="G1657" s="428"/>
      <c r="H1657" s="413"/>
      <c r="I1657" s="428"/>
      <c r="J1657" s="428"/>
      <c r="K1657" s="428"/>
      <c r="L1657" s="428"/>
      <c r="M1657" s="413">
        <v>3</v>
      </c>
      <c r="N1657" s="2618" t="s">
        <v>6606</v>
      </c>
      <c r="O1657" s="4169">
        <v>0.15</v>
      </c>
      <c r="P1657" s="4057">
        <v>160508.79</v>
      </c>
      <c r="Q1657" s="4057">
        <v>160508.79</v>
      </c>
      <c r="R1657" s="428" t="s">
        <v>4603</v>
      </c>
      <c r="S1657" s="4058">
        <v>44923</v>
      </c>
      <c r="T1657" s="4057">
        <v>160508.79</v>
      </c>
      <c r="U1657" s="4058">
        <v>44923</v>
      </c>
      <c r="V1657" s="4057">
        <v>160508.79</v>
      </c>
      <c r="W1657" s="4058">
        <v>45296</v>
      </c>
      <c r="X1657" s="4057">
        <v>160508.79</v>
      </c>
      <c r="Y1657" s="552">
        <v>45313</v>
      </c>
      <c r="Z1657" s="840"/>
      <c r="AA1657" s="840"/>
      <c r="AB1657" s="840"/>
      <c r="AC1657" s="840"/>
      <c r="AD1657" s="840"/>
      <c r="AE1657" s="840"/>
      <c r="AF1657" s="840"/>
      <c r="AG1657" s="840"/>
      <c r="AH1657" s="840"/>
      <c r="AI1657" s="840"/>
    </row>
    <row r="1658" s="32" customFormat="1" ht="33" customHeight="1" spans="1:35">
      <c r="A1658" s="428"/>
      <c r="B1658" s="558"/>
      <c r="C1658" s="370"/>
      <c r="D1658" s="428"/>
      <c r="E1658" s="428"/>
      <c r="F1658" s="413"/>
      <c r="G1658" s="428"/>
      <c r="H1658" s="413"/>
      <c r="I1658" s="428"/>
      <c r="J1658" s="428"/>
      <c r="K1658" s="428"/>
      <c r="L1658" s="428"/>
      <c r="M1658" s="413">
        <v>4</v>
      </c>
      <c r="N1658" s="2618" t="s">
        <v>6607</v>
      </c>
      <c r="O1658" s="4169">
        <v>0.2</v>
      </c>
      <c r="P1658" s="4057">
        <v>214011.72</v>
      </c>
      <c r="Q1658" s="4057">
        <v>214011.72</v>
      </c>
      <c r="R1658" s="428" t="s">
        <v>4603</v>
      </c>
      <c r="S1658" s="4058">
        <v>44923</v>
      </c>
      <c r="T1658" s="4057">
        <v>214011.72</v>
      </c>
      <c r="U1658" s="4058">
        <v>44923</v>
      </c>
      <c r="V1658" s="4057">
        <v>214011.72</v>
      </c>
      <c r="W1658" s="4058">
        <v>45506</v>
      </c>
      <c r="X1658" s="4057">
        <v>214011.72</v>
      </c>
      <c r="Y1658" s="552">
        <v>45562</v>
      </c>
      <c r="Z1658" s="840"/>
      <c r="AA1658" s="840"/>
      <c r="AB1658" s="840"/>
      <c r="AC1658" s="840"/>
      <c r="AD1658" s="840"/>
      <c r="AE1658" s="840"/>
      <c r="AF1658" s="840"/>
      <c r="AG1658" s="840"/>
      <c r="AH1658" s="840"/>
      <c r="AI1658" s="840"/>
    </row>
    <row r="1659" s="32" customFormat="1" ht="33" customHeight="1" spans="1:35">
      <c r="A1659" s="428"/>
      <c r="B1659" s="558"/>
      <c r="C1659" s="370"/>
      <c r="D1659" s="428"/>
      <c r="E1659" s="428"/>
      <c r="F1659" s="413"/>
      <c r="G1659" s="428"/>
      <c r="H1659" s="413"/>
      <c r="I1659" s="428"/>
      <c r="J1659" s="428"/>
      <c r="K1659" s="428"/>
      <c r="L1659" s="428"/>
      <c r="M1659" s="407">
        <v>5</v>
      </c>
      <c r="N1659" s="705" t="s">
        <v>4334</v>
      </c>
      <c r="O1659" s="4170">
        <v>0.2</v>
      </c>
      <c r="P1659" s="4171">
        <v>214011.72</v>
      </c>
      <c r="Q1659" s="4068">
        <f>1070058.6*0.15</f>
        <v>160508.79</v>
      </c>
      <c r="R1659" s="593" t="s">
        <v>349</v>
      </c>
      <c r="S1659" s="4060">
        <v>46052</v>
      </c>
      <c r="T1659" s="4057"/>
      <c r="U1659" s="4058"/>
      <c r="V1659" s="4057"/>
      <c r="W1659" s="4058"/>
      <c r="X1659" s="4068">
        <f>Q1659</f>
        <v>160508.79</v>
      </c>
      <c r="Y1659" s="4175">
        <v>46052</v>
      </c>
      <c r="Z1659" s="840"/>
      <c r="AA1659" s="840"/>
      <c r="AB1659" s="840"/>
      <c r="AC1659" s="840"/>
      <c r="AD1659" s="840"/>
      <c r="AE1659" s="840"/>
      <c r="AF1659" s="840"/>
      <c r="AG1659" s="840"/>
      <c r="AH1659" s="840"/>
      <c r="AI1659" s="840"/>
    </row>
    <row r="1660" s="32" customFormat="1" ht="33" customHeight="1" spans="1:35">
      <c r="A1660" s="428"/>
      <c r="B1660" s="554"/>
      <c r="C1660" s="370"/>
      <c r="D1660" s="428"/>
      <c r="E1660" s="428"/>
      <c r="F1660" s="413"/>
      <c r="G1660" s="428"/>
      <c r="H1660" s="413"/>
      <c r="I1660" s="428"/>
      <c r="J1660" s="428"/>
      <c r="K1660" s="428"/>
      <c r="L1660" s="428"/>
      <c r="M1660" s="411"/>
      <c r="N1660" s="3558"/>
      <c r="O1660" s="4172"/>
      <c r="P1660" s="4173"/>
      <c r="Q1660" s="4068">
        <f>1070058.6*0.05-32000</f>
        <v>21502.93</v>
      </c>
      <c r="R1660" s="593" t="s">
        <v>349</v>
      </c>
      <c r="S1660" s="4060">
        <v>46052</v>
      </c>
      <c r="T1660" s="4057"/>
      <c r="U1660" s="4058"/>
      <c r="V1660" s="4057"/>
      <c r="W1660" s="4058"/>
      <c r="X1660" s="4068">
        <f>Q1660</f>
        <v>21502.93</v>
      </c>
      <c r="Y1660" s="4175">
        <v>46052</v>
      </c>
      <c r="Z1660" s="840"/>
      <c r="AA1660" s="840"/>
      <c r="AB1660" s="840"/>
      <c r="AC1660" s="840"/>
      <c r="AD1660" s="840"/>
      <c r="AE1660" s="840"/>
      <c r="AF1660" s="840"/>
      <c r="AG1660" s="840"/>
      <c r="AH1660" s="840"/>
      <c r="AI1660" s="840"/>
    </row>
    <row r="1661" s="32" customFormat="1" ht="33" customHeight="1" spans="1:35">
      <c r="A1661" s="501" t="s">
        <v>2570</v>
      </c>
      <c r="B1661" s="553">
        <v>44893</v>
      </c>
      <c r="C1661" s="378" t="s">
        <v>6691</v>
      </c>
      <c r="D1661" s="501"/>
      <c r="E1661" s="407" t="s">
        <v>6694</v>
      </c>
      <c r="F1661" s="407" t="s">
        <v>6695</v>
      </c>
      <c r="G1661" s="501" t="s">
        <v>813</v>
      </c>
      <c r="H1661" s="407" t="s">
        <v>6696</v>
      </c>
      <c r="I1661" s="501"/>
      <c r="J1661" s="501" t="s">
        <v>5255</v>
      </c>
      <c r="K1661" s="501">
        <v>1109508.08</v>
      </c>
      <c r="L1661" s="501" t="s">
        <v>126</v>
      </c>
      <c r="M1661" s="413">
        <v>1</v>
      </c>
      <c r="N1661" s="2618" t="s">
        <v>5565</v>
      </c>
      <c r="O1661" s="4169">
        <v>0.1</v>
      </c>
      <c r="P1661" s="4057">
        <f>K1661*O1661</f>
        <v>110950.808</v>
      </c>
      <c r="Q1661" s="4057">
        <v>110950.808</v>
      </c>
      <c r="R1661" s="428" t="s">
        <v>4603</v>
      </c>
      <c r="S1661" s="552">
        <v>44900</v>
      </c>
      <c r="T1661" s="4057">
        <v>110950.808</v>
      </c>
      <c r="U1661" s="552">
        <v>44900</v>
      </c>
      <c r="V1661" s="4057">
        <v>110950.808</v>
      </c>
      <c r="W1661" s="552">
        <v>44907</v>
      </c>
      <c r="X1661" s="4057">
        <v>110950.808</v>
      </c>
      <c r="Y1661" s="552">
        <v>44915</v>
      </c>
      <c r="Z1661" s="840"/>
      <c r="AA1661" s="840"/>
      <c r="AB1661" s="840"/>
      <c r="AC1661" s="840"/>
      <c r="AD1661" s="840"/>
      <c r="AE1661" s="840"/>
      <c r="AF1661" s="840"/>
      <c r="AG1661" s="840"/>
      <c r="AH1661" s="840"/>
      <c r="AI1661" s="840"/>
    </row>
    <row r="1662" s="32" customFormat="1" ht="33" customHeight="1" spans="1:35">
      <c r="A1662" s="433"/>
      <c r="B1662" s="558"/>
      <c r="C1662" s="657"/>
      <c r="D1662" s="433"/>
      <c r="E1662" s="409"/>
      <c r="F1662" s="409"/>
      <c r="G1662" s="433"/>
      <c r="H1662" s="409"/>
      <c r="I1662" s="433"/>
      <c r="J1662" s="433"/>
      <c r="K1662" s="433"/>
      <c r="L1662" s="433"/>
      <c r="M1662" s="413">
        <v>2</v>
      </c>
      <c r="N1662" s="2618" t="s">
        <v>6697</v>
      </c>
      <c r="O1662" s="4169">
        <v>0.1</v>
      </c>
      <c r="P1662" s="4057">
        <f>K1661*O1662</f>
        <v>110950.808</v>
      </c>
      <c r="Q1662" s="4057">
        <v>110950.808</v>
      </c>
      <c r="R1662" s="3689" t="s">
        <v>4603</v>
      </c>
      <c r="S1662" s="552">
        <v>44900</v>
      </c>
      <c r="T1662" s="4057">
        <v>110950.808</v>
      </c>
      <c r="U1662" s="552">
        <v>44900</v>
      </c>
      <c r="V1662" s="4057">
        <v>110950.808</v>
      </c>
      <c r="W1662" s="552">
        <v>44907</v>
      </c>
      <c r="X1662" s="4057">
        <v>110950.808</v>
      </c>
      <c r="Y1662" s="552">
        <v>44915</v>
      </c>
      <c r="Z1662" s="840"/>
      <c r="AA1662" s="840"/>
      <c r="AB1662" s="840"/>
      <c r="AC1662" s="840"/>
      <c r="AD1662" s="840"/>
      <c r="AE1662" s="840"/>
      <c r="AF1662" s="840"/>
      <c r="AG1662" s="840"/>
      <c r="AH1662" s="840"/>
      <c r="AI1662" s="840"/>
    </row>
    <row r="1663" s="32" customFormat="1" ht="33" customHeight="1" spans="1:35">
      <c r="A1663" s="433"/>
      <c r="B1663" s="558"/>
      <c r="C1663" s="657"/>
      <c r="D1663" s="433"/>
      <c r="E1663" s="409"/>
      <c r="F1663" s="409"/>
      <c r="G1663" s="433"/>
      <c r="H1663" s="409"/>
      <c r="I1663" s="433"/>
      <c r="J1663" s="433"/>
      <c r="K1663" s="433"/>
      <c r="L1663" s="433"/>
      <c r="M1663" s="413">
        <v>3</v>
      </c>
      <c r="N1663" s="2618" t="s">
        <v>6698</v>
      </c>
      <c r="O1663" s="4169">
        <v>0.3</v>
      </c>
      <c r="P1663" s="4057">
        <f>K1661*O1663</f>
        <v>332852.424</v>
      </c>
      <c r="Q1663" s="4057">
        <v>332849.424</v>
      </c>
      <c r="R1663" s="4174"/>
      <c r="S1663" s="552">
        <v>44900</v>
      </c>
      <c r="T1663" s="4057">
        <v>332849.424</v>
      </c>
      <c r="U1663" s="552">
        <v>44900</v>
      </c>
      <c r="V1663" s="4057">
        <v>332849.424</v>
      </c>
      <c r="W1663" s="552">
        <v>44907</v>
      </c>
      <c r="X1663" s="4057">
        <v>332849.424</v>
      </c>
      <c r="Y1663" s="552">
        <v>44915</v>
      </c>
      <c r="Z1663" s="840"/>
      <c r="AA1663" s="840"/>
      <c r="AB1663" s="840"/>
      <c r="AC1663" s="840"/>
      <c r="AD1663" s="840"/>
      <c r="AE1663" s="840"/>
      <c r="AF1663" s="840"/>
      <c r="AG1663" s="840"/>
      <c r="AH1663" s="840"/>
      <c r="AI1663" s="840"/>
    </row>
    <row r="1664" s="32" customFormat="1" ht="33" customHeight="1" spans="1:35">
      <c r="A1664" s="433"/>
      <c r="B1664" s="558"/>
      <c r="C1664" s="657"/>
      <c r="D1664" s="433"/>
      <c r="E1664" s="409"/>
      <c r="F1664" s="409"/>
      <c r="G1664" s="433"/>
      <c r="H1664" s="409"/>
      <c r="I1664" s="433"/>
      <c r="J1664" s="433"/>
      <c r="K1664" s="433"/>
      <c r="L1664" s="433"/>
      <c r="M1664" s="407">
        <v>4</v>
      </c>
      <c r="N1664" s="705" t="s">
        <v>6699</v>
      </c>
      <c r="O1664" s="4170">
        <v>0.4</v>
      </c>
      <c r="P1664" s="4171">
        <f>K1661*O1664</f>
        <v>443803.232</v>
      </c>
      <c r="Q1664" s="4171">
        <v>443806.232</v>
      </c>
      <c r="R1664" s="3693"/>
      <c r="S1664" s="553">
        <v>45257</v>
      </c>
      <c r="T1664" s="4171">
        <v>443806.232</v>
      </c>
      <c r="U1664" s="553">
        <v>45257</v>
      </c>
      <c r="V1664" s="4057">
        <v>300000</v>
      </c>
      <c r="W1664" s="552">
        <v>45300</v>
      </c>
      <c r="X1664" s="4057">
        <v>300000</v>
      </c>
      <c r="Y1664" s="552">
        <v>45310</v>
      </c>
      <c r="Z1664" s="840"/>
      <c r="AA1664" s="840"/>
      <c r="AB1664" s="840"/>
      <c r="AC1664" s="840"/>
      <c r="AD1664" s="840"/>
      <c r="AE1664" s="840"/>
      <c r="AF1664" s="840"/>
      <c r="AG1664" s="840"/>
      <c r="AH1664" s="840"/>
      <c r="AI1664" s="840"/>
    </row>
    <row r="1665" s="32" customFormat="1" ht="33" customHeight="1" spans="1:35">
      <c r="A1665" s="433"/>
      <c r="B1665" s="558"/>
      <c r="C1665" s="657"/>
      <c r="D1665" s="433"/>
      <c r="E1665" s="409"/>
      <c r="F1665" s="409"/>
      <c r="G1665" s="433"/>
      <c r="H1665" s="409"/>
      <c r="I1665" s="433"/>
      <c r="J1665" s="433"/>
      <c r="K1665" s="433"/>
      <c r="L1665" s="433"/>
      <c r="M1665" s="411"/>
      <c r="N1665" s="3541"/>
      <c r="O1665" s="4172"/>
      <c r="P1665" s="4173"/>
      <c r="Q1665" s="4173"/>
      <c r="R1665" s="428" t="s">
        <v>4603</v>
      </c>
      <c r="S1665" s="554"/>
      <c r="T1665" s="4173"/>
      <c r="U1665" s="554"/>
      <c r="V1665" s="4057">
        <f>T1664-V1664</f>
        <v>143806.232</v>
      </c>
      <c r="W1665" s="552">
        <v>45726</v>
      </c>
      <c r="X1665" s="4057">
        <v>143806.23</v>
      </c>
      <c r="Y1665" s="552">
        <v>45744</v>
      </c>
      <c r="Z1665" s="840"/>
      <c r="AA1665" s="840"/>
      <c r="AB1665" s="840"/>
      <c r="AC1665" s="840"/>
      <c r="AD1665" s="840"/>
      <c r="AE1665" s="840"/>
      <c r="AF1665" s="840"/>
      <c r="AG1665" s="840"/>
      <c r="AH1665" s="840"/>
      <c r="AI1665" s="840"/>
    </row>
    <row r="1666" s="32" customFormat="1" ht="33" customHeight="1" spans="1:35">
      <c r="A1666" s="433"/>
      <c r="B1666" s="558"/>
      <c r="C1666" s="657"/>
      <c r="D1666" s="433"/>
      <c r="E1666" s="409"/>
      <c r="F1666" s="409"/>
      <c r="G1666" s="433"/>
      <c r="H1666" s="409"/>
      <c r="I1666" s="433"/>
      <c r="J1666" s="433"/>
      <c r="K1666" s="433"/>
      <c r="L1666" s="433"/>
      <c r="M1666" s="413">
        <v>5</v>
      </c>
      <c r="N1666" s="2618" t="s">
        <v>6700</v>
      </c>
      <c r="O1666" s="4169">
        <v>0.1</v>
      </c>
      <c r="P1666" s="4057">
        <f>K1661*O1666</f>
        <v>110950.808</v>
      </c>
      <c r="Q1666" s="4068">
        <f>110950.808-15000</f>
        <v>95950.808</v>
      </c>
      <c r="R1666" s="593" t="s">
        <v>349</v>
      </c>
      <c r="S1666" s="4060">
        <v>46021</v>
      </c>
      <c r="T1666" s="4057"/>
      <c r="U1666" s="552"/>
      <c r="V1666" s="4057"/>
      <c r="W1666" s="552"/>
      <c r="X1666" s="4068">
        <f>Q1666</f>
        <v>95950.808</v>
      </c>
      <c r="Y1666" s="4175">
        <v>46052</v>
      </c>
      <c r="Z1666" s="840"/>
      <c r="AA1666" s="840"/>
      <c r="AB1666" s="840"/>
      <c r="AC1666" s="840"/>
      <c r="AD1666" s="840"/>
      <c r="AE1666" s="840"/>
      <c r="AF1666" s="840"/>
      <c r="AG1666" s="840"/>
      <c r="AH1666" s="840"/>
      <c r="AI1666" s="840"/>
    </row>
    <row r="1667" s="32" customFormat="1" ht="33" customHeight="1" spans="1:35">
      <c r="A1667" s="428" t="s">
        <v>2570</v>
      </c>
      <c r="B1667" s="553">
        <v>44880</v>
      </c>
      <c r="C1667" s="370" t="s">
        <v>6691</v>
      </c>
      <c r="D1667" s="428"/>
      <c r="E1667" s="413" t="s">
        <v>6701</v>
      </c>
      <c r="F1667" s="413" t="s">
        <v>6702</v>
      </c>
      <c r="G1667" s="428" t="s">
        <v>658</v>
      </c>
      <c r="H1667" s="413" t="s">
        <v>6063</v>
      </c>
      <c r="I1667" s="428"/>
      <c r="J1667" s="428" t="s">
        <v>997</v>
      </c>
      <c r="K1667" s="428">
        <v>3540000</v>
      </c>
      <c r="L1667" s="428" t="s">
        <v>126</v>
      </c>
      <c r="M1667" s="413">
        <v>1</v>
      </c>
      <c r="N1667" s="2618" t="s">
        <v>4228</v>
      </c>
      <c r="O1667" s="4169">
        <v>0.2</v>
      </c>
      <c r="P1667" s="4057">
        <v>708000</v>
      </c>
      <c r="Q1667" s="4057">
        <v>708000</v>
      </c>
      <c r="R1667" s="428" t="s">
        <v>4603</v>
      </c>
      <c r="S1667" s="552">
        <v>44879</v>
      </c>
      <c r="T1667" s="4057">
        <v>708000</v>
      </c>
      <c r="U1667" s="552">
        <v>44879</v>
      </c>
      <c r="V1667" s="4057">
        <v>708000</v>
      </c>
      <c r="W1667" s="552">
        <v>44880</v>
      </c>
      <c r="X1667" s="4057">
        <v>708000</v>
      </c>
      <c r="Y1667" s="552">
        <v>44890</v>
      </c>
      <c r="Z1667" s="840"/>
      <c r="AA1667" s="840"/>
      <c r="AB1667" s="840"/>
      <c r="AC1667" s="840"/>
      <c r="AD1667" s="840"/>
      <c r="AE1667" s="840"/>
      <c r="AF1667" s="840"/>
      <c r="AG1667" s="840"/>
      <c r="AH1667" s="840"/>
      <c r="AI1667" s="840"/>
    </row>
    <row r="1668" s="32" customFormat="1" ht="33" customHeight="1" spans="1:35">
      <c r="A1668" s="428"/>
      <c r="B1668" s="558"/>
      <c r="C1668" s="370"/>
      <c r="D1668" s="428"/>
      <c r="E1668" s="428"/>
      <c r="F1668" s="413"/>
      <c r="G1668" s="428"/>
      <c r="H1668" s="413"/>
      <c r="I1668" s="428"/>
      <c r="J1668" s="428"/>
      <c r="K1668" s="428"/>
      <c r="L1668" s="428"/>
      <c r="M1668" s="413">
        <v>2</v>
      </c>
      <c r="N1668" s="2618" t="s">
        <v>4229</v>
      </c>
      <c r="O1668" s="4169">
        <v>0.2</v>
      </c>
      <c r="P1668" s="4057">
        <v>708000</v>
      </c>
      <c r="Q1668" s="4057">
        <v>708000</v>
      </c>
      <c r="R1668" s="428" t="s">
        <v>4603</v>
      </c>
      <c r="S1668" s="552">
        <v>44879</v>
      </c>
      <c r="T1668" s="4057">
        <v>708000</v>
      </c>
      <c r="U1668" s="552">
        <v>44879</v>
      </c>
      <c r="V1668" s="4057">
        <v>708000</v>
      </c>
      <c r="W1668" s="552">
        <v>44880</v>
      </c>
      <c r="X1668" s="4057">
        <v>708000</v>
      </c>
      <c r="Y1668" s="552">
        <v>44890</v>
      </c>
      <c r="Z1668" s="840"/>
      <c r="AA1668" s="840"/>
      <c r="AB1668" s="840"/>
      <c r="AC1668" s="840"/>
      <c r="AD1668" s="840"/>
      <c r="AE1668" s="840"/>
      <c r="AF1668" s="840"/>
      <c r="AG1668" s="840"/>
      <c r="AH1668" s="840"/>
      <c r="AI1668" s="840"/>
    </row>
    <row r="1669" s="32" customFormat="1" ht="33" customHeight="1" spans="1:35">
      <c r="A1669" s="428"/>
      <c r="B1669" s="558"/>
      <c r="C1669" s="370"/>
      <c r="D1669" s="428"/>
      <c r="E1669" s="428"/>
      <c r="F1669" s="413"/>
      <c r="G1669" s="428"/>
      <c r="H1669" s="413"/>
      <c r="I1669" s="428"/>
      <c r="J1669" s="428"/>
      <c r="K1669" s="428"/>
      <c r="L1669" s="428"/>
      <c r="M1669" s="413">
        <v>3</v>
      </c>
      <c r="N1669" s="2618" t="s">
        <v>4230</v>
      </c>
      <c r="O1669" s="4169">
        <v>0.1</v>
      </c>
      <c r="P1669" s="4057">
        <v>354000</v>
      </c>
      <c r="Q1669" s="4057">
        <v>354000</v>
      </c>
      <c r="R1669" s="428" t="s">
        <v>4603</v>
      </c>
      <c r="S1669" s="552">
        <v>44879</v>
      </c>
      <c r="T1669" s="4057">
        <v>354000</v>
      </c>
      <c r="U1669" s="552">
        <v>44879</v>
      </c>
      <c r="V1669" s="4057">
        <v>354000</v>
      </c>
      <c r="W1669" s="552">
        <v>44880</v>
      </c>
      <c r="X1669" s="4057">
        <v>354000</v>
      </c>
      <c r="Y1669" s="552">
        <v>44890</v>
      </c>
      <c r="Z1669" s="840"/>
      <c r="AA1669" s="840"/>
      <c r="AB1669" s="840"/>
      <c r="AC1669" s="840"/>
      <c r="AD1669" s="840"/>
      <c r="AE1669" s="840"/>
      <c r="AF1669" s="840"/>
      <c r="AG1669" s="840"/>
      <c r="AH1669" s="840"/>
      <c r="AI1669" s="840"/>
    </row>
    <row r="1670" s="32" customFormat="1" ht="33" customHeight="1" spans="1:35">
      <c r="A1670" s="428"/>
      <c r="B1670" s="558"/>
      <c r="C1670" s="370"/>
      <c r="D1670" s="428"/>
      <c r="E1670" s="428"/>
      <c r="F1670" s="413"/>
      <c r="G1670" s="428"/>
      <c r="H1670" s="413"/>
      <c r="I1670" s="428"/>
      <c r="J1670" s="428"/>
      <c r="K1670" s="428"/>
      <c r="L1670" s="428"/>
      <c r="M1670" s="413">
        <v>4</v>
      </c>
      <c r="N1670" s="2618" t="s">
        <v>6703</v>
      </c>
      <c r="O1670" s="4169">
        <v>0.2</v>
      </c>
      <c r="P1670" s="4057">
        <v>708000</v>
      </c>
      <c r="Q1670" s="4057">
        <v>708000</v>
      </c>
      <c r="R1670" s="428" t="s">
        <v>4603</v>
      </c>
      <c r="S1670" s="552">
        <v>44879</v>
      </c>
      <c r="T1670" s="4057">
        <v>708000</v>
      </c>
      <c r="U1670" s="552">
        <v>44879</v>
      </c>
      <c r="V1670" s="4057">
        <v>708000</v>
      </c>
      <c r="W1670" s="552">
        <v>44880</v>
      </c>
      <c r="X1670" s="4057">
        <v>708000</v>
      </c>
      <c r="Y1670" s="552">
        <v>44890</v>
      </c>
      <c r="Z1670" s="840"/>
      <c r="AA1670" s="840"/>
      <c r="AB1670" s="840"/>
      <c r="AC1670" s="840"/>
      <c r="AD1670" s="840"/>
      <c r="AE1670" s="840"/>
      <c r="AF1670" s="840"/>
      <c r="AG1670" s="840"/>
      <c r="AH1670" s="840"/>
      <c r="AI1670" s="840"/>
    </row>
    <row r="1671" s="32" customFormat="1" ht="33" customHeight="1" spans="1:35">
      <c r="A1671" s="428"/>
      <c r="B1671" s="558"/>
      <c r="C1671" s="370"/>
      <c r="D1671" s="428"/>
      <c r="E1671" s="428"/>
      <c r="F1671" s="413"/>
      <c r="G1671" s="428"/>
      <c r="H1671" s="413"/>
      <c r="I1671" s="428"/>
      <c r="J1671" s="428"/>
      <c r="K1671" s="428"/>
      <c r="L1671" s="428"/>
      <c r="M1671" s="407">
        <v>5</v>
      </c>
      <c r="N1671" s="705" t="s">
        <v>6612</v>
      </c>
      <c r="O1671" s="4170">
        <v>0.15</v>
      </c>
      <c r="P1671" s="4171">
        <v>531000</v>
      </c>
      <c r="Q1671" s="4057">
        <v>354000</v>
      </c>
      <c r="R1671" s="501" t="s">
        <v>4603</v>
      </c>
      <c r="S1671" s="552">
        <v>45280</v>
      </c>
      <c r="T1671" s="4057">
        <v>354000</v>
      </c>
      <c r="U1671" s="552">
        <v>45280</v>
      </c>
      <c r="V1671" s="4057">
        <v>354000</v>
      </c>
      <c r="W1671" s="552">
        <v>45281</v>
      </c>
      <c r="X1671" s="4057">
        <v>354000</v>
      </c>
      <c r="Y1671" s="552">
        <v>45282</v>
      </c>
      <c r="Z1671" s="840"/>
      <c r="AA1671" s="840"/>
      <c r="AB1671" s="840"/>
      <c r="AC1671" s="840"/>
      <c r="AD1671" s="840"/>
      <c r="AE1671" s="840"/>
      <c r="AF1671" s="840"/>
      <c r="AG1671" s="840"/>
      <c r="AH1671" s="840"/>
      <c r="AI1671" s="840"/>
    </row>
    <row r="1672" s="32" customFormat="1" ht="33" customHeight="1" spans="1:35">
      <c r="A1672" s="428"/>
      <c r="B1672" s="558"/>
      <c r="C1672" s="370"/>
      <c r="D1672" s="428"/>
      <c r="E1672" s="428"/>
      <c r="F1672" s="413"/>
      <c r="G1672" s="428"/>
      <c r="H1672" s="413"/>
      <c r="I1672" s="428"/>
      <c r="J1672" s="428"/>
      <c r="K1672" s="428"/>
      <c r="L1672" s="428"/>
      <c r="M1672" s="409"/>
      <c r="N1672" s="709"/>
      <c r="O1672" s="4186"/>
      <c r="P1672" s="4173"/>
      <c r="Q1672" s="4057">
        <v>177000</v>
      </c>
      <c r="R1672" s="503"/>
      <c r="S1672" s="552">
        <v>45280</v>
      </c>
      <c r="T1672" s="4057">
        <v>177000</v>
      </c>
      <c r="U1672" s="552">
        <v>45280</v>
      </c>
      <c r="V1672" s="4057">
        <v>177000</v>
      </c>
      <c r="W1672" s="552">
        <v>45281</v>
      </c>
      <c r="X1672" s="4057">
        <v>177000</v>
      </c>
      <c r="Y1672" s="552">
        <v>45309</v>
      </c>
      <c r="Z1672" s="840"/>
      <c r="AA1672" s="840"/>
      <c r="AB1672" s="840"/>
      <c r="AC1672" s="840"/>
      <c r="AD1672" s="840"/>
      <c r="AE1672" s="840"/>
      <c r="AF1672" s="840"/>
      <c r="AG1672" s="840"/>
      <c r="AH1672" s="840"/>
      <c r="AI1672" s="840"/>
    </row>
    <row r="1673" s="32" customFormat="1" ht="33" customHeight="1" spans="1:35">
      <c r="A1673" s="428"/>
      <c r="B1673" s="558"/>
      <c r="C1673" s="370"/>
      <c r="D1673" s="428"/>
      <c r="E1673" s="428"/>
      <c r="F1673" s="413"/>
      <c r="G1673" s="428"/>
      <c r="H1673" s="413"/>
      <c r="I1673" s="428"/>
      <c r="J1673" s="428"/>
      <c r="K1673" s="428"/>
      <c r="L1673" s="428"/>
      <c r="M1673" s="413">
        <v>6</v>
      </c>
      <c r="N1673" s="2618" t="s">
        <v>4232</v>
      </c>
      <c r="O1673" s="4169">
        <v>0.05</v>
      </c>
      <c r="P1673" s="4057">
        <v>177000</v>
      </c>
      <c r="Q1673" s="4057">
        <v>177000</v>
      </c>
      <c r="R1673" s="428" t="s">
        <v>4603</v>
      </c>
      <c r="S1673" s="552">
        <v>45280</v>
      </c>
      <c r="T1673" s="4057">
        <v>177000</v>
      </c>
      <c r="U1673" s="552">
        <v>45280</v>
      </c>
      <c r="V1673" s="4057">
        <v>177000</v>
      </c>
      <c r="W1673" s="552">
        <v>45281</v>
      </c>
      <c r="X1673" s="4057">
        <v>177000</v>
      </c>
      <c r="Y1673" s="552">
        <v>45309</v>
      </c>
      <c r="Z1673" s="840"/>
      <c r="AA1673" s="840"/>
      <c r="AB1673" s="840"/>
      <c r="AC1673" s="840"/>
      <c r="AD1673" s="840"/>
      <c r="AE1673" s="840"/>
      <c r="AF1673" s="840"/>
      <c r="AG1673" s="840"/>
      <c r="AH1673" s="840"/>
      <c r="AI1673" s="840"/>
    </row>
    <row r="1674" s="32" customFormat="1" ht="33" customHeight="1" spans="1:35">
      <c r="A1674" s="428"/>
      <c r="B1674" s="558"/>
      <c r="C1674" s="370"/>
      <c r="D1674" s="428"/>
      <c r="E1674" s="428"/>
      <c r="F1674" s="413"/>
      <c r="G1674" s="428"/>
      <c r="H1674" s="413"/>
      <c r="I1674" s="428"/>
      <c r="J1674" s="428"/>
      <c r="K1674" s="428"/>
      <c r="L1674" s="428"/>
      <c r="M1674" s="407">
        <v>7</v>
      </c>
      <c r="N1674" s="705" t="s">
        <v>4234</v>
      </c>
      <c r="O1674" s="4170">
        <v>0.1</v>
      </c>
      <c r="P1674" s="4171">
        <v>354000</v>
      </c>
      <c r="Q1674" s="4068">
        <f>3540000*0.07</f>
        <v>247800</v>
      </c>
      <c r="R1674" s="593" t="s">
        <v>349</v>
      </c>
      <c r="S1674" s="4060">
        <v>46021</v>
      </c>
      <c r="T1674" s="4057"/>
      <c r="U1674" s="552"/>
      <c r="V1674" s="4057"/>
      <c r="W1674" s="552"/>
      <c r="X1674" s="4068">
        <f>Q1674</f>
        <v>247800</v>
      </c>
      <c r="Y1674" s="4175">
        <v>46052</v>
      </c>
      <c r="Z1674" s="840"/>
      <c r="AA1674" s="840"/>
      <c r="AB1674" s="840"/>
      <c r="AC1674" s="840"/>
      <c r="AD1674" s="840"/>
      <c r="AE1674" s="840"/>
      <c r="AF1674" s="840"/>
      <c r="AG1674" s="840"/>
      <c r="AH1674" s="840"/>
      <c r="AI1674" s="840"/>
    </row>
    <row r="1675" s="32" customFormat="1" ht="33" customHeight="1" spans="1:35">
      <c r="A1675" s="428"/>
      <c r="B1675" s="554"/>
      <c r="C1675" s="370"/>
      <c r="D1675" s="428"/>
      <c r="E1675" s="428"/>
      <c r="F1675" s="413"/>
      <c r="G1675" s="428"/>
      <c r="H1675" s="413"/>
      <c r="I1675" s="428"/>
      <c r="J1675" s="428"/>
      <c r="K1675" s="428"/>
      <c r="L1675" s="428"/>
      <c r="M1675" s="411"/>
      <c r="N1675" s="3558"/>
      <c r="O1675" s="4172"/>
      <c r="P1675" s="4173"/>
      <c r="Q1675" s="4068">
        <f>3540000*0.03-100000</f>
        <v>6200</v>
      </c>
      <c r="R1675" s="593" t="s">
        <v>349</v>
      </c>
      <c r="S1675" s="4060">
        <v>46021</v>
      </c>
      <c r="T1675" s="4057"/>
      <c r="U1675" s="4058"/>
      <c r="V1675" s="4057"/>
      <c r="W1675" s="4058"/>
      <c r="X1675" s="4068">
        <f>Q1675</f>
        <v>6200</v>
      </c>
      <c r="Y1675" s="4175">
        <v>46052</v>
      </c>
      <c r="Z1675" s="840"/>
      <c r="AA1675" s="840"/>
      <c r="AB1675" s="840"/>
      <c r="AC1675" s="840"/>
      <c r="AD1675" s="840"/>
      <c r="AE1675" s="840"/>
      <c r="AF1675" s="840"/>
      <c r="AG1675" s="840"/>
      <c r="AH1675" s="840"/>
      <c r="AI1675" s="840"/>
    </row>
    <row r="1676" s="32" customFormat="1" ht="33" customHeight="1" spans="1:35">
      <c r="A1676" s="501" t="s">
        <v>2570</v>
      </c>
      <c r="B1676" s="553">
        <v>44886</v>
      </c>
      <c r="C1676" s="378" t="s">
        <v>6691</v>
      </c>
      <c r="D1676" s="501"/>
      <c r="E1676" s="407" t="s">
        <v>6704</v>
      </c>
      <c r="F1676" s="407" t="s">
        <v>6705</v>
      </c>
      <c r="G1676" s="501" t="s">
        <v>6624</v>
      </c>
      <c r="H1676" s="407" t="s">
        <v>6441</v>
      </c>
      <c r="I1676" s="501">
        <f>K1676/7</f>
        <v>42857.1428571429</v>
      </c>
      <c r="J1676" s="501" t="s">
        <v>5255</v>
      </c>
      <c r="K1676" s="501">
        <v>300000</v>
      </c>
      <c r="L1676" s="501" t="s">
        <v>27</v>
      </c>
      <c r="M1676" s="413">
        <v>1</v>
      </c>
      <c r="N1676" s="2618" t="s">
        <v>6706</v>
      </c>
      <c r="O1676" s="4169">
        <v>0.2</v>
      </c>
      <c r="P1676" s="4057">
        <f>300000*O1676</f>
        <v>60000</v>
      </c>
      <c r="Q1676" s="4057">
        <v>60000</v>
      </c>
      <c r="R1676" s="428" t="s">
        <v>4603</v>
      </c>
      <c r="S1676" s="4058">
        <v>44902</v>
      </c>
      <c r="T1676" s="4057">
        <v>60000</v>
      </c>
      <c r="U1676" s="4058">
        <v>44902</v>
      </c>
      <c r="V1676" s="4057">
        <v>60000</v>
      </c>
      <c r="W1676" s="4058">
        <v>44902</v>
      </c>
      <c r="X1676" s="4057">
        <v>60000</v>
      </c>
      <c r="Y1676" s="4058">
        <v>44916</v>
      </c>
      <c r="Z1676" s="840"/>
      <c r="AA1676" s="840"/>
      <c r="AB1676" s="840"/>
      <c r="AC1676" s="840"/>
      <c r="AD1676" s="840"/>
      <c r="AE1676" s="840"/>
      <c r="AF1676" s="840"/>
      <c r="AG1676" s="840"/>
      <c r="AH1676" s="840"/>
      <c r="AI1676" s="840"/>
    </row>
    <row r="1677" s="32" customFormat="1" ht="33" customHeight="1" spans="1:35">
      <c r="A1677" s="433"/>
      <c r="B1677" s="558"/>
      <c r="C1677" s="657"/>
      <c r="D1677" s="433"/>
      <c r="E1677" s="433"/>
      <c r="F1677" s="409"/>
      <c r="G1677" s="433"/>
      <c r="H1677" s="409"/>
      <c r="I1677" s="433"/>
      <c r="J1677" s="433"/>
      <c r="K1677" s="433"/>
      <c r="L1677" s="433"/>
      <c r="M1677" s="413">
        <v>2</v>
      </c>
      <c r="N1677" s="2618" t="s">
        <v>6707</v>
      </c>
      <c r="O1677" s="4169">
        <v>0.6</v>
      </c>
      <c r="P1677" s="4057">
        <f>300000*O1677</f>
        <v>180000</v>
      </c>
      <c r="Q1677" s="4057">
        <v>180000</v>
      </c>
      <c r="R1677" s="428" t="s">
        <v>4603</v>
      </c>
      <c r="S1677" s="4058">
        <v>44902</v>
      </c>
      <c r="T1677" s="4057">
        <v>180000</v>
      </c>
      <c r="U1677" s="4058">
        <v>44902</v>
      </c>
      <c r="V1677" s="4057">
        <v>180000</v>
      </c>
      <c r="W1677" s="4058">
        <v>44902</v>
      </c>
      <c r="X1677" s="4057">
        <v>180000</v>
      </c>
      <c r="Y1677" s="4058">
        <v>44916</v>
      </c>
      <c r="Z1677" s="840"/>
      <c r="AA1677" s="840"/>
      <c r="AB1677" s="840"/>
      <c r="AC1677" s="840"/>
      <c r="AD1677" s="840"/>
      <c r="AE1677" s="840"/>
      <c r="AF1677" s="840"/>
      <c r="AG1677" s="840"/>
      <c r="AH1677" s="840"/>
      <c r="AI1677" s="840"/>
    </row>
    <row r="1678" s="32" customFormat="1" ht="33" customHeight="1" spans="1:35">
      <c r="A1678" s="433"/>
      <c r="B1678" s="558"/>
      <c r="C1678" s="657"/>
      <c r="D1678" s="433"/>
      <c r="E1678" s="433"/>
      <c r="F1678" s="409"/>
      <c r="G1678" s="433"/>
      <c r="H1678" s="409"/>
      <c r="I1678" s="433"/>
      <c r="J1678" s="433"/>
      <c r="K1678" s="433"/>
      <c r="L1678" s="433"/>
      <c r="M1678" s="413">
        <v>3</v>
      </c>
      <c r="N1678" s="2618" t="s">
        <v>6707</v>
      </c>
      <c r="O1678" s="4169">
        <v>0.18</v>
      </c>
      <c r="P1678" s="4057">
        <v>54000</v>
      </c>
      <c r="Q1678" s="4057">
        <v>54000</v>
      </c>
      <c r="R1678" s="428" t="s">
        <v>4603</v>
      </c>
      <c r="S1678" s="4058">
        <v>44918</v>
      </c>
      <c r="T1678" s="4057">
        <v>54000</v>
      </c>
      <c r="U1678" s="4058">
        <v>44918</v>
      </c>
      <c r="V1678" s="4057"/>
      <c r="W1678" s="4058"/>
      <c r="X1678" s="4068">
        <v>54000</v>
      </c>
      <c r="Y1678" s="4175">
        <v>46052</v>
      </c>
      <c r="Z1678" s="840"/>
      <c r="AA1678" s="840"/>
      <c r="AB1678" s="840"/>
      <c r="AC1678" s="840"/>
      <c r="AD1678" s="840"/>
      <c r="AE1678" s="840"/>
      <c r="AF1678" s="840"/>
      <c r="AG1678" s="840"/>
      <c r="AH1678" s="840"/>
      <c r="AI1678" s="840"/>
    </row>
    <row r="1679" s="32" customFormat="1" ht="33" customHeight="1" spans="1:35">
      <c r="A1679" s="433"/>
      <c r="B1679" s="558"/>
      <c r="C1679" s="657"/>
      <c r="D1679" s="433"/>
      <c r="E1679" s="433"/>
      <c r="F1679" s="409"/>
      <c r="G1679" s="433"/>
      <c r="H1679" s="409"/>
      <c r="I1679" s="433"/>
      <c r="J1679" s="433"/>
      <c r="K1679" s="433"/>
      <c r="L1679" s="433"/>
      <c r="M1679" s="413">
        <v>4</v>
      </c>
      <c r="N1679" s="2618" t="s">
        <v>6708</v>
      </c>
      <c r="O1679" s="4169">
        <v>0.02</v>
      </c>
      <c r="P1679" s="4057">
        <v>6000</v>
      </c>
      <c r="Q1679" s="4068">
        <v>6000</v>
      </c>
      <c r="R1679" s="593" t="s">
        <v>349</v>
      </c>
      <c r="S1679" s="4060">
        <v>46052</v>
      </c>
      <c r="T1679" s="4057"/>
      <c r="U1679" s="4058"/>
      <c r="V1679" s="4057"/>
      <c r="W1679" s="4058"/>
      <c r="X1679" s="4068">
        <f>Q1679</f>
        <v>6000</v>
      </c>
      <c r="Y1679" s="4175">
        <v>46052</v>
      </c>
      <c r="Z1679" s="840"/>
      <c r="AA1679" s="840"/>
      <c r="AB1679" s="840"/>
      <c r="AC1679" s="840"/>
      <c r="AD1679" s="840"/>
      <c r="AE1679" s="840"/>
      <c r="AF1679" s="840"/>
      <c r="AG1679" s="840"/>
      <c r="AH1679" s="840"/>
      <c r="AI1679" s="840"/>
    </row>
    <row r="1680" s="32" customFormat="1" ht="33" customHeight="1" spans="1:35">
      <c r="A1680" s="553" t="s">
        <v>2570</v>
      </c>
      <c r="B1680" s="553">
        <v>44893</v>
      </c>
      <c r="C1680" s="378" t="s">
        <v>6691</v>
      </c>
      <c r="D1680" s="501"/>
      <c r="E1680" s="407" t="s">
        <v>6709</v>
      </c>
      <c r="F1680" s="407" t="s">
        <v>6710</v>
      </c>
      <c r="G1680" s="501" t="s">
        <v>6711</v>
      </c>
      <c r="H1680" s="407" t="s">
        <v>6618</v>
      </c>
      <c r="I1680" s="501"/>
      <c r="J1680" s="501" t="s">
        <v>997</v>
      </c>
      <c r="K1680" s="501">
        <v>263400</v>
      </c>
      <c r="L1680" s="501" t="s">
        <v>126</v>
      </c>
      <c r="M1680" s="413">
        <v>1</v>
      </c>
      <c r="N1680" s="2618" t="s">
        <v>6076</v>
      </c>
      <c r="O1680" s="4169">
        <v>0.2</v>
      </c>
      <c r="P1680" s="4057">
        <f>K1680*O1680</f>
        <v>52680</v>
      </c>
      <c r="Q1680" s="4057">
        <v>52680</v>
      </c>
      <c r="R1680" s="428" t="s">
        <v>4603</v>
      </c>
      <c r="S1680" s="4058">
        <v>44897</v>
      </c>
      <c r="T1680" s="4057">
        <v>52680</v>
      </c>
      <c r="U1680" s="4058">
        <v>44897</v>
      </c>
      <c r="V1680" s="4057">
        <v>52680</v>
      </c>
      <c r="W1680" s="4058">
        <v>44931</v>
      </c>
      <c r="X1680" s="4057">
        <v>52680</v>
      </c>
      <c r="Y1680" s="4058">
        <v>44944</v>
      </c>
      <c r="Z1680" s="840"/>
      <c r="AA1680" s="840"/>
      <c r="AB1680" s="840"/>
      <c r="AC1680" s="840"/>
      <c r="AD1680" s="840"/>
      <c r="AE1680" s="840"/>
      <c r="AF1680" s="840"/>
      <c r="AG1680" s="840"/>
      <c r="AH1680" s="840"/>
      <c r="AI1680" s="840"/>
    </row>
    <row r="1681" s="32" customFormat="1" ht="33" customHeight="1" spans="1:35">
      <c r="A1681" s="558"/>
      <c r="B1681" s="558"/>
      <c r="C1681" s="657"/>
      <c r="D1681" s="433"/>
      <c r="E1681" s="409"/>
      <c r="F1681" s="409"/>
      <c r="G1681" s="433"/>
      <c r="H1681" s="409"/>
      <c r="I1681" s="433"/>
      <c r="J1681" s="433"/>
      <c r="K1681" s="433"/>
      <c r="L1681" s="433"/>
      <c r="M1681" s="413">
        <v>2</v>
      </c>
      <c r="N1681" s="2618" t="s">
        <v>6712</v>
      </c>
      <c r="O1681" s="4169">
        <v>0.7</v>
      </c>
      <c r="P1681" s="4057">
        <f>K1680*O1681</f>
        <v>184380</v>
      </c>
      <c r="Q1681" s="4057">
        <v>184380</v>
      </c>
      <c r="R1681" s="428" t="s">
        <v>4603</v>
      </c>
      <c r="S1681" s="4058">
        <v>44897</v>
      </c>
      <c r="T1681" s="4057">
        <v>184380</v>
      </c>
      <c r="U1681" s="4058">
        <v>44897</v>
      </c>
      <c r="V1681" s="4057">
        <v>184380</v>
      </c>
      <c r="W1681" s="4058">
        <v>44931</v>
      </c>
      <c r="X1681" s="4057">
        <v>184380</v>
      </c>
      <c r="Y1681" s="4058">
        <v>44944</v>
      </c>
      <c r="Z1681" s="840"/>
      <c r="AA1681" s="840"/>
      <c r="AB1681" s="840"/>
      <c r="AC1681" s="840"/>
      <c r="AD1681" s="840"/>
      <c r="AE1681" s="840"/>
      <c r="AF1681" s="840"/>
      <c r="AG1681" s="840"/>
      <c r="AH1681" s="840"/>
      <c r="AI1681" s="840"/>
    </row>
    <row r="1682" s="32" customFormat="1" ht="33" customHeight="1" spans="1:35">
      <c r="A1682" s="558"/>
      <c r="B1682" s="558"/>
      <c r="C1682" s="657"/>
      <c r="D1682" s="433"/>
      <c r="E1682" s="409"/>
      <c r="F1682" s="409"/>
      <c r="G1682" s="433"/>
      <c r="H1682" s="409"/>
      <c r="I1682" s="433"/>
      <c r="J1682" s="433"/>
      <c r="K1682" s="433"/>
      <c r="L1682" s="433"/>
      <c r="M1682" s="413">
        <v>3</v>
      </c>
      <c r="N1682" s="2618" t="s">
        <v>6078</v>
      </c>
      <c r="O1682" s="4169">
        <v>0.1</v>
      </c>
      <c r="P1682" s="4057">
        <f>K1680*O1682</f>
        <v>26340</v>
      </c>
      <c r="Q1682" s="4068">
        <v>26340</v>
      </c>
      <c r="R1682" s="593" t="s">
        <v>349</v>
      </c>
      <c r="S1682" s="4060">
        <v>46052</v>
      </c>
      <c r="T1682" s="4057"/>
      <c r="U1682" s="4058"/>
      <c r="V1682" s="4068"/>
      <c r="W1682" s="4058"/>
      <c r="X1682" s="4068">
        <f>Q1682</f>
        <v>26340</v>
      </c>
      <c r="Y1682" s="4060">
        <v>46052</v>
      </c>
      <c r="Z1682" s="840"/>
      <c r="AA1682" s="840"/>
      <c r="AB1682" s="840"/>
      <c r="AC1682" s="840"/>
      <c r="AD1682" s="840"/>
      <c r="AE1682" s="840"/>
      <c r="AF1682" s="840"/>
      <c r="AG1682" s="840"/>
      <c r="AH1682" s="840"/>
      <c r="AI1682" s="840"/>
    </row>
    <row r="1683" s="32" customFormat="1" ht="33" customHeight="1" spans="1:35">
      <c r="A1683" s="558"/>
      <c r="B1683" s="558"/>
      <c r="C1683" s="657"/>
      <c r="D1683" s="433"/>
      <c r="E1683" s="409"/>
      <c r="F1683" s="409"/>
      <c r="G1683" s="501" t="s">
        <v>6713</v>
      </c>
      <c r="H1683" s="409"/>
      <c r="I1683" s="433"/>
      <c r="J1683" s="433"/>
      <c r="K1683" s="428">
        <v>220000</v>
      </c>
      <c r="L1683" s="433"/>
      <c r="M1683" s="413">
        <v>1</v>
      </c>
      <c r="N1683" s="2618" t="s">
        <v>6076</v>
      </c>
      <c r="O1683" s="4169">
        <v>0.2</v>
      </c>
      <c r="P1683" s="4057">
        <f>K1683*O1683</f>
        <v>44000</v>
      </c>
      <c r="Q1683" s="4057">
        <v>44000</v>
      </c>
      <c r="R1683" s="428" t="s">
        <v>4603</v>
      </c>
      <c r="S1683" s="4058">
        <v>44897</v>
      </c>
      <c r="T1683" s="4057">
        <v>44000</v>
      </c>
      <c r="U1683" s="4058">
        <v>44897</v>
      </c>
      <c r="V1683" s="4057">
        <v>44000</v>
      </c>
      <c r="W1683" s="4058">
        <v>44931</v>
      </c>
      <c r="X1683" s="4057">
        <v>44000</v>
      </c>
      <c r="Y1683" s="4058">
        <v>44944</v>
      </c>
      <c r="Z1683" s="840"/>
      <c r="AA1683" s="840"/>
      <c r="AB1683" s="840"/>
      <c r="AC1683" s="840"/>
      <c r="AD1683" s="840"/>
      <c r="AE1683" s="840"/>
      <c r="AF1683" s="840"/>
      <c r="AG1683" s="840"/>
      <c r="AH1683" s="840"/>
      <c r="AI1683" s="840"/>
    </row>
    <row r="1684" s="32" customFormat="1" ht="33" customHeight="1" spans="1:35">
      <c r="A1684" s="558"/>
      <c r="B1684" s="558"/>
      <c r="C1684" s="657"/>
      <c r="D1684" s="433"/>
      <c r="E1684" s="409"/>
      <c r="F1684" s="409"/>
      <c r="G1684" s="433"/>
      <c r="H1684" s="409"/>
      <c r="I1684" s="433"/>
      <c r="J1684" s="433"/>
      <c r="K1684" s="428"/>
      <c r="L1684" s="433"/>
      <c r="M1684" s="413">
        <v>2</v>
      </c>
      <c r="N1684" s="2618" t="s">
        <v>6712</v>
      </c>
      <c r="O1684" s="4169">
        <v>0.7</v>
      </c>
      <c r="P1684" s="4057">
        <f>K1683*O1684</f>
        <v>154000</v>
      </c>
      <c r="Q1684" s="4057">
        <v>154000</v>
      </c>
      <c r="R1684" s="428" t="s">
        <v>4603</v>
      </c>
      <c r="S1684" s="4058">
        <v>44897</v>
      </c>
      <c r="T1684" s="4057">
        <v>154000</v>
      </c>
      <c r="U1684" s="4058">
        <v>44897</v>
      </c>
      <c r="V1684" s="4057">
        <v>154000</v>
      </c>
      <c r="W1684" s="4058">
        <v>44931</v>
      </c>
      <c r="X1684" s="4057">
        <v>154000</v>
      </c>
      <c r="Y1684" s="4058">
        <v>44944</v>
      </c>
      <c r="Z1684" s="840"/>
      <c r="AA1684" s="840"/>
      <c r="AB1684" s="840"/>
      <c r="AC1684" s="840"/>
      <c r="AD1684" s="840"/>
      <c r="AE1684" s="840"/>
      <c r="AF1684" s="840"/>
      <c r="AG1684" s="840"/>
      <c r="AH1684" s="840"/>
      <c r="AI1684" s="840"/>
    </row>
    <row r="1685" s="32" customFormat="1" ht="33" customHeight="1" spans="1:35">
      <c r="A1685" s="558"/>
      <c r="B1685" s="558"/>
      <c r="C1685" s="657"/>
      <c r="D1685" s="433"/>
      <c r="E1685" s="409"/>
      <c r="F1685" s="409"/>
      <c r="G1685" s="433"/>
      <c r="H1685" s="409"/>
      <c r="I1685" s="433"/>
      <c r="J1685" s="433"/>
      <c r="K1685" s="428"/>
      <c r="L1685" s="433"/>
      <c r="M1685" s="413">
        <v>3</v>
      </c>
      <c r="N1685" s="2618" t="s">
        <v>6078</v>
      </c>
      <c r="O1685" s="4169">
        <v>0.1</v>
      </c>
      <c r="P1685" s="4057">
        <f>K1683*O1685</f>
        <v>22000</v>
      </c>
      <c r="Q1685" s="4068">
        <v>22000</v>
      </c>
      <c r="R1685" s="593" t="s">
        <v>349</v>
      </c>
      <c r="S1685" s="4060">
        <v>46052</v>
      </c>
      <c r="T1685" s="4057"/>
      <c r="U1685" s="4058"/>
      <c r="V1685" s="4068"/>
      <c r="W1685" s="4058"/>
      <c r="X1685" s="4068">
        <f>Q1685</f>
        <v>22000</v>
      </c>
      <c r="Y1685" s="4060">
        <v>46052</v>
      </c>
      <c r="Z1685" s="840"/>
      <c r="AA1685" s="840"/>
      <c r="AB1685" s="840"/>
      <c r="AC1685" s="840"/>
      <c r="AD1685" s="840"/>
      <c r="AE1685" s="840"/>
      <c r="AF1685" s="840"/>
      <c r="AG1685" s="840"/>
      <c r="AH1685" s="840"/>
      <c r="AI1685" s="840"/>
    </row>
    <row r="1686" s="32" customFormat="1" ht="33" customHeight="1" spans="1:35">
      <c r="A1686" s="558"/>
      <c r="B1686" s="558"/>
      <c r="C1686" s="657"/>
      <c r="D1686" s="433"/>
      <c r="E1686" s="409"/>
      <c r="F1686" s="409"/>
      <c r="G1686" s="501" t="s">
        <v>6613</v>
      </c>
      <c r="H1686" s="409"/>
      <c r="I1686" s="433"/>
      <c r="J1686" s="433"/>
      <c r="K1686" s="428">
        <v>799900</v>
      </c>
      <c r="L1686" s="433"/>
      <c r="M1686" s="413">
        <v>1</v>
      </c>
      <c r="N1686" s="2618" t="s">
        <v>6076</v>
      </c>
      <c r="O1686" s="4169">
        <v>0.2</v>
      </c>
      <c r="P1686" s="4057">
        <f>K1686*O1686</f>
        <v>159980</v>
      </c>
      <c r="Q1686" s="4057">
        <v>159980</v>
      </c>
      <c r="R1686" s="428" t="s">
        <v>4603</v>
      </c>
      <c r="S1686" s="4058">
        <v>44897</v>
      </c>
      <c r="T1686" s="4057">
        <v>159980</v>
      </c>
      <c r="U1686" s="4058">
        <v>44897</v>
      </c>
      <c r="V1686" s="4057">
        <v>159980</v>
      </c>
      <c r="W1686" s="4058">
        <v>44931</v>
      </c>
      <c r="X1686" s="4057">
        <v>159980</v>
      </c>
      <c r="Y1686" s="4058">
        <v>44944</v>
      </c>
      <c r="Z1686" s="840"/>
      <c r="AA1686" s="840"/>
      <c r="AB1686" s="840"/>
      <c r="AC1686" s="840"/>
      <c r="AD1686" s="840"/>
      <c r="AE1686" s="840"/>
      <c r="AF1686" s="840"/>
      <c r="AG1686" s="840"/>
      <c r="AH1686" s="840"/>
      <c r="AI1686" s="840"/>
    </row>
    <row r="1687" s="32" customFormat="1" ht="33" customHeight="1" spans="1:35">
      <c r="A1687" s="558"/>
      <c r="B1687" s="558"/>
      <c r="C1687" s="657"/>
      <c r="D1687" s="433"/>
      <c r="E1687" s="409"/>
      <c r="F1687" s="409"/>
      <c r="G1687" s="433"/>
      <c r="H1687" s="409"/>
      <c r="I1687" s="433"/>
      <c r="J1687" s="433"/>
      <c r="K1687" s="428"/>
      <c r="L1687" s="433"/>
      <c r="M1687" s="413">
        <v>2</v>
      </c>
      <c r="N1687" s="2618" t="s">
        <v>6077</v>
      </c>
      <c r="O1687" s="4169">
        <v>0.6</v>
      </c>
      <c r="P1687" s="4057">
        <f>K1686*O1687</f>
        <v>479940</v>
      </c>
      <c r="Q1687" s="4057">
        <v>479940</v>
      </c>
      <c r="R1687" s="428" t="s">
        <v>4603</v>
      </c>
      <c r="S1687" s="4058">
        <v>44897</v>
      </c>
      <c r="T1687" s="4057">
        <v>479940</v>
      </c>
      <c r="U1687" s="4058">
        <v>44897</v>
      </c>
      <c r="V1687" s="4057">
        <v>479940</v>
      </c>
      <c r="W1687" s="4058">
        <v>44931</v>
      </c>
      <c r="X1687" s="4057">
        <v>479940</v>
      </c>
      <c r="Y1687" s="4058">
        <v>44944</v>
      </c>
      <c r="Z1687" s="840"/>
      <c r="AA1687" s="840"/>
      <c r="AB1687" s="840"/>
      <c r="AC1687" s="840"/>
      <c r="AD1687" s="840"/>
      <c r="AE1687" s="840"/>
      <c r="AF1687" s="840"/>
      <c r="AG1687" s="840"/>
      <c r="AH1687" s="840"/>
      <c r="AI1687" s="840"/>
    </row>
    <row r="1688" s="32" customFormat="1" ht="33" customHeight="1" spans="1:35">
      <c r="A1688" s="558"/>
      <c r="B1688" s="558"/>
      <c r="C1688" s="657"/>
      <c r="D1688" s="433"/>
      <c r="E1688" s="409"/>
      <c r="F1688" s="409"/>
      <c r="G1688" s="433"/>
      <c r="H1688" s="409"/>
      <c r="I1688" s="433"/>
      <c r="J1688" s="433"/>
      <c r="K1688" s="428"/>
      <c r="L1688" s="433"/>
      <c r="M1688" s="413">
        <v>3</v>
      </c>
      <c r="N1688" s="2618" t="s">
        <v>6078</v>
      </c>
      <c r="O1688" s="4169">
        <v>0.2</v>
      </c>
      <c r="P1688" s="4057">
        <f>K1686*O1688</f>
        <v>159980</v>
      </c>
      <c r="Q1688" s="4068">
        <v>159980</v>
      </c>
      <c r="R1688" s="593" t="s">
        <v>349</v>
      </c>
      <c r="S1688" s="4060">
        <v>46052</v>
      </c>
      <c r="T1688" s="4057"/>
      <c r="U1688" s="4058"/>
      <c r="V1688" s="4057"/>
      <c r="W1688" s="4058"/>
      <c r="X1688" s="4068">
        <f>Q1688</f>
        <v>159980</v>
      </c>
      <c r="Y1688" s="4060">
        <v>46052</v>
      </c>
      <c r="Z1688" s="840"/>
      <c r="AA1688" s="840"/>
      <c r="AB1688" s="840"/>
      <c r="AC1688" s="840"/>
      <c r="AD1688" s="840"/>
      <c r="AE1688" s="840"/>
      <c r="AF1688" s="840"/>
      <c r="AG1688" s="840"/>
      <c r="AH1688" s="840"/>
      <c r="AI1688" s="840"/>
    </row>
    <row r="1689" s="32" customFormat="1" ht="33" customHeight="1" spans="1:35">
      <c r="A1689" s="558"/>
      <c r="B1689" s="558"/>
      <c r="C1689" s="657"/>
      <c r="D1689" s="433"/>
      <c r="E1689" s="409"/>
      <c r="F1689" s="409"/>
      <c r="G1689" s="501" t="s">
        <v>6714</v>
      </c>
      <c r="H1689" s="409"/>
      <c r="I1689" s="433"/>
      <c r="J1689" s="433"/>
      <c r="K1689" s="501">
        <v>290000</v>
      </c>
      <c r="L1689" s="433"/>
      <c r="M1689" s="413">
        <v>1</v>
      </c>
      <c r="N1689" s="2618" t="s">
        <v>6715</v>
      </c>
      <c r="O1689" s="4169">
        <v>0.2</v>
      </c>
      <c r="P1689" s="4057">
        <f>K1689*O1689</f>
        <v>58000</v>
      </c>
      <c r="Q1689" s="4057">
        <v>58000</v>
      </c>
      <c r="R1689" s="428" t="s">
        <v>4603</v>
      </c>
      <c r="S1689" s="4058">
        <v>44897</v>
      </c>
      <c r="T1689" s="4057">
        <v>58000</v>
      </c>
      <c r="U1689" s="4058">
        <v>44897</v>
      </c>
      <c r="V1689" s="4057">
        <v>58000</v>
      </c>
      <c r="W1689" s="4058">
        <v>44931</v>
      </c>
      <c r="X1689" s="4057">
        <v>58000</v>
      </c>
      <c r="Y1689" s="4058">
        <v>44944</v>
      </c>
      <c r="Z1689" s="840"/>
      <c r="AA1689" s="840"/>
      <c r="AB1689" s="840"/>
      <c r="AC1689" s="840"/>
      <c r="AD1689" s="840"/>
      <c r="AE1689" s="840"/>
      <c r="AF1689" s="840"/>
      <c r="AG1689" s="840"/>
      <c r="AH1689" s="840"/>
      <c r="AI1689" s="840"/>
    </row>
    <row r="1690" s="32" customFormat="1" ht="33" customHeight="1" spans="1:35">
      <c r="A1690" s="558"/>
      <c r="B1690" s="558"/>
      <c r="C1690" s="657"/>
      <c r="D1690" s="433"/>
      <c r="E1690" s="409"/>
      <c r="F1690" s="409"/>
      <c r="G1690" s="433"/>
      <c r="H1690" s="409"/>
      <c r="I1690" s="433"/>
      <c r="J1690" s="433"/>
      <c r="K1690" s="433"/>
      <c r="L1690" s="433"/>
      <c r="M1690" s="413">
        <v>2</v>
      </c>
      <c r="N1690" s="705" t="s">
        <v>6716</v>
      </c>
      <c r="O1690" s="4169">
        <v>0.5</v>
      </c>
      <c r="P1690" s="4057">
        <v>145000</v>
      </c>
      <c r="Q1690" s="4057">
        <v>145000</v>
      </c>
      <c r="R1690" s="428" t="s">
        <v>4603</v>
      </c>
      <c r="S1690" s="4058">
        <v>44897</v>
      </c>
      <c r="T1690" s="4057">
        <v>145000</v>
      </c>
      <c r="U1690" s="4058">
        <v>44897</v>
      </c>
      <c r="V1690" s="4057">
        <v>145000</v>
      </c>
      <c r="W1690" s="4058">
        <v>44931</v>
      </c>
      <c r="X1690" s="4057">
        <v>145000</v>
      </c>
      <c r="Y1690" s="4058">
        <v>44944</v>
      </c>
      <c r="Z1690" s="840"/>
      <c r="AA1690" s="840"/>
      <c r="AB1690" s="840"/>
      <c r="AC1690" s="840"/>
      <c r="AD1690" s="840"/>
      <c r="AE1690" s="840"/>
      <c r="AF1690" s="840"/>
      <c r="AG1690" s="840"/>
      <c r="AH1690" s="840"/>
      <c r="AI1690" s="840"/>
    </row>
    <row r="1691" s="32" customFormat="1" ht="33" customHeight="1" spans="1:35">
      <c r="A1691" s="558"/>
      <c r="B1691" s="558"/>
      <c r="C1691" s="657"/>
      <c r="D1691" s="433"/>
      <c r="E1691" s="409"/>
      <c r="F1691" s="409"/>
      <c r="G1691" s="433"/>
      <c r="H1691" s="409"/>
      <c r="I1691" s="433"/>
      <c r="J1691" s="433"/>
      <c r="K1691" s="433"/>
      <c r="L1691" s="433"/>
      <c r="M1691" s="413">
        <v>3</v>
      </c>
      <c r="N1691" s="3558"/>
      <c r="O1691" s="4169">
        <v>0.1</v>
      </c>
      <c r="P1691" s="4057">
        <f>K1689*O1691</f>
        <v>29000</v>
      </c>
      <c r="Q1691" s="4057">
        <v>29000</v>
      </c>
      <c r="R1691" s="428" t="s">
        <v>4603</v>
      </c>
      <c r="S1691" s="4058">
        <v>44897</v>
      </c>
      <c r="T1691" s="4057">
        <v>29000</v>
      </c>
      <c r="U1691" s="4058">
        <v>44897</v>
      </c>
      <c r="V1691" s="4057">
        <v>29000</v>
      </c>
      <c r="W1691" s="4058">
        <v>45294</v>
      </c>
      <c r="X1691" s="4057">
        <v>29000</v>
      </c>
      <c r="Y1691" s="4058">
        <v>45313</v>
      </c>
      <c r="Z1691" s="840"/>
      <c r="AA1691" s="840"/>
      <c r="AB1691" s="840"/>
      <c r="AC1691" s="840"/>
      <c r="AD1691" s="840"/>
      <c r="AE1691" s="840"/>
      <c r="AF1691" s="840"/>
      <c r="AG1691" s="840"/>
      <c r="AH1691" s="840"/>
      <c r="AI1691" s="840"/>
    </row>
    <row r="1692" s="32" customFormat="1" ht="33" customHeight="1" spans="1:35">
      <c r="A1692" s="558"/>
      <c r="B1692" s="558"/>
      <c r="C1692" s="657"/>
      <c r="D1692" s="433"/>
      <c r="E1692" s="409"/>
      <c r="F1692" s="409"/>
      <c r="G1692" s="433"/>
      <c r="H1692" s="409"/>
      <c r="I1692" s="433"/>
      <c r="J1692" s="433"/>
      <c r="K1692" s="433"/>
      <c r="L1692" s="433"/>
      <c r="M1692" s="413">
        <v>4</v>
      </c>
      <c r="N1692" s="709" t="s">
        <v>6717</v>
      </c>
      <c r="O1692" s="4169">
        <v>0.1</v>
      </c>
      <c r="P1692" s="4057">
        <v>29000</v>
      </c>
      <c r="Q1692" s="4057">
        <v>29000</v>
      </c>
      <c r="R1692" s="428" t="s">
        <v>4603</v>
      </c>
      <c r="S1692" s="4058">
        <v>45281</v>
      </c>
      <c r="T1692" s="4057">
        <v>29000</v>
      </c>
      <c r="U1692" s="4058">
        <v>45281</v>
      </c>
      <c r="V1692" s="4057"/>
      <c r="W1692" s="4058"/>
      <c r="X1692" s="4068">
        <f>Q1692</f>
        <v>29000</v>
      </c>
      <c r="Y1692" s="4060">
        <v>46052</v>
      </c>
      <c r="Z1692" s="840"/>
      <c r="AA1692" s="840"/>
      <c r="AB1692" s="840"/>
      <c r="AC1692" s="840"/>
      <c r="AD1692" s="840"/>
      <c r="AE1692" s="840"/>
      <c r="AF1692" s="840"/>
      <c r="AG1692" s="840"/>
      <c r="AH1692" s="840"/>
      <c r="AI1692" s="840"/>
    </row>
    <row r="1693" s="32" customFormat="1" ht="33" customHeight="1" spans="1:35">
      <c r="A1693" s="558"/>
      <c r="B1693" s="558"/>
      <c r="C1693" s="657"/>
      <c r="D1693" s="433"/>
      <c r="E1693" s="409"/>
      <c r="F1693" s="409"/>
      <c r="G1693" s="433"/>
      <c r="H1693" s="409"/>
      <c r="I1693" s="433"/>
      <c r="J1693" s="433"/>
      <c r="K1693" s="503"/>
      <c r="L1693" s="433"/>
      <c r="M1693" s="413">
        <v>5</v>
      </c>
      <c r="N1693" s="3558"/>
      <c r="O1693" s="4169">
        <v>0.1</v>
      </c>
      <c r="P1693" s="4057">
        <f>K1689*O1693</f>
        <v>29000</v>
      </c>
      <c r="Q1693" s="4068">
        <v>29000</v>
      </c>
      <c r="R1693" s="593" t="s">
        <v>349</v>
      </c>
      <c r="S1693" s="4060">
        <v>46052</v>
      </c>
      <c r="T1693" s="4057"/>
      <c r="U1693" s="4058"/>
      <c r="V1693" s="4057"/>
      <c r="W1693" s="4058"/>
      <c r="X1693" s="4068">
        <f>Q1693</f>
        <v>29000</v>
      </c>
      <c r="Y1693" s="4060">
        <v>46052</v>
      </c>
      <c r="Z1693" s="840"/>
      <c r="AA1693" s="840"/>
      <c r="AB1693" s="840"/>
      <c r="AC1693" s="840"/>
      <c r="AD1693" s="840"/>
      <c r="AE1693" s="840"/>
      <c r="AF1693" s="840"/>
      <c r="AG1693" s="840"/>
      <c r="AH1693" s="840"/>
      <c r="AI1693" s="840"/>
    </row>
    <row r="1694" s="32" customFormat="1" ht="33" customHeight="1" spans="1:35">
      <c r="A1694" s="501" t="s">
        <v>2570</v>
      </c>
      <c r="B1694" s="4176">
        <v>44872</v>
      </c>
      <c r="C1694" s="378" t="s">
        <v>6691</v>
      </c>
      <c r="D1694" s="3437"/>
      <c r="E1694" s="407" t="s">
        <v>6718</v>
      </c>
      <c r="F1694" s="407" t="s">
        <v>6719</v>
      </c>
      <c r="G1694" s="407" t="s">
        <v>6647</v>
      </c>
      <c r="H1694" s="407" t="s">
        <v>6720</v>
      </c>
      <c r="I1694" s="3437"/>
      <c r="J1694" s="407" t="s">
        <v>997</v>
      </c>
      <c r="K1694" s="4183">
        <v>634160</v>
      </c>
      <c r="L1694" s="501" t="s">
        <v>126</v>
      </c>
      <c r="M1694" s="413">
        <v>1</v>
      </c>
      <c r="N1694" s="2618" t="s">
        <v>6649</v>
      </c>
      <c r="O1694" s="4169">
        <v>0.17186356755393</v>
      </c>
      <c r="P1694" s="4057">
        <v>108989</v>
      </c>
      <c r="Q1694" s="4057">
        <v>108989</v>
      </c>
      <c r="R1694" s="428" t="s">
        <v>4603</v>
      </c>
      <c r="S1694" s="4058">
        <v>44890</v>
      </c>
      <c r="T1694" s="4057">
        <v>108989</v>
      </c>
      <c r="U1694" s="4058">
        <v>44875</v>
      </c>
      <c r="V1694" s="4057">
        <v>108989</v>
      </c>
      <c r="W1694" s="4058">
        <v>44882</v>
      </c>
      <c r="X1694" s="4057">
        <v>108989</v>
      </c>
      <c r="Y1694" s="4058">
        <v>44887</v>
      </c>
      <c r="Z1694" s="840"/>
      <c r="AA1694" s="840"/>
      <c r="AB1694" s="840"/>
      <c r="AC1694" s="840"/>
      <c r="AD1694" s="840"/>
      <c r="AE1694" s="840"/>
      <c r="AF1694" s="840"/>
      <c r="AG1694" s="840"/>
      <c r="AH1694" s="840"/>
      <c r="AI1694" s="840"/>
    </row>
    <row r="1695" s="32" customFormat="1" ht="33" customHeight="1" spans="1:35">
      <c r="A1695" s="433"/>
      <c r="B1695" s="4177"/>
      <c r="C1695" s="657"/>
      <c r="D1695" s="4178"/>
      <c r="E1695" s="4180"/>
      <c r="F1695" s="4180"/>
      <c r="G1695" s="4180"/>
      <c r="H1695" s="4180"/>
      <c r="I1695" s="4178"/>
      <c r="J1695" s="4180"/>
      <c r="K1695" s="4184"/>
      <c r="L1695" s="4178"/>
      <c r="M1695" s="840">
        <v>2</v>
      </c>
      <c r="N1695" s="2618" t="s">
        <v>6650</v>
      </c>
      <c r="O1695" s="4169">
        <v>0.687454270215718</v>
      </c>
      <c r="P1695" s="4057">
        <v>435956</v>
      </c>
      <c r="Q1695" s="4057">
        <v>435956</v>
      </c>
      <c r="R1695" s="428" t="s">
        <v>4603</v>
      </c>
      <c r="S1695" s="4058">
        <v>44890</v>
      </c>
      <c r="T1695" s="4057">
        <v>435956</v>
      </c>
      <c r="U1695" s="4058">
        <v>44885</v>
      </c>
      <c r="V1695" s="4057">
        <v>435956</v>
      </c>
      <c r="W1695" s="4058">
        <v>44882</v>
      </c>
      <c r="X1695" s="4057">
        <v>435956</v>
      </c>
      <c r="Y1695" s="4058">
        <v>44887</v>
      </c>
      <c r="Z1695" s="840"/>
      <c r="AA1695" s="840"/>
      <c r="AB1695" s="840"/>
      <c r="AC1695" s="840"/>
      <c r="AD1695" s="840"/>
      <c r="AE1695" s="840"/>
      <c r="AF1695" s="840"/>
      <c r="AG1695" s="840"/>
      <c r="AH1695" s="840"/>
      <c r="AI1695" s="840"/>
    </row>
    <row r="1696" s="32" customFormat="1" ht="33" customHeight="1" spans="1:35">
      <c r="A1696" s="433"/>
      <c r="B1696" s="4177"/>
      <c r="C1696" s="657"/>
      <c r="D1696" s="4178"/>
      <c r="E1696" s="4180"/>
      <c r="F1696" s="4180"/>
      <c r="G1696" s="4180"/>
      <c r="H1696" s="4180"/>
      <c r="I1696" s="4178"/>
      <c r="J1696" s="4180"/>
      <c r="K1696" s="4184"/>
      <c r="L1696" s="4178"/>
      <c r="M1696" s="840">
        <v>3</v>
      </c>
      <c r="N1696" s="2618" t="s">
        <v>6651</v>
      </c>
      <c r="O1696" s="4169">
        <v>0.0618377065724738</v>
      </c>
      <c r="P1696" s="4057">
        <v>39215</v>
      </c>
      <c r="Q1696" s="840">
        <v>39215</v>
      </c>
      <c r="R1696" s="428" t="s">
        <v>4603</v>
      </c>
      <c r="S1696" s="552">
        <v>45257</v>
      </c>
      <c r="T1696" s="840">
        <v>39215</v>
      </c>
      <c r="U1696" s="552">
        <v>45257</v>
      </c>
      <c r="V1696" s="840">
        <v>39215</v>
      </c>
      <c r="W1696" s="552">
        <v>45321</v>
      </c>
      <c r="X1696" s="840">
        <v>39215</v>
      </c>
      <c r="Y1696" s="552">
        <v>45381</v>
      </c>
      <c r="Z1696" s="840"/>
      <c r="AA1696" s="840"/>
      <c r="AB1696" s="840"/>
      <c r="AC1696" s="840"/>
      <c r="AD1696" s="840"/>
      <c r="AE1696" s="840"/>
      <c r="AF1696" s="840"/>
      <c r="AG1696" s="840"/>
      <c r="AH1696" s="840"/>
      <c r="AI1696" s="840"/>
    </row>
    <row r="1697" s="32" customFormat="1" ht="33" customHeight="1" spans="1:35">
      <c r="A1697" s="503"/>
      <c r="B1697" s="4179"/>
      <c r="C1697" s="3004"/>
      <c r="D1697" s="3695"/>
      <c r="E1697" s="4181"/>
      <c r="F1697" s="4181"/>
      <c r="G1697" s="4181"/>
      <c r="H1697" s="4181"/>
      <c r="I1697" s="3695"/>
      <c r="J1697" s="4181"/>
      <c r="K1697" s="4185"/>
      <c r="L1697" s="3695"/>
      <c r="M1697" s="413">
        <v>4</v>
      </c>
      <c r="N1697" s="2618" t="s">
        <v>6652</v>
      </c>
      <c r="O1697" s="4169">
        <v>0.0788444556578781</v>
      </c>
      <c r="P1697" s="4057">
        <v>50000</v>
      </c>
      <c r="Q1697" s="840">
        <v>50000</v>
      </c>
      <c r="R1697" s="428" t="s">
        <v>4603</v>
      </c>
      <c r="S1697" s="552">
        <v>45257</v>
      </c>
      <c r="T1697" s="840">
        <v>50000</v>
      </c>
      <c r="U1697" s="552">
        <v>45257</v>
      </c>
      <c r="V1697" s="840">
        <v>50000</v>
      </c>
      <c r="W1697" s="4058">
        <v>45296</v>
      </c>
      <c r="X1697" s="840">
        <v>50000</v>
      </c>
      <c r="Y1697" s="552">
        <v>45303</v>
      </c>
      <c r="Z1697" s="840"/>
      <c r="AA1697" s="840"/>
      <c r="AB1697" s="840"/>
      <c r="AC1697" s="840"/>
      <c r="AD1697" s="840"/>
      <c r="AE1697" s="840"/>
      <c r="AF1697" s="840"/>
      <c r="AG1697" s="840"/>
      <c r="AH1697" s="840"/>
      <c r="AI1697" s="840"/>
    </row>
    <row r="1698" s="32" customFormat="1" ht="29.25" customHeight="1" spans="1:35">
      <c r="A1698" s="501" t="s">
        <v>2570</v>
      </c>
      <c r="B1698" s="4176">
        <v>44917</v>
      </c>
      <c r="C1698" s="378" t="s">
        <v>6721</v>
      </c>
      <c r="D1698" s="3437"/>
      <c r="E1698" s="407" t="s">
        <v>6722</v>
      </c>
      <c r="F1698" s="4182" t="s">
        <v>6723</v>
      </c>
      <c r="G1698" s="407" t="s">
        <v>193</v>
      </c>
      <c r="H1698" s="407" t="s">
        <v>4861</v>
      </c>
      <c r="I1698" s="3437">
        <v>38564.6</v>
      </c>
      <c r="J1698" s="407" t="s">
        <v>6724</v>
      </c>
      <c r="K1698" s="4183">
        <v>115693.8</v>
      </c>
      <c r="L1698" s="501" t="s">
        <v>32</v>
      </c>
      <c r="M1698" s="413">
        <v>1</v>
      </c>
      <c r="N1698" s="2618" t="s">
        <v>4729</v>
      </c>
      <c r="O1698" s="4169">
        <v>0.2</v>
      </c>
      <c r="P1698" s="4057">
        <f>K1698*O1698</f>
        <v>23138.76</v>
      </c>
      <c r="Q1698" s="840">
        <v>23138.76</v>
      </c>
      <c r="R1698" s="428" t="s">
        <v>4603</v>
      </c>
      <c r="S1698" s="4058">
        <v>44918</v>
      </c>
      <c r="T1698" s="840">
        <v>23138.76</v>
      </c>
      <c r="U1698" s="4058">
        <v>44918</v>
      </c>
      <c r="V1698" s="840">
        <v>23138.76</v>
      </c>
      <c r="W1698" s="4058">
        <v>44931</v>
      </c>
      <c r="X1698" s="840">
        <v>23138.76</v>
      </c>
      <c r="Y1698" s="4058">
        <v>44937</v>
      </c>
      <c r="Z1698" s="3437"/>
      <c r="AA1698" s="3437"/>
      <c r="AB1698" s="840"/>
      <c r="AC1698" s="840"/>
      <c r="AD1698" s="3437"/>
      <c r="AE1698" s="3437"/>
      <c r="AF1698" s="3437"/>
      <c r="AG1698" s="3437"/>
      <c r="AH1698" s="3437"/>
      <c r="AI1698" s="3437"/>
    </row>
    <row r="1699" s="32" customFormat="1" ht="29.25" customHeight="1" spans="1:35">
      <c r="A1699" s="433"/>
      <c r="B1699" s="4177"/>
      <c r="C1699" s="657"/>
      <c r="D1699" s="4178"/>
      <c r="E1699" s="4180"/>
      <c r="F1699" s="4180"/>
      <c r="G1699" s="4180"/>
      <c r="H1699" s="4180"/>
      <c r="I1699" s="4178"/>
      <c r="J1699" s="4180"/>
      <c r="K1699" s="4184"/>
      <c r="L1699" s="4178"/>
      <c r="M1699" s="840">
        <v>2</v>
      </c>
      <c r="N1699" s="2618" t="s">
        <v>6725</v>
      </c>
      <c r="O1699" s="4169">
        <v>0.3</v>
      </c>
      <c r="P1699" s="4057">
        <f>K1698*O1699</f>
        <v>34708.14</v>
      </c>
      <c r="Q1699" s="840">
        <v>34708.14</v>
      </c>
      <c r="R1699" s="428" t="s">
        <v>4603</v>
      </c>
      <c r="S1699" s="4058">
        <v>44918</v>
      </c>
      <c r="T1699" s="840">
        <v>34708.14</v>
      </c>
      <c r="U1699" s="4058">
        <v>44918</v>
      </c>
      <c r="V1699" s="840">
        <v>34708.14</v>
      </c>
      <c r="W1699" s="4058">
        <v>44931</v>
      </c>
      <c r="X1699" s="840">
        <v>34708.14</v>
      </c>
      <c r="Y1699" s="4058">
        <v>44937</v>
      </c>
      <c r="Z1699" s="3437"/>
      <c r="AA1699" s="3437"/>
      <c r="AB1699" s="840"/>
      <c r="AC1699" s="840"/>
      <c r="AD1699" s="3437"/>
      <c r="AE1699" s="3437"/>
      <c r="AF1699" s="3437"/>
      <c r="AG1699" s="3437"/>
      <c r="AH1699" s="3437"/>
      <c r="AI1699" s="3437"/>
    </row>
    <row r="1700" s="32" customFormat="1" ht="29.25" customHeight="1" spans="1:35">
      <c r="A1700" s="433"/>
      <c r="B1700" s="4177"/>
      <c r="C1700" s="657"/>
      <c r="D1700" s="4178"/>
      <c r="E1700" s="4180"/>
      <c r="F1700" s="4180"/>
      <c r="G1700" s="4180"/>
      <c r="H1700" s="4180"/>
      <c r="I1700" s="4178"/>
      <c r="J1700" s="4180"/>
      <c r="K1700" s="4184"/>
      <c r="L1700" s="4178"/>
      <c r="M1700" s="840">
        <v>3</v>
      </c>
      <c r="N1700" s="2618" t="s">
        <v>5903</v>
      </c>
      <c r="O1700" s="4169">
        <v>0.4</v>
      </c>
      <c r="P1700" s="4057">
        <f>K1698*O1700</f>
        <v>46277.52</v>
      </c>
      <c r="Q1700" s="840">
        <v>46277.52</v>
      </c>
      <c r="R1700" s="428" t="s">
        <v>4603</v>
      </c>
      <c r="S1700" s="4058">
        <v>44918</v>
      </c>
      <c r="T1700" s="840">
        <v>46277.52</v>
      </c>
      <c r="U1700" s="4058">
        <v>44918</v>
      </c>
      <c r="V1700" s="840">
        <v>46277.52</v>
      </c>
      <c r="W1700" s="4058">
        <v>44931</v>
      </c>
      <c r="X1700" s="840">
        <v>46277.52</v>
      </c>
      <c r="Y1700" s="4058">
        <v>44937</v>
      </c>
      <c r="Z1700" s="3437"/>
      <c r="AA1700" s="3437"/>
      <c r="AB1700" s="840"/>
      <c r="AC1700" s="840"/>
      <c r="AD1700" s="3437"/>
      <c r="AE1700" s="3437"/>
      <c r="AF1700" s="3437"/>
      <c r="AG1700" s="3437"/>
      <c r="AH1700" s="3437"/>
      <c r="AI1700" s="3437"/>
    </row>
    <row r="1701" s="32" customFormat="1" ht="29.25" customHeight="1" spans="1:35">
      <c r="A1701" s="433"/>
      <c r="B1701" s="4177"/>
      <c r="C1701" s="657"/>
      <c r="D1701" s="4178"/>
      <c r="E1701" s="4180"/>
      <c r="F1701" s="4180"/>
      <c r="G1701" s="4180"/>
      <c r="H1701" s="4180"/>
      <c r="I1701" s="4178"/>
      <c r="J1701" s="4180"/>
      <c r="K1701" s="4184"/>
      <c r="L1701" s="4178"/>
      <c r="M1701" s="407">
        <v>4</v>
      </c>
      <c r="N1701" s="2618" t="s">
        <v>4725</v>
      </c>
      <c r="O1701" s="4169">
        <v>0.08</v>
      </c>
      <c r="P1701" s="4057">
        <f>O1701*K1698</f>
        <v>9255.504</v>
      </c>
      <c r="Q1701" s="840">
        <v>9255.5</v>
      </c>
      <c r="R1701" s="428" t="s">
        <v>4603</v>
      </c>
      <c r="S1701" s="4058">
        <v>44918</v>
      </c>
      <c r="T1701" s="840">
        <v>9255.5</v>
      </c>
      <c r="U1701" s="4058">
        <v>44918</v>
      </c>
      <c r="V1701" s="840">
        <v>9255.5</v>
      </c>
      <c r="W1701" s="552">
        <v>45184</v>
      </c>
      <c r="X1701" s="840">
        <v>9255.5</v>
      </c>
      <c r="Y1701" s="552">
        <v>45190</v>
      </c>
      <c r="Z1701" s="3437"/>
      <c r="AA1701" s="3437"/>
      <c r="AB1701" s="840"/>
      <c r="AC1701" s="840"/>
      <c r="AD1701" s="3437"/>
      <c r="AE1701" s="3437"/>
      <c r="AF1701" s="3437"/>
      <c r="AG1701" s="3437"/>
      <c r="AH1701" s="3437"/>
      <c r="AI1701" s="3437"/>
    </row>
    <row r="1702" s="32" customFormat="1" ht="29.25" customHeight="1" spans="1:35">
      <c r="A1702" s="503"/>
      <c r="B1702" s="4179"/>
      <c r="C1702" s="3004"/>
      <c r="D1702" s="3695"/>
      <c r="E1702" s="4181"/>
      <c r="F1702" s="4181"/>
      <c r="G1702" s="4181"/>
      <c r="H1702" s="4181"/>
      <c r="I1702" s="3695"/>
      <c r="J1702" s="4181"/>
      <c r="K1702" s="4185"/>
      <c r="L1702" s="3695"/>
      <c r="M1702" s="411"/>
      <c r="N1702" s="2618"/>
      <c r="O1702" s="4169">
        <v>0.02</v>
      </c>
      <c r="P1702" s="4057">
        <f>O1702*K1698</f>
        <v>2313.876</v>
      </c>
      <c r="Q1702" s="840">
        <v>2313.88</v>
      </c>
      <c r="R1702" s="428" t="s">
        <v>4603</v>
      </c>
      <c r="S1702" s="4058">
        <v>45179</v>
      </c>
      <c r="T1702" s="840">
        <v>2313.88</v>
      </c>
      <c r="U1702" s="4058">
        <v>45179</v>
      </c>
      <c r="V1702" s="840">
        <v>2313.88</v>
      </c>
      <c r="W1702" s="552">
        <v>45184</v>
      </c>
      <c r="X1702" s="840">
        <v>2313.88</v>
      </c>
      <c r="Y1702" s="552">
        <v>45190</v>
      </c>
      <c r="Z1702" s="3437"/>
      <c r="AA1702" s="3437"/>
      <c r="AB1702" s="840"/>
      <c r="AC1702" s="840"/>
      <c r="AD1702" s="3437"/>
      <c r="AE1702" s="3437"/>
      <c r="AF1702" s="3437"/>
      <c r="AG1702" s="3437"/>
      <c r="AH1702" s="3437"/>
      <c r="AI1702" s="3437"/>
    </row>
    <row r="1703" s="32" customFormat="1" ht="33" customHeight="1" spans="1:35">
      <c r="A1703" s="433" t="s">
        <v>2570</v>
      </c>
      <c r="B1703" s="4177">
        <v>44921</v>
      </c>
      <c r="C1703" s="657" t="s">
        <v>6691</v>
      </c>
      <c r="D1703" s="409"/>
      <c r="E1703" s="409" t="s">
        <v>6726</v>
      </c>
      <c r="F1703" s="409" t="s">
        <v>6727</v>
      </c>
      <c r="G1703" s="409" t="s">
        <v>3469</v>
      </c>
      <c r="H1703" s="409" t="s">
        <v>6117</v>
      </c>
      <c r="I1703" s="409"/>
      <c r="J1703" s="409" t="s">
        <v>997</v>
      </c>
      <c r="K1703" s="3057">
        <v>223185</v>
      </c>
      <c r="L1703" s="409" t="s">
        <v>126</v>
      </c>
      <c r="M1703" s="413">
        <v>1</v>
      </c>
      <c r="N1703" s="2618" t="s">
        <v>6728</v>
      </c>
      <c r="O1703" s="4169">
        <v>0.15</v>
      </c>
      <c r="P1703" s="4057">
        <f>K1703*O1703</f>
        <v>33477.75</v>
      </c>
      <c r="Q1703" s="840">
        <v>33477.75</v>
      </c>
      <c r="R1703" s="428" t="s">
        <v>4603</v>
      </c>
      <c r="S1703" s="4058">
        <v>44923</v>
      </c>
      <c r="T1703" s="840">
        <v>33477.75</v>
      </c>
      <c r="U1703" s="4058">
        <v>44923</v>
      </c>
      <c r="V1703" s="840">
        <v>33477.75</v>
      </c>
      <c r="W1703" s="4058">
        <v>44932</v>
      </c>
      <c r="X1703" s="840">
        <v>33477.75</v>
      </c>
      <c r="Y1703" s="4058">
        <v>44939</v>
      </c>
      <c r="Z1703" s="3437"/>
      <c r="AA1703" s="3437"/>
      <c r="AB1703" s="840"/>
      <c r="AC1703" s="840"/>
      <c r="AD1703" s="3437"/>
      <c r="AE1703" s="3437"/>
      <c r="AF1703" s="3437"/>
      <c r="AG1703" s="3437"/>
      <c r="AH1703" s="3437"/>
      <c r="AI1703" s="3437"/>
    </row>
    <row r="1704" s="32" customFormat="1" ht="33" customHeight="1" spans="1:35">
      <c r="A1704" s="433"/>
      <c r="B1704" s="4177"/>
      <c r="C1704" s="657"/>
      <c r="D1704" s="409"/>
      <c r="E1704" s="409"/>
      <c r="F1704" s="409"/>
      <c r="G1704" s="409"/>
      <c r="H1704" s="409"/>
      <c r="I1704" s="409"/>
      <c r="J1704" s="409"/>
      <c r="K1704" s="3057"/>
      <c r="L1704" s="409"/>
      <c r="M1704" s="840">
        <v>2</v>
      </c>
      <c r="N1704" s="2618" t="s">
        <v>6729</v>
      </c>
      <c r="O1704" s="4169">
        <v>0.65</v>
      </c>
      <c r="P1704" s="4057">
        <f>K1703*O1704</f>
        <v>145070.25</v>
      </c>
      <c r="Q1704" s="840">
        <v>145070.25</v>
      </c>
      <c r="R1704" s="428" t="s">
        <v>4603</v>
      </c>
      <c r="S1704" s="4058">
        <v>44923</v>
      </c>
      <c r="T1704" s="840">
        <v>145070.25</v>
      </c>
      <c r="U1704" s="4058">
        <v>44923</v>
      </c>
      <c r="V1704" s="840">
        <v>145070.25</v>
      </c>
      <c r="W1704" s="4058">
        <v>45296</v>
      </c>
      <c r="X1704" s="840">
        <v>145070.25</v>
      </c>
      <c r="Y1704" s="552">
        <v>45309</v>
      </c>
      <c r="Z1704" s="3437"/>
      <c r="AA1704" s="3437"/>
      <c r="AB1704" s="840"/>
      <c r="AC1704" s="840"/>
      <c r="AD1704" s="3437"/>
      <c r="AE1704" s="3437"/>
      <c r="AF1704" s="3437"/>
      <c r="AG1704" s="3437"/>
      <c r="AH1704" s="3437"/>
      <c r="AI1704" s="3437"/>
    </row>
    <row r="1705" s="32" customFormat="1" ht="33" customHeight="1" spans="1:35">
      <c r="A1705" s="503"/>
      <c r="B1705" s="4179"/>
      <c r="C1705" s="3004"/>
      <c r="D1705" s="411"/>
      <c r="E1705" s="411"/>
      <c r="F1705" s="411"/>
      <c r="G1705" s="411"/>
      <c r="H1705" s="411"/>
      <c r="I1705" s="411"/>
      <c r="J1705" s="411"/>
      <c r="K1705" s="3057"/>
      <c r="L1705" s="411"/>
      <c r="M1705" s="840">
        <v>3</v>
      </c>
      <c r="N1705" s="2618" t="s">
        <v>6730</v>
      </c>
      <c r="O1705" s="4169">
        <v>0.2</v>
      </c>
      <c r="P1705" s="4057">
        <f>K1703*O1705</f>
        <v>44637</v>
      </c>
      <c r="Q1705" s="4187">
        <f>44637-6600</f>
        <v>38037</v>
      </c>
      <c r="R1705" s="593" t="s">
        <v>349</v>
      </c>
      <c r="S1705" s="4060">
        <v>46052</v>
      </c>
      <c r="T1705" s="840"/>
      <c r="U1705" s="840"/>
      <c r="V1705" s="840"/>
      <c r="W1705" s="840"/>
      <c r="X1705" s="4187">
        <f>Q1705</f>
        <v>38037</v>
      </c>
      <c r="Y1705" s="4060">
        <v>46052</v>
      </c>
      <c r="Z1705" s="3437"/>
      <c r="AA1705" s="3437"/>
      <c r="AB1705" s="840"/>
      <c r="AC1705" s="840"/>
      <c r="AD1705" s="3437"/>
      <c r="AE1705" s="3437"/>
      <c r="AF1705" s="3437"/>
      <c r="AG1705" s="3437"/>
      <c r="AH1705" s="3437"/>
      <c r="AI1705" s="3437"/>
    </row>
    <row r="1706" s="32" customFormat="1" ht="33" customHeight="1" spans="1:35">
      <c r="A1706" s="433" t="s">
        <v>2570</v>
      </c>
      <c r="B1706" s="4177">
        <v>44921</v>
      </c>
      <c r="C1706" s="657" t="s">
        <v>6691</v>
      </c>
      <c r="D1706" s="409"/>
      <c r="E1706" s="409" t="s">
        <v>6731</v>
      </c>
      <c r="F1706" s="409" t="s">
        <v>6732</v>
      </c>
      <c r="G1706" s="409" t="s">
        <v>3465</v>
      </c>
      <c r="H1706" s="409" t="s">
        <v>6733</v>
      </c>
      <c r="I1706" s="409"/>
      <c r="J1706" s="409" t="s">
        <v>997</v>
      </c>
      <c r="K1706" s="4184">
        <v>247800</v>
      </c>
      <c r="L1706" s="433" t="s">
        <v>126</v>
      </c>
      <c r="M1706" s="413">
        <v>1</v>
      </c>
      <c r="N1706" s="2618" t="s">
        <v>6734</v>
      </c>
      <c r="O1706" s="4169">
        <v>0.2</v>
      </c>
      <c r="P1706" s="4057">
        <f>K1706*O1706</f>
        <v>49560</v>
      </c>
      <c r="Q1706" s="840">
        <v>49560</v>
      </c>
      <c r="R1706" s="428" t="s">
        <v>4603</v>
      </c>
      <c r="S1706" s="4058">
        <v>44923</v>
      </c>
      <c r="T1706" s="840">
        <v>49560</v>
      </c>
      <c r="U1706" s="4058">
        <v>44923</v>
      </c>
      <c r="V1706" s="840">
        <v>49560</v>
      </c>
      <c r="W1706" s="4058">
        <v>44931</v>
      </c>
      <c r="X1706" s="840">
        <v>49560</v>
      </c>
      <c r="Y1706" s="4058">
        <v>44939</v>
      </c>
      <c r="Z1706" s="3437"/>
      <c r="AA1706" s="3437"/>
      <c r="AB1706" s="840"/>
      <c r="AC1706" s="840"/>
      <c r="AD1706" s="3437"/>
      <c r="AE1706" s="3437"/>
      <c r="AF1706" s="3437"/>
      <c r="AG1706" s="3437"/>
      <c r="AH1706" s="3437"/>
      <c r="AI1706" s="3437"/>
    </row>
    <row r="1707" s="32" customFormat="1" ht="33" customHeight="1" spans="1:35">
      <c r="A1707" s="433"/>
      <c r="B1707" s="4177"/>
      <c r="C1707" s="657"/>
      <c r="D1707" s="409"/>
      <c r="E1707" s="409"/>
      <c r="F1707" s="409"/>
      <c r="G1707" s="409"/>
      <c r="H1707" s="409"/>
      <c r="I1707" s="409"/>
      <c r="J1707" s="409"/>
      <c r="K1707" s="4184"/>
      <c r="L1707" s="433"/>
      <c r="M1707" s="840">
        <v>2</v>
      </c>
      <c r="N1707" s="2618" t="s">
        <v>6735</v>
      </c>
      <c r="O1707" s="4169">
        <v>0.6</v>
      </c>
      <c r="P1707" s="4057">
        <f>K1706*O1707</f>
        <v>148680</v>
      </c>
      <c r="Q1707" s="840">
        <v>148680</v>
      </c>
      <c r="R1707" s="428" t="s">
        <v>4603</v>
      </c>
      <c r="S1707" s="4058">
        <v>44923</v>
      </c>
      <c r="T1707" s="840">
        <v>148680</v>
      </c>
      <c r="U1707" s="4058">
        <v>44923</v>
      </c>
      <c r="V1707" s="840">
        <v>148680</v>
      </c>
      <c r="W1707" s="4058">
        <v>44931</v>
      </c>
      <c r="X1707" s="840">
        <v>148680</v>
      </c>
      <c r="Y1707" s="4058">
        <v>44939</v>
      </c>
      <c r="Z1707" s="3437"/>
      <c r="AA1707" s="3437"/>
      <c r="AB1707" s="840"/>
      <c r="AC1707" s="840"/>
      <c r="AD1707" s="3437"/>
      <c r="AE1707" s="3437"/>
      <c r="AF1707" s="3437"/>
      <c r="AG1707" s="3437"/>
      <c r="AH1707" s="3437"/>
      <c r="AI1707" s="3437"/>
    </row>
    <row r="1708" s="32" customFormat="1" ht="33" customHeight="1" spans="1:35">
      <c r="A1708" s="503"/>
      <c r="B1708" s="4179"/>
      <c r="C1708" s="3004"/>
      <c r="D1708" s="411"/>
      <c r="E1708" s="411"/>
      <c r="F1708" s="411"/>
      <c r="G1708" s="411"/>
      <c r="H1708" s="411"/>
      <c r="I1708" s="411"/>
      <c r="J1708" s="411"/>
      <c r="K1708" s="4185"/>
      <c r="L1708" s="503"/>
      <c r="M1708" s="840">
        <v>3</v>
      </c>
      <c r="N1708" s="2618" t="s">
        <v>6736</v>
      </c>
      <c r="O1708" s="4169">
        <v>0.2</v>
      </c>
      <c r="P1708" s="4057">
        <f>K1706*O1708</f>
        <v>49560</v>
      </c>
      <c r="Q1708" s="4187">
        <v>49560</v>
      </c>
      <c r="R1708" s="593" t="s">
        <v>349</v>
      </c>
      <c r="S1708" s="4060">
        <v>46052</v>
      </c>
      <c r="T1708" s="840"/>
      <c r="U1708" s="840"/>
      <c r="V1708" s="840"/>
      <c r="W1708" s="840"/>
      <c r="X1708" s="4187">
        <f>Q1708</f>
        <v>49560</v>
      </c>
      <c r="Y1708" s="4060">
        <v>46052</v>
      </c>
      <c r="Z1708" s="3437"/>
      <c r="AA1708" s="3437"/>
      <c r="AB1708" s="840"/>
      <c r="AC1708" s="840"/>
      <c r="AD1708" s="3437"/>
      <c r="AE1708" s="3437"/>
      <c r="AF1708" s="3437"/>
      <c r="AG1708" s="3437"/>
      <c r="AH1708" s="3437"/>
      <c r="AI1708" s="3437"/>
    </row>
    <row r="1709" s="32" customFormat="1" ht="33" customHeight="1" spans="1:35">
      <c r="A1709" s="433" t="s">
        <v>2570</v>
      </c>
      <c r="B1709" s="4177">
        <v>44922</v>
      </c>
      <c r="C1709" s="657" t="s">
        <v>6691</v>
      </c>
      <c r="D1709" s="409"/>
      <c r="E1709" s="409" t="s">
        <v>6737</v>
      </c>
      <c r="F1709" s="409" t="s">
        <v>6738</v>
      </c>
      <c r="G1709" s="409" t="s">
        <v>4761</v>
      </c>
      <c r="H1709" s="409" t="s">
        <v>6057</v>
      </c>
      <c r="I1709" s="409"/>
      <c r="J1709" s="409" t="s">
        <v>997</v>
      </c>
      <c r="K1709" s="4184">
        <v>268000</v>
      </c>
      <c r="L1709" s="433" t="s">
        <v>126</v>
      </c>
      <c r="M1709" s="413">
        <v>1</v>
      </c>
      <c r="N1709" s="2618" t="s">
        <v>6739</v>
      </c>
      <c r="O1709" s="4169">
        <v>0.2</v>
      </c>
      <c r="P1709" s="4057">
        <f>K1709*O1709</f>
        <v>53600</v>
      </c>
      <c r="Q1709" s="4057">
        <v>53600</v>
      </c>
      <c r="R1709" s="428" t="s">
        <v>4603</v>
      </c>
      <c r="S1709" s="4058">
        <v>44923</v>
      </c>
      <c r="T1709" s="4057">
        <v>53600</v>
      </c>
      <c r="U1709" s="4058">
        <v>44923</v>
      </c>
      <c r="V1709" s="4057">
        <v>53600</v>
      </c>
      <c r="W1709" s="4058">
        <v>44932</v>
      </c>
      <c r="X1709" s="4057">
        <v>53600</v>
      </c>
      <c r="Y1709" s="4058">
        <v>44944</v>
      </c>
      <c r="Z1709" s="3437"/>
      <c r="AA1709" s="3437"/>
      <c r="AB1709" s="840"/>
      <c r="AC1709" s="840"/>
      <c r="AD1709" s="3437"/>
      <c r="AE1709" s="3437"/>
      <c r="AF1709" s="3437"/>
      <c r="AG1709" s="3437"/>
      <c r="AH1709" s="3437"/>
      <c r="AI1709" s="3437"/>
    </row>
    <row r="1710" s="32" customFormat="1" ht="33" customHeight="1" spans="1:35">
      <c r="A1710" s="433"/>
      <c r="B1710" s="4177"/>
      <c r="C1710" s="657"/>
      <c r="D1710" s="409"/>
      <c r="E1710" s="409"/>
      <c r="F1710" s="409"/>
      <c r="G1710" s="409"/>
      <c r="H1710" s="409"/>
      <c r="I1710" s="409"/>
      <c r="J1710" s="409"/>
      <c r="K1710" s="4184"/>
      <c r="L1710" s="433"/>
      <c r="M1710" s="840">
        <v>2</v>
      </c>
      <c r="N1710" s="2618" t="s">
        <v>6740</v>
      </c>
      <c r="O1710" s="4169">
        <v>0.3</v>
      </c>
      <c r="P1710" s="4057">
        <f>K1709*O1710</f>
        <v>80400</v>
      </c>
      <c r="Q1710" s="4057">
        <v>80400</v>
      </c>
      <c r="R1710" s="428" t="s">
        <v>4603</v>
      </c>
      <c r="S1710" s="4058">
        <v>44923</v>
      </c>
      <c r="T1710" s="4057">
        <v>80400</v>
      </c>
      <c r="U1710" s="4058">
        <v>44923</v>
      </c>
      <c r="V1710" s="4057">
        <v>80400</v>
      </c>
      <c r="W1710" s="4058">
        <v>44932</v>
      </c>
      <c r="X1710" s="4057">
        <v>80400</v>
      </c>
      <c r="Y1710" s="4058">
        <v>44944</v>
      </c>
      <c r="Z1710" s="3437"/>
      <c r="AA1710" s="3437"/>
      <c r="AB1710" s="840"/>
      <c r="AC1710" s="840"/>
      <c r="AD1710" s="3437"/>
      <c r="AE1710" s="3437"/>
      <c r="AF1710" s="3437"/>
      <c r="AG1710" s="3437"/>
      <c r="AH1710" s="3437"/>
      <c r="AI1710" s="3437"/>
    </row>
    <row r="1711" s="32" customFormat="1" ht="33" customHeight="1" spans="1:35">
      <c r="A1711" s="433"/>
      <c r="B1711" s="4177"/>
      <c r="C1711" s="657"/>
      <c r="D1711" s="409"/>
      <c r="E1711" s="409"/>
      <c r="F1711" s="409"/>
      <c r="G1711" s="409"/>
      <c r="H1711" s="409"/>
      <c r="I1711" s="409"/>
      <c r="J1711" s="409"/>
      <c r="K1711" s="4184"/>
      <c r="L1711" s="433"/>
      <c r="M1711" s="3437">
        <v>3</v>
      </c>
      <c r="N1711" s="705" t="s">
        <v>6741</v>
      </c>
      <c r="O1711" s="4169">
        <v>0.3</v>
      </c>
      <c r="P1711" s="4057">
        <f>K1709*O1711</f>
        <v>80400</v>
      </c>
      <c r="Q1711" s="4057">
        <v>80400</v>
      </c>
      <c r="R1711" s="428" t="s">
        <v>4603</v>
      </c>
      <c r="S1711" s="4058">
        <v>44923</v>
      </c>
      <c r="T1711" s="4057">
        <v>80400</v>
      </c>
      <c r="U1711" s="4058">
        <v>44923</v>
      </c>
      <c r="V1711" s="4057">
        <v>80400</v>
      </c>
      <c r="W1711" s="4058">
        <v>44932</v>
      </c>
      <c r="X1711" s="4057">
        <v>80400</v>
      </c>
      <c r="Y1711" s="4058">
        <v>44944</v>
      </c>
      <c r="Z1711" s="3437"/>
      <c r="AA1711" s="3437"/>
      <c r="AB1711" s="840"/>
      <c r="AC1711" s="840"/>
      <c r="AD1711" s="3437"/>
      <c r="AE1711" s="3437"/>
      <c r="AF1711" s="3437"/>
      <c r="AG1711" s="3437"/>
      <c r="AH1711" s="3437"/>
      <c r="AI1711" s="3437"/>
    </row>
    <row r="1712" s="32" customFormat="1" ht="33" customHeight="1" spans="1:35">
      <c r="A1712" s="433"/>
      <c r="B1712" s="4177"/>
      <c r="C1712" s="657"/>
      <c r="D1712" s="409"/>
      <c r="E1712" s="409"/>
      <c r="F1712" s="409"/>
      <c r="G1712" s="409"/>
      <c r="H1712" s="409"/>
      <c r="I1712" s="409"/>
      <c r="J1712" s="409"/>
      <c r="K1712" s="4184"/>
      <c r="L1712" s="433"/>
      <c r="M1712" s="3695"/>
      <c r="N1712" s="3541"/>
      <c r="O1712" s="4169">
        <v>0.1</v>
      </c>
      <c r="P1712" s="4057">
        <f>K1709*O1712</f>
        <v>26800</v>
      </c>
      <c r="Q1712" s="4057">
        <v>26800</v>
      </c>
      <c r="R1712" s="428" t="s">
        <v>4603</v>
      </c>
      <c r="S1712" s="4058">
        <v>44923</v>
      </c>
      <c r="T1712" s="840">
        <v>26800</v>
      </c>
      <c r="U1712" s="4058">
        <v>44923</v>
      </c>
      <c r="V1712" s="840">
        <v>26800</v>
      </c>
      <c r="W1712" s="4058">
        <v>45296</v>
      </c>
      <c r="X1712" s="4057">
        <v>26800</v>
      </c>
      <c r="Y1712" s="4058">
        <v>45303</v>
      </c>
      <c r="Z1712" s="3437"/>
      <c r="AA1712" s="3437"/>
      <c r="AB1712" s="840"/>
      <c r="AC1712" s="840"/>
      <c r="AD1712" s="3437"/>
      <c r="AE1712" s="3437"/>
      <c r="AF1712" s="3437"/>
      <c r="AG1712" s="3437"/>
      <c r="AH1712" s="3437"/>
      <c r="AI1712" s="3437"/>
    </row>
    <row r="1713" s="32" customFormat="1" ht="33" customHeight="1" spans="1:35">
      <c r="A1713" s="503"/>
      <c r="B1713" s="4179"/>
      <c r="C1713" s="3004"/>
      <c r="D1713" s="411"/>
      <c r="E1713" s="411"/>
      <c r="F1713" s="411"/>
      <c r="G1713" s="411"/>
      <c r="H1713" s="411"/>
      <c r="I1713" s="411"/>
      <c r="J1713" s="411"/>
      <c r="K1713" s="4185"/>
      <c r="L1713" s="503"/>
      <c r="M1713" s="411">
        <v>4</v>
      </c>
      <c r="N1713" s="2618" t="s">
        <v>6742</v>
      </c>
      <c r="O1713" s="4169">
        <v>0.1</v>
      </c>
      <c r="P1713" s="4057">
        <f>K1709*O1713</f>
        <v>26800</v>
      </c>
      <c r="Q1713" s="4068">
        <f>26800-8000</f>
        <v>18800</v>
      </c>
      <c r="R1713" s="593" t="s">
        <v>349</v>
      </c>
      <c r="S1713" s="4060">
        <v>46052</v>
      </c>
      <c r="T1713" s="840"/>
      <c r="U1713" s="840"/>
      <c r="V1713" s="840"/>
      <c r="W1713" s="840"/>
      <c r="X1713" s="4187">
        <f>Q1713</f>
        <v>18800</v>
      </c>
      <c r="Y1713" s="4060">
        <v>46052</v>
      </c>
      <c r="Z1713" s="3437"/>
      <c r="AA1713" s="3437"/>
      <c r="AB1713" s="840"/>
      <c r="AC1713" s="840"/>
      <c r="AD1713" s="3437"/>
      <c r="AE1713" s="3437"/>
      <c r="AF1713" s="3437"/>
      <c r="AG1713" s="3437"/>
      <c r="AH1713" s="3437"/>
      <c r="AI1713" s="3437"/>
    </row>
    <row r="1714" s="32" customFormat="1" ht="61" spans="1:35">
      <c r="A1714" s="428" t="s">
        <v>2570</v>
      </c>
      <c r="B1714" s="4176">
        <v>44923</v>
      </c>
      <c r="C1714" s="370" t="s">
        <v>6691</v>
      </c>
      <c r="D1714" s="413"/>
      <c r="E1714" s="407" t="s">
        <v>6743</v>
      </c>
      <c r="F1714" s="413" t="s">
        <v>6744</v>
      </c>
      <c r="G1714" s="413" t="s">
        <v>6745</v>
      </c>
      <c r="H1714" s="413" t="s">
        <v>5956</v>
      </c>
      <c r="I1714" s="413"/>
      <c r="J1714" s="413" t="s">
        <v>997</v>
      </c>
      <c r="K1714" s="3057">
        <v>1500000</v>
      </c>
      <c r="L1714" s="428" t="s">
        <v>126</v>
      </c>
      <c r="M1714" s="411">
        <v>1</v>
      </c>
      <c r="N1714" s="2618" t="s">
        <v>6746</v>
      </c>
      <c r="O1714" s="4169">
        <v>0.2</v>
      </c>
      <c r="P1714" s="4057">
        <v>300000</v>
      </c>
      <c r="Q1714" s="4057">
        <v>300000</v>
      </c>
      <c r="R1714" s="428" t="s">
        <v>4603</v>
      </c>
      <c r="S1714" s="4058">
        <v>44923</v>
      </c>
      <c r="T1714" s="4057">
        <v>300000</v>
      </c>
      <c r="U1714" s="4058">
        <v>44923</v>
      </c>
      <c r="V1714" s="4057">
        <v>300000</v>
      </c>
      <c r="W1714" s="4058">
        <v>44930</v>
      </c>
      <c r="X1714" s="4057">
        <v>300000</v>
      </c>
      <c r="Y1714" s="4058">
        <v>44944</v>
      </c>
      <c r="Z1714" s="3437"/>
      <c r="AA1714" s="3437"/>
      <c r="AB1714" s="840"/>
      <c r="AC1714" s="840"/>
      <c r="AD1714" s="3437"/>
      <c r="AE1714" s="3437"/>
      <c r="AF1714" s="3437"/>
      <c r="AG1714" s="3437"/>
      <c r="AH1714" s="3437"/>
      <c r="AI1714" s="3437"/>
    </row>
    <row r="1715" s="32" customFormat="1" ht="76" spans="1:35">
      <c r="A1715" s="428"/>
      <c r="B1715" s="4177"/>
      <c r="C1715" s="370"/>
      <c r="D1715" s="413"/>
      <c r="E1715" s="409"/>
      <c r="F1715" s="413"/>
      <c r="G1715" s="413"/>
      <c r="H1715" s="413"/>
      <c r="I1715" s="413"/>
      <c r="J1715" s="413"/>
      <c r="K1715" s="3057"/>
      <c r="L1715" s="428"/>
      <c r="M1715" s="411">
        <v>2</v>
      </c>
      <c r="N1715" s="2618" t="s">
        <v>6687</v>
      </c>
      <c r="O1715" s="4169">
        <v>0.2</v>
      </c>
      <c r="P1715" s="4057">
        <v>300000</v>
      </c>
      <c r="Q1715" s="4057">
        <v>300000</v>
      </c>
      <c r="R1715" s="428" t="s">
        <v>4603</v>
      </c>
      <c r="S1715" s="4058">
        <v>44923</v>
      </c>
      <c r="T1715" s="4057">
        <v>300000</v>
      </c>
      <c r="U1715" s="4058">
        <v>44923</v>
      </c>
      <c r="V1715" s="4057">
        <v>300000</v>
      </c>
      <c r="W1715" s="4058">
        <v>44930</v>
      </c>
      <c r="X1715" s="4057">
        <v>300000</v>
      </c>
      <c r="Y1715" s="4058">
        <v>44944</v>
      </c>
      <c r="Z1715" s="3437"/>
      <c r="AA1715" s="3437"/>
      <c r="AB1715" s="840"/>
      <c r="AC1715" s="840"/>
      <c r="AD1715" s="3437"/>
      <c r="AE1715" s="3437"/>
      <c r="AF1715" s="3437"/>
      <c r="AG1715" s="3437"/>
      <c r="AH1715" s="3437"/>
      <c r="AI1715" s="3437"/>
    </row>
    <row r="1716" s="32" customFormat="1" ht="33" customHeight="1" spans="1:35">
      <c r="A1716" s="428"/>
      <c r="B1716" s="4177"/>
      <c r="C1716" s="370"/>
      <c r="D1716" s="413"/>
      <c r="E1716" s="409"/>
      <c r="F1716" s="413"/>
      <c r="G1716" s="413"/>
      <c r="H1716" s="413"/>
      <c r="I1716" s="413"/>
      <c r="J1716" s="413"/>
      <c r="K1716" s="3057"/>
      <c r="L1716" s="428"/>
      <c r="M1716" s="411">
        <v>3</v>
      </c>
      <c r="N1716" s="2618" t="s">
        <v>6747</v>
      </c>
      <c r="O1716" s="4169">
        <v>0.3</v>
      </c>
      <c r="P1716" s="4057">
        <v>450000</v>
      </c>
      <c r="Q1716" s="4057">
        <v>450000</v>
      </c>
      <c r="R1716" s="428" t="s">
        <v>4603</v>
      </c>
      <c r="S1716" s="4058">
        <v>44923</v>
      </c>
      <c r="T1716" s="4057">
        <v>450000</v>
      </c>
      <c r="U1716" s="4058">
        <v>44923</v>
      </c>
      <c r="V1716" s="4057">
        <v>450000</v>
      </c>
      <c r="W1716" s="4058">
        <v>44930</v>
      </c>
      <c r="X1716" s="4057">
        <v>450000</v>
      </c>
      <c r="Y1716" s="4058">
        <v>44944</v>
      </c>
      <c r="Z1716" s="3437"/>
      <c r="AA1716" s="3437"/>
      <c r="AB1716" s="840"/>
      <c r="AC1716" s="840"/>
      <c r="AD1716" s="3437"/>
      <c r="AE1716" s="3437"/>
      <c r="AF1716" s="3437"/>
      <c r="AG1716" s="3437"/>
      <c r="AH1716" s="3437"/>
      <c r="AI1716" s="3437"/>
    </row>
    <row r="1717" s="32" customFormat="1" ht="33" customHeight="1" spans="1:35">
      <c r="A1717" s="428"/>
      <c r="B1717" s="4177"/>
      <c r="C1717" s="370"/>
      <c r="D1717" s="413"/>
      <c r="E1717" s="409"/>
      <c r="F1717" s="413"/>
      <c r="G1717" s="413"/>
      <c r="H1717" s="413"/>
      <c r="I1717" s="413"/>
      <c r="J1717" s="413"/>
      <c r="K1717" s="3057"/>
      <c r="L1717" s="428"/>
      <c r="M1717" s="411">
        <v>4</v>
      </c>
      <c r="N1717" s="2618" t="s">
        <v>6748</v>
      </c>
      <c r="O1717" s="4169">
        <v>0.25</v>
      </c>
      <c r="P1717" s="4057">
        <v>375000</v>
      </c>
      <c r="Q1717" s="4057">
        <v>375000</v>
      </c>
      <c r="R1717" s="428" t="s">
        <v>4603</v>
      </c>
      <c r="S1717" s="4058">
        <v>44923</v>
      </c>
      <c r="T1717" s="4057">
        <v>375000</v>
      </c>
      <c r="U1717" s="4058">
        <v>44923</v>
      </c>
      <c r="V1717" s="4057">
        <v>375000</v>
      </c>
      <c r="W1717" s="4058">
        <v>44930</v>
      </c>
      <c r="X1717" s="4057">
        <v>375000</v>
      </c>
      <c r="Y1717" s="4058">
        <v>44944</v>
      </c>
      <c r="Z1717" s="3437"/>
      <c r="AA1717" s="3437"/>
      <c r="AB1717" s="840"/>
      <c r="AC1717" s="840"/>
      <c r="AD1717" s="3437"/>
      <c r="AE1717" s="3437"/>
      <c r="AF1717" s="3437"/>
      <c r="AG1717" s="3437"/>
      <c r="AH1717" s="3437"/>
      <c r="AI1717" s="3437"/>
    </row>
    <row r="1718" s="32" customFormat="1" ht="33" customHeight="1" spans="1:35">
      <c r="A1718" s="428"/>
      <c r="B1718" s="4179"/>
      <c r="C1718" s="370"/>
      <c r="D1718" s="413"/>
      <c r="E1718" s="411"/>
      <c r="F1718" s="413"/>
      <c r="G1718" s="413"/>
      <c r="H1718" s="413"/>
      <c r="I1718" s="413"/>
      <c r="J1718" s="413"/>
      <c r="K1718" s="3057"/>
      <c r="L1718" s="428"/>
      <c r="M1718" s="411">
        <v>5</v>
      </c>
      <c r="N1718" s="2618" t="s">
        <v>6749</v>
      </c>
      <c r="O1718" s="4169">
        <v>0.05</v>
      </c>
      <c r="P1718" s="4057">
        <v>75000</v>
      </c>
      <c r="Q1718" s="4068">
        <f>75000-45000</f>
        <v>30000</v>
      </c>
      <c r="R1718" s="593" t="s">
        <v>349</v>
      </c>
      <c r="S1718" s="4060">
        <v>46052</v>
      </c>
      <c r="T1718" s="840"/>
      <c r="U1718" s="840"/>
      <c r="V1718" s="840"/>
      <c r="W1718" s="840"/>
      <c r="X1718" s="4068">
        <f>Q1718</f>
        <v>30000</v>
      </c>
      <c r="Y1718" s="4060">
        <v>46052</v>
      </c>
      <c r="Z1718" s="3437"/>
      <c r="AA1718" s="3437"/>
      <c r="AB1718" s="840"/>
      <c r="AC1718" s="840"/>
      <c r="AD1718" s="3437"/>
      <c r="AE1718" s="3437"/>
      <c r="AF1718" s="3437"/>
      <c r="AG1718" s="3437"/>
      <c r="AH1718" s="3437"/>
      <c r="AI1718" s="3437"/>
    </row>
    <row r="1719" s="32" customFormat="1" ht="33" customHeight="1" spans="1:35">
      <c r="A1719" s="433" t="s">
        <v>2570</v>
      </c>
      <c r="B1719" s="4177">
        <v>44922</v>
      </c>
      <c r="C1719" s="657" t="s">
        <v>6691</v>
      </c>
      <c r="D1719" s="409"/>
      <c r="E1719" s="409" t="s">
        <v>6750</v>
      </c>
      <c r="F1719" s="409" t="s">
        <v>6751</v>
      </c>
      <c r="G1719" s="409" t="s">
        <v>3535</v>
      </c>
      <c r="H1719" s="409" t="s">
        <v>6293</v>
      </c>
      <c r="I1719" s="409"/>
      <c r="J1719" s="409" t="s">
        <v>997</v>
      </c>
      <c r="K1719" s="4184">
        <v>719345.04</v>
      </c>
      <c r="L1719" s="433" t="s">
        <v>126</v>
      </c>
      <c r="M1719" s="413">
        <v>1</v>
      </c>
      <c r="N1719" s="2618" t="s">
        <v>6752</v>
      </c>
      <c r="O1719" s="4169">
        <v>0.2</v>
      </c>
      <c r="P1719" s="4057">
        <f>K1719*O1719</f>
        <v>143869.008</v>
      </c>
      <c r="Q1719" s="840">
        <v>143869.008</v>
      </c>
      <c r="R1719" s="428" t="s">
        <v>4603</v>
      </c>
      <c r="S1719" s="4058">
        <v>44923</v>
      </c>
      <c r="T1719" s="840">
        <v>143869.008</v>
      </c>
      <c r="U1719" s="4058">
        <v>44923</v>
      </c>
      <c r="V1719" s="840">
        <v>143869.008</v>
      </c>
      <c r="W1719" s="4058">
        <v>44932</v>
      </c>
      <c r="X1719" s="840">
        <v>143869.008</v>
      </c>
      <c r="Y1719" s="4058">
        <v>44944</v>
      </c>
      <c r="Z1719" s="3437"/>
      <c r="AA1719" s="3437"/>
      <c r="AB1719" s="840"/>
      <c r="AC1719" s="840"/>
      <c r="AD1719" s="3437"/>
      <c r="AE1719" s="3437"/>
      <c r="AF1719" s="3437"/>
      <c r="AG1719" s="3437"/>
      <c r="AH1719" s="3437"/>
      <c r="AI1719" s="3437"/>
    </row>
    <row r="1720" s="32" customFormat="1" ht="33" customHeight="1" spans="1:35">
      <c r="A1720" s="433"/>
      <c r="B1720" s="4177"/>
      <c r="C1720" s="657"/>
      <c r="D1720" s="409"/>
      <c r="E1720" s="409"/>
      <c r="F1720" s="409"/>
      <c r="G1720" s="409"/>
      <c r="H1720" s="409"/>
      <c r="I1720" s="409"/>
      <c r="J1720" s="409"/>
      <c r="K1720" s="4184"/>
      <c r="L1720" s="433"/>
      <c r="M1720" s="840">
        <v>2</v>
      </c>
      <c r="N1720" s="2618" t="s">
        <v>6753</v>
      </c>
      <c r="O1720" s="4169">
        <v>0.6</v>
      </c>
      <c r="P1720" s="4057">
        <f>K1719*O1720</f>
        <v>431607.024</v>
      </c>
      <c r="Q1720" s="840">
        <v>431607.024</v>
      </c>
      <c r="R1720" s="428" t="s">
        <v>4603</v>
      </c>
      <c r="S1720" s="4058">
        <v>44923</v>
      </c>
      <c r="T1720" s="840">
        <v>431607.024</v>
      </c>
      <c r="U1720" s="4058">
        <v>44923</v>
      </c>
      <c r="V1720" s="840">
        <v>431607.024</v>
      </c>
      <c r="W1720" s="4058">
        <v>44932</v>
      </c>
      <c r="X1720" s="840">
        <v>431607.024</v>
      </c>
      <c r="Y1720" s="4058">
        <v>44944</v>
      </c>
      <c r="Z1720" s="3437"/>
      <c r="AA1720" s="3437"/>
      <c r="AB1720" s="840"/>
      <c r="AC1720" s="840"/>
      <c r="AD1720" s="3437"/>
      <c r="AE1720" s="3437"/>
      <c r="AF1720" s="3437"/>
      <c r="AG1720" s="3437"/>
      <c r="AH1720" s="3437"/>
      <c r="AI1720" s="3437"/>
    </row>
    <row r="1721" s="32" customFormat="1" ht="33" customHeight="1" spans="1:35">
      <c r="A1721" s="503"/>
      <c r="B1721" s="4179"/>
      <c r="C1721" s="3004"/>
      <c r="D1721" s="411"/>
      <c r="E1721" s="411"/>
      <c r="F1721" s="411"/>
      <c r="G1721" s="411"/>
      <c r="H1721" s="411"/>
      <c r="I1721" s="411"/>
      <c r="J1721" s="411"/>
      <c r="K1721" s="4185"/>
      <c r="L1721" s="503"/>
      <c r="M1721" s="840">
        <v>3</v>
      </c>
      <c r="N1721" s="2618" t="s">
        <v>6754</v>
      </c>
      <c r="O1721" s="4169">
        <v>0.2</v>
      </c>
      <c r="P1721" s="4057">
        <f>K1719*O1721</f>
        <v>143869.008</v>
      </c>
      <c r="Q1721" s="4068">
        <f>143869.008-15000</f>
        <v>128869.008</v>
      </c>
      <c r="R1721" s="593" t="s">
        <v>349</v>
      </c>
      <c r="S1721" s="4060">
        <v>46052</v>
      </c>
      <c r="T1721" s="840"/>
      <c r="U1721" s="840"/>
      <c r="V1721" s="840"/>
      <c r="W1721" s="840"/>
      <c r="X1721" s="4068">
        <f>Q1721</f>
        <v>128869.008</v>
      </c>
      <c r="Y1721" s="4060">
        <v>46052</v>
      </c>
      <c r="Z1721" s="3437"/>
      <c r="AA1721" s="3437"/>
      <c r="AB1721" s="840"/>
      <c r="AC1721" s="840"/>
      <c r="AD1721" s="3437"/>
      <c r="AE1721" s="3437"/>
      <c r="AF1721" s="3437"/>
      <c r="AG1721" s="3437"/>
      <c r="AH1721" s="3437"/>
      <c r="AI1721" s="3437"/>
    </row>
    <row r="1722" s="32" customFormat="1" ht="33" customHeight="1" spans="1:35">
      <c r="A1722" s="433" t="s">
        <v>2570</v>
      </c>
      <c r="B1722" s="4177">
        <v>44922</v>
      </c>
      <c r="C1722" s="657" t="s">
        <v>6691</v>
      </c>
      <c r="D1722" s="409"/>
      <c r="E1722" s="409" t="s">
        <v>6755</v>
      </c>
      <c r="F1722" s="409" t="s">
        <v>6756</v>
      </c>
      <c r="G1722" s="409" t="s">
        <v>6757</v>
      </c>
      <c r="H1722" s="409" t="s">
        <v>6758</v>
      </c>
      <c r="I1722" s="409"/>
      <c r="J1722" s="409"/>
      <c r="K1722" s="4184">
        <v>296000</v>
      </c>
      <c r="L1722" s="433" t="s">
        <v>126</v>
      </c>
      <c r="M1722" s="840">
        <v>1</v>
      </c>
      <c r="N1722" s="2618" t="s">
        <v>6759</v>
      </c>
      <c r="O1722" s="4169">
        <v>0.2</v>
      </c>
      <c r="P1722" s="4057">
        <v>24600</v>
      </c>
      <c r="Q1722" s="4057">
        <v>24600</v>
      </c>
      <c r="R1722" s="428" t="s">
        <v>4603</v>
      </c>
      <c r="S1722" s="4058">
        <v>44921</v>
      </c>
      <c r="T1722" s="4057">
        <v>24600</v>
      </c>
      <c r="U1722" s="4058">
        <v>44921</v>
      </c>
      <c r="V1722" s="4057">
        <v>24600</v>
      </c>
      <c r="W1722" s="4058">
        <v>44930</v>
      </c>
      <c r="X1722" s="4057">
        <v>24600</v>
      </c>
      <c r="Y1722" s="4058">
        <v>44944</v>
      </c>
      <c r="Z1722" s="3437"/>
      <c r="AA1722" s="3437"/>
      <c r="AB1722" s="840"/>
      <c r="AC1722" s="840"/>
      <c r="AD1722" s="3437"/>
      <c r="AE1722" s="3437"/>
      <c r="AF1722" s="3437"/>
      <c r="AG1722" s="3437"/>
      <c r="AH1722" s="3437"/>
      <c r="AI1722" s="3437"/>
    </row>
    <row r="1723" s="32" customFormat="1" ht="33" customHeight="1" spans="1:35">
      <c r="A1723" s="433"/>
      <c r="B1723" s="4177"/>
      <c r="C1723" s="657"/>
      <c r="D1723" s="409"/>
      <c r="E1723" s="409"/>
      <c r="F1723" s="409"/>
      <c r="G1723" s="409"/>
      <c r="H1723" s="409"/>
      <c r="I1723" s="409"/>
      <c r="J1723" s="409"/>
      <c r="K1723" s="4184"/>
      <c r="L1723" s="433"/>
      <c r="M1723" s="840">
        <v>2</v>
      </c>
      <c r="N1723" s="2618" t="s">
        <v>6760</v>
      </c>
      <c r="O1723" s="4169">
        <v>0.6</v>
      </c>
      <c r="P1723" s="4057">
        <v>73800</v>
      </c>
      <c r="Q1723" s="4057">
        <v>73800</v>
      </c>
      <c r="R1723" s="428" t="s">
        <v>4603</v>
      </c>
      <c r="S1723" s="4058">
        <v>44921</v>
      </c>
      <c r="T1723" s="4057">
        <v>73800</v>
      </c>
      <c r="U1723" s="4058">
        <v>44921</v>
      </c>
      <c r="V1723" s="4057">
        <v>73800</v>
      </c>
      <c r="W1723" s="4058">
        <v>44930</v>
      </c>
      <c r="X1723" s="4057">
        <v>73800</v>
      </c>
      <c r="Y1723" s="4058">
        <v>44944</v>
      </c>
      <c r="Z1723" s="3437"/>
      <c r="AA1723" s="3437"/>
      <c r="AB1723" s="840"/>
      <c r="AC1723" s="840"/>
      <c r="AD1723" s="3437"/>
      <c r="AE1723" s="3437"/>
      <c r="AF1723" s="3437"/>
      <c r="AG1723" s="3437"/>
      <c r="AH1723" s="3437"/>
      <c r="AI1723" s="3437"/>
    </row>
    <row r="1724" s="32" customFormat="1" ht="33" customHeight="1" spans="1:35">
      <c r="A1724" s="433"/>
      <c r="B1724" s="4177"/>
      <c r="C1724" s="657"/>
      <c r="D1724" s="409"/>
      <c r="E1724" s="409"/>
      <c r="F1724" s="409"/>
      <c r="G1724" s="409"/>
      <c r="H1724" s="409"/>
      <c r="I1724" s="409"/>
      <c r="J1724" s="409"/>
      <c r="K1724" s="4184"/>
      <c r="L1724" s="433"/>
      <c r="M1724" s="840">
        <v>3</v>
      </c>
      <c r="N1724" s="2618" t="s">
        <v>6761</v>
      </c>
      <c r="O1724" s="4169">
        <v>0.18</v>
      </c>
      <c r="P1724" s="4057">
        <v>22140</v>
      </c>
      <c r="Q1724" s="4057">
        <v>22140</v>
      </c>
      <c r="R1724" s="428" t="s">
        <v>4603</v>
      </c>
      <c r="S1724" s="4058">
        <v>44921</v>
      </c>
      <c r="T1724" s="4057">
        <v>22140</v>
      </c>
      <c r="U1724" s="4058">
        <v>44921</v>
      </c>
      <c r="V1724" s="840"/>
      <c r="W1724" s="840"/>
      <c r="X1724" s="4068">
        <f>Q1724+Q1725</f>
        <v>22060</v>
      </c>
      <c r="Y1724" s="4060">
        <v>46052</v>
      </c>
      <c r="Z1724" s="3437"/>
      <c r="AA1724" s="3437"/>
      <c r="AB1724" s="840"/>
      <c r="AC1724" s="840"/>
      <c r="AD1724" s="3437"/>
      <c r="AE1724" s="3437"/>
      <c r="AF1724" s="3437"/>
      <c r="AG1724" s="3437"/>
      <c r="AH1724" s="3437"/>
      <c r="AI1724" s="3437"/>
    </row>
    <row r="1725" s="32" customFormat="1" ht="33" customHeight="1" spans="1:35">
      <c r="A1725" s="433"/>
      <c r="B1725" s="4177"/>
      <c r="C1725" s="657"/>
      <c r="D1725" s="409"/>
      <c r="E1725" s="409"/>
      <c r="F1725" s="409"/>
      <c r="G1725" s="409"/>
      <c r="H1725" s="409"/>
      <c r="I1725" s="409"/>
      <c r="J1725" s="409"/>
      <c r="K1725" s="4184"/>
      <c r="L1725" s="433"/>
      <c r="M1725" s="840">
        <v>4</v>
      </c>
      <c r="N1725" s="2618" t="s">
        <v>6762</v>
      </c>
      <c r="O1725" s="4169">
        <v>0.02</v>
      </c>
      <c r="P1725" s="4057">
        <v>2460</v>
      </c>
      <c r="Q1725" s="4068">
        <v>-80</v>
      </c>
      <c r="R1725" s="593" t="s">
        <v>349</v>
      </c>
      <c r="S1725" s="4060">
        <v>46052</v>
      </c>
      <c r="T1725" s="4188"/>
      <c r="U1725" s="840"/>
      <c r="V1725" s="840"/>
      <c r="W1725" s="840"/>
      <c r="X1725" s="840"/>
      <c r="Y1725" s="840"/>
      <c r="Z1725" s="3437"/>
      <c r="AA1725" s="3437"/>
      <c r="AB1725" s="840"/>
      <c r="AC1725" s="840"/>
      <c r="AD1725" s="3437"/>
      <c r="AE1725" s="3437"/>
      <c r="AF1725" s="3437"/>
      <c r="AG1725" s="3437"/>
      <c r="AH1725" s="3437"/>
      <c r="AI1725" s="3437"/>
    </row>
    <row r="1726" s="32" customFormat="1" ht="33" customHeight="1" spans="1:35">
      <c r="A1726" s="433"/>
      <c r="B1726" s="4177"/>
      <c r="C1726" s="657"/>
      <c r="D1726" s="409"/>
      <c r="E1726" s="409"/>
      <c r="F1726" s="409"/>
      <c r="G1726" s="413" t="s">
        <v>6763</v>
      </c>
      <c r="H1726" s="409"/>
      <c r="I1726" s="409"/>
      <c r="J1726" s="409"/>
      <c r="K1726" s="4184"/>
      <c r="L1726" s="433"/>
      <c r="M1726" s="840">
        <v>1</v>
      </c>
      <c r="N1726" s="2618" t="s">
        <v>6764</v>
      </c>
      <c r="O1726" s="4169">
        <v>0.2</v>
      </c>
      <c r="P1726" s="4057">
        <v>34600</v>
      </c>
      <c r="Q1726" s="4057">
        <v>34600</v>
      </c>
      <c r="R1726" s="428" t="s">
        <v>4603</v>
      </c>
      <c r="S1726" s="4058">
        <v>44921</v>
      </c>
      <c r="T1726" s="4057">
        <v>34600</v>
      </c>
      <c r="U1726" s="4058">
        <v>44921</v>
      </c>
      <c r="V1726" s="4057">
        <v>34600</v>
      </c>
      <c r="W1726" s="4058">
        <v>44930</v>
      </c>
      <c r="X1726" s="4057">
        <v>34600</v>
      </c>
      <c r="Y1726" s="4058">
        <v>44944</v>
      </c>
      <c r="Z1726" s="3437"/>
      <c r="AA1726" s="3437"/>
      <c r="AB1726" s="840"/>
      <c r="AC1726" s="840"/>
      <c r="AD1726" s="3437"/>
      <c r="AE1726" s="3437"/>
      <c r="AF1726" s="3437"/>
      <c r="AG1726" s="3437"/>
      <c r="AH1726" s="3437"/>
      <c r="AI1726" s="3437"/>
    </row>
    <row r="1727" s="32" customFormat="1" ht="33" customHeight="1" spans="1:35">
      <c r="A1727" s="433"/>
      <c r="B1727" s="4177"/>
      <c r="C1727" s="657"/>
      <c r="D1727" s="409"/>
      <c r="E1727" s="409"/>
      <c r="F1727" s="409"/>
      <c r="G1727" s="413"/>
      <c r="H1727" s="409"/>
      <c r="I1727" s="409"/>
      <c r="J1727" s="409"/>
      <c r="K1727" s="4184"/>
      <c r="L1727" s="433"/>
      <c r="M1727" s="840">
        <v>2</v>
      </c>
      <c r="N1727" s="2618" t="s">
        <v>6765</v>
      </c>
      <c r="O1727" s="4169">
        <v>0.6</v>
      </c>
      <c r="P1727" s="4057">
        <v>103800</v>
      </c>
      <c r="Q1727" s="4057">
        <v>103800</v>
      </c>
      <c r="R1727" s="428" t="s">
        <v>4603</v>
      </c>
      <c r="S1727" s="4058">
        <v>44921</v>
      </c>
      <c r="T1727" s="4057">
        <v>103800</v>
      </c>
      <c r="U1727" s="4058">
        <v>44921</v>
      </c>
      <c r="V1727" s="4057">
        <v>103800</v>
      </c>
      <c r="W1727" s="4058">
        <v>44930</v>
      </c>
      <c r="X1727" s="4057">
        <v>103800</v>
      </c>
      <c r="Y1727" s="4058">
        <v>44944</v>
      </c>
      <c r="Z1727" s="3437"/>
      <c r="AA1727" s="3437"/>
      <c r="AB1727" s="840"/>
      <c r="AC1727" s="840"/>
      <c r="AD1727" s="3437"/>
      <c r="AE1727" s="3437"/>
      <c r="AF1727" s="3437"/>
      <c r="AG1727" s="3437"/>
      <c r="AH1727" s="3437"/>
      <c r="AI1727" s="3437"/>
    </row>
    <row r="1728" s="32" customFormat="1" ht="33" customHeight="1" spans="1:35">
      <c r="A1728" s="433"/>
      <c r="B1728" s="4177"/>
      <c r="C1728" s="657"/>
      <c r="D1728" s="409"/>
      <c r="E1728" s="409"/>
      <c r="F1728" s="409"/>
      <c r="G1728" s="413"/>
      <c r="H1728" s="409"/>
      <c r="I1728" s="409"/>
      <c r="J1728" s="409"/>
      <c r="K1728" s="4184"/>
      <c r="L1728" s="433"/>
      <c r="M1728" s="840">
        <v>3</v>
      </c>
      <c r="N1728" s="2618" t="s">
        <v>6766</v>
      </c>
      <c r="O1728" s="4169">
        <v>0.18</v>
      </c>
      <c r="P1728" s="4057">
        <v>31140</v>
      </c>
      <c r="Q1728" s="4057">
        <v>31140</v>
      </c>
      <c r="R1728" s="428" t="s">
        <v>4603</v>
      </c>
      <c r="S1728" s="4058">
        <v>44921</v>
      </c>
      <c r="T1728" s="4057">
        <v>31140</v>
      </c>
      <c r="U1728" s="4058">
        <v>44921</v>
      </c>
      <c r="V1728" s="840"/>
      <c r="W1728" s="840"/>
      <c r="X1728" s="4187">
        <v>31140</v>
      </c>
      <c r="Y1728" s="4060">
        <v>46052</v>
      </c>
      <c r="Z1728" s="3437"/>
      <c r="AA1728" s="3437"/>
      <c r="AB1728" s="840"/>
      <c r="AC1728" s="840"/>
      <c r="AD1728" s="3437"/>
      <c r="AE1728" s="3437"/>
      <c r="AF1728" s="3437"/>
      <c r="AG1728" s="3437"/>
      <c r="AH1728" s="3437"/>
      <c r="AI1728" s="3437"/>
    </row>
    <row r="1729" s="32" customFormat="1" ht="33" customHeight="1" spans="1:35">
      <c r="A1729" s="503"/>
      <c r="B1729" s="4179"/>
      <c r="C1729" s="3004"/>
      <c r="D1729" s="411"/>
      <c r="E1729" s="411"/>
      <c r="F1729" s="411"/>
      <c r="G1729" s="413"/>
      <c r="H1729" s="411"/>
      <c r="I1729" s="411"/>
      <c r="J1729" s="411"/>
      <c r="K1729" s="4185"/>
      <c r="L1729" s="503"/>
      <c r="M1729" s="840">
        <v>4</v>
      </c>
      <c r="N1729" s="2618" t="s">
        <v>6767</v>
      </c>
      <c r="O1729" s="4169">
        <v>0.02</v>
      </c>
      <c r="P1729" s="4057">
        <v>3460</v>
      </c>
      <c r="Q1729" s="4068">
        <v>0</v>
      </c>
      <c r="R1729" s="593" t="s">
        <v>349</v>
      </c>
      <c r="S1729" s="4060">
        <v>46052</v>
      </c>
      <c r="T1729" s="840"/>
      <c r="U1729" s="840"/>
      <c r="V1729" s="840"/>
      <c r="W1729" s="840"/>
      <c r="X1729" s="840"/>
      <c r="Y1729" s="840"/>
      <c r="Z1729" s="3437"/>
      <c r="AA1729" s="3437"/>
      <c r="AB1729" s="840"/>
      <c r="AC1729" s="840"/>
      <c r="AD1729" s="3437"/>
      <c r="AE1729" s="3437"/>
      <c r="AF1729" s="3437"/>
      <c r="AG1729" s="3437"/>
      <c r="AH1729" s="3437"/>
      <c r="AI1729" s="3437"/>
    </row>
    <row r="1730" s="32" customFormat="1" ht="33" customHeight="1" spans="1:35">
      <c r="A1730" s="428" t="s">
        <v>2570</v>
      </c>
      <c r="B1730" s="552">
        <v>45859</v>
      </c>
      <c r="C1730" s="370" t="s">
        <v>4428</v>
      </c>
      <c r="D1730" s="413"/>
      <c r="E1730" s="413" t="s">
        <v>6768</v>
      </c>
      <c r="F1730" s="413" t="s">
        <v>6769</v>
      </c>
      <c r="G1730" s="413" t="s">
        <v>6770</v>
      </c>
      <c r="H1730" s="413" t="s">
        <v>5763</v>
      </c>
      <c r="I1730" s="413" t="s">
        <v>6771</v>
      </c>
      <c r="J1730" s="407" t="s">
        <v>6772</v>
      </c>
      <c r="K1730" s="584">
        <v>1297420</v>
      </c>
      <c r="L1730" s="428" t="s">
        <v>126</v>
      </c>
      <c r="M1730" s="840">
        <v>1</v>
      </c>
      <c r="N1730" s="185" t="s">
        <v>5801</v>
      </c>
      <c r="O1730" s="4169">
        <v>0.15</v>
      </c>
      <c r="P1730" s="4057">
        <f>K1730*O1730</f>
        <v>194613</v>
      </c>
      <c r="Q1730" s="4057">
        <f>P1730</f>
        <v>194613</v>
      </c>
      <c r="R1730" s="428" t="s">
        <v>4603</v>
      </c>
      <c r="S1730" s="4058">
        <v>45896</v>
      </c>
      <c r="T1730" s="840">
        <f>Q1730</f>
        <v>194613</v>
      </c>
      <c r="U1730" s="4058">
        <v>45896</v>
      </c>
      <c r="V1730" s="840">
        <f>T1730</f>
        <v>194613</v>
      </c>
      <c r="W1730" s="4058">
        <v>45905</v>
      </c>
      <c r="X1730" s="840">
        <f>V1730</f>
        <v>194613</v>
      </c>
      <c r="Y1730" s="4058">
        <v>45919</v>
      </c>
      <c r="Z1730" s="3437"/>
      <c r="AA1730" s="3437"/>
      <c r="AB1730" s="840"/>
      <c r="AC1730" s="840"/>
      <c r="AD1730" s="3437"/>
      <c r="AE1730" s="3437"/>
      <c r="AF1730" s="3437"/>
      <c r="AG1730" s="3437"/>
      <c r="AH1730" s="3437"/>
      <c r="AI1730" s="3437"/>
    </row>
    <row r="1731" s="32" customFormat="1" ht="33" customHeight="1" spans="1:35">
      <c r="A1731" s="428"/>
      <c r="B1731" s="4058"/>
      <c r="C1731" s="370"/>
      <c r="D1731" s="413"/>
      <c r="E1731" s="413"/>
      <c r="F1731" s="413"/>
      <c r="G1731" s="413"/>
      <c r="H1731" s="413"/>
      <c r="I1731" s="413"/>
      <c r="J1731" s="409"/>
      <c r="K1731" s="3057"/>
      <c r="L1731" s="428"/>
      <c r="M1731" s="840">
        <v>2</v>
      </c>
      <c r="N1731" s="185" t="s">
        <v>6773</v>
      </c>
      <c r="O1731" s="4169">
        <v>0.25</v>
      </c>
      <c r="P1731" s="4057">
        <f>K1730*O1731</f>
        <v>324355</v>
      </c>
      <c r="Q1731" s="4057">
        <f>P1731</f>
        <v>324355</v>
      </c>
      <c r="R1731" s="428" t="s">
        <v>4603</v>
      </c>
      <c r="S1731" s="4058">
        <v>45896</v>
      </c>
      <c r="T1731" s="840">
        <f>Q1731</f>
        <v>324355</v>
      </c>
      <c r="U1731" s="4058">
        <v>45896</v>
      </c>
      <c r="V1731" s="840">
        <f>T1731</f>
        <v>324355</v>
      </c>
      <c r="W1731" s="4058">
        <v>45905</v>
      </c>
      <c r="X1731" s="840">
        <f>V1731</f>
        <v>324355</v>
      </c>
      <c r="Y1731" s="4058">
        <v>45919</v>
      </c>
      <c r="Z1731" s="3437"/>
      <c r="AA1731" s="3437"/>
      <c r="AB1731" s="840"/>
      <c r="AC1731" s="840"/>
      <c r="AD1731" s="3437"/>
      <c r="AE1731" s="3437"/>
      <c r="AF1731" s="3437"/>
      <c r="AG1731" s="3437"/>
      <c r="AH1731" s="3437"/>
      <c r="AI1731" s="3437"/>
    </row>
    <row r="1732" s="32" customFormat="1" ht="33" customHeight="1" spans="1:35">
      <c r="A1732" s="428"/>
      <c r="B1732" s="4058"/>
      <c r="C1732" s="370"/>
      <c r="D1732" s="413"/>
      <c r="E1732" s="413"/>
      <c r="F1732" s="413"/>
      <c r="G1732" s="413"/>
      <c r="H1732" s="413"/>
      <c r="I1732" s="413"/>
      <c r="J1732" s="409"/>
      <c r="K1732" s="3057"/>
      <c r="L1732" s="428"/>
      <c r="M1732" s="840">
        <v>3</v>
      </c>
      <c r="N1732" s="185" t="s">
        <v>5515</v>
      </c>
      <c r="O1732" s="4169">
        <v>0.1</v>
      </c>
      <c r="P1732" s="4057">
        <f>K1730*O1732</f>
        <v>129742</v>
      </c>
      <c r="Q1732" s="4057">
        <f>P1732</f>
        <v>129742</v>
      </c>
      <c r="R1732" s="428" t="s">
        <v>4603</v>
      </c>
      <c r="S1732" s="4058">
        <v>45896</v>
      </c>
      <c r="T1732" s="840">
        <f>Q1732</f>
        <v>129742</v>
      </c>
      <c r="U1732" s="4058">
        <v>45896</v>
      </c>
      <c r="V1732" s="840">
        <f>T1732</f>
        <v>129742</v>
      </c>
      <c r="W1732" s="4058">
        <v>45905</v>
      </c>
      <c r="X1732" s="840">
        <f>V1732</f>
        <v>129742</v>
      </c>
      <c r="Y1732" s="4058">
        <v>45919</v>
      </c>
      <c r="Z1732" s="3437"/>
      <c r="AA1732" s="3437"/>
      <c r="AB1732" s="840"/>
      <c r="AC1732" s="840"/>
      <c r="AD1732" s="3437"/>
      <c r="AE1732" s="3437"/>
      <c r="AF1732" s="3437"/>
      <c r="AG1732" s="3437"/>
      <c r="AH1732" s="3437"/>
      <c r="AI1732" s="3437"/>
    </row>
    <row r="1733" s="32" customFormat="1" ht="33" customHeight="1" spans="1:35">
      <c r="A1733" s="428"/>
      <c r="B1733" s="4058"/>
      <c r="C1733" s="370"/>
      <c r="D1733" s="413"/>
      <c r="E1733" s="413"/>
      <c r="F1733" s="413"/>
      <c r="G1733" s="413"/>
      <c r="H1733" s="413"/>
      <c r="I1733" s="413"/>
      <c r="J1733" s="409"/>
      <c r="K1733" s="3057"/>
      <c r="L1733" s="428"/>
      <c r="M1733" s="840">
        <v>4</v>
      </c>
      <c r="N1733" s="185" t="s">
        <v>6774</v>
      </c>
      <c r="O1733" s="4169">
        <v>0.3</v>
      </c>
      <c r="P1733" s="4057">
        <f>K1730*O1733</f>
        <v>389226</v>
      </c>
      <c r="Q1733" s="4057">
        <f>P1733</f>
        <v>389226</v>
      </c>
      <c r="R1733" s="428" t="s">
        <v>4603</v>
      </c>
      <c r="S1733" s="4058">
        <v>45896</v>
      </c>
      <c r="T1733" s="840">
        <f>Q1733</f>
        <v>389226</v>
      </c>
      <c r="U1733" s="4058">
        <v>45896</v>
      </c>
      <c r="V1733" s="840">
        <f>T1733</f>
        <v>389226</v>
      </c>
      <c r="W1733" s="4058">
        <v>45905</v>
      </c>
      <c r="X1733" s="840">
        <f>V1733</f>
        <v>389226</v>
      </c>
      <c r="Y1733" s="4058">
        <v>45919</v>
      </c>
      <c r="Z1733" s="3437"/>
      <c r="AA1733" s="3437"/>
      <c r="AB1733" s="840"/>
      <c r="AC1733" s="840"/>
      <c r="AD1733" s="3437"/>
      <c r="AE1733" s="3437"/>
      <c r="AF1733" s="3437"/>
      <c r="AG1733" s="3437"/>
      <c r="AH1733" s="3437"/>
      <c r="AI1733" s="3437"/>
    </row>
    <row r="1734" s="32" customFormat="1" ht="33" customHeight="1" spans="1:35">
      <c r="A1734" s="428"/>
      <c r="B1734" s="4058"/>
      <c r="C1734" s="370"/>
      <c r="D1734" s="413"/>
      <c r="E1734" s="413"/>
      <c r="F1734" s="413"/>
      <c r="G1734" s="413"/>
      <c r="H1734" s="413"/>
      <c r="I1734" s="413"/>
      <c r="J1734" s="409"/>
      <c r="K1734" s="3057"/>
      <c r="L1734" s="428"/>
      <c r="M1734" s="840">
        <v>5</v>
      </c>
      <c r="N1734" s="185" t="s">
        <v>6775</v>
      </c>
      <c r="O1734" s="4169">
        <v>0.05</v>
      </c>
      <c r="P1734" s="4057">
        <f>K1730*O1734</f>
        <v>64871</v>
      </c>
      <c r="Q1734" s="4068"/>
      <c r="R1734" s="593"/>
      <c r="S1734" s="4060"/>
      <c r="T1734" s="840"/>
      <c r="U1734" s="840"/>
      <c r="V1734" s="840"/>
      <c r="W1734" s="840"/>
      <c r="X1734" s="840"/>
      <c r="Y1734" s="840"/>
      <c r="Z1734" s="3437"/>
      <c r="AA1734" s="3437"/>
      <c r="AB1734" s="840"/>
      <c r="AC1734" s="840"/>
      <c r="AD1734" s="3437"/>
      <c r="AE1734" s="3437"/>
      <c r="AF1734" s="3437"/>
      <c r="AG1734" s="3437"/>
      <c r="AH1734" s="3437"/>
      <c r="AI1734" s="3437"/>
    </row>
    <row r="1735" s="32" customFormat="1" ht="33" customHeight="1" spans="1:35">
      <c r="A1735" s="428"/>
      <c r="B1735" s="4058"/>
      <c r="C1735" s="370"/>
      <c r="D1735" s="413"/>
      <c r="E1735" s="413"/>
      <c r="F1735" s="413"/>
      <c r="G1735" s="413"/>
      <c r="H1735" s="413"/>
      <c r="I1735" s="413"/>
      <c r="J1735" s="409"/>
      <c r="K1735" s="3057"/>
      <c r="L1735" s="428"/>
      <c r="M1735" s="840">
        <v>6</v>
      </c>
      <c r="N1735" s="185" t="s">
        <v>4273</v>
      </c>
      <c r="O1735" s="4169">
        <v>0.05</v>
      </c>
      <c r="P1735" s="4057">
        <f>K1730*O1735</f>
        <v>64871</v>
      </c>
      <c r="Q1735" s="4068"/>
      <c r="R1735" s="593"/>
      <c r="S1735" s="4060"/>
      <c r="T1735" s="840"/>
      <c r="U1735" s="840"/>
      <c r="V1735" s="840"/>
      <c r="W1735" s="840"/>
      <c r="X1735" s="840"/>
      <c r="Y1735" s="840"/>
      <c r="Z1735" s="3437"/>
      <c r="AA1735" s="3437"/>
      <c r="AB1735" s="840"/>
      <c r="AC1735" s="840"/>
      <c r="AD1735" s="3437"/>
      <c r="AE1735" s="3437"/>
      <c r="AF1735" s="3437"/>
      <c r="AG1735" s="3437"/>
      <c r="AH1735" s="3437"/>
      <c r="AI1735" s="3437"/>
    </row>
    <row r="1736" s="32" customFormat="1" ht="33" customHeight="1" spans="1:35">
      <c r="A1736" s="428"/>
      <c r="B1736" s="4058"/>
      <c r="C1736" s="370"/>
      <c r="D1736" s="413"/>
      <c r="E1736" s="413"/>
      <c r="F1736" s="413"/>
      <c r="G1736" s="413"/>
      <c r="H1736" s="413"/>
      <c r="I1736" s="413"/>
      <c r="J1736" s="411"/>
      <c r="K1736" s="3057"/>
      <c r="L1736" s="428"/>
      <c r="M1736" s="840">
        <v>7</v>
      </c>
      <c r="N1736" s="185" t="s">
        <v>3356</v>
      </c>
      <c r="O1736" s="4169">
        <v>0.1</v>
      </c>
      <c r="P1736" s="4057">
        <f>K1730*O1736</f>
        <v>129742</v>
      </c>
      <c r="Q1736" s="4068"/>
      <c r="R1736" s="593"/>
      <c r="S1736" s="4060"/>
      <c r="T1736" s="840"/>
      <c r="U1736" s="840"/>
      <c r="V1736" s="840"/>
      <c r="W1736" s="840"/>
      <c r="X1736" s="840"/>
      <c r="Y1736" s="840"/>
      <c r="Z1736" s="3437"/>
      <c r="AA1736" s="3437"/>
      <c r="AB1736" s="840"/>
      <c r="AC1736" s="840"/>
      <c r="AD1736" s="3437"/>
      <c r="AE1736" s="3437"/>
      <c r="AF1736" s="3437"/>
      <c r="AG1736" s="3437"/>
      <c r="AH1736" s="3437"/>
      <c r="AI1736" s="3437"/>
    </row>
    <row r="1737" s="35" customFormat="1" ht="33" customHeight="1" spans="1:35">
      <c r="A1737" s="926" t="s">
        <v>2570</v>
      </c>
      <c r="B1737" s="3994">
        <v>45953</v>
      </c>
      <c r="C1737" s="641" t="s">
        <v>4428</v>
      </c>
      <c r="D1737" s="683"/>
      <c r="E1737" s="639" t="s">
        <v>6776</v>
      </c>
      <c r="F1737" s="639" t="s">
        <v>6777</v>
      </c>
      <c r="G1737" s="639" t="s">
        <v>6778</v>
      </c>
      <c r="H1737" s="639" t="s">
        <v>6618</v>
      </c>
      <c r="I1737" s="639" t="s">
        <v>6771</v>
      </c>
      <c r="J1737" s="683" t="s">
        <v>6779</v>
      </c>
      <c r="K1737" s="4197">
        <v>1465581.71</v>
      </c>
      <c r="L1737" s="926" t="s">
        <v>126</v>
      </c>
      <c r="M1737" s="4053">
        <v>1</v>
      </c>
      <c r="N1737" s="742" t="s">
        <v>6780</v>
      </c>
      <c r="O1737" s="4207">
        <v>0.3</v>
      </c>
      <c r="P1737" s="4208">
        <f>K1737*O1737</f>
        <v>439674.513</v>
      </c>
      <c r="Q1737" s="4208">
        <v>439674.51</v>
      </c>
      <c r="R1737" s="745" t="s">
        <v>4603</v>
      </c>
      <c r="S1737" s="4061">
        <v>45974</v>
      </c>
      <c r="T1737" s="4053">
        <f>Q1737</f>
        <v>439674.51</v>
      </c>
      <c r="U1737" s="4248">
        <v>45974</v>
      </c>
      <c r="V1737" s="4053">
        <f>T1737</f>
        <v>439674.51</v>
      </c>
      <c r="W1737" s="4248">
        <v>45985</v>
      </c>
      <c r="X1737" s="4062">
        <f>Q1737</f>
        <v>439674.51</v>
      </c>
      <c r="Y1737" s="4063">
        <v>46021</v>
      </c>
      <c r="Z1737" s="3995"/>
      <c r="AA1737" s="3995"/>
      <c r="AB1737" s="4053"/>
      <c r="AC1737" s="4053"/>
      <c r="AD1737" s="3995"/>
      <c r="AE1737" s="3995"/>
      <c r="AF1737" s="3995"/>
      <c r="AG1737" s="3995"/>
      <c r="AH1737" s="3995"/>
      <c r="AI1737" s="3995"/>
    </row>
    <row r="1738" s="35" customFormat="1" ht="33" customHeight="1" spans="1:35">
      <c r="A1738" s="2907"/>
      <c r="B1738" s="3997"/>
      <c r="C1738" s="2872"/>
      <c r="D1738" s="683"/>
      <c r="E1738" s="683"/>
      <c r="F1738" s="683"/>
      <c r="G1738" s="683"/>
      <c r="H1738" s="683"/>
      <c r="I1738" s="683"/>
      <c r="J1738" s="683"/>
      <c r="K1738" s="4198"/>
      <c r="L1738" s="2907"/>
      <c r="M1738" s="4053">
        <v>2</v>
      </c>
      <c r="N1738" s="742" t="s">
        <v>6781</v>
      </c>
      <c r="O1738" s="4207">
        <v>0.3</v>
      </c>
      <c r="P1738" s="4208">
        <f>K1737*O1738</f>
        <v>439674.513</v>
      </c>
      <c r="Q1738" s="4208">
        <v>439674.51</v>
      </c>
      <c r="R1738" s="745" t="s">
        <v>4603</v>
      </c>
      <c r="S1738" s="4061">
        <v>45974</v>
      </c>
      <c r="T1738" s="4053">
        <f>Q1738</f>
        <v>439674.51</v>
      </c>
      <c r="U1738" s="4061">
        <v>45974</v>
      </c>
      <c r="V1738" s="4053">
        <f>T1738</f>
        <v>439674.51</v>
      </c>
      <c r="W1738" s="4248">
        <v>45985</v>
      </c>
      <c r="X1738" s="4062">
        <f>Q1738</f>
        <v>439674.51</v>
      </c>
      <c r="Y1738" s="4063">
        <v>46021</v>
      </c>
      <c r="Z1738" s="3995"/>
      <c r="AA1738" s="3995"/>
      <c r="AB1738" s="4053"/>
      <c r="AC1738" s="4053"/>
      <c r="AD1738" s="3995"/>
      <c r="AE1738" s="3995"/>
      <c r="AF1738" s="3995"/>
      <c r="AG1738" s="3995"/>
      <c r="AH1738" s="3995"/>
      <c r="AI1738" s="3995"/>
    </row>
    <row r="1739" s="35" customFormat="1" ht="33" customHeight="1" spans="1:35">
      <c r="A1739" s="2907"/>
      <c r="B1739" s="3997"/>
      <c r="C1739" s="2872"/>
      <c r="D1739" s="683"/>
      <c r="E1739" s="683"/>
      <c r="F1739" s="683"/>
      <c r="G1739" s="683"/>
      <c r="H1739" s="683"/>
      <c r="I1739" s="683"/>
      <c r="J1739" s="683"/>
      <c r="K1739" s="4198"/>
      <c r="L1739" s="2907"/>
      <c r="M1739" s="4053">
        <v>3</v>
      </c>
      <c r="N1739" s="742" t="s">
        <v>6782</v>
      </c>
      <c r="O1739" s="4207">
        <v>0.3</v>
      </c>
      <c r="P1739" s="4208">
        <f>K1737*O1739</f>
        <v>439674.513</v>
      </c>
      <c r="Q1739" s="4232">
        <v>439674.51</v>
      </c>
      <c r="R1739" s="821" t="s">
        <v>349</v>
      </c>
      <c r="S1739" s="4063">
        <v>46052</v>
      </c>
      <c r="T1739" s="4053"/>
      <c r="U1739" s="4053"/>
      <c r="V1739" s="4053"/>
      <c r="W1739" s="4053"/>
      <c r="X1739" s="4062">
        <f>Q1739</f>
        <v>439674.51</v>
      </c>
      <c r="Y1739" s="867">
        <v>46052</v>
      </c>
      <c r="Z1739" s="3995"/>
      <c r="AA1739" s="3995"/>
      <c r="AB1739" s="4053"/>
      <c r="AC1739" s="4053"/>
      <c r="AD1739" s="3995"/>
      <c r="AE1739" s="3995"/>
      <c r="AF1739" s="3995"/>
      <c r="AG1739" s="3995"/>
      <c r="AH1739" s="3995"/>
      <c r="AI1739" s="3995"/>
    </row>
    <row r="1740" s="35" customFormat="1" ht="33" customHeight="1" spans="1:35">
      <c r="A1740" s="2909"/>
      <c r="B1740" s="3999"/>
      <c r="C1740" s="2873"/>
      <c r="D1740" s="683"/>
      <c r="E1740" s="2895"/>
      <c r="F1740" s="2895"/>
      <c r="G1740" s="2895"/>
      <c r="H1740" s="2895"/>
      <c r="I1740" s="2895"/>
      <c r="J1740" s="2895"/>
      <c r="K1740" s="3448"/>
      <c r="L1740" s="2909"/>
      <c r="M1740" s="4053">
        <v>4</v>
      </c>
      <c r="N1740" s="742" t="s">
        <v>6783</v>
      </c>
      <c r="O1740" s="4207">
        <v>0.1</v>
      </c>
      <c r="P1740" s="4208">
        <f>K1737*O1740</f>
        <v>146558.171</v>
      </c>
      <c r="Q1740" s="4232"/>
      <c r="R1740" s="821"/>
      <c r="S1740" s="4063"/>
      <c r="T1740" s="4053"/>
      <c r="U1740" s="4053"/>
      <c r="V1740" s="4053"/>
      <c r="W1740" s="4053"/>
      <c r="X1740" s="4053"/>
      <c r="Y1740" s="4053"/>
      <c r="Z1740" s="3995"/>
      <c r="AA1740" s="3995"/>
      <c r="AB1740" s="4053"/>
      <c r="AC1740" s="4053"/>
      <c r="AD1740" s="3995"/>
      <c r="AE1740" s="3995"/>
      <c r="AF1740" s="3995"/>
      <c r="AG1740" s="3995"/>
      <c r="AH1740" s="3995"/>
      <c r="AI1740" s="3995"/>
    </row>
    <row r="1741" s="36" customFormat="1" ht="33" customHeight="1" spans="1:35">
      <c r="A1741" s="4098" t="s">
        <v>2570</v>
      </c>
      <c r="B1741" s="4189">
        <v>45912</v>
      </c>
      <c r="C1741" s="4190" t="s">
        <v>4428</v>
      </c>
      <c r="D1741" s="4086"/>
      <c r="E1741" s="4011" t="s">
        <v>6784</v>
      </c>
      <c r="F1741" s="4011" t="s">
        <v>6785</v>
      </c>
      <c r="G1741" s="4011" t="s">
        <v>6647</v>
      </c>
      <c r="H1741" s="4011" t="s">
        <v>6786</v>
      </c>
      <c r="I1741" s="4011" t="s">
        <v>6787</v>
      </c>
      <c r="J1741" s="4011" t="s">
        <v>6788</v>
      </c>
      <c r="K1741" s="4045">
        <v>870000</v>
      </c>
      <c r="L1741" s="4098" t="s">
        <v>126</v>
      </c>
      <c r="M1741" s="4105">
        <v>1</v>
      </c>
      <c r="N1741" s="4126" t="s">
        <v>6789</v>
      </c>
      <c r="O1741" s="4209">
        <v>0.2</v>
      </c>
      <c r="P1741" s="4210">
        <f>K1741*O1741</f>
        <v>174000</v>
      </c>
      <c r="Q1741" s="4210">
        <f>P1741</f>
        <v>174000</v>
      </c>
      <c r="R1741" s="4098" t="s">
        <v>4603</v>
      </c>
      <c r="S1741" s="4106">
        <v>45927</v>
      </c>
      <c r="T1741" s="4105">
        <f>Q1741</f>
        <v>174000</v>
      </c>
      <c r="U1741" s="4106">
        <v>45927</v>
      </c>
      <c r="V1741" s="4105">
        <v>174000</v>
      </c>
      <c r="W1741" s="4106">
        <v>45940</v>
      </c>
      <c r="X1741" s="4105">
        <v>174000</v>
      </c>
      <c r="Y1741" s="4106">
        <v>45954</v>
      </c>
      <c r="Z1741" s="4144"/>
      <c r="AA1741" s="4144"/>
      <c r="AB1741" s="4105"/>
      <c r="AC1741" s="4105"/>
      <c r="AD1741" s="4144"/>
      <c r="AE1741" s="4144"/>
      <c r="AF1741" s="4144"/>
      <c r="AG1741" s="4144"/>
      <c r="AH1741" s="4144"/>
      <c r="AI1741" s="4144"/>
    </row>
    <row r="1742" s="36" customFormat="1" ht="33" customHeight="1" spans="1:35">
      <c r="A1742" s="4098"/>
      <c r="B1742" s="4106"/>
      <c r="C1742" s="4190"/>
      <c r="D1742" s="4086"/>
      <c r="E1742" s="4011"/>
      <c r="F1742" s="4011"/>
      <c r="G1742" s="4011"/>
      <c r="H1742" s="4011"/>
      <c r="I1742" s="4011"/>
      <c r="J1742" s="4011"/>
      <c r="K1742" s="4045"/>
      <c r="L1742" s="4098"/>
      <c r="M1742" s="4105">
        <v>2</v>
      </c>
      <c r="N1742" s="4126" t="s">
        <v>6790</v>
      </c>
      <c r="O1742" s="4209">
        <v>0.6</v>
      </c>
      <c r="P1742" s="4210">
        <f>O1742*K1741</f>
        <v>522000</v>
      </c>
      <c r="Q1742" s="4210">
        <f>P1742</f>
        <v>522000</v>
      </c>
      <c r="R1742" s="4098" t="s">
        <v>4603</v>
      </c>
      <c r="S1742" s="4106">
        <v>45927</v>
      </c>
      <c r="T1742" s="4105">
        <f>Q1742</f>
        <v>522000</v>
      </c>
      <c r="U1742" s="4106">
        <v>45927</v>
      </c>
      <c r="V1742" s="4105">
        <v>522000</v>
      </c>
      <c r="W1742" s="4106">
        <v>45940</v>
      </c>
      <c r="X1742" s="4105">
        <v>522000</v>
      </c>
      <c r="Y1742" s="4106">
        <v>45954</v>
      </c>
      <c r="Z1742" s="4144"/>
      <c r="AA1742" s="4144"/>
      <c r="AB1742" s="4105"/>
      <c r="AC1742" s="4105"/>
      <c r="AD1742" s="4144"/>
      <c r="AE1742" s="4144"/>
      <c r="AF1742" s="4144"/>
      <c r="AG1742" s="4144"/>
      <c r="AH1742" s="4144"/>
      <c r="AI1742" s="4144"/>
    </row>
    <row r="1743" s="36" customFormat="1" ht="33" customHeight="1" spans="1:35">
      <c r="A1743" s="4098"/>
      <c r="B1743" s="4106"/>
      <c r="C1743" s="4190"/>
      <c r="D1743" s="4086"/>
      <c r="E1743" s="4011"/>
      <c r="F1743" s="4011"/>
      <c r="G1743" s="4011"/>
      <c r="H1743" s="4011"/>
      <c r="I1743" s="4011"/>
      <c r="J1743" s="4011"/>
      <c r="K1743" s="4045"/>
      <c r="L1743" s="4098"/>
      <c r="M1743" s="4105">
        <v>3</v>
      </c>
      <c r="N1743" s="4126" t="s">
        <v>6791</v>
      </c>
      <c r="O1743" s="4209">
        <v>0.1</v>
      </c>
      <c r="P1743" s="4210">
        <f>K1741*O1743</f>
        <v>87000</v>
      </c>
      <c r="Q1743" s="4233"/>
      <c r="R1743" s="342"/>
      <c r="S1743" s="4234"/>
      <c r="T1743" s="4105"/>
      <c r="U1743" s="4105"/>
      <c r="V1743" s="4105"/>
      <c r="W1743" s="4105"/>
      <c r="X1743" s="4105"/>
      <c r="Y1743" s="4105"/>
      <c r="Z1743" s="4144"/>
      <c r="AA1743" s="4144"/>
      <c r="AB1743" s="4105"/>
      <c r="AC1743" s="4105"/>
      <c r="AD1743" s="4144"/>
      <c r="AE1743" s="4144"/>
      <c r="AF1743" s="4144"/>
      <c r="AG1743" s="4144"/>
      <c r="AH1743" s="4144"/>
      <c r="AI1743" s="4144"/>
    </row>
    <row r="1744" s="36" customFormat="1" ht="33" customHeight="1" spans="1:35">
      <c r="A1744" s="4098"/>
      <c r="B1744" s="4106"/>
      <c r="C1744" s="4190"/>
      <c r="D1744" s="4086"/>
      <c r="E1744" s="4010"/>
      <c r="F1744" s="4010"/>
      <c r="G1744" s="4010"/>
      <c r="H1744" s="4010"/>
      <c r="I1744" s="4010"/>
      <c r="J1744" s="4010"/>
      <c r="K1744" s="4199"/>
      <c r="L1744" s="3967"/>
      <c r="M1744" s="4144">
        <v>4</v>
      </c>
      <c r="N1744" s="4089" t="s">
        <v>6792</v>
      </c>
      <c r="O1744" s="4211">
        <v>0.1</v>
      </c>
      <c r="P1744" s="4212">
        <f>K1741*O1744</f>
        <v>87000</v>
      </c>
      <c r="Q1744" s="4235"/>
      <c r="R1744" s="4236"/>
      <c r="S1744" s="4237"/>
      <c r="T1744" s="4144"/>
      <c r="U1744" s="4144"/>
      <c r="V1744" s="4144"/>
      <c r="W1744" s="4144"/>
      <c r="X1744" s="4144"/>
      <c r="Y1744" s="4144"/>
      <c r="Z1744" s="4144"/>
      <c r="AA1744" s="4144"/>
      <c r="AB1744" s="4144"/>
      <c r="AC1744" s="4144"/>
      <c r="AD1744" s="4144"/>
      <c r="AE1744" s="4144"/>
      <c r="AF1744" s="4144"/>
      <c r="AG1744" s="4144"/>
      <c r="AH1744" s="4144"/>
      <c r="AI1744" s="4144"/>
    </row>
    <row r="1745" s="37" customFormat="1" ht="33" customHeight="1" spans="1:35">
      <c r="A1745" s="1768" t="s">
        <v>2570</v>
      </c>
      <c r="B1745" s="3780">
        <v>45898</v>
      </c>
      <c r="C1745" s="3735" t="s">
        <v>4428</v>
      </c>
      <c r="D1745" s="1817"/>
      <c r="E1745" s="2068" t="s">
        <v>6793</v>
      </c>
      <c r="F1745" s="2068" t="s">
        <v>6794</v>
      </c>
      <c r="G1745" s="2068" t="s">
        <v>4356</v>
      </c>
      <c r="H1745" s="2068" t="s">
        <v>4783</v>
      </c>
      <c r="I1745" s="2068" t="s">
        <v>6771</v>
      </c>
      <c r="J1745" s="2068" t="s">
        <v>6795</v>
      </c>
      <c r="K1745" s="4200">
        <v>172950.8</v>
      </c>
      <c r="L1745" s="1768" t="s">
        <v>126</v>
      </c>
      <c r="M1745" s="3588">
        <v>1</v>
      </c>
      <c r="N1745" s="2347" t="s">
        <v>2351</v>
      </c>
      <c r="O1745" s="4213">
        <v>0.2</v>
      </c>
      <c r="P1745" s="3835">
        <f>K1745*O1745</f>
        <v>34590.16</v>
      </c>
      <c r="Q1745" s="3835">
        <f>P1745</f>
        <v>34590.16</v>
      </c>
      <c r="R1745" s="294" t="s">
        <v>4603</v>
      </c>
      <c r="S1745" s="1948">
        <v>45973</v>
      </c>
      <c r="T1745" s="3588">
        <f>Q1745</f>
        <v>34590.16</v>
      </c>
      <c r="U1745" s="1948">
        <v>45973</v>
      </c>
      <c r="V1745" s="3588">
        <f>T1745</f>
        <v>34590.16</v>
      </c>
      <c r="W1745" s="294" t="s">
        <v>6796</v>
      </c>
      <c r="X1745" s="3706">
        <f>Q1745</f>
        <v>34590.16</v>
      </c>
      <c r="Y1745" s="3724">
        <v>46021</v>
      </c>
      <c r="Z1745" s="3588"/>
      <c r="AA1745" s="3588"/>
      <c r="AB1745" s="3588"/>
      <c r="AC1745" s="3588"/>
      <c r="AD1745" s="3588"/>
      <c r="AE1745" s="3588"/>
      <c r="AF1745" s="3588"/>
      <c r="AG1745" s="3588"/>
      <c r="AH1745" s="3588"/>
      <c r="AI1745" s="3588"/>
    </row>
    <row r="1746" s="37" customFormat="1" ht="33" customHeight="1" spans="1:35">
      <c r="A1746" s="1771"/>
      <c r="B1746" s="3783"/>
      <c r="C1746" s="1770"/>
      <c r="D1746" s="1817"/>
      <c r="E1746" s="1817"/>
      <c r="F1746" s="1817"/>
      <c r="G1746" s="1817"/>
      <c r="H1746" s="1817"/>
      <c r="I1746" s="1817"/>
      <c r="J1746" s="1817"/>
      <c r="K1746" s="4201"/>
      <c r="L1746" s="1771"/>
      <c r="M1746" s="3588">
        <v>2</v>
      </c>
      <c r="N1746" s="2347" t="s">
        <v>5817</v>
      </c>
      <c r="O1746" s="4213">
        <v>0.4</v>
      </c>
      <c r="P1746" s="3835">
        <f>K1745*O1746</f>
        <v>69180.32</v>
      </c>
      <c r="Q1746" s="3835">
        <f>P1746</f>
        <v>69180.32</v>
      </c>
      <c r="R1746" s="294" t="s">
        <v>4603</v>
      </c>
      <c r="S1746" s="1948">
        <v>45973</v>
      </c>
      <c r="T1746" s="3588">
        <f>Q1746</f>
        <v>69180.32</v>
      </c>
      <c r="U1746" s="1948">
        <v>45973</v>
      </c>
      <c r="V1746" s="3588">
        <f>T1746</f>
        <v>69180.32</v>
      </c>
      <c r="W1746" s="294" t="s">
        <v>6796</v>
      </c>
      <c r="X1746" s="3706">
        <f>Q1746</f>
        <v>69180.32</v>
      </c>
      <c r="Y1746" s="3724">
        <v>46021</v>
      </c>
      <c r="Z1746" s="3588"/>
      <c r="AA1746" s="3588"/>
      <c r="AB1746" s="3588"/>
      <c r="AC1746" s="3588"/>
      <c r="AD1746" s="3588"/>
      <c r="AE1746" s="3588"/>
      <c r="AF1746" s="3588"/>
      <c r="AG1746" s="3588"/>
      <c r="AH1746" s="3588"/>
      <c r="AI1746" s="3588"/>
    </row>
    <row r="1747" s="37" customFormat="1" ht="33" customHeight="1" spans="1:35">
      <c r="A1747" s="1771"/>
      <c r="B1747" s="3783"/>
      <c r="C1747" s="1770"/>
      <c r="D1747" s="1817"/>
      <c r="E1747" s="1817"/>
      <c r="F1747" s="1817"/>
      <c r="G1747" s="1817"/>
      <c r="H1747" s="1817"/>
      <c r="I1747" s="1817"/>
      <c r="J1747" s="1817"/>
      <c r="K1747" s="4201"/>
      <c r="L1747" s="1771"/>
      <c r="M1747" s="3588">
        <v>3</v>
      </c>
      <c r="N1747" s="2347" t="s">
        <v>2353</v>
      </c>
      <c r="O1747" s="4213">
        <v>0.2</v>
      </c>
      <c r="P1747" s="3835">
        <f>K1745*O1747</f>
        <v>34590.16</v>
      </c>
      <c r="Q1747" s="3822">
        <f>P1747</f>
        <v>34590.16</v>
      </c>
      <c r="R1747" s="3605" t="s">
        <v>349</v>
      </c>
      <c r="S1747" s="3724">
        <v>46052</v>
      </c>
      <c r="T1747" s="3588"/>
      <c r="U1747" s="3588"/>
      <c r="V1747" s="3588"/>
      <c r="W1747" s="3588"/>
      <c r="X1747" s="3706">
        <f>Q1747</f>
        <v>34590.16</v>
      </c>
      <c r="Y1747" s="3606" t="s">
        <v>6797</v>
      </c>
      <c r="Z1747" s="3588"/>
      <c r="AA1747" s="3588"/>
      <c r="AB1747" s="3588"/>
      <c r="AC1747" s="3588"/>
      <c r="AD1747" s="3588"/>
      <c r="AE1747" s="3588"/>
      <c r="AF1747" s="3588"/>
      <c r="AG1747" s="3588"/>
      <c r="AH1747" s="3588"/>
      <c r="AI1747" s="3588"/>
    </row>
    <row r="1748" s="37" customFormat="1" ht="33" customHeight="1" spans="1:35">
      <c r="A1748" s="1772"/>
      <c r="B1748" s="3786"/>
      <c r="C1748" s="3802"/>
      <c r="D1748" s="1817"/>
      <c r="E1748" s="2161"/>
      <c r="F1748" s="2161"/>
      <c r="G1748" s="2161"/>
      <c r="H1748" s="2161"/>
      <c r="I1748" s="2161"/>
      <c r="J1748" s="2161"/>
      <c r="K1748" s="4202"/>
      <c r="L1748" s="1772"/>
      <c r="M1748" s="3588">
        <v>4</v>
      </c>
      <c r="N1748" s="2347" t="s">
        <v>2354</v>
      </c>
      <c r="O1748" s="4213">
        <v>0.2</v>
      </c>
      <c r="P1748" s="3835">
        <f>K1745*O1748</f>
        <v>34590.16</v>
      </c>
      <c r="Q1748" s="3822"/>
      <c r="R1748" s="3605"/>
      <c r="S1748" s="3724"/>
      <c r="T1748" s="3588"/>
      <c r="U1748" s="3588"/>
      <c r="V1748" s="3588"/>
      <c r="W1748" s="3588"/>
      <c r="X1748" s="3588"/>
      <c r="Y1748" s="3588"/>
      <c r="Z1748" s="3588"/>
      <c r="AA1748" s="3588"/>
      <c r="AB1748" s="3588"/>
      <c r="AC1748" s="3588"/>
      <c r="AD1748" s="3588"/>
      <c r="AE1748" s="3588"/>
      <c r="AF1748" s="3588"/>
      <c r="AG1748" s="3588"/>
      <c r="AH1748" s="3588"/>
      <c r="AI1748" s="3588"/>
    </row>
    <row r="1749" s="37" customFormat="1" ht="33" customHeight="1" spans="1:35">
      <c r="A1749" s="1768" t="s">
        <v>2570</v>
      </c>
      <c r="B1749" s="3780">
        <v>45920</v>
      </c>
      <c r="C1749" s="3735" t="s">
        <v>4428</v>
      </c>
      <c r="D1749" s="1817"/>
      <c r="E1749" s="2068" t="s">
        <v>6798</v>
      </c>
      <c r="F1749" s="2068" t="s">
        <v>6799</v>
      </c>
      <c r="G1749" s="2068" t="s">
        <v>6800</v>
      </c>
      <c r="H1749" s="2068" t="s">
        <v>5492</v>
      </c>
      <c r="I1749" s="2068" t="s">
        <v>6771</v>
      </c>
      <c r="J1749" s="2068" t="s">
        <v>6801</v>
      </c>
      <c r="K1749" s="4200">
        <v>2898034.44</v>
      </c>
      <c r="L1749" s="1768" t="s">
        <v>126</v>
      </c>
      <c r="M1749" s="3588">
        <v>1</v>
      </c>
      <c r="N1749" s="2347" t="s">
        <v>3320</v>
      </c>
      <c r="O1749" s="4213">
        <v>0.2</v>
      </c>
      <c r="P1749" s="3835">
        <f>K1749*O1749</f>
        <v>579606.888</v>
      </c>
      <c r="Q1749" s="3835">
        <f>P1749</f>
        <v>579606.888</v>
      </c>
      <c r="R1749" s="294" t="s">
        <v>4603</v>
      </c>
      <c r="S1749" s="1948">
        <v>45942</v>
      </c>
      <c r="T1749" s="3835">
        <f>Q1749</f>
        <v>579606.888</v>
      </c>
      <c r="U1749" s="1948">
        <v>45942</v>
      </c>
      <c r="V1749" s="3588">
        <v>579606.89</v>
      </c>
      <c r="W1749" s="1948">
        <v>45947</v>
      </c>
      <c r="X1749" s="3588">
        <v>579606.89</v>
      </c>
      <c r="Y1749" s="1948">
        <v>45954</v>
      </c>
      <c r="Z1749" s="3588"/>
      <c r="AA1749" s="3588"/>
      <c r="AB1749" s="3588"/>
      <c r="AC1749" s="3588"/>
      <c r="AD1749" s="3588"/>
      <c r="AE1749" s="3588"/>
      <c r="AF1749" s="3588"/>
      <c r="AG1749" s="3588"/>
      <c r="AH1749" s="3588"/>
      <c r="AI1749" s="3588"/>
    </row>
    <row r="1750" s="37" customFormat="1" ht="33" customHeight="1" spans="1:35">
      <c r="A1750" s="1771"/>
      <c r="B1750" s="3783"/>
      <c r="C1750" s="1770"/>
      <c r="D1750" s="1817"/>
      <c r="E1750" s="1817"/>
      <c r="F1750" s="1817"/>
      <c r="G1750" s="1817"/>
      <c r="H1750" s="1817"/>
      <c r="I1750" s="1817"/>
      <c r="J1750" s="1817"/>
      <c r="K1750" s="4201"/>
      <c r="L1750" s="1771"/>
      <c r="M1750" s="3588">
        <v>2</v>
      </c>
      <c r="N1750" s="2347" t="s">
        <v>3321</v>
      </c>
      <c r="O1750" s="4213">
        <v>0.2</v>
      </c>
      <c r="P1750" s="3835">
        <f>K1749*O1750</f>
        <v>579606.888</v>
      </c>
      <c r="Q1750" s="3835">
        <f>P1750</f>
        <v>579606.888</v>
      </c>
      <c r="R1750" s="294" t="s">
        <v>4603</v>
      </c>
      <c r="S1750" s="1948">
        <v>45942</v>
      </c>
      <c r="T1750" s="3835">
        <f>Q1750</f>
        <v>579606.888</v>
      </c>
      <c r="U1750" s="1948">
        <v>45942</v>
      </c>
      <c r="V1750" s="3588">
        <v>579606.89</v>
      </c>
      <c r="W1750" s="1948">
        <v>45947</v>
      </c>
      <c r="X1750" s="3588">
        <v>579606.89</v>
      </c>
      <c r="Y1750" s="1948">
        <v>45954</v>
      </c>
      <c r="Z1750" s="3588"/>
      <c r="AA1750" s="3588"/>
      <c r="AB1750" s="3588"/>
      <c r="AC1750" s="3588"/>
      <c r="AD1750" s="3588"/>
      <c r="AE1750" s="3588"/>
      <c r="AF1750" s="3588"/>
      <c r="AG1750" s="3588"/>
      <c r="AH1750" s="3588"/>
      <c r="AI1750" s="3588"/>
    </row>
    <row r="1751" s="37" customFormat="1" ht="33" customHeight="1" spans="1:35">
      <c r="A1751" s="1771"/>
      <c r="B1751" s="3783"/>
      <c r="C1751" s="1770"/>
      <c r="D1751" s="1817"/>
      <c r="E1751" s="1817"/>
      <c r="F1751" s="1817"/>
      <c r="G1751" s="1817"/>
      <c r="H1751" s="1817"/>
      <c r="I1751" s="1817"/>
      <c r="J1751" s="1817"/>
      <c r="K1751" s="4201"/>
      <c r="L1751" s="1771"/>
      <c r="M1751" s="3588">
        <v>3</v>
      </c>
      <c r="N1751" s="2347" t="s">
        <v>3322</v>
      </c>
      <c r="O1751" s="4213">
        <v>0.2</v>
      </c>
      <c r="P1751" s="3835">
        <v>579606.88</v>
      </c>
      <c r="Q1751" s="3835">
        <f t="shared" ref="Q1751:Q1760" si="49">P1751</f>
        <v>579606.88</v>
      </c>
      <c r="R1751" s="294" t="s">
        <v>4603</v>
      </c>
      <c r="S1751" s="1948">
        <v>45942</v>
      </c>
      <c r="T1751" s="3835">
        <f>Q1751</f>
        <v>579606.88</v>
      </c>
      <c r="U1751" s="1948">
        <v>45942</v>
      </c>
      <c r="V1751" s="3588">
        <v>579606.88</v>
      </c>
      <c r="W1751" s="1948">
        <v>45947</v>
      </c>
      <c r="X1751" s="3588">
        <v>579606.88</v>
      </c>
      <c r="Y1751" s="1948">
        <v>45954</v>
      </c>
      <c r="Z1751" s="3588"/>
      <c r="AA1751" s="3588"/>
      <c r="AB1751" s="3588"/>
      <c r="AC1751" s="3588"/>
      <c r="AD1751" s="3588"/>
      <c r="AE1751" s="3588"/>
      <c r="AF1751" s="3588"/>
      <c r="AG1751" s="3588"/>
      <c r="AH1751" s="3588"/>
      <c r="AI1751" s="3588"/>
    </row>
    <row r="1752" s="37" customFormat="1" ht="33" customHeight="1" spans="1:35">
      <c r="A1752" s="1771"/>
      <c r="B1752" s="3783"/>
      <c r="C1752" s="1770"/>
      <c r="D1752" s="1817"/>
      <c r="E1752" s="1817"/>
      <c r="F1752" s="1817"/>
      <c r="G1752" s="1817"/>
      <c r="H1752" s="1817"/>
      <c r="I1752" s="1817"/>
      <c r="J1752" s="1817"/>
      <c r="K1752" s="4201"/>
      <c r="L1752" s="1771"/>
      <c r="M1752" s="3588">
        <v>4</v>
      </c>
      <c r="N1752" s="2347" t="s">
        <v>5166</v>
      </c>
      <c r="O1752" s="4213">
        <v>0.15</v>
      </c>
      <c r="P1752" s="3822">
        <f>K1749*O1752</f>
        <v>434705.166</v>
      </c>
      <c r="Q1752" s="3822">
        <f t="shared" si="49"/>
        <v>434705.166</v>
      </c>
      <c r="R1752" s="3605" t="s">
        <v>349</v>
      </c>
      <c r="S1752" s="3724">
        <v>46021</v>
      </c>
      <c r="T1752" s="3822"/>
      <c r="U1752" s="3588"/>
      <c r="V1752" s="3588"/>
      <c r="W1752" s="3588"/>
      <c r="X1752" s="3706">
        <f>Q1752</f>
        <v>434705.166</v>
      </c>
      <c r="Y1752" s="3724">
        <v>46021</v>
      </c>
      <c r="Z1752" s="3588"/>
      <c r="AA1752" s="3588"/>
      <c r="AB1752" s="3588"/>
      <c r="AC1752" s="3588"/>
      <c r="AD1752" s="3588"/>
      <c r="AE1752" s="3588"/>
      <c r="AF1752" s="3588"/>
      <c r="AG1752" s="3588"/>
      <c r="AH1752" s="3588"/>
      <c r="AI1752" s="3588"/>
    </row>
    <row r="1753" s="37" customFormat="1" ht="33" customHeight="1" spans="1:35">
      <c r="A1753" s="1771"/>
      <c r="B1753" s="3783"/>
      <c r="C1753" s="1770"/>
      <c r="D1753" s="1817"/>
      <c r="E1753" s="1817"/>
      <c r="F1753" s="1817"/>
      <c r="G1753" s="1817"/>
      <c r="H1753" s="1817"/>
      <c r="I1753" s="1817"/>
      <c r="J1753" s="1817"/>
      <c r="K1753" s="4201"/>
      <c r="L1753" s="1771"/>
      <c r="M1753" s="3588">
        <v>5</v>
      </c>
      <c r="N1753" s="2347" t="s">
        <v>5054</v>
      </c>
      <c r="O1753" s="4213">
        <v>0.1</v>
      </c>
      <c r="P1753" s="3822">
        <f>K1749*O1753</f>
        <v>289803.444</v>
      </c>
      <c r="Q1753" s="3822">
        <f t="shared" si="49"/>
        <v>289803.444</v>
      </c>
      <c r="R1753" s="3605" t="s">
        <v>349</v>
      </c>
      <c r="S1753" s="3724">
        <v>46052</v>
      </c>
      <c r="T1753" s="3588"/>
      <c r="U1753" s="3588"/>
      <c r="V1753" s="3588"/>
      <c r="W1753" s="3588"/>
      <c r="X1753" s="3706">
        <f>Q1753</f>
        <v>289803.444</v>
      </c>
      <c r="Y1753" s="3606">
        <v>46081</v>
      </c>
      <c r="Z1753" s="3588"/>
      <c r="AA1753" s="3588"/>
      <c r="AB1753" s="3588"/>
      <c r="AC1753" s="3588"/>
      <c r="AD1753" s="3588"/>
      <c r="AE1753" s="3588"/>
      <c r="AF1753" s="3588"/>
      <c r="AG1753" s="3588"/>
      <c r="AH1753" s="3588"/>
      <c r="AI1753" s="3588"/>
    </row>
    <row r="1754" s="37" customFormat="1" ht="33" customHeight="1" spans="1:35">
      <c r="A1754" s="1771"/>
      <c r="B1754" s="3783"/>
      <c r="C1754" s="1770"/>
      <c r="D1754" s="1817"/>
      <c r="E1754" s="1817"/>
      <c r="F1754" s="1817"/>
      <c r="G1754" s="1817"/>
      <c r="H1754" s="1817"/>
      <c r="I1754" s="1817"/>
      <c r="J1754" s="1817"/>
      <c r="K1754" s="4201"/>
      <c r="L1754" s="1771"/>
      <c r="M1754" s="3588">
        <v>6</v>
      </c>
      <c r="N1754" s="2347" t="s">
        <v>5167</v>
      </c>
      <c r="O1754" s="4213">
        <v>0.05</v>
      </c>
      <c r="P1754" s="3835"/>
      <c r="Q1754" s="3822"/>
      <c r="R1754" s="3605"/>
      <c r="S1754" s="3724"/>
      <c r="T1754" s="3588"/>
      <c r="U1754" s="3588"/>
      <c r="V1754" s="3588"/>
      <c r="W1754" s="3588"/>
      <c r="X1754" s="3588"/>
      <c r="Y1754" s="3588"/>
      <c r="Z1754" s="3588"/>
      <c r="AA1754" s="3588"/>
      <c r="AB1754" s="3588"/>
      <c r="AC1754" s="3588"/>
      <c r="AD1754" s="3588"/>
      <c r="AE1754" s="3588"/>
      <c r="AF1754" s="3588"/>
      <c r="AG1754" s="3588"/>
      <c r="AH1754" s="3588"/>
      <c r="AI1754" s="3588"/>
    </row>
    <row r="1755" s="37" customFormat="1" ht="33" customHeight="1" spans="1:35">
      <c r="A1755" s="1772"/>
      <c r="B1755" s="3786"/>
      <c r="C1755" s="3802"/>
      <c r="D1755" s="1817"/>
      <c r="E1755" s="2161"/>
      <c r="F1755" s="2161"/>
      <c r="G1755" s="2161"/>
      <c r="H1755" s="2161"/>
      <c r="I1755" s="2161"/>
      <c r="J1755" s="2161"/>
      <c r="K1755" s="4202"/>
      <c r="L1755" s="1772"/>
      <c r="M1755" s="3588">
        <v>7</v>
      </c>
      <c r="N1755" s="2347" t="s">
        <v>3325</v>
      </c>
      <c r="O1755" s="4213">
        <v>0.1</v>
      </c>
      <c r="P1755" s="3835"/>
      <c r="Q1755" s="3822"/>
      <c r="R1755" s="3605"/>
      <c r="S1755" s="3724"/>
      <c r="T1755" s="3588"/>
      <c r="U1755" s="3588"/>
      <c r="V1755" s="3588"/>
      <c r="W1755" s="3588"/>
      <c r="X1755" s="3588"/>
      <c r="Y1755" s="3588"/>
      <c r="Z1755" s="3588"/>
      <c r="AA1755" s="3588"/>
      <c r="AB1755" s="3588"/>
      <c r="AC1755" s="3588"/>
      <c r="AD1755" s="3588"/>
      <c r="AE1755" s="3588"/>
      <c r="AF1755" s="3588"/>
      <c r="AG1755" s="3588"/>
      <c r="AH1755" s="3588"/>
      <c r="AI1755" s="3588"/>
    </row>
    <row r="1756" s="38" customFormat="1" ht="33" customHeight="1" spans="1:35">
      <c r="A1756" s="2650" t="s">
        <v>2570</v>
      </c>
      <c r="B1756" s="4191">
        <v>46002</v>
      </c>
      <c r="C1756" s="2778" t="s">
        <v>4428</v>
      </c>
      <c r="D1756" s="2787"/>
      <c r="E1756" s="1976" t="s">
        <v>6802</v>
      </c>
      <c r="F1756" s="1976" t="s">
        <v>6803</v>
      </c>
      <c r="G1756" s="1976" t="s">
        <v>6800</v>
      </c>
      <c r="H1756" s="1976" t="s">
        <v>5492</v>
      </c>
      <c r="I1756" s="1976" t="s">
        <v>6771</v>
      </c>
      <c r="J1756" s="1976" t="s">
        <v>6801</v>
      </c>
      <c r="K1756" s="2652">
        <v>280000</v>
      </c>
      <c r="L1756" s="2650" t="s">
        <v>126</v>
      </c>
      <c r="M1756" s="4214">
        <v>1</v>
      </c>
      <c r="N1756" s="2597" t="s">
        <v>3320</v>
      </c>
      <c r="O1756" s="4215">
        <v>0.2</v>
      </c>
      <c r="P1756" s="4216">
        <f>K1756*O1756</f>
        <v>56000</v>
      </c>
      <c r="Q1756" s="4216">
        <f t="shared" si="49"/>
        <v>56000</v>
      </c>
      <c r="R1756" s="2657" t="s">
        <v>349</v>
      </c>
      <c r="S1756" s="4238">
        <v>46021</v>
      </c>
      <c r="T1756" s="4217"/>
      <c r="U1756" s="4249"/>
      <c r="V1756" s="4214"/>
      <c r="W1756" s="4249"/>
      <c r="X1756" s="4216">
        <f>Q1756</f>
        <v>56000</v>
      </c>
      <c r="Y1756" s="4238">
        <v>46052</v>
      </c>
      <c r="Z1756" s="4214"/>
      <c r="AA1756" s="4214"/>
      <c r="AB1756" s="4214"/>
      <c r="AC1756" s="4214"/>
      <c r="AD1756" s="4214"/>
      <c r="AE1756" s="4214"/>
      <c r="AF1756" s="4214"/>
      <c r="AG1756" s="4214"/>
      <c r="AH1756" s="4214"/>
      <c r="AI1756" s="4214"/>
    </row>
    <row r="1757" s="38" customFormat="1" ht="33" customHeight="1" spans="1:35">
      <c r="A1757" s="2779"/>
      <c r="B1757" s="4192"/>
      <c r="C1757" s="2781"/>
      <c r="D1757" s="2787"/>
      <c r="E1757" s="2787"/>
      <c r="F1757" s="2787"/>
      <c r="G1757" s="2787"/>
      <c r="H1757" s="2787"/>
      <c r="I1757" s="2787"/>
      <c r="J1757" s="2787"/>
      <c r="K1757" s="4203"/>
      <c r="L1757" s="2779"/>
      <c r="M1757" s="4214">
        <v>2</v>
      </c>
      <c r="N1757" s="2597" t="s">
        <v>3321</v>
      </c>
      <c r="O1757" s="4215">
        <v>0.2</v>
      </c>
      <c r="P1757" s="4216">
        <f>K1756*O1757</f>
        <v>56000</v>
      </c>
      <c r="Q1757" s="4216">
        <f t="shared" si="49"/>
        <v>56000</v>
      </c>
      <c r="R1757" s="2657" t="s">
        <v>349</v>
      </c>
      <c r="S1757" s="4238">
        <v>46021</v>
      </c>
      <c r="T1757" s="4217"/>
      <c r="U1757" s="4249"/>
      <c r="V1757" s="4214"/>
      <c r="W1757" s="4249"/>
      <c r="X1757" s="4216">
        <f>Q1757</f>
        <v>56000</v>
      </c>
      <c r="Y1757" s="4238">
        <v>46052</v>
      </c>
      <c r="Z1757" s="4214"/>
      <c r="AA1757" s="4214"/>
      <c r="AB1757" s="4214"/>
      <c r="AC1757" s="4214"/>
      <c r="AD1757" s="4214"/>
      <c r="AE1757" s="4214"/>
      <c r="AF1757" s="4214"/>
      <c r="AG1757" s="4214"/>
      <c r="AH1757" s="4214"/>
      <c r="AI1757" s="4214"/>
    </row>
    <row r="1758" s="38" customFormat="1" ht="33" customHeight="1" spans="1:35">
      <c r="A1758" s="2779"/>
      <c r="B1758" s="4192"/>
      <c r="C1758" s="2781"/>
      <c r="D1758" s="2787"/>
      <c r="E1758" s="2787"/>
      <c r="F1758" s="2787"/>
      <c r="G1758" s="2787"/>
      <c r="H1758" s="2787"/>
      <c r="I1758" s="2787"/>
      <c r="J1758" s="2787"/>
      <c r="K1758" s="4203"/>
      <c r="L1758" s="2779"/>
      <c r="M1758" s="4214">
        <v>3</v>
      </c>
      <c r="N1758" s="2597" t="s">
        <v>3322</v>
      </c>
      <c r="O1758" s="4215">
        <v>0.2</v>
      </c>
      <c r="P1758" s="4216">
        <f>K1756*O1758</f>
        <v>56000</v>
      </c>
      <c r="Q1758" s="4216">
        <f t="shared" si="49"/>
        <v>56000</v>
      </c>
      <c r="R1758" s="2657" t="s">
        <v>349</v>
      </c>
      <c r="S1758" s="4238">
        <v>46021</v>
      </c>
      <c r="T1758" s="4217"/>
      <c r="U1758" s="4249"/>
      <c r="V1758" s="4214"/>
      <c r="W1758" s="4249"/>
      <c r="X1758" s="4216">
        <f t="shared" ref="X1758:X1767" si="50">Q1758</f>
        <v>56000</v>
      </c>
      <c r="Y1758" s="4238">
        <v>46052</v>
      </c>
      <c r="Z1758" s="4214"/>
      <c r="AA1758" s="4214"/>
      <c r="AB1758" s="4214"/>
      <c r="AC1758" s="4214"/>
      <c r="AD1758" s="4214"/>
      <c r="AE1758" s="4214"/>
      <c r="AF1758" s="4214"/>
      <c r="AG1758" s="4214"/>
      <c r="AH1758" s="4214"/>
      <c r="AI1758" s="4214"/>
    </row>
    <row r="1759" s="38" customFormat="1" ht="33" customHeight="1" spans="1:35">
      <c r="A1759" s="2779"/>
      <c r="B1759" s="4192"/>
      <c r="C1759" s="2781"/>
      <c r="D1759" s="2787"/>
      <c r="E1759" s="2787"/>
      <c r="F1759" s="2787"/>
      <c r="G1759" s="2787"/>
      <c r="H1759" s="2787"/>
      <c r="I1759" s="2787"/>
      <c r="J1759" s="2787"/>
      <c r="K1759" s="4203"/>
      <c r="L1759" s="2779"/>
      <c r="M1759" s="4214">
        <v>4</v>
      </c>
      <c r="N1759" s="2597" t="s">
        <v>5166</v>
      </c>
      <c r="O1759" s="4215">
        <v>0.15</v>
      </c>
      <c r="P1759" s="4216">
        <f>K1756*O1759</f>
        <v>42000</v>
      </c>
      <c r="Q1759" s="4216">
        <f t="shared" si="49"/>
        <v>42000</v>
      </c>
      <c r="R1759" s="2657" t="s">
        <v>349</v>
      </c>
      <c r="S1759" s="4238">
        <v>46021</v>
      </c>
      <c r="T1759" s="4216"/>
      <c r="U1759" s="4214"/>
      <c r="V1759" s="4214"/>
      <c r="W1759" s="4214"/>
      <c r="X1759" s="4216">
        <f t="shared" si="50"/>
        <v>42000</v>
      </c>
      <c r="Y1759" s="4238">
        <v>46052</v>
      </c>
      <c r="Z1759" s="4214"/>
      <c r="AA1759" s="4214"/>
      <c r="AB1759" s="4214"/>
      <c r="AC1759" s="4214"/>
      <c r="AD1759" s="4214"/>
      <c r="AE1759" s="4214"/>
      <c r="AF1759" s="4214"/>
      <c r="AG1759" s="4214"/>
      <c r="AH1759" s="4214"/>
      <c r="AI1759" s="4214"/>
    </row>
    <row r="1760" s="38" customFormat="1" ht="33" customHeight="1" spans="1:35">
      <c r="A1760" s="2779"/>
      <c r="B1760" s="4192"/>
      <c r="C1760" s="2781"/>
      <c r="D1760" s="2787"/>
      <c r="E1760" s="2787"/>
      <c r="F1760" s="2787"/>
      <c r="G1760" s="2787"/>
      <c r="H1760" s="2787"/>
      <c r="I1760" s="2787"/>
      <c r="J1760" s="2787"/>
      <c r="K1760" s="4203"/>
      <c r="L1760" s="2779"/>
      <c r="M1760" s="4214">
        <v>5</v>
      </c>
      <c r="N1760" s="2597" t="s">
        <v>5054</v>
      </c>
      <c r="O1760" s="4215">
        <v>0.1</v>
      </c>
      <c r="P1760" s="4216">
        <f>K1756*O1760</f>
        <v>28000</v>
      </c>
      <c r="Q1760" s="4216">
        <f t="shared" si="49"/>
        <v>28000</v>
      </c>
      <c r="R1760" s="2657" t="s">
        <v>349</v>
      </c>
      <c r="S1760" s="4238">
        <v>46052</v>
      </c>
      <c r="T1760" s="4214"/>
      <c r="U1760" s="4214"/>
      <c r="V1760" s="4214"/>
      <c r="W1760" s="4214"/>
      <c r="X1760" s="4216">
        <f t="shared" si="50"/>
        <v>28000</v>
      </c>
      <c r="Y1760" s="4252">
        <v>46081</v>
      </c>
      <c r="Z1760" s="4214"/>
      <c r="AA1760" s="4214"/>
      <c r="AB1760" s="4214"/>
      <c r="AC1760" s="4214"/>
      <c r="AD1760" s="4214"/>
      <c r="AE1760" s="4214"/>
      <c r="AF1760" s="4214"/>
      <c r="AG1760" s="4214"/>
      <c r="AH1760" s="4214"/>
      <c r="AI1760" s="4214"/>
    </row>
    <row r="1761" s="38" customFormat="1" ht="33" customHeight="1" spans="1:35">
      <c r="A1761" s="2779"/>
      <c r="B1761" s="4192"/>
      <c r="C1761" s="2781"/>
      <c r="D1761" s="2787"/>
      <c r="E1761" s="2787"/>
      <c r="F1761" s="2787"/>
      <c r="G1761" s="2787"/>
      <c r="H1761" s="2787"/>
      <c r="I1761" s="2787"/>
      <c r="J1761" s="2787"/>
      <c r="K1761" s="4203"/>
      <c r="L1761" s="2779"/>
      <c r="M1761" s="4214">
        <v>6</v>
      </c>
      <c r="N1761" s="2597" t="s">
        <v>5167</v>
      </c>
      <c r="O1761" s="4215">
        <v>0.05</v>
      </c>
      <c r="P1761" s="4217"/>
      <c r="Q1761" s="4216"/>
      <c r="R1761" s="2657"/>
      <c r="S1761" s="4238"/>
      <c r="T1761" s="4214"/>
      <c r="U1761" s="4214"/>
      <c r="V1761" s="4214"/>
      <c r="W1761" s="4214"/>
      <c r="X1761" s="4214"/>
      <c r="Y1761" s="4214"/>
      <c r="Z1761" s="4214"/>
      <c r="AA1761" s="4214"/>
      <c r="AB1761" s="4214"/>
      <c r="AC1761" s="4214"/>
      <c r="AD1761" s="4214"/>
      <c r="AE1761" s="4214"/>
      <c r="AF1761" s="4214"/>
      <c r="AG1761" s="4214"/>
      <c r="AH1761" s="4214"/>
      <c r="AI1761" s="4214"/>
    </row>
    <row r="1762" s="38" customFormat="1" ht="33" customHeight="1" spans="1:35">
      <c r="A1762" s="2653"/>
      <c r="B1762" s="4193"/>
      <c r="C1762" s="2870"/>
      <c r="D1762" s="2787"/>
      <c r="E1762" s="2604"/>
      <c r="F1762" s="2604"/>
      <c r="G1762" s="2604"/>
      <c r="H1762" s="2604"/>
      <c r="I1762" s="2604"/>
      <c r="J1762" s="2604"/>
      <c r="K1762" s="2655"/>
      <c r="L1762" s="2653"/>
      <c r="M1762" s="4214">
        <v>7</v>
      </c>
      <c r="N1762" s="2597" t="s">
        <v>3325</v>
      </c>
      <c r="O1762" s="4215">
        <v>0.1</v>
      </c>
      <c r="P1762" s="4217"/>
      <c r="Q1762" s="4216"/>
      <c r="R1762" s="2657"/>
      <c r="S1762" s="4238"/>
      <c r="T1762" s="4214"/>
      <c r="U1762" s="4214"/>
      <c r="V1762" s="4214"/>
      <c r="W1762" s="4214"/>
      <c r="X1762" s="4214"/>
      <c r="Y1762" s="4214"/>
      <c r="Z1762" s="4214"/>
      <c r="AA1762" s="4214"/>
      <c r="AB1762" s="4214"/>
      <c r="AC1762" s="4214"/>
      <c r="AD1762" s="4214"/>
      <c r="AE1762" s="4214"/>
      <c r="AF1762" s="4214"/>
      <c r="AG1762" s="4214"/>
      <c r="AH1762" s="4214"/>
      <c r="AI1762" s="4214"/>
    </row>
    <row r="1763" s="39" customFormat="1" ht="33" customHeight="1" spans="1:35">
      <c r="A1763" s="2790" t="s">
        <v>2570</v>
      </c>
      <c r="B1763" s="4194">
        <v>46000</v>
      </c>
      <c r="C1763" s="2761" t="s">
        <v>4428</v>
      </c>
      <c r="D1763" s="2787"/>
      <c r="E1763" s="680" t="s">
        <v>6804</v>
      </c>
      <c r="F1763" s="680" t="s">
        <v>6805</v>
      </c>
      <c r="G1763" s="680" t="s">
        <v>6806</v>
      </c>
      <c r="H1763" s="680" t="s">
        <v>5492</v>
      </c>
      <c r="I1763" s="680" t="s">
        <v>6807</v>
      </c>
      <c r="J1763" s="680" t="s">
        <v>2247</v>
      </c>
      <c r="K1763" s="4204">
        <v>192000</v>
      </c>
      <c r="L1763" s="2790" t="s">
        <v>126</v>
      </c>
      <c r="M1763" s="4218">
        <v>1</v>
      </c>
      <c r="N1763" s="2339" t="s">
        <v>3320</v>
      </c>
      <c r="O1763" s="4219">
        <v>0.2</v>
      </c>
      <c r="P1763" s="4220">
        <f>K1763*O1763</f>
        <v>38400</v>
      </c>
      <c r="Q1763" s="4220">
        <f t="shared" ref="Q1763:Q1767" si="51">P1763</f>
        <v>38400</v>
      </c>
      <c r="R1763" s="2822" t="s">
        <v>349</v>
      </c>
      <c r="S1763" s="4239">
        <v>46021</v>
      </c>
      <c r="T1763" s="4221"/>
      <c r="U1763" s="4250"/>
      <c r="V1763" s="4218"/>
      <c r="W1763" s="4250"/>
      <c r="X1763" s="4220">
        <f t="shared" si="50"/>
        <v>38400</v>
      </c>
      <c r="Y1763" s="4239">
        <v>46052</v>
      </c>
      <c r="Z1763" s="4218"/>
      <c r="AA1763" s="4218"/>
      <c r="AB1763" s="4218"/>
      <c r="AC1763" s="4218"/>
      <c r="AD1763" s="4218"/>
      <c r="AE1763" s="4218"/>
      <c r="AF1763" s="4218"/>
      <c r="AG1763" s="4218"/>
      <c r="AH1763" s="4218"/>
      <c r="AI1763" s="4218"/>
    </row>
    <row r="1764" s="39" customFormat="1" ht="33" customHeight="1" spans="1:35">
      <c r="A1764" s="2792"/>
      <c r="B1764" s="4195"/>
      <c r="C1764" s="2764"/>
      <c r="D1764" s="2787"/>
      <c r="E1764" s="2783"/>
      <c r="F1764" s="2783"/>
      <c r="G1764" s="2783"/>
      <c r="H1764" s="2783"/>
      <c r="I1764" s="2783"/>
      <c r="J1764" s="2783"/>
      <c r="K1764" s="4205"/>
      <c r="L1764" s="2792"/>
      <c r="M1764" s="4218">
        <v>2</v>
      </c>
      <c r="N1764" s="2339" t="s">
        <v>3321</v>
      </c>
      <c r="O1764" s="4219">
        <v>0.2</v>
      </c>
      <c r="P1764" s="4220">
        <f>K1763*O1764</f>
        <v>38400</v>
      </c>
      <c r="Q1764" s="4220">
        <f t="shared" si="51"/>
        <v>38400</v>
      </c>
      <c r="R1764" s="2822" t="s">
        <v>349</v>
      </c>
      <c r="S1764" s="4239">
        <v>46021</v>
      </c>
      <c r="T1764" s="4221"/>
      <c r="U1764" s="4250"/>
      <c r="V1764" s="4218"/>
      <c r="W1764" s="4250"/>
      <c r="X1764" s="4220">
        <f t="shared" si="50"/>
        <v>38400</v>
      </c>
      <c r="Y1764" s="4239">
        <v>46052</v>
      </c>
      <c r="Z1764" s="4218"/>
      <c r="AA1764" s="4218"/>
      <c r="AB1764" s="4218"/>
      <c r="AC1764" s="4218"/>
      <c r="AD1764" s="4218"/>
      <c r="AE1764" s="4218"/>
      <c r="AF1764" s="4218"/>
      <c r="AG1764" s="4218"/>
      <c r="AH1764" s="4218"/>
      <c r="AI1764" s="4218"/>
    </row>
    <row r="1765" s="39" customFormat="1" ht="33" customHeight="1" spans="1:35">
      <c r="A1765" s="2792"/>
      <c r="B1765" s="4195"/>
      <c r="C1765" s="2764"/>
      <c r="D1765" s="2787"/>
      <c r="E1765" s="2783"/>
      <c r="F1765" s="2783"/>
      <c r="G1765" s="2783"/>
      <c r="H1765" s="2783"/>
      <c r="I1765" s="2783"/>
      <c r="J1765" s="2783"/>
      <c r="K1765" s="4205"/>
      <c r="L1765" s="2792"/>
      <c r="M1765" s="4218">
        <v>3</v>
      </c>
      <c r="N1765" s="2339" t="s">
        <v>3322</v>
      </c>
      <c r="O1765" s="4219">
        <v>0.2</v>
      </c>
      <c r="P1765" s="4220">
        <f>K1763*O1765</f>
        <v>38400</v>
      </c>
      <c r="Q1765" s="4220">
        <f t="shared" si="51"/>
        <v>38400</v>
      </c>
      <c r="R1765" s="2822" t="s">
        <v>349</v>
      </c>
      <c r="S1765" s="4239">
        <v>46021</v>
      </c>
      <c r="T1765" s="4221"/>
      <c r="U1765" s="4250"/>
      <c r="V1765" s="4218"/>
      <c r="W1765" s="4250"/>
      <c r="X1765" s="4220">
        <f t="shared" si="50"/>
        <v>38400</v>
      </c>
      <c r="Y1765" s="4239">
        <v>46052</v>
      </c>
      <c r="Z1765" s="4218"/>
      <c r="AA1765" s="4218"/>
      <c r="AB1765" s="4218"/>
      <c r="AC1765" s="4218"/>
      <c r="AD1765" s="4218"/>
      <c r="AE1765" s="4218"/>
      <c r="AF1765" s="4218"/>
      <c r="AG1765" s="4218"/>
      <c r="AH1765" s="4218"/>
      <c r="AI1765" s="4218"/>
    </row>
    <row r="1766" s="39" customFormat="1" ht="33" customHeight="1" spans="1:35">
      <c r="A1766" s="2792"/>
      <c r="B1766" s="4195"/>
      <c r="C1766" s="2764"/>
      <c r="D1766" s="2787"/>
      <c r="E1766" s="2783"/>
      <c r="F1766" s="2783"/>
      <c r="G1766" s="2783"/>
      <c r="H1766" s="2783"/>
      <c r="I1766" s="2783"/>
      <c r="J1766" s="2783"/>
      <c r="K1766" s="4205"/>
      <c r="L1766" s="2792"/>
      <c r="M1766" s="4218">
        <v>4</v>
      </c>
      <c r="N1766" s="2339" t="s">
        <v>5166</v>
      </c>
      <c r="O1766" s="4219">
        <v>0.15</v>
      </c>
      <c r="P1766" s="4220">
        <f>K1763*O1766</f>
        <v>28800</v>
      </c>
      <c r="Q1766" s="4220">
        <f t="shared" si="51"/>
        <v>28800</v>
      </c>
      <c r="R1766" s="2822" t="s">
        <v>349</v>
      </c>
      <c r="S1766" s="4239">
        <v>46021</v>
      </c>
      <c r="T1766" s="4220"/>
      <c r="U1766" s="4218"/>
      <c r="V1766" s="4218"/>
      <c r="W1766" s="4218"/>
      <c r="X1766" s="4220">
        <f t="shared" si="50"/>
        <v>28800</v>
      </c>
      <c r="Y1766" s="4239">
        <v>46052</v>
      </c>
      <c r="Z1766" s="4218"/>
      <c r="AA1766" s="4218"/>
      <c r="AB1766" s="4218"/>
      <c r="AC1766" s="4218"/>
      <c r="AD1766" s="4218"/>
      <c r="AE1766" s="4218"/>
      <c r="AF1766" s="4218"/>
      <c r="AG1766" s="4218"/>
      <c r="AH1766" s="4218"/>
      <c r="AI1766" s="4218"/>
    </row>
    <row r="1767" s="39" customFormat="1" ht="33" customHeight="1" spans="1:35">
      <c r="A1767" s="2792"/>
      <c r="B1767" s="4195"/>
      <c r="C1767" s="2764"/>
      <c r="D1767" s="2787"/>
      <c r="E1767" s="2783"/>
      <c r="F1767" s="2783"/>
      <c r="G1767" s="2783"/>
      <c r="H1767" s="2783"/>
      <c r="I1767" s="2783"/>
      <c r="J1767" s="2783"/>
      <c r="K1767" s="4205"/>
      <c r="L1767" s="2792"/>
      <c r="M1767" s="4218">
        <v>5</v>
      </c>
      <c r="N1767" s="2339" t="s">
        <v>5054</v>
      </c>
      <c r="O1767" s="4219">
        <v>0.1</v>
      </c>
      <c r="P1767" s="4220">
        <f>K1763*O1767</f>
        <v>19200</v>
      </c>
      <c r="Q1767" s="4220">
        <f t="shared" si="51"/>
        <v>19200</v>
      </c>
      <c r="R1767" s="2822" t="s">
        <v>349</v>
      </c>
      <c r="S1767" s="4239">
        <v>46052</v>
      </c>
      <c r="T1767" s="4218"/>
      <c r="U1767" s="4218"/>
      <c r="V1767" s="4218"/>
      <c r="W1767" s="4218"/>
      <c r="X1767" s="4220">
        <f t="shared" si="50"/>
        <v>19200</v>
      </c>
      <c r="Y1767" s="4253">
        <v>46081</v>
      </c>
      <c r="Z1767" s="4218"/>
      <c r="AA1767" s="4218"/>
      <c r="AB1767" s="4218"/>
      <c r="AC1767" s="4218"/>
      <c r="AD1767" s="4218"/>
      <c r="AE1767" s="4218"/>
      <c r="AF1767" s="4218"/>
      <c r="AG1767" s="4218"/>
      <c r="AH1767" s="4218"/>
      <c r="AI1767" s="4218"/>
    </row>
    <row r="1768" s="39" customFormat="1" ht="33" customHeight="1" spans="1:35">
      <c r="A1768" s="2792"/>
      <c r="B1768" s="4195"/>
      <c r="C1768" s="2764"/>
      <c r="D1768" s="2787"/>
      <c r="E1768" s="2783"/>
      <c r="F1768" s="2783"/>
      <c r="G1768" s="2783"/>
      <c r="H1768" s="2783"/>
      <c r="I1768" s="2783"/>
      <c r="J1768" s="2783"/>
      <c r="K1768" s="4205"/>
      <c r="L1768" s="2792"/>
      <c r="M1768" s="4218">
        <v>6</v>
      </c>
      <c r="N1768" s="2339" t="s">
        <v>5167</v>
      </c>
      <c r="O1768" s="4219">
        <v>0.05</v>
      </c>
      <c r="P1768" s="4221"/>
      <c r="Q1768" s="4220"/>
      <c r="R1768" s="2822"/>
      <c r="S1768" s="4239"/>
      <c r="T1768" s="4218"/>
      <c r="U1768" s="4218"/>
      <c r="V1768" s="4218"/>
      <c r="W1768" s="4218"/>
      <c r="X1768" s="4218"/>
      <c r="Y1768" s="4218"/>
      <c r="Z1768" s="4218"/>
      <c r="AA1768" s="4218"/>
      <c r="AB1768" s="4218"/>
      <c r="AC1768" s="4218"/>
      <c r="AD1768" s="4218"/>
      <c r="AE1768" s="4218"/>
      <c r="AF1768" s="4218"/>
      <c r="AG1768" s="4218"/>
      <c r="AH1768" s="4218"/>
      <c r="AI1768" s="4218"/>
    </row>
    <row r="1769" s="39" customFormat="1" ht="33" customHeight="1" spans="1:35">
      <c r="A1769" s="2794"/>
      <c r="B1769" s="4196"/>
      <c r="C1769" s="2767"/>
      <c r="D1769" s="2787"/>
      <c r="E1769" s="1110"/>
      <c r="F1769" s="1110"/>
      <c r="G1769" s="1110"/>
      <c r="H1769" s="1110"/>
      <c r="I1769" s="1110"/>
      <c r="J1769" s="1110"/>
      <c r="K1769" s="4206"/>
      <c r="L1769" s="2794"/>
      <c r="M1769" s="4218">
        <v>7</v>
      </c>
      <c r="N1769" s="2339" t="s">
        <v>3325</v>
      </c>
      <c r="O1769" s="4219">
        <v>0.1</v>
      </c>
      <c r="P1769" s="4221"/>
      <c r="Q1769" s="4220"/>
      <c r="R1769" s="2822"/>
      <c r="S1769" s="4239"/>
      <c r="T1769" s="4218"/>
      <c r="U1769" s="4218"/>
      <c r="V1769" s="4218"/>
      <c r="W1769" s="4218"/>
      <c r="X1769" s="4218"/>
      <c r="Y1769" s="4218"/>
      <c r="Z1769" s="4218"/>
      <c r="AA1769" s="4218"/>
      <c r="AB1769" s="4218"/>
      <c r="AC1769" s="4218"/>
      <c r="AD1769" s="4218"/>
      <c r="AE1769" s="4218"/>
      <c r="AF1769" s="4218"/>
      <c r="AG1769" s="4218"/>
      <c r="AH1769" s="4218"/>
      <c r="AI1769" s="4218"/>
    </row>
    <row r="1770" s="40" customFormat="1" ht="33" customHeight="1" spans="1:35">
      <c r="A1770" s="4098" t="s">
        <v>2570</v>
      </c>
      <c r="B1770" s="4106">
        <v>45925</v>
      </c>
      <c r="C1770" s="4190" t="s">
        <v>4428</v>
      </c>
      <c r="D1770" s="4086"/>
      <c r="E1770" s="4011" t="s">
        <v>6808</v>
      </c>
      <c r="F1770" s="4011" t="s">
        <v>6809</v>
      </c>
      <c r="G1770" s="4011" t="s">
        <v>6810</v>
      </c>
      <c r="H1770" s="4011" t="s">
        <v>6811</v>
      </c>
      <c r="I1770" s="4011" t="s">
        <v>6771</v>
      </c>
      <c r="J1770" s="4011" t="s">
        <v>6812</v>
      </c>
      <c r="K1770" s="4045">
        <v>3735547.49</v>
      </c>
      <c r="L1770" s="4098" t="s">
        <v>126</v>
      </c>
      <c r="M1770" s="4105"/>
      <c r="N1770" s="4222" t="s">
        <v>6813</v>
      </c>
      <c r="O1770" s="4209">
        <v>0.2</v>
      </c>
      <c r="P1770" s="4210">
        <f>K1770*O1770</f>
        <v>747109.498</v>
      </c>
      <c r="Q1770" s="4210">
        <f>P1770</f>
        <v>747109.498</v>
      </c>
      <c r="R1770" s="4098" t="s">
        <v>4603</v>
      </c>
      <c r="S1770" s="4189">
        <v>45945</v>
      </c>
      <c r="T1770" s="4210">
        <f>Q1770</f>
        <v>747109.498</v>
      </c>
      <c r="U1770" s="4098" t="s">
        <v>6814</v>
      </c>
      <c r="V1770" s="4210">
        <v>747109.5</v>
      </c>
      <c r="W1770" s="4106">
        <v>45950</v>
      </c>
      <c r="X1770" s="4105">
        <v>747109.5</v>
      </c>
      <c r="Y1770" s="4106">
        <v>45961</v>
      </c>
      <c r="Z1770" s="4105"/>
      <c r="AA1770" s="4105"/>
      <c r="AB1770" s="4105"/>
      <c r="AC1770" s="4105"/>
      <c r="AD1770" s="4105"/>
      <c r="AE1770" s="4105"/>
      <c r="AF1770" s="4105"/>
      <c r="AG1770" s="4105"/>
      <c r="AH1770" s="4105"/>
      <c r="AI1770" s="4105"/>
    </row>
    <row r="1771" s="40" customFormat="1" ht="33" customHeight="1" spans="1:35">
      <c r="A1771" s="4098"/>
      <c r="B1771" s="4106"/>
      <c r="C1771" s="4190"/>
      <c r="D1771" s="4086"/>
      <c r="E1771" s="4011"/>
      <c r="F1771" s="4011"/>
      <c r="G1771" s="4011"/>
      <c r="H1771" s="4011"/>
      <c r="I1771" s="4011"/>
      <c r="J1771" s="4011"/>
      <c r="K1771" s="4045"/>
      <c r="L1771" s="4098"/>
      <c r="M1771" s="4105"/>
      <c r="N1771" s="4222" t="s">
        <v>6815</v>
      </c>
      <c r="O1771" s="4209">
        <v>0.2</v>
      </c>
      <c r="P1771" s="4210">
        <f>K1770*O1771</f>
        <v>747109.498</v>
      </c>
      <c r="Q1771" s="4210">
        <f>P1771</f>
        <v>747109.498</v>
      </c>
      <c r="R1771" s="4098" t="s">
        <v>4603</v>
      </c>
      <c r="S1771" s="4189">
        <v>45945</v>
      </c>
      <c r="T1771" s="4210">
        <f>Q1771</f>
        <v>747109.498</v>
      </c>
      <c r="U1771" s="4098" t="s">
        <v>6814</v>
      </c>
      <c r="V1771" s="4210">
        <v>747109.5</v>
      </c>
      <c r="W1771" s="4106">
        <v>45950</v>
      </c>
      <c r="X1771" s="4105">
        <v>747109.5</v>
      </c>
      <c r="Y1771" s="4106">
        <v>45961</v>
      </c>
      <c r="Z1771" s="4105"/>
      <c r="AA1771" s="4105"/>
      <c r="AB1771" s="4105"/>
      <c r="AC1771" s="4105"/>
      <c r="AD1771" s="4105"/>
      <c r="AE1771" s="4105"/>
      <c r="AF1771" s="4105"/>
      <c r="AG1771" s="4105"/>
      <c r="AH1771" s="4105"/>
      <c r="AI1771" s="4105"/>
    </row>
    <row r="1772" s="40" customFormat="1" ht="33" customHeight="1" spans="1:35">
      <c r="A1772" s="4098"/>
      <c r="B1772" s="4106"/>
      <c r="C1772" s="4190"/>
      <c r="D1772" s="4086"/>
      <c r="E1772" s="4011"/>
      <c r="F1772" s="4011"/>
      <c r="G1772" s="4011"/>
      <c r="H1772" s="4011"/>
      <c r="I1772" s="4011"/>
      <c r="J1772" s="4011"/>
      <c r="K1772" s="4045"/>
      <c r="L1772" s="4098"/>
      <c r="M1772" s="4105"/>
      <c r="N1772" s="4222" t="s">
        <v>4230</v>
      </c>
      <c r="O1772" s="4209">
        <v>0.1</v>
      </c>
      <c r="P1772" s="4210">
        <f>K1770*O1772</f>
        <v>373554.749</v>
      </c>
      <c r="Q1772" s="4210">
        <f>P1772</f>
        <v>373554.749</v>
      </c>
      <c r="R1772" s="4098" t="s">
        <v>4603</v>
      </c>
      <c r="S1772" s="4189">
        <v>45945</v>
      </c>
      <c r="T1772" s="4210">
        <f>Q1772</f>
        <v>373554.749</v>
      </c>
      <c r="U1772" s="4098" t="s">
        <v>6814</v>
      </c>
      <c r="V1772" s="4210">
        <v>373554.75</v>
      </c>
      <c r="W1772" s="4106">
        <v>45950</v>
      </c>
      <c r="X1772" s="4105">
        <v>373554.75</v>
      </c>
      <c r="Y1772" s="4106">
        <v>45961</v>
      </c>
      <c r="Z1772" s="4105"/>
      <c r="AA1772" s="4105"/>
      <c r="AB1772" s="4105"/>
      <c r="AC1772" s="4105"/>
      <c r="AD1772" s="4105"/>
      <c r="AE1772" s="4105"/>
      <c r="AF1772" s="4105"/>
      <c r="AG1772" s="4105"/>
      <c r="AH1772" s="4105"/>
      <c r="AI1772" s="4105"/>
    </row>
    <row r="1773" s="40" customFormat="1" ht="33" customHeight="1" spans="1:35">
      <c r="A1773" s="4098"/>
      <c r="B1773" s="4106"/>
      <c r="C1773" s="4190"/>
      <c r="D1773" s="4086"/>
      <c r="E1773" s="4011"/>
      <c r="F1773" s="4011"/>
      <c r="G1773" s="4011"/>
      <c r="H1773" s="4011"/>
      <c r="I1773" s="4011"/>
      <c r="J1773" s="4011"/>
      <c r="K1773" s="4045"/>
      <c r="L1773" s="4098"/>
      <c r="M1773" s="4105"/>
      <c r="N1773" s="4222" t="s">
        <v>6611</v>
      </c>
      <c r="O1773" s="4209">
        <v>0.2</v>
      </c>
      <c r="P1773" s="4210">
        <f>O1773*K1770</f>
        <v>747109.498</v>
      </c>
      <c r="Q1773" s="4233">
        <f>P1773</f>
        <v>747109.498</v>
      </c>
      <c r="R1773" s="342" t="s">
        <v>349</v>
      </c>
      <c r="S1773" s="4240">
        <v>46081</v>
      </c>
      <c r="T1773" s="4105"/>
      <c r="U1773" s="4105"/>
      <c r="V1773" s="4105"/>
      <c r="W1773" s="4105"/>
      <c r="X1773" s="4233">
        <f>Q1773</f>
        <v>747109.498</v>
      </c>
      <c r="Y1773" s="4240">
        <v>46081</v>
      </c>
      <c r="Z1773" s="4105"/>
      <c r="AA1773" s="4105"/>
      <c r="AB1773" s="4105"/>
      <c r="AC1773" s="4105"/>
      <c r="AD1773" s="4105"/>
      <c r="AE1773" s="4105"/>
      <c r="AF1773" s="4105"/>
      <c r="AG1773" s="4105"/>
      <c r="AH1773" s="4105"/>
      <c r="AI1773" s="4105"/>
    </row>
    <row r="1774" s="40" customFormat="1" ht="33" customHeight="1" spans="1:35">
      <c r="A1774" s="4098"/>
      <c r="B1774" s="4106"/>
      <c r="C1774" s="4190"/>
      <c r="D1774" s="4086"/>
      <c r="E1774" s="4011"/>
      <c r="F1774" s="4011"/>
      <c r="G1774" s="4011"/>
      <c r="H1774" s="4011"/>
      <c r="I1774" s="4011"/>
      <c r="J1774" s="4011"/>
      <c r="K1774" s="4045"/>
      <c r="L1774" s="4098"/>
      <c r="M1774" s="4105"/>
      <c r="N1774" s="4222" t="s">
        <v>6612</v>
      </c>
      <c r="O1774" s="4209">
        <v>0.15</v>
      </c>
      <c r="P1774" s="4210">
        <f>K1770*O1774</f>
        <v>560332.1235</v>
      </c>
      <c r="Q1774" s="4233">
        <f>P1774</f>
        <v>560332.1235</v>
      </c>
      <c r="R1774" s="342" t="s">
        <v>349</v>
      </c>
      <c r="S1774" s="4240">
        <v>46081</v>
      </c>
      <c r="T1774" s="4105"/>
      <c r="U1774" s="4105"/>
      <c r="V1774" s="4105"/>
      <c r="W1774" s="4105"/>
      <c r="X1774" s="4233">
        <f>Q1774</f>
        <v>560332.1235</v>
      </c>
      <c r="Y1774" s="4240">
        <v>46081</v>
      </c>
      <c r="Z1774" s="4105"/>
      <c r="AA1774" s="4105"/>
      <c r="AB1774" s="4105"/>
      <c r="AC1774" s="4105"/>
      <c r="AD1774" s="4105"/>
      <c r="AE1774" s="4105"/>
      <c r="AF1774" s="4105"/>
      <c r="AG1774" s="4105"/>
      <c r="AH1774" s="4105"/>
      <c r="AI1774" s="4105"/>
    </row>
    <row r="1775" s="40" customFormat="1" ht="33" customHeight="1" spans="1:35">
      <c r="A1775" s="4098"/>
      <c r="B1775" s="4106"/>
      <c r="C1775" s="4190"/>
      <c r="D1775" s="4086"/>
      <c r="E1775" s="4011"/>
      <c r="F1775" s="4011"/>
      <c r="G1775" s="4011"/>
      <c r="H1775" s="4011"/>
      <c r="I1775" s="4011"/>
      <c r="J1775" s="4011"/>
      <c r="K1775" s="4045"/>
      <c r="L1775" s="4098"/>
      <c r="M1775" s="4105"/>
      <c r="N1775" s="4222" t="s">
        <v>4232</v>
      </c>
      <c r="O1775" s="4209">
        <v>0.05</v>
      </c>
      <c r="P1775" s="4210"/>
      <c r="Q1775" s="4233"/>
      <c r="R1775" s="342"/>
      <c r="S1775" s="4240"/>
      <c r="T1775" s="4105"/>
      <c r="U1775" s="4105"/>
      <c r="V1775" s="4105"/>
      <c r="W1775" s="4105"/>
      <c r="X1775" s="4105"/>
      <c r="Y1775" s="4105"/>
      <c r="Z1775" s="4105"/>
      <c r="AA1775" s="4105"/>
      <c r="AB1775" s="4105"/>
      <c r="AC1775" s="4105"/>
      <c r="AD1775" s="4105"/>
      <c r="AE1775" s="4105"/>
      <c r="AF1775" s="4105"/>
      <c r="AG1775" s="4105"/>
      <c r="AH1775" s="4105"/>
      <c r="AI1775" s="4105"/>
    </row>
    <row r="1776" s="40" customFormat="1" ht="33" customHeight="1" spans="1:35">
      <c r="A1776" s="4098"/>
      <c r="B1776" s="4106"/>
      <c r="C1776" s="4190"/>
      <c r="D1776" s="4086"/>
      <c r="E1776" s="4011"/>
      <c r="F1776" s="4011"/>
      <c r="G1776" s="4011"/>
      <c r="H1776" s="4011"/>
      <c r="I1776" s="4011"/>
      <c r="J1776" s="4011"/>
      <c r="K1776" s="4045"/>
      <c r="L1776" s="4098"/>
      <c r="M1776" s="4105"/>
      <c r="N1776" s="4222" t="s">
        <v>6816</v>
      </c>
      <c r="O1776" s="4209">
        <v>0.1</v>
      </c>
      <c r="P1776" s="4210"/>
      <c r="Q1776" s="4233"/>
      <c r="R1776" s="342"/>
      <c r="S1776" s="4234"/>
      <c r="T1776" s="4105"/>
      <c r="U1776" s="4105"/>
      <c r="V1776" s="4105"/>
      <c r="W1776" s="4105"/>
      <c r="X1776" s="4105"/>
      <c r="Y1776" s="4105"/>
      <c r="Z1776" s="4105"/>
      <c r="AA1776" s="4105"/>
      <c r="AB1776" s="4105"/>
      <c r="AC1776" s="4105"/>
      <c r="AD1776" s="4105"/>
      <c r="AE1776" s="4105"/>
      <c r="AF1776" s="4105"/>
      <c r="AG1776" s="4105"/>
      <c r="AH1776" s="4105"/>
      <c r="AI1776" s="4105"/>
    </row>
    <row r="1777" s="41" customFormat="1" ht="33" customHeight="1" spans="1:35">
      <c r="A1777" s="2792" t="s">
        <v>2570</v>
      </c>
      <c r="B1777" s="4195">
        <v>45928</v>
      </c>
      <c r="C1777" s="2764" t="s">
        <v>4428</v>
      </c>
      <c r="D1777" s="1817"/>
      <c r="E1777" s="2783" t="s">
        <v>6817</v>
      </c>
      <c r="F1777" s="2783" t="s">
        <v>6818</v>
      </c>
      <c r="G1777" s="2783" t="s">
        <v>6254</v>
      </c>
      <c r="H1777" s="2783" t="s">
        <v>5128</v>
      </c>
      <c r="I1777" s="2783" t="s">
        <v>6771</v>
      </c>
      <c r="J1777" s="2783"/>
      <c r="K1777" s="4205">
        <v>1527805</v>
      </c>
      <c r="L1777" s="2792" t="s">
        <v>126</v>
      </c>
      <c r="M1777" s="4223">
        <v>1</v>
      </c>
      <c r="N1777" s="716" t="s">
        <v>5801</v>
      </c>
      <c r="O1777" s="4224">
        <v>0.15</v>
      </c>
      <c r="P1777" s="4225">
        <f>K1777*O1777</f>
        <v>229170.75</v>
      </c>
      <c r="Q1777" s="4225">
        <f>P1777</f>
        <v>229170.75</v>
      </c>
      <c r="R1777" s="2794" t="s">
        <v>4603</v>
      </c>
      <c r="S1777" s="4196">
        <v>45945</v>
      </c>
      <c r="T1777" s="4223">
        <f>Q1777</f>
        <v>229170.75</v>
      </c>
      <c r="U1777" s="4196">
        <v>45945</v>
      </c>
      <c r="V1777" s="4225">
        <v>229170.75</v>
      </c>
      <c r="W1777" s="4196">
        <v>45947</v>
      </c>
      <c r="X1777" s="4223">
        <v>229170.75</v>
      </c>
      <c r="Y1777" s="4196">
        <v>45954</v>
      </c>
      <c r="Z1777" s="4227"/>
      <c r="AA1777" s="4227"/>
      <c r="AB1777" s="4223"/>
      <c r="AC1777" s="4223"/>
      <c r="AD1777" s="4227"/>
      <c r="AE1777" s="4227"/>
      <c r="AF1777" s="4227"/>
      <c r="AG1777" s="4227"/>
      <c r="AH1777" s="4227"/>
      <c r="AI1777" s="4227"/>
    </row>
    <row r="1778" s="41" customFormat="1" ht="33" customHeight="1" spans="1:35">
      <c r="A1778" s="2792"/>
      <c r="B1778" s="4195"/>
      <c r="C1778" s="2764"/>
      <c r="D1778" s="1817"/>
      <c r="E1778" s="2783"/>
      <c r="F1778" s="2783"/>
      <c r="G1778" s="2783"/>
      <c r="H1778" s="2783"/>
      <c r="I1778" s="2783"/>
      <c r="J1778" s="2783"/>
      <c r="K1778" s="4205"/>
      <c r="L1778" s="2792"/>
      <c r="M1778" s="4223">
        <v>2</v>
      </c>
      <c r="N1778" s="716" t="s">
        <v>3625</v>
      </c>
      <c r="O1778" s="4224">
        <v>0.2</v>
      </c>
      <c r="P1778" s="4225">
        <f>K1777*O1778</f>
        <v>305561</v>
      </c>
      <c r="Q1778" s="4225">
        <f>P1778</f>
        <v>305561</v>
      </c>
      <c r="R1778" s="2794" t="s">
        <v>4603</v>
      </c>
      <c r="S1778" s="4196">
        <v>45945</v>
      </c>
      <c r="T1778" s="4225">
        <f>Q1778</f>
        <v>305561</v>
      </c>
      <c r="U1778" s="4196">
        <v>45945</v>
      </c>
      <c r="V1778" s="4225">
        <v>305561</v>
      </c>
      <c r="W1778" s="4196">
        <v>45947</v>
      </c>
      <c r="X1778" s="4225">
        <v>305561</v>
      </c>
      <c r="Y1778" s="4196">
        <v>45954</v>
      </c>
      <c r="Z1778" s="4227"/>
      <c r="AA1778" s="4227"/>
      <c r="AB1778" s="4223"/>
      <c r="AC1778" s="4223"/>
      <c r="AD1778" s="4227"/>
      <c r="AE1778" s="4227"/>
      <c r="AF1778" s="4227"/>
      <c r="AG1778" s="4227"/>
      <c r="AH1778" s="4227"/>
      <c r="AI1778" s="4227"/>
    </row>
    <row r="1779" s="41" customFormat="1" ht="33" customHeight="1" spans="1:35">
      <c r="A1779" s="2792"/>
      <c r="B1779" s="4195"/>
      <c r="C1779" s="2764"/>
      <c r="D1779" s="1817"/>
      <c r="E1779" s="2783"/>
      <c r="F1779" s="2783"/>
      <c r="G1779" s="2783"/>
      <c r="H1779" s="2783"/>
      <c r="I1779" s="2783"/>
      <c r="J1779" s="2783"/>
      <c r="K1779" s="4205"/>
      <c r="L1779" s="2792"/>
      <c r="M1779" s="4223">
        <v>3</v>
      </c>
      <c r="N1779" s="716" t="s">
        <v>3627</v>
      </c>
      <c r="O1779" s="4224">
        <v>0.15</v>
      </c>
      <c r="P1779" s="4225">
        <f>K1777*O1779</f>
        <v>229170.75</v>
      </c>
      <c r="Q1779" s="4225">
        <f>P1779</f>
        <v>229170.75</v>
      </c>
      <c r="R1779" s="2794" t="s">
        <v>4603</v>
      </c>
      <c r="S1779" s="4196">
        <v>45945</v>
      </c>
      <c r="T1779" s="4223">
        <f>Q1779</f>
        <v>229170.75</v>
      </c>
      <c r="U1779" s="4196">
        <v>45945</v>
      </c>
      <c r="V1779" s="4225">
        <v>229170.75</v>
      </c>
      <c r="W1779" s="4196">
        <v>45947</v>
      </c>
      <c r="X1779" s="4223">
        <v>229170.75</v>
      </c>
      <c r="Y1779" s="4196">
        <v>45954</v>
      </c>
      <c r="Z1779" s="4227"/>
      <c r="AA1779" s="4227"/>
      <c r="AB1779" s="4223"/>
      <c r="AC1779" s="4223"/>
      <c r="AD1779" s="4227"/>
      <c r="AE1779" s="4227"/>
      <c r="AF1779" s="4227"/>
      <c r="AG1779" s="4227"/>
      <c r="AH1779" s="4227"/>
      <c r="AI1779" s="4227"/>
    </row>
    <row r="1780" s="41" customFormat="1" ht="33" customHeight="1" spans="1:35">
      <c r="A1780" s="2792"/>
      <c r="B1780" s="4195"/>
      <c r="C1780" s="2764"/>
      <c r="D1780" s="1817"/>
      <c r="E1780" s="2783"/>
      <c r="F1780" s="2783"/>
      <c r="G1780" s="2783"/>
      <c r="H1780" s="2783"/>
      <c r="I1780" s="2783"/>
      <c r="J1780" s="2783"/>
      <c r="K1780" s="4205"/>
      <c r="L1780" s="2792"/>
      <c r="M1780" s="4223">
        <v>4</v>
      </c>
      <c r="N1780" s="716" t="s">
        <v>3630</v>
      </c>
      <c r="O1780" s="4224">
        <v>0.3</v>
      </c>
      <c r="P1780" s="4225">
        <f>O1780*K1777</f>
        <v>458341.5</v>
      </c>
      <c r="Q1780" s="4241">
        <f>P1780</f>
        <v>458341.5</v>
      </c>
      <c r="R1780" s="4242" t="s">
        <v>349</v>
      </c>
      <c r="S1780" s="4243">
        <v>46081</v>
      </c>
      <c r="T1780" s="4223"/>
      <c r="U1780" s="4223"/>
      <c r="V1780" s="4223"/>
      <c r="W1780" s="4196"/>
      <c r="X1780" s="4251">
        <f>P1780</f>
        <v>458341.5</v>
      </c>
      <c r="Y1780" s="4243">
        <v>46081</v>
      </c>
      <c r="Z1780" s="4227"/>
      <c r="AA1780" s="4227"/>
      <c r="AB1780" s="4223"/>
      <c r="AC1780" s="4223"/>
      <c r="AD1780" s="4227"/>
      <c r="AE1780" s="4227"/>
      <c r="AF1780" s="4227"/>
      <c r="AG1780" s="4227"/>
      <c r="AH1780" s="4227"/>
      <c r="AI1780" s="4227"/>
    </row>
    <row r="1781" s="41" customFormat="1" ht="33" customHeight="1" spans="1:35">
      <c r="A1781" s="2792"/>
      <c r="B1781" s="4195"/>
      <c r="C1781" s="2764"/>
      <c r="D1781" s="1817"/>
      <c r="E1781" s="2783"/>
      <c r="F1781" s="2783"/>
      <c r="G1781" s="2783"/>
      <c r="H1781" s="2783"/>
      <c r="I1781" s="2783"/>
      <c r="J1781" s="2783"/>
      <c r="K1781" s="4205"/>
      <c r="L1781" s="2792"/>
      <c r="M1781" s="4223">
        <v>5</v>
      </c>
      <c r="N1781" s="4226" t="s">
        <v>3632</v>
      </c>
      <c r="O1781" s="4224">
        <v>0.05</v>
      </c>
      <c r="P1781" s="4225"/>
      <c r="Q1781" s="4241"/>
      <c r="R1781" s="4242"/>
      <c r="S1781" s="4244"/>
      <c r="T1781" s="4223"/>
      <c r="U1781" s="4223"/>
      <c r="V1781" s="4223"/>
      <c r="W1781" s="4223"/>
      <c r="X1781" s="4223"/>
      <c r="Y1781" s="4223"/>
      <c r="Z1781" s="4227"/>
      <c r="AA1781" s="4227"/>
      <c r="AB1781" s="4223"/>
      <c r="AC1781" s="4223"/>
      <c r="AD1781" s="4227"/>
      <c r="AE1781" s="4227"/>
      <c r="AF1781" s="4227"/>
      <c r="AG1781" s="4227"/>
      <c r="AH1781" s="4227"/>
      <c r="AI1781" s="4227"/>
    </row>
    <row r="1782" s="41" customFormat="1" ht="33" customHeight="1" spans="1:35">
      <c r="A1782" s="2792"/>
      <c r="B1782" s="4195"/>
      <c r="C1782" s="2764"/>
      <c r="D1782" s="1817"/>
      <c r="E1782" s="2783"/>
      <c r="F1782" s="2783"/>
      <c r="G1782" s="2783"/>
      <c r="H1782" s="2783"/>
      <c r="I1782" s="2783"/>
      <c r="J1782" s="2783"/>
      <c r="K1782" s="4205"/>
      <c r="L1782" s="2792"/>
      <c r="M1782" s="4223">
        <v>6</v>
      </c>
      <c r="N1782" s="4226" t="s">
        <v>3634</v>
      </c>
      <c r="O1782" s="4224">
        <v>0.05</v>
      </c>
      <c r="P1782" s="4225"/>
      <c r="Q1782" s="4241"/>
      <c r="R1782" s="4242"/>
      <c r="S1782" s="4244"/>
      <c r="T1782" s="4223"/>
      <c r="U1782" s="4223"/>
      <c r="V1782" s="4223"/>
      <c r="W1782" s="4223"/>
      <c r="X1782" s="4223"/>
      <c r="Y1782" s="4223"/>
      <c r="Z1782" s="4227"/>
      <c r="AA1782" s="4227"/>
      <c r="AB1782" s="4223"/>
      <c r="AC1782" s="4223"/>
      <c r="AD1782" s="4227"/>
      <c r="AE1782" s="4227"/>
      <c r="AF1782" s="4227"/>
      <c r="AG1782" s="4227"/>
      <c r="AH1782" s="4227"/>
      <c r="AI1782" s="4227"/>
    </row>
    <row r="1783" s="41" customFormat="1" ht="33" customHeight="1" spans="1:35">
      <c r="A1783" s="2792"/>
      <c r="B1783" s="4195"/>
      <c r="C1783" s="2764"/>
      <c r="D1783" s="1817"/>
      <c r="E1783" s="2783"/>
      <c r="F1783" s="2783"/>
      <c r="G1783" s="2783"/>
      <c r="H1783" s="2783"/>
      <c r="I1783" s="2783"/>
      <c r="J1783" s="2783"/>
      <c r="K1783" s="4205"/>
      <c r="L1783" s="2792"/>
      <c r="M1783" s="4227">
        <v>7</v>
      </c>
      <c r="N1783" s="4228" t="s">
        <v>3356</v>
      </c>
      <c r="O1783" s="4229">
        <v>0.1</v>
      </c>
      <c r="P1783" s="4230"/>
      <c r="Q1783" s="4245"/>
      <c r="R1783" s="4246"/>
      <c r="S1783" s="4247"/>
      <c r="T1783" s="4227"/>
      <c r="U1783" s="4227"/>
      <c r="V1783" s="4227"/>
      <c r="W1783" s="4227"/>
      <c r="X1783" s="4227"/>
      <c r="Y1783" s="4227"/>
      <c r="Z1783" s="4227"/>
      <c r="AA1783" s="4227"/>
      <c r="AB1783" s="4227"/>
      <c r="AC1783" s="4227"/>
      <c r="AD1783" s="4227"/>
      <c r="AE1783" s="4227"/>
      <c r="AF1783" s="4227"/>
      <c r="AG1783" s="4227"/>
      <c r="AH1783" s="4227"/>
      <c r="AI1783" s="4227"/>
    </row>
    <row r="1784" s="40" customFormat="1" ht="33" customHeight="1" spans="1:35">
      <c r="A1784" s="4098" t="s">
        <v>2570</v>
      </c>
      <c r="B1784" s="4106">
        <v>45931</v>
      </c>
      <c r="C1784" s="4190" t="s">
        <v>4428</v>
      </c>
      <c r="D1784" s="4086"/>
      <c r="E1784" s="4011" t="s">
        <v>6819</v>
      </c>
      <c r="F1784" s="4011" t="s">
        <v>6820</v>
      </c>
      <c r="G1784" s="4011" t="s">
        <v>3723</v>
      </c>
      <c r="H1784" s="4011" t="s">
        <v>5663</v>
      </c>
      <c r="I1784" s="4011" t="s">
        <v>6771</v>
      </c>
      <c r="J1784" s="4011" t="s">
        <v>6821</v>
      </c>
      <c r="K1784" s="4045">
        <v>1161741.2</v>
      </c>
      <c r="L1784" s="4098" t="s">
        <v>126</v>
      </c>
      <c r="M1784" s="4098">
        <v>1</v>
      </c>
      <c r="N1784" s="4043" t="s">
        <v>2093</v>
      </c>
      <c r="O1784" s="4209">
        <v>0.1</v>
      </c>
      <c r="P1784" s="4210">
        <f>K1784*O1784</f>
        <v>116174.12</v>
      </c>
      <c r="Q1784" s="4210">
        <f t="shared" ref="Q1784:Q1790" si="52">P1784</f>
        <v>116174.12</v>
      </c>
      <c r="R1784" s="4098" t="s">
        <v>4603</v>
      </c>
      <c r="S1784" s="4106">
        <v>45947</v>
      </c>
      <c r="T1784" s="4210">
        <f>Q1784</f>
        <v>116174.12</v>
      </c>
      <c r="U1784" s="4106">
        <v>45947</v>
      </c>
      <c r="V1784" s="4210">
        <v>116174.12</v>
      </c>
      <c r="W1784" s="4106">
        <v>45950</v>
      </c>
      <c r="X1784" s="4210">
        <v>116174.12</v>
      </c>
      <c r="Y1784" s="4106">
        <v>45954</v>
      </c>
      <c r="Z1784" s="4105"/>
      <c r="AA1784" s="4105"/>
      <c r="AB1784" s="4105"/>
      <c r="AC1784" s="4105"/>
      <c r="AD1784" s="4105"/>
      <c r="AE1784" s="4105"/>
      <c r="AF1784" s="4105"/>
      <c r="AG1784" s="4105"/>
      <c r="AH1784" s="4105"/>
      <c r="AI1784" s="4105"/>
    </row>
    <row r="1785" s="40" customFormat="1" ht="33" customHeight="1" spans="1:35">
      <c r="A1785" s="4098"/>
      <c r="B1785" s="4106"/>
      <c r="C1785" s="4190"/>
      <c r="D1785" s="4086"/>
      <c r="E1785" s="4011"/>
      <c r="F1785" s="4011"/>
      <c r="G1785" s="4011"/>
      <c r="H1785" s="4011"/>
      <c r="I1785" s="4011"/>
      <c r="J1785" s="4011"/>
      <c r="K1785" s="4045"/>
      <c r="L1785" s="4098"/>
      <c r="M1785" s="4105">
        <v>2</v>
      </c>
      <c r="N1785" s="4043" t="s">
        <v>6822</v>
      </c>
      <c r="O1785" s="4209">
        <v>0.4</v>
      </c>
      <c r="P1785" s="4210">
        <f>283000*O1785</f>
        <v>113200</v>
      </c>
      <c r="Q1785" s="4210">
        <f t="shared" si="52"/>
        <v>113200</v>
      </c>
      <c r="R1785" s="4098" t="s">
        <v>4603</v>
      </c>
      <c r="S1785" s="4106">
        <v>45947</v>
      </c>
      <c r="T1785" s="4210">
        <f>Q1785</f>
        <v>113200</v>
      </c>
      <c r="U1785" s="4106">
        <v>45947</v>
      </c>
      <c r="V1785" s="4210">
        <v>113200</v>
      </c>
      <c r="W1785" s="4106">
        <v>45950</v>
      </c>
      <c r="X1785" s="4210">
        <v>113200</v>
      </c>
      <c r="Y1785" s="4106">
        <v>45954</v>
      </c>
      <c r="Z1785" s="4105"/>
      <c r="AA1785" s="4105"/>
      <c r="AB1785" s="4105"/>
      <c r="AC1785" s="4105"/>
      <c r="AD1785" s="4105"/>
      <c r="AE1785" s="4105"/>
      <c r="AF1785" s="4105"/>
      <c r="AG1785" s="4105"/>
      <c r="AH1785" s="4105"/>
      <c r="AI1785" s="4105"/>
    </row>
    <row r="1786" s="40" customFormat="1" ht="33" customHeight="1" spans="1:35">
      <c r="A1786" s="4098"/>
      <c r="B1786" s="4106"/>
      <c r="C1786" s="4190"/>
      <c r="D1786" s="4086"/>
      <c r="E1786" s="4011"/>
      <c r="F1786" s="4011"/>
      <c r="G1786" s="4011"/>
      <c r="H1786" s="4011"/>
      <c r="I1786" s="4011"/>
      <c r="J1786" s="4011"/>
      <c r="K1786" s="4045"/>
      <c r="L1786" s="4098"/>
      <c r="M1786" s="4105">
        <v>3</v>
      </c>
      <c r="N1786" s="4043" t="s">
        <v>6823</v>
      </c>
      <c r="O1786" s="4209">
        <v>0.4</v>
      </c>
      <c r="P1786" s="4210">
        <f>283000*O1786</f>
        <v>113200</v>
      </c>
      <c r="Q1786" s="4210">
        <f t="shared" si="52"/>
        <v>113200</v>
      </c>
      <c r="R1786" s="4098" t="s">
        <v>4603</v>
      </c>
      <c r="S1786" s="4106">
        <v>45947</v>
      </c>
      <c r="T1786" s="4210">
        <f>Q1786</f>
        <v>113200</v>
      </c>
      <c r="U1786" s="4106">
        <v>45947</v>
      </c>
      <c r="V1786" s="4210">
        <v>113200</v>
      </c>
      <c r="W1786" s="4106">
        <v>45950</v>
      </c>
      <c r="X1786" s="4210">
        <v>113200</v>
      </c>
      <c r="Y1786" s="4106">
        <v>45954</v>
      </c>
      <c r="Z1786" s="4105"/>
      <c r="AA1786" s="4105"/>
      <c r="AB1786" s="4105"/>
      <c r="AC1786" s="4105"/>
      <c r="AD1786" s="4105"/>
      <c r="AE1786" s="4105"/>
      <c r="AF1786" s="4105"/>
      <c r="AG1786" s="4105"/>
      <c r="AH1786" s="4105"/>
      <c r="AI1786" s="4105"/>
    </row>
    <row r="1787" s="40" customFormat="1" ht="33" customHeight="1" spans="1:35">
      <c r="A1787" s="4098"/>
      <c r="B1787" s="4106"/>
      <c r="C1787" s="4190"/>
      <c r="D1787" s="4086"/>
      <c r="E1787" s="4011"/>
      <c r="F1787" s="4011"/>
      <c r="G1787" s="4011"/>
      <c r="H1787" s="4011"/>
      <c r="I1787" s="4011"/>
      <c r="J1787" s="4011"/>
      <c r="K1787" s="4045"/>
      <c r="L1787" s="4098"/>
      <c r="M1787" s="4105">
        <v>4</v>
      </c>
      <c r="N1787" s="4043" t="s">
        <v>6824</v>
      </c>
      <c r="O1787" s="4209">
        <v>0.15</v>
      </c>
      <c r="P1787" s="4210">
        <f>878741.2*O1787</f>
        <v>131811.18</v>
      </c>
      <c r="Q1787" s="4210">
        <f t="shared" si="52"/>
        <v>131811.18</v>
      </c>
      <c r="R1787" s="4098" t="s">
        <v>4603</v>
      </c>
      <c r="S1787" s="4106">
        <v>45947</v>
      </c>
      <c r="T1787" s="4210">
        <f>Q1787</f>
        <v>131811.18</v>
      </c>
      <c r="U1787" s="4106">
        <v>45947</v>
      </c>
      <c r="V1787" s="4210">
        <v>131811.18</v>
      </c>
      <c r="W1787" s="4106">
        <v>45950</v>
      </c>
      <c r="X1787" s="4210">
        <v>131811.18</v>
      </c>
      <c r="Y1787" s="4106">
        <v>45954</v>
      </c>
      <c r="Z1787" s="4105"/>
      <c r="AA1787" s="4105"/>
      <c r="AB1787" s="4105"/>
      <c r="AC1787" s="4105"/>
      <c r="AD1787" s="4105"/>
      <c r="AE1787" s="4105"/>
      <c r="AF1787" s="4105"/>
      <c r="AG1787" s="4105"/>
      <c r="AH1787" s="4105"/>
      <c r="AI1787" s="4105"/>
    </row>
    <row r="1788" s="40" customFormat="1" ht="33" customHeight="1" spans="1:35">
      <c r="A1788" s="4098"/>
      <c r="B1788" s="4106"/>
      <c r="C1788" s="4190"/>
      <c r="D1788" s="4086"/>
      <c r="E1788" s="4011"/>
      <c r="F1788" s="4011"/>
      <c r="G1788" s="4011"/>
      <c r="H1788" s="4011"/>
      <c r="I1788" s="4011"/>
      <c r="J1788" s="4011"/>
      <c r="K1788" s="4045"/>
      <c r="L1788" s="4098"/>
      <c r="M1788" s="4105">
        <v>5</v>
      </c>
      <c r="N1788" s="4043" t="s">
        <v>6825</v>
      </c>
      <c r="O1788" s="4209">
        <v>0.2</v>
      </c>
      <c r="P1788" s="4210">
        <f>O1788*878741.2</f>
        <v>175748.24</v>
      </c>
      <c r="Q1788" s="4210">
        <f t="shared" si="52"/>
        <v>175748.24</v>
      </c>
      <c r="R1788" s="4098" t="s">
        <v>4603</v>
      </c>
      <c r="S1788" s="4106">
        <v>45947</v>
      </c>
      <c r="T1788" s="4210">
        <f>Q1788</f>
        <v>175748.24</v>
      </c>
      <c r="U1788" s="4106">
        <v>45947</v>
      </c>
      <c r="V1788" s="4210">
        <v>175748.24</v>
      </c>
      <c r="W1788" s="4106">
        <v>45950</v>
      </c>
      <c r="X1788" s="4210">
        <v>175748.24</v>
      </c>
      <c r="Y1788" s="4106">
        <v>45954</v>
      </c>
      <c r="Z1788" s="4105"/>
      <c r="AA1788" s="4105"/>
      <c r="AB1788" s="4105"/>
      <c r="AC1788" s="4105"/>
      <c r="AD1788" s="4105"/>
      <c r="AE1788" s="4105"/>
      <c r="AF1788" s="4105"/>
      <c r="AG1788" s="4105"/>
      <c r="AH1788" s="4105"/>
      <c r="AI1788" s="4105"/>
    </row>
    <row r="1789" s="40" customFormat="1" ht="33" customHeight="1" spans="1:35">
      <c r="A1789" s="4098"/>
      <c r="B1789" s="4106"/>
      <c r="C1789" s="4190"/>
      <c r="D1789" s="4086"/>
      <c r="E1789" s="4011"/>
      <c r="F1789" s="4011"/>
      <c r="G1789" s="4011"/>
      <c r="H1789" s="4011"/>
      <c r="I1789" s="4011"/>
      <c r="J1789" s="4011"/>
      <c r="K1789" s="4045"/>
      <c r="L1789" s="4098"/>
      <c r="M1789" s="4105">
        <v>6</v>
      </c>
      <c r="N1789" s="4043" t="s">
        <v>6826</v>
      </c>
      <c r="O1789" s="4209">
        <v>0.15</v>
      </c>
      <c r="P1789" s="4210">
        <f>878741.2*O1789</f>
        <v>131811.18</v>
      </c>
      <c r="Q1789" s="4233">
        <f t="shared" si="52"/>
        <v>131811.18</v>
      </c>
      <c r="R1789" s="342" t="s">
        <v>349</v>
      </c>
      <c r="S1789" s="4234">
        <v>46081</v>
      </c>
      <c r="T1789" s="4105"/>
      <c r="U1789" s="4105"/>
      <c r="V1789" s="4105"/>
      <c r="W1789" s="4105"/>
      <c r="X1789" s="4233">
        <f>Q1789</f>
        <v>131811.18</v>
      </c>
      <c r="Y1789" s="4234">
        <v>46081</v>
      </c>
      <c r="Z1789" s="4105"/>
      <c r="AA1789" s="4105"/>
      <c r="AB1789" s="4105"/>
      <c r="AC1789" s="4105"/>
      <c r="AD1789" s="4105"/>
      <c r="AE1789" s="4105"/>
      <c r="AF1789" s="4105"/>
      <c r="AG1789" s="4105"/>
      <c r="AH1789" s="4105"/>
      <c r="AI1789" s="4105"/>
    </row>
    <row r="1790" s="40" customFormat="1" ht="33" customHeight="1" spans="1:35">
      <c r="A1790" s="4098"/>
      <c r="B1790" s="4106"/>
      <c r="C1790" s="4190"/>
      <c r="D1790" s="4086"/>
      <c r="E1790" s="4011"/>
      <c r="F1790" s="4011"/>
      <c r="G1790" s="4011"/>
      <c r="H1790" s="4011"/>
      <c r="I1790" s="4011"/>
      <c r="J1790" s="4011"/>
      <c r="K1790" s="4045"/>
      <c r="L1790" s="4098"/>
      <c r="M1790" s="4105">
        <v>7</v>
      </c>
      <c r="N1790" s="4231" t="s">
        <v>6827</v>
      </c>
      <c r="O1790" s="4209">
        <v>0.15</v>
      </c>
      <c r="P1790" s="4210">
        <f>878741.2*O1790</f>
        <v>131811.18</v>
      </c>
      <c r="Q1790" s="4233">
        <f t="shared" si="52"/>
        <v>131811.18</v>
      </c>
      <c r="R1790" s="342" t="s">
        <v>349</v>
      </c>
      <c r="S1790" s="4234">
        <v>46111</v>
      </c>
      <c r="T1790" s="4105"/>
      <c r="U1790" s="4105"/>
      <c r="V1790" s="4105"/>
      <c r="W1790" s="4105"/>
      <c r="X1790" s="4233">
        <f>Q1790</f>
        <v>131811.18</v>
      </c>
      <c r="Y1790" s="4234">
        <v>46111</v>
      </c>
      <c r="Z1790" s="4105"/>
      <c r="AA1790" s="4105"/>
      <c r="AB1790" s="4105"/>
      <c r="AC1790" s="4105"/>
      <c r="AD1790" s="4105"/>
      <c r="AE1790" s="4105"/>
      <c r="AF1790" s="4105"/>
      <c r="AG1790" s="4105"/>
      <c r="AH1790" s="4105"/>
      <c r="AI1790" s="4105"/>
    </row>
    <row r="1791" s="40" customFormat="1" ht="33" customHeight="1" spans="1:35">
      <c r="A1791" s="4098"/>
      <c r="B1791" s="4106"/>
      <c r="C1791" s="4190"/>
      <c r="D1791" s="4086"/>
      <c r="E1791" s="4011"/>
      <c r="F1791" s="4011"/>
      <c r="G1791" s="4011"/>
      <c r="H1791" s="4011"/>
      <c r="I1791" s="4011"/>
      <c r="J1791" s="4011"/>
      <c r="K1791" s="4045"/>
      <c r="L1791" s="4098"/>
      <c r="M1791" s="4105">
        <v>8</v>
      </c>
      <c r="N1791" s="4043" t="s">
        <v>2055</v>
      </c>
      <c r="O1791" s="4209">
        <v>0.1</v>
      </c>
      <c r="P1791" s="4210">
        <f>K1784*90%-(P1784+P1785+P1786+P1787+P1788+P1789+P1790)</f>
        <v>131811.18</v>
      </c>
      <c r="Q1791" s="4233"/>
      <c r="R1791" s="342"/>
      <c r="S1791" s="4234"/>
      <c r="T1791" s="4105"/>
      <c r="U1791" s="4105"/>
      <c r="V1791" s="4105"/>
      <c r="W1791" s="4105"/>
      <c r="X1791" s="4105"/>
      <c r="Y1791" s="4105"/>
      <c r="Z1791" s="4105"/>
      <c r="AA1791" s="4105"/>
      <c r="AB1791" s="4105"/>
      <c r="AC1791" s="4105"/>
      <c r="AD1791" s="4105"/>
      <c r="AE1791" s="4105"/>
      <c r="AF1791" s="4105"/>
      <c r="AG1791" s="4105"/>
      <c r="AH1791" s="4105"/>
      <c r="AI1791" s="4105"/>
    </row>
    <row r="1792" s="40" customFormat="1" ht="33" customHeight="1" spans="1:35">
      <c r="A1792" s="4098"/>
      <c r="B1792" s="4106"/>
      <c r="C1792" s="4190"/>
      <c r="D1792" s="4086"/>
      <c r="E1792" s="4011"/>
      <c r="F1792" s="4011"/>
      <c r="G1792" s="4011"/>
      <c r="H1792" s="4011"/>
      <c r="I1792" s="4011"/>
      <c r="J1792" s="4011"/>
      <c r="K1792" s="4045"/>
      <c r="L1792" s="4098"/>
      <c r="M1792" s="4105">
        <v>9</v>
      </c>
      <c r="N1792" s="4043" t="s">
        <v>3347</v>
      </c>
      <c r="O1792" s="4209">
        <v>0.1</v>
      </c>
      <c r="P1792" s="4210">
        <f>K1784*O1792</f>
        <v>116174.12</v>
      </c>
      <c r="Q1792" s="4233"/>
      <c r="R1792" s="342"/>
      <c r="S1792" s="4234"/>
      <c r="T1792" s="4105"/>
      <c r="U1792" s="4105"/>
      <c r="V1792" s="4105"/>
      <c r="W1792" s="4105"/>
      <c r="X1792" s="4105"/>
      <c r="Y1792" s="4105"/>
      <c r="Z1792" s="4105"/>
      <c r="AA1792" s="4105"/>
      <c r="AB1792" s="4105"/>
      <c r="AC1792" s="4105"/>
      <c r="AD1792" s="4105"/>
      <c r="AE1792" s="4105"/>
      <c r="AF1792" s="4105"/>
      <c r="AG1792" s="4105"/>
      <c r="AH1792" s="4105"/>
      <c r="AI1792" s="4105"/>
    </row>
    <row r="1793" s="42" customFormat="1" ht="33" customHeight="1" spans="1:35">
      <c r="A1793" s="4254" t="s">
        <v>2570</v>
      </c>
      <c r="B1793" s="4255">
        <v>45960</v>
      </c>
      <c r="C1793" s="2064" t="s">
        <v>4428</v>
      </c>
      <c r="D1793" s="420"/>
      <c r="E1793" s="416" t="s">
        <v>6828</v>
      </c>
      <c r="F1793" s="414" t="s">
        <v>6829</v>
      </c>
      <c r="G1793" s="416" t="s">
        <v>3535</v>
      </c>
      <c r="H1793" s="416" t="s">
        <v>6830</v>
      </c>
      <c r="I1793" s="416" t="s">
        <v>6771</v>
      </c>
      <c r="J1793" s="416" t="s">
        <v>6831</v>
      </c>
      <c r="K1793" s="3445">
        <v>700000</v>
      </c>
      <c r="L1793" s="4254" t="s">
        <v>126</v>
      </c>
      <c r="M1793" s="3701">
        <v>1</v>
      </c>
      <c r="N1793" s="414" t="s">
        <v>6832</v>
      </c>
      <c r="O1793" s="4289">
        <v>0.2</v>
      </c>
      <c r="P1793" s="4290">
        <f>K1793*O1793</f>
        <v>140000</v>
      </c>
      <c r="Q1793" s="4290">
        <v>140000</v>
      </c>
      <c r="R1793" s="622" t="s">
        <v>4603</v>
      </c>
      <c r="S1793" s="3699">
        <v>45979</v>
      </c>
      <c r="T1793" s="3701">
        <f>Q1793</f>
        <v>140000</v>
      </c>
      <c r="U1793" s="3699">
        <v>45979</v>
      </c>
      <c r="V1793" s="3701">
        <f>T1793</f>
        <v>140000</v>
      </c>
      <c r="W1793" s="3699">
        <v>45981</v>
      </c>
      <c r="X1793" s="4290">
        <f>Q1793</f>
        <v>140000</v>
      </c>
      <c r="Y1793" s="3699">
        <v>45989</v>
      </c>
      <c r="Z1793" s="3701"/>
      <c r="AA1793" s="3701"/>
      <c r="AB1793" s="3701"/>
      <c r="AC1793" s="3701"/>
      <c r="AD1793" s="3701"/>
      <c r="AE1793" s="3701"/>
      <c r="AF1793" s="3701"/>
      <c r="AG1793" s="3701"/>
      <c r="AH1793" s="3701"/>
      <c r="AI1793" s="3701"/>
    </row>
    <row r="1794" s="42" customFormat="1" ht="33" customHeight="1" spans="1:35">
      <c r="A1794" s="399"/>
      <c r="B1794" s="4256"/>
      <c r="C1794" s="401"/>
      <c r="D1794" s="420"/>
      <c r="E1794" s="420"/>
      <c r="F1794" s="414"/>
      <c r="G1794" s="420"/>
      <c r="H1794" s="420"/>
      <c r="I1794" s="420"/>
      <c r="J1794" s="420"/>
      <c r="K1794" s="4282"/>
      <c r="L1794" s="399"/>
      <c r="M1794" s="3701">
        <v>2</v>
      </c>
      <c r="N1794" s="414" t="s">
        <v>6833</v>
      </c>
      <c r="O1794" s="4289">
        <v>0.3</v>
      </c>
      <c r="P1794" s="4290">
        <f>K1793*O1794</f>
        <v>210000</v>
      </c>
      <c r="Q1794" s="4290">
        <v>210000</v>
      </c>
      <c r="R1794" s="622" t="s">
        <v>4603</v>
      </c>
      <c r="S1794" s="3699">
        <v>45979</v>
      </c>
      <c r="T1794" s="3701">
        <f>Q1794</f>
        <v>210000</v>
      </c>
      <c r="U1794" s="3699">
        <v>45979</v>
      </c>
      <c r="V1794" s="3701">
        <f>T1794</f>
        <v>210000</v>
      </c>
      <c r="W1794" s="3699">
        <v>45981</v>
      </c>
      <c r="X1794" s="4290">
        <f>Q1794</f>
        <v>210000</v>
      </c>
      <c r="Y1794" s="3699">
        <v>45989</v>
      </c>
      <c r="Z1794" s="3701"/>
      <c r="AA1794" s="3701"/>
      <c r="AB1794" s="3701"/>
      <c r="AC1794" s="3701"/>
      <c r="AD1794" s="3701"/>
      <c r="AE1794" s="3701"/>
      <c r="AF1794" s="3701"/>
      <c r="AG1794" s="3701"/>
      <c r="AH1794" s="3701"/>
      <c r="AI1794" s="3701"/>
    </row>
    <row r="1795" s="42" customFormat="1" ht="33" customHeight="1" spans="1:35">
      <c r="A1795" s="399"/>
      <c r="B1795" s="4256"/>
      <c r="C1795" s="401"/>
      <c r="D1795" s="420"/>
      <c r="E1795" s="420"/>
      <c r="F1795" s="414"/>
      <c r="G1795" s="420"/>
      <c r="H1795" s="420"/>
      <c r="I1795" s="420"/>
      <c r="J1795" s="420"/>
      <c r="K1795" s="4282"/>
      <c r="L1795" s="399"/>
      <c r="M1795" s="3701">
        <v>3</v>
      </c>
      <c r="N1795" s="414" t="s">
        <v>6834</v>
      </c>
      <c r="O1795" s="4289">
        <v>0.4</v>
      </c>
      <c r="P1795" s="4290">
        <f>K1793*O1795</f>
        <v>280000</v>
      </c>
      <c r="Q1795" s="4301">
        <f>P1795</f>
        <v>280000</v>
      </c>
      <c r="R1795" s="3704" t="s">
        <v>349</v>
      </c>
      <c r="S1795" s="4302">
        <v>46081</v>
      </c>
      <c r="T1795" s="3701"/>
      <c r="U1795" s="3701"/>
      <c r="V1795" s="3701"/>
      <c r="W1795" s="3701"/>
      <c r="X1795" s="4301">
        <f>Q1795</f>
        <v>280000</v>
      </c>
      <c r="Y1795" s="4302">
        <v>46081</v>
      </c>
      <c r="Z1795" s="3701"/>
      <c r="AA1795" s="3701"/>
      <c r="AB1795" s="3701"/>
      <c r="AC1795" s="3701"/>
      <c r="AD1795" s="3701"/>
      <c r="AE1795" s="3701"/>
      <c r="AF1795" s="3701"/>
      <c r="AG1795" s="3701"/>
      <c r="AH1795" s="3701"/>
      <c r="AI1795" s="3701"/>
    </row>
    <row r="1796" s="42" customFormat="1" ht="33" customHeight="1" spans="1:35">
      <c r="A1796" s="4257"/>
      <c r="B1796" s="4258"/>
      <c r="C1796" s="2084"/>
      <c r="D1796" s="420"/>
      <c r="E1796" s="693"/>
      <c r="F1796" s="414"/>
      <c r="G1796" s="693"/>
      <c r="H1796" s="693"/>
      <c r="I1796" s="693"/>
      <c r="J1796" s="693"/>
      <c r="K1796" s="4283"/>
      <c r="L1796" s="4257"/>
      <c r="M1796" s="3701">
        <v>4</v>
      </c>
      <c r="N1796" s="414" t="s">
        <v>6835</v>
      </c>
      <c r="O1796" s="4289">
        <v>0.1</v>
      </c>
      <c r="P1796" s="4290"/>
      <c r="Q1796" s="4301"/>
      <c r="R1796" s="3704"/>
      <c r="S1796" s="3705"/>
      <c r="T1796" s="3701"/>
      <c r="U1796" s="3701"/>
      <c r="V1796" s="3701"/>
      <c r="W1796" s="3701"/>
      <c r="X1796" s="4290"/>
      <c r="Y1796" s="3701"/>
      <c r="Z1796" s="3701"/>
      <c r="AA1796" s="3701"/>
      <c r="AB1796" s="3701"/>
      <c r="AC1796" s="3701"/>
      <c r="AD1796" s="3701"/>
      <c r="AE1796" s="3701"/>
      <c r="AF1796" s="3701"/>
      <c r="AG1796" s="3701"/>
      <c r="AH1796" s="3701"/>
      <c r="AI1796" s="3701"/>
    </row>
    <row r="1797" s="38" customFormat="1" ht="33" customHeight="1" spans="1:35">
      <c r="A1797" s="1793" t="s">
        <v>2570</v>
      </c>
      <c r="B1797" s="4249">
        <v>45960</v>
      </c>
      <c r="C1797" s="4259" t="s">
        <v>4428</v>
      </c>
      <c r="D1797" s="2787"/>
      <c r="E1797" s="1795" t="s">
        <v>6836</v>
      </c>
      <c r="F1797" s="1795" t="s">
        <v>6837</v>
      </c>
      <c r="G1797" s="1795" t="s">
        <v>6056</v>
      </c>
      <c r="H1797" s="1795" t="s">
        <v>6567</v>
      </c>
      <c r="I1797" s="1795" t="s">
        <v>6771</v>
      </c>
      <c r="J1797" s="1795"/>
      <c r="K1797" s="2649">
        <v>358800</v>
      </c>
      <c r="L1797" s="1793" t="s">
        <v>126</v>
      </c>
      <c r="M1797" s="4214">
        <v>1</v>
      </c>
      <c r="N1797" s="1795" t="s">
        <v>6838</v>
      </c>
      <c r="O1797" s="4215">
        <v>0.3</v>
      </c>
      <c r="P1797" s="4217">
        <f>K1797*O1797</f>
        <v>107640</v>
      </c>
      <c r="Q1797" s="4217">
        <v>107640</v>
      </c>
      <c r="R1797" s="4249" t="s">
        <v>4603</v>
      </c>
      <c r="S1797" s="4249">
        <v>45979</v>
      </c>
      <c r="T1797" s="4214">
        <f>Q1797</f>
        <v>107640</v>
      </c>
      <c r="U1797" s="4249">
        <v>45979</v>
      </c>
      <c r="V1797" s="4214">
        <f>T1797</f>
        <v>107640</v>
      </c>
      <c r="W1797" s="4249">
        <v>45980</v>
      </c>
      <c r="X1797" s="4217">
        <f>Q1797</f>
        <v>107640</v>
      </c>
      <c r="Y1797" s="4249">
        <v>45989</v>
      </c>
      <c r="Z1797" s="4214"/>
      <c r="AA1797" s="4214"/>
      <c r="AB1797" s="4214"/>
      <c r="AC1797" s="4214"/>
      <c r="AD1797" s="4214"/>
      <c r="AE1797" s="4214"/>
      <c r="AF1797" s="4214"/>
      <c r="AG1797" s="4214"/>
      <c r="AH1797" s="4214"/>
      <c r="AI1797" s="4214"/>
    </row>
    <row r="1798" s="38" customFormat="1" ht="33" customHeight="1" spans="1:35">
      <c r="A1798" s="1793"/>
      <c r="B1798" s="4249"/>
      <c r="C1798" s="4259"/>
      <c r="D1798" s="2787"/>
      <c r="E1798" s="1795"/>
      <c r="F1798" s="1795"/>
      <c r="G1798" s="1795"/>
      <c r="H1798" s="1795"/>
      <c r="I1798" s="1795"/>
      <c r="J1798" s="1795"/>
      <c r="K1798" s="2649"/>
      <c r="L1798" s="1793"/>
      <c r="M1798" s="4214">
        <v>2</v>
      </c>
      <c r="N1798" s="1795" t="s">
        <v>6839</v>
      </c>
      <c r="O1798" s="4215">
        <v>0.6</v>
      </c>
      <c r="P1798" s="4217">
        <f>K1797*O1798</f>
        <v>215280</v>
      </c>
      <c r="Q1798" s="4217">
        <v>215280</v>
      </c>
      <c r="R1798" s="4249" t="s">
        <v>4603</v>
      </c>
      <c r="S1798" s="4249">
        <v>45979</v>
      </c>
      <c r="T1798" s="4214">
        <f>Q1798</f>
        <v>215280</v>
      </c>
      <c r="U1798" s="4249">
        <v>45979</v>
      </c>
      <c r="V1798" s="4214">
        <f>T1798</f>
        <v>215280</v>
      </c>
      <c r="W1798" s="4249">
        <v>45980</v>
      </c>
      <c r="X1798" s="4217">
        <f>Q1798</f>
        <v>215280</v>
      </c>
      <c r="Y1798" s="4249">
        <v>45989</v>
      </c>
      <c r="Z1798" s="4214"/>
      <c r="AA1798" s="4214"/>
      <c r="AB1798" s="4214"/>
      <c r="AC1798" s="4214"/>
      <c r="AD1798" s="4214"/>
      <c r="AE1798" s="4214"/>
      <c r="AF1798" s="4214"/>
      <c r="AG1798" s="4214"/>
      <c r="AH1798" s="4214"/>
      <c r="AI1798" s="4214"/>
    </row>
    <row r="1799" s="38" customFormat="1" ht="33" customHeight="1" spans="1:35">
      <c r="A1799" s="1793"/>
      <c r="B1799" s="4249"/>
      <c r="C1799" s="4259"/>
      <c r="D1799" s="2787"/>
      <c r="E1799" s="1795"/>
      <c r="F1799" s="1795"/>
      <c r="G1799" s="1795"/>
      <c r="H1799" s="1795"/>
      <c r="I1799" s="1795"/>
      <c r="J1799" s="1795"/>
      <c r="K1799" s="2649"/>
      <c r="L1799" s="1793"/>
      <c r="M1799" s="4214">
        <v>3</v>
      </c>
      <c r="N1799" s="1795" t="s">
        <v>6840</v>
      </c>
      <c r="O1799" s="4215">
        <v>0.1</v>
      </c>
      <c r="P1799" s="4217"/>
      <c r="Q1799" s="4216"/>
      <c r="R1799" s="2657"/>
      <c r="S1799" s="4238"/>
      <c r="T1799" s="4214"/>
      <c r="U1799" s="4214"/>
      <c r="V1799" s="4214"/>
      <c r="W1799" s="4214"/>
      <c r="X1799" s="4217"/>
      <c r="Y1799" s="4214"/>
      <c r="Z1799" s="4214"/>
      <c r="AA1799" s="4214"/>
      <c r="AB1799" s="4214"/>
      <c r="AC1799" s="4214"/>
      <c r="AD1799" s="4214"/>
      <c r="AE1799" s="4214"/>
      <c r="AF1799" s="4214"/>
      <c r="AG1799" s="4214"/>
      <c r="AH1799" s="4214"/>
      <c r="AI1799" s="4214"/>
    </row>
    <row r="1800" s="42" customFormat="1" ht="33" customHeight="1" spans="1:35">
      <c r="A1800" s="4254" t="s">
        <v>2570</v>
      </c>
      <c r="B1800" s="4260">
        <v>45973</v>
      </c>
      <c r="C1800" s="2064" t="s">
        <v>4428</v>
      </c>
      <c r="D1800" s="420"/>
      <c r="E1800" s="416" t="s">
        <v>6841</v>
      </c>
      <c r="F1800" s="420" t="s">
        <v>6842</v>
      </c>
      <c r="G1800" s="420" t="s">
        <v>3465</v>
      </c>
      <c r="H1800" s="416" t="s">
        <v>6843</v>
      </c>
      <c r="I1800" s="2787"/>
      <c r="J1800" s="2787"/>
      <c r="K1800" s="3445">
        <v>346834</v>
      </c>
      <c r="L1800" s="4254" t="s">
        <v>126</v>
      </c>
      <c r="M1800" s="3701">
        <v>1</v>
      </c>
      <c r="N1800" s="414" t="s">
        <v>6844</v>
      </c>
      <c r="O1800" s="4289">
        <v>0.2</v>
      </c>
      <c r="P1800" s="4290">
        <f>K1800*O1800</f>
        <v>69366.8</v>
      </c>
      <c r="Q1800" s="4301">
        <f>P1800</f>
        <v>69366.8</v>
      </c>
      <c r="R1800" s="3704" t="s">
        <v>349</v>
      </c>
      <c r="S1800" s="3705">
        <v>46007</v>
      </c>
      <c r="T1800" s="3701"/>
      <c r="U1800" s="3701"/>
      <c r="V1800" s="3701"/>
      <c r="W1800" s="3701"/>
      <c r="X1800" s="4301">
        <f>Q1800</f>
        <v>69366.8</v>
      </c>
      <c r="Y1800" s="3705">
        <v>46021</v>
      </c>
      <c r="Z1800" s="3701"/>
      <c r="AA1800" s="3701"/>
      <c r="AB1800" s="3701"/>
      <c r="AC1800" s="3701"/>
      <c r="AD1800" s="3701"/>
      <c r="AE1800" s="3701"/>
      <c r="AF1800" s="3701"/>
      <c r="AG1800" s="3701"/>
      <c r="AH1800" s="3701"/>
      <c r="AI1800" s="3701"/>
    </row>
    <row r="1801" s="42" customFormat="1" ht="33" customHeight="1" spans="1:35">
      <c r="A1801" s="399"/>
      <c r="B1801" s="4256"/>
      <c r="C1801" s="401"/>
      <c r="D1801" s="420"/>
      <c r="E1801" s="420"/>
      <c r="F1801" s="420"/>
      <c r="G1801" s="420"/>
      <c r="H1801" s="420"/>
      <c r="I1801" s="2787"/>
      <c r="J1801" s="2787"/>
      <c r="K1801" s="4282"/>
      <c r="L1801" s="399"/>
      <c r="M1801" s="3701">
        <v>2</v>
      </c>
      <c r="N1801" s="414" t="s">
        <v>6845</v>
      </c>
      <c r="O1801" s="4289">
        <v>0.6</v>
      </c>
      <c r="P1801" s="4290">
        <f>K1800*O1801</f>
        <v>208100.4</v>
      </c>
      <c r="Q1801" s="4301">
        <f>P1801</f>
        <v>208100.4</v>
      </c>
      <c r="R1801" s="3704" t="s">
        <v>349</v>
      </c>
      <c r="S1801" s="3705">
        <v>46007</v>
      </c>
      <c r="T1801" s="3701"/>
      <c r="U1801" s="3701"/>
      <c r="V1801" s="3701"/>
      <c r="W1801" s="3701"/>
      <c r="X1801" s="4301">
        <f>Q1801</f>
        <v>208100.4</v>
      </c>
      <c r="Y1801" s="3705">
        <v>46021</v>
      </c>
      <c r="Z1801" s="3701"/>
      <c r="AA1801" s="3701"/>
      <c r="AB1801" s="3701"/>
      <c r="AC1801" s="3701"/>
      <c r="AD1801" s="3701"/>
      <c r="AE1801" s="3701"/>
      <c r="AF1801" s="3701"/>
      <c r="AG1801" s="3701"/>
      <c r="AH1801" s="3701"/>
      <c r="AI1801" s="3701"/>
    </row>
    <row r="1802" s="42" customFormat="1" ht="33" customHeight="1" spans="1:35">
      <c r="A1802" s="399"/>
      <c r="B1802" s="4256"/>
      <c r="C1802" s="401"/>
      <c r="D1802" s="420"/>
      <c r="E1802" s="420"/>
      <c r="F1802" s="420"/>
      <c r="G1802" s="420"/>
      <c r="H1802" s="420"/>
      <c r="I1802" s="2787"/>
      <c r="J1802" s="2787"/>
      <c r="K1802" s="4282"/>
      <c r="L1802" s="399"/>
      <c r="M1802" s="3701">
        <v>3</v>
      </c>
      <c r="N1802" s="414" t="s">
        <v>6846</v>
      </c>
      <c r="O1802" s="4289">
        <v>0.2</v>
      </c>
      <c r="P1802" s="4290"/>
      <c r="Q1802" s="4301"/>
      <c r="R1802" s="3704"/>
      <c r="S1802" s="3705"/>
      <c r="T1802" s="3701"/>
      <c r="U1802" s="3701"/>
      <c r="V1802" s="3701"/>
      <c r="W1802" s="3701"/>
      <c r="X1802" s="4290"/>
      <c r="Y1802" s="3701"/>
      <c r="Z1802" s="3701"/>
      <c r="AA1802" s="3701"/>
      <c r="AB1802" s="3701"/>
      <c r="AC1802" s="3701"/>
      <c r="AD1802" s="3701"/>
      <c r="AE1802" s="3701"/>
      <c r="AF1802" s="3701"/>
      <c r="AG1802" s="3701"/>
      <c r="AH1802" s="3701"/>
      <c r="AI1802" s="3701"/>
    </row>
    <row r="1803" s="43" customFormat="1" ht="33" customHeight="1" spans="1:35">
      <c r="A1803" s="1819" t="s">
        <v>2570</v>
      </c>
      <c r="B1803" s="4261" t="s">
        <v>6847</v>
      </c>
      <c r="C1803" s="1775" t="s">
        <v>4428</v>
      </c>
      <c r="D1803" s="1818"/>
      <c r="E1803" s="1818" t="s">
        <v>6848</v>
      </c>
      <c r="F1803" s="1818"/>
      <c r="G1803" s="1818" t="s">
        <v>6848</v>
      </c>
      <c r="H1803" s="1818"/>
      <c r="I1803" s="2787"/>
      <c r="J1803" s="2787"/>
      <c r="K1803" s="4284">
        <v>150000</v>
      </c>
      <c r="L1803" s="1819" t="s">
        <v>126</v>
      </c>
      <c r="M1803" s="4291">
        <v>1</v>
      </c>
      <c r="N1803" s="1875" t="s">
        <v>240</v>
      </c>
      <c r="O1803" s="4292">
        <v>0.2</v>
      </c>
      <c r="P1803" s="4293">
        <f>K1803*O1803</f>
        <v>30000</v>
      </c>
      <c r="Q1803" s="4303">
        <f t="shared" ref="Q1803:Q1812" si="53">P1803</f>
        <v>30000</v>
      </c>
      <c r="R1803" s="4304" t="s">
        <v>349</v>
      </c>
      <c r="S1803" s="4305">
        <v>46052</v>
      </c>
      <c r="T1803" s="4291"/>
      <c r="U1803" s="4291"/>
      <c r="V1803" s="4291"/>
      <c r="W1803" s="4291"/>
      <c r="X1803" s="4303">
        <f>Q1803</f>
        <v>30000</v>
      </c>
      <c r="Y1803" s="4305">
        <v>46052</v>
      </c>
      <c r="Z1803" s="4291"/>
      <c r="AA1803" s="4291"/>
      <c r="AB1803" s="4291"/>
      <c r="AC1803" s="4291"/>
      <c r="AD1803" s="4291"/>
      <c r="AE1803" s="4291"/>
      <c r="AF1803" s="4291"/>
      <c r="AG1803" s="4291"/>
      <c r="AH1803" s="4291"/>
      <c r="AI1803" s="4291"/>
    </row>
    <row r="1804" s="43" customFormat="1" ht="33" customHeight="1" spans="1:35">
      <c r="A1804" s="1821"/>
      <c r="B1804" s="4262"/>
      <c r="C1804" s="1778"/>
      <c r="D1804" s="1820"/>
      <c r="E1804" s="1820"/>
      <c r="F1804" s="1820"/>
      <c r="G1804" s="1820"/>
      <c r="H1804" s="1820"/>
      <c r="I1804" s="2787"/>
      <c r="J1804" s="2787"/>
      <c r="K1804" s="4285"/>
      <c r="L1804" s="1821"/>
      <c r="M1804" s="4291">
        <v>2</v>
      </c>
      <c r="N1804" s="1875" t="s">
        <v>658</v>
      </c>
      <c r="O1804" s="4292">
        <v>0.6</v>
      </c>
      <c r="P1804" s="4293">
        <f>K1803*O1804</f>
        <v>90000</v>
      </c>
      <c r="Q1804" s="4303">
        <f t="shared" si="53"/>
        <v>90000</v>
      </c>
      <c r="R1804" s="4304" t="s">
        <v>349</v>
      </c>
      <c r="S1804" s="4305">
        <v>46052</v>
      </c>
      <c r="T1804" s="4291"/>
      <c r="U1804" s="4291"/>
      <c r="V1804" s="4291"/>
      <c r="W1804" s="4291"/>
      <c r="X1804" s="4303">
        <f>Q1804</f>
        <v>90000</v>
      </c>
      <c r="Y1804" s="4305">
        <v>46052</v>
      </c>
      <c r="Z1804" s="4291"/>
      <c r="AA1804" s="4291"/>
      <c r="AB1804" s="4291"/>
      <c r="AC1804" s="4291"/>
      <c r="AD1804" s="4291"/>
      <c r="AE1804" s="4291"/>
      <c r="AF1804" s="4291"/>
      <c r="AG1804" s="4291"/>
      <c r="AH1804" s="4291"/>
      <c r="AI1804" s="4291"/>
    </row>
    <row r="1805" s="43" customFormat="1" ht="33" customHeight="1" spans="1:35">
      <c r="A1805" s="1823"/>
      <c r="B1805" s="4263"/>
      <c r="C1805" s="1780"/>
      <c r="D1805" s="1822"/>
      <c r="E1805" s="1822"/>
      <c r="F1805" s="1822"/>
      <c r="G1805" s="1822"/>
      <c r="H1805" s="1822"/>
      <c r="I1805" s="2787"/>
      <c r="J1805" s="2787"/>
      <c r="K1805" s="4286"/>
      <c r="L1805" s="1823"/>
      <c r="M1805" s="4291">
        <v>3</v>
      </c>
      <c r="N1805" s="1875" t="s">
        <v>6849</v>
      </c>
      <c r="O1805" s="4292">
        <v>0.2</v>
      </c>
      <c r="P1805" s="4293">
        <f>K1803*O1805</f>
        <v>30000</v>
      </c>
      <c r="Q1805" s="4303">
        <f t="shared" si="53"/>
        <v>30000</v>
      </c>
      <c r="R1805" s="4304"/>
      <c r="S1805" s="4305"/>
      <c r="T1805" s="4291"/>
      <c r="U1805" s="4291"/>
      <c r="V1805" s="4291"/>
      <c r="W1805" s="4291"/>
      <c r="X1805" s="4291"/>
      <c r="Y1805" s="4291"/>
      <c r="Z1805" s="4291"/>
      <c r="AA1805" s="4291"/>
      <c r="AB1805" s="4291"/>
      <c r="AC1805" s="4291"/>
      <c r="AD1805" s="4291"/>
      <c r="AE1805" s="4291"/>
      <c r="AF1805" s="4291"/>
      <c r="AG1805" s="4291"/>
      <c r="AH1805" s="4291"/>
      <c r="AI1805" s="4291"/>
    </row>
    <row r="1806" s="43" customFormat="1" ht="33" customHeight="1" spans="1:35">
      <c r="A1806" s="1819" t="s">
        <v>2570</v>
      </c>
      <c r="B1806" s="4264"/>
      <c r="C1806" s="1775" t="s">
        <v>4428</v>
      </c>
      <c r="D1806" s="1818"/>
      <c r="E1806" s="1818" t="s">
        <v>6850</v>
      </c>
      <c r="F1806" s="1818"/>
      <c r="G1806" s="1818" t="s">
        <v>6850</v>
      </c>
      <c r="H1806" s="1818"/>
      <c r="I1806" s="2787"/>
      <c r="J1806" s="2787"/>
      <c r="K1806" s="4284">
        <v>380491.76</v>
      </c>
      <c r="L1806" s="1819" t="s">
        <v>126</v>
      </c>
      <c r="M1806" s="4291">
        <v>1</v>
      </c>
      <c r="N1806" s="1875" t="s">
        <v>6851</v>
      </c>
      <c r="O1806" s="4292">
        <v>0.2</v>
      </c>
      <c r="P1806" s="4293">
        <f>K1806*O1806</f>
        <v>76098.352</v>
      </c>
      <c r="Q1806" s="4303">
        <f t="shared" si="53"/>
        <v>76098.352</v>
      </c>
      <c r="R1806" s="4304" t="s">
        <v>349</v>
      </c>
      <c r="S1806" s="4305">
        <v>46052</v>
      </c>
      <c r="T1806" s="4291"/>
      <c r="U1806" s="4291"/>
      <c r="V1806" s="4291"/>
      <c r="W1806" s="4291"/>
      <c r="X1806" s="4303">
        <f>Q1806</f>
        <v>76098.352</v>
      </c>
      <c r="Y1806" s="4305">
        <v>46052</v>
      </c>
      <c r="Z1806" s="4291"/>
      <c r="AA1806" s="4291"/>
      <c r="AB1806" s="4291"/>
      <c r="AC1806" s="4291"/>
      <c r="AD1806" s="4291"/>
      <c r="AE1806" s="4291"/>
      <c r="AF1806" s="4291"/>
      <c r="AG1806" s="4291"/>
      <c r="AH1806" s="4291"/>
      <c r="AI1806" s="4291"/>
    </row>
    <row r="1807" s="43" customFormat="1" ht="33" customHeight="1" spans="1:35">
      <c r="A1807" s="1821"/>
      <c r="B1807" s="4262"/>
      <c r="C1807" s="1778"/>
      <c r="D1807" s="1820"/>
      <c r="E1807" s="1820"/>
      <c r="F1807" s="1820"/>
      <c r="G1807" s="1820"/>
      <c r="H1807" s="1820"/>
      <c r="I1807" s="2787"/>
      <c r="J1807" s="2787"/>
      <c r="K1807" s="4285"/>
      <c r="L1807" s="1821"/>
      <c r="M1807" s="4291">
        <v>2</v>
      </c>
      <c r="N1807" s="1875" t="s">
        <v>6852</v>
      </c>
      <c r="O1807" s="4292">
        <v>0.6</v>
      </c>
      <c r="P1807" s="4293">
        <f>K1806*O1807</f>
        <v>228295.056</v>
      </c>
      <c r="Q1807" s="4303">
        <f t="shared" si="53"/>
        <v>228295.056</v>
      </c>
      <c r="R1807" s="4304" t="s">
        <v>349</v>
      </c>
      <c r="S1807" s="4305">
        <v>46052</v>
      </c>
      <c r="T1807" s="4291"/>
      <c r="U1807" s="4291"/>
      <c r="V1807" s="4291"/>
      <c r="W1807" s="4291"/>
      <c r="X1807" s="4303">
        <f>Q1807</f>
        <v>228295.056</v>
      </c>
      <c r="Y1807" s="4305">
        <v>46052</v>
      </c>
      <c r="Z1807" s="4291"/>
      <c r="AA1807" s="4291"/>
      <c r="AB1807" s="4291"/>
      <c r="AC1807" s="4291"/>
      <c r="AD1807" s="4291"/>
      <c r="AE1807" s="4291"/>
      <c r="AF1807" s="4291"/>
      <c r="AG1807" s="4291"/>
      <c r="AH1807" s="4291"/>
      <c r="AI1807" s="4291"/>
    </row>
    <row r="1808" s="43" customFormat="1" ht="33" customHeight="1" spans="1:35">
      <c r="A1808" s="1823"/>
      <c r="B1808" s="4263"/>
      <c r="C1808" s="1780"/>
      <c r="D1808" s="1822"/>
      <c r="E1808" s="1822"/>
      <c r="F1808" s="1822"/>
      <c r="G1808" s="1822"/>
      <c r="H1808" s="1822"/>
      <c r="I1808" s="2787"/>
      <c r="J1808" s="2787"/>
      <c r="K1808" s="4286"/>
      <c r="L1808" s="1823"/>
      <c r="M1808" s="4291">
        <v>3</v>
      </c>
      <c r="N1808" s="1875" t="s">
        <v>6849</v>
      </c>
      <c r="O1808" s="4292">
        <v>0.2</v>
      </c>
      <c r="P1808" s="4293">
        <f>K1806*O1808</f>
        <v>76098.352</v>
      </c>
      <c r="Q1808" s="4303">
        <f t="shared" si="53"/>
        <v>76098.352</v>
      </c>
      <c r="R1808" s="4304"/>
      <c r="S1808" s="4305"/>
      <c r="T1808" s="4291"/>
      <c r="U1808" s="4291"/>
      <c r="V1808" s="4291"/>
      <c r="W1808" s="4291"/>
      <c r="X1808" s="4291"/>
      <c r="Y1808" s="4291"/>
      <c r="Z1808" s="4291"/>
      <c r="AA1808" s="4291"/>
      <c r="AB1808" s="4291"/>
      <c r="AC1808" s="4291"/>
      <c r="AD1808" s="4291"/>
      <c r="AE1808" s="4291"/>
      <c r="AF1808" s="4291"/>
      <c r="AG1808" s="4291"/>
      <c r="AH1808" s="4291"/>
      <c r="AI1808" s="4291"/>
    </row>
    <row r="1809" s="35" customFormat="1" ht="33" customHeight="1" spans="1:35">
      <c r="A1809" s="2907" t="s">
        <v>2570</v>
      </c>
      <c r="B1809" s="3997">
        <v>45876</v>
      </c>
      <c r="C1809" s="2872" t="s">
        <v>4428</v>
      </c>
      <c r="D1809" s="683"/>
      <c r="E1809" s="683" t="s">
        <v>6853</v>
      </c>
      <c r="F1809" s="683" t="s">
        <v>6854</v>
      </c>
      <c r="G1809" s="683" t="s">
        <v>6855</v>
      </c>
      <c r="H1809" s="683" t="s">
        <v>5093</v>
      </c>
      <c r="I1809" s="683">
        <v>2000</v>
      </c>
      <c r="J1809" s="683" t="s">
        <v>6856</v>
      </c>
      <c r="K1809" s="4198">
        <v>2300000</v>
      </c>
      <c r="L1809" s="2907" t="s">
        <v>126</v>
      </c>
      <c r="M1809" s="4294">
        <v>1</v>
      </c>
      <c r="N1809" s="3339" t="s">
        <v>5801</v>
      </c>
      <c r="O1809" s="4295">
        <v>0.15</v>
      </c>
      <c r="P1809" s="4296">
        <f>K1809*O1809</f>
        <v>345000</v>
      </c>
      <c r="Q1809" s="4296">
        <f t="shared" si="53"/>
        <v>345000</v>
      </c>
      <c r="R1809" s="2909" t="s">
        <v>4603</v>
      </c>
      <c r="S1809" s="3999">
        <v>45896</v>
      </c>
      <c r="T1809" s="4296">
        <f>Q1809</f>
        <v>345000</v>
      </c>
      <c r="U1809" s="3999">
        <v>45896</v>
      </c>
      <c r="V1809" s="4296">
        <f>Q1809</f>
        <v>345000</v>
      </c>
      <c r="W1809" s="3999">
        <v>45908</v>
      </c>
      <c r="X1809" s="4296">
        <f>V1809</f>
        <v>345000</v>
      </c>
      <c r="Y1809" s="3999">
        <v>45919</v>
      </c>
      <c r="Z1809" s="3996"/>
      <c r="AA1809" s="3996"/>
      <c r="AB1809" s="4294"/>
      <c r="AC1809" s="4294"/>
      <c r="AD1809" s="3996"/>
      <c r="AE1809" s="3996"/>
      <c r="AF1809" s="3996"/>
      <c r="AG1809" s="3996"/>
      <c r="AH1809" s="3996"/>
      <c r="AI1809" s="3996"/>
    </row>
    <row r="1810" s="35" customFormat="1" ht="33" customHeight="1" spans="1:35">
      <c r="A1810" s="2907"/>
      <c r="B1810" s="3997"/>
      <c r="C1810" s="2872"/>
      <c r="D1810" s="683"/>
      <c r="E1810" s="683"/>
      <c r="F1810" s="683"/>
      <c r="G1810" s="683"/>
      <c r="H1810" s="683"/>
      <c r="I1810" s="683"/>
      <c r="J1810" s="683"/>
      <c r="K1810" s="4198"/>
      <c r="L1810" s="2907"/>
      <c r="M1810" s="4053">
        <v>2</v>
      </c>
      <c r="N1810" s="742" t="s">
        <v>6857</v>
      </c>
      <c r="O1810" s="4207">
        <v>0.25</v>
      </c>
      <c r="P1810" s="4208">
        <f>K1809*O1810</f>
        <v>575000</v>
      </c>
      <c r="Q1810" s="4208">
        <f t="shared" si="53"/>
        <v>575000</v>
      </c>
      <c r="R1810" s="745" t="s">
        <v>4603</v>
      </c>
      <c r="S1810" s="4061">
        <v>45896</v>
      </c>
      <c r="T1810" s="4296">
        <f>Q1810</f>
        <v>575000</v>
      </c>
      <c r="U1810" s="4061">
        <v>45896</v>
      </c>
      <c r="V1810" s="4296">
        <f>Q1810</f>
        <v>575000</v>
      </c>
      <c r="W1810" s="4061">
        <v>45908</v>
      </c>
      <c r="X1810" s="4296">
        <f>V1810</f>
        <v>575000</v>
      </c>
      <c r="Y1810" s="4061">
        <v>45919</v>
      </c>
      <c r="Z1810" s="3995"/>
      <c r="AA1810" s="3995"/>
      <c r="AB1810" s="4053"/>
      <c r="AC1810" s="4053"/>
      <c r="AD1810" s="3995"/>
      <c r="AE1810" s="3995"/>
      <c r="AF1810" s="3995"/>
      <c r="AG1810" s="3995"/>
      <c r="AH1810" s="3995"/>
      <c r="AI1810" s="3995"/>
    </row>
    <row r="1811" s="35" customFormat="1" ht="33" customHeight="1" spans="1:35">
      <c r="A1811" s="2907"/>
      <c r="B1811" s="3997"/>
      <c r="C1811" s="2872"/>
      <c r="D1811" s="683"/>
      <c r="E1811" s="683"/>
      <c r="F1811" s="683"/>
      <c r="G1811" s="683"/>
      <c r="H1811" s="683"/>
      <c r="I1811" s="683"/>
      <c r="J1811" s="683"/>
      <c r="K1811" s="4198"/>
      <c r="L1811" s="2907"/>
      <c r="M1811" s="4053">
        <v>3</v>
      </c>
      <c r="N1811" s="742" t="s">
        <v>6858</v>
      </c>
      <c r="O1811" s="4207">
        <v>0.2</v>
      </c>
      <c r="P1811" s="4208">
        <f>K1809*O1811</f>
        <v>460000</v>
      </c>
      <c r="Q1811" s="4208">
        <f t="shared" si="53"/>
        <v>460000</v>
      </c>
      <c r="R1811" s="745" t="s">
        <v>4603</v>
      </c>
      <c r="S1811" s="4061">
        <v>45896</v>
      </c>
      <c r="T1811" s="4296">
        <f>Q1811</f>
        <v>460000</v>
      </c>
      <c r="U1811" s="4061">
        <v>45896</v>
      </c>
      <c r="V1811" s="4296">
        <f>Q1811</f>
        <v>460000</v>
      </c>
      <c r="W1811" s="4061">
        <v>45908</v>
      </c>
      <c r="X1811" s="4296">
        <f>V1811</f>
        <v>460000</v>
      </c>
      <c r="Y1811" s="4061">
        <v>45919</v>
      </c>
      <c r="Z1811" s="3995"/>
      <c r="AA1811" s="3995"/>
      <c r="AB1811" s="4053"/>
      <c r="AC1811" s="4053"/>
      <c r="AD1811" s="3995"/>
      <c r="AE1811" s="3995"/>
      <c r="AF1811" s="3995"/>
      <c r="AG1811" s="3995"/>
      <c r="AH1811" s="3995"/>
      <c r="AI1811" s="3995"/>
    </row>
    <row r="1812" s="35" customFormat="1" ht="33" customHeight="1" spans="1:35">
      <c r="A1812" s="2907"/>
      <c r="B1812" s="3997"/>
      <c r="C1812" s="2872"/>
      <c r="D1812" s="683"/>
      <c r="E1812" s="683"/>
      <c r="F1812" s="683"/>
      <c r="G1812" s="683"/>
      <c r="H1812" s="683"/>
      <c r="I1812" s="683"/>
      <c r="J1812" s="683"/>
      <c r="K1812" s="4198"/>
      <c r="L1812" s="2907"/>
      <c r="M1812" s="4053">
        <v>4</v>
      </c>
      <c r="N1812" s="742" t="s">
        <v>6859</v>
      </c>
      <c r="O1812" s="4207">
        <v>0.25</v>
      </c>
      <c r="P1812" s="4208">
        <f>K1809*O1812</f>
        <v>575000</v>
      </c>
      <c r="Q1812" s="4208">
        <f t="shared" si="53"/>
        <v>575000</v>
      </c>
      <c r="R1812" s="745" t="s">
        <v>4603</v>
      </c>
      <c r="S1812" s="4061">
        <v>45896</v>
      </c>
      <c r="T1812" s="4296">
        <f>Q1812</f>
        <v>575000</v>
      </c>
      <c r="U1812" s="4061">
        <v>45896</v>
      </c>
      <c r="V1812" s="4296">
        <f>Q1812</f>
        <v>575000</v>
      </c>
      <c r="W1812" s="4061">
        <v>45908</v>
      </c>
      <c r="X1812" s="4296">
        <f>V1812</f>
        <v>575000</v>
      </c>
      <c r="Y1812" s="4061">
        <v>45919</v>
      </c>
      <c r="Z1812" s="3995"/>
      <c r="AA1812" s="3995"/>
      <c r="AB1812" s="4053"/>
      <c r="AC1812" s="4053"/>
      <c r="AD1812" s="3995"/>
      <c r="AE1812" s="3995"/>
      <c r="AF1812" s="3995"/>
      <c r="AG1812" s="3995"/>
      <c r="AH1812" s="3995"/>
      <c r="AI1812" s="3995"/>
    </row>
    <row r="1813" s="35" customFormat="1" ht="33" customHeight="1" spans="1:35">
      <c r="A1813" s="2907"/>
      <c r="B1813" s="3997"/>
      <c r="C1813" s="2872"/>
      <c r="D1813" s="683"/>
      <c r="E1813" s="683"/>
      <c r="F1813" s="683"/>
      <c r="G1813" s="683"/>
      <c r="H1813" s="683"/>
      <c r="I1813" s="683"/>
      <c r="J1813" s="683"/>
      <c r="K1813" s="4198"/>
      <c r="L1813" s="2907"/>
      <c r="M1813" s="4053">
        <v>5</v>
      </c>
      <c r="N1813" s="742" t="s">
        <v>6860</v>
      </c>
      <c r="O1813" s="4207">
        <v>0.05</v>
      </c>
      <c r="P1813" s="4208">
        <f>K1809*O1813</f>
        <v>115000</v>
      </c>
      <c r="Q1813" s="4232"/>
      <c r="R1813" s="821"/>
      <c r="S1813" s="4063"/>
      <c r="T1813" s="4053"/>
      <c r="U1813" s="4053"/>
      <c r="V1813" s="4053"/>
      <c r="W1813" s="4053"/>
      <c r="X1813" s="4053"/>
      <c r="Y1813" s="4053"/>
      <c r="Z1813" s="3995"/>
      <c r="AA1813" s="3995"/>
      <c r="AB1813" s="4053"/>
      <c r="AC1813" s="4053"/>
      <c r="AD1813" s="3995"/>
      <c r="AE1813" s="3995"/>
      <c r="AF1813" s="3995"/>
      <c r="AG1813" s="3995"/>
      <c r="AH1813" s="3995"/>
      <c r="AI1813" s="3995"/>
    </row>
    <row r="1814" s="35" customFormat="1" ht="33" customHeight="1" spans="1:35">
      <c r="A1814" s="2907"/>
      <c r="B1814" s="3997"/>
      <c r="C1814" s="2872"/>
      <c r="D1814" s="683"/>
      <c r="E1814" s="683"/>
      <c r="F1814" s="683"/>
      <c r="G1814" s="683"/>
      <c r="H1814" s="683"/>
      <c r="I1814" s="683"/>
      <c r="J1814" s="683"/>
      <c r="K1814" s="4198"/>
      <c r="L1814" s="2907"/>
      <c r="M1814" s="4053">
        <v>6</v>
      </c>
      <c r="N1814" s="742" t="s">
        <v>3356</v>
      </c>
      <c r="O1814" s="4207">
        <v>0.1</v>
      </c>
      <c r="P1814" s="4208">
        <f>K1809*O1814</f>
        <v>230000</v>
      </c>
      <c r="Q1814" s="4232"/>
      <c r="R1814" s="821"/>
      <c r="S1814" s="4063"/>
      <c r="T1814" s="4053"/>
      <c r="U1814" s="4053"/>
      <c r="V1814" s="4053"/>
      <c r="W1814" s="4053"/>
      <c r="X1814" s="4053"/>
      <c r="Y1814" s="4053"/>
      <c r="Z1814" s="3995"/>
      <c r="AA1814" s="3995"/>
      <c r="AB1814" s="4053"/>
      <c r="AC1814" s="4053"/>
      <c r="AD1814" s="3995"/>
      <c r="AE1814" s="3995"/>
      <c r="AF1814" s="3995"/>
      <c r="AG1814" s="3995"/>
      <c r="AH1814" s="3995"/>
      <c r="AI1814" s="3995"/>
    </row>
    <row r="1815" s="32" customFormat="1" ht="33" customHeight="1" spans="1:35">
      <c r="A1815" s="3967" t="s">
        <v>2570</v>
      </c>
      <c r="B1815" s="4145">
        <v>44911</v>
      </c>
      <c r="C1815" s="4265" t="s">
        <v>6861</v>
      </c>
      <c r="D1815" s="4144"/>
      <c r="E1815" s="4010" t="s">
        <v>6862</v>
      </c>
      <c r="F1815" s="4010" t="s">
        <v>6863</v>
      </c>
      <c r="G1815" s="4010" t="s">
        <v>240</v>
      </c>
      <c r="H1815" s="4010" t="s">
        <v>6864</v>
      </c>
      <c r="I1815" s="4010" t="s">
        <v>6865</v>
      </c>
      <c r="J1815" s="4010" t="s">
        <v>6866</v>
      </c>
      <c r="K1815" s="4199">
        <v>2826052.8</v>
      </c>
      <c r="L1815" s="3967" t="s">
        <v>126</v>
      </c>
      <c r="M1815" s="4011">
        <v>1</v>
      </c>
      <c r="N1815" s="2618" t="s">
        <v>4221</v>
      </c>
      <c r="O1815" s="4209">
        <v>0.2</v>
      </c>
      <c r="P1815" s="4210">
        <f>K1815*O1815</f>
        <v>565210.56</v>
      </c>
      <c r="Q1815" s="4105">
        <f>P1815</f>
        <v>565210.56</v>
      </c>
      <c r="R1815" s="4189" t="s">
        <v>4603</v>
      </c>
      <c r="S1815" s="4106">
        <v>44918</v>
      </c>
      <c r="T1815" s="4105">
        <v>565210.56</v>
      </c>
      <c r="U1815" s="4106">
        <v>44918</v>
      </c>
      <c r="V1815" s="4105">
        <v>565210.56</v>
      </c>
      <c r="W1815" s="4106">
        <v>44931</v>
      </c>
      <c r="X1815" s="4105">
        <v>565210.56</v>
      </c>
      <c r="Y1815" s="4106">
        <v>44944</v>
      </c>
      <c r="Z1815" s="4144"/>
      <c r="AA1815" s="4144"/>
      <c r="AB1815" s="4105"/>
      <c r="AC1815" s="4105"/>
      <c r="AD1815" s="4144"/>
      <c r="AE1815" s="4144"/>
      <c r="AF1815" s="4144"/>
      <c r="AG1815" s="4144"/>
      <c r="AH1815" s="4144"/>
      <c r="AI1815" s="4144"/>
    </row>
    <row r="1816" s="32" customFormat="1" ht="33" customHeight="1" spans="1:35">
      <c r="A1816" s="4084"/>
      <c r="B1816" s="4158"/>
      <c r="C1816" s="4266"/>
      <c r="D1816" s="4157"/>
      <c r="E1816" s="4086"/>
      <c r="F1816" s="4086"/>
      <c r="G1816" s="4273"/>
      <c r="H1816" s="4086"/>
      <c r="I1816" s="4157"/>
      <c r="J1816" s="4273"/>
      <c r="K1816" s="4287"/>
      <c r="L1816" s="4157"/>
      <c r="M1816" s="4011">
        <v>2</v>
      </c>
      <c r="N1816" s="2618" t="s">
        <v>4222</v>
      </c>
      <c r="O1816" s="4209">
        <v>0.2</v>
      </c>
      <c r="P1816" s="4210">
        <f>K1815*O1816</f>
        <v>565210.56</v>
      </c>
      <c r="Q1816" s="4105">
        <v>565210.56</v>
      </c>
      <c r="R1816" s="4189" t="s">
        <v>4603</v>
      </c>
      <c r="S1816" s="4106">
        <v>44918</v>
      </c>
      <c r="T1816" s="4105">
        <v>565210.56</v>
      </c>
      <c r="U1816" s="4106">
        <v>44918</v>
      </c>
      <c r="V1816" s="4105">
        <v>565210.56</v>
      </c>
      <c r="W1816" s="4106">
        <v>44931</v>
      </c>
      <c r="X1816" s="4105">
        <v>565210.56</v>
      </c>
      <c r="Y1816" s="4106">
        <v>44944</v>
      </c>
      <c r="Z1816" s="4144"/>
      <c r="AA1816" s="4144"/>
      <c r="AB1816" s="4105"/>
      <c r="AC1816" s="4105"/>
      <c r="AD1816" s="4144"/>
      <c r="AE1816" s="4144"/>
      <c r="AF1816" s="4144"/>
      <c r="AG1816" s="4144"/>
      <c r="AH1816" s="4144"/>
      <c r="AI1816" s="4144"/>
    </row>
    <row r="1817" s="32" customFormat="1" ht="33" customHeight="1" spans="1:35">
      <c r="A1817" s="4084"/>
      <c r="B1817" s="4158"/>
      <c r="C1817" s="4266"/>
      <c r="D1817" s="4157"/>
      <c r="E1817" s="4086"/>
      <c r="F1817" s="4086"/>
      <c r="G1817" s="4273"/>
      <c r="H1817" s="4086"/>
      <c r="I1817" s="4157"/>
      <c r="J1817" s="4273"/>
      <c r="K1817" s="4287"/>
      <c r="L1817" s="4157"/>
      <c r="M1817" s="4011">
        <v>3</v>
      </c>
      <c r="N1817" s="2618" t="s">
        <v>4223</v>
      </c>
      <c r="O1817" s="4209">
        <v>0.4</v>
      </c>
      <c r="P1817" s="4210">
        <f>K1815*O1817</f>
        <v>1130421.12</v>
      </c>
      <c r="Q1817" s="4105">
        <v>1130421.12</v>
      </c>
      <c r="R1817" s="4189" t="s">
        <v>4603</v>
      </c>
      <c r="S1817" s="4106">
        <v>44918</v>
      </c>
      <c r="T1817" s="4105">
        <v>1130421.12</v>
      </c>
      <c r="U1817" s="4106">
        <v>44918</v>
      </c>
      <c r="V1817" s="4105">
        <v>1130421.12</v>
      </c>
      <c r="W1817" s="4106">
        <v>44931</v>
      </c>
      <c r="X1817" s="4105">
        <v>1130421.12</v>
      </c>
      <c r="Y1817" s="4106">
        <v>44944</v>
      </c>
      <c r="Z1817" s="4144"/>
      <c r="AA1817" s="4144"/>
      <c r="AB1817" s="4105"/>
      <c r="AC1817" s="4105"/>
      <c r="AD1817" s="4144"/>
      <c r="AE1817" s="4144"/>
      <c r="AF1817" s="4144"/>
      <c r="AG1817" s="4144"/>
      <c r="AH1817" s="4144"/>
      <c r="AI1817" s="4144"/>
    </row>
    <row r="1818" s="32" customFormat="1" ht="33" customHeight="1" spans="1:35">
      <c r="A1818" s="4084"/>
      <c r="B1818" s="4158"/>
      <c r="C1818" s="4266"/>
      <c r="D1818" s="4157"/>
      <c r="E1818" s="4086"/>
      <c r="F1818" s="4086"/>
      <c r="G1818" s="4273"/>
      <c r="H1818" s="4086"/>
      <c r="I1818" s="4157"/>
      <c r="J1818" s="4273"/>
      <c r="K1818" s="4287"/>
      <c r="L1818" s="4157"/>
      <c r="M1818" s="4010">
        <v>4</v>
      </c>
      <c r="N1818" s="705" t="s">
        <v>6867</v>
      </c>
      <c r="O1818" s="4209">
        <v>0.1</v>
      </c>
      <c r="P1818" s="4210">
        <f>K1815*O1818</f>
        <v>282605.28</v>
      </c>
      <c r="Q1818" s="4105">
        <v>282605.28</v>
      </c>
      <c r="R1818" s="4189" t="s">
        <v>4603</v>
      </c>
      <c r="S1818" s="4106">
        <v>44918</v>
      </c>
      <c r="T1818" s="4105">
        <v>282605.28</v>
      </c>
      <c r="U1818" s="4106">
        <v>44918</v>
      </c>
      <c r="V1818" s="4105">
        <v>282605.28</v>
      </c>
      <c r="W1818" s="4106">
        <v>45978</v>
      </c>
      <c r="X1818" s="4307">
        <v>282605.28</v>
      </c>
      <c r="Y1818" s="4234">
        <v>46021</v>
      </c>
      <c r="Z1818" s="4144"/>
      <c r="AA1818" s="4144"/>
      <c r="AB1818" s="4105"/>
      <c r="AC1818" s="4105"/>
      <c r="AD1818" s="4144"/>
      <c r="AE1818" s="4144"/>
      <c r="AF1818" s="4144"/>
      <c r="AG1818" s="4144"/>
      <c r="AH1818" s="4144"/>
      <c r="AI1818" s="4144"/>
    </row>
    <row r="1819" s="32" customFormat="1" ht="33" customHeight="1" spans="1:35">
      <c r="A1819" s="4084"/>
      <c r="B1819" s="4158"/>
      <c r="C1819" s="4266"/>
      <c r="D1819" s="4157"/>
      <c r="E1819" s="4086"/>
      <c r="F1819" s="4086"/>
      <c r="G1819" s="4273"/>
      <c r="H1819" s="4086"/>
      <c r="I1819" s="4157"/>
      <c r="J1819" s="4273"/>
      <c r="K1819" s="4287"/>
      <c r="L1819" s="4157"/>
      <c r="M1819" s="684"/>
      <c r="N1819" s="3541"/>
      <c r="O1819" s="4209">
        <v>0.05</v>
      </c>
      <c r="P1819" s="4210">
        <f>K1815*O1819</f>
        <v>141302.64</v>
      </c>
      <c r="Q1819" s="4105">
        <v>141302.64</v>
      </c>
      <c r="R1819" s="4189" t="s">
        <v>4603</v>
      </c>
      <c r="S1819" s="4106">
        <v>45279</v>
      </c>
      <c r="T1819" s="4105">
        <v>141302.64</v>
      </c>
      <c r="U1819" s="4106">
        <v>45279</v>
      </c>
      <c r="V1819" s="4105">
        <v>141302.64</v>
      </c>
      <c r="W1819" s="4106">
        <v>45978</v>
      </c>
      <c r="X1819" s="4307">
        <v>141302.64</v>
      </c>
      <c r="Y1819" s="4234">
        <v>46021</v>
      </c>
      <c r="Z1819" s="4144"/>
      <c r="AA1819" s="4144"/>
      <c r="AB1819" s="4105"/>
      <c r="AC1819" s="4105"/>
      <c r="AD1819" s="4144"/>
      <c r="AE1819" s="4144"/>
      <c r="AF1819" s="4144"/>
      <c r="AG1819" s="4144"/>
      <c r="AH1819" s="4144"/>
      <c r="AI1819" s="4144"/>
    </row>
    <row r="1820" s="32" customFormat="1" ht="33" customHeight="1" spans="1:35">
      <c r="A1820" s="658"/>
      <c r="B1820" s="4147"/>
      <c r="C1820" s="660"/>
      <c r="D1820" s="4146"/>
      <c r="E1820" s="684"/>
      <c r="F1820" s="684"/>
      <c r="G1820" s="4276"/>
      <c r="H1820" s="4086"/>
      <c r="I1820" s="4146"/>
      <c r="J1820" s="4276"/>
      <c r="K1820" s="4288"/>
      <c r="L1820" s="4146"/>
      <c r="M1820" s="4011">
        <v>5</v>
      </c>
      <c r="N1820" s="2618" t="s">
        <v>6868</v>
      </c>
      <c r="O1820" s="4209">
        <v>0.05</v>
      </c>
      <c r="P1820" s="4210">
        <f>K1815*O1820</f>
        <v>141302.64</v>
      </c>
      <c r="Q1820" s="4105">
        <v>56092.08</v>
      </c>
      <c r="R1820" s="4189" t="s">
        <v>4603</v>
      </c>
      <c r="S1820" s="4106">
        <v>45960</v>
      </c>
      <c r="T1820" s="4105">
        <v>56092.08</v>
      </c>
      <c r="U1820" s="4106">
        <v>45960</v>
      </c>
      <c r="V1820" s="4105">
        <v>56092.08</v>
      </c>
      <c r="W1820" s="4106">
        <v>45978</v>
      </c>
      <c r="X1820" s="4307">
        <v>56092.08</v>
      </c>
      <c r="Y1820" s="4234">
        <v>46021</v>
      </c>
      <c r="Z1820" s="4144"/>
      <c r="AA1820" s="4144"/>
      <c r="AB1820" s="4105"/>
      <c r="AC1820" s="4105"/>
      <c r="AD1820" s="4144"/>
      <c r="AE1820" s="4144"/>
      <c r="AF1820" s="4144"/>
      <c r="AG1820" s="4144"/>
      <c r="AH1820" s="4144"/>
      <c r="AI1820" s="4144"/>
    </row>
    <row r="1821" s="32" customFormat="1" ht="33" customHeight="1" spans="1:35">
      <c r="A1821" s="3967" t="s">
        <v>2570</v>
      </c>
      <c r="B1821" s="4145">
        <v>44915</v>
      </c>
      <c r="C1821" s="4265" t="s">
        <v>6861</v>
      </c>
      <c r="D1821" s="4144"/>
      <c r="E1821" s="4010" t="s">
        <v>6869</v>
      </c>
      <c r="F1821" s="4010" t="s">
        <v>6870</v>
      </c>
      <c r="G1821" s="4010" t="s">
        <v>658</v>
      </c>
      <c r="H1821" s="4010" t="s">
        <v>6063</v>
      </c>
      <c r="I1821" s="4144"/>
      <c r="J1821" s="4010" t="s">
        <v>2887</v>
      </c>
      <c r="K1821" s="4199">
        <v>3090000</v>
      </c>
      <c r="L1821" s="3967" t="s">
        <v>126</v>
      </c>
      <c r="M1821" s="4011">
        <v>1</v>
      </c>
      <c r="N1821" s="2618" t="s">
        <v>4228</v>
      </c>
      <c r="O1821" s="4209">
        <v>0.2</v>
      </c>
      <c r="P1821" s="4210">
        <f>K1821*O1821</f>
        <v>618000</v>
      </c>
      <c r="Q1821" s="4105">
        <v>618000</v>
      </c>
      <c r="R1821" s="4189" t="s">
        <v>4603</v>
      </c>
      <c r="S1821" s="4106">
        <v>44923</v>
      </c>
      <c r="T1821" s="4105">
        <v>618000</v>
      </c>
      <c r="U1821" s="4106">
        <v>44923</v>
      </c>
      <c r="V1821" s="4105">
        <v>618000</v>
      </c>
      <c r="W1821" s="4106">
        <v>44931</v>
      </c>
      <c r="X1821" s="4105">
        <v>618000</v>
      </c>
      <c r="Y1821" s="4106">
        <v>44944</v>
      </c>
      <c r="Z1821" s="4144"/>
      <c r="AA1821" s="4144"/>
      <c r="AB1821" s="4105"/>
      <c r="AC1821" s="4105"/>
      <c r="AD1821" s="4144"/>
      <c r="AE1821" s="4144"/>
      <c r="AF1821" s="4144"/>
      <c r="AG1821" s="4144"/>
      <c r="AH1821" s="4144"/>
      <c r="AI1821" s="4144"/>
    </row>
    <row r="1822" s="32" customFormat="1" ht="33" customHeight="1" spans="1:35">
      <c r="A1822" s="4084"/>
      <c r="B1822" s="4158"/>
      <c r="C1822" s="4266"/>
      <c r="D1822" s="4157"/>
      <c r="E1822" s="4086"/>
      <c r="F1822" s="4086"/>
      <c r="G1822" s="4273"/>
      <c r="H1822" s="4086"/>
      <c r="I1822" s="4157"/>
      <c r="J1822" s="4086"/>
      <c r="K1822" s="4287"/>
      <c r="L1822" s="4084"/>
      <c r="M1822" s="4011">
        <v>2</v>
      </c>
      <c r="N1822" s="2618" t="s">
        <v>6871</v>
      </c>
      <c r="O1822" s="4209">
        <v>0.2</v>
      </c>
      <c r="P1822" s="4210">
        <f>K1821*O1822</f>
        <v>618000</v>
      </c>
      <c r="Q1822" s="4105">
        <v>618000</v>
      </c>
      <c r="R1822" s="4189" t="s">
        <v>4603</v>
      </c>
      <c r="S1822" s="4106">
        <v>44923</v>
      </c>
      <c r="T1822" s="4105">
        <v>618000</v>
      </c>
      <c r="U1822" s="4106">
        <v>44923</v>
      </c>
      <c r="V1822" s="4105">
        <v>618000</v>
      </c>
      <c r="W1822" s="4106">
        <v>44931</v>
      </c>
      <c r="X1822" s="4105">
        <v>618000</v>
      </c>
      <c r="Y1822" s="4106">
        <v>44944</v>
      </c>
      <c r="Z1822" s="4144"/>
      <c r="AA1822" s="4144"/>
      <c r="AB1822" s="4105"/>
      <c r="AC1822" s="4105"/>
      <c r="AD1822" s="4144"/>
      <c r="AE1822" s="4144"/>
      <c r="AF1822" s="4144"/>
      <c r="AG1822" s="4144"/>
      <c r="AH1822" s="4144"/>
      <c r="AI1822" s="4144"/>
    </row>
    <row r="1823" s="32" customFormat="1" ht="33" customHeight="1" spans="1:35">
      <c r="A1823" s="4084"/>
      <c r="B1823" s="4158"/>
      <c r="C1823" s="4266"/>
      <c r="D1823" s="4157"/>
      <c r="E1823" s="4086"/>
      <c r="F1823" s="4086"/>
      <c r="G1823" s="4273"/>
      <c r="H1823" s="4086"/>
      <c r="I1823" s="4157"/>
      <c r="J1823" s="4086"/>
      <c r="K1823" s="4287"/>
      <c r="L1823" s="4084"/>
      <c r="M1823" s="4011">
        <v>3</v>
      </c>
      <c r="N1823" s="2618" t="s">
        <v>4230</v>
      </c>
      <c r="O1823" s="4209">
        <v>0.1</v>
      </c>
      <c r="P1823" s="4210">
        <f>K1821*O1823</f>
        <v>309000</v>
      </c>
      <c r="Q1823" s="4105">
        <v>309000</v>
      </c>
      <c r="R1823" s="4189" t="s">
        <v>4603</v>
      </c>
      <c r="S1823" s="4106">
        <v>44923</v>
      </c>
      <c r="T1823" s="4105">
        <v>309000</v>
      </c>
      <c r="U1823" s="4106">
        <v>44923</v>
      </c>
      <c r="V1823" s="4105">
        <v>309000</v>
      </c>
      <c r="W1823" s="4106">
        <v>44931</v>
      </c>
      <c r="X1823" s="4105">
        <v>309000</v>
      </c>
      <c r="Y1823" s="4106">
        <v>44944</v>
      </c>
      <c r="Z1823" s="4144"/>
      <c r="AA1823" s="4144"/>
      <c r="AB1823" s="4105"/>
      <c r="AC1823" s="4105"/>
      <c r="AD1823" s="4144"/>
      <c r="AE1823" s="4144"/>
      <c r="AF1823" s="4144"/>
      <c r="AG1823" s="4144"/>
      <c r="AH1823" s="4144"/>
      <c r="AI1823" s="4144"/>
    </row>
    <row r="1824" s="32" customFormat="1" ht="33" customHeight="1" spans="1:35">
      <c r="A1824" s="4084"/>
      <c r="B1824" s="4158"/>
      <c r="C1824" s="4266"/>
      <c r="D1824" s="4157"/>
      <c r="E1824" s="4086"/>
      <c r="F1824" s="4086"/>
      <c r="G1824" s="4273"/>
      <c r="H1824" s="4086"/>
      <c r="I1824" s="4157"/>
      <c r="J1824" s="4086"/>
      <c r="K1824" s="4287"/>
      <c r="L1824" s="4084"/>
      <c r="M1824" s="4011">
        <v>4</v>
      </c>
      <c r="N1824" s="2618" t="s">
        <v>6872</v>
      </c>
      <c r="O1824" s="4209">
        <v>0.2</v>
      </c>
      <c r="P1824" s="4210">
        <f>K1821*O1824</f>
        <v>618000</v>
      </c>
      <c r="Q1824" s="4105">
        <v>618000</v>
      </c>
      <c r="R1824" s="4189" t="s">
        <v>4603</v>
      </c>
      <c r="S1824" s="4106">
        <v>44923</v>
      </c>
      <c r="T1824" s="4105">
        <v>618000</v>
      </c>
      <c r="U1824" s="4106">
        <v>44923</v>
      </c>
      <c r="V1824" s="4105">
        <v>618000</v>
      </c>
      <c r="W1824" s="4106">
        <v>44930</v>
      </c>
      <c r="X1824" s="4105">
        <v>618000</v>
      </c>
      <c r="Y1824" s="4106">
        <v>44944</v>
      </c>
      <c r="Z1824" s="4144"/>
      <c r="AA1824" s="4144"/>
      <c r="AB1824" s="4105"/>
      <c r="AC1824" s="4105"/>
      <c r="AD1824" s="4144"/>
      <c r="AE1824" s="4144"/>
      <c r="AF1824" s="4144"/>
      <c r="AG1824" s="4144"/>
      <c r="AH1824" s="4144"/>
      <c r="AI1824" s="4144"/>
    </row>
    <row r="1825" s="32" customFormat="1" ht="33" customHeight="1" spans="1:35">
      <c r="A1825" s="4084"/>
      <c r="B1825" s="4158"/>
      <c r="C1825" s="4266"/>
      <c r="D1825" s="4157"/>
      <c r="E1825" s="4086"/>
      <c r="F1825" s="4086"/>
      <c r="G1825" s="4273"/>
      <c r="H1825" s="4086"/>
      <c r="I1825" s="4157"/>
      <c r="J1825" s="4086"/>
      <c r="K1825" s="4287"/>
      <c r="L1825" s="4084"/>
      <c r="M1825" s="4011">
        <v>5</v>
      </c>
      <c r="N1825" s="2618" t="s">
        <v>6612</v>
      </c>
      <c r="O1825" s="4209">
        <v>0.15</v>
      </c>
      <c r="P1825" s="4210">
        <f>K1821*O1825</f>
        <v>463500</v>
      </c>
      <c r="Q1825" s="4105">
        <v>463500</v>
      </c>
      <c r="R1825" s="4189" t="s">
        <v>4603</v>
      </c>
      <c r="S1825" s="4106">
        <v>44923</v>
      </c>
      <c r="T1825" s="4105">
        <v>463500</v>
      </c>
      <c r="U1825" s="4106">
        <v>44923</v>
      </c>
      <c r="V1825" s="4105">
        <v>463500</v>
      </c>
      <c r="W1825" s="4106">
        <v>45211</v>
      </c>
      <c r="X1825" s="4105">
        <v>463500</v>
      </c>
      <c r="Y1825" s="4106">
        <v>45244</v>
      </c>
      <c r="Z1825" s="4144"/>
      <c r="AA1825" s="4144"/>
      <c r="AB1825" s="4105"/>
      <c r="AC1825" s="4105"/>
      <c r="AD1825" s="4144"/>
      <c r="AE1825" s="4144"/>
      <c r="AF1825" s="4144"/>
      <c r="AG1825" s="4144"/>
      <c r="AH1825" s="4144"/>
      <c r="AI1825" s="4144"/>
    </row>
    <row r="1826" s="32" customFormat="1" ht="33" customHeight="1" spans="1:35">
      <c r="A1826" s="4084"/>
      <c r="B1826" s="4158"/>
      <c r="C1826" s="4266"/>
      <c r="D1826" s="4157"/>
      <c r="E1826" s="4086"/>
      <c r="F1826" s="4086"/>
      <c r="G1826" s="4273"/>
      <c r="H1826" s="4086"/>
      <c r="I1826" s="4157"/>
      <c r="J1826" s="4086"/>
      <c r="K1826" s="4287"/>
      <c r="L1826" s="4084"/>
      <c r="M1826" s="4011">
        <v>6</v>
      </c>
      <c r="N1826" s="2618" t="s">
        <v>4232</v>
      </c>
      <c r="O1826" s="4209">
        <v>0.05</v>
      </c>
      <c r="P1826" s="4210">
        <f>K1821*O1826</f>
        <v>154500</v>
      </c>
      <c r="Q1826" s="4105">
        <v>154500</v>
      </c>
      <c r="R1826" s="4189" t="s">
        <v>4603</v>
      </c>
      <c r="S1826" s="4106">
        <v>44923</v>
      </c>
      <c r="T1826" s="4105">
        <v>154500</v>
      </c>
      <c r="U1826" s="4106">
        <v>44923</v>
      </c>
      <c r="V1826" s="4105">
        <v>154500</v>
      </c>
      <c r="W1826" s="4106">
        <v>45211</v>
      </c>
      <c r="X1826" s="4105">
        <v>154500</v>
      </c>
      <c r="Y1826" s="4106">
        <v>45275</v>
      </c>
      <c r="Z1826" s="4144"/>
      <c r="AA1826" s="4144"/>
      <c r="AB1826" s="4105"/>
      <c r="AC1826" s="4105"/>
      <c r="AD1826" s="4144"/>
      <c r="AE1826" s="4144"/>
      <c r="AF1826" s="4144"/>
      <c r="AG1826" s="4144"/>
      <c r="AH1826" s="4144"/>
      <c r="AI1826" s="4144"/>
    </row>
    <row r="1827" s="32" customFormat="1" ht="33" customHeight="1" spans="1:35">
      <c r="A1827" s="4084"/>
      <c r="B1827" s="4158"/>
      <c r="C1827" s="4266"/>
      <c r="D1827" s="4157"/>
      <c r="E1827" s="4086"/>
      <c r="F1827" s="4086"/>
      <c r="G1827" s="4276"/>
      <c r="H1827" s="4086"/>
      <c r="I1827" s="4157"/>
      <c r="J1827" s="4086"/>
      <c r="K1827" s="4288"/>
      <c r="L1827" s="4084"/>
      <c r="M1827" s="4010">
        <v>7</v>
      </c>
      <c r="N1827" s="705" t="s">
        <v>4234</v>
      </c>
      <c r="O1827" s="4211">
        <v>0.1</v>
      </c>
      <c r="P1827" s="4212">
        <f>K1821*O1827</f>
        <v>309000</v>
      </c>
      <c r="Q1827" s="4144">
        <v>309000</v>
      </c>
      <c r="R1827" s="3967" t="s">
        <v>4603</v>
      </c>
      <c r="S1827" s="4145">
        <v>45656</v>
      </c>
      <c r="T1827" s="4105">
        <v>309000</v>
      </c>
      <c r="U1827" s="4106">
        <v>45656</v>
      </c>
      <c r="V1827" s="4144">
        <v>110210.56</v>
      </c>
      <c r="W1827" s="4145">
        <v>45919</v>
      </c>
      <c r="X1827" s="4144">
        <v>85210.56</v>
      </c>
      <c r="Y1827" s="4145">
        <v>45928</v>
      </c>
      <c r="Z1827" s="4144"/>
      <c r="AA1827" s="4144"/>
      <c r="AB1827" s="4105"/>
      <c r="AC1827" s="4105"/>
      <c r="AD1827" s="4144"/>
      <c r="AE1827" s="4144"/>
      <c r="AF1827" s="4144"/>
      <c r="AG1827" s="4144"/>
      <c r="AH1827" s="4144"/>
      <c r="AI1827" s="4144"/>
    </row>
    <row r="1828" s="32" customFormat="1" ht="33" customHeight="1" spans="1:35">
      <c r="A1828" s="4084"/>
      <c r="B1828" s="4158"/>
      <c r="C1828" s="4266"/>
      <c r="D1828" s="4157"/>
      <c r="E1828" s="4086"/>
      <c r="F1828" s="4086"/>
      <c r="G1828" s="4273"/>
      <c r="H1828" s="4086"/>
      <c r="I1828" s="4157"/>
      <c r="J1828" s="4086"/>
      <c r="K1828" s="4287"/>
      <c r="L1828" s="4084"/>
      <c r="M1828" s="684"/>
      <c r="N1828" s="3541"/>
      <c r="O1828" s="4297"/>
      <c r="P1828" s="4298"/>
      <c r="Q1828" s="4146"/>
      <c r="R1828" s="658"/>
      <c r="S1828" s="4147"/>
      <c r="T1828" s="4306">
        <v>-198789.44</v>
      </c>
      <c r="U1828" s="4106">
        <v>45918</v>
      </c>
      <c r="V1828" s="4146"/>
      <c r="W1828" s="4146"/>
      <c r="X1828" s="4146"/>
      <c r="Y1828" s="4147"/>
      <c r="Z1828" s="4144"/>
      <c r="AA1828" s="4144"/>
      <c r="AB1828" s="4105"/>
      <c r="AC1828" s="4105"/>
      <c r="AD1828" s="4144"/>
      <c r="AE1828" s="4144"/>
      <c r="AF1828" s="4144"/>
      <c r="AG1828" s="4144"/>
      <c r="AH1828" s="4144"/>
      <c r="AI1828" s="4144"/>
    </row>
    <row r="1829" s="32" customFormat="1" ht="33" customHeight="1" spans="1:35">
      <c r="A1829" s="4084"/>
      <c r="B1829" s="4158"/>
      <c r="C1829" s="4266"/>
      <c r="D1829" s="4157"/>
      <c r="E1829" s="4086"/>
      <c r="F1829" s="4086"/>
      <c r="G1829" s="4010" t="s">
        <v>6713</v>
      </c>
      <c r="H1829" s="4086"/>
      <c r="I1829" s="4157"/>
      <c r="J1829" s="4086"/>
      <c r="K1829" s="4199">
        <v>250000</v>
      </c>
      <c r="L1829" s="4084"/>
      <c r="M1829" s="4011">
        <v>1</v>
      </c>
      <c r="N1829" s="2618" t="s">
        <v>4228</v>
      </c>
      <c r="O1829" s="4209">
        <v>0.2</v>
      </c>
      <c r="P1829" s="4210">
        <f>K1829*O1829</f>
        <v>50000</v>
      </c>
      <c r="Q1829" s="4105">
        <v>50000</v>
      </c>
      <c r="R1829" s="4189" t="s">
        <v>4603</v>
      </c>
      <c r="S1829" s="4106">
        <v>44923</v>
      </c>
      <c r="T1829" s="4105">
        <v>50000</v>
      </c>
      <c r="U1829" s="4106">
        <v>44923</v>
      </c>
      <c r="V1829" s="4105">
        <v>50000</v>
      </c>
      <c r="W1829" s="4106">
        <v>44930</v>
      </c>
      <c r="X1829" s="4105">
        <v>50000</v>
      </c>
      <c r="Y1829" s="4106">
        <v>44944</v>
      </c>
      <c r="Z1829" s="4144"/>
      <c r="AA1829" s="4144"/>
      <c r="AB1829" s="4105"/>
      <c r="AC1829" s="4105"/>
      <c r="AD1829" s="4144"/>
      <c r="AE1829" s="4144"/>
      <c r="AF1829" s="4144"/>
      <c r="AG1829" s="4144"/>
      <c r="AH1829" s="4144"/>
      <c r="AI1829" s="4144"/>
    </row>
    <row r="1830" s="32" customFormat="1" ht="33" customHeight="1" spans="1:35">
      <c r="A1830" s="4084"/>
      <c r="B1830" s="4158"/>
      <c r="C1830" s="4266"/>
      <c r="D1830" s="4157"/>
      <c r="E1830" s="4086"/>
      <c r="F1830" s="4086"/>
      <c r="G1830" s="4273"/>
      <c r="H1830" s="4086"/>
      <c r="I1830" s="4157"/>
      <c r="J1830" s="4086"/>
      <c r="K1830" s="4287"/>
      <c r="L1830" s="4084"/>
      <c r="M1830" s="4011">
        <v>2</v>
      </c>
      <c r="N1830" s="2618" t="s">
        <v>6873</v>
      </c>
      <c r="O1830" s="4209">
        <v>0.6</v>
      </c>
      <c r="P1830" s="4210">
        <f>O1830*K1829</f>
        <v>150000</v>
      </c>
      <c r="Q1830" s="4105">
        <v>150000</v>
      </c>
      <c r="R1830" s="4189" t="s">
        <v>4603</v>
      </c>
      <c r="S1830" s="4106">
        <v>44923</v>
      </c>
      <c r="T1830" s="4105">
        <v>150000</v>
      </c>
      <c r="U1830" s="4106">
        <v>44923</v>
      </c>
      <c r="V1830" s="4105">
        <v>150000</v>
      </c>
      <c r="W1830" s="4106">
        <v>44930</v>
      </c>
      <c r="X1830" s="4105">
        <v>150000</v>
      </c>
      <c r="Y1830" s="4106">
        <v>44944</v>
      </c>
      <c r="Z1830" s="4144"/>
      <c r="AA1830" s="4144"/>
      <c r="AB1830" s="4105"/>
      <c r="AC1830" s="4105"/>
      <c r="AD1830" s="4144"/>
      <c r="AE1830" s="4144"/>
      <c r="AF1830" s="4144"/>
      <c r="AG1830" s="4144"/>
      <c r="AH1830" s="4144"/>
      <c r="AI1830" s="4144"/>
    </row>
    <row r="1831" s="32" customFormat="1" ht="33" customHeight="1" spans="1:35">
      <c r="A1831" s="4084"/>
      <c r="B1831" s="4158"/>
      <c r="C1831" s="4266"/>
      <c r="D1831" s="4157"/>
      <c r="E1831" s="4086"/>
      <c r="F1831" s="4086"/>
      <c r="G1831" s="4273"/>
      <c r="H1831" s="4086"/>
      <c r="I1831" s="4157"/>
      <c r="J1831" s="4086"/>
      <c r="K1831" s="4287"/>
      <c r="L1831" s="4084"/>
      <c r="M1831" s="4010">
        <v>3</v>
      </c>
      <c r="N1831" s="705" t="s">
        <v>4234</v>
      </c>
      <c r="O1831" s="4209">
        <v>0.1</v>
      </c>
      <c r="P1831" s="4210">
        <f>K1829*O1831</f>
        <v>25000</v>
      </c>
      <c r="Q1831" s="4105">
        <v>25000</v>
      </c>
      <c r="R1831" s="4189" t="s">
        <v>4603</v>
      </c>
      <c r="S1831" s="4189">
        <v>45279</v>
      </c>
      <c r="T1831" s="4105">
        <v>25000</v>
      </c>
      <c r="U1831" s="4106">
        <v>45279</v>
      </c>
      <c r="V1831" s="4105">
        <v>25000</v>
      </c>
      <c r="W1831" s="4106">
        <v>45919</v>
      </c>
      <c r="X1831" s="4105">
        <v>25000</v>
      </c>
      <c r="Y1831" s="4106">
        <v>45928</v>
      </c>
      <c r="Z1831" s="4144"/>
      <c r="AA1831" s="4144"/>
      <c r="AB1831" s="4105"/>
      <c r="AC1831" s="4105"/>
      <c r="AD1831" s="4144"/>
      <c r="AE1831" s="4144"/>
      <c r="AF1831" s="4144"/>
      <c r="AG1831" s="4144"/>
      <c r="AH1831" s="4144"/>
      <c r="AI1831" s="4144"/>
    </row>
    <row r="1832" s="32" customFormat="1" ht="33" customHeight="1" spans="1:35">
      <c r="A1832" s="658"/>
      <c r="B1832" s="4147"/>
      <c r="C1832" s="660"/>
      <c r="D1832" s="4146"/>
      <c r="E1832" s="684"/>
      <c r="F1832" s="684"/>
      <c r="G1832" s="4276"/>
      <c r="H1832" s="684"/>
      <c r="I1832" s="4146"/>
      <c r="J1832" s="684"/>
      <c r="K1832" s="4288"/>
      <c r="L1832" s="658"/>
      <c r="M1832" s="684"/>
      <c r="N1832" s="3558"/>
      <c r="O1832" s="4209">
        <v>0.1</v>
      </c>
      <c r="P1832" s="4210">
        <f>K1829*O1832</f>
        <v>25000</v>
      </c>
      <c r="Q1832" s="4105">
        <v>0</v>
      </c>
      <c r="R1832" s="4189" t="s">
        <v>4603</v>
      </c>
      <c r="S1832" s="4106">
        <v>45918</v>
      </c>
      <c r="T1832" s="4105">
        <v>0</v>
      </c>
      <c r="U1832" s="4106">
        <v>45918</v>
      </c>
      <c r="V1832" s="4105">
        <v>0</v>
      </c>
      <c r="W1832" s="4106">
        <v>45919</v>
      </c>
      <c r="X1832" s="4105">
        <v>25000</v>
      </c>
      <c r="Y1832" s="4106">
        <v>45928</v>
      </c>
      <c r="Z1832" s="4144"/>
      <c r="AA1832" s="4144"/>
      <c r="AB1832" s="4105"/>
      <c r="AC1832" s="4105"/>
      <c r="AD1832" s="4144"/>
      <c r="AE1832" s="4144"/>
      <c r="AF1832" s="4144"/>
      <c r="AG1832" s="4144"/>
      <c r="AH1832" s="4144"/>
      <c r="AI1832" s="4144"/>
    </row>
    <row r="1833" s="32" customFormat="1" ht="33" customHeight="1" spans="1:35">
      <c r="A1833" s="3967" t="s">
        <v>2570</v>
      </c>
      <c r="B1833" s="4267">
        <v>44916</v>
      </c>
      <c r="C1833" s="4265" t="s">
        <v>6861</v>
      </c>
      <c r="D1833" s="3967"/>
      <c r="E1833" s="4010" t="s">
        <v>6874</v>
      </c>
      <c r="F1833" s="4010" t="s">
        <v>6875</v>
      </c>
      <c r="G1833" s="3967" t="s">
        <v>3465</v>
      </c>
      <c r="H1833" s="4010" t="s">
        <v>6050</v>
      </c>
      <c r="I1833" s="3967"/>
      <c r="J1833" s="4010" t="s">
        <v>997</v>
      </c>
      <c r="K1833" s="4199">
        <v>243000</v>
      </c>
      <c r="L1833" s="3967" t="s">
        <v>126</v>
      </c>
      <c r="M1833" s="4011">
        <v>1</v>
      </c>
      <c r="N1833" s="2618" t="s">
        <v>6876</v>
      </c>
      <c r="O1833" s="4209">
        <v>0.15</v>
      </c>
      <c r="P1833" s="4210">
        <f>K1833*O1833</f>
        <v>36450</v>
      </c>
      <c r="Q1833" s="4105">
        <v>36450</v>
      </c>
      <c r="R1833" s="4189" t="s">
        <v>4603</v>
      </c>
      <c r="S1833" s="4106">
        <v>44923</v>
      </c>
      <c r="T1833" s="4105">
        <v>36450</v>
      </c>
      <c r="U1833" s="4106">
        <v>44923</v>
      </c>
      <c r="V1833" s="4105">
        <v>36450</v>
      </c>
      <c r="W1833" s="4106">
        <v>44971</v>
      </c>
      <c r="X1833" s="4105">
        <v>36450</v>
      </c>
      <c r="Y1833" s="4106">
        <v>44980</v>
      </c>
      <c r="Z1833" s="4144"/>
      <c r="AA1833" s="4144"/>
      <c r="AB1833" s="4105"/>
      <c r="AC1833" s="4105"/>
      <c r="AD1833" s="4144"/>
      <c r="AE1833" s="4144"/>
      <c r="AF1833" s="4144"/>
      <c r="AG1833" s="4144"/>
      <c r="AH1833" s="4144"/>
      <c r="AI1833" s="4144"/>
    </row>
    <row r="1834" s="32" customFormat="1" ht="33" customHeight="1" spans="1:35">
      <c r="A1834" s="4084"/>
      <c r="B1834" s="4268"/>
      <c r="C1834" s="4266"/>
      <c r="D1834" s="4084"/>
      <c r="E1834" s="4086"/>
      <c r="F1834" s="4086"/>
      <c r="G1834" s="4084"/>
      <c r="H1834" s="4086"/>
      <c r="I1834" s="4084"/>
      <c r="J1834" s="4273"/>
      <c r="K1834" s="4287"/>
      <c r="L1834" s="4157"/>
      <c r="M1834" s="4011">
        <v>2</v>
      </c>
      <c r="N1834" s="2618" t="s">
        <v>6877</v>
      </c>
      <c r="O1834" s="4209">
        <v>0.35</v>
      </c>
      <c r="P1834" s="4210">
        <f>K1833*O1834</f>
        <v>85050</v>
      </c>
      <c r="Q1834" s="4105">
        <v>85050</v>
      </c>
      <c r="R1834" s="4189" t="s">
        <v>4603</v>
      </c>
      <c r="S1834" s="4106">
        <v>44923</v>
      </c>
      <c r="T1834" s="4105">
        <v>85050</v>
      </c>
      <c r="U1834" s="4106">
        <v>44923</v>
      </c>
      <c r="V1834" s="4105">
        <v>85050</v>
      </c>
      <c r="W1834" s="4106">
        <v>44971</v>
      </c>
      <c r="X1834" s="4105">
        <v>85050</v>
      </c>
      <c r="Y1834" s="4106">
        <v>44980</v>
      </c>
      <c r="Z1834" s="4144"/>
      <c r="AA1834" s="4144"/>
      <c r="AB1834" s="4105"/>
      <c r="AC1834" s="4105"/>
      <c r="AD1834" s="4144"/>
      <c r="AE1834" s="4144"/>
      <c r="AF1834" s="4144"/>
      <c r="AG1834" s="4144"/>
      <c r="AH1834" s="4144"/>
      <c r="AI1834" s="4144"/>
    </row>
    <row r="1835" s="32" customFormat="1" ht="33" customHeight="1" spans="1:35">
      <c r="A1835" s="4084"/>
      <c r="B1835" s="4268"/>
      <c r="C1835" s="4266"/>
      <c r="D1835" s="4084"/>
      <c r="E1835" s="4086"/>
      <c r="F1835" s="4086"/>
      <c r="G1835" s="4084"/>
      <c r="H1835" s="4086"/>
      <c r="I1835" s="4084"/>
      <c r="J1835" s="4273"/>
      <c r="K1835" s="4287"/>
      <c r="L1835" s="4157"/>
      <c r="M1835" s="4011">
        <v>3</v>
      </c>
      <c r="N1835" s="2618" t="s">
        <v>6878</v>
      </c>
      <c r="O1835" s="4209">
        <v>0.3</v>
      </c>
      <c r="P1835" s="4210">
        <f>K1833*O1835</f>
        <v>72900</v>
      </c>
      <c r="Q1835" s="4105">
        <v>72900</v>
      </c>
      <c r="R1835" s="4189" t="s">
        <v>4603</v>
      </c>
      <c r="S1835" s="4106">
        <v>44923</v>
      </c>
      <c r="T1835" s="4105">
        <v>72900</v>
      </c>
      <c r="U1835" s="4106">
        <v>44923</v>
      </c>
      <c r="V1835" s="4105">
        <v>72900</v>
      </c>
      <c r="W1835" s="4106">
        <v>44971</v>
      </c>
      <c r="X1835" s="4105">
        <v>72900</v>
      </c>
      <c r="Y1835" s="4106">
        <v>44980</v>
      </c>
      <c r="Z1835" s="4144"/>
      <c r="AA1835" s="4144"/>
      <c r="AB1835" s="4105"/>
      <c r="AC1835" s="4105"/>
      <c r="AD1835" s="4144"/>
      <c r="AE1835" s="4144"/>
      <c r="AF1835" s="4144"/>
      <c r="AG1835" s="4144"/>
      <c r="AH1835" s="4144"/>
      <c r="AI1835" s="4144"/>
    </row>
    <row r="1836" s="32" customFormat="1" ht="33" customHeight="1" spans="1:35">
      <c r="A1836" s="4084"/>
      <c r="B1836" s="4268"/>
      <c r="C1836" s="4266"/>
      <c r="D1836" s="4084"/>
      <c r="E1836" s="4086"/>
      <c r="F1836" s="4086"/>
      <c r="G1836" s="4084"/>
      <c r="H1836" s="4086"/>
      <c r="I1836" s="4084"/>
      <c r="J1836" s="4273"/>
      <c r="K1836" s="4287"/>
      <c r="L1836" s="4157"/>
      <c r="M1836" s="4010">
        <v>4</v>
      </c>
      <c r="N1836" s="705" t="s">
        <v>6879</v>
      </c>
      <c r="O1836" s="4209">
        <v>0.1</v>
      </c>
      <c r="P1836" s="4210">
        <f>K1833*O1836</f>
        <v>24300</v>
      </c>
      <c r="Q1836" s="4105">
        <v>24300</v>
      </c>
      <c r="R1836" s="4189" t="s">
        <v>4603</v>
      </c>
      <c r="S1836" s="4189">
        <v>45279</v>
      </c>
      <c r="T1836" s="4105">
        <v>24300</v>
      </c>
      <c r="U1836" s="4106">
        <v>45279</v>
      </c>
      <c r="V1836" s="4105">
        <v>24300</v>
      </c>
      <c r="W1836" s="4106">
        <v>45979</v>
      </c>
      <c r="X1836" s="4307">
        <v>24300</v>
      </c>
      <c r="Y1836" s="4234">
        <v>46016</v>
      </c>
      <c r="Z1836" s="4144"/>
      <c r="AA1836" s="4144"/>
      <c r="AB1836" s="4105"/>
      <c r="AC1836" s="4105"/>
      <c r="AD1836" s="4144"/>
      <c r="AE1836" s="4144"/>
      <c r="AF1836" s="4144"/>
      <c r="AG1836" s="4144"/>
      <c r="AH1836" s="4144"/>
      <c r="AI1836" s="4144"/>
    </row>
    <row r="1837" s="32" customFormat="1" ht="33" customHeight="1" spans="1:35">
      <c r="A1837" s="658"/>
      <c r="B1837" s="4269"/>
      <c r="C1837" s="660"/>
      <c r="D1837" s="658"/>
      <c r="E1837" s="684"/>
      <c r="F1837" s="684"/>
      <c r="G1837" s="658"/>
      <c r="H1837" s="684"/>
      <c r="I1837" s="658"/>
      <c r="J1837" s="4276"/>
      <c r="K1837" s="4288"/>
      <c r="L1837" s="4146"/>
      <c r="M1837" s="684"/>
      <c r="N1837" s="3558"/>
      <c r="O1837" s="4209">
        <v>0.1</v>
      </c>
      <c r="P1837" s="4210">
        <f>K1833*O1837</f>
        <v>24300</v>
      </c>
      <c r="Q1837" s="4105">
        <v>24300</v>
      </c>
      <c r="R1837" s="4189" t="s">
        <v>4603</v>
      </c>
      <c r="S1837" s="4189">
        <v>45960</v>
      </c>
      <c r="T1837" s="4105">
        <v>24300</v>
      </c>
      <c r="U1837" s="4189">
        <v>45960</v>
      </c>
      <c r="V1837" s="4105">
        <v>24300</v>
      </c>
      <c r="W1837" s="4106">
        <v>45979</v>
      </c>
      <c r="X1837" s="4307">
        <v>24300</v>
      </c>
      <c r="Y1837" s="4234">
        <v>46016</v>
      </c>
      <c r="Z1837" s="4144"/>
      <c r="AA1837" s="4144"/>
      <c r="AB1837" s="4105"/>
      <c r="AC1837" s="4105"/>
      <c r="AD1837" s="4144"/>
      <c r="AE1837" s="4144"/>
      <c r="AF1837" s="4144"/>
      <c r="AG1837" s="4144"/>
      <c r="AH1837" s="4144"/>
      <c r="AI1837" s="4144"/>
    </row>
    <row r="1838" s="32" customFormat="1" ht="33" customHeight="1" spans="1:35">
      <c r="A1838" s="4010" t="s">
        <v>2570</v>
      </c>
      <c r="B1838" s="4270">
        <v>44916</v>
      </c>
      <c r="C1838" s="4271" t="s">
        <v>6861</v>
      </c>
      <c r="D1838" s="4272"/>
      <c r="E1838" s="4010" t="s">
        <v>6880</v>
      </c>
      <c r="F1838" s="4010" t="s">
        <v>6881</v>
      </c>
      <c r="G1838" s="4010" t="s">
        <v>3453</v>
      </c>
      <c r="H1838" s="4010" t="s">
        <v>6618</v>
      </c>
      <c r="I1838" s="4144"/>
      <c r="J1838" s="4010" t="s">
        <v>2887</v>
      </c>
      <c r="K1838" s="4199">
        <v>276675.6</v>
      </c>
      <c r="L1838" s="3967" t="s">
        <v>126</v>
      </c>
      <c r="M1838" s="4011">
        <v>1</v>
      </c>
      <c r="N1838" s="2618" t="s">
        <v>6882</v>
      </c>
      <c r="O1838" s="4209">
        <v>0.2</v>
      </c>
      <c r="P1838" s="4210">
        <f>K1838*O1838</f>
        <v>55335.12</v>
      </c>
      <c r="Q1838" s="4105">
        <v>55335.12</v>
      </c>
      <c r="R1838" s="4189" t="s">
        <v>4603</v>
      </c>
      <c r="S1838" s="4106">
        <v>44923</v>
      </c>
      <c r="T1838" s="4105">
        <v>55335.12</v>
      </c>
      <c r="U1838" s="4106">
        <v>44923</v>
      </c>
      <c r="V1838" s="4105">
        <v>55335.12</v>
      </c>
      <c r="W1838" s="4106">
        <v>44930</v>
      </c>
      <c r="X1838" s="4105">
        <v>55335.12</v>
      </c>
      <c r="Y1838" s="4106">
        <v>44944</v>
      </c>
      <c r="Z1838" s="4144"/>
      <c r="AA1838" s="4144"/>
      <c r="AB1838" s="4105"/>
      <c r="AC1838" s="4105"/>
      <c r="AD1838" s="4144"/>
      <c r="AE1838" s="4144"/>
      <c r="AF1838" s="4144"/>
      <c r="AG1838" s="4144"/>
      <c r="AH1838" s="4144"/>
      <c r="AI1838" s="4144"/>
    </row>
    <row r="1839" s="32" customFormat="1" ht="33" customHeight="1" spans="1:35">
      <c r="A1839" s="4273"/>
      <c r="B1839" s="4274"/>
      <c r="C1839" s="4275"/>
      <c r="D1839" s="4273"/>
      <c r="E1839" s="4273"/>
      <c r="F1839" s="4273"/>
      <c r="G1839" s="4273"/>
      <c r="H1839" s="4273"/>
      <c r="I1839" s="4157"/>
      <c r="J1839" s="4273"/>
      <c r="K1839" s="4287"/>
      <c r="L1839" s="4157"/>
      <c r="M1839" s="4011">
        <v>2</v>
      </c>
      <c r="N1839" s="2618" t="s">
        <v>6657</v>
      </c>
      <c r="O1839" s="4209">
        <v>0.7</v>
      </c>
      <c r="P1839" s="4210">
        <f>K1838*O1839</f>
        <v>193672.92</v>
      </c>
      <c r="Q1839" s="4105">
        <v>193672.92</v>
      </c>
      <c r="R1839" s="4189" t="s">
        <v>4603</v>
      </c>
      <c r="S1839" s="4106">
        <v>44923</v>
      </c>
      <c r="T1839" s="4105">
        <v>193672.92</v>
      </c>
      <c r="U1839" s="4106">
        <v>44923</v>
      </c>
      <c r="V1839" s="4105">
        <v>193672.92</v>
      </c>
      <c r="W1839" s="4106">
        <v>44930</v>
      </c>
      <c r="X1839" s="4105">
        <v>193672.92</v>
      </c>
      <c r="Y1839" s="4106">
        <v>44944</v>
      </c>
      <c r="Z1839" s="4144"/>
      <c r="AA1839" s="4144"/>
      <c r="AB1839" s="4105"/>
      <c r="AC1839" s="4105"/>
      <c r="AD1839" s="4144"/>
      <c r="AE1839" s="4144"/>
      <c r="AF1839" s="4144"/>
      <c r="AG1839" s="4144"/>
      <c r="AH1839" s="4144"/>
      <c r="AI1839" s="4144"/>
    </row>
    <row r="1840" s="32" customFormat="1" ht="33" customHeight="1" spans="1:35">
      <c r="A1840" s="4273"/>
      <c r="B1840" s="4274"/>
      <c r="C1840" s="4275"/>
      <c r="D1840" s="4273"/>
      <c r="E1840" s="4273"/>
      <c r="F1840" s="4273"/>
      <c r="G1840" s="4276"/>
      <c r="H1840" s="4273"/>
      <c r="I1840" s="4157"/>
      <c r="J1840" s="4273"/>
      <c r="K1840" s="4288"/>
      <c r="L1840" s="4157"/>
      <c r="M1840" s="4011">
        <v>3</v>
      </c>
      <c r="N1840" s="2618" t="s">
        <v>6658</v>
      </c>
      <c r="O1840" s="4209">
        <v>0.1</v>
      </c>
      <c r="P1840" s="4210">
        <f>K1838*O1840</f>
        <v>27667.56</v>
      </c>
      <c r="Q1840" s="4105">
        <v>27667.56</v>
      </c>
      <c r="R1840" s="4189" t="s">
        <v>4603</v>
      </c>
      <c r="S1840" s="4106">
        <v>45974</v>
      </c>
      <c r="T1840" s="4105">
        <f>Q1840</f>
        <v>27667.56</v>
      </c>
      <c r="U1840" s="4106">
        <v>45974</v>
      </c>
      <c r="V1840" s="4105">
        <f>T1840</f>
        <v>27667.56</v>
      </c>
      <c r="W1840" s="4106">
        <v>45976</v>
      </c>
      <c r="X1840" s="4105">
        <v>27667.56</v>
      </c>
      <c r="Y1840" s="4106">
        <v>45989</v>
      </c>
      <c r="Z1840" s="4144"/>
      <c r="AA1840" s="4144"/>
      <c r="AB1840" s="4105"/>
      <c r="AC1840" s="4105"/>
      <c r="AD1840" s="4144"/>
      <c r="AE1840" s="4144"/>
      <c r="AF1840" s="4144"/>
      <c r="AG1840" s="4144"/>
      <c r="AH1840" s="4144"/>
      <c r="AI1840" s="4144"/>
    </row>
    <row r="1841" s="32" customFormat="1" ht="33" customHeight="1" spans="1:35">
      <c r="A1841" s="4273"/>
      <c r="B1841" s="4274"/>
      <c r="C1841" s="4275"/>
      <c r="D1841" s="4273"/>
      <c r="E1841" s="4273"/>
      <c r="F1841" s="4273"/>
      <c r="G1841" s="4010" t="s">
        <v>6883</v>
      </c>
      <c r="H1841" s="4273"/>
      <c r="I1841" s="4157"/>
      <c r="J1841" s="4273"/>
      <c r="K1841" s="4199">
        <v>350000</v>
      </c>
      <c r="L1841" s="4157"/>
      <c r="M1841" s="4011">
        <v>1</v>
      </c>
      <c r="N1841" s="2618" t="s">
        <v>6884</v>
      </c>
      <c r="O1841" s="4209">
        <v>0.2</v>
      </c>
      <c r="P1841" s="4210">
        <f>K1841*O1841</f>
        <v>70000</v>
      </c>
      <c r="Q1841" s="4105">
        <v>70000</v>
      </c>
      <c r="R1841" s="4189" t="s">
        <v>4603</v>
      </c>
      <c r="S1841" s="4106">
        <v>44923</v>
      </c>
      <c r="T1841" s="4105">
        <v>70000</v>
      </c>
      <c r="U1841" s="4106">
        <v>44923</v>
      </c>
      <c r="V1841" s="4105">
        <v>70000</v>
      </c>
      <c r="W1841" s="4106">
        <v>44930</v>
      </c>
      <c r="X1841" s="4105">
        <v>70000</v>
      </c>
      <c r="Y1841" s="4106">
        <v>44944</v>
      </c>
      <c r="Z1841" s="4144"/>
      <c r="AA1841" s="4144"/>
      <c r="AB1841" s="4105"/>
      <c r="AC1841" s="4105"/>
      <c r="AD1841" s="4144"/>
      <c r="AE1841" s="4144"/>
      <c r="AF1841" s="4144"/>
      <c r="AG1841" s="4144"/>
      <c r="AH1841" s="4144"/>
      <c r="AI1841" s="4144"/>
    </row>
    <row r="1842" s="32" customFormat="1" ht="33" customHeight="1" spans="1:35">
      <c r="A1842" s="4273"/>
      <c r="B1842" s="4274"/>
      <c r="C1842" s="4275"/>
      <c r="D1842" s="4273"/>
      <c r="E1842" s="4273"/>
      <c r="F1842" s="4273"/>
      <c r="G1842" s="4273"/>
      <c r="H1842" s="4273"/>
      <c r="I1842" s="4157"/>
      <c r="J1842" s="4273"/>
      <c r="K1842" s="4287"/>
      <c r="L1842" s="4157"/>
      <c r="M1842" s="4011">
        <v>2</v>
      </c>
      <c r="N1842" s="2618" t="s">
        <v>6885</v>
      </c>
      <c r="O1842" s="4209">
        <v>0.6</v>
      </c>
      <c r="P1842" s="4210">
        <f>K1841*O1842</f>
        <v>210000</v>
      </c>
      <c r="Q1842" s="4105">
        <v>210000</v>
      </c>
      <c r="R1842" s="4189" t="s">
        <v>4603</v>
      </c>
      <c r="S1842" s="4106">
        <v>44923</v>
      </c>
      <c r="T1842" s="4105">
        <v>210000</v>
      </c>
      <c r="U1842" s="4106">
        <v>44923</v>
      </c>
      <c r="V1842" s="4105">
        <v>210000</v>
      </c>
      <c r="W1842" s="4106">
        <v>44930</v>
      </c>
      <c r="X1842" s="4105">
        <v>210000</v>
      </c>
      <c r="Y1842" s="4106">
        <v>44944</v>
      </c>
      <c r="Z1842" s="4144"/>
      <c r="AA1842" s="4144"/>
      <c r="AB1842" s="4105"/>
      <c r="AC1842" s="4105"/>
      <c r="AD1842" s="4144"/>
      <c r="AE1842" s="4144"/>
      <c r="AF1842" s="4144"/>
      <c r="AG1842" s="4144"/>
      <c r="AH1842" s="4144"/>
      <c r="AI1842" s="4144"/>
    </row>
    <row r="1843" s="32" customFormat="1" ht="33" customHeight="1" spans="1:35">
      <c r="A1843" s="4273"/>
      <c r="B1843" s="4274"/>
      <c r="C1843" s="4275"/>
      <c r="D1843" s="4273"/>
      <c r="E1843" s="4273"/>
      <c r="F1843" s="4273"/>
      <c r="G1843" s="4273"/>
      <c r="H1843" s="4273"/>
      <c r="I1843" s="4157"/>
      <c r="J1843" s="4273"/>
      <c r="K1843" s="4287"/>
      <c r="L1843" s="4157"/>
      <c r="M1843" s="4010">
        <v>3</v>
      </c>
      <c r="N1843" s="705" t="s">
        <v>6886</v>
      </c>
      <c r="O1843" s="4209">
        <v>0.1</v>
      </c>
      <c r="P1843" s="4210">
        <f>K1841*O1843</f>
        <v>35000</v>
      </c>
      <c r="Q1843" s="4105">
        <f>P1843</f>
        <v>35000</v>
      </c>
      <c r="R1843" s="4189" t="s">
        <v>4603</v>
      </c>
      <c r="S1843" s="4189">
        <v>45279</v>
      </c>
      <c r="T1843" s="4105">
        <v>35000</v>
      </c>
      <c r="U1843" s="4189">
        <v>45279</v>
      </c>
      <c r="V1843" s="4105">
        <v>35000</v>
      </c>
      <c r="W1843" s="4106">
        <v>45976</v>
      </c>
      <c r="X1843" s="4105">
        <v>35000</v>
      </c>
      <c r="Y1843" s="4106">
        <v>45989</v>
      </c>
      <c r="Z1843" s="4144"/>
      <c r="AA1843" s="4144"/>
      <c r="AB1843" s="4105"/>
      <c r="AC1843" s="4105"/>
      <c r="AD1843" s="4144"/>
      <c r="AE1843" s="4144"/>
      <c r="AF1843" s="4144"/>
      <c r="AG1843" s="4144"/>
      <c r="AH1843" s="4144"/>
      <c r="AI1843" s="4144"/>
    </row>
    <row r="1844" s="32" customFormat="1" ht="33" customHeight="1" spans="1:35">
      <c r="A1844" s="4276"/>
      <c r="B1844" s="4277"/>
      <c r="C1844" s="4278"/>
      <c r="D1844" s="4276"/>
      <c r="E1844" s="4276"/>
      <c r="F1844" s="4276"/>
      <c r="G1844" s="4276"/>
      <c r="H1844" s="4276"/>
      <c r="I1844" s="4146"/>
      <c r="J1844" s="4276"/>
      <c r="K1844" s="4288"/>
      <c r="L1844" s="4146"/>
      <c r="M1844" s="684"/>
      <c r="N1844" s="3558"/>
      <c r="O1844" s="4209">
        <v>0.1</v>
      </c>
      <c r="P1844" s="4210">
        <f>K1841*O1844</f>
        <v>35000</v>
      </c>
      <c r="Q1844" s="4105">
        <v>35000</v>
      </c>
      <c r="R1844" s="4189" t="s">
        <v>4603</v>
      </c>
      <c r="S1844" s="4106">
        <v>45974</v>
      </c>
      <c r="T1844" s="4105">
        <f>Q1844</f>
        <v>35000</v>
      </c>
      <c r="U1844" s="4106">
        <v>45974</v>
      </c>
      <c r="V1844" s="4105">
        <v>35000</v>
      </c>
      <c r="W1844" s="4106">
        <v>45976</v>
      </c>
      <c r="X1844" s="4105">
        <v>35000</v>
      </c>
      <c r="Y1844" s="4106">
        <v>45989</v>
      </c>
      <c r="Z1844" s="4144"/>
      <c r="AA1844" s="4144"/>
      <c r="AB1844" s="4105"/>
      <c r="AC1844" s="4105"/>
      <c r="AD1844" s="4144"/>
      <c r="AE1844" s="4144"/>
      <c r="AF1844" s="4144"/>
      <c r="AG1844" s="4144"/>
      <c r="AH1844" s="4144"/>
      <c r="AI1844" s="4144"/>
    </row>
    <row r="1845" s="32" customFormat="1" ht="33" customHeight="1" spans="1:35">
      <c r="A1845" s="4010" t="s">
        <v>2570</v>
      </c>
      <c r="B1845" s="4279">
        <v>44916</v>
      </c>
      <c r="C1845" s="4265" t="s">
        <v>6861</v>
      </c>
      <c r="D1845" s="4010"/>
      <c r="E1845" s="4010" t="s">
        <v>6887</v>
      </c>
      <c r="F1845" s="4010" t="s">
        <v>6888</v>
      </c>
      <c r="G1845" s="4010" t="s">
        <v>6889</v>
      </c>
      <c r="H1845" s="4010" t="s">
        <v>6758</v>
      </c>
      <c r="I1845" s="4010"/>
      <c r="J1845" s="4010" t="s">
        <v>997</v>
      </c>
      <c r="K1845" s="4010">
        <v>537000</v>
      </c>
      <c r="L1845" s="4010" t="s">
        <v>126</v>
      </c>
      <c r="M1845" s="4011">
        <v>1</v>
      </c>
      <c r="N1845" s="2618" t="s">
        <v>6890</v>
      </c>
      <c r="O1845" s="4209">
        <v>0.15</v>
      </c>
      <c r="P1845" s="4210">
        <f>K1845*O1845</f>
        <v>80550</v>
      </c>
      <c r="Q1845" s="4105">
        <v>80550</v>
      </c>
      <c r="R1845" s="4189" t="s">
        <v>4603</v>
      </c>
      <c r="S1845" s="4106">
        <v>44923</v>
      </c>
      <c r="T1845" s="4105">
        <v>80550</v>
      </c>
      <c r="U1845" s="4106">
        <v>44923</v>
      </c>
      <c r="V1845" s="4105">
        <v>80550</v>
      </c>
      <c r="W1845" s="4106">
        <v>44932</v>
      </c>
      <c r="X1845" s="4105">
        <v>80550</v>
      </c>
      <c r="Y1845" s="4106">
        <v>44944</v>
      </c>
      <c r="Z1845" s="4144"/>
      <c r="AA1845" s="4144"/>
      <c r="AB1845" s="4105"/>
      <c r="AC1845" s="4105"/>
      <c r="AD1845" s="4144"/>
      <c r="AE1845" s="4144"/>
      <c r="AF1845" s="4144"/>
      <c r="AG1845" s="4144"/>
      <c r="AH1845" s="4144"/>
      <c r="AI1845" s="4144"/>
    </row>
    <row r="1846" s="32" customFormat="1" ht="33" customHeight="1" spans="1:35">
      <c r="A1846" s="4086"/>
      <c r="B1846" s="4280"/>
      <c r="C1846" s="4266"/>
      <c r="D1846" s="4086"/>
      <c r="E1846" s="4086"/>
      <c r="F1846" s="4086"/>
      <c r="G1846" s="4086"/>
      <c r="H1846" s="4086"/>
      <c r="I1846" s="4086"/>
      <c r="J1846" s="4086"/>
      <c r="K1846" s="4086"/>
      <c r="L1846" s="4086"/>
      <c r="M1846" s="4011">
        <v>2</v>
      </c>
      <c r="N1846" s="2618" t="s">
        <v>6891</v>
      </c>
      <c r="O1846" s="4209">
        <v>0.8</v>
      </c>
      <c r="P1846" s="4210">
        <f>K1845*O1846</f>
        <v>429600</v>
      </c>
      <c r="Q1846" s="4105">
        <v>429600</v>
      </c>
      <c r="R1846" s="4189" t="s">
        <v>4603</v>
      </c>
      <c r="S1846" s="4106">
        <v>44923</v>
      </c>
      <c r="T1846" s="4105">
        <v>429600</v>
      </c>
      <c r="U1846" s="4106">
        <v>44923</v>
      </c>
      <c r="V1846" s="4105">
        <v>429600</v>
      </c>
      <c r="W1846" s="4106">
        <v>44932</v>
      </c>
      <c r="X1846" s="4105">
        <v>429600</v>
      </c>
      <c r="Y1846" s="4106">
        <v>44944</v>
      </c>
      <c r="Z1846" s="4144"/>
      <c r="AA1846" s="4144"/>
      <c r="AB1846" s="4105"/>
      <c r="AC1846" s="4105"/>
      <c r="AD1846" s="4144"/>
      <c r="AE1846" s="4144"/>
      <c r="AF1846" s="4144"/>
      <c r="AG1846" s="4144"/>
      <c r="AH1846" s="4144"/>
      <c r="AI1846" s="4144"/>
    </row>
    <row r="1847" s="32" customFormat="1" ht="33" customHeight="1" spans="1:35">
      <c r="A1847" s="684"/>
      <c r="B1847" s="4281"/>
      <c r="C1847" s="660"/>
      <c r="D1847" s="684"/>
      <c r="E1847" s="684"/>
      <c r="F1847" s="684"/>
      <c r="G1847" s="684"/>
      <c r="H1847" s="684"/>
      <c r="I1847" s="684"/>
      <c r="J1847" s="684"/>
      <c r="K1847" s="684"/>
      <c r="L1847" s="684"/>
      <c r="M1847" s="4011">
        <v>3</v>
      </c>
      <c r="N1847" s="2618" t="s">
        <v>6892</v>
      </c>
      <c r="O1847" s="4209">
        <v>0.05</v>
      </c>
      <c r="P1847" s="4210">
        <f>K1845*O1847</f>
        <v>26850</v>
      </c>
      <c r="Q1847" s="4105">
        <v>26850</v>
      </c>
      <c r="R1847" s="4189" t="s">
        <v>4603</v>
      </c>
      <c r="S1847" s="4106">
        <v>45960</v>
      </c>
      <c r="T1847" s="4105">
        <v>26850</v>
      </c>
      <c r="U1847" s="4106">
        <v>45960</v>
      </c>
      <c r="V1847" s="4105">
        <v>26850</v>
      </c>
      <c r="W1847" s="4106">
        <v>45976</v>
      </c>
      <c r="X1847" s="4105">
        <v>26850</v>
      </c>
      <c r="Y1847" s="4106">
        <v>45989</v>
      </c>
      <c r="Z1847" s="4144"/>
      <c r="AA1847" s="4144"/>
      <c r="AB1847" s="4105"/>
      <c r="AC1847" s="4105"/>
      <c r="AD1847" s="4144"/>
      <c r="AE1847" s="4144"/>
      <c r="AF1847" s="4144"/>
      <c r="AG1847" s="4144"/>
      <c r="AH1847" s="4144"/>
      <c r="AI1847" s="4144"/>
    </row>
    <row r="1848" s="32" customFormat="1" ht="33" customHeight="1" spans="1:35">
      <c r="A1848" s="4010" t="s">
        <v>2570</v>
      </c>
      <c r="B1848" s="4279">
        <v>44915</v>
      </c>
      <c r="C1848" s="4010" t="s">
        <v>6861</v>
      </c>
      <c r="D1848" s="4011"/>
      <c r="E1848" s="4010" t="s">
        <v>6893</v>
      </c>
      <c r="F1848" s="4011" t="s">
        <v>6894</v>
      </c>
      <c r="G1848" s="4011" t="s">
        <v>193</v>
      </c>
      <c r="H1848" s="4011" t="s">
        <v>6895</v>
      </c>
      <c r="I1848" s="4011" t="s">
        <v>6896</v>
      </c>
      <c r="J1848" s="4011" t="s">
        <v>6897</v>
      </c>
      <c r="K1848" s="4011">
        <v>565612</v>
      </c>
      <c r="L1848" s="4011" t="s">
        <v>126</v>
      </c>
      <c r="M1848" s="4011">
        <v>1</v>
      </c>
      <c r="N1848" s="2618" t="s">
        <v>4221</v>
      </c>
      <c r="O1848" s="4209">
        <v>0.2</v>
      </c>
      <c r="P1848" s="4210">
        <f>O1848*$K$1848</f>
        <v>113122.4</v>
      </c>
      <c r="Q1848" s="4105">
        <v>113122.4</v>
      </c>
      <c r="R1848" s="4098" t="s">
        <v>4603</v>
      </c>
      <c r="S1848" s="4106">
        <v>44923</v>
      </c>
      <c r="T1848" s="4105">
        <v>113122.4</v>
      </c>
      <c r="U1848" s="4106">
        <v>44923</v>
      </c>
      <c r="V1848" s="4105">
        <v>113122.4</v>
      </c>
      <c r="W1848" s="4106">
        <v>44967</v>
      </c>
      <c r="X1848" s="4105">
        <v>113122.4</v>
      </c>
      <c r="Y1848" s="4106">
        <v>44980</v>
      </c>
      <c r="Z1848" s="4144"/>
      <c r="AA1848" s="4144"/>
      <c r="AB1848" s="4105"/>
      <c r="AC1848" s="4105"/>
      <c r="AD1848" s="4144"/>
      <c r="AE1848" s="4144"/>
      <c r="AF1848" s="4144"/>
      <c r="AG1848" s="4144"/>
      <c r="AH1848" s="4144"/>
      <c r="AI1848" s="4144"/>
    </row>
    <row r="1849" s="32" customFormat="1" ht="33" customHeight="1" spans="1:35">
      <c r="A1849" s="4086"/>
      <c r="B1849" s="4280"/>
      <c r="C1849" s="4086"/>
      <c r="D1849" s="4011"/>
      <c r="E1849" s="4086"/>
      <c r="F1849" s="4011"/>
      <c r="G1849" s="4011"/>
      <c r="H1849" s="4011"/>
      <c r="I1849" s="4011"/>
      <c r="J1849" s="4011"/>
      <c r="K1849" s="4011"/>
      <c r="L1849" s="4011"/>
      <c r="M1849" s="4011">
        <v>2</v>
      </c>
      <c r="N1849" s="2618" t="s">
        <v>6898</v>
      </c>
      <c r="O1849" s="4209">
        <v>0.2</v>
      </c>
      <c r="P1849" s="4210">
        <f>O1849*$K$1848</f>
        <v>113122.4</v>
      </c>
      <c r="Q1849" s="4105">
        <v>113122.4</v>
      </c>
      <c r="R1849" s="4098" t="s">
        <v>4603</v>
      </c>
      <c r="S1849" s="4106">
        <v>44923</v>
      </c>
      <c r="T1849" s="4105">
        <v>113122.4</v>
      </c>
      <c r="U1849" s="4106">
        <v>44923</v>
      </c>
      <c r="V1849" s="4105">
        <v>113122.4</v>
      </c>
      <c r="W1849" s="4106">
        <v>44967</v>
      </c>
      <c r="X1849" s="4105">
        <v>113122.4</v>
      </c>
      <c r="Y1849" s="4106">
        <v>44980</v>
      </c>
      <c r="Z1849" s="4144"/>
      <c r="AA1849" s="4144"/>
      <c r="AB1849" s="4105"/>
      <c r="AC1849" s="4105"/>
      <c r="AD1849" s="4144"/>
      <c r="AE1849" s="4144"/>
      <c r="AF1849" s="4144"/>
      <c r="AG1849" s="4144"/>
      <c r="AH1849" s="4144"/>
      <c r="AI1849" s="4144"/>
    </row>
    <row r="1850" s="32" customFormat="1" ht="33" customHeight="1" spans="1:35">
      <c r="A1850" s="4086"/>
      <c r="B1850" s="4280"/>
      <c r="C1850" s="4086"/>
      <c r="D1850" s="4011"/>
      <c r="E1850" s="4086"/>
      <c r="F1850" s="4011"/>
      <c r="G1850" s="4011"/>
      <c r="H1850" s="4011"/>
      <c r="I1850" s="4011"/>
      <c r="J1850" s="4011"/>
      <c r="K1850" s="4011"/>
      <c r="L1850" s="4011"/>
      <c r="M1850" s="4011">
        <v>3</v>
      </c>
      <c r="N1850" s="2618" t="s">
        <v>6899</v>
      </c>
      <c r="O1850" s="4209">
        <v>0.3</v>
      </c>
      <c r="P1850" s="4210">
        <f>O1850*$K$1848</f>
        <v>169683.6</v>
      </c>
      <c r="Q1850" s="4105">
        <v>169683.6</v>
      </c>
      <c r="R1850" s="4098" t="s">
        <v>4603</v>
      </c>
      <c r="S1850" s="4106">
        <v>44923</v>
      </c>
      <c r="T1850" s="4105">
        <v>169683.6</v>
      </c>
      <c r="U1850" s="4106">
        <v>44923</v>
      </c>
      <c r="V1850" s="4105">
        <v>169683.6</v>
      </c>
      <c r="W1850" s="4106">
        <v>44967</v>
      </c>
      <c r="X1850" s="4105">
        <v>169683.6</v>
      </c>
      <c r="Y1850" s="4106">
        <v>44980</v>
      </c>
      <c r="Z1850" s="4144"/>
      <c r="AA1850" s="4144"/>
      <c r="AB1850" s="4105"/>
      <c r="AC1850" s="4105"/>
      <c r="AD1850" s="4144"/>
      <c r="AE1850" s="4144"/>
      <c r="AF1850" s="4144"/>
      <c r="AG1850" s="4144"/>
      <c r="AH1850" s="4144"/>
      <c r="AI1850" s="4144"/>
    </row>
    <row r="1851" s="32" customFormat="1" ht="33" customHeight="1" spans="1:35">
      <c r="A1851" s="4086"/>
      <c r="B1851" s="4280"/>
      <c r="C1851" s="4086"/>
      <c r="D1851" s="4011"/>
      <c r="E1851" s="4086"/>
      <c r="F1851" s="4011"/>
      <c r="G1851" s="4011"/>
      <c r="H1851" s="4011"/>
      <c r="I1851" s="4011"/>
      <c r="J1851" s="4011"/>
      <c r="K1851" s="4011"/>
      <c r="L1851" s="4011"/>
      <c r="M1851" s="4010">
        <v>4</v>
      </c>
      <c r="N1851" s="705" t="s">
        <v>6900</v>
      </c>
      <c r="O1851" s="4211">
        <v>0.3</v>
      </c>
      <c r="P1851" s="4212">
        <f>O1851*$K$1848</f>
        <v>169683.6</v>
      </c>
      <c r="Q1851" s="4105">
        <v>113122.4</v>
      </c>
      <c r="R1851" s="4098" t="s">
        <v>4603</v>
      </c>
      <c r="S1851" s="4106">
        <v>44923</v>
      </c>
      <c r="T1851" s="4105">
        <v>113122.4</v>
      </c>
      <c r="U1851" s="4106">
        <v>44923</v>
      </c>
      <c r="V1851" s="4105">
        <v>113122.4</v>
      </c>
      <c r="W1851" s="4106">
        <v>45265</v>
      </c>
      <c r="X1851" s="4105">
        <v>113122.4</v>
      </c>
      <c r="Y1851" s="4106">
        <v>45275</v>
      </c>
      <c r="Z1851" s="4144"/>
      <c r="AA1851" s="4144"/>
      <c r="AB1851" s="4105"/>
      <c r="AC1851" s="4105"/>
      <c r="AD1851" s="4144"/>
      <c r="AE1851" s="4144"/>
      <c r="AF1851" s="4144"/>
      <c r="AG1851" s="4144"/>
      <c r="AH1851" s="4144"/>
      <c r="AI1851" s="4144"/>
    </row>
    <row r="1852" s="32" customFormat="1" ht="33" customHeight="1" spans="1:35">
      <c r="A1852" s="4086"/>
      <c r="B1852" s="4280"/>
      <c r="C1852" s="4086"/>
      <c r="D1852" s="4011"/>
      <c r="E1852" s="4086"/>
      <c r="F1852" s="4011"/>
      <c r="G1852" s="4011"/>
      <c r="H1852" s="4011"/>
      <c r="I1852" s="4011"/>
      <c r="J1852" s="4011"/>
      <c r="K1852" s="4011"/>
      <c r="L1852" s="4011"/>
      <c r="M1852" s="4086"/>
      <c r="N1852" s="709"/>
      <c r="O1852" s="4299"/>
      <c r="P1852" s="4300"/>
      <c r="Q1852" s="4105">
        <v>56561.2</v>
      </c>
      <c r="R1852" s="4098" t="s">
        <v>4603</v>
      </c>
      <c r="S1852" s="4106">
        <v>45279</v>
      </c>
      <c r="T1852" s="4105">
        <v>56561.2</v>
      </c>
      <c r="U1852" s="4106">
        <v>45279</v>
      </c>
      <c r="V1852" s="4105">
        <v>36979.6</v>
      </c>
      <c r="W1852" s="4106">
        <v>45976</v>
      </c>
      <c r="X1852" s="4307">
        <v>36979.6</v>
      </c>
      <c r="Y1852" s="4234">
        <v>46016</v>
      </c>
      <c r="Z1852" s="4144"/>
      <c r="AA1852" s="4144"/>
      <c r="AB1852" s="4105"/>
      <c r="AC1852" s="4105"/>
      <c r="AD1852" s="4144"/>
      <c r="AE1852" s="4144"/>
      <c r="AF1852" s="4144"/>
      <c r="AG1852" s="4144"/>
      <c r="AH1852" s="4144"/>
      <c r="AI1852" s="4144"/>
    </row>
    <row r="1853" s="32" customFormat="1" ht="76.65" customHeight="1" spans="1:35">
      <c r="A1853" s="684"/>
      <c r="B1853" s="4280"/>
      <c r="C1853" s="684"/>
      <c r="D1853" s="4010"/>
      <c r="E1853" s="684"/>
      <c r="F1853" s="4011"/>
      <c r="G1853" s="4011"/>
      <c r="H1853" s="4011"/>
      <c r="I1853" s="4011"/>
      <c r="J1853" s="4011"/>
      <c r="K1853" s="4011"/>
      <c r="L1853" s="4011"/>
      <c r="M1853" s="684"/>
      <c r="N1853" s="3541"/>
      <c r="O1853" s="4297"/>
      <c r="P1853" s="4298"/>
      <c r="Q1853" s="4105">
        <v>-19581.6</v>
      </c>
      <c r="R1853" s="4098" t="s">
        <v>4603</v>
      </c>
      <c r="S1853" s="4106">
        <v>45960</v>
      </c>
      <c r="T1853" s="4105">
        <v>-19581.6</v>
      </c>
      <c r="U1853" s="4106">
        <v>45960</v>
      </c>
      <c r="V1853" s="4105"/>
      <c r="W1853" s="4106"/>
      <c r="X1853" s="4307"/>
      <c r="Y1853" s="4234"/>
      <c r="Z1853" s="4144"/>
      <c r="AA1853" s="4144"/>
      <c r="AB1853" s="4105"/>
      <c r="AC1853" s="4105"/>
      <c r="AD1853" s="4144"/>
      <c r="AE1853" s="4144"/>
      <c r="AF1853" s="4144"/>
      <c r="AG1853" s="4144"/>
      <c r="AH1853" s="4144"/>
      <c r="AI1853" s="4144"/>
    </row>
    <row r="1854" s="32" customFormat="1" ht="33" customHeight="1" spans="1:35">
      <c r="A1854" s="4011" t="s">
        <v>2570</v>
      </c>
      <c r="B1854" s="4279">
        <v>44914</v>
      </c>
      <c r="C1854" s="4190" t="s">
        <v>6861</v>
      </c>
      <c r="D1854" s="4010"/>
      <c r="E1854" s="4011" t="s">
        <v>6901</v>
      </c>
      <c r="F1854" s="4011" t="s">
        <v>6902</v>
      </c>
      <c r="G1854" s="4011" t="s">
        <v>6647</v>
      </c>
      <c r="H1854" s="4011" t="s">
        <v>6720</v>
      </c>
      <c r="I1854" s="4011"/>
      <c r="J1854" s="4011" t="s">
        <v>997</v>
      </c>
      <c r="K1854" s="4011">
        <v>793852</v>
      </c>
      <c r="L1854" s="4011" t="s">
        <v>126</v>
      </c>
      <c r="M1854" s="4011">
        <v>1</v>
      </c>
      <c r="N1854" s="2618" t="s">
        <v>6903</v>
      </c>
      <c r="O1854" s="4209">
        <f>P1854/K1854</f>
        <v>0.158843764328867</v>
      </c>
      <c r="P1854" s="4210">
        <v>126098.44</v>
      </c>
      <c r="Q1854" s="4105">
        <v>126098.44</v>
      </c>
      <c r="R1854" s="4098" t="s">
        <v>4603</v>
      </c>
      <c r="S1854" s="4106">
        <v>44923</v>
      </c>
      <c r="T1854" s="4105">
        <v>126098.44</v>
      </c>
      <c r="U1854" s="4106">
        <v>44923</v>
      </c>
      <c r="V1854" s="4105">
        <v>126098.44</v>
      </c>
      <c r="W1854" s="4106">
        <v>44935</v>
      </c>
      <c r="X1854" s="4105">
        <v>126098.44</v>
      </c>
      <c r="Y1854" s="4106">
        <v>44944</v>
      </c>
      <c r="Z1854" s="4144"/>
      <c r="AA1854" s="4144"/>
      <c r="AB1854" s="4105"/>
      <c r="AC1854" s="4105"/>
      <c r="AD1854" s="4144"/>
      <c r="AE1854" s="4144"/>
      <c r="AF1854" s="4144"/>
      <c r="AG1854" s="4144"/>
      <c r="AH1854" s="4144"/>
      <c r="AI1854" s="4144"/>
    </row>
    <row r="1855" s="32" customFormat="1" ht="33" customHeight="1" spans="1:35">
      <c r="A1855" s="4011"/>
      <c r="B1855" s="4280"/>
      <c r="C1855" s="4190"/>
      <c r="D1855" s="4086"/>
      <c r="E1855" s="4011"/>
      <c r="F1855" s="4011"/>
      <c r="G1855" s="4011"/>
      <c r="H1855" s="4011"/>
      <c r="I1855" s="4011"/>
      <c r="J1855" s="4011"/>
      <c r="K1855" s="4011"/>
      <c r="L1855" s="4011"/>
      <c r="M1855" s="4011">
        <v>2</v>
      </c>
      <c r="N1855" s="2618" t="s">
        <v>6904</v>
      </c>
      <c r="O1855" s="4209">
        <f>P1855/K1854</f>
        <v>0.635375057315469</v>
      </c>
      <c r="P1855" s="4210">
        <v>504393.76</v>
      </c>
      <c r="Q1855" s="4105">
        <v>504393.76</v>
      </c>
      <c r="R1855" s="4098" t="s">
        <v>4603</v>
      </c>
      <c r="S1855" s="4106">
        <v>44923</v>
      </c>
      <c r="T1855" s="4105">
        <v>504393.76</v>
      </c>
      <c r="U1855" s="4106">
        <v>44923</v>
      </c>
      <c r="V1855" s="4105">
        <v>504393.76</v>
      </c>
      <c r="W1855" s="4106">
        <v>44935</v>
      </c>
      <c r="X1855" s="4105">
        <v>504393.76</v>
      </c>
      <c r="Y1855" s="4106">
        <v>44944</v>
      </c>
      <c r="Z1855" s="4144"/>
      <c r="AA1855" s="4144"/>
      <c r="AB1855" s="4105"/>
      <c r="AC1855" s="4105"/>
      <c r="AD1855" s="4144"/>
      <c r="AE1855" s="4144"/>
      <c r="AF1855" s="4144"/>
      <c r="AG1855" s="4144"/>
      <c r="AH1855" s="4144"/>
      <c r="AI1855" s="4144"/>
    </row>
    <row r="1856" s="32" customFormat="1" ht="33" customHeight="1" spans="1:35">
      <c r="A1856" s="4011"/>
      <c r="B1856" s="4280"/>
      <c r="C1856" s="4190"/>
      <c r="D1856" s="4086"/>
      <c r="E1856" s="4011"/>
      <c r="F1856" s="4011"/>
      <c r="G1856" s="4011"/>
      <c r="H1856" s="4011"/>
      <c r="I1856" s="4011"/>
      <c r="J1856" s="4011"/>
      <c r="K1856" s="4011"/>
      <c r="L1856" s="4011"/>
      <c r="M1856" s="4011">
        <v>3</v>
      </c>
      <c r="N1856" s="2618" t="s">
        <v>6905</v>
      </c>
      <c r="O1856" s="4209">
        <f>P1856/K1854</f>
        <v>0.117603533152275</v>
      </c>
      <c r="P1856" s="4210">
        <v>93359.8</v>
      </c>
      <c r="Q1856" s="4105">
        <v>93359.8</v>
      </c>
      <c r="R1856" s="4098" t="s">
        <v>4603</v>
      </c>
      <c r="S1856" s="4106">
        <v>45279</v>
      </c>
      <c r="T1856" s="4105">
        <v>93359.8</v>
      </c>
      <c r="U1856" s="4106">
        <v>45279</v>
      </c>
      <c r="V1856" s="4105">
        <v>93359.8</v>
      </c>
      <c r="W1856" s="4106">
        <v>45976</v>
      </c>
      <c r="X1856" s="4105">
        <v>93359.8</v>
      </c>
      <c r="Y1856" s="4106">
        <v>45989</v>
      </c>
      <c r="Z1856" s="4144"/>
      <c r="AA1856" s="4144"/>
      <c r="AB1856" s="4105"/>
      <c r="AC1856" s="4105"/>
      <c r="AD1856" s="4144"/>
      <c r="AE1856" s="4144"/>
      <c r="AF1856" s="4144"/>
      <c r="AG1856" s="4144"/>
      <c r="AH1856" s="4144"/>
      <c r="AI1856" s="4144"/>
    </row>
    <row r="1857" s="32" customFormat="1" ht="33" customHeight="1" spans="1:35">
      <c r="A1857" s="4011"/>
      <c r="B1857" s="4281"/>
      <c r="C1857" s="4190"/>
      <c r="D1857" s="684"/>
      <c r="E1857" s="4011"/>
      <c r="F1857" s="4011"/>
      <c r="G1857" s="4011"/>
      <c r="H1857" s="4011"/>
      <c r="I1857" s="4011"/>
      <c r="J1857" s="4011"/>
      <c r="K1857" s="4011"/>
      <c r="L1857" s="4011"/>
      <c r="M1857" s="4011">
        <v>4</v>
      </c>
      <c r="N1857" s="2618" t="s">
        <v>6906</v>
      </c>
      <c r="O1857" s="4209">
        <f>P1857/K1854</f>
        <v>0.088177645203388</v>
      </c>
      <c r="P1857" s="4210">
        <v>70000</v>
      </c>
      <c r="Q1857" s="4210">
        <v>70000</v>
      </c>
      <c r="R1857" s="4098" t="s">
        <v>4603</v>
      </c>
      <c r="S1857" s="4106">
        <v>45279</v>
      </c>
      <c r="T1857" s="4210">
        <v>70000</v>
      </c>
      <c r="U1857" s="4106">
        <v>45279</v>
      </c>
      <c r="V1857" s="4105">
        <v>70000</v>
      </c>
      <c r="W1857" s="4106">
        <v>45976</v>
      </c>
      <c r="X1857" s="4105">
        <v>70000</v>
      </c>
      <c r="Y1857" s="4106">
        <v>45989</v>
      </c>
      <c r="Z1857" s="4144"/>
      <c r="AA1857" s="4144"/>
      <c r="AB1857" s="4105"/>
      <c r="AC1857" s="4105"/>
      <c r="AD1857" s="4144"/>
      <c r="AE1857" s="4144"/>
      <c r="AF1857" s="4144"/>
      <c r="AG1857" s="4144"/>
      <c r="AH1857" s="4144"/>
      <c r="AI1857" s="4144"/>
    </row>
    <row r="1858" s="32" customFormat="1" ht="33" customHeight="1" spans="1:35">
      <c r="A1858" s="3967" t="s">
        <v>2570</v>
      </c>
      <c r="B1858" s="4267">
        <v>44916</v>
      </c>
      <c r="C1858" s="4265" t="s">
        <v>6861</v>
      </c>
      <c r="D1858" s="3967"/>
      <c r="E1858" s="4010" t="s">
        <v>6907</v>
      </c>
      <c r="F1858" s="4010" t="s">
        <v>6908</v>
      </c>
      <c r="G1858" s="3967" t="s">
        <v>6909</v>
      </c>
      <c r="H1858" s="4010" t="s">
        <v>6910</v>
      </c>
      <c r="I1858" s="3967">
        <v>89980</v>
      </c>
      <c r="J1858" s="3967">
        <v>11</v>
      </c>
      <c r="K1858" s="3967">
        <v>989000</v>
      </c>
      <c r="L1858" s="3967" t="s">
        <v>126</v>
      </c>
      <c r="M1858" s="4011">
        <v>1</v>
      </c>
      <c r="N1858" s="2618" t="s">
        <v>6911</v>
      </c>
      <c r="O1858" s="4209">
        <v>0.15</v>
      </c>
      <c r="P1858" s="4210">
        <f>K1858*O1858</f>
        <v>148350</v>
      </c>
      <c r="Q1858" s="4105">
        <v>148350</v>
      </c>
      <c r="R1858" s="4189" t="s">
        <v>4603</v>
      </c>
      <c r="S1858" s="4106">
        <v>44923</v>
      </c>
      <c r="T1858" s="4105">
        <v>148350</v>
      </c>
      <c r="U1858" s="4106">
        <v>44923</v>
      </c>
      <c r="V1858" s="4105">
        <v>148350</v>
      </c>
      <c r="W1858" s="4106">
        <v>44967</v>
      </c>
      <c r="X1858" s="4105">
        <v>148350</v>
      </c>
      <c r="Y1858" s="4106">
        <v>44980</v>
      </c>
      <c r="Z1858" s="4144"/>
      <c r="AA1858" s="4144"/>
      <c r="AB1858" s="4105"/>
      <c r="AC1858" s="4105"/>
      <c r="AD1858" s="4144"/>
      <c r="AE1858" s="4144"/>
      <c r="AF1858" s="4144"/>
      <c r="AG1858" s="4144"/>
      <c r="AH1858" s="4144"/>
      <c r="AI1858" s="4144"/>
    </row>
    <row r="1859" s="32" customFormat="1" ht="33" customHeight="1" spans="1:35">
      <c r="A1859" s="4084"/>
      <c r="B1859" s="4268"/>
      <c r="C1859" s="4266"/>
      <c r="D1859" s="4084"/>
      <c r="E1859" s="4086"/>
      <c r="F1859" s="4086"/>
      <c r="G1859" s="4084"/>
      <c r="H1859" s="4086"/>
      <c r="I1859" s="4084"/>
      <c r="J1859" s="4084"/>
      <c r="K1859" s="4084"/>
      <c r="L1859" s="4084"/>
      <c r="M1859" s="4011">
        <v>2</v>
      </c>
      <c r="N1859" s="2618" t="s">
        <v>6912</v>
      </c>
      <c r="O1859" s="4209">
        <v>0.35</v>
      </c>
      <c r="P1859" s="4210">
        <f>K1858*O1859</f>
        <v>346150</v>
      </c>
      <c r="Q1859" s="4105">
        <v>346150</v>
      </c>
      <c r="R1859" s="4189" t="s">
        <v>4603</v>
      </c>
      <c r="S1859" s="4106">
        <v>44923</v>
      </c>
      <c r="T1859" s="4105">
        <v>346150</v>
      </c>
      <c r="U1859" s="4106">
        <v>44923</v>
      </c>
      <c r="V1859" s="4105">
        <v>346150</v>
      </c>
      <c r="W1859" s="4106">
        <v>44967</v>
      </c>
      <c r="X1859" s="4105">
        <v>346150</v>
      </c>
      <c r="Y1859" s="4106">
        <v>44980</v>
      </c>
      <c r="Z1859" s="4144"/>
      <c r="AA1859" s="4144"/>
      <c r="AB1859" s="4105"/>
      <c r="AC1859" s="4105"/>
      <c r="AD1859" s="4144"/>
      <c r="AE1859" s="4144"/>
      <c r="AF1859" s="4144"/>
      <c r="AG1859" s="4144"/>
      <c r="AH1859" s="4144"/>
      <c r="AI1859" s="4144"/>
    </row>
    <row r="1860" s="32" customFormat="1" ht="33" customHeight="1" spans="1:35">
      <c r="A1860" s="4084"/>
      <c r="B1860" s="4268"/>
      <c r="C1860" s="4266"/>
      <c r="D1860" s="4084"/>
      <c r="E1860" s="4086"/>
      <c r="F1860" s="4086"/>
      <c r="G1860" s="4084"/>
      <c r="H1860" s="4086"/>
      <c r="I1860" s="4084"/>
      <c r="J1860" s="4084"/>
      <c r="K1860" s="4084"/>
      <c r="L1860" s="4084"/>
      <c r="M1860" s="4011">
        <v>3</v>
      </c>
      <c r="N1860" s="2618" t="s">
        <v>6913</v>
      </c>
      <c r="O1860" s="4209">
        <v>0.3</v>
      </c>
      <c r="P1860" s="4210">
        <f>K1858*O1860</f>
        <v>296700</v>
      </c>
      <c r="Q1860" s="4105">
        <v>296700</v>
      </c>
      <c r="R1860" s="4189" t="s">
        <v>4603</v>
      </c>
      <c r="S1860" s="4106">
        <v>44923</v>
      </c>
      <c r="T1860" s="4105">
        <v>296700</v>
      </c>
      <c r="U1860" s="4106">
        <v>44923</v>
      </c>
      <c r="V1860" s="4105">
        <v>296700</v>
      </c>
      <c r="W1860" s="4106">
        <v>45001</v>
      </c>
      <c r="X1860" s="4105">
        <v>296700</v>
      </c>
      <c r="Y1860" s="4106">
        <v>45029</v>
      </c>
      <c r="Z1860" s="4144"/>
      <c r="AA1860" s="4144"/>
      <c r="AB1860" s="4105"/>
      <c r="AC1860" s="4105"/>
      <c r="AD1860" s="4144"/>
      <c r="AE1860" s="4144"/>
      <c r="AF1860" s="4144"/>
      <c r="AG1860" s="4144"/>
      <c r="AH1860" s="4144"/>
      <c r="AI1860" s="4144"/>
    </row>
    <row r="1861" s="32" customFormat="1" ht="33" customHeight="1" spans="1:35">
      <c r="A1861" s="4084"/>
      <c r="B1861" s="4268"/>
      <c r="C1861" s="4266"/>
      <c r="D1861" s="4084"/>
      <c r="E1861" s="4086"/>
      <c r="F1861" s="4086"/>
      <c r="G1861" s="4084"/>
      <c r="H1861" s="4086"/>
      <c r="I1861" s="4084"/>
      <c r="J1861" s="4084"/>
      <c r="K1861" s="4084"/>
      <c r="L1861" s="4084"/>
      <c r="M1861" s="4011">
        <v>4</v>
      </c>
      <c r="N1861" s="2618" t="s">
        <v>6914</v>
      </c>
      <c r="O1861" s="4209">
        <v>0.1</v>
      </c>
      <c r="P1861" s="4210">
        <f>K1858*O1861</f>
        <v>98900</v>
      </c>
      <c r="Q1861" s="4105">
        <v>98900</v>
      </c>
      <c r="R1861" s="4189" t="s">
        <v>4603</v>
      </c>
      <c r="S1861" s="4106">
        <v>44923</v>
      </c>
      <c r="T1861" s="4105">
        <v>98900</v>
      </c>
      <c r="U1861" s="4106">
        <v>44923</v>
      </c>
      <c r="V1861" s="4105">
        <v>98900</v>
      </c>
      <c r="W1861" s="4106">
        <v>45148</v>
      </c>
      <c r="X1861" s="4105">
        <v>98900</v>
      </c>
      <c r="Y1861" s="4106">
        <v>45168</v>
      </c>
      <c r="Z1861" s="4144"/>
      <c r="AA1861" s="4144"/>
      <c r="AB1861" s="4105"/>
      <c r="AC1861" s="4105"/>
      <c r="AD1861" s="4144"/>
      <c r="AE1861" s="4144"/>
      <c r="AF1861" s="4144"/>
      <c r="AG1861" s="4144"/>
      <c r="AH1861" s="4144"/>
      <c r="AI1861" s="4144"/>
    </row>
    <row r="1862" s="32" customFormat="1" ht="33" customHeight="1" spans="1:35">
      <c r="A1862" s="658"/>
      <c r="B1862" s="4269"/>
      <c r="C1862" s="660"/>
      <c r="D1862" s="658"/>
      <c r="E1862" s="684"/>
      <c r="F1862" s="684"/>
      <c r="G1862" s="658"/>
      <c r="H1862" s="684"/>
      <c r="I1862" s="658"/>
      <c r="J1862" s="658"/>
      <c r="K1862" s="658"/>
      <c r="L1862" s="658"/>
      <c r="M1862" s="4011">
        <v>5</v>
      </c>
      <c r="N1862" s="2618" t="s">
        <v>3490</v>
      </c>
      <c r="O1862" s="4209">
        <v>0.1</v>
      </c>
      <c r="P1862" s="4210">
        <f>K1858*O1862</f>
        <v>98900</v>
      </c>
      <c r="Q1862" s="4105">
        <v>98900</v>
      </c>
      <c r="R1862" s="4189" t="s">
        <v>4603</v>
      </c>
      <c r="S1862" s="4106">
        <v>45960</v>
      </c>
      <c r="T1862" s="4105">
        <v>98900</v>
      </c>
      <c r="U1862" s="4106">
        <v>45960</v>
      </c>
      <c r="V1862" s="4105">
        <v>98900</v>
      </c>
      <c r="W1862" s="4106">
        <v>45976</v>
      </c>
      <c r="X1862" s="4307">
        <v>98900</v>
      </c>
      <c r="Y1862" s="4234">
        <v>46016</v>
      </c>
      <c r="Z1862" s="4144"/>
      <c r="AA1862" s="4144"/>
      <c r="AB1862" s="4105"/>
      <c r="AC1862" s="4105"/>
      <c r="AD1862" s="4144"/>
      <c r="AE1862" s="4144"/>
      <c r="AF1862" s="4144"/>
      <c r="AG1862" s="4144"/>
      <c r="AH1862" s="4144"/>
      <c r="AI1862" s="4144"/>
    </row>
    <row r="1863" s="32" customFormat="1" ht="37.5" customHeight="1" spans="1:35">
      <c r="A1863" s="4098" t="s">
        <v>2570</v>
      </c>
      <c r="B1863" s="4267">
        <v>44911</v>
      </c>
      <c r="C1863" s="4190" t="s">
        <v>6861</v>
      </c>
      <c r="D1863" s="4098"/>
      <c r="E1863" s="4011" t="s">
        <v>6915</v>
      </c>
      <c r="F1863" s="4011" t="s">
        <v>6916</v>
      </c>
      <c r="G1863" s="4098" t="s">
        <v>3535</v>
      </c>
      <c r="H1863" s="4011" t="s">
        <v>6917</v>
      </c>
      <c r="I1863" s="4098"/>
      <c r="J1863" s="4098" t="s">
        <v>997</v>
      </c>
      <c r="K1863" s="4098">
        <v>450000</v>
      </c>
      <c r="L1863" s="4098" t="s">
        <v>126</v>
      </c>
      <c r="M1863" s="4011">
        <v>1</v>
      </c>
      <c r="N1863" s="2618" t="s">
        <v>6918</v>
      </c>
      <c r="O1863" s="4209">
        <v>0.2</v>
      </c>
      <c r="P1863" s="4210">
        <v>90000</v>
      </c>
      <c r="Q1863" s="4210">
        <v>90000</v>
      </c>
      <c r="R1863" s="4189" t="s">
        <v>4603</v>
      </c>
      <c r="S1863" s="4106">
        <v>44918</v>
      </c>
      <c r="T1863" s="4210">
        <v>90000</v>
      </c>
      <c r="U1863" s="4106">
        <v>44918</v>
      </c>
      <c r="V1863" s="4210">
        <v>90000</v>
      </c>
      <c r="W1863" s="4106">
        <v>44929</v>
      </c>
      <c r="X1863" s="4210">
        <v>90000</v>
      </c>
      <c r="Y1863" s="4106">
        <v>44944</v>
      </c>
      <c r="Z1863" s="4144"/>
      <c r="AA1863" s="4144"/>
      <c r="AB1863" s="4105"/>
      <c r="AC1863" s="4105"/>
      <c r="AD1863" s="4144"/>
      <c r="AE1863" s="4144"/>
      <c r="AF1863" s="4144"/>
      <c r="AG1863" s="4144"/>
      <c r="AH1863" s="4144"/>
      <c r="AI1863" s="4144"/>
    </row>
    <row r="1864" s="32" customFormat="1" ht="37.5" customHeight="1" spans="1:35">
      <c r="A1864" s="4098"/>
      <c r="B1864" s="4268"/>
      <c r="C1864" s="4190"/>
      <c r="D1864" s="4098"/>
      <c r="E1864" s="4011"/>
      <c r="F1864" s="4011"/>
      <c r="G1864" s="4098"/>
      <c r="H1864" s="4011"/>
      <c r="I1864" s="4098"/>
      <c r="J1864" s="4098"/>
      <c r="K1864" s="4098"/>
      <c r="L1864" s="4098"/>
      <c r="M1864" s="4011">
        <v>2</v>
      </c>
      <c r="N1864" s="2618" t="s">
        <v>6919</v>
      </c>
      <c r="O1864" s="4209">
        <v>0.75</v>
      </c>
      <c r="P1864" s="4210">
        <v>337500</v>
      </c>
      <c r="Q1864" s="4210">
        <v>337500</v>
      </c>
      <c r="R1864" s="4189" t="s">
        <v>4603</v>
      </c>
      <c r="S1864" s="4106">
        <v>44918</v>
      </c>
      <c r="T1864" s="4210">
        <v>337500</v>
      </c>
      <c r="U1864" s="4106">
        <v>44918</v>
      </c>
      <c r="V1864" s="4210">
        <v>337500</v>
      </c>
      <c r="W1864" s="4106">
        <v>44929</v>
      </c>
      <c r="X1864" s="4210">
        <v>337500</v>
      </c>
      <c r="Y1864" s="4106">
        <v>44944</v>
      </c>
      <c r="Z1864" s="4144"/>
      <c r="AA1864" s="4144"/>
      <c r="AB1864" s="4105"/>
      <c r="AC1864" s="4105"/>
      <c r="AD1864" s="4144"/>
      <c r="AE1864" s="4144"/>
      <c r="AF1864" s="4144"/>
      <c r="AG1864" s="4144"/>
      <c r="AH1864" s="4144"/>
      <c r="AI1864" s="4144"/>
    </row>
    <row r="1865" s="32" customFormat="1" ht="37.5" customHeight="1" spans="1:35">
      <c r="A1865" s="4098"/>
      <c r="B1865" s="4269"/>
      <c r="C1865" s="4190"/>
      <c r="D1865" s="4098"/>
      <c r="E1865" s="4011"/>
      <c r="F1865" s="4011"/>
      <c r="G1865" s="4098"/>
      <c r="H1865" s="4011"/>
      <c r="I1865" s="4098"/>
      <c r="J1865" s="4098"/>
      <c r="K1865" s="4098"/>
      <c r="L1865" s="4098"/>
      <c r="M1865" s="4011">
        <v>3</v>
      </c>
      <c r="N1865" s="2618" t="s">
        <v>6920</v>
      </c>
      <c r="O1865" s="4209">
        <v>0.05</v>
      </c>
      <c r="P1865" s="4210">
        <v>22500</v>
      </c>
      <c r="Q1865" s="4105">
        <v>9764.15</v>
      </c>
      <c r="R1865" s="4189" t="s">
        <v>4603</v>
      </c>
      <c r="S1865" s="4106">
        <v>45923</v>
      </c>
      <c r="T1865" s="4105">
        <v>9764.15</v>
      </c>
      <c r="U1865" s="4106">
        <v>45923</v>
      </c>
      <c r="V1865" s="4105">
        <v>9764.15</v>
      </c>
      <c r="W1865" s="4106">
        <v>45923</v>
      </c>
      <c r="X1865" s="4105">
        <v>9764.15</v>
      </c>
      <c r="Y1865" s="4106">
        <v>45928</v>
      </c>
      <c r="Z1865" s="4144"/>
      <c r="AA1865" s="4144"/>
      <c r="AB1865" s="4105"/>
      <c r="AC1865" s="4105"/>
      <c r="AD1865" s="4144"/>
      <c r="AE1865" s="4144"/>
      <c r="AF1865" s="4144"/>
      <c r="AG1865" s="4144"/>
      <c r="AH1865" s="4144"/>
      <c r="AI1865" s="4144"/>
    </row>
    <row r="1866" s="32" customFormat="1" ht="37.5" customHeight="1" spans="1:35">
      <c r="A1866" s="3967" t="s">
        <v>2570</v>
      </c>
      <c r="B1866" s="4268">
        <v>45441</v>
      </c>
      <c r="C1866" s="4190" t="s">
        <v>6861</v>
      </c>
      <c r="D1866" s="3967"/>
      <c r="E1866" s="4011" t="s">
        <v>6921</v>
      </c>
      <c r="F1866" s="4011" t="s">
        <v>6922</v>
      </c>
      <c r="G1866" s="4098" t="s">
        <v>3535</v>
      </c>
      <c r="H1866" s="4011" t="s">
        <v>6917</v>
      </c>
      <c r="I1866" s="4098"/>
      <c r="J1866" s="4098" t="s">
        <v>997</v>
      </c>
      <c r="K1866" s="3967">
        <v>100000</v>
      </c>
      <c r="L1866" s="4098" t="s">
        <v>126</v>
      </c>
      <c r="M1866" s="4011">
        <v>1</v>
      </c>
      <c r="N1866" s="185" t="s">
        <v>6923</v>
      </c>
      <c r="O1866" s="4209">
        <v>0.2</v>
      </c>
      <c r="P1866" s="4210">
        <f>K1866*O1866</f>
        <v>20000</v>
      </c>
      <c r="Q1866" s="4105">
        <v>20000</v>
      </c>
      <c r="R1866" s="4189" t="s">
        <v>4603</v>
      </c>
      <c r="S1866" s="4106">
        <v>45923</v>
      </c>
      <c r="T1866" s="4105">
        <v>20000</v>
      </c>
      <c r="U1866" s="4106">
        <v>45923</v>
      </c>
      <c r="V1866" s="4105">
        <v>20000</v>
      </c>
      <c r="W1866" s="4106">
        <v>45924</v>
      </c>
      <c r="X1866" s="4105">
        <v>20000</v>
      </c>
      <c r="Y1866" s="4106">
        <v>45928</v>
      </c>
      <c r="Z1866" s="4144"/>
      <c r="AA1866" s="4144"/>
      <c r="AB1866" s="4105"/>
      <c r="AC1866" s="4105"/>
      <c r="AD1866" s="4144"/>
      <c r="AE1866" s="4144"/>
      <c r="AF1866" s="4144"/>
      <c r="AG1866" s="4144"/>
      <c r="AH1866" s="4144"/>
      <c r="AI1866" s="4144"/>
    </row>
    <row r="1867" s="32" customFormat="1" ht="37.5" customHeight="1" spans="1:35">
      <c r="A1867" s="4084"/>
      <c r="B1867" s="4268"/>
      <c r="C1867" s="4190"/>
      <c r="D1867" s="3967"/>
      <c r="E1867" s="4011"/>
      <c r="F1867" s="4011"/>
      <c r="G1867" s="4098"/>
      <c r="H1867" s="4011"/>
      <c r="I1867" s="4098"/>
      <c r="J1867" s="4098"/>
      <c r="K1867" s="4084"/>
      <c r="L1867" s="4098"/>
      <c r="M1867" s="4011">
        <v>2</v>
      </c>
      <c r="N1867" s="185" t="s">
        <v>6924</v>
      </c>
      <c r="O1867" s="4209">
        <v>0.75</v>
      </c>
      <c r="P1867" s="4210">
        <f>K1866*O1867</f>
        <v>75000</v>
      </c>
      <c r="Q1867" s="4105">
        <v>75000</v>
      </c>
      <c r="R1867" s="4189" t="s">
        <v>4603</v>
      </c>
      <c r="S1867" s="4106">
        <v>45923</v>
      </c>
      <c r="T1867" s="4105">
        <v>75000</v>
      </c>
      <c r="U1867" s="4106">
        <v>45923</v>
      </c>
      <c r="V1867" s="4105">
        <v>75000</v>
      </c>
      <c r="W1867" s="4106">
        <v>45924</v>
      </c>
      <c r="X1867" s="4105">
        <v>75000</v>
      </c>
      <c r="Y1867" s="4106">
        <v>45928</v>
      </c>
      <c r="Z1867" s="4144"/>
      <c r="AA1867" s="4144"/>
      <c r="AB1867" s="4105"/>
      <c r="AC1867" s="4105"/>
      <c r="AD1867" s="4144"/>
      <c r="AE1867" s="4144"/>
      <c r="AF1867" s="4144"/>
      <c r="AG1867" s="4144"/>
      <c r="AH1867" s="4144"/>
      <c r="AI1867" s="4144"/>
    </row>
    <row r="1868" s="32" customFormat="1" ht="37.5" customHeight="1" spans="1:35">
      <c r="A1868" s="4084"/>
      <c r="B1868" s="4268"/>
      <c r="C1868" s="4190"/>
      <c r="D1868" s="3967"/>
      <c r="E1868" s="4011"/>
      <c r="F1868" s="4011"/>
      <c r="G1868" s="4098"/>
      <c r="H1868" s="4011"/>
      <c r="I1868" s="4098"/>
      <c r="J1868" s="4098"/>
      <c r="K1868" s="4084"/>
      <c r="L1868" s="4098"/>
      <c r="M1868" s="4011">
        <v>3</v>
      </c>
      <c r="N1868" s="185" t="s">
        <v>6925</v>
      </c>
      <c r="O1868" s="4209">
        <v>0.05</v>
      </c>
      <c r="P1868" s="4210">
        <f>K1866*O1868</f>
        <v>5000</v>
      </c>
      <c r="Q1868" s="4105">
        <v>2169.81</v>
      </c>
      <c r="R1868" s="4189" t="s">
        <v>4603</v>
      </c>
      <c r="S1868" s="4106">
        <v>45923</v>
      </c>
      <c r="T1868" s="4105">
        <v>2169.81</v>
      </c>
      <c r="U1868" s="4106">
        <v>45923</v>
      </c>
      <c r="V1868" s="4105">
        <v>2169.81</v>
      </c>
      <c r="W1868" s="4106">
        <v>45924</v>
      </c>
      <c r="X1868" s="4105">
        <v>2169.81</v>
      </c>
      <c r="Y1868" s="4106">
        <v>45928</v>
      </c>
      <c r="Z1868" s="4144"/>
      <c r="AA1868" s="4144"/>
      <c r="AB1868" s="4105"/>
      <c r="AC1868" s="4105"/>
      <c r="AD1868" s="4144"/>
      <c r="AE1868" s="4144"/>
      <c r="AF1868" s="4144"/>
      <c r="AG1868" s="4144"/>
      <c r="AH1868" s="4144"/>
      <c r="AI1868" s="4144"/>
    </row>
    <row r="1869" s="32" customFormat="1" ht="37.5" customHeight="1" spans="1:35">
      <c r="A1869" s="3967" t="s">
        <v>2570</v>
      </c>
      <c r="B1869" s="4279">
        <v>44915</v>
      </c>
      <c r="C1869" s="4265" t="s">
        <v>6861</v>
      </c>
      <c r="D1869" s="3967"/>
      <c r="E1869" s="4010" t="s">
        <v>6926</v>
      </c>
      <c r="F1869" s="4010" t="s">
        <v>6927</v>
      </c>
      <c r="G1869" s="3967" t="s">
        <v>3723</v>
      </c>
      <c r="H1869" s="4010" t="s">
        <v>6399</v>
      </c>
      <c r="I1869" s="3967"/>
      <c r="J1869" s="4308" t="s">
        <v>5255</v>
      </c>
      <c r="K1869" s="3967">
        <v>1140000</v>
      </c>
      <c r="L1869" s="4010" t="s">
        <v>126</v>
      </c>
      <c r="M1869" s="4011">
        <v>1</v>
      </c>
      <c r="N1869" s="2618" t="s">
        <v>6928</v>
      </c>
      <c r="O1869" s="4209">
        <v>0.2</v>
      </c>
      <c r="P1869" s="4210">
        <v>228000</v>
      </c>
      <c r="Q1869" s="4210">
        <v>228000</v>
      </c>
      <c r="R1869" s="4189" t="s">
        <v>4603</v>
      </c>
      <c r="S1869" s="4106">
        <v>44918</v>
      </c>
      <c r="T1869" s="4210">
        <v>228000</v>
      </c>
      <c r="U1869" s="4106">
        <v>44918</v>
      </c>
      <c r="V1869" s="4210">
        <v>228000</v>
      </c>
      <c r="W1869" s="4106">
        <v>44971</v>
      </c>
      <c r="X1869" s="4210">
        <v>228000</v>
      </c>
      <c r="Y1869" s="4106">
        <v>44980</v>
      </c>
      <c r="Z1869" s="4144"/>
      <c r="AA1869" s="4144"/>
      <c r="AB1869" s="4105"/>
      <c r="AC1869" s="4105"/>
      <c r="AD1869" s="4144"/>
      <c r="AE1869" s="4144"/>
      <c r="AF1869" s="4144"/>
      <c r="AG1869" s="4144"/>
      <c r="AH1869" s="4144"/>
      <c r="AI1869" s="4144"/>
    </row>
    <row r="1870" s="32" customFormat="1" ht="37.5" customHeight="1" spans="1:35">
      <c r="A1870" s="4084"/>
      <c r="B1870" s="4086"/>
      <c r="C1870" s="4266"/>
      <c r="D1870" s="4084"/>
      <c r="E1870" s="4086"/>
      <c r="F1870" s="4086"/>
      <c r="G1870" s="4084"/>
      <c r="H1870" s="4086"/>
      <c r="I1870" s="4084"/>
      <c r="J1870" s="4309"/>
      <c r="K1870" s="4084"/>
      <c r="L1870" s="4084"/>
      <c r="M1870" s="4011">
        <v>2</v>
      </c>
      <c r="N1870" s="2618" t="s">
        <v>6929</v>
      </c>
      <c r="O1870" s="4209">
        <v>0.3</v>
      </c>
      <c r="P1870" s="4210">
        <v>342000</v>
      </c>
      <c r="Q1870" s="4210">
        <v>342000</v>
      </c>
      <c r="R1870" s="4189" t="s">
        <v>4603</v>
      </c>
      <c r="S1870" s="4106">
        <v>44918</v>
      </c>
      <c r="T1870" s="4210">
        <v>342000</v>
      </c>
      <c r="U1870" s="4106">
        <v>44918</v>
      </c>
      <c r="V1870" s="4210">
        <v>342000</v>
      </c>
      <c r="W1870" s="4106">
        <v>44971</v>
      </c>
      <c r="X1870" s="4210">
        <v>342000</v>
      </c>
      <c r="Y1870" s="4106">
        <v>44980</v>
      </c>
      <c r="Z1870" s="4144"/>
      <c r="AA1870" s="4144"/>
      <c r="AB1870" s="4105"/>
      <c r="AC1870" s="4105"/>
      <c r="AD1870" s="4144"/>
      <c r="AE1870" s="4144"/>
      <c r="AF1870" s="4144"/>
      <c r="AG1870" s="4144"/>
      <c r="AH1870" s="4144"/>
      <c r="AI1870" s="4144"/>
    </row>
    <row r="1871" s="32" customFormat="1" ht="37.5" customHeight="1" spans="1:35">
      <c r="A1871" s="4084"/>
      <c r="B1871" s="4086"/>
      <c r="C1871" s="4266"/>
      <c r="D1871" s="4084"/>
      <c r="E1871" s="4086"/>
      <c r="F1871" s="4086"/>
      <c r="G1871" s="4084"/>
      <c r="H1871" s="4086"/>
      <c r="I1871" s="4084"/>
      <c r="J1871" s="4309"/>
      <c r="K1871" s="4084"/>
      <c r="L1871" s="4084"/>
      <c r="M1871" s="4011">
        <v>3</v>
      </c>
      <c r="N1871" s="2618" t="s">
        <v>6930</v>
      </c>
      <c r="O1871" s="4209">
        <v>0.2</v>
      </c>
      <c r="P1871" s="4210">
        <v>228000</v>
      </c>
      <c r="Q1871" s="4210">
        <v>228000</v>
      </c>
      <c r="R1871" s="4189" t="s">
        <v>4603</v>
      </c>
      <c r="S1871" s="4106">
        <v>44918</v>
      </c>
      <c r="T1871" s="4210">
        <v>228000</v>
      </c>
      <c r="U1871" s="4106">
        <v>44918</v>
      </c>
      <c r="V1871" s="4210">
        <v>228000</v>
      </c>
      <c r="W1871" s="4106">
        <v>45026</v>
      </c>
      <c r="X1871" s="4210">
        <v>228000</v>
      </c>
      <c r="Y1871" s="4106">
        <v>45041</v>
      </c>
      <c r="Z1871" s="4144"/>
      <c r="AA1871" s="4144"/>
      <c r="AB1871" s="4105"/>
      <c r="AC1871" s="4105"/>
      <c r="AD1871" s="4144"/>
      <c r="AE1871" s="4144"/>
      <c r="AF1871" s="4144"/>
      <c r="AG1871" s="4144"/>
      <c r="AH1871" s="4144"/>
      <c r="AI1871" s="4144"/>
    </row>
    <row r="1872" s="32" customFormat="1" ht="37.5" customHeight="1" spans="1:35">
      <c r="A1872" s="4084"/>
      <c r="B1872" s="4086"/>
      <c r="C1872" s="4266"/>
      <c r="D1872" s="4084"/>
      <c r="E1872" s="4086"/>
      <c r="F1872" s="4086"/>
      <c r="G1872" s="4084"/>
      <c r="H1872" s="4086"/>
      <c r="I1872" s="4084"/>
      <c r="J1872" s="4309"/>
      <c r="K1872" s="4084"/>
      <c r="L1872" s="4084"/>
      <c r="M1872" s="4011">
        <v>4</v>
      </c>
      <c r="N1872" s="2618" t="s">
        <v>6931</v>
      </c>
      <c r="O1872" s="4209">
        <v>0.2</v>
      </c>
      <c r="P1872" s="4210">
        <v>228000</v>
      </c>
      <c r="Q1872" s="4210">
        <v>228000</v>
      </c>
      <c r="R1872" s="4189" t="s">
        <v>4603</v>
      </c>
      <c r="S1872" s="4106">
        <v>44918</v>
      </c>
      <c r="T1872" s="4210">
        <v>228000</v>
      </c>
      <c r="U1872" s="4106">
        <v>44918</v>
      </c>
      <c r="V1872" s="4210">
        <v>228000</v>
      </c>
      <c r="W1872" s="4106">
        <v>45208</v>
      </c>
      <c r="X1872" s="4210">
        <v>228000</v>
      </c>
      <c r="Y1872" s="4106">
        <v>45224</v>
      </c>
      <c r="Z1872" s="4144"/>
      <c r="AA1872" s="4144"/>
      <c r="AB1872" s="4105"/>
      <c r="AC1872" s="4105"/>
      <c r="AD1872" s="4144"/>
      <c r="AE1872" s="4144"/>
      <c r="AF1872" s="4144"/>
      <c r="AG1872" s="4144"/>
      <c r="AH1872" s="4144"/>
      <c r="AI1872" s="4144"/>
    </row>
    <row r="1873" s="32" customFormat="1" ht="37.5" customHeight="1" spans="1:35">
      <c r="A1873" s="658"/>
      <c r="B1873" s="684"/>
      <c r="C1873" s="660"/>
      <c r="D1873" s="658"/>
      <c r="E1873" s="684"/>
      <c r="F1873" s="684"/>
      <c r="G1873" s="658"/>
      <c r="H1873" s="684"/>
      <c r="I1873" s="658"/>
      <c r="J1873" s="4310"/>
      <c r="K1873" s="658"/>
      <c r="L1873" s="658"/>
      <c r="M1873" s="4011">
        <v>5</v>
      </c>
      <c r="N1873" s="2618" t="s">
        <v>6932</v>
      </c>
      <c r="O1873" s="4209">
        <v>0.1</v>
      </c>
      <c r="P1873" s="4210">
        <v>114000</v>
      </c>
      <c r="Q1873" s="4105">
        <v>114000</v>
      </c>
      <c r="R1873" s="4189" t="s">
        <v>4603</v>
      </c>
      <c r="S1873" s="4106">
        <v>45960</v>
      </c>
      <c r="T1873" s="4105">
        <v>114000</v>
      </c>
      <c r="U1873" s="4106">
        <v>45960</v>
      </c>
      <c r="V1873" s="4105">
        <v>114000</v>
      </c>
      <c r="W1873" s="4106">
        <v>45979</v>
      </c>
      <c r="X1873" s="4307">
        <v>114000</v>
      </c>
      <c r="Y1873" s="4234">
        <v>46016</v>
      </c>
      <c r="Z1873" s="4144"/>
      <c r="AA1873" s="4144"/>
      <c r="AB1873" s="4105"/>
      <c r="AC1873" s="4105"/>
      <c r="AD1873" s="4144"/>
      <c r="AE1873" s="4144"/>
      <c r="AF1873" s="4144"/>
      <c r="AG1873" s="4144"/>
      <c r="AH1873" s="4144"/>
      <c r="AI1873" s="4144"/>
    </row>
    <row r="1874" s="32" customFormat="1" ht="37.5" customHeight="1" spans="1:35">
      <c r="A1874" s="4098" t="s">
        <v>2570</v>
      </c>
      <c r="B1874" s="4279">
        <v>44915</v>
      </c>
      <c r="C1874" s="4190" t="s">
        <v>6861</v>
      </c>
      <c r="D1874" s="4098"/>
      <c r="E1874" s="4011" t="s">
        <v>6933</v>
      </c>
      <c r="F1874" s="4011" t="s">
        <v>6934</v>
      </c>
      <c r="G1874" s="4098" t="s">
        <v>6935</v>
      </c>
      <c r="H1874" s="4011" t="s">
        <v>6936</v>
      </c>
      <c r="I1874" s="4098"/>
      <c r="J1874" s="4098"/>
      <c r="K1874" s="4098">
        <v>480000</v>
      </c>
      <c r="L1874" s="4098" t="s">
        <v>126</v>
      </c>
      <c r="M1874" s="4011">
        <v>1</v>
      </c>
      <c r="N1874" s="2618" t="s">
        <v>6937</v>
      </c>
      <c r="O1874" s="4209">
        <v>0.15</v>
      </c>
      <c r="P1874" s="4210">
        <v>72000</v>
      </c>
      <c r="Q1874" s="4210">
        <v>72000</v>
      </c>
      <c r="R1874" s="4189" t="s">
        <v>4603</v>
      </c>
      <c r="S1874" s="4106">
        <v>44924</v>
      </c>
      <c r="T1874" s="4210">
        <v>72000</v>
      </c>
      <c r="U1874" s="4106">
        <v>44924</v>
      </c>
      <c r="V1874" s="4210">
        <v>72000</v>
      </c>
      <c r="W1874" s="4106">
        <v>44971</v>
      </c>
      <c r="X1874" s="4210">
        <v>72000</v>
      </c>
      <c r="Y1874" s="4106">
        <v>44980</v>
      </c>
      <c r="Z1874" s="4144"/>
      <c r="AA1874" s="4144"/>
      <c r="AB1874" s="4105"/>
      <c r="AC1874" s="4105"/>
      <c r="AD1874" s="4144"/>
      <c r="AE1874" s="4144"/>
      <c r="AF1874" s="4144"/>
      <c r="AG1874" s="4144"/>
      <c r="AH1874" s="4144"/>
      <c r="AI1874" s="4144"/>
    </row>
    <row r="1875" s="32" customFormat="1" ht="37.5" customHeight="1" spans="1:35">
      <c r="A1875" s="4098"/>
      <c r="B1875" s="4280"/>
      <c r="C1875" s="4190"/>
      <c r="D1875" s="4098"/>
      <c r="E1875" s="4011"/>
      <c r="F1875" s="4011"/>
      <c r="G1875" s="4098"/>
      <c r="H1875" s="4011"/>
      <c r="I1875" s="4098"/>
      <c r="J1875" s="4098"/>
      <c r="K1875" s="4098"/>
      <c r="L1875" s="4098"/>
      <c r="M1875" s="4011">
        <v>2</v>
      </c>
      <c r="N1875" s="2618" t="s">
        <v>6938</v>
      </c>
      <c r="O1875" s="4209">
        <v>0.35</v>
      </c>
      <c r="P1875" s="4210">
        <v>168000</v>
      </c>
      <c r="Q1875" s="4210">
        <v>168000</v>
      </c>
      <c r="R1875" s="4189" t="s">
        <v>4603</v>
      </c>
      <c r="S1875" s="4106">
        <v>44924</v>
      </c>
      <c r="T1875" s="4210">
        <v>168000</v>
      </c>
      <c r="U1875" s="4106">
        <v>44924</v>
      </c>
      <c r="V1875" s="4210">
        <v>168000</v>
      </c>
      <c r="W1875" s="4106">
        <v>44971</v>
      </c>
      <c r="X1875" s="4210">
        <v>168000</v>
      </c>
      <c r="Y1875" s="4106">
        <v>44980</v>
      </c>
      <c r="Z1875" s="4144"/>
      <c r="AA1875" s="4144"/>
      <c r="AB1875" s="4105"/>
      <c r="AC1875" s="4105"/>
      <c r="AD1875" s="4144"/>
      <c r="AE1875" s="4144"/>
      <c r="AF1875" s="4144"/>
      <c r="AG1875" s="4144"/>
      <c r="AH1875" s="4144"/>
      <c r="AI1875" s="4144"/>
    </row>
    <row r="1876" s="32" customFormat="1" ht="37.5" customHeight="1" spans="1:35">
      <c r="A1876" s="4098"/>
      <c r="B1876" s="4280"/>
      <c r="C1876" s="4190"/>
      <c r="D1876" s="4098"/>
      <c r="E1876" s="4011"/>
      <c r="F1876" s="4011"/>
      <c r="G1876" s="4098"/>
      <c r="H1876" s="4011"/>
      <c r="I1876" s="4098"/>
      <c r="J1876" s="4098"/>
      <c r="K1876" s="4098"/>
      <c r="L1876" s="4098"/>
      <c r="M1876" s="4011">
        <v>3</v>
      </c>
      <c r="N1876" s="2618" t="s">
        <v>6939</v>
      </c>
      <c r="O1876" s="4209">
        <v>0.45</v>
      </c>
      <c r="P1876" s="4210">
        <v>216000</v>
      </c>
      <c r="Q1876" s="4210">
        <v>216000</v>
      </c>
      <c r="R1876" s="4189" t="s">
        <v>4603</v>
      </c>
      <c r="S1876" s="4106">
        <v>44924</v>
      </c>
      <c r="T1876" s="4210">
        <v>216000</v>
      </c>
      <c r="U1876" s="4106">
        <v>44924</v>
      </c>
      <c r="V1876" s="4105">
        <v>216000</v>
      </c>
      <c r="W1876" s="4106">
        <v>45061</v>
      </c>
      <c r="X1876" s="4105">
        <v>216000</v>
      </c>
      <c r="Y1876" s="4106">
        <v>45273</v>
      </c>
      <c r="Z1876" s="4144"/>
      <c r="AA1876" s="4144"/>
      <c r="AB1876" s="4105"/>
      <c r="AC1876" s="4105"/>
      <c r="AD1876" s="4144"/>
      <c r="AE1876" s="4144"/>
      <c r="AF1876" s="4144"/>
      <c r="AG1876" s="4144"/>
      <c r="AH1876" s="4144"/>
      <c r="AI1876" s="4144"/>
    </row>
    <row r="1877" s="32" customFormat="1" ht="37.5" customHeight="1" spans="1:35">
      <c r="A1877" s="4098"/>
      <c r="B1877" s="4281"/>
      <c r="C1877" s="4190"/>
      <c r="D1877" s="4098"/>
      <c r="E1877" s="4011"/>
      <c r="F1877" s="4011"/>
      <c r="G1877" s="4098"/>
      <c r="H1877" s="4011"/>
      <c r="I1877" s="4098"/>
      <c r="J1877" s="4098"/>
      <c r="K1877" s="4098"/>
      <c r="L1877" s="4098"/>
      <c r="M1877" s="4011">
        <v>4</v>
      </c>
      <c r="N1877" s="2618" t="s">
        <v>6940</v>
      </c>
      <c r="O1877" s="4209">
        <v>0.05</v>
      </c>
      <c r="P1877" s="4210">
        <v>24000</v>
      </c>
      <c r="Q1877" s="4105"/>
      <c r="R1877" s="4189"/>
      <c r="S1877" s="4106"/>
      <c r="T1877" s="4105"/>
      <c r="U1877" s="4106"/>
      <c r="V1877" s="4105"/>
      <c r="W1877" s="4105"/>
      <c r="X1877" s="4105"/>
      <c r="Y1877" s="4105"/>
      <c r="Z1877" s="4144"/>
      <c r="AA1877" s="4144"/>
      <c r="AB1877" s="4105"/>
      <c r="AC1877" s="4105"/>
      <c r="AD1877" s="4144"/>
      <c r="AE1877" s="4144"/>
      <c r="AF1877" s="4144"/>
      <c r="AG1877" s="4144"/>
      <c r="AH1877" s="4144"/>
      <c r="AI1877" s="4144"/>
    </row>
    <row r="1878" s="32" customFormat="1" ht="37.5" customHeight="1" spans="1:35">
      <c r="A1878" s="4098" t="s">
        <v>2570</v>
      </c>
      <c r="B1878" s="4279">
        <v>44916</v>
      </c>
      <c r="C1878" s="4190" t="s">
        <v>6861</v>
      </c>
      <c r="D1878" s="4098"/>
      <c r="E1878" s="4011" t="s">
        <v>6941</v>
      </c>
      <c r="F1878" s="4011" t="s">
        <v>6942</v>
      </c>
      <c r="G1878" s="4098" t="s">
        <v>3461</v>
      </c>
      <c r="H1878" s="4011" t="s">
        <v>6943</v>
      </c>
      <c r="I1878" s="4098"/>
      <c r="J1878" s="4098" t="s">
        <v>997</v>
      </c>
      <c r="K1878" s="4098">
        <v>300000</v>
      </c>
      <c r="L1878" s="4098" t="s">
        <v>126</v>
      </c>
      <c r="M1878" s="4011">
        <v>1</v>
      </c>
      <c r="N1878" s="2618" t="s">
        <v>6944</v>
      </c>
      <c r="O1878" s="4209">
        <v>0.2</v>
      </c>
      <c r="P1878" s="4210">
        <v>60000</v>
      </c>
      <c r="Q1878" s="4210">
        <v>60000</v>
      </c>
      <c r="R1878" s="4189" t="s">
        <v>4603</v>
      </c>
      <c r="S1878" s="4106">
        <v>44924</v>
      </c>
      <c r="T1878" s="4210">
        <v>60000</v>
      </c>
      <c r="U1878" s="4106">
        <v>44924</v>
      </c>
      <c r="V1878" s="4210">
        <v>60000</v>
      </c>
      <c r="W1878" s="4106">
        <v>44971</v>
      </c>
      <c r="X1878" s="4210">
        <v>60000</v>
      </c>
      <c r="Y1878" s="4106">
        <v>44984</v>
      </c>
      <c r="Z1878" s="4144"/>
      <c r="AA1878" s="4144"/>
      <c r="AB1878" s="4105"/>
      <c r="AC1878" s="4105"/>
      <c r="AD1878" s="4144"/>
      <c r="AE1878" s="4144"/>
      <c r="AF1878" s="4144"/>
      <c r="AG1878" s="4144"/>
      <c r="AH1878" s="4144"/>
      <c r="AI1878" s="4144"/>
    </row>
    <row r="1879" s="32" customFormat="1" ht="37.5" customHeight="1" spans="1:35">
      <c r="A1879" s="4098"/>
      <c r="B1879" s="4280"/>
      <c r="C1879" s="4190"/>
      <c r="D1879" s="4098"/>
      <c r="E1879" s="4011"/>
      <c r="F1879" s="4011"/>
      <c r="G1879" s="4098"/>
      <c r="H1879" s="4011"/>
      <c r="I1879" s="4098"/>
      <c r="J1879" s="4098"/>
      <c r="K1879" s="4098"/>
      <c r="L1879" s="4098"/>
      <c r="M1879" s="4011">
        <v>2</v>
      </c>
      <c r="N1879" s="2618" t="s">
        <v>6945</v>
      </c>
      <c r="O1879" s="4209">
        <v>0.6</v>
      </c>
      <c r="P1879" s="4210">
        <v>180000</v>
      </c>
      <c r="Q1879" s="4210">
        <v>180000</v>
      </c>
      <c r="R1879" s="4189" t="s">
        <v>4603</v>
      </c>
      <c r="S1879" s="4106">
        <v>44924</v>
      </c>
      <c r="T1879" s="4210">
        <v>180000</v>
      </c>
      <c r="U1879" s="4106">
        <v>44924</v>
      </c>
      <c r="V1879" s="4105">
        <v>180000</v>
      </c>
      <c r="W1879" s="4106">
        <v>44971</v>
      </c>
      <c r="X1879" s="4105">
        <v>180000</v>
      </c>
      <c r="Y1879" s="4106">
        <v>45121</v>
      </c>
      <c r="Z1879" s="4144"/>
      <c r="AA1879" s="4144"/>
      <c r="AB1879" s="4105"/>
      <c r="AC1879" s="4105"/>
      <c r="AD1879" s="4144"/>
      <c r="AE1879" s="4144"/>
      <c r="AF1879" s="4144"/>
      <c r="AG1879" s="4144"/>
      <c r="AH1879" s="4144"/>
      <c r="AI1879" s="4144"/>
    </row>
    <row r="1880" s="32" customFormat="1" ht="37.5" customHeight="1" spans="1:35">
      <c r="A1880" s="4098"/>
      <c r="B1880" s="4280"/>
      <c r="C1880" s="4190"/>
      <c r="D1880" s="4098"/>
      <c r="E1880" s="4011"/>
      <c r="F1880" s="4011"/>
      <c r="G1880" s="4098"/>
      <c r="H1880" s="4011"/>
      <c r="I1880" s="4098"/>
      <c r="J1880" s="4098"/>
      <c r="K1880" s="4098"/>
      <c r="L1880" s="4098"/>
      <c r="M1880" s="4010">
        <v>3</v>
      </c>
      <c r="N1880" s="705" t="s">
        <v>6946</v>
      </c>
      <c r="O1880" s="4209">
        <v>0.1</v>
      </c>
      <c r="P1880" s="4210">
        <f>K1878*O1880</f>
        <v>30000</v>
      </c>
      <c r="Q1880" s="4210">
        <v>30000</v>
      </c>
      <c r="R1880" s="4189" t="s">
        <v>4603</v>
      </c>
      <c r="S1880" s="4106">
        <v>45279</v>
      </c>
      <c r="T1880" s="4210">
        <v>30000</v>
      </c>
      <c r="U1880" s="4106">
        <v>45279</v>
      </c>
      <c r="V1880" s="4105">
        <v>30000</v>
      </c>
      <c r="W1880" s="4106">
        <v>45979</v>
      </c>
      <c r="X1880" s="4307">
        <v>30000</v>
      </c>
      <c r="Y1880" s="4234">
        <v>46016</v>
      </c>
      <c r="Z1880" s="4144"/>
      <c r="AA1880" s="4144"/>
      <c r="AB1880" s="4105"/>
      <c r="AC1880" s="4105"/>
      <c r="AD1880" s="4144"/>
      <c r="AE1880" s="4144"/>
      <c r="AF1880" s="4144"/>
      <c r="AG1880" s="4144"/>
      <c r="AH1880" s="4144"/>
      <c r="AI1880" s="4144"/>
    </row>
    <row r="1881" s="32" customFormat="1" ht="37.5" customHeight="1" spans="1:35">
      <c r="A1881" s="4098"/>
      <c r="B1881" s="4281"/>
      <c r="C1881" s="4190"/>
      <c r="D1881" s="4098"/>
      <c r="E1881" s="4011"/>
      <c r="F1881" s="4011"/>
      <c r="G1881" s="4098"/>
      <c r="H1881" s="4011"/>
      <c r="I1881" s="4098"/>
      <c r="J1881" s="4098"/>
      <c r="K1881" s="4098"/>
      <c r="L1881" s="4098"/>
      <c r="M1881" s="684"/>
      <c r="N1881" s="3558"/>
      <c r="O1881" s="4209">
        <v>0.1</v>
      </c>
      <c r="P1881" s="4210">
        <f>K1878*O1881</f>
        <v>30000</v>
      </c>
      <c r="Q1881" s="4105">
        <v>30000</v>
      </c>
      <c r="R1881" s="4189" t="s">
        <v>349</v>
      </c>
      <c r="S1881" s="4106">
        <v>45971</v>
      </c>
      <c r="T1881" s="4105">
        <v>30000</v>
      </c>
      <c r="U1881" s="4106">
        <v>45971</v>
      </c>
      <c r="V1881" s="4105">
        <v>30000</v>
      </c>
      <c r="W1881" s="4106">
        <v>45979</v>
      </c>
      <c r="X1881" s="4307">
        <v>30000</v>
      </c>
      <c r="Y1881" s="4234">
        <v>46016</v>
      </c>
      <c r="Z1881" s="4144"/>
      <c r="AA1881" s="4144"/>
      <c r="AB1881" s="4105"/>
      <c r="AC1881" s="4105"/>
      <c r="AD1881" s="4144"/>
      <c r="AE1881" s="4144"/>
      <c r="AF1881" s="4144"/>
      <c r="AG1881" s="4144"/>
      <c r="AH1881" s="4144"/>
      <c r="AI1881" s="4144"/>
    </row>
    <row r="1882" s="32" customFormat="1" ht="37.5" customHeight="1" spans="1:35">
      <c r="A1882" s="4098" t="s">
        <v>2570</v>
      </c>
      <c r="B1882" s="4279">
        <v>44923</v>
      </c>
      <c r="C1882" s="4190" t="s">
        <v>6861</v>
      </c>
      <c r="D1882" s="4098"/>
      <c r="E1882" s="4011" t="s">
        <v>6947</v>
      </c>
      <c r="F1882" s="4011" t="s">
        <v>6948</v>
      </c>
      <c r="G1882" s="4098" t="s">
        <v>6949</v>
      </c>
      <c r="H1882" s="4011" t="s">
        <v>6950</v>
      </c>
      <c r="I1882" s="4098"/>
      <c r="J1882" s="4098" t="s">
        <v>997</v>
      </c>
      <c r="K1882" s="4098">
        <v>150000</v>
      </c>
      <c r="L1882" s="4098" t="s">
        <v>126</v>
      </c>
      <c r="M1882" s="4011">
        <v>1</v>
      </c>
      <c r="N1882" s="2618" t="s">
        <v>6951</v>
      </c>
      <c r="O1882" s="4209">
        <v>0.15</v>
      </c>
      <c r="P1882" s="4210">
        <f>O1882*$K$1882</f>
        <v>22500</v>
      </c>
      <c r="Q1882" s="4210">
        <v>22500</v>
      </c>
      <c r="R1882" s="4189" t="s">
        <v>4603</v>
      </c>
      <c r="S1882" s="4106">
        <v>44925</v>
      </c>
      <c r="T1882" s="4210">
        <v>22500</v>
      </c>
      <c r="U1882" s="4106">
        <v>44925</v>
      </c>
      <c r="V1882" s="4210">
        <v>22500</v>
      </c>
      <c r="W1882" s="4106">
        <v>44983</v>
      </c>
      <c r="X1882" s="4210">
        <v>22500</v>
      </c>
      <c r="Y1882" s="4106">
        <v>44995</v>
      </c>
      <c r="Z1882" s="4144"/>
      <c r="AA1882" s="4144"/>
      <c r="AB1882" s="4105"/>
      <c r="AC1882" s="4105"/>
      <c r="AD1882" s="4144"/>
      <c r="AE1882" s="4144"/>
      <c r="AF1882" s="4144"/>
      <c r="AG1882" s="4144"/>
      <c r="AH1882" s="4144"/>
      <c r="AI1882" s="4144"/>
    </row>
    <row r="1883" s="32" customFormat="1" ht="37.5" customHeight="1" spans="1:35">
      <c r="A1883" s="4098"/>
      <c r="B1883" s="4280"/>
      <c r="C1883" s="4190"/>
      <c r="D1883" s="4098"/>
      <c r="E1883" s="4011"/>
      <c r="F1883" s="4011"/>
      <c r="G1883" s="4098"/>
      <c r="H1883" s="4011"/>
      <c r="I1883" s="4098"/>
      <c r="J1883" s="4098"/>
      <c r="K1883" s="4098"/>
      <c r="L1883" s="4098"/>
      <c r="M1883" s="4011">
        <v>2</v>
      </c>
      <c r="N1883" s="2618" t="s">
        <v>6952</v>
      </c>
      <c r="O1883" s="4209">
        <v>0.35</v>
      </c>
      <c r="P1883" s="4210">
        <f>O1883*$K$1882</f>
        <v>52500</v>
      </c>
      <c r="Q1883" s="4210">
        <v>52500</v>
      </c>
      <c r="R1883" s="4189" t="s">
        <v>4603</v>
      </c>
      <c r="S1883" s="4106">
        <v>44925</v>
      </c>
      <c r="T1883" s="4210">
        <v>52500</v>
      </c>
      <c r="U1883" s="4106">
        <v>44925</v>
      </c>
      <c r="V1883" s="4210">
        <v>52500</v>
      </c>
      <c r="W1883" s="4106">
        <v>44983</v>
      </c>
      <c r="X1883" s="4210">
        <v>52500</v>
      </c>
      <c r="Y1883" s="4106">
        <v>44995</v>
      </c>
      <c r="Z1883" s="4144"/>
      <c r="AA1883" s="4144"/>
      <c r="AB1883" s="4105"/>
      <c r="AC1883" s="4105"/>
      <c r="AD1883" s="4144"/>
      <c r="AE1883" s="4144"/>
      <c r="AF1883" s="4144"/>
      <c r="AG1883" s="4144"/>
      <c r="AH1883" s="4144"/>
      <c r="AI1883" s="4144"/>
    </row>
    <row r="1884" s="32" customFormat="1" ht="37.5" customHeight="1" spans="1:35">
      <c r="A1884" s="4098"/>
      <c r="B1884" s="4280"/>
      <c r="C1884" s="4190"/>
      <c r="D1884" s="4098"/>
      <c r="E1884" s="4011"/>
      <c r="F1884" s="4011"/>
      <c r="G1884" s="4098"/>
      <c r="H1884" s="4011"/>
      <c r="I1884" s="4098"/>
      <c r="J1884" s="4098"/>
      <c r="K1884" s="4098"/>
      <c r="L1884" s="4098"/>
      <c r="M1884" s="4010">
        <v>3</v>
      </c>
      <c r="N1884" s="4311" t="s">
        <v>6953</v>
      </c>
      <c r="O1884" s="4209">
        <v>0.45</v>
      </c>
      <c r="P1884" s="4312">
        <f>K1882*O1884</f>
        <v>67500</v>
      </c>
      <c r="Q1884" s="4210">
        <v>67500</v>
      </c>
      <c r="R1884" s="4189" t="s">
        <v>4603</v>
      </c>
      <c r="S1884" s="4106">
        <v>45089</v>
      </c>
      <c r="T1884" s="4210">
        <v>67500</v>
      </c>
      <c r="U1884" s="4106">
        <v>45089</v>
      </c>
      <c r="V1884" s="4233"/>
      <c r="W1884" s="4106"/>
      <c r="X1884" s="4233"/>
      <c r="Y1884" s="4240"/>
      <c r="Z1884" s="4144"/>
      <c r="AA1884" s="4144"/>
      <c r="AB1884" s="4105"/>
      <c r="AC1884" s="4105"/>
      <c r="AD1884" s="4144"/>
      <c r="AE1884" s="4144"/>
      <c r="AF1884" s="4144"/>
      <c r="AG1884" s="4144"/>
      <c r="AH1884" s="4144"/>
      <c r="AI1884" s="4144"/>
    </row>
    <row r="1885" s="32" customFormat="1" ht="37.5" customHeight="1" spans="1:35">
      <c r="A1885" s="4098"/>
      <c r="B1885" s="4281"/>
      <c r="C1885" s="4190"/>
      <c r="D1885" s="4098"/>
      <c r="E1885" s="4011"/>
      <c r="F1885" s="4011"/>
      <c r="G1885" s="4098"/>
      <c r="H1885" s="4011"/>
      <c r="I1885" s="4098"/>
      <c r="J1885" s="4098"/>
      <c r="K1885" s="4098"/>
      <c r="L1885" s="4098"/>
      <c r="M1885" s="684"/>
      <c r="N1885" s="3558"/>
      <c r="O1885" s="4209">
        <v>0.05</v>
      </c>
      <c r="P1885" s="4210">
        <f>K1882*O1885</f>
        <v>7500</v>
      </c>
      <c r="Q1885" s="4210">
        <v>7500</v>
      </c>
      <c r="R1885" s="4189" t="s">
        <v>4603</v>
      </c>
      <c r="S1885" s="4106">
        <v>45279</v>
      </c>
      <c r="T1885" s="4210">
        <v>7500</v>
      </c>
      <c r="U1885" s="4106">
        <v>45279</v>
      </c>
      <c r="V1885" s="4105"/>
      <c r="W1885" s="4105"/>
      <c r="X1885" s="4105"/>
      <c r="Y1885" s="4105"/>
      <c r="Z1885" s="4144"/>
      <c r="AA1885" s="4144"/>
      <c r="AB1885" s="4105"/>
      <c r="AC1885" s="4105"/>
      <c r="AD1885" s="4144"/>
      <c r="AE1885" s="4144"/>
      <c r="AF1885" s="4144"/>
      <c r="AG1885" s="4144"/>
      <c r="AH1885" s="4144"/>
      <c r="AI1885" s="4144"/>
    </row>
    <row r="1886" s="32" customFormat="1" ht="37.5" customHeight="1" spans="1:35">
      <c r="A1886" s="3967" t="s">
        <v>2570</v>
      </c>
      <c r="B1886" s="4279">
        <v>44923</v>
      </c>
      <c r="C1886" s="4265" t="s">
        <v>6861</v>
      </c>
      <c r="D1886" s="3967"/>
      <c r="E1886" s="4010" t="s">
        <v>6954</v>
      </c>
      <c r="F1886" s="4010" t="s">
        <v>6955</v>
      </c>
      <c r="G1886" s="3967" t="s">
        <v>3652</v>
      </c>
      <c r="H1886" s="4010" t="s">
        <v>6950</v>
      </c>
      <c r="I1886" s="3967"/>
      <c r="J1886" s="3967" t="s">
        <v>997</v>
      </c>
      <c r="K1886" s="3967">
        <v>390000</v>
      </c>
      <c r="L1886" s="3967" t="s">
        <v>126</v>
      </c>
      <c r="M1886" s="4011">
        <v>1</v>
      </c>
      <c r="N1886" s="2618" t="s">
        <v>6956</v>
      </c>
      <c r="O1886" s="4209">
        <v>0.15</v>
      </c>
      <c r="P1886" s="4210">
        <f>O1886*$K$1886</f>
        <v>58500</v>
      </c>
      <c r="Q1886" s="4210">
        <v>58500</v>
      </c>
      <c r="R1886" s="4189" t="s">
        <v>4603</v>
      </c>
      <c r="S1886" s="4106">
        <v>44925</v>
      </c>
      <c r="T1886" s="4210">
        <v>58500</v>
      </c>
      <c r="U1886" s="4106">
        <v>44925</v>
      </c>
      <c r="V1886" s="4210">
        <v>58500</v>
      </c>
      <c r="W1886" s="4106">
        <v>44983</v>
      </c>
      <c r="X1886" s="4210">
        <v>58500</v>
      </c>
      <c r="Y1886" s="4106">
        <v>44995</v>
      </c>
      <c r="Z1886" s="4144"/>
      <c r="AA1886" s="4144"/>
      <c r="AB1886" s="4105"/>
      <c r="AC1886" s="4105"/>
      <c r="AD1886" s="4144"/>
      <c r="AE1886" s="4144"/>
      <c r="AF1886" s="4144"/>
      <c r="AG1886" s="4144"/>
      <c r="AH1886" s="4144"/>
      <c r="AI1886" s="4144"/>
    </row>
    <row r="1887" s="32" customFormat="1" ht="37.5" customHeight="1" spans="1:35">
      <c r="A1887" s="4084"/>
      <c r="B1887" s="4280"/>
      <c r="C1887" s="4266"/>
      <c r="D1887" s="4084"/>
      <c r="E1887" s="4086"/>
      <c r="F1887" s="4086"/>
      <c r="G1887" s="4084"/>
      <c r="H1887" s="4086"/>
      <c r="I1887" s="4084"/>
      <c r="J1887" s="4084"/>
      <c r="K1887" s="4084"/>
      <c r="L1887" s="4084"/>
      <c r="M1887" s="4010">
        <v>2</v>
      </c>
      <c r="N1887" s="705" t="s">
        <v>6957</v>
      </c>
      <c r="O1887" s="4209">
        <v>0.75</v>
      </c>
      <c r="P1887" s="4210">
        <f>O1887*$K$1886</f>
        <v>292500</v>
      </c>
      <c r="Q1887" s="4210">
        <f>P1887</f>
        <v>292500</v>
      </c>
      <c r="R1887" s="4189" t="s">
        <v>4603</v>
      </c>
      <c r="S1887" s="4106">
        <v>44925</v>
      </c>
      <c r="T1887" s="4210">
        <f>Q1887</f>
        <v>292500</v>
      </c>
      <c r="U1887" s="4106">
        <v>44925</v>
      </c>
      <c r="V1887" s="4210">
        <v>292500</v>
      </c>
      <c r="W1887" s="4106">
        <v>44983</v>
      </c>
      <c r="X1887" s="4210">
        <v>292500</v>
      </c>
      <c r="Y1887" s="4106">
        <v>44995</v>
      </c>
      <c r="Z1887" s="4144"/>
      <c r="AA1887" s="4144"/>
      <c r="AB1887" s="4105"/>
      <c r="AC1887" s="4105"/>
      <c r="AD1887" s="4144"/>
      <c r="AE1887" s="4144"/>
      <c r="AF1887" s="4144"/>
      <c r="AG1887" s="4144"/>
      <c r="AH1887" s="4144"/>
      <c r="AI1887" s="4144"/>
    </row>
    <row r="1888" s="32" customFormat="1" ht="37.5" customHeight="1" spans="1:35">
      <c r="A1888" s="4084"/>
      <c r="B1888" s="4280"/>
      <c r="C1888" s="4266"/>
      <c r="D1888" s="4084"/>
      <c r="E1888" s="4086"/>
      <c r="F1888" s="4086"/>
      <c r="G1888" s="4084"/>
      <c r="H1888" s="4086"/>
      <c r="I1888" s="4084"/>
      <c r="J1888" s="4084"/>
      <c r="K1888" s="4084"/>
      <c r="L1888" s="4084"/>
      <c r="M1888" s="4086"/>
      <c r="N1888" s="709"/>
      <c r="O1888" s="4211">
        <v>0.1</v>
      </c>
      <c r="P1888" s="4212">
        <f>O1888*$K$1886</f>
        <v>39000</v>
      </c>
      <c r="Q1888" s="4212">
        <f>P1888</f>
        <v>39000</v>
      </c>
      <c r="R1888" s="4267" t="s">
        <v>4603</v>
      </c>
      <c r="S1888" s="4145">
        <v>44925</v>
      </c>
      <c r="T1888" s="4212">
        <f>Q1888</f>
        <v>39000</v>
      </c>
      <c r="U1888" s="4145">
        <v>44925</v>
      </c>
      <c r="V1888" s="4105">
        <v>19500</v>
      </c>
      <c r="W1888" s="4106">
        <v>44983</v>
      </c>
      <c r="X1888" s="4105">
        <v>19500</v>
      </c>
      <c r="Y1888" s="4106">
        <v>44995</v>
      </c>
      <c r="Z1888" s="4144"/>
      <c r="AA1888" s="4144"/>
      <c r="AB1888" s="4105"/>
      <c r="AC1888" s="4105"/>
      <c r="AD1888" s="4144"/>
      <c r="AE1888" s="4144"/>
      <c r="AF1888" s="4144"/>
      <c r="AG1888" s="4144"/>
      <c r="AH1888" s="4144"/>
      <c r="AI1888" s="4144"/>
    </row>
    <row r="1889" s="32" customFormat="1" ht="37.5" customHeight="1" spans="1:35">
      <c r="A1889" s="658"/>
      <c r="B1889" s="4281"/>
      <c r="C1889" s="660"/>
      <c r="D1889" s="658"/>
      <c r="E1889" s="684"/>
      <c r="F1889" s="684"/>
      <c r="G1889" s="658"/>
      <c r="H1889" s="684"/>
      <c r="I1889" s="658"/>
      <c r="J1889" s="658"/>
      <c r="K1889" s="4084"/>
      <c r="L1889" s="658"/>
      <c r="M1889" s="684"/>
      <c r="N1889" s="3541"/>
      <c r="O1889" s="4297"/>
      <c r="P1889" s="4298"/>
      <c r="Q1889" s="4298"/>
      <c r="R1889" s="4269"/>
      <c r="S1889" s="4147"/>
      <c r="T1889" s="4298"/>
      <c r="U1889" s="4147"/>
      <c r="V1889" s="4307">
        <v>19500</v>
      </c>
      <c r="W1889" s="4234">
        <v>46006</v>
      </c>
      <c r="X1889" s="4307">
        <v>19500</v>
      </c>
      <c r="Y1889" s="4234">
        <v>46016</v>
      </c>
      <c r="Z1889" s="4144"/>
      <c r="AA1889" s="4144"/>
      <c r="AB1889" s="4105"/>
      <c r="AC1889" s="4105"/>
      <c r="AD1889" s="4144"/>
      <c r="AE1889" s="4144"/>
      <c r="AF1889" s="4144"/>
      <c r="AG1889" s="4144"/>
      <c r="AH1889" s="4144"/>
      <c r="AI1889" s="4144"/>
    </row>
    <row r="1890" s="32" customFormat="1" ht="37.5" customHeight="1" spans="1:35">
      <c r="A1890" s="4098" t="s">
        <v>2570</v>
      </c>
      <c r="B1890" s="4279">
        <v>44923</v>
      </c>
      <c r="C1890" s="4190" t="s">
        <v>6861</v>
      </c>
      <c r="D1890" s="4098"/>
      <c r="E1890" s="4011" t="s">
        <v>6958</v>
      </c>
      <c r="F1890" s="4011" t="s">
        <v>6959</v>
      </c>
      <c r="G1890" s="3967" t="s">
        <v>6960</v>
      </c>
      <c r="H1890" s="4011" t="s">
        <v>6950</v>
      </c>
      <c r="I1890" s="4098"/>
      <c r="J1890" s="4011" t="s">
        <v>6961</v>
      </c>
      <c r="K1890" s="3967">
        <v>476000</v>
      </c>
      <c r="L1890" s="4098" t="s">
        <v>126</v>
      </c>
      <c r="M1890" s="4011">
        <v>1</v>
      </c>
      <c r="N1890" s="2618" t="s">
        <v>6962</v>
      </c>
      <c r="O1890" s="4209">
        <v>0.1</v>
      </c>
      <c r="P1890" s="4210">
        <f>O1890*$K$1890</f>
        <v>47600</v>
      </c>
      <c r="Q1890" s="4210">
        <v>47600</v>
      </c>
      <c r="R1890" s="4189" t="s">
        <v>4603</v>
      </c>
      <c r="S1890" s="4106">
        <v>44925</v>
      </c>
      <c r="T1890" s="4210">
        <v>47600</v>
      </c>
      <c r="U1890" s="4106">
        <v>44925</v>
      </c>
      <c r="V1890" s="4210">
        <v>47600</v>
      </c>
      <c r="W1890" s="4106">
        <v>44983</v>
      </c>
      <c r="X1890" s="4210">
        <v>47600</v>
      </c>
      <c r="Y1890" s="4106">
        <v>44995</v>
      </c>
      <c r="Z1890" s="4144"/>
      <c r="AA1890" s="4144"/>
      <c r="AB1890" s="4105"/>
      <c r="AC1890" s="4105"/>
      <c r="AD1890" s="4144"/>
      <c r="AE1890" s="4144"/>
      <c r="AF1890" s="4144"/>
      <c r="AG1890" s="4144"/>
      <c r="AH1890" s="4144"/>
      <c r="AI1890" s="4144"/>
    </row>
    <row r="1891" s="32" customFormat="1" ht="37.5" customHeight="1" spans="1:35">
      <c r="A1891" s="4098"/>
      <c r="B1891" s="4280"/>
      <c r="C1891" s="4190"/>
      <c r="D1891" s="4098"/>
      <c r="E1891" s="4011"/>
      <c r="F1891" s="4011"/>
      <c r="G1891" s="4084"/>
      <c r="H1891" s="4011"/>
      <c r="I1891" s="4098"/>
      <c r="J1891" s="4011"/>
      <c r="K1891" s="4084"/>
      <c r="L1891" s="4098"/>
      <c r="M1891" s="4011">
        <v>2</v>
      </c>
      <c r="N1891" s="2618" t="s">
        <v>6963</v>
      </c>
      <c r="O1891" s="4209">
        <v>0.3</v>
      </c>
      <c r="P1891" s="4210">
        <f>O1891*$K$1890</f>
        <v>142800</v>
      </c>
      <c r="Q1891" s="4210">
        <v>142800</v>
      </c>
      <c r="R1891" s="4189" t="s">
        <v>4603</v>
      </c>
      <c r="S1891" s="4106">
        <v>44925</v>
      </c>
      <c r="T1891" s="4210">
        <v>142800</v>
      </c>
      <c r="U1891" s="4106">
        <v>44925</v>
      </c>
      <c r="V1891" s="4210">
        <v>142800</v>
      </c>
      <c r="W1891" s="4106">
        <v>44983</v>
      </c>
      <c r="X1891" s="4210">
        <v>142800</v>
      </c>
      <c r="Y1891" s="4106">
        <v>44995</v>
      </c>
      <c r="Z1891" s="4144"/>
      <c r="AA1891" s="4144"/>
      <c r="AB1891" s="4105"/>
      <c r="AC1891" s="4105"/>
      <c r="AD1891" s="4144"/>
      <c r="AE1891" s="4144"/>
      <c r="AF1891" s="4144"/>
      <c r="AG1891" s="4144"/>
      <c r="AH1891" s="4144"/>
      <c r="AI1891" s="4144"/>
    </row>
    <row r="1892" s="32" customFormat="1" ht="37.5" customHeight="1" spans="1:35">
      <c r="A1892" s="4098"/>
      <c r="B1892" s="4280"/>
      <c r="C1892" s="4190"/>
      <c r="D1892" s="4098"/>
      <c r="E1892" s="4011"/>
      <c r="F1892" s="4011"/>
      <c r="G1892" s="4084"/>
      <c r="H1892" s="4011"/>
      <c r="I1892" s="4098"/>
      <c r="J1892" s="4011"/>
      <c r="K1892" s="4084"/>
      <c r="L1892" s="4098"/>
      <c r="M1892" s="4011">
        <v>3</v>
      </c>
      <c r="N1892" s="2618" t="s">
        <v>6964</v>
      </c>
      <c r="O1892" s="4209">
        <v>0.5</v>
      </c>
      <c r="P1892" s="4210">
        <f>O1892*$K$1890</f>
        <v>238000</v>
      </c>
      <c r="Q1892" s="4210">
        <v>238000</v>
      </c>
      <c r="R1892" s="4189" t="s">
        <v>4603</v>
      </c>
      <c r="S1892" s="4106">
        <v>44925</v>
      </c>
      <c r="T1892" s="4210">
        <v>238000</v>
      </c>
      <c r="U1892" s="4106">
        <v>44925</v>
      </c>
      <c r="V1892" s="4210">
        <v>238000</v>
      </c>
      <c r="W1892" s="4106">
        <v>44983</v>
      </c>
      <c r="X1892" s="4210">
        <v>238000</v>
      </c>
      <c r="Y1892" s="4106">
        <v>44995</v>
      </c>
      <c r="Z1892" s="4144"/>
      <c r="AA1892" s="4144"/>
      <c r="AB1892" s="4105"/>
      <c r="AC1892" s="4105"/>
      <c r="AD1892" s="4144"/>
      <c r="AE1892" s="4144"/>
      <c r="AF1892" s="4144"/>
      <c r="AG1892" s="4144"/>
      <c r="AH1892" s="4144"/>
      <c r="AI1892" s="4144"/>
    </row>
    <row r="1893" s="32" customFormat="1" ht="37.5" customHeight="1" spans="1:35">
      <c r="A1893" s="4098"/>
      <c r="B1893" s="4280"/>
      <c r="C1893" s="4190"/>
      <c r="D1893" s="4098"/>
      <c r="E1893" s="4011"/>
      <c r="F1893" s="4011"/>
      <c r="G1893" s="658"/>
      <c r="H1893" s="4011"/>
      <c r="I1893" s="4098"/>
      <c r="J1893" s="4011"/>
      <c r="K1893" s="658"/>
      <c r="L1893" s="4098"/>
      <c r="M1893" s="4011">
        <v>4</v>
      </c>
      <c r="N1893" s="2618" t="s">
        <v>6965</v>
      </c>
      <c r="O1893" s="4209">
        <v>0.1</v>
      </c>
      <c r="P1893" s="4210">
        <f>O1893*$K$1890</f>
        <v>47600</v>
      </c>
      <c r="Q1893" s="4233">
        <v>-88200</v>
      </c>
      <c r="R1893" s="4240" t="s">
        <v>349</v>
      </c>
      <c r="S1893" s="4234">
        <v>46006</v>
      </c>
      <c r="T1893" s="4210"/>
      <c r="U1893" s="4314"/>
      <c r="V1893" s="4105"/>
      <c r="W1893" s="4105"/>
      <c r="X1893" s="4307">
        <v>-88200</v>
      </c>
      <c r="Y1893" s="4234">
        <v>46016</v>
      </c>
      <c r="Z1893" s="4144"/>
      <c r="AA1893" s="4144"/>
      <c r="AB1893" s="4105"/>
      <c r="AC1893" s="4105"/>
      <c r="AD1893" s="4144"/>
      <c r="AE1893" s="4144"/>
      <c r="AF1893" s="4144"/>
      <c r="AG1893" s="4144"/>
      <c r="AH1893" s="4144"/>
      <c r="AI1893" s="4144"/>
    </row>
    <row r="1894" s="32" customFormat="1" ht="37.5" customHeight="1" spans="1:35">
      <c r="A1894" s="4098"/>
      <c r="B1894" s="4280"/>
      <c r="C1894" s="4190"/>
      <c r="D1894" s="4098"/>
      <c r="E1894" s="4011"/>
      <c r="F1894" s="4011"/>
      <c r="G1894" s="3967" t="s">
        <v>6966</v>
      </c>
      <c r="H1894" s="4011"/>
      <c r="I1894" s="4098"/>
      <c r="J1894" s="4011"/>
      <c r="K1894" s="3967">
        <v>998000</v>
      </c>
      <c r="L1894" s="4098"/>
      <c r="M1894" s="4011">
        <v>1</v>
      </c>
      <c r="N1894" s="2618" t="s">
        <v>6967</v>
      </c>
      <c r="O1894" s="4209">
        <v>0.1</v>
      </c>
      <c r="P1894" s="4210">
        <f>O1894*$K$1894</f>
        <v>99800</v>
      </c>
      <c r="Q1894" s="4210">
        <v>99800</v>
      </c>
      <c r="R1894" s="4189" t="s">
        <v>4603</v>
      </c>
      <c r="S1894" s="4106">
        <v>44925</v>
      </c>
      <c r="T1894" s="4210">
        <v>99800</v>
      </c>
      <c r="U1894" s="4106">
        <v>44925</v>
      </c>
      <c r="V1894" s="4210">
        <v>99800</v>
      </c>
      <c r="W1894" s="4106">
        <v>44983</v>
      </c>
      <c r="X1894" s="4210">
        <v>99800</v>
      </c>
      <c r="Y1894" s="4106">
        <v>44995</v>
      </c>
      <c r="Z1894" s="4144"/>
      <c r="AA1894" s="4144"/>
      <c r="AB1894" s="4105"/>
      <c r="AC1894" s="4105"/>
      <c r="AD1894" s="4144"/>
      <c r="AE1894" s="4144"/>
      <c r="AF1894" s="4144"/>
      <c r="AG1894" s="4144"/>
      <c r="AH1894" s="4144"/>
      <c r="AI1894" s="4144"/>
    </row>
    <row r="1895" s="32" customFormat="1" ht="37.5" customHeight="1" spans="1:35">
      <c r="A1895" s="4098"/>
      <c r="B1895" s="4280"/>
      <c r="C1895" s="4190"/>
      <c r="D1895" s="4098"/>
      <c r="E1895" s="4011"/>
      <c r="F1895" s="4011"/>
      <c r="G1895" s="4084"/>
      <c r="H1895" s="4011"/>
      <c r="I1895" s="4098"/>
      <c r="J1895" s="4011"/>
      <c r="K1895" s="4084"/>
      <c r="L1895" s="4098"/>
      <c r="M1895" s="4011">
        <v>2</v>
      </c>
      <c r="N1895" s="2618" t="s">
        <v>6968</v>
      </c>
      <c r="O1895" s="4209">
        <v>0.3</v>
      </c>
      <c r="P1895" s="4210">
        <f>O1895*$K$1894</f>
        <v>299400</v>
      </c>
      <c r="Q1895" s="4210">
        <v>299400</v>
      </c>
      <c r="R1895" s="4189" t="s">
        <v>4603</v>
      </c>
      <c r="S1895" s="4106">
        <v>44925</v>
      </c>
      <c r="T1895" s="4210">
        <v>299400</v>
      </c>
      <c r="U1895" s="4106">
        <v>44925</v>
      </c>
      <c r="V1895" s="4105">
        <v>299400</v>
      </c>
      <c r="W1895" s="4106">
        <v>45121</v>
      </c>
      <c r="X1895" s="4105">
        <v>299400</v>
      </c>
      <c r="Y1895" s="4106">
        <v>45212</v>
      </c>
      <c r="Z1895" s="4144"/>
      <c r="AA1895" s="4144"/>
      <c r="AB1895" s="4105"/>
      <c r="AC1895" s="4105"/>
      <c r="AD1895" s="4144"/>
      <c r="AE1895" s="4144"/>
      <c r="AF1895" s="4144"/>
      <c r="AG1895" s="4144"/>
      <c r="AH1895" s="4144"/>
      <c r="AI1895" s="4144"/>
    </row>
    <row r="1896" s="32" customFormat="1" ht="37.5" customHeight="1" spans="1:35">
      <c r="A1896" s="4098"/>
      <c r="B1896" s="4280"/>
      <c r="C1896" s="4190"/>
      <c r="D1896" s="4098"/>
      <c r="E1896" s="4011"/>
      <c r="F1896" s="4011"/>
      <c r="G1896" s="4084"/>
      <c r="H1896" s="4011"/>
      <c r="I1896" s="4098"/>
      <c r="J1896" s="4011"/>
      <c r="K1896" s="4084"/>
      <c r="L1896" s="4098"/>
      <c r="M1896" s="4011">
        <v>3</v>
      </c>
      <c r="N1896" s="2618" t="s">
        <v>6969</v>
      </c>
      <c r="O1896" s="4209">
        <v>0.5</v>
      </c>
      <c r="P1896" s="4210">
        <f>O1896*$K$1894</f>
        <v>499000</v>
      </c>
      <c r="Q1896" s="4210">
        <v>499000</v>
      </c>
      <c r="R1896" s="4189" t="s">
        <v>4603</v>
      </c>
      <c r="S1896" s="4106">
        <v>44925</v>
      </c>
      <c r="T1896" s="4210">
        <v>499000</v>
      </c>
      <c r="U1896" s="4106">
        <v>44925</v>
      </c>
      <c r="V1896" s="4105">
        <v>499000</v>
      </c>
      <c r="W1896" s="4106">
        <v>45266</v>
      </c>
      <c r="X1896" s="4105">
        <v>499000</v>
      </c>
      <c r="Y1896" s="4106">
        <v>45279</v>
      </c>
      <c r="Z1896" s="4144"/>
      <c r="AA1896" s="4144"/>
      <c r="AB1896" s="4105"/>
      <c r="AC1896" s="4105"/>
      <c r="AD1896" s="4144"/>
      <c r="AE1896" s="4144"/>
      <c r="AF1896" s="4144"/>
      <c r="AG1896" s="4144"/>
      <c r="AH1896" s="4144"/>
      <c r="AI1896" s="4144"/>
    </row>
    <row r="1897" s="32" customFormat="1" ht="37.5" customHeight="1" spans="1:35">
      <c r="A1897" s="4098"/>
      <c r="B1897" s="4281"/>
      <c r="C1897" s="4190"/>
      <c r="D1897" s="4098"/>
      <c r="E1897" s="4011"/>
      <c r="F1897" s="4011"/>
      <c r="G1897" s="658"/>
      <c r="H1897" s="4011"/>
      <c r="I1897" s="4098"/>
      <c r="J1897" s="4011"/>
      <c r="K1897" s="658"/>
      <c r="L1897" s="4098"/>
      <c r="M1897" s="4011">
        <v>4</v>
      </c>
      <c r="N1897" s="2618" t="s">
        <v>6965</v>
      </c>
      <c r="O1897" s="4209">
        <v>0.1</v>
      </c>
      <c r="P1897" s="4210">
        <f>O1897*$K$1894</f>
        <v>99800</v>
      </c>
      <c r="Q1897" s="4307">
        <v>-82245</v>
      </c>
      <c r="R1897" s="4240" t="s">
        <v>349</v>
      </c>
      <c r="S1897" s="4234">
        <v>46006</v>
      </c>
      <c r="T1897" s="4105"/>
      <c r="U1897" s="4106"/>
      <c r="V1897" s="4105"/>
      <c r="W1897" s="4105"/>
      <c r="X1897" s="4307">
        <v>-82245</v>
      </c>
      <c r="Y1897" s="4234">
        <v>46016</v>
      </c>
      <c r="Z1897" s="4144"/>
      <c r="AA1897" s="4144"/>
      <c r="AB1897" s="4105"/>
      <c r="AC1897" s="4105"/>
      <c r="AD1897" s="4144"/>
      <c r="AE1897" s="4144"/>
      <c r="AF1897" s="4144"/>
      <c r="AG1897" s="4144"/>
      <c r="AH1897" s="4144"/>
      <c r="AI1897" s="4144"/>
    </row>
    <row r="1898" s="32" customFormat="1" ht="37.5" customHeight="1" spans="1:35">
      <c r="A1898" s="3967" t="s">
        <v>2570</v>
      </c>
      <c r="B1898" s="4267">
        <v>45107</v>
      </c>
      <c r="C1898" s="4265" t="s">
        <v>6861</v>
      </c>
      <c r="D1898" s="3967"/>
      <c r="E1898" s="4010" t="s">
        <v>6970</v>
      </c>
      <c r="F1898" s="4010" t="s">
        <v>6971</v>
      </c>
      <c r="G1898" s="4098" t="s">
        <v>6972</v>
      </c>
      <c r="H1898" s="4010" t="s">
        <v>6973</v>
      </c>
      <c r="I1898" s="3967"/>
      <c r="J1898" s="4010" t="s">
        <v>997</v>
      </c>
      <c r="K1898" s="4098">
        <v>60000</v>
      </c>
      <c r="L1898" s="3967" t="s">
        <v>126</v>
      </c>
      <c r="M1898" s="4010">
        <v>1</v>
      </c>
      <c r="N1898" s="185" t="s">
        <v>6974</v>
      </c>
      <c r="O1898" s="4211">
        <v>0.5</v>
      </c>
      <c r="P1898" s="4212">
        <f>K1898*O1898</f>
        <v>30000</v>
      </c>
      <c r="Q1898" s="4105">
        <v>30000</v>
      </c>
      <c r="R1898" s="4189" t="s">
        <v>4603</v>
      </c>
      <c r="S1898" s="4106">
        <v>45119</v>
      </c>
      <c r="T1898" s="4105">
        <v>30000</v>
      </c>
      <c r="U1898" s="4106">
        <v>45119</v>
      </c>
      <c r="V1898" s="4105">
        <v>30000</v>
      </c>
      <c r="W1898" s="4106">
        <v>45122</v>
      </c>
      <c r="X1898" s="4105">
        <v>30000</v>
      </c>
      <c r="Y1898" s="4106">
        <v>45132</v>
      </c>
      <c r="Z1898" s="4144"/>
      <c r="AA1898" s="4144"/>
      <c r="AB1898" s="4105"/>
      <c r="AC1898" s="4105"/>
      <c r="AD1898" s="4144"/>
      <c r="AE1898" s="4144"/>
      <c r="AF1898" s="4144"/>
      <c r="AG1898" s="4144"/>
      <c r="AH1898" s="4144"/>
      <c r="AI1898" s="4144"/>
    </row>
    <row r="1899" s="32" customFormat="1" ht="37.5" customHeight="1" spans="1:35">
      <c r="A1899" s="4084"/>
      <c r="B1899" s="4268"/>
      <c r="C1899" s="4266"/>
      <c r="D1899" s="4084"/>
      <c r="E1899" s="4086"/>
      <c r="F1899" s="4086"/>
      <c r="G1899" s="4098"/>
      <c r="H1899" s="4086"/>
      <c r="I1899" s="4084"/>
      <c r="J1899" s="4086"/>
      <c r="K1899" s="4098"/>
      <c r="L1899" s="4084"/>
      <c r="M1899" s="4010">
        <v>2</v>
      </c>
      <c r="N1899" s="185" t="s">
        <v>6975</v>
      </c>
      <c r="O1899" s="4211">
        <v>0.4</v>
      </c>
      <c r="P1899" s="4212">
        <f>K1898*O1899</f>
        <v>24000</v>
      </c>
      <c r="Q1899" s="4212">
        <v>24000</v>
      </c>
      <c r="R1899" s="4189" t="s">
        <v>4603</v>
      </c>
      <c r="S1899" s="4106">
        <v>45209</v>
      </c>
      <c r="T1899" s="4212">
        <v>24000</v>
      </c>
      <c r="U1899" s="4106">
        <v>45209</v>
      </c>
      <c r="V1899" s="4105">
        <v>24000</v>
      </c>
      <c r="W1899" s="4106">
        <v>45300</v>
      </c>
      <c r="X1899" s="4212">
        <v>24000</v>
      </c>
      <c r="Y1899" s="4106">
        <v>45309</v>
      </c>
      <c r="Z1899" s="4144"/>
      <c r="AA1899" s="4144"/>
      <c r="AB1899" s="4105"/>
      <c r="AC1899" s="4105"/>
      <c r="AD1899" s="4144"/>
      <c r="AE1899" s="4144"/>
      <c r="AF1899" s="4144"/>
      <c r="AG1899" s="4144"/>
      <c r="AH1899" s="4144"/>
      <c r="AI1899" s="4144"/>
    </row>
    <row r="1900" s="32" customFormat="1" ht="37.5" customHeight="1" spans="1:35">
      <c r="A1900" s="4084"/>
      <c r="B1900" s="4268"/>
      <c r="C1900" s="4266"/>
      <c r="D1900" s="4084"/>
      <c r="E1900" s="4086"/>
      <c r="F1900" s="4086"/>
      <c r="G1900" s="4098"/>
      <c r="H1900" s="4086"/>
      <c r="I1900" s="4084"/>
      <c r="J1900" s="4086"/>
      <c r="K1900" s="4098"/>
      <c r="L1900" s="4084"/>
      <c r="M1900" s="4010">
        <v>3</v>
      </c>
      <c r="N1900" s="185" t="s">
        <v>6976</v>
      </c>
      <c r="O1900" s="4211">
        <v>0.1</v>
      </c>
      <c r="P1900" s="4212">
        <f>K1898*O1900</f>
        <v>6000</v>
      </c>
      <c r="Q1900" s="4105">
        <v>6000</v>
      </c>
      <c r="R1900" s="4189" t="s">
        <v>4603</v>
      </c>
      <c r="S1900" s="4106">
        <v>45960</v>
      </c>
      <c r="T1900" s="4105">
        <v>6000</v>
      </c>
      <c r="U1900" s="4106">
        <v>45960</v>
      </c>
      <c r="V1900" s="4105">
        <v>6000</v>
      </c>
      <c r="W1900" s="4106">
        <v>45976</v>
      </c>
      <c r="X1900" s="4307">
        <v>6000</v>
      </c>
      <c r="Y1900" s="4234">
        <v>46016</v>
      </c>
      <c r="Z1900" s="4144"/>
      <c r="AA1900" s="4144"/>
      <c r="AB1900" s="4105"/>
      <c r="AC1900" s="4105"/>
      <c r="AD1900" s="4144"/>
      <c r="AE1900" s="4144"/>
      <c r="AF1900" s="4144"/>
      <c r="AG1900" s="4144"/>
      <c r="AH1900" s="4144"/>
      <c r="AI1900" s="4144"/>
    </row>
    <row r="1901" s="32" customFormat="1" ht="37.5" customHeight="1" spans="1:35">
      <c r="A1901" s="3967" t="s">
        <v>2570</v>
      </c>
      <c r="B1901" s="4267">
        <v>45104</v>
      </c>
      <c r="C1901" s="4010" t="s">
        <v>6861</v>
      </c>
      <c r="D1901" s="3967"/>
      <c r="E1901" s="4010" t="s">
        <v>6977</v>
      </c>
      <c r="F1901" s="4010" t="s">
        <v>6978</v>
      </c>
      <c r="G1901" s="4098" t="s">
        <v>6979</v>
      </c>
      <c r="H1901" s="4010" t="s">
        <v>6980</v>
      </c>
      <c r="I1901" s="3967"/>
      <c r="J1901" s="3967" t="s">
        <v>997</v>
      </c>
      <c r="K1901" s="4098">
        <v>171000</v>
      </c>
      <c r="L1901" s="3967" t="s">
        <v>126</v>
      </c>
      <c r="M1901" s="4010">
        <v>1</v>
      </c>
      <c r="N1901" s="185" t="s">
        <v>6981</v>
      </c>
      <c r="O1901" s="4211">
        <v>0.15</v>
      </c>
      <c r="P1901" s="4212">
        <f>K1901*O1901</f>
        <v>25650</v>
      </c>
      <c r="Q1901" s="4105">
        <v>25650</v>
      </c>
      <c r="R1901" s="4189" t="s">
        <v>4603</v>
      </c>
      <c r="S1901" s="4106">
        <v>45119</v>
      </c>
      <c r="T1901" s="4105">
        <v>25650</v>
      </c>
      <c r="U1901" s="4106">
        <v>45119</v>
      </c>
      <c r="V1901" s="4105">
        <v>25650</v>
      </c>
      <c r="W1901" s="4106">
        <v>45122</v>
      </c>
      <c r="X1901" s="4105">
        <v>25650</v>
      </c>
      <c r="Y1901" s="4106">
        <v>45132</v>
      </c>
      <c r="Z1901" s="4144"/>
      <c r="AA1901" s="4144"/>
      <c r="AB1901" s="4105"/>
      <c r="AC1901" s="4105"/>
      <c r="AD1901" s="4144"/>
      <c r="AE1901" s="4144"/>
      <c r="AF1901" s="4144"/>
      <c r="AG1901" s="4144"/>
      <c r="AH1901" s="4144"/>
      <c r="AI1901" s="4144"/>
    </row>
    <row r="1902" s="32" customFormat="1" ht="37.5" customHeight="1" spans="1:35">
      <c r="A1902" s="4084"/>
      <c r="B1902" s="4268"/>
      <c r="C1902" s="4086"/>
      <c r="D1902" s="4084"/>
      <c r="E1902" s="4086"/>
      <c r="F1902" s="4086"/>
      <c r="G1902" s="4098"/>
      <c r="H1902" s="4086"/>
      <c r="I1902" s="4084"/>
      <c r="J1902" s="4084"/>
      <c r="K1902" s="4098"/>
      <c r="L1902" s="4084"/>
      <c r="M1902" s="4010">
        <v>2</v>
      </c>
      <c r="N1902" s="185" t="s">
        <v>6982</v>
      </c>
      <c r="O1902" s="4211">
        <v>0.4</v>
      </c>
      <c r="P1902" s="4212">
        <f>K1901*O1902</f>
        <v>68400</v>
      </c>
      <c r="Q1902" s="4212">
        <v>68400</v>
      </c>
      <c r="R1902" s="4189" t="s">
        <v>4603</v>
      </c>
      <c r="S1902" s="4106">
        <v>45179</v>
      </c>
      <c r="T1902" s="4212">
        <v>68400</v>
      </c>
      <c r="U1902" s="4106">
        <v>45179</v>
      </c>
      <c r="V1902" s="4212">
        <v>68400</v>
      </c>
      <c r="W1902" s="4106">
        <v>45184</v>
      </c>
      <c r="X1902" s="4212">
        <v>68400</v>
      </c>
      <c r="Y1902" s="4106">
        <v>45190</v>
      </c>
      <c r="Z1902" s="4144"/>
      <c r="AA1902" s="4144"/>
      <c r="AB1902" s="4105"/>
      <c r="AC1902" s="4105"/>
      <c r="AD1902" s="4144"/>
      <c r="AE1902" s="4144"/>
      <c r="AF1902" s="4144"/>
      <c r="AG1902" s="4144"/>
      <c r="AH1902" s="4144"/>
      <c r="AI1902" s="4144"/>
    </row>
    <row r="1903" s="32" customFormat="1" ht="37.5" customHeight="1" spans="1:35">
      <c r="A1903" s="4084"/>
      <c r="B1903" s="4268"/>
      <c r="C1903" s="4086"/>
      <c r="D1903" s="4084"/>
      <c r="E1903" s="4086"/>
      <c r="F1903" s="4086"/>
      <c r="G1903" s="4098"/>
      <c r="H1903" s="4086"/>
      <c r="I1903" s="4084"/>
      <c r="J1903" s="4084"/>
      <c r="K1903" s="4098"/>
      <c r="L1903" s="4084"/>
      <c r="M1903" s="4010">
        <v>3</v>
      </c>
      <c r="N1903" s="185" t="s">
        <v>6983</v>
      </c>
      <c r="O1903" s="4211">
        <v>0.35</v>
      </c>
      <c r="P1903" s="4212">
        <f>K1901*O1903</f>
        <v>59850</v>
      </c>
      <c r="Q1903" s="4105">
        <v>59850</v>
      </c>
      <c r="R1903" s="4189" t="s">
        <v>4603</v>
      </c>
      <c r="S1903" s="4106">
        <v>45209</v>
      </c>
      <c r="T1903" s="4105">
        <v>59850</v>
      </c>
      <c r="U1903" s="4106">
        <v>45209</v>
      </c>
      <c r="V1903" s="4105">
        <v>59850</v>
      </c>
      <c r="W1903" s="4106">
        <v>45246</v>
      </c>
      <c r="X1903" s="4105">
        <v>59850</v>
      </c>
      <c r="Y1903" s="4106">
        <v>45273</v>
      </c>
      <c r="Z1903" s="4144"/>
      <c r="AA1903" s="4144"/>
      <c r="AB1903" s="4105"/>
      <c r="AC1903" s="4105"/>
      <c r="AD1903" s="4144"/>
      <c r="AE1903" s="4144"/>
      <c r="AF1903" s="4144"/>
      <c r="AG1903" s="4144"/>
      <c r="AH1903" s="4144"/>
      <c r="AI1903" s="4144"/>
    </row>
    <row r="1904" s="32" customFormat="1" ht="37.5" customHeight="1" spans="1:35">
      <c r="A1904" s="4084"/>
      <c r="B1904" s="4268"/>
      <c r="C1904" s="4086"/>
      <c r="D1904" s="4084"/>
      <c r="E1904" s="4086"/>
      <c r="F1904" s="4086"/>
      <c r="G1904" s="4098"/>
      <c r="H1904" s="4086"/>
      <c r="I1904" s="4084"/>
      <c r="J1904" s="4084"/>
      <c r="K1904" s="4098"/>
      <c r="L1904" s="4084"/>
      <c r="M1904" s="4010">
        <v>4</v>
      </c>
      <c r="N1904" s="185" t="s">
        <v>6984</v>
      </c>
      <c r="O1904" s="4211">
        <v>0.1</v>
      </c>
      <c r="P1904" s="4212">
        <f>K1901*O1904</f>
        <v>17100</v>
      </c>
      <c r="Q1904" s="4105">
        <v>17100</v>
      </c>
      <c r="R1904" s="4189" t="s">
        <v>4603</v>
      </c>
      <c r="S1904" s="4106">
        <v>45971</v>
      </c>
      <c r="T1904" s="4105">
        <v>17100</v>
      </c>
      <c r="U1904" s="4106">
        <v>45971</v>
      </c>
      <c r="V1904" s="4105">
        <v>17100</v>
      </c>
      <c r="W1904" s="4106">
        <v>45976</v>
      </c>
      <c r="X1904" s="4307">
        <v>17100</v>
      </c>
      <c r="Y1904" s="4234">
        <v>46016</v>
      </c>
      <c r="Z1904" s="4144"/>
      <c r="AA1904" s="4144"/>
      <c r="AB1904" s="4105"/>
      <c r="AC1904" s="4105"/>
      <c r="AD1904" s="4144"/>
      <c r="AE1904" s="4144"/>
      <c r="AF1904" s="4144"/>
      <c r="AG1904" s="4144"/>
      <c r="AH1904" s="4144"/>
      <c r="AI1904" s="4144"/>
    </row>
    <row r="1905" s="32" customFormat="1" ht="37.5" customHeight="1" spans="1:35">
      <c r="A1905" s="3967" t="s">
        <v>2570</v>
      </c>
      <c r="B1905" s="4267">
        <v>45104</v>
      </c>
      <c r="C1905" s="4010" t="s">
        <v>6861</v>
      </c>
      <c r="D1905" s="3967"/>
      <c r="E1905" s="4010" t="s">
        <v>6985</v>
      </c>
      <c r="F1905" s="4010" t="s">
        <v>6986</v>
      </c>
      <c r="G1905" s="4098" t="s">
        <v>6987</v>
      </c>
      <c r="H1905" s="4010" t="s">
        <v>5074</v>
      </c>
      <c r="I1905" s="3967"/>
      <c r="J1905" s="3967" t="s">
        <v>997</v>
      </c>
      <c r="K1905" s="4098">
        <v>389500</v>
      </c>
      <c r="L1905" s="3967" t="s">
        <v>126</v>
      </c>
      <c r="M1905" s="4010">
        <v>1</v>
      </c>
      <c r="N1905" s="185" t="s">
        <v>6988</v>
      </c>
      <c r="O1905" s="4211">
        <v>0.3</v>
      </c>
      <c r="P1905" s="4212">
        <f>K1905*O1905</f>
        <v>116850</v>
      </c>
      <c r="Q1905" s="4105">
        <v>116850</v>
      </c>
      <c r="R1905" s="4189" t="s">
        <v>4603</v>
      </c>
      <c r="S1905" s="4106">
        <v>45119</v>
      </c>
      <c r="T1905" s="4105">
        <v>116850</v>
      </c>
      <c r="U1905" s="4106">
        <v>45119</v>
      </c>
      <c r="V1905" s="4105">
        <v>116850</v>
      </c>
      <c r="W1905" s="4106">
        <v>45122</v>
      </c>
      <c r="X1905" s="4105">
        <v>116850</v>
      </c>
      <c r="Y1905" s="4106">
        <v>45212</v>
      </c>
      <c r="Z1905" s="4144"/>
      <c r="AA1905" s="4144"/>
      <c r="AB1905" s="4105"/>
      <c r="AC1905" s="4105"/>
      <c r="AD1905" s="4144"/>
      <c r="AE1905" s="4144"/>
      <c r="AF1905" s="4144"/>
      <c r="AG1905" s="4144"/>
      <c r="AH1905" s="4144"/>
      <c r="AI1905" s="4144"/>
    </row>
    <row r="1906" s="32" customFormat="1" ht="37.5" customHeight="1" spans="1:35">
      <c r="A1906" s="4084"/>
      <c r="B1906" s="4268"/>
      <c r="C1906" s="4086"/>
      <c r="D1906" s="4084"/>
      <c r="E1906" s="4086"/>
      <c r="F1906" s="4086"/>
      <c r="G1906" s="4098"/>
      <c r="H1906" s="4086"/>
      <c r="I1906" s="4084"/>
      <c r="J1906" s="4084"/>
      <c r="K1906" s="4098"/>
      <c r="L1906" s="4084"/>
      <c r="M1906" s="4010">
        <v>2</v>
      </c>
      <c r="N1906" s="185" t="s">
        <v>6989</v>
      </c>
      <c r="O1906" s="4211">
        <v>0.3</v>
      </c>
      <c r="P1906" s="4212">
        <f>K1905*O1906</f>
        <v>116850</v>
      </c>
      <c r="Q1906" s="4105">
        <v>116850</v>
      </c>
      <c r="R1906" s="4189" t="s">
        <v>4603</v>
      </c>
      <c r="S1906" s="4106">
        <v>45209</v>
      </c>
      <c r="T1906" s="4105">
        <v>116850</v>
      </c>
      <c r="U1906" s="4106">
        <v>45209</v>
      </c>
      <c r="V1906" s="4105">
        <v>116850</v>
      </c>
      <c r="W1906" s="4106">
        <v>45239</v>
      </c>
      <c r="X1906" s="4105">
        <v>116850</v>
      </c>
      <c r="Y1906" s="4106">
        <v>45273</v>
      </c>
      <c r="Z1906" s="4144"/>
      <c r="AA1906" s="4144"/>
      <c r="AB1906" s="4105"/>
      <c r="AC1906" s="4105"/>
      <c r="AD1906" s="4144"/>
      <c r="AE1906" s="4144"/>
      <c r="AF1906" s="4144"/>
      <c r="AG1906" s="4144"/>
      <c r="AH1906" s="4144"/>
      <c r="AI1906" s="4144"/>
    </row>
    <row r="1907" s="32" customFormat="1" ht="37.5" customHeight="1" spans="1:35">
      <c r="A1907" s="4084"/>
      <c r="B1907" s="4268"/>
      <c r="C1907" s="4086"/>
      <c r="D1907" s="4084"/>
      <c r="E1907" s="4086"/>
      <c r="F1907" s="4086"/>
      <c r="G1907" s="4098"/>
      <c r="H1907" s="4086"/>
      <c r="I1907" s="4084"/>
      <c r="J1907" s="4084"/>
      <c r="K1907" s="4098"/>
      <c r="L1907" s="4084"/>
      <c r="M1907" s="4010">
        <v>3</v>
      </c>
      <c r="N1907" s="185" t="s">
        <v>6990</v>
      </c>
      <c r="O1907" s="4211">
        <v>0.3</v>
      </c>
      <c r="P1907" s="4212">
        <f>K1905*O1907</f>
        <v>116850</v>
      </c>
      <c r="Q1907" s="4105">
        <v>116850</v>
      </c>
      <c r="R1907" s="4189" t="s">
        <v>4603</v>
      </c>
      <c r="S1907" s="4106">
        <v>45209</v>
      </c>
      <c r="T1907" s="4105">
        <v>116850</v>
      </c>
      <c r="U1907" s="4106">
        <v>45209</v>
      </c>
      <c r="V1907" s="4105">
        <v>116850</v>
      </c>
      <c r="W1907" s="4106">
        <v>45295</v>
      </c>
      <c r="X1907" s="4105">
        <v>116850</v>
      </c>
      <c r="Y1907" s="4106">
        <v>45309</v>
      </c>
      <c r="Z1907" s="4144"/>
      <c r="AA1907" s="4144"/>
      <c r="AB1907" s="4105"/>
      <c r="AC1907" s="4105"/>
      <c r="AD1907" s="4144"/>
      <c r="AE1907" s="4144"/>
      <c r="AF1907" s="4144"/>
      <c r="AG1907" s="4144"/>
      <c r="AH1907" s="4144"/>
      <c r="AI1907" s="4144"/>
    </row>
    <row r="1908" s="32" customFormat="1" ht="37.5" customHeight="1" spans="1:35">
      <c r="A1908" s="4084"/>
      <c r="B1908" s="4268"/>
      <c r="C1908" s="4086"/>
      <c r="D1908" s="4084"/>
      <c r="E1908" s="4086"/>
      <c r="F1908" s="4086"/>
      <c r="G1908" s="4098"/>
      <c r="H1908" s="4086"/>
      <c r="I1908" s="4084"/>
      <c r="J1908" s="4084"/>
      <c r="K1908" s="4098"/>
      <c r="L1908" s="4084"/>
      <c r="M1908" s="4010">
        <v>4</v>
      </c>
      <c r="N1908" s="185" t="s">
        <v>6991</v>
      </c>
      <c r="O1908" s="4211">
        <v>0.1</v>
      </c>
      <c r="P1908" s="4212">
        <f>K1905*O1908</f>
        <v>38950</v>
      </c>
      <c r="Q1908" s="4105">
        <v>38950</v>
      </c>
      <c r="R1908" s="4189" t="s">
        <v>4603</v>
      </c>
      <c r="S1908" s="4106">
        <v>45279</v>
      </c>
      <c r="T1908" s="4105">
        <v>38950</v>
      </c>
      <c r="U1908" s="4106">
        <v>45279</v>
      </c>
      <c r="V1908" s="4105">
        <v>38950</v>
      </c>
      <c r="W1908" s="4106">
        <v>45976</v>
      </c>
      <c r="X1908" s="4307">
        <v>38950</v>
      </c>
      <c r="Y1908" s="4234">
        <v>46016</v>
      </c>
      <c r="Z1908" s="4144"/>
      <c r="AA1908" s="4144"/>
      <c r="AB1908" s="4105"/>
      <c r="AC1908" s="4105"/>
      <c r="AD1908" s="4144"/>
      <c r="AE1908" s="4144"/>
      <c r="AF1908" s="4144"/>
      <c r="AG1908" s="4144"/>
      <c r="AH1908" s="4144"/>
      <c r="AI1908" s="4144"/>
    </row>
    <row r="1909" s="32" customFormat="1" ht="37.5" customHeight="1" spans="1:35">
      <c r="A1909" s="3967" t="s">
        <v>2570</v>
      </c>
      <c r="B1909" s="4267">
        <v>45093</v>
      </c>
      <c r="C1909" s="4010" t="s">
        <v>6861</v>
      </c>
      <c r="D1909" s="3967"/>
      <c r="E1909" s="4010" t="s">
        <v>6992</v>
      </c>
      <c r="F1909" s="4010" t="s">
        <v>6993</v>
      </c>
      <c r="G1909" s="4098" t="s">
        <v>4356</v>
      </c>
      <c r="H1909" s="4010" t="s">
        <v>4783</v>
      </c>
      <c r="I1909" s="3967"/>
      <c r="J1909" s="3967" t="s">
        <v>997</v>
      </c>
      <c r="K1909" s="4098">
        <v>184000</v>
      </c>
      <c r="L1909" s="3967" t="s">
        <v>126</v>
      </c>
      <c r="M1909" s="4010">
        <v>1</v>
      </c>
      <c r="N1909" s="185" t="s">
        <v>6994</v>
      </c>
      <c r="O1909" s="4211">
        <v>0.15</v>
      </c>
      <c r="P1909" s="4212">
        <f>K1909*O1909</f>
        <v>27600</v>
      </c>
      <c r="Q1909" s="4105">
        <v>27600</v>
      </c>
      <c r="R1909" s="4189" t="s">
        <v>4603</v>
      </c>
      <c r="S1909" s="4106">
        <v>45119</v>
      </c>
      <c r="T1909" s="4105">
        <v>27600</v>
      </c>
      <c r="U1909" s="4106">
        <v>45119</v>
      </c>
      <c r="V1909" s="4105">
        <v>27600</v>
      </c>
      <c r="W1909" s="4106">
        <v>45127</v>
      </c>
      <c r="X1909" s="4105">
        <v>27600</v>
      </c>
      <c r="Y1909" s="4106">
        <v>45152</v>
      </c>
      <c r="Z1909" s="4144"/>
      <c r="AA1909" s="4144"/>
      <c r="AB1909" s="4105"/>
      <c r="AC1909" s="4105"/>
      <c r="AD1909" s="4144"/>
      <c r="AE1909" s="4144"/>
      <c r="AF1909" s="4144"/>
      <c r="AG1909" s="4144"/>
      <c r="AH1909" s="4144"/>
      <c r="AI1909" s="4144"/>
    </row>
    <row r="1910" s="32" customFormat="1" ht="37.5" customHeight="1" spans="1:35">
      <c r="A1910" s="4084"/>
      <c r="B1910" s="4268"/>
      <c r="C1910" s="4086"/>
      <c r="D1910" s="4084"/>
      <c r="E1910" s="4086"/>
      <c r="F1910" s="4086"/>
      <c r="G1910" s="4098"/>
      <c r="H1910" s="4086"/>
      <c r="I1910" s="4084"/>
      <c r="J1910" s="4084"/>
      <c r="K1910" s="4098"/>
      <c r="L1910" s="4084"/>
      <c r="M1910" s="4010">
        <v>2</v>
      </c>
      <c r="N1910" s="185" t="s">
        <v>6995</v>
      </c>
      <c r="O1910" s="4211">
        <v>0.65</v>
      </c>
      <c r="P1910" s="4212">
        <f>K1909*O1910</f>
        <v>119600</v>
      </c>
      <c r="Q1910" s="4105">
        <v>119600</v>
      </c>
      <c r="R1910" s="4189" t="s">
        <v>4603</v>
      </c>
      <c r="S1910" s="4106">
        <v>45209</v>
      </c>
      <c r="T1910" s="4105">
        <v>119600</v>
      </c>
      <c r="U1910" s="4106">
        <v>45209</v>
      </c>
      <c r="V1910" s="4105">
        <v>119600</v>
      </c>
      <c r="W1910" s="4106">
        <v>45212</v>
      </c>
      <c r="X1910" s="4105">
        <v>119600</v>
      </c>
      <c r="Y1910" s="4106">
        <v>45244</v>
      </c>
      <c r="Z1910" s="4144"/>
      <c r="AA1910" s="4144"/>
      <c r="AB1910" s="4105"/>
      <c r="AC1910" s="4105"/>
      <c r="AD1910" s="4144"/>
      <c r="AE1910" s="4144"/>
      <c r="AF1910" s="4144"/>
      <c r="AG1910" s="4144"/>
      <c r="AH1910" s="4144"/>
      <c r="AI1910" s="4144"/>
    </row>
    <row r="1911" s="32" customFormat="1" ht="37.5" customHeight="1" spans="1:35">
      <c r="A1911" s="4084"/>
      <c r="B1911" s="4268"/>
      <c r="C1911" s="4086"/>
      <c r="D1911" s="4084"/>
      <c r="E1911" s="4086"/>
      <c r="F1911" s="4086"/>
      <c r="G1911" s="4098"/>
      <c r="H1911" s="4086"/>
      <c r="I1911" s="4084"/>
      <c r="J1911" s="4084"/>
      <c r="K1911" s="4098"/>
      <c r="L1911" s="4084"/>
      <c r="M1911" s="4010">
        <v>3</v>
      </c>
      <c r="N1911" s="185" t="s">
        <v>6996</v>
      </c>
      <c r="O1911" s="4211">
        <v>0.1</v>
      </c>
      <c r="P1911" s="4212">
        <f>K1909*O1911</f>
        <v>18400</v>
      </c>
      <c r="Q1911" s="4105">
        <v>18400</v>
      </c>
      <c r="R1911" s="4189" t="s">
        <v>4603</v>
      </c>
      <c r="S1911" s="4106">
        <v>45279</v>
      </c>
      <c r="T1911" s="4105">
        <v>18400</v>
      </c>
      <c r="U1911" s="4106">
        <v>45279</v>
      </c>
      <c r="V1911" s="4105">
        <v>18400</v>
      </c>
      <c r="W1911" s="4106">
        <v>45976</v>
      </c>
      <c r="X1911" s="4105">
        <v>18400</v>
      </c>
      <c r="Y1911" s="4106">
        <v>45989</v>
      </c>
      <c r="Z1911" s="4144"/>
      <c r="AA1911" s="4144"/>
      <c r="AB1911" s="4105"/>
      <c r="AC1911" s="4105"/>
      <c r="AD1911" s="4144"/>
      <c r="AE1911" s="4144"/>
      <c r="AF1911" s="4144"/>
      <c r="AG1911" s="4144"/>
      <c r="AH1911" s="4144"/>
      <c r="AI1911" s="4144"/>
    </row>
    <row r="1912" s="32" customFormat="1" ht="37.5" customHeight="1" spans="1:35">
      <c r="A1912" s="4084"/>
      <c r="B1912" s="4268"/>
      <c r="C1912" s="4086"/>
      <c r="D1912" s="4084"/>
      <c r="E1912" s="4086"/>
      <c r="F1912" s="4086"/>
      <c r="G1912" s="3967"/>
      <c r="H1912" s="4086"/>
      <c r="I1912" s="4084"/>
      <c r="J1912" s="4084"/>
      <c r="K1912" s="3967"/>
      <c r="L1912" s="4084"/>
      <c r="M1912" s="4010">
        <v>4</v>
      </c>
      <c r="N1912" s="172" t="s">
        <v>6997</v>
      </c>
      <c r="O1912" s="4211">
        <v>0.1</v>
      </c>
      <c r="P1912" s="4212">
        <f>K1909*O1912</f>
        <v>18400</v>
      </c>
      <c r="Q1912" s="4144">
        <v>18400</v>
      </c>
      <c r="R1912" s="4189" t="s">
        <v>4603</v>
      </c>
      <c r="S1912" s="4106">
        <v>45971</v>
      </c>
      <c r="T1912" s="4105">
        <v>18400</v>
      </c>
      <c r="U1912" s="4106">
        <v>45971</v>
      </c>
      <c r="V1912" s="4144">
        <v>18400</v>
      </c>
      <c r="W1912" s="4106">
        <v>45976</v>
      </c>
      <c r="X1912" s="4144">
        <v>18400</v>
      </c>
      <c r="Y1912" s="4145">
        <v>45989</v>
      </c>
      <c r="Z1912" s="4144"/>
      <c r="AA1912" s="4144"/>
      <c r="AB1912" s="4144"/>
      <c r="AC1912" s="4144"/>
      <c r="AD1912" s="4144"/>
      <c r="AE1912" s="4144"/>
      <c r="AF1912" s="4144"/>
      <c r="AG1912" s="4144"/>
      <c r="AH1912" s="4144"/>
      <c r="AI1912" s="4144"/>
    </row>
    <row r="1913" s="34" customFormat="1" ht="37.5" customHeight="1" spans="1:35">
      <c r="A1913" s="4010" t="s">
        <v>2570</v>
      </c>
      <c r="B1913" s="4267">
        <v>45107</v>
      </c>
      <c r="C1913" s="4010" t="s">
        <v>6861</v>
      </c>
      <c r="D1913" s="3967"/>
      <c r="E1913" s="4010" t="s">
        <v>6998</v>
      </c>
      <c r="F1913" s="3967" t="s">
        <v>6999</v>
      </c>
      <c r="G1913" s="3967" t="s">
        <v>3482</v>
      </c>
      <c r="H1913" s="4010" t="s">
        <v>7000</v>
      </c>
      <c r="I1913" s="3967"/>
      <c r="J1913" s="3967" t="s">
        <v>997</v>
      </c>
      <c r="K1913" s="3967">
        <v>150000</v>
      </c>
      <c r="L1913" s="4010" t="s">
        <v>126</v>
      </c>
      <c r="M1913" s="4144">
        <v>1</v>
      </c>
      <c r="N1913" s="4272" t="s">
        <v>7001</v>
      </c>
      <c r="O1913" s="4211">
        <v>0.15</v>
      </c>
      <c r="P1913" s="4144">
        <v>22500</v>
      </c>
      <c r="Q1913" s="4144">
        <v>22500</v>
      </c>
      <c r="R1913" s="4189" t="s">
        <v>4603</v>
      </c>
      <c r="S1913" s="4106">
        <v>45119</v>
      </c>
      <c r="T1913" s="4144">
        <v>22500</v>
      </c>
      <c r="U1913" s="4106">
        <v>45119</v>
      </c>
      <c r="V1913" s="4144">
        <v>22500</v>
      </c>
      <c r="W1913" s="4106">
        <v>45119</v>
      </c>
      <c r="X1913" s="4144">
        <v>22500</v>
      </c>
      <c r="Y1913" s="4106">
        <v>45132</v>
      </c>
      <c r="Z1913" s="4105"/>
      <c r="AA1913" s="4105"/>
      <c r="AB1913" s="4105"/>
      <c r="AC1913" s="4105"/>
      <c r="AD1913" s="4105"/>
      <c r="AE1913" s="4105"/>
      <c r="AF1913" s="4105"/>
      <c r="AG1913" s="4105"/>
      <c r="AH1913" s="4105"/>
      <c r="AI1913" s="4105"/>
    </row>
    <row r="1914" s="34" customFormat="1" ht="37.5" customHeight="1" spans="1:35">
      <c r="A1914" s="4084"/>
      <c r="B1914" s="4268"/>
      <c r="C1914" s="4086"/>
      <c r="D1914" s="4084"/>
      <c r="E1914" s="4086"/>
      <c r="F1914" s="4084"/>
      <c r="G1914" s="4084"/>
      <c r="H1914" s="4086"/>
      <c r="I1914" s="4084"/>
      <c r="J1914" s="4084"/>
      <c r="K1914" s="4084"/>
      <c r="L1914" s="4084"/>
      <c r="M1914" s="4144">
        <v>2</v>
      </c>
      <c r="N1914" s="4272" t="s">
        <v>7002</v>
      </c>
      <c r="O1914" s="4211">
        <v>0.35</v>
      </c>
      <c r="P1914" s="4144">
        <f>K1913*O1914</f>
        <v>52500</v>
      </c>
      <c r="Q1914" s="4105">
        <v>52500</v>
      </c>
      <c r="R1914" s="4189" t="s">
        <v>4603</v>
      </c>
      <c r="S1914" s="4106">
        <v>45280</v>
      </c>
      <c r="T1914" s="4105">
        <v>52500</v>
      </c>
      <c r="U1914" s="4106">
        <v>45280</v>
      </c>
      <c r="V1914" s="4105">
        <v>25000</v>
      </c>
      <c r="W1914" s="4189">
        <v>45545</v>
      </c>
      <c r="X1914" s="4105">
        <v>25000</v>
      </c>
      <c r="Y1914" s="4106">
        <v>45562</v>
      </c>
      <c r="Z1914" s="4105"/>
      <c r="AA1914" s="4105"/>
      <c r="AB1914" s="4105"/>
      <c r="AC1914" s="4105"/>
      <c r="AD1914" s="4105"/>
      <c r="AE1914" s="4105"/>
      <c r="AF1914" s="4105"/>
      <c r="AG1914" s="4105"/>
      <c r="AH1914" s="4105"/>
      <c r="AI1914" s="4105"/>
    </row>
    <row r="1915" s="34" customFormat="1" ht="37.5" customHeight="1" spans="1:35">
      <c r="A1915" s="4084"/>
      <c r="B1915" s="4268"/>
      <c r="C1915" s="4086"/>
      <c r="D1915" s="4084"/>
      <c r="E1915" s="4086"/>
      <c r="F1915" s="4084"/>
      <c r="G1915" s="4084"/>
      <c r="H1915" s="4086"/>
      <c r="I1915" s="4084"/>
      <c r="J1915" s="4084"/>
      <c r="K1915" s="4084"/>
      <c r="L1915" s="4084"/>
      <c r="M1915" s="4144">
        <v>3</v>
      </c>
      <c r="N1915" s="4272" t="s">
        <v>7003</v>
      </c>
      <c r="O1915" s="4211">
        <v>0.3</v>
      </c>
      <c r="P1915" s="4144">
        <f>K1913*O1915</f>
        <v>45000</v>
      </c>
      <c r="Q1915" s="4105">
        <v>45000</v>
      </c>
      <c r="R1915" s="4189" t="s">
        <v>4603</v>
      </c>
      <c r="S1915" s="4106">
        <v>45280</v>
      </c>
      <c r="T1915" s="4105">
        <v>45000</v>
      </c>
      <c r="U1915" s="4106">
        <v>45280</v>
      </c>
      <c r="V1915" s="4105">
        <v>7500</v>
      </c>
      <c r="W1915" s="4106">
        <v>45976</v>
      </c>
      <c r="X1915" s="4307">
        <v>7500</v>
      </c>
      <c r="Y1915" s="4234">
        <v>46016</v>
      </c>
      <c r="Z1915" s="4105"/>
      <c r="AA1915" s="4105"/>
      <c r="AB1915" s="4105"/>
      <c r="AC1915" s="4105"/>
      <c r="AD1915" s="4105"/>
      <c r="AE1915" s="4105"/>
      <c r="AF1915" s="4105"/>
      <c r="AG1915" s="4105"/>
      <c r="AH1915" s="4105"/>
      <c r="AI1915" s="4105"/>
    </row>
    <row r="1916" s="44" customFormat="1" ht="37.5" customHeight="1" spans="1:35">
      <c r="A1916" s="4084"/>
      <c r="B1916" s="4268"/>
      <c r="C1916" s="4086"/>
      <c r="D1916" s="4084"/>
      <c r="E1916" s="4086"/>
      <c r="F1916" s="4084"/>
      <c r="G1916" s="4084"/>
      <c r="H1916" s="4086"/>
      <c r="I1916" s="4084"/>
      <c r="J1916" s="4084"/>
      <c r="K1916" s="4084"/>
      <c r="L1916" s="4084"/>
      <c r="M1916" s="4144">
        <v>4</v>
      </c>
      <c r="N1916" s="4272" t="s">
        <v>7004</v>
      </c>
      <c r="O1916" s="4211">
        <v>0.1</v>
      </c>
      <c r="P1916" s="4144">
        <f>K1913*O1916</f>
        <v>15000</v>
      </c>
      <c r="Q1916" s="4144">
        <v>15000</v>
      </c>
      <c r="R1916" s="4267" t="s">
        <v>4603</v>
      </c>
      <c r="S1916" s="4145">
        <v>45280</v>
      </c>
      <c r="T1916" s="4144">
        <v>15000</v>
      </c>
      <c r="U1916" s="4145">
        <v>45280</v>
      </c>
      <c r="V1916" s="4144"/>
      <c r="W1916" s="4144"/>
      <c r="X1916" s="4144"/>
      <c r="Y1916" s="4144"/>
      <c r="Z1916" s="4144"/>
      <c r="AA1916" s="4144"/>
      <c r="AB1916" s="4144"/>
      <c r="AC1916" s="4144"/>
      <c r="AD1916" s="4144"/>
      <c r="AE1916" s="4144"/>
      <c r="AF1916" s="4144"/>
      <c r="AG1916" s="4144"/>
      <c r="AH1916" s="4144"/>
      <c r="AI1916" s="4144"/>
    </row>
    <row r="1917" s="34" customFormat="1" ht="38.25" customHeight="1" spans="1:35">
      <c r="A1917" s="4098"/>
      <c r="B1917" s="4269"/>
      <c r="C1917" s="4011"/>
      <c r="D1917" s="658"/>
      <c r="E1917" s="4011"/>
      <c r="F1917" s="4098"/>
      <c r="G1917" s="4098"/>
      <c r="H1917" s="4011"/>
      <c r="I1917" s="4098"/>
      <c r="J1917" s="4098"/>
      <c r="K1917" s="4098"/>
      <c r="L1917" s="4098"/>
      <c r="M1917" s="4105">
        <v>5</v>
      </c>
      <c r="N1917" s="4313" t="s">
        <v>7005</v>
      </c>
      <c r="O1917" s="4209">
        <v>0.1</v>
      </c>
      <c r="P1917" s="4105">
        <f>K1913*O1917</f>
        <v>15000</v>
      </c>
      <c r="Q1917" s="4105">
        <v>-80000</v>
      </c>
      <c r="R1917" s="4267" t="s">
        <v>4603</v>
      </c>
      <c r="S1917" s="4106">
        <v>45960</v>
      </c>
      <c r="T1917" s="4105">
        <v>-80000</v>
      </c>
      <c r="U1917" s="4106">
        <v>45960</v>
      </c>
      <c r="V1917" s="4105"/>
      <c r="W1917" s="4105"/>
      <c r="X1917" s="4105"/>
      <c r="Y1917" s="4105"/>
      <c r="Z1917" s="4105"/>
      <c r="AA1917" s="4105"/>
      <c r="AB1917" s="4105"/>
      <c r="AC1917" s="4105"/>
      <c r="AD1917" s="4105"/>
      <c r="AE1917" s="4105"/>
      <c r="AF1917" s="4105"/>
      <c r="AG1917" s="4105"/>
      <c r="AH1917" s="4105"/>
      <c r="AI1917" s="4105"/>
    </row>
    <row r="1918" s="32" customFormat="1" ht="33.75" customHeight="1" spans="1:35">
      <c r="A1918" s="4011" t="s">
        <v>2570</v>
      </c>
      <c r="B1918" s="4279">
        <v>45107</v>
      </c>
      <c r="C1918" s="4011" t="s">
        <v>6861</v>
      </c>
      <c r="D1918" s="4086"/>
      <c r="E1918" s="4011" t="s">
        <v>7006</v>
      </c>
      <c r="F1918" s="4011" t="s">
        <v>7007</v>
      </c>
      <c r="G1918" s="4011" t="s">
        <v>6848</v>
      </c>
      <c r="H1918" s="4011" t="s">
        <v>7008</v>
      </c>
      <c r="I1918" s="4011"/>
      <c r="J1918" s="4011" t="s">
        <v>997</v>
      </c>
      <c r="K1918" s="4011">
        <v>90000</v>
      </c>
      <c r="L1918" s="4011" t="s">
        <v>126</v>
      </c>
      <c r="M1918" s="4105">
        <v>1</v>
      </c>
      <c r="N1918" s="4272" t="s">
        <v>7009</v>
      </c>
      <c r="O1918" s="4211">
        <v>0.2</v>
      </c>
      <c r="P1918" s="4105">
        <v>18000</v>
      </c>
      <c r="Q1918" s="4105">
        <v>18000</v>
      </c>
      <c r="R1918" s="4189" t="s">
        <v>4603</v>
      </c>
      <c r="S1918" s="4106">
        <v>45119</v>
      </c>
      <c r="T1918" s="4105">
        <v>18000</v>
      </c>
      <c r="U1918" s="4106">
        <v>45119</v>
      </c>
      <c r="V1918" s="4105">
        <v>18000</v>
      </c>
      <c r="W1918" s="4106">
        <v>45119</v>
      </c>
      <c r="X1918" s="4105">
        <v>18000</v>
      </c>
      <c r="Y1918" s="4106">
        <v>45132</v>
      </c>
      <c r="Z1918" s="4146"/>
      <c r="AA1918" s="4146"/>
      <c r="AB1918" s="4146"/>
      <c r="AC1918" s="4146"/>
      <c r="AD1918" s="4157"/>
      <c r="AE1918" s="4157"/>
      <c r="AF1918" s="4157"/>
      <c r="AG1918" s="4157"/>
      <c r="AH1918" s="4157"/>
      <c r="AI1918" s="4157"/>
    </row>
    <row r="1919" s="32" customFormat="1" ht="38.25" customHeight="1" spans="1:35">
      <c r="A1919" s="4011"/>
      <c r="B1919" s="4280"/>
      <c r="C1919" s="4011"/>
      <c r="D1919" s="4086"/>
      <c r="E1919" s="4011"/>
      <c r="F1919" s="4011"/>
      <c r="G1919" s="4011"/>
      <c r="H1919" s="4011"/>
      <c r="I1919" s="4011"/>
      <c r="J1919" s="4011"/>
      <c r="K1919" s="4011"/>
      <c r="L1919" s="4011"/>
      <c r="M1919" s="4105">
        <v>2</v>
      </c>
      <c r="N1919" s="4272" t="s">
        <v>7010</v>
      </c>
      <c r="O1919" s="4211">
        <v>0.35</v>
      </c>
      <c r="P1919" s="4105">
        <f>K1918*O1919</f>
        <v>31500</v>
      </c>
      <c r="Q1919" s="4105">
        <v>31500</v>
      </c>
      <c r="R1919" s="4189" t="s">
        <v>4603</v>
      </c>
      <c r="S1919" s="4106">
        <v>45229</v>
      </c>
      <c r="T1919" s="4105">
        <v>31500</v>
      </c>
      <c r="U1919" s="4106">
        <v>45229</v>
      </c>
      <c r="V1919" s="4105">
        <v>31500</v>
      </c>
      <c r="W1919" s="4106">
        <v>45216</v>
      </c>
      <c r="X1919" s="4105">
        <v>31500</v>
      </c>
      <c r="Y1919" s="4106">
        <v>45243</v>
      </c>
      <c r="Z1919" s="4146"/>
      <c r="AA1919" s="4146"/>
      <c r="AB1919" s="4146"/>
      <c r="AC1919" s="4146"/>
      <c r="AD1919" s="4157"/>
      <c r="AE1919" s="4157"/>
      <c r="AF1919" s="4157"/>
      <c r="AG1919" s="4157"/>
      <c r="AH1919" s="4157"/>
      <c r="AI1919" s="4157"/>
    </row>
    <row r="1920" s="32" customFormat="1" ht="28.5" customHeight="1" spans="1:35">
      <c r="A1920" s="4011"/>
      <c r="B1920" s="4280"/>
      <c r="C1920" s="4011"/>
      <c r="D1920" s="4086"/>
      <c r="E1920" s="4011"/>
      <c r="F1920" s="4011"/>
      <c r="G1920" s="4011"/>
      <c r="H1920" s="4011"/>
      <c r="I1920" s="4011"/>
      <c r="J1920" s="4011"/>
      <c r="K1920" s="4011"/>
      <c r="L1920" s="4011"/>
      <c r="M1920" s="4105">
        <v>3</v>
      </c>
      <c r="N1920" s="4272" t="s">
        <v>7011</v>
      </c>
      <c r="O1920" s="4211">
        <v>0.35</v>
      </c>
      <c r="P1920" s="4105">
        <f>K1918*O1920</f>
        <v>31500</v>
      </c>
      <c r="Q1920" s="4105">
        <v>31500</v>
      </c>
      <c r="R1920" s="4189" t="s">
        <v>4603</v>
      </c>
      <c r="S1920" s="4106">
        <v>45229</v>
      </c>
      <c r="T1920" s="4105">
        <v>31500</v>
      </c>
      <c r="U1920" s="4106">
        <v>45229</v>
      </c>
      <c r="V1920" s="4105">
        <v>31500</v>
      </c>
      <c r="W1920" s="4189">
        <v>45216</v>
      </c>
      <c r="X1920" s="4105">
        <v>31500</v>
      </c>
      <c r="Y1920" s="4106">
        <v>45313</v>
      </c>
      <c r="Z1920" s="4146"/>
      <c r="AA1920" s="4146"/>
      <c r="AB1920" s="4146"/>
      <c r="AC1920" s="4146"/>
      <c r="AD1920" s="4157"/>
      <c r="AE1920" s="4157"/>
      <c r="AF1920" s="4157"/>
      <c r="AG1920" s="4157"/>
      <c r="AH1920" s="4157"/>
      <c r="AI1920" s="4157"/>
    </row>
    <row r="1921" s="32" customFormat="1" ht="33" customHeight="1" spans="1:35">
      <c r="A1921" s="4011"/>
      <c r="B1921" s="4281"/>
      <c r="C1921" s="4011"/>
      <c r="D1921" s="4086"/>
      <c r="E1921" s="4011"/>
      <c r="F1921" s="4011"/>
      <c r="G1921" s="4011"/>
      <c r="H1921" s="4011"/>
      <c r="I1921" s="4011"/>
      <c r="J1921" s="4011"/>
      <c r="K1921" s="4011"/>
      <c r="L1921" s="4011"/>
      <c r="M1921" s="4144">
        <v>4</v>
      </c>
      <c r="N1921" s="4313" t="s">
        <v>7012</v>
      </c>
      <c r="O1921" s="4209">
        <v>0.1</v>
      </c>
      <c r="P1921" s="4105">
        <f>K1918*O1921</f>
        <v>9000</v>
      </c>
      <c r="Q1921" s="4105">
        <v>9000</v>
      </c>
      <c r="R1921" s="4189" t="s">
        <v>4603</v>
      </c>
      <c r="S1921" s="4106">
        <v>45960</v>
      </c>
      <c r="T1921" s="4105">
        <v>9000</v>
      </c>
      <c r="U1921" s="4106">
        <v>45960</v>
      </c>
      <c r="V1921" s="4105">
        <v>9000</v>
      </c>
      <c r="W1921" s="4106">
        <v>45976</v>
      </c>
      <c r="X1921" s="4307">
        <v>9000</v>
      </c>
      <c r="Y1921" s="4234">
        <v>46016</v>
      </c>
      <c r="Z1921" s="4146"/>
      <c r="AA1921" s="4146"/>
      <c r="AB1921" s="4146"/>
      <c r="AC1921" s="4146"/>
      <c r="AD1921" s="4157"/>
      <c r="AE1921" s="4157"/>
      <c r="AF1921" s="4157"/>
      <c r="AG1921" s="4157"/>
      <c r="AH1921" s="4157"/>
      <c r="AI1921" s="4157"/>
    </row>
    <row r="1922" s="32" customFormat="1" ht="38.25" customHeight="1" spans="1:35">
      <c r="A1922" s="4010" t="s">
        <v>2570</v>
      </c>
      <c r="B1922" s="4279">
        <v>45092</v>
      </c>
      <c r="C1922" s="4010" t="s">
        <v>6861</v>
      </c>
      <c r="D1922" s="4010"/>
      <c r="E1922" s="4010" t="s">
        <v>7013</v>
      </c>
      <c r="F1922" s="4010" t="s">
        <v>7014</v>
      </c>
      <c r="G1922" s="4010" t="s">
        <v>7015</v>
      </c>
      <c r="H1922" s="4010" t="s">
        <v>6917</v>
      </c>
      <c r="I1922" s="4010"/>
      <c r="J1922" s="4010" t="s">
        <v>997</v>
      </c>
      <c r="K1922" s="4010">
        <v>101000</v>
      </c>
      <c r="L1922" s="4010" t="s">
        <v>126</v>
      </c>
      <c r="M1922" s="4105">
        <v>1</v>
      </c>
      <c r="N1922" s="4313" t="s">
        <v>7016</v>
      </c>
      <c r="O1922" s="4209">
        <v>0.2</v>
      </c>
      <c r="P1922" s="4105">
        <v>20200</v>
      </c>
      <c r="Q1922" s="4105">
        <v>20200</v>
      </c>
      <c r="R1922" s="4189" t="s">
        <v>4603</v>
      </c>
      <c r="S1922" s="4106">
        <v>45119</v>
      </c>
      <c r="T1922" s="4105">
        <v>20200</v>
      </c>
      <c r="U1922" s="4106">
        <v>45119</v>
      </c>
      <c r="V1922" s="4105">
        <v>20200</v>
      </c>
      <c r="W1922" s="4106">
        <v>45120</v>
      </c>
      <c r="X1922" s="4105">
        <v>20200</v>
      </c>
      <c r="Y1922" s="4106">
        <v>45132</v>
      </c>
      <c r="Z1922" s="4146"/>
      <c r="AA1922" s="4146"/>
      <c r="AB1922" s="4146"/>
      <c r="AC1922" s="4146"/>
      <c r="AD1922" s="4157"/>
      <c r="AE1922" s="4157"/>
      <c r="AF1922" s="4157"/>
      <c r="AG1922" s="4157"/>
      <c r="AH1922" s="4157"/>
      <c r="AI1922" s="4157"/>
    </row>
    <row r="1923" s="32" customFormat="1" ht="37.5" customHeight="1" spans="1:35">
      <c r="A1923" s="4086"/>
      <c r="B1923" s="4280"/>
      <c r="C1923" s="4086"/>
      <c r="D1923" s="4086"/>
      <c r="E1923" s="4086"/>
      <c r="F1923" s="4086"/>
      <c r="G1923" s="4086"/>
      <c r="H1923" s="4086"/>
      <c r="I1923" s="4086"/>
      <c r="J1923" s="4086"/>
      <c r="K1923" s="4086"/>
      <c r="L1923" s="4086"/>
      <c r="M1923" s="4105">
        <v>2</v>
      </c>
      <c r="N1923" s="4313" t="s">
        <v>7017</v>
      </c>
      <c r="O1923" s="4209">
        <v>0.7</v>
      </c>
      <c r="P1923" s="4105">
        <f>K1922*O1923</f>
        <v>70700</v>
      </c>
      <c r="Q1923" s="4105">
        <v>70700</v>
      </c>
      <c r="R1923" s="4189" t="s">
        <v>4603</v>
      </c>
      <c r="S1923" s="4106">
        <v>45280</v>
      </c>
      <c r="T1923" s="4105">
        <v>70700</v>
      </c>
      <c r="U1923" s="4106">
        <v>45280</v>
      </c>
      <c r="V1923" s="4105">
        <v>70700</v>
      </c>
      <c r="W1923" s="4106">
        <v>45296</v>
      </c>
      <c r="X1923" s="4105">
        <v>70700</v>
      </c>
      <c r="Y1923" s="4106">
        <v>45313</v>
      </c>
      <c r="Z1923" s="4146"/>
      <c r="AA1923" s="4146"/>
      <c r="AB1923" s="4146"/>
      <c r="AC1923" s="4146"/>
      <c r="AD1923" s="4157"/>
      <c r="AE1923" s="4157"/>
      <c r="AF1923" s="4157"/>
      <c r="AG1923" s="4157"/>
      <c r="AH1923" s="4157"/>
      <c r="AI1923" s="4157"/>
    </row>
    <row r="1924" s="32" customFormat="1" ht="45" customHeight="1" spans="1:35">
      <c r="A1924" s="684"/>
      <c r="B1924" s="4281"/>
      <c r="C1924" s="684"/>
      <c r="D1924" s="684"/>
      <c r="E1924" s="684"/>
      <c r="F1924" s="684"/>
      <c r="G1924" s="684"/>
      <c r="H1924" s="684"/>
      <c r="I1924" s="684"/>
      <c r="J1924" s="684"/>
      <c r="K1924" s="684"/>
      <c r="L1924" s="684"/>
      <c r="M1924" s="4105">
        <v>3</v>
      </c>
      <c r="N1924" s="4313" t="s">
        <v>7018</v>
      </c>
      <c r="O1924" s="4209">
        <v>0.1</v>
      </c>
      <c r="P1924" s="4105">
        <f>K1922*O1924</f>
        <v>10100</v>
      </c>
      <c r="Q1924" s="4105">
        <v>7241.51</v>
      </c>
      <c r="R1924" s="4189" t="s">
        <v>4603</v>
      </c>
      <c r="S1924" s="4106">
        <v>45923</v>
      </c>
      <c r="T1924" s="4105">
        <v>7241.51</v>
      </c>
      <c r="U1924" s="4106">
        <v>45923</v>
      </c>
      <c r="V1924" s="4105">
        <v>7241.51</v>
      </c>
      <c r="W1924" s="4106">
        <v>45923</v>
      </c>
      <c r="X1924" s="4105">
        <v>7241.51</v>
      </c>
      <c r="Y1924" s="4106">
        <v>45928</v>
      </c>
      <c r="Z1924" s="4146"/>
      <c r="AA1924" s="4146"/>
      <c r="AB1924" s="4146"/>
      <c r="AC1924" s="4146"/>
      <c r="AD1924" s="4157"/>
      <c r="AE1924" s="4157"/>
      <c r="AF1924" s="4157"/>
      <c r="AG1924" s="4157"/>
      <c r="AH1924" s="4157"/>
      <c r="AI1924" s="4157"/>
    </row>
    <row r="1925" s="36" customFormat="1" ht="228" spans="1:35">
      <c r="A1925" s="4011" t="s">
        <v>2570</v>
      </c>
      <c r="B1925" s="4315">
        <v>45173</v>
      </c>
      <c r="C1925" s="4011" t="s">
        <v>6452</v>
      </c>
      <c r="D1925" s="4011"/>
      <c r="E1925" s="4011" t="s">
        <v>7019</v>
      </c>
      <c r="F1925" s="4011" t="s">
        <v>7020</v>
      </c>
      <c r="G1925" s="4011" t="s">
        <v>286</v>
      </c>
      <c r="H1925" s="4011" t="s">
        <v>5492</v>
      </c>
      <c r="I1925" s="4011"/>
      <c r="J1925" s="4011"/>
      <c r="K1925" s="4011">
        <v>624500</v>
      </c>
      <c r="L1925" s="4011" t="s">
        <v>26</v>
      </c>
      <c r="M1925" s="4144">
        <v>1</v>
      </c>
      <c r="N1925" s="4011" t="s">
        <v>7021</v>
      </c>
      <c r="O1925" s="4328" t="s">
        <v>6457</v>
      </c>
      <c r="P1925" s="4105">
        <v>624500</v>
      </c>
      <c r="Q1925" s="4105">
        <v>674000</v>
      </c>
      <c r="R1925" s="4189" t="s">
        <v>4603</v>
      </c>
      <c r="S1925" s="4106">
        <v>45214</v>
      </c>
      <c r="T1925" s="4105">
        <v>674000</v>
      </c>
      <c r="U1925" s="4106">
        <v>45214</v>
      </c>
      <c r="V1925" s="4105">
        <v>674000</v>
      </c>
      <c r="W1925" s="4106">
        <v>45223</v>
      </c>
      <c r="X1925" s="4105">
        <v>674000</v>
      </c>
      <c r="Y1925" s="4145">
        <v>45273</v>
      </c>
      <c r="Z1925" s="4157"/>
      <c r="AA1925" s="4157"/>
      <c r="AB1925" s="4157"/>
      <c r="AC1925" s="4157"/>
      <c r="AD1925" s="4157"/>
      <c r="AE1925" s="4157"/>
      <c r="AF1925" s="4157"/>
      <c r="AG1925" s="4157"/>
      <c r="AH1925" s="4157"/>
      <c r="AI1925" s="4157"/>
    </row>
    <row r="1926" s="36" customFormat="1" ht="36.8" customHeight="1" spans="1:35">
      <c r="A1926" s="4010" t="s">
        <v>2570</v>
      </c>
      <c r="B1926" s="4279">
        <v>45475</v>
      </c>
      <c r="C1926" s="4010" t="s">
        <v>7022</v>
      </c>
      <c r="D1926" s="4011"/>
      <c r="E1926" s="4010" t="s">
        <v>7023</v>
      </c>
      <c r="F1926" s="4010" t="s">
        <v>7024</v>
      </c>
      <c r="G1926" s="4010" t="s">
        <v>286</v>
      </c>
      <c r="H1926" s="4010" t="s">
        <v>5492</v>
      </c>
      <c r="I1926" s="4010"/>
      <c r="J1926" s="4010" t="s">
        <v>7025</v>
      </c>
      <c r="K1926" s="4010">
        <v>556000</v>
      </c>
      <c r="L1926" s="4011" t="s">
        <v>27</v>
      </c>
      <c r="M1926" s="4144"/>
      <c r="N1926" s="4011" t="s">
        <v>7026</v>
      </c>
      <c r="O1926" s="4328" t="s">
        <v>171</v>
      </c>
      <c r="P1926" s="4105">
        <v>278000</v>
      </c>
      <c r="Q1926" s="4105">
        <v>139000</v>
      </c>
      <c r="R1926" s="4189" t="s">
        <v>4603</v>
      </c>
      <c r="S1926" s="4106">
        <v>45525</v>
      </c>
      <c r="T1926" s="4105">
        <v>139000</v>
      </c>
      <c r="U1926" s="4106">
        <v>45525</v>
      </c>
      <c r="V1926" s="4105">
        <v>139000</v>
      </c>
      <c r="W1926" s="4106">
        <v>45530</v>
      </c>
      <c r="X1926" s="4105">
        <v>139000</v>
      </c>
      <c r="Y1926" s="4106">
        <v>45533</v>
      </c>
      <c r="Z1926" s="4105">
        <f>Q1926-X1926</f>
        <v>0</v>
      </c>
      <c r="AA1926" s="4105"/>
      <c r="AB1926" s="4105"/>
      <c r="AC1926" s="4105"/>
      <c r="AD1926" s="4105"/>
      <c r="AE1926" s="4105"/>
      <c r="AF1926" s="4105"/>
      <c r="AG1926" s="4105"/>
      <c r="AH1926" s="4105"/>
      <c r="AI1926" s="4105"/>
    </row>
    <row r="1927" s="36" customFormat="1" ht="30" customHeight="1" spans="1:35">
      <c r="A1927" s="4086"/>
      <c r="B1927" s="4280"/>
      <c r="C1927" s="4086"/>
      <c r="D1927" s="4011"/>
      <c r="E1927" s="4086"/>
      <c r="F1927" s="4086"/>
      <c r="G1927" s="4086"/>
      <c r="H1927" s="4086"/>
      <c r="I1927" s="4086"/>
      <c r="J1927" s="4086"/>
      <c r="K1927" s="4086"/>
      <c r="L1927" s="4011" t="s">
        <v>27</v>
      </c>
      <c r="M1927" s="4144"/>
      <c r="N1927" s="4011" t="s">
        <v>7027</v>
      </c>
      <c r="O1927" s="4328" t="s">
        <v>171</v>
      </c>
      <c r="P1927" s="4105">
        <v>278000</v>
      </c>
      <c r="Q1927" s="4105">
        <v>278000</v>
      </c>
      <c r="R1927" s="4189" t="s">
        <v>4603</v>
      </c>
      <c r="S1927" s="4106">
        <v>45588</v>
      </c>
      <c r="T1927" s="4105">
        <v>278000</v>
      </c>
      <c r="U1927" s="4106">
        <v>45588</v>
      </c>
      <c r="V1927" s="4105">
        <v>278000</v>
      </c>
      <c r="W1927" s="4106">
        <v>45590</v>
      </c>
      <c r="X1927" s="4105">
        <v>278000</v>
      </c>
      <c r="Y1927" s="4106">
        <v>45595</v>
      </c>
      <c r="Z1927" s="4157"/>
      <c r="AA1927" s="4157"/>
      <c r="AB1927" s="4157"/>
      <c r="AC1927" s="4157"/>
      <c r="AD1927" s="4157"/>
      <c r="AE1927" s="4157"/>
      <c r="AF1927" s="4157"/>
      <c r="AG1927" s="4157"/>
      <c r="AH1927" s="4157"/>
      <c r="AI1927" s="4157"/>
    </row>
    <row r="1928" s="36" customFormat="1" ht="78.65" customHeight="1" spans="1:35">
      <c r="A1928" s="4086"/>
      <c r="B1928" s="4280"/>
      <c r="C1928" s="4086"/>
      <c r="D1928" s="684"/>
      <c r="E1928" s="4086"/>
      <c r="F1928" s="4086"/>
      <c r="G1928" s="4086"/>
      <c r="H1928" s="4086"/>
      <c r="I1928" s="4086"/>
      <c r="J1928" s="4086"/>
      <c r="K1928" s="4086"/>
      <c r="L1928" s="684" t="s">
        <v>27</v>
      </c>
      <c r="M1928" s="4144"/>
      <c r="N1928" s="4011" t="s">
        <v>7028</v>
      </c>
      <c r="O1928" s="4328" t="s">
        <v>171</v>
      </c>
      <c r="P1928" s="4098" t="s">
        <v>171</v>
      </c>
      <c r="Q1928" s="4307"/>
      <c r="R1928" s="4240"/>
      <c r="S1928" s="4234"/>
      <c r="T1928" s="4105"/>
      <c r="U1928" s="4106"/>
      <c r="V1928" s="4105"/>
      <c r="W1928" s="4106"/>
      <c r="X1928" s="4105"/>
      <c r="Y1928" s="4106"/>
      <c r="Z1928" s="4157"/>
      <c r="AA1928" s="4157"/>
      <c r="AB1928" s="4157"/>
      <c r="AC1928" s="4157"/>
      <c r="AD1928" s="4157"/>
      <c r="AE1928" s="4157"/>
      <c r="AF1928" s="4157"/>
      <c r="AG1928" s="4157"/>
      <c r="AH1928" s="4157"/>
      <c r="AI1928" s="4157"/>
    </row>
    <row r="1929" s="36" customFormat="1" ht="30" customHeight="1" spans="1:35">
      <c r="A1929" s="4086" t="s">
        <v>2570</v>
      </c>
      <c r="B1929" s="4280">
        <v>45475</v>
      </c>
      <c r="C1929" s="4086" t="s">
        <v>7029</v>
      </c>
      <c r="D1929" s="684"/>
      <c r="E1929" s="4086" t="s">
        <v>7030</v>
      </c>
      <c r="F1929" s="4086" t="s">
        <v>7031</v>
      </c>
      <c r="G1929" s="4086" t="s">
        <v>286</v>
      </c>
      <c r="H1929" s="4086" t="s">
        <v>6441</v>
      </c>
      <c r="I1929" s="4086"/>
      <c r="J1929" s="4086"/>
      <c r="K1929" s="4086">
        <v>243000</v>
      </c>
      <c r="L1929" s="684" t="s">
        <v>27</v>
      </c>
      <c r="M1929" s="4144">
        <v>1</v>
      </c>
      <c r="N1929" s="4011" t="s">
        <v>7032</v>
      </c>
      <c r="O1929" s="4328"/>
      <c r="P1929" s="4105">
        <v>45000</v>
      </c>
      <c r="Q1929" s="4105">
        <v>45000</v>
      </c>
      <c r="R1929" s="4189" t="s">
        <v>4603</v>
      </c>
      <c r="S1929" s="4106">
        <v>45525</v>
      </c>
      <c r="T1929" s="4105">
        <v>45000</v>
      </c>
      <c r="U1929" s="4106">
        <v>45525</v>
      </c>
      <c r="V1929" s="4105">
        <v>45000</v>
      </c>
      <c r="W1929" s="4106">
        <v>45527</v>
      </c>
      <c r="X1929" s="4105">
        <v>45000</v>
      </c>
      <c r="Y1929" s="4106">
        <v>45533</v>
      </c>
      <c r="Z1929" s="4105">
        <f>Q1929-X1929</f>
        <v>0</v>
      </c>
      <c r="AA1929" s="4105"/>
      <c r="AB1929" s="4105"/>
      <c r="AC1929" s="4105"/>
      <c r="AD1929" s="4105"/>
      <c r="AE1929" s="4105"/>
      <c r="AF1929" s="4105"/>
      <c r="AG1929" s="4105"/>
      <c r="AH1929" s="4105"/>
      <c r="AI1929" s="4105"/>
    </row>
    <row r="1930" s="36" customFormat="1" ht="30" customHeight="1" spans="1:35">
      <c r="A1930" s="4086"/>
      <c r="B1930" s="4280"/>
      <c r="C1930" s="4086"/>
      <c r="D1930" s="4011"/>
      <c r="E1930" s="4086"/>
      <c r="F1930" s="4086"/>
      <c r="G1930" s="4086"/>
      <c r="H1930" s="4086"/>
      <c r="I1930" s="4086"/>
      <c r="J1930" s="4086"/>
      <c r="K1930" s="4086"/>
      <c r="L1930" s="684" t="s">
        <v>26</v>
      </c>
      <c r="M1930" s="4010">
        <v>2</v>
      </c>
      <c r="N1930" s="4011" t="s">
        <v>6467</v>
      </c>
      <c r="O1930" s="4328"/>
      <c r="P1930" s="4105">
        <v>45000</v>
      </c>
      <c r="Q1930" s="4105">
        <v>45000</v>
      </c>
      <c r="R1930" s="4189" t="s">
        <v>4603</v>
      </c>
      <c r="S1930" s="4106">
        <v>45559</v>
      </c>
      <c r="T1930" s="4105">
        <v>45000</v>
      </c>
      <c r="U1930" s="4147">
        <v>45559</v>
      </c>
      <c r="V1930" s="4105">
        <v>45000</v>
      </c>
      <c r="W1930" s="4147">
        <v>45558</v>
      </c>
      <c r="X1930" s="4105">
        <v>45000</v>
      </c>
      <c r="Y1930" s="4147">
        <v>45565</v>
      </c>
      <c r="Z1930" s="4157"/>
      <c r="AA1930" s="4157"/>
      <c r="AB1930" s="4157"/>
      <c r="AC1930" s="4157"/>
      <c r="AD1930" s="4157"/>
      <c r="AE1930" s="4157"/>
      <c r="AF1930" s="4157"/>
      <c r="AG1930" s="4157"/>
      <c r="AH1930" s="4157"/>
      <c r="AI1930" s="4157"/>
    </row>
    <row r="1931" s="36" customFormat="1" ht="30" customHeight="1" spans="1:35">
      <c r="A1931" s="4086"/>
      <c r="B1931" s="4280"/>
      <c r="C1931" s="4086"/>
      <c r="D1931" s="4011"/>
      <c r="E1931" s="4086"/>
      <c r="F1931" s="4086"/>
      <c r="G1931" s="4086"/>
      <c r="H1931" s="4086"/>
      <c r="I1931" s="4086"/>
      <c r="J1931" s="4086"/>
      <c r="K1931" s="4086"/>
      <c r="L1931" s="4011" t="s">
        <v>26</v>
      </c>
      <c r="M1931" s="4144">
        <v>3</v>
      </c>
      <c r="N1931" s="4011" t="s">
        <v>7033</v>
      </c>
      <c r="O1931" s="4328"/>
      <c r="P1931" s="4105">
        <v>18000</v>
      </c>
      <c r="Q1931" s="4110">
        <v>18000</v>
      </c>
      <c r="R1931" s="4189" t="s">
        <v>4603</v>
      </c>
      <c r="S1931" s="4106">
        <v>45644</v>
      </c>
      <c r="T1931" s="4110">
        <v>18000</v>
      </c>
      <c r="U1931" s="4106">
        <v>45644</v>
      </c>
      <c r="V1931" s="4105">
        <v>18000</v>
      </c>
      <c r="W1931" s="4106">
        <v>45645</v>
      </c>
      <c r="X1931" s="4105">
        <v>18000</v>
      </c>
      <c r="Y1931" s="4106">
        <v>45652</v>
      </c>
      <c r="Z1931" s="4157"/>
      <c r="AA1931" s="4157"/>
      <c r="AB1931" s="4157"/>
      <c r="AC1931" s="4157"/>
      <c r="AD1931" s="4157"/>
      <c r="AE1931" s="4157"/>
      <c r="AF1931" s="4157"/>
      <c r="AG1931" s="4157"/>
      <c r="AH1931" s="4157"/>
      <c r="AI1931" s="4157"/>
    </row>
    <row r="1932" s="36" customFormat="1" ht="30" customHeight="1" spans="1:35">
      <c r="A1932" s="4086"/>
      <c r="B1932" s="4280"/>
      <c r="C1932" s="4086"/>
      <c r="D1932" s="4011"/>
      <c r="E1932" s="4086"/>
      <c r="F1932" s="4086"/>
      <c r="G1932" s="4086"/>
      <c r="H1932" s="4086"/>
      <c r="I1932" s="4086"/>
      <c r="J1932" s="4086"/>
      <c r="K1932" s="4086"/>
      <c r="L1932" s="4011" t="s">
        <v>26</v>
      </c>
      <c r="M1932" s="4144">
        <v>4</v>
      </c>
      <c r="N1932" s="4011" t="s">
        <v>7034</v>
      </c>
      <c r="O1932" s="4328"/>
      <c r="P1932" s="4105">
        <v>18000</v>
      </c>
      <c r="Q1932" s="4110">
        <v>18000</v>
      </c>
      <c r="R1932" s="4189" t="s">
        <v>4603</v>
      </c>
      <c r="S1932" s="4106">
        <v>45644</v>
      </c>
      <c r="T1932" s="4110">
        <v>18000</v>
      </c>
      <c r="U1932" s="4106">
        <v>45644</v>
      </c>
      <c r="V1932" s="4105">
        <v>18000</v>
      </c>
      <c r="W1932" s="4106">
        <v>45645</v>
      </c>
      <c r="X1932" s="4105">
        <v>18000</v>
      </c>
      <c r="Y1932" s="4106">
        <v>45652</v>
      </c>
      <c r="Z1932" s="4157"/>
      <c r="AA1932" s="4157"/>
      <c r="AB1932" s="4157"/>
      <c r="AC1932" s="4157"/>
      <c r="AD1932" s="4157"/>
      <c r="AE1932" s="4157"/>
      <c r="AF1932" s="4157"/>
      <c r="AG1932" s="4157"/>
      <c r="AH1932" s="4157"/>
      <c r="AI1932" s="4157"/>
    </row>
    <row r="1933" s="36" customFormat="1" ht="30" customHeight="1" spans="1:35">
      <c r="A1933" s="4086"/>
      <c r="B1933" s="4280"/>
      <c r="C1933" s="4086"/>
      <c r="D1933" s="4011"/>
      <c r="E1933" s="4086"/>
      <c r="F1933" s="4086"/>
      <c r="G1933" s="4086"/>
      <c r="H1933" s="4086"/>
      <c r="I1933" s="4086"/>
      <c r="J1933" s="4086"/>
      <c r="K1933" s="4086"/>
      <c r="L1933" s="4010" t="s">
        <v>26</v>
      </c>
      <c r="M1933" s="4144">
        <v>5</v>
      </c>
      <c r="N1933" s="4010" t="s">
        <v>6526</v>
      </c>
      <c r="O1933" s="4329"/>
      <c r="P1933" s="4144">
        <v>9000</v>
      </c>
      <c r="Q1933" s="4346">
        <v>9000</v>
      </c>
      <c r="R1933" s="4267" t="s">
        <v>4603</v>
      </c>
      <c r="S1933" s="4145">
        <v>45644</v>
      </c>
      <c r="T1933" s="4346">
        <v>9000</v>
      </c>
      <c r="U1933" s="4145">
        <v>45644</v>
      </c>
      <c r="V1933" s="4144">
        <v>9000</v>
      </c>
      <c r="W1933" s="4145">
        <v>45645</v>
      </c>
      <c r="X1933" s="4144">
        <v>9000</v>
      </c>
      <c r="Y1933" s="4145">
        <v>45652</v>
      </c>
      <c r="Z1933" s="4157"/>
      <c r="AA1933" s="4157"/>
      <c r="AB1933" s="4157"/>
      <c r="AC1933" s="4157"/>
      <c r="AD1933" s="4157"/>
      <c r="AE1933" s="4157"/>
      <c r="AF1933" s="4157"/>
      <c r="AG1933" s="4157"/>
      <c r="AH1933" s="4157"/>
      <c r="AI1933" s="4157"/>
    </row>
    <row r="1934" s="36" customFormat="1" ht="30" customHeight="1" spans="1:35">
      <c r="A1934" s="4086"/>
      <c r="B1934" s="4280"/>
      <c r="C1934" s="4086"/>
      <c r="D1934" s="4011"/>
      <c r="E1934" s="4086"/>
      <c r="F1934" s="4086"/>
      <c r="G1934" s="4086"/>
      <c r="H1934" s="4086"/>
      <c r="I1934" s="684"/>
      <c r="J1934" s="684"/>
      <c r="K1934" s="4086"/>
      <c r="L1934" s="4010" t="s">
        <v>26</v>
      </c>
      <c r="M1934" s="40">
        <v>6</v>
      </c>
      <c r="N1934" s="4098" t="s">
        <v>7035</v>
      </c>
      <c r="O1934" s="4011" t="s">
        <v>6460</v>
      </c>
      <c r="P1934" s="40">
        <v>18000</v>
      </c>
      <c r="Q1934" s="4105">
        <v>18000</v>
      </c>
      <c r="R1934" s="4267" t="s">
        <v>4603</v>
      </c>
      <c r="S1934" s="4106">
        <v>45853</v>
      </c>
      <c r="T1934" s="4346">
        <v>18000</v>
      </c>
      <c r="U1934" s="4114">
        <v>45853</v>
      </c>
      <c r="V1934" s="40">
        <v>18000</v>
      </c>
      <c r="W1934" s="4114">
        <v>45855</v>
      </c>
      <c r="X1934" s="40">
        <v>18000</v>
      </c>
      <c r="Y1934" s="4114">
        <v>45868</v>
      </c>
      <c r="Z1934" s="4157"/>
      <c r="AA1934" s="4157"/>
      <c r="AB1934" s="4157"/>
      <c r="AC1934" s="4157"/>
      <c r="AD1934" s="4157"/>
      <c r="AE1934" s="4157"/>
      <c r="AF1934" s="4157"/>
      <c r="AG1934" s="4157"/>
      <c r="AH1934" s="4157"/>
      <c r="AI1934" s="4157"/>
    </row>
    <row r="1935" s="45" customFormat="1" ht="42.75" customHeight="1" spans="1:35">
      <c r="A1935" s="4011" t="s">
        <v>2570</v>
      </c>
      <c r="B1935" s="4279">
        <v>45173</v>
      </c>
      <c r="C1935" s="4011" t="s">
        <v>6452</v>
      </c>
      <c r="D1935" s="4011"/>
      <c r="E1935" s="4011" t="s">
        <v>7036</v>
      </c>
      <c r="F1935" s="4011" t="s">
        <v>7037</v>
      </c>
      <c r="G1935" s="4011" t="s">
        <v>286</v>
      </c>
      <c r="H1935" s="4011" t="s">
        <v>6610</v>
      </c>
      <c r="I1935" s="4011"/>
      <c r="J1935" s="4011"/>
      <c r="K1935" s="4011">
        <v>225000</v>
      </c>
      <c r="L1935" s="4011" t="s">
        <v>26</v>
      </c>
      <c r="M1935" s="4011">
        <v>1</v>
      </c>
      <c r="N1935" s="4126" t="s">
        <v>7038</v>
      </c>
      <c r="O1935" s="4330" t="s">
        <v>6457</v>
      </c>
      <c r="P1935" s="4331"/>
      <c r="Q1935" s="4210">
        <v>90000</v>
      </c>
      <c r="R1935" s="4098" t="s">
        <v>4603</v>
      </c>
      <c r="S1935" s="4106">
        <v>45236</v>
      </c>
      <c r="T1935" s="4210">
        <v>90000</v>
      </c>
      <c r="U1935" s="4106">
        <v>45236</v>
      </c>
      <c r="V1935" s="4210">
        <v>90000</v>
      </c>
      <c r="W1935" s="4106">
        <v>45245</v>
      </c>
      <c r="X1935" s="4210">
        <v>90000</v>
      </c>
      <c r="Y1935" s="4106">
        <v>45273</v>
      </c>
      <c r="Z1935" s="658"/>
      <c r="AA1935" s="4362"/>
      <c r="AB1935" s="4363"/>
      <c r="AC1935" s="4363"/>
      <c r="AD1935" s="4336"/>
      <c r="AE1935" s="4336"/>
      <c r="AF1935" s="4336"/>
      <c r="AG1935" s="4336"/>
      <c r="AH1935" s="4370"/>
      <c r="AI1935" s="4336"/>
    </row>
    <row r="1936" s="45" customFormat="1" ht="42.75" customHeight="1" spans="1:35">
      <c r="A1936" s="4011"/>
      <c r="B1936" s="4281"/>
      <c r="C1936" s="4011"/>
      <c r="D1936" s="4011"/>
      <c r="E1936" s="4011"/>
      <c r="F1936" s="4011"/>
      <c r="G1936" s="4011"/>
      <c r="H1936" s="4011"/>
      <c r="I1936" s="4011"/>
      <c r="J1936" s="4011"/>
      <c r="K1936" s="4011"/>
      <c r="L1936" s="4011" t="s">
        <v>27</v>
      </c>
      <c r="M1936" s="346">
        <v>2</v>
      </c>
      <c r="N1936" s="4126" t="s">
        <v>7039</v>
      </c>
      <c r="O1936" s="4330" t="s">
        <v>6457</v>
      </c>
      <c r="P1936" s="4331"/>
      <c r="Q1936" s="4210">
        <v>90000</v>
      </c>
      <c r="R1936" s="4098" t="s">
        <v>4603</v>
      </c>
      <c r="S1936" s="4106">
        <v>45236</v>
      </c>
      <c r="T1936" s="4210">
        <v>90000</v>
      </c>
      <c r="U1936" s="4106">
        <v>45236</v>
      </c>
      <c r="V1936" s="4210">
        <v>90000</v>
      </c>
      <c r="W1936" s="4106">
        <v>45245</v>
      </c>
      <c r="X1936" s="4210">
        <v>90000</v>
      </c>
      <c r="Y1936" s="4106">
        <v>45273</v>
      </c>
      <c r="Z1936" s="658"/>
      <c r="AA1936" s="4362"/>
      <c r="AB1936" s="4363"/>
      <c r="AC1936" s="4363"/>
      <c r="AD1936" s="4336"/>
      <c r="AE1936" s="4336"/>
      <c r="AF1936" s="4336"/>
      <c r="AG1936" s="4336"/>
      <c r="AH1936" s="4370"/>
      <c r="AI1936" s="4336"/>
    </row>
    <row r="1937" s="1" customFormat="1" ht="100.5" customHeight="1" spans="1:35">
      <c r="A1937" s="4011" t="s">
        <v>2570</v>
      </c>
      <c r="B1937" s="4315">
        <v>45176</v>
      </c>
      <c r="C1937" s="4011" t="s">
        <v>7040</v>
      </c>
      <c r="D1937" s="4011"/>
      <c r="E1937" s="4011" t="s">
        <v>7041</v>
      </c>
      <c r="F1937" s="4011" t="s">
        <v>7042</v>
      </c>
      <c r="G1937" s="4011" t="s">
        <v>286</v>
      </c>
      <c r="H1937" s="4011" t="s">
        <v>4634</v>
      </c>
      <c r="I1937" s="4011"/>
      <c r="J1937" s="4011" t="s">
        <v>7043</v>
      </c>
      <c r="K1937" s="4011">
        <v>514500</v>
      </c>
      <c r="L1937" s="4011" t="s">
        <v>26</v>
      </c>
      <c r="M1937" s="346">
        <v>1</v>
      </c>
      <c r="N1937" s="4126" t="s">
        <v>7044</v>
      </c>
      <c r="O1937" s="4330" t="s">
        <v>6457</v>
      </c>
      <c r="P1937" s="4331"/>
      <c r="Q1937" s="4098">
        <v>514500</v>
      </c>
      <c r="R1937" s="4098" t="s">
        <v>4603</v>
      </c>
      <c r="S1937" s="4106">
        <v>45236</v>
      </c>
      <c r="T1937" s="4098">
        <v>514500</v>
      </c>
      <c r="U1937" s="4106">
        <v>45236</v>
      </c>
      <c r="V1937" s="346">
        <v>514500</v>
      </c>
      <c r="W1937" s="4106">
        <v>45243</v>
      </c>
      <c r="X1937" s="4098">
        <v>514500</v>
      </c>
      <c r="Y1937" s="4106">
        <v>45273</v>
      </c>
      <c r="Z1937" s="4098"/>
      <c r="AA1937" s="4364"/>
      <c r="AB1937" s="4365"/>
      <c r="AC1937" s="4363"/>
      <c r="AD1937" s="4336"/>
      <c r="AE1937" s="4336"/>
      <c r="AF1937" s="4336"/>
      <c r="AG1937" s="4336"/>
      <c r="AH1937" s="4370"/>
      <c r="AI1937" s="4336"/>
    </row>
    <row r="1938" s="1" customFormat="1" ht="31" spans="1:35">
      <c r="A1938" s="4010" t="s">
        <v>2570</v>
      </c>
      <c r="B1938" s="4279">
        <v>45475</v>
      </c>
      <c r="C1938" s="4010" t="s">
        <v>7029</v>
      </c>
      <c r="D1938" s="4010"/>
      <c r="E1938" s="4010" t="s">
        <v>7045</v>
      </c>
      <c r="F1938" s="4010" t="s">
        <v>7046</v>
      </c>
      <c r="G1938" s="4010" t="s">
        <v>286</v>
      </c>
      <c r="H1938" s="4010" t="s">
        <v>4634</v>
      </c>
      <c r="I1938" s="4010"/>
      <c r="J1938" s="4010" t="s">
        <v>7047</v>
      </c>
      <c r="K1938" s="4320">
        <v>2272200</v>
      </c>
      <c r="L1938" s="4010" t="s">
        <v>27</v>
      </c>
      <c r="M1938" s="4332">
        <v>1</v>
      </c>
      <c r="N1938" s="4333" t="s">
        <v>7048</v>
      </c>
      <c r="O1938" s="4330" t="s">
        <v>6478</v>
      </c>
      <c r="P1938" s="4334"/>
      <c r="Q1938" s="4098">
        <v>272000</v>
      </c>
      <c r="R1938" s="4098" t="s">
        <v>4603</v>
      </c>
      <c r="S1938" s="4106">
        <v>45555</v>
      </c>
      <c r="T1938" s="4098">
        <v>272000</v>
      </c>
      <c r="U1938" s="4106">
        <v>45555</v>
      </c>
      <c r="V1938" s="4098">
        <v>272000</v>
      </c>
      <c r="W1938" s="4106">
        <v>45555</v>
      </c>
      <c r="X1938" s="4098">
        <v>272000</v>
      </c>
      <c r="Y1938" s="4106">
        <v>45563</v>
      </c>
      <c r="Z1938" s="4098"/>
      <c r="AA1938" s="4098" t="s">
        <v>7049</v>
      </c>
      <c r="AB1938" s="4365"/>
      <c r="AC1938" s="4368"/>
      <c r="AD1938" s="4336"/>
      <c r="AE1938" s="4336"/>
      <c r="AF1938" s="4336"/>
      <c r="AG1938" s="4336"/>
      <c r="AH1938" s="4370"/>
      <c r="AI1938" s="4336"/>
    </row>
    <row r="1939" s="1" customFormat="1" ht="20" customHeight="1" spans="1:35">
      <c r="A1939" s="4086"/>
      <c r="B1939" s="4280"/>
      <c r="C1939" s="4086"/>
      <c r="D1939" s="4010"/>
      <c r="E1939" s="4086"/>
      <c r="F1939" s="4086"/>
      <c r="G1939" s="4086"/>
      <c r="H1939" s="4086"/>
      <c r="I1939" s="4086"/>
      <c r="J1939" s="4086"/>
      <c r="K1939" s="4321"/>
      <c r="L1939" s="4010" t="s">
        <v>26</v>
      </c>
      <c r="M1939" s="4332">
        <v>2</v>
      </c>
      <c r="N1939" s="4126" t="s">
        <v>7050</v>
      </c>
      <c r="O1939" s="4335" t="s">
        <v>6460</v>
      </c>
      <c r="P1939" s="4334"/>
      <c r="Q1939" s="4098">
        <v>19400</v>
      </c>
      <c r="R1939" s="4098" t="s">
        <v>4603</v>
      </c>
      <c r="S1939" s="4106">
        <v>45588</v>
      </c>
      <c r="T1939" s="4098">
        <v>19400</v>
      </c>
      <c r="U1939" s="4106">
        <v>45588</v>
      </c>
      <c r="V1939" s="4098">
        <v>19400</v>
      </c>
      <c r="W1939" s="4106">
        <v>45590</v>
      </c>
      <c r="X1939" s="4098">
        <v>19400</v>
      </c>
      <c r="Y1939" s="4106">
        <v>45593</v>
      </c>
      <c r="Z1939" s="4098"/>
      <c r="AA1939" s="4098" t="s">
        <v>7049</v>
      </c>
      <c r="AB1939" s="4365"/>
      <c r="AC1939" s="4368"/>
      <c r="AD1939" s="4336"/>
      <c r="AE1939" s="4336"/>
      <c r="AF1939" s="4336"/>
      <c r="AG1939" s="4336"/>
      <c r="AH1939" s="4370"/>
      <c r="AI1939" s="4336"/>
    </row>
    <row r="1940" s="1" customFormat="1" ht="20" customHeight="1" spans="1:35">
      <c r="A1940" s="4086"/>
      <c r="B1940" s="4280"/>
      <c r="C1940" s="4086"/>
      <c r="D1940" s="4010"/>
      <c r="E1940" s="4086"/>
      <c r="F1940" s="4086"/>
      <c r="G1940" s="4086"/>
      <c r="H1940" s="4086"/>
      <c r="I1940" s="4086"/>
      <c r="J1940" s="4086"/>
      <c r="K1940" s="4321"/>
      <c r="L1940" s="4010" t="s">
        <v>26</v>
      </c>
      <c r="M1940" s="4336"/>
      <c r="N1940" s="4126" t="s">
        <v>7051</v>
      </c>
      <c r="O1940" s="4337"/>
      <c r="P1940" s="4334"/>
      <c r="Q1940" s="4098">
        <v>48500</v>
      </c>
      <c r="R1940" s="4098" t="s">
        <v>4603</v>
      </c>
      <c r="S1940" s="4106">
        <v>45588</v>
      </c>
      <c r="T1940" s="4098">
        <v>48500</v>
      </c>
      <c r="U1940" s="4106">
        <v>45588</v>
      </c>
      <c r="V1940" s="4098">
        <v>48500</v>
      </c>
      <c r="W1940" s="4106">
        <v>45590</v>
      </c>
      <c r="X1940" s="4098">
        <v>48500</v>
      </c>
      <c r="Y1940" s="4106">
        <v>45593</v>
      </c>
      <c r="Z1940" s="4098"/>
      <c r="AA1940" s="4098" t="s">
        <v>7049</v>
      </c>
      <c r="AB1940" s="4365"/>
      <c r="AC1940" s="4368"/>
      <c r="AD1940" s="4336"/>
      <c r="AE1940" s="4336"/>
      <c r="AF1940" s="4336"/>
      <c r="AG1940" s="4336"/>
      <c r="AH1940" s="4370"/>
      <c r="AI1940" s="4336"/>
    </row>
    <row r="1941" s="1" customFormat="1" ht="20" customHeight="1" spans="1:35">
      <c r="A1941" s="4086"/>
      <c r="B1941" s="4280"/>
      <c r="C1941" s="4086"/>
      <c r="D1941" s="4010"/>
      <c r="E1941" s="4086"/>
      <c r="F1941" s="4086"/>
      <c r="G1941" s="4086"/>
      <c r="H1941" s="4086"/>
      <c r="I1941" s="4086"/>
      <c r="J1941" s="4086"/>
      <c r="K1941" s="4321"/>
      <c r="L1941" s="4010" t="s">
        <v>26</v>
      </c>
      <c r="M1941" s="4336"/>
      <c r="N1941" s="4126" t="s">
        <v>7052</v>
      </c>
      <c r="O1941" s="4337"/>
      <c r="P1941" s="4334"/>
      <c r="Q1941" s="4098">
        <v>48500</v>
      </c>
      <c r="R1941" s="4098" t="s">
        <v>4603</v>
      </c>
      <c r="S1941" s="4106">
        <v>45588</v>
      </c>
      <c r="T1941" s="4098">
        <v>48500</v>
      </c>
      <c r="U1941" s="4106">
        <v>45588</v>
      </c>
      <c r="V1941" s="4098">
        <v>48500</v>
      </c>
      <c r="W1941" s="4106">
        <v>45590</v>
      </c>
      <c r="X1941" s="4098">
        <v>48500</v>
      </c>
      <c r="Y1941" s="4106">
        <v>45593</v>
      </c>
      <c r="Z1941" s="4098"/>
      <c r="AA1941" s="4098" t="s">
        <v>7049</v>
      </c>
      <c r="AB1941" s="4365"/>
      <c r="AC1941" s="4368"/>
      <c r="AD1941" s="4336"/>
      <c r="AE1941" s="4336"/>
      <c r="AF1941" s="4336"/>
      <c r="AG1941" s="4336"/>
      <c r="AH1941" s="4370"/>
      <c r="AI1941" s="4336"/>
    </row>
    <row r="1942" s="1" customFormat="1" ht="20" customHeight="1" spans="1:35">
      <c r="A1942" s="4086"/>
      <c r="B1942" s="4280"/>
      <c r="C1942" s="4086"/>
      <c r="D1942" s="4010"/>
      <c r="E1942" s="4086"/>
      <c r="F1942" s="4086"/>
      <c r="G1942" s="4086"/>
      <c r="H1942" s="4086"/>
      <c r="I1942" s="4086"/>
      <c r="J1942" s="4086"/>
      <c r="K1942" s="4321"/>
      <c r="L1942" s="4010" t="s">
        <v>26</v>
      </c>
      <c r="M1942" s="4336"/>
      <c r="N1942" s="4126" t="s">
        <v>7053</v>
      </c>
      <c r="O1942" s="4338"/>
      <c r="P1942" s="4334"/>
      <c r="Q1942" s="4098">
        <v>48500</v>
      </c>
      <c r="R1942" s="4098" t="s">
        <v>4603</v>
      </c>
      <c r="S1942" s="4106">
        <v>45588</v>
      </c>
      <c r="T1942" s="4098">
        <v>48500</v>
      </c>
      <c r="U1942" s="4106">
        <v>45588</v>
      </c>
      <c r="V1942" s="4098">
        <v>48500</v>
      </c>
      <c r="W1942" s="4106">
        <v>45590</v>
      </c>
      <c r="X1942" s="4098">
        <v>48500</v>
      </c>
      <c r="Y1942" s="4106">
        <v>45593</v>
      </c>
      <c r="Z1942" s="4098"/>
      <c r="AA1942" s="4098" t="s">
        <v>7049</v>
      </c>
      <c r="AB1942" s="4365"/>
      <c r="AC1942" s="4368"/>
      <c r="AD1942" s="4336"/>
      <c r="AE1942" s="4336"/>
      <c r="AF1942" s="4336"/>
      <c r="AG1942" s="4336"/>
      <c r="AH1942" s="4370"/>
      <c r="AI1942" s="4336"/>
    </row>
    <row r="1943" s="1" customFormat="1" ht="31" spans="1:35">
      <c r="A1943" s="4086"/>
      <c r="B1943" s="4280"/>
      <c r="C1943" s="4086"/>
      <c r="D1943" s="4010"/>
      <c r="E1943" s="4086"/>
      <c r="F1943" s="4086"/>
      <c r="G1943" s="4086"/>
      <c r="H1943" s="4086"/>
      <c r="I1943" s="4086"/>
      <c r="J1943" s="4086"/>
      <c r="K1943" s="4321"/>
      <c r="L1943" s="4010" t="s">
        <v>27</v>
      </c>
      <c r="M1943" s="4336"/>
      <c r="N1943" s="4333" t="s">
        <v>7054</v>
      </c>
      <c r="O1943" s="4330" t="s">
        <v>6478</v>
      </c>
      <c r="P1943" s="4334"/>
      <c r="Q1943" s="4098">
        <v>272000</v>
      </c>
      <c r="R1943" s="4098" t="s">
        <v>4603</v>
      </c>
      <c r="S1943" s="4106">
        <v>45588</v>
      </c>
      <c r="T1943" s="4098">
        <v>272000</v>
      </c>
      <c r="U1943" s="4106">
        <v>45588</v>
      </c>
      <c r="V1943" s="4098">
        <v>272000</v>
      </c>
      <c r="W1943" s="4106">
        <v>45590</v>
      </c>
      <c r="X1943" s="4098">
        <v>272000</v>
      </c>
      <c r="Y1943" s="4106">
        <v>45595</v>
      </c>
      <c r="Z1943" s="4098"/>
      <c r="AA1943" s="4098" t="s">
        <v>7049</v>
      </c>
      <c r="AB1943" s="4365"/>
      <c r="AC1943" s="4368"/>
      <c r="AD1943" s="4336"/>
      <c r="AE1943" s="4336"/>
      <c r="AF1943" s="4336"/>
      <c r="AG1943" s="4336"/>
      <c r="AH1943" s="4370"/>
      <c r="AI1943" s="4336"/>
    </row>
    <row r="1944" s="1" customFormat="1" ht="20" customHeight="1" spans="1:35">
      <c r="A1944" s="4086"/>
      <c r="B1944" s="4280"/>
      <c r="C1944" s="4086"/>
      <c r="D1944" s="4010"/>
      <c r="E1944" s="4086"/>
      <c r="F1944" s="4086"/>
      <c r="G1944" s="4086"/>
      <c r="H1944" s="4086"/>
      <c r="I1944" s="4086"/>
      <c r="J1944" s="4086"/>
      <c r="K1944" s="4321"/>
      <c r="L1944" s="4010" t="s">
        <v>27</v>
      </c>
      <c r="M1944" s="346">
        <v>3</v>
      </c>
      <c r="N1944" s="4333" t="s">
        <v>7055</v>
      </c>
      <c r="O1944" s="4335" t="s">
        <v>6478</v>
      </c>
      <c r="P1944" s="4334"/>
      <c r="Q1944" s="4098">
        <v>136000</v>
      </c>
      <c r="R1944" s="4098" t="s">
        <v>4603</v>
      </c>
      <c r="S1944" s="4106">
        <v>45616</v>
      </c>
      <c r="T1944" s="4098">
        <v>136000</v>
      </c>
      <c r="U1944" s="4106">
        <v>45616</v>
      </c>
      <c r="V1944" s="4098">
        <v>136000</v>
      </c>
      <c r="W1944" s="4106">
        <v>45621</v>
      </c>
      <c r="X1944" s="4098">
        <v>136000</v>
      </c>
      <c r="Y1944" s="4106">
        <v>45650</v>
      </c>
      <c r="Z1944" s="4098"/>
      <c r="AA1944" s="4098" t="s">
        <v>7049</v>
      </c>
      <c r="AB1944" s="4365"/>
      <c r="AC1944" s="4368"/>
      <c r="AD1944" s="4336"/>
      <c r="AE1944" s="4336"/>
      <c r="AF1944" s="4336"/>
      <c r="AG1944" s="4336"/>
      <c r="AH1944" s="4370"/>
      <c r="AI1944" s="4336"/>
    </row>
    <row r="1945" s="1" customFormat="1" ht="20" customHeight="1" spans="1:35">
      <c r="A1945" s="4086"/>
      <c r="B1945" s="4280"/>
      <c r="C1945" s="4086"/>
      <c r="D1945" s="4010"/>
      <c r="E1945" s="4086"/>
      <c r="F1945" s="4086"/>
      <c r="G1945" s="4086"/>
      <c r="H1945" s="4086"/>
      <c r="I1945" s="4086"/>
      <c r="J1945" s="4086"/>
      <c r="K1945" s="4321"/>
      <c r="L1945" s="4010" t="s">
        <v>27</v>
      </c>
      <c r="M1945" s="346"/>
      <c r="N1945" s="4333" t="s">
        <v>7056</v>
      </c>
      <c r="O1945" s="4339"/>
      <c r="P1945" s="4334"/>
      <c r="Q1945" s="4098">
        <v>48500</v>
      </c>
      <c r="R1945" s="4098" t="s">
        <v>4603</v>
      </c>
      <c r="S1945" s="4106">
        <v>45616</v>
      </c>
      <c r="T1945" s="4098">
        <v>48500</v>
      </c>
      <c r="U1945" s="4106">
        <v>45616</v>
      </c>
      <c r="V1945" s="4098">
        <v>48500</v>
      </c>
      <c r="W1945" s="4106">
        <v>45621</v>
      </c>
      <c r="X1945" s="4098">
        <v>48500</v>
      </c>
      <c r="Y1945" s="4106">
        <v>45650</v>
      </c>
      <c r="Z1945" s="4098"/>
      <c r="AA1945" s="4098" t="s">
        <v>7049</v>
      </c>
      <c r="AB1945" s="4365"/>
      <c r="AC1945" s="4368"/>
      <c r="AD1945" s="4336"/>
      <c r="AE1945" s="4336"/>
      <c r="AF1945" s="4336"/>
      <c r="AG1945" s="4336"/>
      <c r="AH1945" s="4370"/>
      <c r="AI1945" s="4336"/>
    </row>
    <row r="1946" s="1" customFormat="1" ht="20" customHeight="1" spans="1:35">
      <c r="A1946" s="4086"/>
      <c r="B1946" s="4280"/>
      <c r="C1946" s="4086"/>
      <c r="D1946" s="4010"/>
      <c r="E1946" s="4086"/>
      <c r="F1946" s="4086"/>
      <c r="G1946" s="4086"/>
      <c r="H1946" s="4086"/>
      <c r="I1946" s="4086"/>
      <c r="J1946" s="4086"/>
      <c r="K1946" s="4321"/>
      <c r="L1946" s="4010" t="s">
        <v>26</v>
      </c>
      <c r="M1946" s="346">
        <v>4</v>
      </c>
      <c r="N1946" s="4126" t="s">
        <v>7057</v>
      </c>
      <c r="O1946" s="4335" t="s">
        <v>6478</v>
      </c>
      <c r="P1946" s="4334"/>
      <c r="Q1946" s="4098">
        <v>19400</v>
      </c>
      <c r="R1946" s="4098" t="s">
        <v>4603</v>
      </c>
      <c r="S1946" s="4106">
        <v>45824</v>
      </c>
      <c r="T1946" s="4098">
        <v>19400</v>
      </c>
      <c r="U1946" s="4106">
        <v>45826</v>
      </c>
      <c r="V1946" s="4098"/>
      <c r="W1946" s="4106"/>
      <c r="X1946" s="4098">
        <v>19400</v>
      </c>
      <c r="Y1946" s="4106">
        <v>45838</v>
      </c>
      <c r="Z1946" s="4098"/>
      <c r="AA1946" s="4098" t="s">
        <v>4806</v>
      </c>
      <c r="AB1946" s="4365"/>
      <c r="AC1946" s="4368"/>
      <c r="AD1946" s="4336"/>
      <c r="AE1946" s="4336"/>
      <c r="AF1946" s="4336"/>
      <c r="AG1946" s="4336"/>
      <c r="AH1946" s="4370"/>
      <c r="AI1946" s="4336"/>
    </row>
    <row r="1947" s="1" customFormat="1" ht="20" customHeight="1" spans="1:35">
      <c r="A1947" s="4086"/>
      <c r="B1947" s="4280"/>
      <c r="C1947" s="4086"/>
      <c r="D1947" s="4010"/>
      <c r="E1947" s="4086"/>
      <c r="F1947" s="4086"/>
      <c r="G1947" s="4086"/>
      <c r="H1947" s="4086"/>
      <c r="I1947" s="4086"/>
      <c r="J1947" s="4086"/>
      <c r="K1947" s="4321"/>
      <c r="L1947" s="4010" t="s">
        <v>26</v>
      </c>
      <c r="M1947" s="346"/>
      <c r="N1947" s="4126" t="s">
        <v>7058</v>
      </c>
      <c r="O1947" s="4337"/>
      <c r="P1947" s="4334"/>
      <c r="Q1947" s="4098">
        <v>155400</v>
      </c>
      <c r="R1947" s="4098" t="s">
        <v>4603</v>
      </c>
      <c r="S1947" s="4106">
        <v>45853</v>
      </c>
      <c r="T1947" s="4098">
        <v>155400</v>
      </c>
      <c r="U1947" s="4106">
        <v>45853</v>
      </c>
      <c r="V1947" s="4098"/>
      <c r="W1947" s="4106"/>
      <c r="X1947" s="342">
        <v>155400</v>
      </c>
      <c r="Y1947" s="4234">
        <v>45930</v>
      </c>
      <c r="Z1947" s="4098"/>
      <c r="AA1947" s="4098"/>
      <c r="AB1947" s="4365"/>
      <c r="AC1947" s="4368"/>
      <c r="AD1947" s="4336"/>
      <c r="AE1947" s="4336"/>
      <c r="AF1947" s="4336"/>
      <c r="AG1947" s="4336"/>
      <c r="AH1947" s="4370"/>
      <c r="AI1947" s="4336"/>
    </row>
    <row r="1948" s="1" customFormat="1" ht="20" customHeight="1" spans="1:35">
      <c r="A1948" s="4086"/>
      <c r="B1948" s="4280"/>
      <c r="C1948" s="4086"/>
      <c r="D1948" s="4010"/>
      <c r="E1948" s="4086"/>
      <c r="F1948" s="4086"/>
      <c r="G1948" s="4086"/>
      <c r="H1948" s="4086"/>
      <c r="I1948" s="4086"/>
      <c r="J1948" s="4086"/>
      <c r="K1948" s="4321"/>
      <c r="L1948" s="4010" t="s">
        <v>26</v>
      </c>
      <c r="M1948" s="346"/>
      <c r="N1948" s="4126" t="s">
        <v>7059</v>
      </c>
      <c r="O1948" s="4337"/>
      <c r="P1948" s="4334"/>
      <c r="Q1948" s="4098">
        <v>48500</v>
      </c>
      <c r="R1948" s="4098" t="s">
        <v>4603</v>
      </c>
      <c r="S1948" s="4106">
        <v>45824</v>
      </c>
      <c r="T1948" s="4098">
        <v>48500</v>
      </c>
      <c r="U1948" s="4106">
        <v>45826</v>
      </c>
      <c r="V1948" s="4098"/>
      <c r="W1948" s="4106"/>
      <c r="X1948" s="4098">
        <v>48500</v>
      </c>
      <c r="Y1948" s="4106">
        <v>45838</v>
      </c>
      <c r="Z1948" s="4098"/>
      <c r="AA1948" s="4098" t="s">
        <v>4806</v>
      </c>
      <c r="AB1948" s="4365"/>
      <c r="AC1948" s="4368"/>
      <c r="AD1948" s="4336"/>
      <c r="AE1948" s="4336"/>
      <c r="AF1948" s="4336"/>
      <c r="AG1948" s="4336"/>
      <c r="AH1948" s="4370"/>
      <c r="AI1948" s="4336"/>
    </row>
    <row r="1949" s="1" customFormat="1" ht="20" customHeight="1" spans="1:35">
      <c r="A1949" s="4086"/>
      <c r="B1949" s="4280"/>
      <c r="C1949" s="4086"/>
      <c r="D1949" s="4010"/>
      <c r="E1949" s="4086"/>
      <c r="F1949" s="4086"/>
      <c r="G1949" s="4086"/>
      <c r="H1949" s="4086"/>
      <c r="I1949" s="4086"/>
      <c r="J1949" s="4086"/>
      <c r="K1949" s="4321"/>
      <c r="L1949" s="4010" t="s">
        <v>26</v>
      </c>
      <c r="M1949" s="346"/>
      <c r="N1949" s="4126" t="s">
        <v>7060</v>
      </c>
      <c r="O1949" s="4337"/>
      <c r="P1949" s="4334"/>
      <c r="Q1949" s="4098">
        <v>48500</v>
      </c>
      <c r="R1949" s="4098" t="s">
        <v>4603</v>
      </c>
      <c r="S1949" s="4106">
        <v>45824</v>
      </c>
      <c r="T1949" s="4098">
        <v>48500</v>
      </c>
      <c r="U1949" s="4106">
        <v>45826</v>
      </c>
      <c r="V1949" s="4098"/>
      <c r="W1949" s="4106"/>
      <c r="X1949" s="4098">
        <v>48500</v>
      </c>
      <c r="Y1949" s="4106">
        <v>45838</v>
      </c>
      <c r="Z1949" s="4098"/>
      <c r="AA1949" s="4098" t="s">
        <v>4806</v>
      </c>
      <c r="AB1949" s="4365"/>
      <c r="AC1949" s="4368"/>
      <c r="AD1949" s="4336"/>
      <c r="AE1949" s="4336"/>
      <c r="AF1949" s="4336"/>
      <c r="AG1949" s="4336"/>
      <c r="AH1949" s="4370"/>
      <c r="AI1949" s="4336"/>
    </row>
    <row r="1950" s="1" customFormat="1" ht="20" customHeight="1" spans="1:35">
      <c r="A1950" s="4086"/>
      <c r="B1950" s="4280"/>
      <c r="C1950" s="4086"/>
      <c r="D1950" s="4010"/>
      <c r="E1950" s="4086"/>
      <c r="F1950" s="4086"/>
      <c r="G1950" s="4086"/>
      <c r="H1950" s="4086"/>
      <c r="I1950" s="4086"/>
      <c r="J1950" s="4086"/>
      <c r="K1950" s="4321"/>
      <c r="L1950" s="4010" t="s">
        <v>26</v>
      </c>
      <c r="M1950" s="346"/>
      <c r="N1950" s="4126" t="s">
        <v>7061</v>
      </c>
      <c r="O1950" s="4337"/>
      <c r="P1950" s="4334"/>
      <c r="Q1950" s="4098">
        <v>48500</v>
      </c>
      <c r="R1950" s="4098" t="s">
        <v>4603</v>
      </c>
      <c r="S1950" s="4106">
        <v>45824</v>
      </c>
      <c r="T1950" s="4098">
        <v>48500</v>
      </c>
      <c r="U1950" s="4106">
        <v>45826</v>
      </c>
      <c r="V1950" s="4098"/>
      <c r="W1950" s="4106"/>
      <c r="X1950" s="4098">
        <v>48500</v>
      </c>
      <c r="Y1950" s="4106">
        <v>45838</v>
      </c>
      <c r="Z1950" s="4098"/>
      <c r="AA1950" s="4098" t="s">
        <v>4806</v>
      </c>
      <c r="AB1950" s="4365"/>
      <c r="AC1950" s="4368"/>
      <c r="AD1950" s="4336"/>
      <c r="AE1950" s="4336"/>
      <c r="AF1950" s="4336"/>
      <c r="AG1950" s="4336"/>
      <c r="AH1950" s="4370"/>
      <c r="AI1950" s="4336"/>
    </row>
    <row r="1951" s="1" customFormat="1" ht="20" customHeight="1" spans="1:35">
      <c r="A1951" s="4086"/>
      <c r="B1951" s="4280"/>
      <c r="C1951" s="4086"/>
      <c r="D1951" s="4010"/>
      <c r="E1951" s="4086"/>
      <c r="F1951" s="4086"/>
      <c r="G1951" s="4086"/>
      <c r="H1951" s="4086"/>
      <c r="I1951" s="4086"/>
      <c r="J1951" s="4086"/>
      <c r="K1951" s="4321"/>
      <c r="L1951" s="4010" t="s">
        <v>27</v>
      </c>
      <c r="M1951" s="346"/>
      <c r="N1951" s="4126" t="s">
        <v>7062</v>
      </c>
      <c r="O1951" s="4337"/>
      <c r="P1951" s="4334"/>
      <c r="Q1951" s="4108">
        <v>19400</v>
      </c>
      <c r="R1951" s="4098" t="s">
        <v>4603</v>
      </c>
      <c r="S1951" s="4106">
        <v>45853</v>
      </c>
      <c r="T1951" s="4098">
        <v>19400</v>
      </c>
      <c r="U1951" s="4106">
        <v>45853</v>
      </c>
      <c r="V1951" s="4098"/>
      <c r="W1951" s="4106"/>
      <c r="X1951" s="342">
        <v>19400</v>
      </c>
      <c r="Y1951" s="4234">
        <v>45930</v>
      </c>
      <c r="Z1951" s="4098"/>
      <c r="AA1951" s="4098"/>
      <c r="AB1951" s="4365"/>
      <c r="AC1951" s="4368"/>
      <c r="AD1951" s="4336"/>
      <c r="AE1951" s="4336"/>
      <c r="AF1951" s="4336"/>
      <c r="AG1951" s="4336"/>
      <c r="AH1951" s="4370"/>
      <c r="AI1951" s="4336"/>
    </row>
    <row r="1952" s="1" customFormat="1" ht="20" customHeight="1" spans="1:35">
      <c r="A1952" s="4086"/>
      <c r="B1952" s="4280"/>
      <c r="C1952" s="4086"/>
      <c r="D1952" s="4010"/>
      <c r="E1952" s="4086"/>
      <c r="F1952" s="4086"/>
      <c r="G1952" s="4086"/>
      <c r="H1952" s="4086"/>
      <c r="I1952" s="4086"/>
      <c r="J1952" s="4086"/>
      <c r="K1952" s="4321"/>
      <c r="L1952" s="4010" t="s">
        <v>26</v>
      </c>
      <c r="M1952" s="346"/>
      <c r="N1952" s="4126" t="s">
        <v>7034</v>
      </c>
      <c r="O1952" s="4337"/>
      <c r="P1952" s="4334"/>
      <c r="Q1952" s="4108">
        <v>19400</v>
      </c>
      <c r="R1952" s="4098" t="s">
        <v>4603</v>
      </c>
      <c r="S1952" s="4106">
        <v>45853</v>
      </c>
      <c r="T1952" s="4098">
        <v>19400</v>
      </c>
      <c r="U1952" s="4106">
        <v>45853</v>
      </c>
      <c r="V1952" s="4098"/>
      <c r="W1952" s="4106"/>
      <c r="X1952" s="342">
        <v>19400</v>
      </c>
      <c r="Y1952" s="4234">
        <v>45930</v>
      </c>
      <c r="Z1952" s="4098"/>
      <c r="AA1952" s="4098"/>
      <c r="AB1952" s="4365"/>
      <c r="AC1952" s="4368"/>
      <c r="AD1952" s="4336"/>
      <c r="AE1952" s="4336"/>
      <c r="AF1952" s="4336"/>
      <c r="AG1952" s="4336"/>
      <c r="AH1952" s="4370"/>
      <c r="AI1952" s="4336"/>
    </row>
    <row r="1953" s="1" customFormat="1" ht="20" customHeight="1" spans="1:35">
      <c r="A1953" s="4086"/>
      <c r="B1953" s="4280"/>
      <c r="C1953" s="4086"/>
      <c r="D1953" s="4010"/>
      <c r="E1953" s="4086"/>
      <c r="F1953" s="4086"/>
      <c r="G1953" s="4086"/>
      <c r="H1953" s="4086"/>
      <c r="I1953" s="4086"/>
      <c r="J1953" s="4086"/>
      <c r="K1953" s="4321"/>
      <c r="L1953" s="4010" t="s">
        <v>26</v>
      </c>
      <c r="M1953" s="346"/>
      <c r="N1953" s="4126" t="s">
        <v>7063</v>
      </c>
      <c r="O1953" s="4338"/>
      <c r="P1953" s="4334"/>
      <c r="Q1953" s="4098">
        <v>19400</v>
      </c>
      <c r="R1953" s="4098" t="s">
        <v>4603</v>
      </c>
      <c r="S1953" s="4106">
        <v>45824</v>
      </c>
      <c r="T1953" s="4098">
        <v>19400</v>
      </c>
      <c r="U1953" s="4106">
        <v>45826</v>
      </c>
      <c r="V1953" s="4098"/>
      <c r="W1953" s="4106"/>
      <c r="X1953" s="4098">
        <v>19400</v>
      </c>
      <c r="Y1953" s="4106">
        <v>45838</v>
      </c>
      <c r="Z1953" s="4098"/>
      <c r="AA1953" s="4098" t="s">
        <v>4806</v>
      </c>
      <c r="AB1953" s="4365"/>
      <c r="AC1953" s="4368"/>
      <c r="AD1953" s="4336"/>
      <c r="AE1953" s="4336"/>
      <c r="AF1953" s="4336"/>
      <c r="AG1953" s="4336"/>
      <c r="AH1953" s="4370"/>
      <c r="AI1953" s="4336"/>
    </row>
    <row r="1954" s="1" customFormat="1" ht="20" customHeight="1" spans="1:35">
      <c r="A1954" s="4086"/>
      <c r="B1954" s="4280"/>
      <c r="C1954" s="4086"/>
      <c r="D1954" s="4010"/>
      <c r="E1954" s="4086"/>
      <c r="F1954" s="4086"/>
      <c r="G1954" s="4086"/>
      <c r="H1954" s="4086"/>
      <c r="I1954" s="4086"/>
      <c r="J1954" s="4086"/>
      <c r="K1954" s="4321"/>
      <c r="L1954" s="4010" t="s">
        <v>26</v>
      </c>
      <c r="M1954" s="346"/>
      <c r="N1954" s="4333" t="s">
        <v>7064</v>
      </c>
      <c r="O1954" s="4335" t="s">
        <v>6462</v>
      </c>
      <c r="P1954" s="4334"/>
      <c r="Q1954" s="342">
        <v>136000</v>
      </c>
      <c r="R1954" s="342" t="s">
        <v>5015</v>
      </c>
      <c r="S1954" s="4234">
        <v>46052</v>
      </c>
      <c r="T1954" s="4098"/>
      <c r="U1954" s="4106"/>
      <c r="V1954" s="4098"/>
      <c r="W1954" s="4106"/>
      <c r="X1954" s="342">
        <v>136000</v>
      </c>
      <c r="Y1954" s="4234">
        <v>46052</v>
      </c>
      <c r="Z1954" s="4098"/>
      <c r="AA1954" s="4098"/>
      <c r="AB1954" s="4365"/>
      <c r="AC1954" s="4368"/>
      <c r="AD1954" s="4336"/>
      <c r="AE1954" s="4336"/>
      <c r="AF1954" s="4336"/>
      <c r="AG1954" s="4336"/>
      <c r="AH1954" s="4370"/>
      <c r="AI1954" s="4336"/>
    </row>
    <row r="1955" s="1" customFormat="1" ht="20" customHeight="1" spans="1:35">
      <c r="A1955" s="4086"/>
      <c r="B1955" s="4280"/>
      <c r="C1955" s="4086"/>
      <c r="D1955" s="4010"/>
      <c r="E1955" s="4086"/>
      <c r="F1955" s="4086"/>
      <c r="G1955" s="4086"/>
      <c r="H1955" s="4086"/>
      <c r="I1955" s="4086"/>
      <c r="J1955" s="4086"/>
      <c r="K1955" s="4321"/>
      <c r="L1955" s="4010" t="s">
        <v>26</v>
      </c>
      <c r="M1955" s="346"/>
      <c r="N1955" s="4333" t="s">
        <v>7065</v>
      </c>
      <c r="O1955" s="4337"/>
      <c r="P1955" s="4334"/>
      <c r="Q1955" s="342">
        <v>48500</v>
      </c>
      <c r="R1955" s="342" t="s">
        <v>5015</v>
      </c>
      <c r="S1955" s="4234">
        <v>46052</v>
      </c>
      <c r="T1955" s="4098"/>
      <c r="U1955" s="4106"/>
      <c r="V1955" s="4098"/>
      <c r="W1955" s="4106"/>
      <c r="X1955" s="342">
        <v>48500</v>
      </c>
      <c r="Y1955" s="4234">
        <v>46052</v>
      </c>
      <c r="Z1955" s="4098"/>
      <c r="AA1955" s="4098"/>
      <c r="AB1955" s="4365"/>
      <c r="AC1955" s="4368"/>
      <c r="AD1955" s="4336"/>
      <c r="AE1955" s="4336"/>
      <c r="AF1955" s="4336"/>
      <c r="AG1955" s="4336"/>
      <c r="AH1955" s="4370"/>
      <c r="AI1955" s="4336"/>
    </row>
    <row r="1956" s="1" customFormat="1" ht="20" customHeight="1" spans="1:35">
      <c r="A1956" s="4086"/>
      <c r="B1956" s="4280"/>
      <c r="C1956" s="4086"/>
      <c r="D1956" s="4010"/>
      <c r="E1956" s="4086"/>
      <c r="F1956" s="4086"/>
      <c r="G1956" s="4086"/>
      <c r="H1956" s="4086"/>
      <c r="I1956" s="4086"/>
      <c r="J1956" s="4086"/>
      <c r="K1956" s="4321"/>
      <c r="L1956" s="4010" t="s">
        <v>27</v>
      </c>
      <c r="M1956" s="346"/>
      <c r="N1956" s="4333" t="s">
        <v>7066</v>
      </c>
      <c r="O1956" s="4338"/>
      <c r="P1956" s="4334"/>
      <c r="Q1956" s="342">
        <v>48500</v>
      </c>
      <c r="R1956" s="342" t="s">
        <v>5015</v>
      </c>
      <c r="S1956" s="4234">
        <v>46052</v>
      </c>
      <c r="T1956" s="4098"/>
      <c r="U1956" s="4106"/>
      <c r="V1956" s="4098"/>
      <c r="W1956" s="4106"/>
      <c r="X1956" s="342">
        <v>48500</v>
      </c>
      <c r="Y1956" s="4234">
        <v>46052</v>
      </c>
      <c r="Z1956" s="4098"/>
      <c r="AA1956" s="4098"/>
      <c r="AB1956" s="4365"/>
      <c r="AC1956" s="4368"/>
      <c r="AD1956" s="4336"/>
      <c r="AE1956" s="4336"/>
      <c r="AF1956" s="4336"/>
      <c r="AG1956" s="4336"/>
      <c r="AH1956" s="4370"/>
      <c r="AI1956" s="4336"/>
    </row>
    <row r="1957" s="1" customFormat="1" ht="41.65" customHeight="1" spans="1:35">
      <c r="A1957" s="684"/>
      <c r="B1957" s="4281"/>
      <c r="C1957" s="684"/>
      <c r="D1957" s="4010"/>
      <c r="E1957" s="684"/>
      <c r="F1957" s="684"/>
      <c r="G1957" s="684"/>
      <c r="H1957" s="684"/>
      <c r="I1957" s="684"/>
      <c r="J1957" s="684"/>
      <c r="K1957" s="4322"/>
      <c r="L1957" s="4010" t="s">
        <v>26</v>
      </c>
      <c r="M1957" s="4336"/>
      <c r="N1957" s="4126" t="s">
        <v>7067</v>
      </c>
      <c r="O1957" s="4011" t="s">
        <v>6520</v>
      </c>
      <c r="P1957" s="4334"/>
      <c r="Q1957" s="4347">
        <v>48500</v>
      </c>
      <c r="R1957" s="342" t="s">
        <v>5015</v>
      </c>
      <c r="S1957" s="4234">
        <v>46021</v>
      </c>
      <c r="T1957" s="4098"/>
      <c r="U1957" s="4106"/>
      <c r="V1957" s="4098"/>
      <c r="W1957" s="4106"/>
      <c r="X1957" s="342"/>
      <c r="Y1957" s="4234"/>
      <c r="Z1957" s="4098"/>
      <c r="AA1957" s="4098"/>
      <c r="AB1957" s="4365"/>
      <c r="AC1957" s="4368"/>
      <c r="AD1957" s="4336"/>
      <c r="AE1957" s="4336"/>
      <c r="AF1957" s="4336"/>
      <c r="AG1957" s="4336"/>
      <c r="AH1957" s="4370"/>
      <c r="AI1957" s="4336"/>
    </row>
    <row r="1958" s="46" customFormat="1" ht="41.65" customHeight="1" spans="1:35">
      <c r="A1958" s="4316" t="s">
        <v>2570</v>
      </c>
      <c r="B1958" s="4317">
        <v>45867</v>
      </c>
      <c r="C1958" s="4316" t="s">
        <v>6452</v>
      </c>
      <c r="D1958" s="4010"/>
      <c r="E1958" s="4316" t="s">
        <v>7068</v>
      </c>
      <c r="F1958" s="4316" t="s">
        <v>7069</v>
      </c>
      <c r="G1958" s="4316" t="s">
        <v>286</v>
      </c>
      <c r="H1958" s="4316" t="s">
        <v>4634</v>
      </c>
      <c r="I1958" s="4316"/>
      <c r="J1958" s="4316" t="s">
        <v>7070</v>
      </c>
      <c r="K1958" s="4323"/>
      <c r="L1958" s="4324"/>
      <c r="M1958" s="4340"/>
      <c r="N1958" s="4333"/>
      <c r="O1958" s="4324"/>
      <c r="P1958" s="4341"/>
      <c r="Q1958" s="4348"/>
      <c r="R1958" s="4349"/>
      <c r="S1958" s="4350"/>
      <c r="T1958" s="2157"/>
      <c r="U1958" s="4358"/>
      <c r="V1958" s="2157"/>
      <c r="W1958" s="4358"/>
      <c r="X1958" s="4349"/>
      <c r="Y1958" s="4350"/>
      <c r="Z1958" s="2157"/>
      <c r="AA1958" s="2157"/>
      <c r="AB1958" s="4366"/>
      <c r="AC1958" s="4369"/>
      <c r="AD1958" s="4340"/>
      <c r="AE1958" s="4340"/>
      <c r="AF1958" s="4340"/>
      <c r="AG1958" s="4340"/>
      <c r="AH1958" s="4371"/>
      <c r="AI1958" s="4340"/>
    </row>
    <row r="1959" s="1" customFormat="1" ht="18" customHeight="1" spans="1:35">
      <c r="A1959" s="4010" t="s">
        <v>2570</v>
      </c>
      <c r="B1959" s="4279">
        <v>45807</v>
      </c>
      <c r="C1959" s="4010" t="s">
        <v>7071</v>
      </c>
      <c r="D1959" s="4010"/>
      <c r="E1959" s="4010" t="s">
        <v>7072</v>
      </c>
      <c r="F1959" s="4010" t="s">
        <v>7073</v>
      </c>
      <c r="G1959" s="4010" t="s">
        <v>286</v>
      </c>
      <c r="H1959" s="4010" t="s">
        <v>4634</v>
      </c>
      <c r="I1959" s="4010"/>
      <c r="J1959" s="4010" t="s">
        <v>7047</v>
      </c>
      <c r="K1959" s="4320">
        <v>164900</v>
      </c>
      <c r="L1959" s="4010" t="s">
        <v>27</v>
      </c>
      <c r="M1959" s="4332"/>
      <c r="N1959" s="4126" t="s">
        <v>7074</v>
      </c>
      <c r="O1959" s="4335" t="s">
        <v>6462</v>
      </c>
      <c r="P1959" s="4334"/>
      <c r="Q1959" s="4098">
        <v>48500</v>
      </c>
      <c r="R1959" s="4098" t="s">
        <v>4603</v>
      </c>
      <c r="S1959" s="4106">
        <v>45853</v>
      </c>
      <c r="T1959" s="4098"/>
      <c r="U1959" s="4106"/>
      <c r="V1959" s="346"/>
      <c r="W1959" s="4106"/>
      <c r="X1959" s="4098"/>
      <c r="Y1959" s="4106"/>
      <c r="Z1959" s="4098"/>
      <c r="AA1959" s="4364"/>
      <c r="AB1959" s="4365"/>
      <c r="AC1959" s="4368"/>
      <c r="AD1959" s="4336"/>
      <c r="AE1959" s="4336"/>
      <c r="AF1959" s="4336"/>
      <c r="AG1959" s="4336"/>
      <c r="AH1959" s="4370"/>
      <c r="AI1959" s="4336"/>
    </row>
    <row r="1960" s="1" customFormat="1" ht="20" customHeight="1" spans="1:35">
      <c r="A1960" s="4086"/>
      <c r="B1960" s="4280"/>
      <c r="C1960" s="4086"/>
      <c r="D1960" s="4010"/>
      <c r="E1960" s="4086"/>
      <c r="F1960" s="4086"/>
      <c r="G1960" s="4086"/>
      <c r="H1960" s="4086"/>
      <c r="I1960" s="4086"/>
      <c r="J1960" s="4086"/>
      <c r="K1960" s="4321"/>
      <c r="L1960" s="4010" t="s">
        <v>27</v>
      </c>
      <c r="M1960" s="4332"/>
      <c r="N1960" s="4126" t="s">
        <v>7075</v>
      </c>
      <c r="O1960" s="4337"/>
      <c r="P1960" s="4334"/>
      <c r="Q1960" s="4098">
        <v>48500</v>
      </c>
      <c r="R1960" s="4098" t="s">
        <v>4603</v>
      </c>
      <c r="S1960" s="4106">
        <v>45853</v>
      </c>
      <c r="T1960" s="4098"/>
      <c r="U1960" s="4106"/>
      <c r="V1960" s="346"/>
      <c r="W1960" s="4106"/>
      <c r="X1960" s="4098"/>
      <c r="Y1960" s="4106"/>
      <c r="Z1960" s="4098"/>
      <c r="AA1960" s="4364"/>
      <c r="AB1960" s="4365"/>
      <c r="AC1960" s="4368"/>
      <c r="AD1960" s="4336"/>
      <c r="AE1960" s="4336"/>
      <c r="AF1960" s="4336"/>
      <c r="AG1960" s="4336"/>
      <c r="AH1960" s="4370"/>
      <c r="AI1960" s="4336"/>
    </row>
    <row r="1961" s="1" customFormat="1" ht="20" customHeight="1" spans="1:35">
      <c r="A1961" s="4086"/>
      <c r="B1961" s="4280"/>
      <c r="C1961" s="4086"/>
      <c r="D1961" s="4010"/>
      <c r="E1961" s="4086"/>
      <c r="F1961" s="4086"/>
      <c r="G1961" s="4086"/>
      <c r="H1961" s="4086"/>
      <c r="I1961" s="4086"/>
      <c r="J1961" s="4086"/>
      <c r="K1961" s="4321"/>
      <c r="L1961" s="4010" t="s">
        <v>27</v>
      </c>
      <c r="M1961" s="4332"/>
      <c r="N1961" s="4126" t="s">
        <v>7076</v>
      </c>
      <c r="O1961" s="4337"/>
      <c r="P1961" s="4334"/>
      <c r="Q1961" s="4098">
        <v>48500</v>
      </c>
      <c r="R1961" s="4098" t="s">
        <v>4603</v>
      </c>
      <c r="S1961" s="4106">
        <v>45853</v>
      </c>
      <c r="T1961" s="4098"/>
      <c r="U1961" s="4106"/>
      <c r="V1961" s="346"/>
      <c r="W1961" s="4106"/>
      <c r="X1961" s="4098"/>
      <c r="Y1961" s="4106"/>
      <c r="Z1961" s="4098"/>
      <c r="AA1961" s="4364"/>
      <c r="AB1961" s="4365"/>
      <c r="AC1961" s="4368"/>
      <c r="AD1961" s="4336"/>
      <c r="AE1961" s="4336"/>
      <c r="AF1961" s="4336"/>
      <c r="AG1961" s="4336"/>
      <c r="AH1961" s="4370"/>
      <c r="AI1961" s="4336"/>
    </row>
    <row r="1962" s="1" customFormat="1" ht="49.7" customHeight="1" spans="1:35">
      <c r="A1962" s="684"/>
      <c r="B1962" s="4281"/>
      <c r="C1962" s="684"/>
      <c r="D1962" s="4010"/>
      <c r="E1962" s="684"/>
      <c r="F1962" s="684"/>
      <c r="G1962" s="684"/>
      <c r="H1962" s="684"/>
      <c r="I1962" s="684"/>
      <c r="J1962" s="684"/>
      <c r="K1962" s="4322"/>
      <c r="L1962" s="4010" t="s">
        <v>27</v>
      </c>
      <c r="M1962" s="4332"/>
      <c r="N1962" s="4126" t="s">
        <v>7077</v>
      </c>
      <c r="O1962" s="4338"/>
      <c r="P1962" s="4334"/>
      <c r="Q1962" s="342">
        <v>19400</v>
      </c>
      <c r="R1962" s="342" t="s">
        <v>5015</v>
      </c>
      <c r="S1962" s="4234">
        <v>46021</v>
      </c>
      <c r="T1962" s="4098"/>
      <c r="U1962" s="4106"/>
      <c r="V1962" s="346"/>
      <c r="W1962" s="4106"/>
      <c r="X1962" s="4098"/>
      <c r="Y1962" s="4106"/>
      <c r="Z1962" s="4098"/>
      <c r="AA1962" s="4364"/>
      <c r="AB1962" s="4365"/>
      <c r="AC1962" s="4368"/>
      <c r="AD1962" s="4336"/>
      <c r="AE1962" s="4336"/>
      <c r="AF1962" s="4336"/>
      <c r="AG1962" s="4336"/>
      <c r="AH1962" s="4370"/>
      <c r="AI1962" s="4336"/>
    </row>
    <row r="1963" s="1" customFormat="1" ht="42.75" customHeight="1" spans="1:35">
      <c r="A1963" s="4010" t="s">
        <v>2570</v>
      </c>
      <c r="B1963" s="4279">
        <v>45475</v>
      </c>
      <c r="C1963" s="4011" t="s">
        <v>7078</v>
      </c>
      <c r="D1963" s="4010"/>
      <c r="E1963" s="4010" t="s">
        <v>7079</v>
      </c>
      <c r="F1963" s="4010" t="s">
        <v>7080</v>
      </c>
      <c r="G1963" s="4010" t="s">
        <v>286</v>
      </c>
      <c r="H1963" s="4010" t="s">
        <v>7081</v>
      </c>
      <c r="I1963" s="4010"/>
      <c r="J1963" s="4010"/>
      <c r="K1963" s="4010"/>
      <c r="L1963" s="4010" t="s">
        <v>26</v>
      </c>
      <c r="M1963" s="4010">
        <v>1</v>
      </c>
      <c r="N1963" s="4126" t="s">
        <v>7082</v>
      </c>
      <c r="O1963" s="4330" t="s">
        <v>6511</v>
      </c>
      <c r="P1963" s="4334"/>
      <c r="Q1963" s="4098">
        <v>135000</v>
      </c>
      <c r="R1963" s="4098" t="s">
        <v>4603</v>
      </c>
      <c r="S1963" s="4351">
        <v>45493</v>
      </c>
      <c r="T1963" s="4098">
        <v>135000</v>
      </c>
      <c r="U1963" s="4351">
        <v>45493</v>
      </c>
      <c r="V1963" s="4098">
        <v>135000</v>
      </c>
      <c r="W1963" s="4189">
        <v>45496</v>
      </c>
      <c r="X1963" s="4098">
        <v>135000</v>
      </c>
      <c r="Y1963" s="4351">
        <v>45503</v>
      </c>
      <c r="Z1963" s="4098"/>
      <c r="AA1963" s="4364"/>
      <c r="AB1963" s="4365"/>
      <c r="AC1963" s="4368"/>
      <c r="AD1963" s="4336"/>
      <c r="AE1963" s="4336"/>
      <c r="AF1963" s="4336"/>
      <c r="AG1963" s="4336"/>
      <c r="AH1963" s="4370"/>
      <c r="AI1963" s="4336"/>
    </row>
    <row r="1964" s="1" customFormat="1" ht="42.75" customHeight="1" spans="1:35">
      <c r="A1964" s="4086"/>
      <c r="B1964" s="4280"/>
      <c r="C1964" s="4010"/>
      <c r="D1964" s="4010"/>
      <c r="E1964" s="4086"/>
      <c r="F1964" s="4086"/>
      <c r="G1964" s="4086"/>
      <c r="H1964" s="4086"/>
      <c r="I1964" s="4086"/>
      <c r="J1964" s="4086"/>
      <c r="K1964" s="4086"/>
      <c r="L1964" s="4010"/>
      <c r="M1964" s="4332"/>
      <c r="N1964" s="4132"/>
      <c r="O1964" s="4342"/>
      <c r="P1964" s="4334"/>
      <c r="Q1964" s="4098"/>
      <c r="R1964" s="4098"/>
      <c r="S1964" s="4351"/>
      <c r="T1964" s="4098"/>
      <c r="U1964" s="4351"/>
      <c r="V1964" s="346"/>
      <c r="W1964" s="4359"/>
      <c r="X1964" s="4098"/>
      <c r="Y1964" s="4351"/>
      <c r="Z1964" s="4098"/>
      <c r="AA1964" s="4364"/>
      <c r="AB1964" s="4365"/>
      <c r="AC1964" s="4368"/>
      <c r="AD1964" s="4336"/>
      <c r="AE1964" s="4336"/>
      <c r="AF1964" s="4336"/>
      <c r="AG1964" s="4336"/>
      <c r="AH1964" s="4370"/>
      <c r="AI1964" s="4336"/>
    </row>
    <row r="1965" s="1" customFormat="1" ht="54.15" customHeight="1" spans="1:35">
      <c r="A1965" s="4010" t="s">
        <v>2570</v>
      </c>
      <c r="B1965" s="4279">
        <v>45657</v>
      </c>
      <c r="C1965" s="4010" t="s">
        <v>6501</v>
      </c>
      <c r="D1965" s="4011"/>
      <c r="E1965" s="4010" t="s">
        <v>7083</v>
      </c>
      <c r="F1965" s="4010" t="s">
        <v>7084</v>
      </c>
      <c r="G1965" s="4010" t="s">
        <v>286</v>
      </c>
      <c r="H1965" s="4010" t="s">
        <v>7081</v>
      </c>
      <c r="I1965" s="4010"/>
      <c r="J1965" s="4010"/>
      <c r="K1965" s="4010">
        <v>583000</v>
      </c>
      <c r="L1965" s="4011" t="s">
        <v>26</v>
      </c>
      <c r="M1965" s="4332">
        <v>1</v>
      </c>
      <c r="N1965" s="4126" t="s">
        <v>7085</v>
      </c>
      <c r="O1965" s="4330" t="s">
        <v>6511</v>
      </c>
      <c r="P1965" s="4334"/>
      <c r="Q1965" s="4108">
        <v>45000</v>
      </c>
      <c r="R1965" s="4098" t="s">
        <v>4603</v>
      </c>
      <c r="S1965" s="4351">
        <v>45677</v>
      </c>
      <c r="T1965" s="4108">
        <v>45000</v>
      </c>
      <c r="U1965" s="4351">
        <v>45677</v>
      </c>
      <c r="V1965" s="4098">
        <v>45000</v>
      </c>
      <c r="W1965" s="4359">
        <v>45709</v>
      </c>
      <c r="X1965" s="4108">
        <v>45000</v>
      </c>
      <c r="Y1965" s="4351">
        <v>45744</v>
      </c>
      <c r="Z1965" s="4098"/>
      <c r="AA1965" s="4364"/>
      <c r="AB1965" s="4365"/>
      <c r="AC1965" s="4368"/>
      <c r="AD1965" s="4336"/>
      <c r="AE1965" s="4336"/>
      <c r="AF1965" s="4336"/>
      <c r="AG1965" s="4336"/>
      <c r="AH1965" s="4370"/>
      <c r="AI1965" s="4336"/>
    </row>
    <row r="1966" s="1" customFormat="1" ht="54.15" customHeight="1" spans="1:35">
      <c r="A1966" s="4086"/>
      <c r="B1966" s="4280"/>
      <c r="C1966" s="4086"/>
      <c r="D1966" s="4011"/>
      <c r="E1966" s="4086"/>
      <c r="F1966" s="4086"/>
      <c r="G1966" s="4086"/>
      <c r="H1966" s="4086"/>
      <c r="I1966" s="4086"/>
      <c r="J1966" s="4086"/>
      <c r="K1966" s="4086"/>
      <c r="L1966" s="4011" t="s">
        <v>26</v>
      </c>
      <c r="M1966" s="4336"/>
      <c r="N1966" s="4126" t="s">
        <v>7086</v>
      </c>
      <c r="O1966" s="4330" t="s">
        <v>6511</v>
      </c>
      <c r="P1966" s="4334"/>
      <c r="Q1966" s="4108">
        <v>130000</v>
      </c>
      <c r="R1966" s="4098" t="s">
        <v>4603</v>
      </c>
      <c r="S1966" s="4351">
        <v>45677</v>
      </c>
      <c r="T1966" s="4108">
        <v>130000</v>
      </c>
      <c r="U1966" s="4351">
        <v>45677</v>
      </c>
      <c r="V1966" s="4098">
        <v>130000</v>
      </c>
      <c r="W1966" s="4359">
        <v>45709</v>
      </c>
      <c r="X1966" s="4108">
        <v>130000</v>
      </c>
      <c r="Y1966" s="4351">
        <v>45744</v>
      </c>
      <c r="Z1966" s="4098"/>
      <c r="AA1966" s="4364"/>
      <c r="AB1966" s="4365"/>
      <c r="AC1966" s="4368"/>
      <c r="AD1966" s="4336"/>
      <c r="AE1966" s="4336"/>
      <c r="AF1966" s="4336"/>
      <c r="AG1966" s="4336"/>
      <c r="AH1966" s="4370"/>
      <c r="AI1966" s="4336"/>
    </row>
    <row r="1967" s="1" customFormat="1" ht="42.75" customHeight="1" spans="1:35">
      <c r="A1967" s="4086"/>
      <c r="B1967" s="4280"/>
      <c r="C1967" s="4086"/>
      <c r="D1967" s="4011"/>
      <c r="E1967" s="4086"/>
      <c r="F1967" s="4086"/>
      <c r="G1967" s="4086"/>
      <c r="H1967" s="4086"/>
      <c r="I1967" s="4086"/>
      <c r="J1967" s="4086"/>
      <c r="K1967" s="4086"/>
      <c r="L1967" s="4011" t="s">
        <v>26</v>
      </c>
      <c r="M1967" s="4336"/>
      <c r="N1967" s="4126" t="s">
        <v>6507</v>
      </c>
      <c r="O1967" s="4330" t="s">
        <v>6511</v>
      </c>
      <c r="P1967" s="4334"/>
      <c r="Q1967" s="4108">
        <v>18000</v>
      </c>
      <c r="R1967" s="4098" t="s">
        <v>4603</v>
      </c>
      <c r="S1967" s="4351">
        <v>45677</v>
      </c>
      <c r="T1967" s="4108">
        <v>18000</v>
      </c>
      <c r="U1967" s="4351">
        <v>45677</v>
      </c>
      <c r="V1967" s="4098">
        <v>18000</v>
      </c>
      <c r="W1967" s="4359">
        <v>45709</v>
      </c>
      <c r="X1967" s="4108">
        <v>18000</v>
      </c>
      <c r="Y1967" s="4351">
        <v>45746</v>
      </c>
      <c r="Z1967" s="4098"/>
      <c r="AA1967" s="4364"/>
      <c r="AB1967" s="4365"/>
      <c r="AC1967" s="4368"/>
      <c r="AD1967" s="4336"/>
      <c r="AE1967" s="4336"/>
      <c r="AF1967" s="4336"/>
      <c r="AG1967" s="4336"/>
      <c r="AH1967" s="4370"/>
      <c r="AI1967" s="4336"/>
    </row>
    <row r="1968" s="1" customFormat="1" ht="42.75" customHeight="1" spans="1:35">
      <c r="A1968" s="4086"/>
      <c r="B1968" s="4280"/>
      <c r="C1968" s="4086"/>
      <c r="D1968" s="4011"/>
      <c r="E1968" s="4086"/>
      <c r="F1968" s="4086"/>
      <c r="G1968" s="4086"/>
      <c r="H1968" s="4086"/>
      <c r="I1968" s="4086"/>
      <c r="J1968" s="4086"/>
      <c r="K1968" s="4086"/>
      <c r="L1968" s="4011" t="s">
        <v>27</v>
      </c>
      <c r="M1968" s="964"/>
      <c r="N1968" s="4126" t="s">
        <v>7087</v>
      </c>
      <c r="O1968" s="4330" t="s">
        <v>6511</v>
      </c>
      <c r="P1968" s="4334"/>
      <c r="Q1968" s="4108">
        <v>260000</v>
      </c>
      <c r="R1968" s="4108" t="s">
        <v>4603</v>
      </c>
      <c r="S1968" s="4352">
        <v>45677</v>
      </c>
      <c r="T1968" s="4108">
        <v>260000</v>
      </c>
      <c r="U1968" s="4351">
        <v>45677</v>
      </c>
      <c r="V1968" s="4098">
        <v>260000</v>
      </c>
      <c r="W1968" s="4359">
        <v>45709</v>
      </c>
      <c r="X1968" s="4108">
        <v>260000</v>
      </c>
      <c r="Y1968" s="4351">
        <v>45744</v>
      </c>
      <c r="Z1968" s="4098"/>
      <c r="AA1968" s="4364"/>
      <c r="AB1968" s="4365"/>
      <c r="AC1968" s="4368"/>
      <c r="AD1968" s="4336"/>
      <c r="AE1968" s="4336"/>
      <c r="AF1968" s="4336"/>
      <c r="AG1968" s="4336"/>
      <c r="AH1968" s="4370"/>
      <c r="AI1968" s="4336"/>
    </row>
    <row r="1969" s="1" customFormat="1" ht="42.75" customHeight="1" spans="1:35">
      <c r="A1969" s="4086"/>
      <c r="B1969" s="4280"/>
      <c r="C1969" s="4086"/>
      <c r="D1969" s="4011"/>
      <c r="E1969" s="4086"/>
      <c r="F1969" s="4086"/>
      <c r="G1969" s="4086"/>
      <c r="H1969" s="4086"/>
      <c r="I1969" s="4086"/>
      <c r="J1969" s="4086"/>
      <c r="K1969" s="4086"/>
      <c r="L1969" s="4011"/>
      <c r="M1969" s="964"/>
      <c r="N1969" s="4126"/>
      <c r="O1969" s="4330"/>
      <c r="P1969" s="4334"/>
      <c r="Q1969" s="4098"/>
      <c r="R1969" s="4098"/>
      <c r="S1969" s="4351"/>
      <c r="T1969" s="4098"/>
      <c r="U1969" s="4351"/>
      <c r="V1969" s="346"/>
      <c r="W1969" s="4359"/>
      <c r="X1969" s="342"/>
      <c r="Y1969" s="4367"/>
      <c r="Z1969" s="4098"/>
      <c r="AA1969" s="4364"/>
      <c r="AB1969" s="4365"/>
      <c r="AC1969" s="4368"/>
      <c r="AD1969" s="4336"/>
      <c r="AE1969" s="4336"/>
      <c r="AF1969" s="4336"/>
      <c r="AG1969" s="4336"/>
      <c r="AH1969" s="4370"/>
      <c r="AI1969" s="4336"/>
    </row>
    <row r="1970" s="1" customFormat="1" ht="42.75" customHeight="1" spans="1:35">
      <c r="A1970" s="4086"/>
      <c r="B1970" s="4280"/>
      <c r="C1970" s="4086"/>
      <c r="D1970" s="4011"/>
      <c r="E1970" s="4086"/>
      <c r="F1970" s="4086"/>
      <c r="G1970" s="4086"/>
      <c r="H1970" s="4086"/>
      <c r="I1970" s="4086"/>
      <c r="J1970" s="4086"/>
      <c r="K1970" s="4086"/>
      <c r="L1970" s="4011"/>
      <c r="M1970" s="964"/>
      <c r="N1970" s="4126"/>
      <c r="O1970" s="4330"/>
      <c r="P1970" s="4334"/>
      <c r="Q1970" s="4098"/>
      <c r="R1970" s="4098"/>
      <c r="S1970" s="4351"/>
      <c r="T1970" s="4098"/>
      <c r="U1970" s="4351"/>
      <c r="V1970" s="346"/>
      <c r="W1970" s="4359"/>
      <c r="X1970" s="342"/>
      <c r="Y1970" s="4367"/>
      <c r="Z1970" s="4098"/>
      <c r="AA1970" s="4364"/>
      <c r="AB1970" s="4365"/>
      <c r="AC1970" s="4368"/>
      <c r="AD1970" s="4336"/>
      <c r="AE1970" s="4336"/>
      <c r="AF1970" s="4336"/>
      <c r="AG1970" s="4336"/>
      <c r="AH1970" s="4370"/>
      <c r="AI1970" s="4336"/>
    </row>
    <row r="1971" s="1" customFormat="1" ht="42.75" customHeight="1" spans="1:35">
      <c r="A1971" s="684"/>
      <c r="B1971" s="4281"/>
      <c r="C1971" s="684"/>
      <c r="D1971" s="4011"/>
      <c r="E1971" s="684"/>
      <c r="F1971" s="684"/>
      <c r="G1971" s="684"/>
      <c r="H1971" s="684"/>
      <c r="I1971" s="684"/>
      <c r="J1971" s="684"/>
      <c r="K1971" s="684"/>
      <c r="L1971" s="4011"/>
      <c r="M1971" s="346"/>
      <c r="N1971" s="4097"/>
      <c r="O1971" s="4342"/>
      <c r="P1971" s="4334"/>
      <c r="Q1971" s="4098"/>
      <c r="R1971" s="4098"/>
      <c r="S1971" s="4351"/>
      <c r="T1971" s="4098"/>
      <c r="U1971" s="4351"/>
      <c r="V1971" s="346"/>
      <c r="W1971" s="4359"/>
      <c r="X1971" s="4098"/>
      <c r="Y1971" s="4351"/>
      <c r="Z1971" s="4098"/>
      <c r="AA1971" s="4364"/>
      <c r="AB1971" s="4365"/>
      <c r="AC1971" s="4368"/>
      <c r="AD1971" s="4336"/>
      <c r="AE1971" s="4336"/>
      <c r="AF1971" s="4336"/>
      <c r="AG1971" s="4336"/>
      <c r="AH1971" s="4370"/>
      <c r="AI1971" s="4336"/>
    </row>
    <row r="1972" s="1" customFormat="1" ht="42.75" customHeight="1" spans="1:35">
      <c r="A1972" s="639" t="s">
        <v>2570</v>
      </c>
      <c r="B1972" s="4318">
        <v>45254</v>
      </c>
      <c r="C1972" s="639" t="s">
        <v>7088</v>
      </c>
      <c r="D1972" s="639"/>
      <c r="E1972" s="639" t="s">
        <v>7089</v>
      </c>
      <c r="F1972" s="639" t="s">
        <v>7090</v>
      </c>
      <c r="G1972" s="639" t="s">
        <v>240</v>
      </c>
      <c r="H1972" s="639" t="s">
        <v>4638</v>
      </c>
      <c r="I1972" s="639"/>
      <c r="J1972" s="639" t="s">
        <v>997</v>
      </c>
      <c r="K1972" s="639">
        <v>1512173.5</v>
      </c>
      <c r="L1972" s="639" t="s">
        <v>26</v>
      </c>
      <c r="M1972" s="959">
        <v>1</v>
      </c>
      <c r="N1972" s="4343" t="s">
        <v>3320</v>
      </c>
      <c r="O1972" s="4343" t="s">
        <v>7091</v>
      </c>
      <c r="P1972" s="4344">
        <f>K1972*0.2</f>
        <v>302434.7</v>
      </c>
      <c r="Q1972" s="745">
        <v>302434.7</v>
      </c>
      <c r="R1972" s="745" t="s">
        <v>4603</v>
      </c>
      <c r="S1972" s="819">
        <v>45266</v>
      </c>
      <c r="T1972" s="745">
        <v>302434.7</v>
      </c>
      <c r="U1972" s="819">
        <v>45266</v>
      </c>
      <c r="V1972" s="745">
        <v>302434.7</v>
      </c>
      <c r="W1972" s="819">
        <v>45267</v>
      </c>
      <c r="X1972" s="745">
        <v>302434.7</v>
      </c>
      <c r="Y1972" s="819">
        <v>45273</v>
      </c>
      <c r="Z1972" s="745"/>
      <c r="AA1972" s="918"/>
      <c r="AB1972" s="919"/>
      <c r="AC1972" s="919"/>
      <c r="AD1972" s="741"/>
      <c r="AE1972" s="741"/>
      <c r="AF1972" s="741"/>
      <c r="AG1972" s="741"/>
      <c r="AH1972" s="638"/>
      <c r="AI1972" s="741"/>
    </row>
    <row r="1973" s="1" customFormat="1" ht="42.75" customHeight="1" spans="1:35">
      <c r="A1973" s="683"/>
      <c r="B1973" s="4319"/>
      <c r="C1973" s="683"/>
      <c r="D1973" s="683"/>
      <c r="E1973" s="683"/>
      <c r="F1973" s="683"/>
      <c r="G1973" s="683"/>
      <c r="H1973" s="683"/>
      <c r="I1973" s="683"/>
      <c r="J1973" s="683"/>
      <c r="K1973" s="683"/>
      <c r="L1973" s="683"/>
      <c r="M1973" s="959">
        <v>2</v>
      </c>
      <c r="N1973" s="4343" t="s">
        <v>3321</v>
      </c>
      <c r="O1973" s="4343" t="s">
        <v>7092</v>
      </c>
      <c r="P1973" s="4344">
        <f>K1972*0.2</f>
        <v>302434.7</v>
      </c>
      <c r="Q1973" s="745">
        <v>302434.7</v>
      </c>
      <c r="R1973" s="745" t="s">
        <v>4603</v>
      </c>
      <c r="S1973" s="819">
        <v>45266</v>
      </c>
      <c r="T1973" s="745">
        <v>302434.7</v>
      </c>
      <c r="U1973" s="819">
        <v>45266</v>
      </c>
      <c r="V1973" s="745">
        <v>302434.7</v>
      </c>
      <c r="W1973" s="819">
        <v>45267</v>
      </c>
      <c r="X1973" s="745">
        <v>302434.7</v>
      </c>
      <c r="Y1973" s="819">
        <v>45273</v>
      </c>
      <c r="Z1973" s="745"/>
      <c r="AA1973" s="918"/>
      <c r="AB1973" s="919"/>
      <c r="AC1973" s="919"/>
      <c r="AD1973" s="741"/>
      <c r="AE1973" s="741"/>
      <c r="AF1973" s="741"/>
      <c r="AG1973" s="741"/>
      <c r="AH1973" s="638"/>
      <c r="AI1973" s="741"/>
    </row>
    <row r="1974" s="1" customFormat="1" ht="42.75" customHeight="1" spans="1:35">
      <c r="A1974" s="683"/>
      <c r="B1974" s="4319"/>
      <c r="C1974" s="683"/>
      <c r="D1974" s="683"/>
      <c r="E1974" s="683"/>
      <c r="F1974" s="683"/>
      <c r="G1974" s="683"/>
      <c r="H1974" s="683"/>
      <c r="I1974" s="683"/>
      <c r="J1974" s="683"/>
      <c r="K1974" s="683"/>
      <c r="L1974" s="683"/>
      <c r="M1974" s="959">
        <v>3</v>
      </c>
      <c r="N1974" s="4343" t="s">
        <v>3322</v>
      </c>
      <c r="O1974" s="4343" t="s">
        <v>7093</v>
      </c>
      <c r="P1974" s="4344">
        <f>K1972*0.2</f>
        <v>302434.7</v>
      </c>
      <c r="Q1974" s="745">
        <v>302434.7</v>
      </c>
      <c r="R1974" s="745" t="s">
        <v>4603</v>
      </c>
      <c r="S1974" s="819">
        <v>45266</v>
      </c>
      <c r="T1974" s="745">
        <v>302434.7</v>
      </c>
      <c r="U1974" s="819">
        <v>45266</v>
      </c>
      <c r="V1974" s="745">
        <v>302434.7</v>
      </c>
      <c r="W1974" s="819">
        <v>45267</v>
      </c>
      <c r="X1974" s="745">
        <v>302434.7</v>
      </c>
      <c r="Y1974" s="819">
        <v>45273</v>
      </c>
      <c r="Z1974" s="745"/>
      <c r="AA1974" s="918"/>
      <c r="AB1974" s="919"/>
      <c r="AC1974" s="919"/>
      <c r="AD1974" s="741"/>
      <c r="AE1974" s="741"/>
      <c r="AF1974" s="741"/>
      <c r="AG1974" s="741"/>
      <c r="AH1974" s="638"/>
      <c r="AI1974" s="741"/>
    </row>
    <row r="1975" s="1" customFormat="1" ht="42.75" customHeight="1" spans="1:35">
      <c r="A1975" s="683"/>
      <c r="B1975" s="4319"/>
      <c r="C1975" s="683"/>
      <c r="D1975" s="683"/>
      <c r="E1975" s="683"/>
      <c r="F1975" s="683"/>
      <c r="G1975" s="683"/>
      <c r="H1975" s="683"/>
      <c r="I1975" s="683"/>
      <c r="J1975" s="683"/>
      <c r="K1975" s="683"/>
      <c r="L1975" s="683"/>
      <c r="M1975" s="959">
        <v>4</v>
      </c>
      <c r="N1975" s="2931" t="s">
        <v>7094</v>
      </c>
      <c r="O1975" s="4343" t="s">
        <v>7095</v>
      </c>
      <c r="P1975" s="4344">
        <f>K1972*0.15</f>
        <v>226826.025</v>
      </c>
      <c r="Q1975" s="4353">
        <v>226826.025</v>
      </c>
      <c r="R1975" s="745" t="s">
        <v>4603</v>
      </c>
      <c r="S1975" s="819">
        <v>45266</v>
      </c>
      <c r="T1975" s="4353">
        <v>226826.025</v>
      </c>
      <c r="U1975" s="819">
        <v>45266</v>
      </c>
      <c r="V1975" s="4353">
        <v>226826.025</v>
      </c>
      <c r="W1975" s="819">
        <v>45267</v>
      </c>
      <c r="X1975" s="4353">
        <v>226826.025</v>
      </c>
      <c r="Y1975" s="819">
        <v>45273</v>
      </c>
      <c r="Z1975" s="745"/>
      <c r="AA1975" s="918"/>
      <c r="AB1975" s="919"/>
      <c r="AC1975" s="919"/>
      <c r="AD1975" s="741"/>
      <c r="AE1975" s="741"/>
      <c r="AF1975" s="741"/>
      <c r="AG1975" s="741"/>
      <c r="AH1975" s="638"/>
      <c r="AI1975" s="741"/>
    </row>
    <row r="1976" s="1" customFormat="1" ht="53.25" customHeight="1" spans="1:35">
      <c r="A1976" s="683"/>
      <c r="B1976" s="4319"/>
      <c r="C1976" s="683"/>
      <c r="D1976" s="683"/>
      <c r="E1976" s="683"/>
      <c r="F1976" s="683"/>
      <c r="G1976" s="683"/>
      <c r="H1976" s="683"/>
      <c r="I1976" s="683"/>
      <c r="J1976" s="683"/>
      <c r="K1976" s="683"/>
      <c r="L1976" s="683"/>
      <c r="M1976" s="959">
        <v>5</v>
      </c>
      <c r="N1976" s="2931" t="s">
        <v>7096</v>
      </c>
      <c r="O1976" s="4343" t="s">
        <v>7097</v>
      </c>
      <c r="P1976" s="4344">
        <f>K1972*0.1</f>
        <v>151217.35</v>
      </c>
      <c r="Q1976" s="745">
        <v>151217.35</v>
      </c>
      <c r="R1976" s="745" t="s">
        <v>4603</v>
      </c>
      <c r="S1976" s="819">
        <v>45266</v>
      </c>
      <c r="T1976" s="745">
        <v>151217.35</v>
      </c>
      <c r="U1976" s="819">
        <v>45266</v>
      </c>
      <c r="V1976" s="745">
        <v>151217.35</v>
      </c>
      <c r="W1976" s="819">
        <v>45267</v>
      </c>
      <c r="X1976" s="745">
        <v>151217.35</v>
      </c>
      <c r="Y1976" s="819">
        <v>45273</v>
      </c>
      <c r="Z1976" s="745"/>
      <c r="AA1976" s="918"/>
      <c r="AB1976" s="919"/>
      <c r="AC1976" s="919"/>
      <c r="AD1976" s="741"/>
      <c r="AE1976" s="741"/>
      <c r="AF1976" s="741"/>
      <c r="AG1976" s="741"/>
      <c r="AH1976" s="638"/>
      <c r="AI1976" s="741"/>
    </row>
    <row r="1977" s="1" customFormat="1" ht="51.75" customHeight="1" spans="1:35">
      <c r="A1977" s="683"/>
      <c r="B1977" s="4319"/>
      <c r="C1977" s="683"/>
      <c r="D1977" s="683"/>
      <c r="E1977" s="683"/>
      <c r="F1977" s="683"/>
      <c r="G1977" s="683"/>
      <c r="H1977" s="683"/>
      <c r="I1977" s="683"/>
      <c r="J1977" s="683"/>
      <c r="K1977" s="683"/>
      <c r="L1977" s="683"/>
      <c r="M1977" s="959">
        <v>6</v>
      </c>
      <c r="N1977" s="2931" t="s">
        <v>7098</v>
      </c>
      <c r="O1977" s="4343" t="s">
        <v>7099</v>
      </c>
      <c r="P1977" s="4344">
        <f>K1972*0.05</f>
        <v>75608.675</v>
      </c>
      <c r="Q1977" s="4354">
        <v>75608.675</v>
      </c>
      <c r="R1977" s="821" t="s">
        <v>5015</v>
      </c>
      <c r="S1977" s="822">
        <v>46386</v>
      </c>
      <c r="T1977" s="745"/>
      <c r="U1977" s="819"/>
      <c r="V1977" s="741"/>
      <c r="W1977" s="4360"/>
      <c r="X1977" s="4361">
        <v>75608.675</v>
      </c>
      <c r="Y1977" s="822">
        <v>46386</v>
      </c>
      <c r="Z1977" s="745"/>
      <c r="AA1977" s="918"/>
      <c r="AB1977" s="23"/>
      <c r="AC1977" s="919"/>
      <c r="AD1977" s="741"/>
      <c r="AE1977" s="741"/>
      <c r="AF1977" s="741"/>
      <c r="AG1977" s="741"/>
      <c r="AH1977" s="638"/>
      <c r="AI1977" s="741"/>
    </row>
    <row r="1978" s="1" customFormat="1" ht="42.75" customHeight="1" spans="1:35">
      <c r="A1978" s="683"/>
      <c r="B1978" s="4319"/>
      <c r="C1978" s="683"/>
      <c r="D1978" s="683"/>
      <c r="E1978" s="683"/>
      <c r="F1978" s="683"/>
      <c r="G1978" s="683"/>
      <c r="H1978" s="683"/>
      <c r="I1978" s="683"/>
      <c r="J1978" s="683"/>
      <c r="K1978" s="4325"/>
      <c r="L1978" s="683"/>
      <c r="M1978" s="959">
        <v>7</v>
      </c>
      <c r="N1978" s="2931" t="s">
        <v>7100</v>
      </c>
      <c r="O1978" s="4343" t="s">
        <v>7101</v>
      </c>
      <c r="P1978" s="4344">
        <f>K1972*0.1</f>
        <v>151217.35</v>
      </c>
      <c r="Q1978" s="821">
        <v>151217.35</v>
      </c>
      <c r="R1978" s="821" t="s">
        <v>349</v>
      </c>
      <c r="S1978" s="822"/>
      <c r="T1978" s="745"/>
      <c r="U1978" s="819"/>
      <c r="V1978" s="741"/>
      <c r="W1978" s="4360"/>
      <c r="X1978" s="745"/>
      <c r="Y1978" s="819"/>
      <c r="Z1978" s="745"/>
      <c r="AA1978" s="918"/>
      <c r="AB1978" s="919"/>
      <c r="AC1978" s="919"/>
      <c r="AD1978" s="741"/>
      <c r="AE1978" s="741"/>
      <c r="AF1978" s="741"/>
      <c r="AG1978" s="741"/>
      <c r="AH1978" s="638"/>
      <c r="AI1978" s="741"/>
    </row>
    <row r="1979" s="1" customFormat="1" ht="50.25" customHeight="1" spans="1:35">
      <c r="A1979" s="639" t="s">
        <v>2570</v>
      </c>
      <c r="B1979" s="4318">
        <v>45238</v>
      </c>
      <c r="C1979" s="639" t="s">
        <v>7088</v>
      </c>
      <c r="D1979" s="639"/>
      <c r="E1979" s="639" t="s">
        <v>7102</v>
      </c>
      <c r="F1979" s="639" t="s">
        <v>7103</v>
      </c>
      <c r="G1979" s="639" t="s">
        <v>658</v>
      </c>
      <c r="H1979" s="639" t="s">
        <v>6610</v>
      </c>
      <c r="I1979" s="639">
        <v>180674.52</v>
      </c>
      <c r="J1979" s="4326" t="s">
        <v>7104</v>
      </c>
      <c r="K1979" s="639">
        <v>4878212.04</v>
      </c>
      <c r="L1979" s="639" t="s">
        <v>126</v>
      </c>
      <c r="M1979" s="699">
        <v>1</v>
      </c>
      <c r="N1979" s="4345" t="s">
        <v>7105</v>
      </c>
      <c r="O1979" s="743" t="s">
        <v>7106</v>
      </c>
      <c r="P1979" s="744">
        <f>4878212.04*0.2</f>
        <v>975642.408</v>
      </c>
      <c r="Q1979" s="4353">
        <f t="shared" ref="Q1979:Q1982" si="54">4878212.04*0.2</f>
        <v>975642.408</v>
      </c>
      <c r="R1979" s="745" t="s">
        <v>4603</v>
      </c>
      <c r="S1979" s="819">
        <v>45255</v>
      </c>
      <c r="T1979" s="4353">
        <f t="shared" ref="T1979:T1982" si="55">4878212.04*0.2</f>
        <v>975642.408</v>
      </c>
      <c r="U1979" s="819">
        <v>45255</v>
      </c>
      <c r="V1979" s="4353">
        <f>4878212.04*0.2</f>
        <v>975642.408</v>
      </c>
      <c r="W1979" s="4360">
        <v>45266</v>
      </c>
      <c r="X1979" s="4353">
        <f>4878212.04*0.2</f>
        <v>975642.408</v>
      </c>
      <c r="Y1979" s="819">
        <v>45273</v>
      </c>
      <c r="Z1979" s="745"/>
      <c r="AA1979" s="918"/>
      <c r="AB1979" s="919"/>
      <c r="AC1979" s="919"/>
      <c r="AD1979" s="741"/>
      <c r="AE1979" s="741"/>
      <c r="AF1979" s="741"/>
      <c r="AG1979" s="741"/>
      <c r="AH1979" s="638"/>
      <c r="AI1979" s="741"/>
    </row>
    <row r="1980" s="1" customFormat="1" ht="57" customHeight="1" spans="1:35">
      <c r="A1980" s="683"/>
      <c r="B1980" s="4319"/>
      <c r="C1980" s="683"/>
      <c r="D1980" s="683"/>
      <c r="E1980" s="683"/>
      <c r="F1980" s="683"/>
      <c r="G1980" s="683"/>
      <c r="H1980" s="683"/>
      <c r="I1980" s="683"/>
      <c r="J1980" s="4327"/>
      <c r="K1980" s="683"/>
      <c r="L1980" s="683"/>
      <c r="M1980" s="741">
        <v>2</v>
      </c>
      <c r="N1980" s="4345" t="s">
        <v>7107</v>
      </c>
      <c r="O1980" s="743" t="s">
        <v>7108</v>
      </c>
      <c r="P1980" s="744">
        <f>4878212.04*0.2</f>
        <v>975642.408</v>
      </c>
      <c r="Q1980" s="4353">
        <f t="shared" si="54"/>
        <v>975642.408</v>
      </c>
      <c r="R1980" s="745" t="s">
        <v>4603</v>
      </c>
      <c r="S1980" s="819">
        <v>45255</v>
      </c>
      <c r="T1980" s="4353">
        <f t="shared" si="55"/>
        <v>975642.408</v>
      </c>
      <c r="U1980" s="819">
        <v>45255</v>
      </c>
      <c r="V1980" s="4353">
        <f>4878212.04*0.2</f>
        <v>975642.408</v>
      </c>
      <c r="W1980" s="4360">
        <v>45266</v>
      </c>
      <c r="X1980" s="4353">
        <f>4878212.04*0.2</f>
        <v>975642.408</v>
      </c>
      <c r="Y1980" s="819">
        <v>45273</v>
      </c>
      <c r="Z1980" s="745"/>
      <c r="AA1980" s="918"/>
      <c r="AB1980" s="919"/>
      <c r="AC1980" s="919"/>
      <c r="AD1980" s="741"/>
      <c r="AE1980" s="741"/>
      <c r="AF1980" s="741"/>
      <c r="AG1980" s="741"/>
      <c r="AH1980" s="638"/>
      <c r="AI1980" s="741"/>
    </row>
    <row r="1981" s="1" customFormat="1" ht="69" customHeight="1" spans="1:35">
      <c r="A1981" s="683"/>
      <c r="B1981" s="4319"/>
      <c r="C1981" s="683"/>
      <c r="D1981" s="683"/>
      <c r="E1981" s="683"/>
      <c r="F1981" s="683"/>
      <c r="G1981" s="683"/>
      <c r="H1981" s="683"/>
      <c r="I1981" s="683"/>
      <c r="J1981" s="4327"/>
      <c r="K1981" s="683"/>
      <c r="L1981" s="683"/>
      <c r="M1981" s="741">
        <v>3</v>
      </c>
      <c r="N1981" s="4345" t="s">
        <v>7109</v>
      </c>
      <c r="O1981" s="743" t="s">
        <v>7110</v>
      </c>
      <c r="P1981" s="744">
        <f t="shared" ref="P1981:T1981" si="56">4878212.04*0.1</f>
        <v>487821.204</v>
      </c>
      <c r="Q1981" s="4353">
        <f t="shared" si="56"/>
        <v>487821.204</v>
      </c>
      <c r="R1981" s="745" t="s">
        <v>4603</v>
      </c>
      <c r="S1981" s="819">
        <v>45267</v>
      </c>
      <c r="T1981" s="4353">
        <v>487821.204</v>
      </c>
      <c r="U1981" s="819">
        <v>45267</v>
      </c>
      <c r="V1981" s="4353">
        <f>4878212.04*0.1</f>
        <v>487821.204</v>
      </c>
      <c r="W1981" s="4360">
        <v>45266</v>
      </c>
      <c r="X1981" s="4353">
        <f>4878212.04*0.1</f>
        <v>487821.204</v>
      </c>
      <c r="Y1981" s="819">
        <v>45273</v>
      </c>
      <c r="Z1981" s="745"/>
      <c r="AA1981" s="918"/>
      <c r="AB1981" s="919"/>
      <c r="AC1981" s="919"/>
      <c r="AD1981" s="741"/>
      <c r="AE1981" s="741"/>
      <c r="AF1981" s="741"/>
      <c r="AG1981" s="741"/>
      <c r="AH1981" s="638"/>
      <c r="AI1981" s="741"/>
    </row>
    <row r="1982" s="1" customFormat="1" ht="67.5" customHeight="1" spans="1:35">
      <c r="A1982" s="683"/>
      <c r="B1982" s="4319"/>
      <c r="C1982" s="683"/>
      <c r="D1982" s="683"/>
      <c r="E1982" s="683"/>
      <c r="F1982" s="683"/>
      <c r="G1982" s="683"/>
      <c r="H1982" s="683"/>
      <c r="I1982" s="683"/>
      <c r="J1982" s="4327"/>
      <c r="K1982" s="683"/>
      <c r="L1982" s="683"/>
      <c r="M1982" s="741">
        <v>4</v>
      </c>
      <c r="N1982" s="4345" t="s">
        <v>7111</v>
      </c>
      <c r="O1982" s="743" t="s">
        <v>7112</v>
      </c>
      <c r="P1982" s="744">
        <f>4878212.04*0.2</f>
        <v>975642.408</v>
      </c>
      <c r="Q1982" s="4353">
        <f t="shared" si="54"/>
        <v>975642.408</v>
      </c>
      <c r="R1982" s="745" t="s">
        <v>4603</v>
      </c>
      <c r="S1982" s="819">
        <v>45267</v>
      </c>
      <c r="T1982" s="4353">
        <v>975642.408</v>
      </c>
      <c r="U1982" s="819">
        <v>45267</v>
      </c>
      <c r="V1982" s="4353">
        <v>975642.408</v>
      </c>
      <c r="W1982" s="4360">
        <v>45295</v>
      </c>
      <c r="X1982" s="4353">
        <f>4878212.04*0.2</f>
        <v>975642.408</v>
      </c>
      <c r="Y1982" s="819">
        <v>45309</v>
      </c>
      <c r="Z1982" s="745"/>
      <c r="AA1982" s="918"/>
      <c r="AB1982" s="919"/>
      <c r="AC1982" s="919"/>
      <c r="AD1982" s="741"/>
      <c r="AE1982" s="741"/>
      <c r="AF1982" s="741"/>
      <c r="AG1982" s="741"/>
      <c r="AH1982" s="638"/>
      <c r="AI1982" s="741"/>
    </row>
    <row r="1983" s="1" customFormat="1" ht="46" spans="1:35">
      <c r="A1983" s="683"/>
      <c r="B1983" s="4319"/>
      <c r="C1983" s="683"/>
      <c r="D1983" s="683"/>
      <c r="E1983" s="683"/>
      <c r="F1983" s="683"/>
      <c r="G1983" s="683"/>
      <c r="H1983" s="683"/>
      <c r="I1983" s="683"/>
      <c r="J1983" s="4327"/>
      <c r="K1983" s="683"/>
      <c r="L1983" s="683"/>
      <c r="M1983" s="741">
        <v>5</v>
      </c>
      <c r="N1983" s="4345" t="s">
        <v>7113</v>
      </c>
      <c r="O1983" s="743" t="s">
        <v>7114</v>
      </c>
      <c r="P1983" s="744">
        <f t="shared" ref="P1983:T1983" si="57">4878212.04*0.1</f>
        <v>487821.204</v>
      </c>
      <c r="Q1983" s="4353">
        <f t="shared" si="57"/>
        <v>487821.204</v>
      </c>
      <c r="R1983" s="745" t="s">
        <v>4603</v>
      </c>
      <c r="S1983" s="819">
        <v>45267</v>
      </c>
      <c r="T1983" s="4353">
        <v>487821.204</v>
      </c>
      <c r="U1983" s="819">
        <v>45267</v>
      </c>
      <c r="V1983" s="4353">
        <v>487821.204</v>
      </c>
      <c r="W1983" s="4360">
        <v>45883</v>
      </c>
      <c r="X1983" s="4361">
        <f>Q1983</f>
        <v>487821.204</v>
      </c>
      <c r="Y1983" s="822">
        <v>45899</v>
      </c>
      <c r="Z1983" s="745"/>
      <c r="AA1983" s="918"/>
      <c r="AB1983" s="919"/>
      <c r="AC1983" s="919"/>
      <c r="AD1983" s="741"/>
      <c r="AE1983" s="741"/>
      <c r="AF1983" s="741"/>
      <c r="AG1983" s="741"/>
      <c r="AH1983" s="638"/>
      <c r="AI1983" s="741"/>
    </row>
    <row r="1984" s="1" customFormat="1" ht="46" spans="1:35">
      <c r="A1984" s="683"/>
      <c r="B1984" s="4319"/>
      <c r="C1984" s="683"/>
      <c r="D1984" s="683"/>
      <c r="E1984" s="683"/>
      <c r="F1984" s="683"/>
      <c r="G1984" s="683"/>
      <c r="H1984" s="683"/>
      <c r="I1984" s="683"/>
      <c r="J1984" s="4327"/>
      <c r="K1984" s="683"/>
      <c r="L1984" s="683"/>
      <c r="M1984" s="741">
        <v>6</v>
      </c>
      <c r="N1984" s="4345" t="s">
        <v>7115</v>
      </c>
      <c r="O1984" s="743" t="s">
        <v>7116</v>
      </c>
      <c r="P1984" s="744">
        <f>4878212.04*0.05</f>
        <v>243910.602</v>
      </c>
      <c r="Q1984" s="4355">
        <v>243910.602</v>
      </c>
      <c r="R1984" s="4356" t="s">
        <v>4603</v>
      </c>
      <c r="S1984" s="4357">
        <v>45653</v>
      </c>
      <c r="T1984" s="818">
        <v>243910.602</v>
      </c>
      <c r="U1984" s="4357">
        <v>45653</v>
      </c>
      <c r="V1984" s="818">
        <v>243910.602</v>
      </c>
      <c r="W1984" s="4360">
        <v>45883</v>
      </c>
      <c r="X1984" s="821">
        <f>Q1984</f>
        <v>243910.602</v>
      </c>
      <c r="Y1984" s="822">
        <v>45899</v>
      </c>
      <c r="Z1984" s="745"/>
      <c r="AA1984" s="918"/>
      <c r="AB1984" s="919"/>
      <c r="AC1984" s="919"/>
      <c r="AD1984" s="741"/>
      <c r="AE1984" s="741"/>
      <c r="AF1984" s="741"/>
      <c r="AG1984" s="741"/>
      <c r="AH1984" s="638"/>
      <c r="AI1984" s="741"/>
    </row>
    <row r="1985" s="1" customFormat="1" ht="61" spans="1:35">
      <c r="A1985" s="683"/>
      <c r="B1985" s="4319"/>
      <c r="C1985" s="683"/>
      <c r="D1985" s="683"/>
      <c r="E1985" s="683"/>
      <c r="F1985" s="683"/>
      <c r="G1985" s="683"/>
      <c r="H1985" s="683"/>
      <c r="I1985" s="683"/>
      <c r="J1985" s="4327"/>
      <c r="K1985" s="683"/>
      <c r="L1985" s="683"/>
      <c r="M1985" s="741">
        <v>7</v>
      </c>
      <c r="N1985" s="4345" t="s">
        <v>7117</v>
      </c>
      <c r="O1985" s="743" t="s">
        <v>7118</v>
      </c>
      <c r="P1985" s="744">
        <f>4878212.04*0.15</f>
        <v>731731.806</v>
      </c>
      <c r="Q1985" s="4361">
        <v>731731.806</v>
      </c>
      <c r="R1985" s="821" t="s">
        <v>349</v>
      </c>
      <c r="S1985" s="822">
        <v>46203</v>
      </c>
      <c r="T1985" s="745"/>
      <c r="U1985" s="819"/>
      <c r="V1985" s="741"/>
      <c r="W1985" s="4360"/>
      <c r="X1985" s="745"/>
      <c r="Y1985" s="819"/>
      <c r="Z1985" s="745"/>
      <c r="AA1985" s="918"/>
      <c r="AB1985" s="919"/>
      <c r="AC1985" s="919"/>
      <c r="AD1985" s="741"/>
      <c r="AE1985" s="741"/>
      <c r="AF1985" s="741"/>
      <c r="AG1985" s="741"/>
      <c r="AH1985" s="638"/>
      <c r="AI1985" s="741"/>
    </row>
    <row r="1986" s="1" customFormat="1" ht="46" spans="1:35">
      <c r="A1986" s="683"/>
      <c r="B1986" s="4319"/>
      <c r="C1986" s="683"/>
      <c r="D1986" s="683"/>
      <c r="E1986" s="683"/>
      <c r="F1986" s="683"/>
      <c r="G1986" s="639" t="s">
        <v>6613</v>
      </c>
      <c r="H1986" s="683"/>
      <c r="I1986" s="683"/>
      <c r="J1986" s="4327"/>
      <c r="K1986" s="639">
        <v>1109530.8</v>
      </c>
      <c r="L1986" s="639" t="s">
        <v>126</v>
      </c>
      <c r="M1986" s="741">
        <v>1</v>
      </c>
      <c r="N1986" s="638" t="s">
        <v>7119</v>
      </c>
      <c r="O1986" s="638" t="s">
        <v>7120</v>
      </c>
      <c r="P1986" s="744">
        <f>$K$1986*0.2</f>
        <v>221906.16</v>
      </c>
      <c r="Q1986" s="4353">
        <f>$K$1986*0.2</f>
        <v>221906.16</v>
      </c>
      <c r="R1986" s="745" t="s">
        <v>4603</v>
      </c>
      <c r="S1986" s="819">
        <v>45255</v>
      </c>
      <c r="T1986" s="4353">
        <f>$K$1986*0.2</f>
        <v>221906.16</v>
      </c>
      <c r="U1986" s="819">
        <v>45255</v>
      </c>
      <c r="V1986" s="4353">
        <f>$K$1986*0.2</f>
        <v>221906.16</v>
      </c>
      <c r="W1986" s="4360">
        <v>45266</v>
      </c>
      <c r="X1986" s="4353">
        <f>$K$1986*0.2</f>
        <v>221906.16</v>
      </c>
      <c r="Y1986" s="819">
        <v>45273</v>
      </c>
      <c r="Z1986" s="745"/>
      <c r="AA1986" s="918"/>
      <c r="AB1986" s="919"/>
      <c r="AC1986" s="4391"/>
      <c r="AD1986" s="4392"/>
      <c r="AE1986" s="4392"/>
      <c r="AF1986" s="4392"/>
      <c r="AG1986" s="4392"/>
      <c r="AH1986" s="646"/>
      <c r="AI1986" s="4392"/>
    </row>
    <row r="1987" s="1" customFormat="1" ht="46" spans="1:35">
      <c r="A1987" s="683"/>
      <c r="B1987" s="4319"/>
      <c r="C1987" s="683"/>
      <c r="D1987" s="683"/>
      <c r="E1987" s="683"/>
      <c r="F1987" s="683"/>
      <c r="G1987" s="683"/>
      <c r="H1987" s="683"/>
      <c r="I1987" s="683"/>
      <c r="J1987" s="4327"/>
      <c r="K1987" s="683"/>
      <c r="L1987" s="683"/>
      <c r="M1987" s="741">
        <v>2</v>
      </c>
      <c r="N1987" s="638" t="s">
        <v>7121</v>
      </c>
      <c r="O1987" s="638" t="s">
        <v>7122</v>
      </c>
      <c r="P1987" s="744">
        <f>$K$1986*0.6</f>
        <v>665718.48</v>
      </c>
      <c r="Q1987" s="4353">
        <f>$K$1986*0.6</f>
        <v>665718.48</v>
      </c>
      <c r="R1987" s="745" t="s">
        <v>4603</v>
      </c>
      <c r="S1987" s="819">
        <v>45267</v>
      </c>
      <c r="T1987" s="745">
        <v>665718.48</v>
      </c>
      <c r="U1987" s="819">
        <v>45267</v>
      </c>
      <c r="V1987" s="4353">
        <f>$K$1986*0.6</f>
        <v>665718.48</v>
      </c>
      <c r="W1987" s="4360">
        <v>45266</v>
      </c>
      <c r="X1987" s="4353">
        <f>$K$1986*0.6</f>
        <v>665718.48</v>
      </c>
      <c r="Y1987" s="819">
        <v>45273</v>
      </c>
      <c r="Z1987" s="745"/>
      <c r="AA1987" s="918"/>
      <c r="AB1987" s="919"/>
      <c r="AC1987" s="4391"/>
      <c r="AD1987" s="4392"/>
      <c r="AE1987" s="4392"/>
      <c r="AF1987" s="4392"/>
      <c r="AG1987" s="4392"/>
      <c r="AH1987" s="646"/>
      <c r="AI1987" s="4392"/>
    </row>
    <row r="1988" s="1" customFormat="1" ht="61" spans="1:35">
      <c r="A1988" s="683"/>
      <c r="B1988" s="4319"/>
      <c r="C1988" s="683"/>
      <c r="D1988" s="683"/>
      <c r="E1988" s="683"/>
      <c r="F1988" s="683"/>
      <c r="G1988" s="2895"/>
      <c r="H1988" s="683"/>
      <c r="I1988" s="683"/>
      <c r="J1988" s="4327"/>
      <c r="K1988" s="2895"/>
      <c r="L1988" s="2895"/>
      <c r="M1988" s="741">
        <v>3</v>
      </c>
      <c r="N1988" s="638" t="s">
        <v>7117</v>
      </c>
      <c r="O1988" s="638" t="s">
        <v>7123</v>
      </c>
      <c r="P1988" s="744">
        <f>$K$1986*0.2</f>
        <v>221906.16</v>
      </c>
      <c r="Q1988" s="4361">
        <f>$K$1986*0.2</f>
        <v>221906.16</v>
      </c>
      <c r="R1988" s="821" t="s">
        <v>349</v>
      </c>
      <c r="S1988" s="822">
        <v>46203</v>
      </c>
      <c r="T1988" s="745"/>
      <c r="U1988" s="819"/>
      <c r="V1988" s="741"/>
      <c r="W1988" s="4360"/>
      <c r="X1988" s="821">
        <f>Q1988</f>
        <v>221906.16</v>
      </c>
      <c r="Y1988" s="822">
        <v>46203</v>
      </c>
      <c r="Z1988" s="745"/>
      <c r="AA1988" s="918"/>
      <c r="AB1988" s="919"/>
      <c r="AC1988" s="4391"/>
      <c r="AD1988" s="4392"/>
      <c r="AE1988" s="4392"/>
      <c r="AF1988" s="4392"/>
      <c r="AG1988" s="4392"/>
      <c r="AH1988" s="646"/>
      <c r="AI1988" s="4392"/>
    </row>
    <row r="1989" s="1" customFormat="1" ht="30" customHeight="1" spans="1:35">
      <c r="A1989" s="683"/>
      <c r="B1989" s="4319"/>
      <c r="C1989" s="683"/>
      <c r="D1989" s="683"/>
      <c r="E1989" s="683"/>
      <c r="F1989" s="683"/>
      <c r="G1989" s="639" t="s">
        <v>7124</v>
      </c>
      <c r="H1989" s="683"/>
      <c r="I1989" s="683"/>
      <c r="J1989" s="4327"/>
      <c r="K1989" s="639">
        <v>100000</v>
      </c>
      <c r="L1989" s="639" t="s">
        <v>126</v>
      </c>
      <c r="M1989" s="642">
        <v>1</v>
      </c>
      <c r="N1989" s="642" t="s">
        <v>7125</v>
      </c>
      <c r="O1989" s="638" t="s">
        <v>7126</v>
      </c>
      <c r="P1989" s="4381">
        <f>$K$1989*0.4</f>
        <v>40000</v>
      </c>
      <c r="Q1989" s="4385">
        <f>$K$1989*0.4</f>
        <v>40000</v>
      </c>
      <c r="R1989" s="745" t="s">
        <v>4603</v>
      </c>
      <c r="S1989" s="819">
        <v>45881</v>
      </c>
      <c r="T1989" s="745">
        <v>40000</v>
      </c>
      <c r="U1989" s="819">
        <v>45881</v>
      </c>
      <c r="V1989" s="741">
        <v>40000</v>
      </c>
      <c r="W1989" s="819">
        <v>45883</v>
      </c>
      <c r="X1989" s="821">
        <f>Q1989</f>
        <v>40000</v>
      </c>
      <c r="Y1989" s="822">
        <v>45899</v>
      </c>
      <c r="Z1989" s="745"/>
      <c r="AA1989" s="918"/>
      <c r="AB1989" s="919"/>
      <c r="AC1989" s="4391"/>
      <c r="AD1989" s="4392"/>
      <c r="AE1989" s="4392"/>
      <c r="AF1989" s="4392"/>
      <c r="AG1989" s="4392"/>
      <c r="AH1989" s="646"/>
      <c r="AI1989" s="4392"/>
    </row>
    <row r="1990" s="1" customFormat="1" ht="37.5" customHeight="1" spans="1:35">
      <c r="A1990" s="683"/>
      <c r="B1990" s="4319"/>
      <c r="C1990" s="683"/>
      <c r="D1990" s="683"/>
      <c r="E1990" s="683"/>
      <c r="F1990" s="683"/>
      <c r="G1990" s="683"/>
      <c r="H1990" s="683"/>
      <c r="I1990" s="683"/>
      <c r="J1990" s="4327"/>
      <c r="K1990" s="683"/>
      <c r="L1990" s="683"/>
      <c r="M1990" s="646"/>
      <c r="N1990" s="646"/>
      <c r="O1990" s="638"/>
      <c r="P1990" s="4381">
        <f>$K$1989*0.1</f>
        <v>10000</v>
      </c>
      <c r="Q1990" s="4385">
        <f>$K$1989*0.1</f>
        <v>10000</v>
      </c>
      <c r="R1990" s="745" t="s">
        <v>4603</v>
      </c>
      <c r="S1990" s="819">
        <v>45881</v>
      </c>
      <c r="T1990" s="745">
        <v>10000</v>
      </c>
      <c r="U1990" s="819">
        <v>45881</v>
      </c>
      <c r="V1990" s="741">
        <v>10000</v>
      </c>
      <c r="W1990" s="819">
        <v>45883</v>
      </c>
      <c r="X1990" s="821">
        <f>Q1990</f>
        <v>10000</v>
      </c>
      <c r="Y1990" s="822">
        <v>45899</v>
      </c>
      <c r="Z1990" s="745"/>
      <c r="AA1990" s="918"/>
      <c r="AB1990" s="919"/>
      <c r="AC1990" s="4391"/>
      <c r="AD1990" s="4392"/>
      <c r="AE1990" s="4392"/>
      <c r="AF1990" s="4392"/>
      <c r="AG1990" s="4392"/>
      <c r="AH1990" s="646"/>
      <c r="AI1990" s="4392"/>
    </row>
    <row r="1991" s="1" customFormat="1" ht="42" customHeight="1" spans="1:35">
      <c r="A1991" s="683"/>
      <c r="B1991" s="4319"/>
      <c r="C1991" s="683"/>
      <c r="D1991" s="683"/>
      <c r="E1991" s="683"/>
      <c r="F1991" s="683"/>
      <c r="G1991" s="683"/>
      <c r="H1991" s="683"/>
      <c r="I1991" s="683"/>
      <c r="J1991" s="4327"/>
      <c r="K1991" s="683"/>
      <c r="L1991" s="683"/>
      <c r="M1991" s="642">
        <v>2</v>
      </c>
      <c r="N1991" s="642" t="s">
        <v>7127</v>
      </c>
      <c r="O1991" s="638" t="s">
        <v>7128</v>
      </c>
      <c r="P1991" s="4381">
        <f>$K$1989*0.4</f>
        <v>40000</v>
      </c>
      <c r="Q1991" s="4386">
        <f>$K$1989*0.4</f>
        <v>40000</v>
      </c>
      <c r="R1991" s="821" t="s">
        <v>5015</v>
      </c>
      <c r="S1991" s="822">
        <v>46386</v>
      </c>
      <c r="T1991" s="745"/>
      <c r="U1991" s="819"/>
      <c r="V1991" s="741"/>
      <c r="W1991" s="4360"/>
      <c r="X1991" s="821">
        <f>Q1991</f>
        <v>40000</v>
      </c>
      <c r="Y1991" s="822">
        <v>46386</v>
      </c>
      <c r="Z1991" s="745"/>
      <c r="AA1991" s="918"/>
      <c r="AB1991" s="919"/>
      <c r="AC1991" s="4391"/>
      <c r="AD1991" s="4392"/>
      <c r="AE1991" s="4392"/>
      <c r="AF1991" s="4392"/>
      <c r="AG1991" s="4392"/>
      <c r="AH1991" s="646"/>
      <c r="AI1991" s="4392"/>
    </row>
    <row r="1992" s="1" customFormat="1" ht="37.5" customHeight="1" spans="1:35">
      <c r="A1992" s="2895"/>
      <c r="B1992" s="4372"/>
      <c r="C1992" s="2895"/>
      <c r="D1992" s="2895"/>
      <c r="E1992" s="2895"/>
      <c r="F1992" s="2895"/>
      <c r="G1992" s="2895"/>
      <c r="H1992" s="2895"/>
      <c r="I1992" s="2895"/>
      <c r="J1992" s="4373"/>
      <c r="K1992" s="2895"/>
      <c r="L1992" s="2895"/>
      <c r="M1992" s="646"/>
      <c r="N1992" s="646"/>
      <c r="O1992" s="638"/>
      <c r="P1992" s="4381">
        <f>$K$1989*0.1</f>
        <v>10000</v>
      </c>
      <c r="Q1992" s="4386">
        <f>$K$1989*0.1</f>
        <v>10000</v>
      </c>
      <c r="R1992" s="821" t="s">
        <v>5015</v>
      </c>
      <c r="S1992" s="822">
        <v>46386</v>
      </c>
      <c r="T1992" s="745"/>
      <c r="U1992" s="819"/>
      <c r="V1992" s="741"/>
      <c r="W1992" s="4360"/>
      <c r="X1992" s="821">
        <f>Q1992</f>
        <v>10000</v>
      </c>
      <c r="Y1992" s="822">
        <v>46386</v>
      </c>
      <c r="Z1992" s="745"/>
      <c r="AA1992" s="918"/>
      <c r="AB1992" s="919"/>
      <c r="AC1992" s="4391"/>
      <c r="AD1992" s="4392"/>
      <c r="AE1992" s="4392"/>
      <c r="AF1992" s="4392"/>
      <c r="AG1992" s="4392"/>
      <c r="AH1992" s="646"/>
      <c r="AI1992" s="4392"/>
    </row>
    <row r="1993" s="1" customFormat="1" ht="72" spans="1:35">
      <c r="A1993" s="639" t="s">
        <v>2570</v>
      </c>
      <c r="B1993" s="4318">
        <v>45209</v>
      </c>
      <c r="C1993" s="639" t="s">
        <v>7088</v>
      </c>
      <c r="D1993" s="639" t="s">
        <v>171</v>
      </c>
      <c r="E1993" s="639" t="s">
        <v>7129</v>
      </c>
      <c r="F1993" s="639" t="s">
        <v>7130</v>
      </c>
      <c r="G1993" s="639" t="s">
        <v>3579</v>
      </c>
      <c r="H1993" s="639" t="s">
        <v>5060</v>
      </c>
      <c r="I1993" s="639" t="s">
        <v>7131</v>
      </c>
      <c r="J1993" s="639" t="s">
        <v>7132</v>
      </c>
      <c r="K1993" s="4374">
        <v>1300000</v>
      </c>
      <c r="L1993" s="639" t="s">
        <v>126</v>
      </c>
      <c r="M1993" s="636" t="s">
        <v>7133</v>
      </c>
      <c r="N1993" s="636" t="s">
        <v>7134</v>
      </c>
      <c r="O1993" s="636" t="s">
        <v>7135</v>
      </c>
      <c r="P1993" s="4353">
        <f>K1993*0.1</f>
        <v>130000</v>
      </c>
      <c r="Q1993" s="745">
        <v>130000</v>
      </c>
      <c r="R1993" s="745" t="s">
        <v>4603</v>
      </c>
      <c r="S1993" s="819">
        <v>45240</v>
      </c>
      <c r="T1993" s="745">
        <v>130000</v>
      </c>
      <c r="U1993" s="819">
        <v>45240</v>
      </c>
      <c r="V1993" s="745">
        <v>130000</v>
      </c>
      <c r="W1993" s="4360">
        <v>45297</v>
      </c>
      <c r="X1993" s="745">
        <v>130000</v>
      </c>
      <c r="Y1993" s="819">
        <v>45350</v>
      </c>
      <c r="Z1993" s="745"/>
      <c r="AA1993" s="918"/>
      <c r="AB1993" s="919"/>
      <c r="AC1993" s="4391"/>
      <c r="AD1993" s="4392"/>
      <c r="AE1993" s="4392"/>
      <c r="AF1993" s="4392"/>
      <c r="AG1993" s="4392"/>
      <c r="AH1993" s="646"/>
      <c r="AI1993" s="4392"/>
    </row>
    <row r="1994" s="1" customFormat="1" ht="76" spans="1:35">
      <c r="A1994" s="683"/>
      <c r="B1994" s="4319"/>
      <c r="C1994" s="683"/>
      <c r="D1994" s="683"/>
      <c r="E1994" s="683"/>
      <c r="F1994" s="683"/>
      <c r="G1994" s="683"/>
      <c r="H1994" s="683"/>
      <c r="I1994" s="683"/>
      <c r="J1994" s="683"/>
      <c r="K1994" s="4375"/>
      <c r="L1994" s="683"/>
      <c r="M1994" s="636" t="s">
        <v>7136</v>
      </c>
      <c r="N1994" s="636" t="s">
        <v>5064</v>
      </c>
      <c r="O1994" s="636" t="s">
        <v>7137</v>
      </c>
      <c r="P1994" s="4353">
        <f>270000*0.4</f>
        <v>108000</v>
      </c>
      <c r="Q1994" s="745">
        <v>108000</v>
      </c>
      <c r="R1994" s="745" t="s">
        <v>4603</v>
      </c>
      <c r="S1994" s="819">
        <v>45240</v>
      </c>
      <c r="T1994" s="745">
        <v>108000</v>
      </c>
      <c r="U1994" s="819">
        <v>45240</v>
      </c>
      <c r="V1994" s="745">
        <v>108000</v>
      </c>
      <c r="W1994" s="4360">
        <v>45297</v>
      </c>
      <c r="X1994" s="745">
        <v>108000</v>
      </c>
      <c r="Y1994" s="819">
        <v>45350</v>
      </c>
      <c r="Z1994" s="745"/>
      <c r="AA1994" s="918"/>
      <c r="AB1994" s="919"/>
      <c r="AC1994" s="919"/>
      <c r="AD1994" s="741"/>
      <c r="AE1994" s="741"/>
      <c r="AF1994" s="741"/>
      <c r="AG1994" s="741"/>
      <c r="AH1994" s="638"/>
      <c r="AI1994" s="741"/>
    </row>
    <row r="1995" s="1" customFormat="1" ht="76" spans="1:35">
      <c r="A1995" s="683"/>
      <c r="B1995" s="4319"/>
      <c r="C1995" s="683"/>
      <c r="D1995" s="683"/>
      <c r="E1995" s="683"/>
      <c r="F1995" s="683"/>
      <c r="G1995" s="683"/>
      <c r="H1995" s="683"/>
      <c r="I1995" s="683"/>
      <c r="J1995" s="683"/>
      <c r="K1995" s="4375"/>
      <c r="L1995" s="683"/>
      <c r="M1995" s="636"/>
      <c r="N1995" s="636" t="s">
        <v>5065</v>
      </c>
      <c r="O1995" s="636" t="s">
        <v>7138</v>
      </c>
      <c r="P1995" s="4353">
        <f>270000*0.3</f>
        <v>81000</v>
      </c>
      <c r="Q1995" s="745">
        <v>81000</v>
      </c>
      <c r="R1995" s="745" t="s">
        <v>4603</v>
      </c>
      <c r="S1995" s="819">
        <v>45240</v>
      </c>
      <c r="T1995" s="745">
        <v>81000</v>
      </c>
      <c r="U1995" s="819">
        <v>45240</v>
      </c>
      <c r="V1995" s="745">
        <v>81000</v>
      </c>
      <c r="W1995" s="4360">
        <v>45297</v>
      </c>
      <c r="X1995" s="745">
        <v>81000</v>
      </c>
      <c r="Y1995" s="819">
        <v>45350</v>
      </c>
      <c r="Z1995" s="745"/>
      <c r="AA1995" s="918"/>
      <c r="AB1995" s="919"/>
      <c r="AC1995" s="919"/>
      <c r="AD1995" s="741"/>
      <c r="AE1995" s="741"/>
      <c r="AF1995" s="741"/>
      <c r="AG1995" s="741"/>
      <c r="AH1995" s="638"/>
      <c r="AI1995" s="741"/>
    </row>
    <row r="1996" s="1" customFormat="1" ht="76" spans="1:35">
      <c r="A1996" s="683"/>
      <c r="B1996" s="4319"/>
      <c r="C1996" s="683"/>
      <c r="D1996" s="683"/>
      <c r="E1996" s="683"/>
      <c r="F1996" s="683"/>
      <c r="G1996" s="683"/>
      <c r="H1996" s="683"/>
      <c r="I1996" s="683"/>
      <c r="J1996" s="683"/>
      <c r="K1996" s="4375"/>
      <c r="L1996" s="683"/>
      <c r="M1996" s="636"/>
      <c r="N1996" s="636" t="s">
        <v>5066</v>
      </c>
      <c r="O1996" s="636" t="s">
        <v>7139</v>
      </c>
      <c r="P1996" s="4353">
        <f>270000*0.1</f>
        <v>27000</v>
      </c>
      <c r="Q1996" s="4361">
        <f>270000*0.1</f>
        <v>27000</v>
      </c>
      <c r="R1996" s="821" t="s">
        <v>5015</v>
      </c>
      <c r="S1996" s="822">
        <v>46021</v>
      </c>
      <c r="T1996" s="745"/>
      <c r="U1996" s="819"/>
      <c r="V1996" s="741"/>
      <c r="W1996" s="4360"/>
      <c r="X1996" s="821">
        <f>Q1996</f>
        <v>27000</v>
      </c>
      <c r="Y1996" s="822">
        <v>46021</v>
      </c>
      <c r="Z1996" s="745"/>
      <c r="AA1996" s="918"/>
      <c r="AB1996" s="919"/>
      <c r="AC1996" s="919"/>
      <c r="AD1996" s="741"/>
      <c r="AE1996" s="741"/>
      <c r="AF1996" s="741"/>
      <c r="AG1996" s="741"/>
      <c r="AH1996" s="638"/>
      <c r="AI1996" s="741"/>
    </row>
    <row r="1997" s="1" customFormat="1" ht="76" spans="1:35">
      <c r="A1997" s="683"/>
      <c r="B1997" s="4319"/>
      <c r="C1997" s="683"/>
      <c r="D1997" s="683"/>
      <c r="E1997" s="683"/>
      <c r="F1997" s="683"/>
      <c r="G1997" s="683"/>
      <c r="H1997" s="683"/>
      <c r="I1997" s="683"/>
      <c r="J1997" s="683"/>
      <c r="K1997" s="4375"/>
      <c r="L1997" s="683"/>
      <c r="M1997" s="636" t="s">
        <v>7140</v>
      </c>
      <c r="N1997" s="636" t="s">
        <v>5067</v>
      </c>
      <c r="O1997" s="636" t="s">
        <v>7141</v>
      </c>
      <c r="P1997" s="4353">
        <f>1030000*0.15</f>
        <v>154500</v>
      </c>
      <c r="Q1997" s="745">
        <v>154500</v>
      </c>
      <c r="R1997" s="745" t="s">
        <v>4603</v>
      </c>
      <c r="S1997" s="819">
        <v>45240</v>
      </c>
      <c r="T1997" s="745">
        <v>154500</v>
      </c>
      <c r="U1997" s="819">
        <v>45240</v>
      </c>
      <c r="V1997" s="745">
        <v>154500</v>
      </c>
      <c r="W1997" s="4360">
        <v>45297</v>
      </c>
      <c r="X1997" s="745">
        <v>154500</v>
      </c>
      <c r="Y1997" s="819">
        <v>45350</v>
      </c>
      <c r="Z1997" s="745"/>
      <c r="AA1997" s="918"/>
      <c r="AB1997" s="919"/>
      <c r="AC1997" s="919"/>
      <c r="AD1997" s="741"/>
      <c r="AE1997" s="741"/>
      <c r="AF1997" s="741"/>
      <c r="AG1997" s="741"/>
      <c r="AH1997" s="638"/>
      <c r="AI1997" s="741"/>
    </row>
    <row r="1998" s="1" customFormat="1" ht="76" spans="1:35">
      <c r="A1998" s="683"/>
      <c r="B1998" s="4319"/>
      <c r="C1998" s="683"/>
      <c r="D1998" s="683"/>
      <c r="E1998" s="683"/>
      <c r="F1998" s="683"/>
      <c r="G1998" s="683"/>
      <c r="H1998" s="683"/>
      <c r="I1998" s="683"/>
      <c r="J1998" s="683"/>
      <c r="K1998" s="4375"/>
      <c r="L1998" s="683"/>
      <c r="M1998" s="636"/>
      <c r="N1998" s="636" t="s">
        <v>5064</v>
      </c>
      <c r="O1998" s="636" t="s">
        <v>7142</v>
      </c>
      <c r="P1998" s="4353">
        <f>1030000*0.15</f>
        <v>154500</v>
      </c>
      <c r="Q1998" s="745">
        <v>154500</v>
      </c>
      <c r="R1998" s="745" t="s">
        <v>4603</v>
      </c>
      <c r="S1998" s="819">
        <v>45240</v>
      </c>
      <c r="T1998" s="745">
        <v>154500</v>
      </c>
      <c r="U1998" s="819">
        <v>45240</v>
      </c>
      <c r="V1998" s="745">
        <v>154500</v>
      </c>
      <c r="W1998" s="4360">
        <v>45297</v>
      </c>
      <c r="X1998" s="745">
        <v>154500</v>
      </c>
      <c r="Y1998" s="819">
        <v>45350</v>
      </c>
      <c r="Z1998" s="745"/>
      <c r="AA1998" s="918"/>
      <c r="AB1998" s="919"/>
      <c r="AC1998" s="919"/>
      <c r="AD1998" s="741"/>
      <c r="AE1998" s="741"/>
      <c r="AF1998" s="741"/>
      <c r="AG1998" s="741"/>
      <c r="AH1998" s="638"/>
      <c r="AI1998" s="741"/>
    </row>
    <row r="1999" s="1" customFormat="1" ht="76" spans="1:35">
      <c r="A1999" s="683"/>
      <c r="B1999" s="4319"/>
      <c r="C1999" s="683"/>
      <c r="D1999" s="683"/>
      <c r="E1999" s="683"/>
      <c r="F1999" s="683"/>
      <c r="G1999" s="683"/>
      <c r="H1999" s="683"/>
      <c r="I1999" s="683"/>
      <c r="J1999" s="683"/>
      <c r="K1999" s="4375"/>
      <c r="L1999" s="683"/>
      <c r="M1999" s="636"/>
      <c r="N1999" s="636" t="s">
        <v>5068</v>
      </c>
      <c r="O1999" s="636" t="s">
        <v>7143</v>
      </c>
      <c r="P1999" s="4353">
        <f t="shared" ref="P1999:P2001" si="58">1030000*0.2</f>
        <v>206000</v>
      </c>
      <c r="Q1999" s="745">
        <v>206000</v>
      </c>
      <c r="R1999" s="745" t="s">
        <v>4603</v>
      </c>
      <c r="S1999" s="819">
        <v>45240</v>
      </c>
      <c r="T1999" s="745">
        <v>206000</v>
      </c>
      <c r="U1999" s="819">
        <v>45240</v>
      </c>
      <c r="V1999" s="745">
        <v>206000</v>
      </c>
      <c r="W1999" s="4360">
        <v>45297</v>
      </c>
      <c r="X1999" s="745">
        <v>206000</v>
      </c>
      <c r="Y1999" s="819">
        <v>45350</v>
      </c>
      <c r="Z1999" s="745"/>
      <c r="AA1999" s="918"/>
      <c r="AB1999" s="919"/>
      <c r="AC1999" s="919"/>
      <c r="AD1999" s="741"/>
      <c r="AE1999" s="741"/>
      <c r="AF1999" s="741"/>
      <c r="AG1999" s="741"/>
      <c r="AH1999" s="638"/>
      <c r="AI1999" s="741"/>
    </row>
    <row r="2000" s="1" customFormat="1" ht="76" spans="1:35">
      <c r="A2000" s="683"/>
      <c r="B2000" s="4319"/>
      <c r="C2000" s="683"/>
      <c r="D2000" s="683"/>
      <c r="E2000" s="683"/>
      <c r="F2000" s="683"/>
      <c r="G2000" s="683"/>
      <c r="H2000" s="683"/>
      <c r="I2000" s="683"/>
      <c r="J2000" s="683"/>
      <c r="K2000" s="4375"/>
      <c r="L2000" s="683"/>
      <c r="M2000" s="636"/>
      <c r="N2000" s="636" t="s">
        <v>5065</v>
      </c>
      <c r="O2000" s="636" t="s">
        <v>7144</v>
      </c>
      <c r="P2000" s="4353">
        <f t="shared" si="58"/>
        <v>206000</v>
      </c>
      <c r="Q2000" s="745">
        <v>206000</v>
      </c>
      <c r="R2000" s="745" t="s">
        <v>4603</v>
      </c>
      <c r="S2000" s="819">
        <v>45240</v>
      </c>
      <c r="T2000" s="745">
        <v>206000</v>
      </c>
      <c r="U2000" s="819">
        <v>45240</v>
      </c>
      <c r="V2000" s="741"/>
      <c r="W2000" s="4360"/>
      <c r="X2000" s="821">
        <f>Q2000</f>
        <v>206000</v>
      </c>
      <c r="Y2000" s="822">
        <v>46021</v>
      </c>
      <c r="Z2000" s="745"/>
      <c r="AA2000" s="918"/>
      <c r="AB2000" s="919"/>
      <c r="AC2000" s="919"/>
      <c r="AD2000" s="741"/>
      <c r="AE2000" s="741"/>
      <c r="AF2000" s="741"/>
      <c r="AG2000" s="741"/>
      <c r="AH2000" s="638"/>
      <c r="AI2000" s="741"/>
    </row>
    <row r="2001" s="1" customFormat="1" ht="92" spans="1:35">
      <c r="A2001" s="683"/>
      <c r="B2001" s="4319"/>
      <c r="C2001" s="683"/>
      <c r="D2001" s="683"/>
      <c r="E2001" s="683"/>
      <c r="F2001" s="683"/>
      <c r="G2001" s="683"/>
      <c r="H2001" s="683"/>
      <c r="I2001" s="683"/>
      <c r="J2001" s="683"/>
      <c r="K2001" s="4375"/>
      <c r="L2001" s="683"/>
      <c r="M2001" s="636"/>
      <c r="N2001" s="636" t="s">
        <v>5070</v>
      </c>
      <c r="O2001" s="636" t="s">
        <v>7145</v>
      </c>
      <c r="P2001" s="4353">
        <f>1030000*0.05</f>
        <v>51500</v>
      </c>
      <c r="Q2001" s="4361">
        <f>1030000*0.05</f>
        <v>51500</v>
      </c>
      <c r="R2001" s="821" t="s">
        <v>5015</v>
      </c>
      <c r="S2001" s="822">
        <v>46021</v>
      </c>
      <c r="T2001" s="745"/>
      <c r="U2001" s="819"/>
      <c r="V2001" s="741"/>
      <c r="W2001" s="4360"/>
      <c r="X2001" s="821">
        <f>Q2001</f>
        <v>51500</v>
      </c>
      <c r="Y2001" s="822">
        <v>46021</v>
      </c>
      <c r="Z2001" s="745"/>
      <c r="AA2001" s="918"/>
      <c r="AB2001" s="919"/>
      <c r="AC2001" s="919"/>
      <c r="AD2001" s="741"/>
      <c r="AE2001" s="741"/>
      <c r="AF2001" s="741"/>
      <c r="AG2001" s="741"/>
      <c r="AH2001" s="638"/>
      <c r="AI2001" s="741"/>
    </row>
    <row r="2002" s="1" customFormat="1" ht="92" spans="1:35">
      <c r="A2002" s="683"/>
      <c r="B2002" s="4319"/>
      <c r="C2002" s="683"/>
      <c r="D2002" s="683"/>
      <c r="E2002" s="683"/>
      <c r="F2002" s="683"/>
      <c r="G2002" s="683"/>
      <c r="H2002" s="683"/>
      <c r="I2002" s="683"/>
      <c r="J2002" s="683"/>
      <c r="K2002" s="4375"/>
      <c r="L2002" s="683"/>
      <c r="M2002" s="636" t="s">
        <v>7133</v>
      </c>
      <c r="N2002" s="636" t="s">
        <v>5071</v>
      </c>
      <c r="O2002" s="636" t="s">
        <v>7146</v>
      </c>
      <c r="P2002" s="4353">
        <f>1300000*0.9-SUM(P1993:P2001)</f>
        <v>51500</v>
      </c>
      <c r="Q2002" s="4361">
        <f>1300000*0.9-SUM(Q1993:Q2001)</f>
        <v>51500</v>
      </c>
      <c r="R2002" s="821" t="s">
        <v>5015</v>
      </c>
      <c r="S2002" s="822">
        <v>46386</v>
      </c>
      <c r="T2002" s="745"/>
      <c r="U2002" s="819"/>
      <c r="V2002" s="741"/>
      <c r="W2002" s="4360"/>
      <c r="X2002" s="821"/>
      <c r="Y2002" s="822"/>
      <c r="Z2002" s="745"/>
      <c r="AA2002" s="918"/>
      <c r="AB2002" s="919"/>
      <c r="AC2002" s="919"/>
      <c r="AD2002" s="741"/>
      <c r="AE2002" s="741"/>
      <c r="AF2002" s="741"/>
      <c r="AG2002" s="741"/>
      <c r="AH2002" s="638"/>
      <c r="AI2002" s="741"/>
    </row>
    <row r="2003" s="1" customFormat="1" ht="76" spans="1:35">
      <c r="A2003" s="2895"/>
      <c r="B2003" s="4372"/>
      <c r="C2003" s="2895"/>
      <c r="D2003" s="2895"/>
      <c r="E2003" s="2895"/>
      <c r="F2003" s="2895"/>
      <c r="G2003" s="2895"/>
      <c r="H2003" s="2895"/>
      <c r="I2003" s="2895"/>
      <c r="J2003" s="2895"/>
      <c r="K2003" s="4376"/>
      <c r="L2003" s="2895"/>
      <c r="M2003" s="636" t="s">
        <v>4360</v>
      </c>
      <c r="N2003" s="636" t="s">
        <v>3347</v>
      </c>
      <c r="O2003" s="636" t="s">
        <v>7147</v>
      </c>
      <c r="P2003" s="4353">
        <f>1300000-SUM(P1993:P2002)</f>
        <v>130000</v>
      </c>
      <c r="Q2003" s="4361">
        <f>1300000-SUM(Q1993:Q2002)</f>
        <v>130000</v>
      </c>
      <c r="R2003" s="821" t="s">
        <v>349</v>
      </c>
      <c r="S2003" s="822">
        <v>46386</v>
      </c>
      <c r="T2003" s="745"/>
      <c r="U2003" s="819"/>
      <c r="V2003" s="741"/>
      <c r="W2003" s="4360"/>
      <c r="X2003" s="745"/>
      <c r="Y2003" s="819"/>
      <c r="Z2003" s="745"/>
      <c r="AA2003" s="918"/>
      <c r="AB2003" s="919"/>
      <c r="AC2003" s="919"/>
      <c r="AD2003" s="741"/>
      <c r="AE2003" s="741"/>
      <c r="AF2003" s="741"/>
      <c r="AG2003" s="741"/>
      <c r="AH2003" s="638"/>
      <c r="AI2003" s="741"/>
    </row>
    <row r="2004" s="1" customFormat="1" ht="76" spans="1:35">
      <c r="A2004" s="636" t="s">
        <v>2570</v>
      </c>
      <c r="B2004" s="4318">
        <v>45210</v>
      </c>
      <c r="C2004" s="636" t="s">
        <v>7088</v>
      </c>
      <c r="D2004" s="636" t="s">
        <v>171</v>
      </c>
      <c r="E2004" s="636" t="s">
        <v>7148</v>
      </c>
      <c r="F2004" s="639" t="s">
        <v>7149</v>
      </c>
      <c r="G2004" s="639" t="s">
        <v>3579</v>
      </c>
      <c r="H2004" s="636" t="s">
        <v>5607</v>
      </c>
      <c r="I2004" s="636"/>
      <c r="J2004" s="636" t="s">
        <v>997</v>
      </c>
      <c r="K2004" s="4377">
        <v>250000</v>
      </c>
      <c r="L2004" s="636" t="s">
        <v>126</v>
      </c>
      <c r="M2004" s="636" t="s">
        <v>7150</v>
      </c>
      <c r="N2004" s="636" t="s">
        <v>7151</v>
      </c>
      <c r="O2004" s="636" t="s">
        <v>7152</v>
      </c>
      <c r="P2004" s="744">
        <f t="shared" ref="P2004:P2008" si="59">250000*0.1</f>
        <v>25000</v>
      </c>
      <c r="Q2004" s="745">
        <v>25000</v>
      </c>
      <c r="R2004" s="745" t="s">
        <v>4603</v>
      </c>
      <c r="S2004" s="819">
        <v>45240</v>
      </c>
      <c r="T2004" s="745">
        <v>25000</v>
      </c>
      <c r="U2004" s="819">
        <v>45240</v>
      </c>
      <c r="V2004" s="745">
        <v>25000</v>
      </c>
      <c r="W2004" s="4360">
        <v>45250</v>
      </c>
      <c r="X2004" s="745">
        <v>25000</v>
      </c>
      <c r="Y2004" s="819">
        <v>45273</v>
      </c>
      <c r="Z2004" s="745"/>
      <c r="AA2004" s="918"/>
      <c r="AB2004" s="919"/>
      <c r="AC2004" s="919"/>
      <c r="AD2004" s="961"/>
      <c r="AE2004" s="961"/>
      <c r="AF2004" s="961"/>
      <c r="AG2004" s="961"/>
      <c r="AH2004" s="682"/>
      <c r="AI2004" s="961"/>
    </row>
    <row r="2005" s="1" customFormat="1" ht="76" spans="1:35">
      <c r="A2005" s="636"/>
      <c r="B2005" s="4319"/>
      <c r="C2005" s="636"/>
      <c r="D2005" s="636"/>
      <c r="E2005" s="636"/>
      <c r="F2005" s="683"/>
      <c r="G2005" s="683"/>
      <c r="H2005" s="636"/>
      <c r="I2005" s="636"/>
      <c r="J2005" s="636"/>
      <c r="K2005" s="4377"/>
      <c r="L2005" s="636"/>
      <c r="M2005" s="636"/>
      <c r="N2005" s="636" t="s">
        <v>5064</v>
      </c>
      <c r="O2005" s="636" t="s">
        <v>7153</v>
      </c>
      <c r="P2005" s="744">
        <f t="shared" ref="P2005:P2007" si="60">250000*0.4</f>
        <v>100000</v>
      </c>
      <c r="Q2005" s="745">
        <v>100000</v>
      </c>
      <c r="R2005" s="745" t="s">
        <v>4603</v>
      </c>
      <c r="S2005" s="819">
        <v>45240</v>
      </c>
      <c r="T2005" s="745">
        <v>100000</v>
      </c>
      <c r="U2005" s="819">
        <v>45240</v>
      </c>
      <c r="V2005" s="745">
        <v>100000</v>
      </c>
      <c r="W2005" s="4360">
        <v>45250</v>
      </c>
      <c r="X2005" s="745">
        <v>100000</v>
      </c>
      <c r="Y2005" s="819">
        <v>45273</v>
      </c>
      <c r="Z2005" s="745"/>
      <c r="AA2005" s="918"/>
      <c r="AB2005" s="919"/>
      <c r="AC2005" s="919"/>
      <c r="AD2005" s="961"/>
      <c r="AE2005" s="961"/>
      <c r="AF2005" s="961"/>
      <c r="AG2005" s="961"/>
      <c r="AH2005" s="682"/>
      <c r="AI2005" s="961"/>
    </row>
    <row r="2006" s="1" customFormat="1" ht="76" spans="1:35">
      <c r="A2006" s="636"/>
      <c r="B2006" s="4319"/>
      <c r="C2006" s="636"/>
      <c r="D2006" s="636"/>
      <c r="E2006" s="636"/>
      <c r="F2006" s="683"/>
      <c r="G2006" s="683"/>
      <c r="H2006" s="636"/>
      <c r="I2006" s="636"/>
      <c r="J2006" s="636"/>
      <c r="K2006" s="4377"/>
      <c r="L2006" s="636"/>
      <c r="M2006" s="636"/>
      <c r="N2006" s="636" t="s">
        <v>5065</v>
      </c>
      <c r="O2006" s="636" t="s">
        <v>7154</v>
      </c>
      <c r="P2006" s="744">
        <f>250000*0.3</f>
        <v>75000</v>
      </c>
      <c r="Q2006" s="745">
        <v>75000</v>
      </c>
      <c r="R2006" s="745" t="s">
        <v>4603</v>
      </c>
      <c r="S2006" s="819">
        <v>45267</v>
      </c>
      <c r="T2006" s="745">
        <v>75000</v>
      </c>
      <c r="U2006" s="819">
        <v>45267</v>
      </c>
      <c r="V2006" s="745">
        <v>75000</v>
      </c>
      <c r="W2006" s="4360">
        <v>45294</v>
      </c>
      <c r="X2006" s="745">
        <v>75000</v>
      </c>
      <c r="Y2006" s="819">
        <v>45309</v>
      </c>
      <c r="Z2006" s="745"/>
      <c r="AA2006" s="918"/>
      <c r="AB2006" s="919"/>
      <c r="AC2006" s="919"/>
      <c r="AD2006" s="961"/>
      <c r="AE2006" s="961"/>
      <c r="AF2006" s="961"/>
      <c r="AG2006" s="961"/>
      <c r="AH2006" s="682"/>
      <c r="AI2006" s="961"/>
    </row>
    <row r="2007" s="1" customFormat="1" ht="76" spans="1:35">
      <c r="A2007" s="636"/>
      <c r="B2007" s="4319"/>
      <c r="C2007" s="636"/>
      <c r="D2007" s="636"/>
      <c r="E2007" s="636"/>
      <c r="F2007" s="683"/>
      <c r="G2007" s="683"/>
      <c r="H2007" s="636"/>
      <c r="I2007" s="636"/>
      <c r="J2007" s="636"/>
      <c r="K2007" s="4377"/>
      <c r="L2007" s="636"/>
      <c r="M2007" s="636"/>
      <c r="N2007" s="636" t="s">
        <v>5066</v>
      </c>
      <c r="O2007" s="636" t="s">
        <v>7155</v>
      </c>
      <c r="P2007" s="744">
        <f t="shared" si="59"/>
        <v>25000</v>
      </c>
      <c r="Q2007" s="818">
        <f>250000*0.1</f>
        <v>25000</v>
      </c>
      <c r="R2007" s="745" t="s">
        <v>4603</v>
      </c>
      <c r="S2007" s="819">
        <v>45632</v>
      </c>
      <c r="T2007" s="818">
        <v>25000</v>
      </c>
      <c r="U2007" s="819">
        <v>45632</v>
      </c>
      <c r="V2007" s="741"/>
      <c r="W2007" s="4360"/>
      <c r="X2007" s="821">
        <f>Q2007</f>
        <v>25000</v>
      </c>
      <c r="Y2007" s="822">
        <v>46111</v>
      </c>
      <c r="Z2007" s="745"/>
      <c r="AA2007" s="918" t="s">
        <v>7156</v>
      </c>
      <c r="AB2007" s="919"/>
      <c r="AC2007" s="919"/>
      <c r="AD2007" s="961"/>
      <c r="AE2007" s="961"/>
      <c r="AF2007" s="961"/>
      <c r="AG2007" s="961"/>
      <c r="AH2007" s="682"/>
      <c r="AI2007" s="961"/>
    </row>
    <row r="2008" s="1" customFormat="1" ht="76" spans="1:35">
      <c r="A2008" s="636"/>
      <c r="B2008" s="4372"/>
      <c r="C2008" s="636"/>
      <c r="D2008" s="636"/>
      <c r="E2008" s="636"/>
      <c r="F2008" s="2895"/>
      <c r="G2008" s="2895"/>
      <c r="H2008" s="636"/>
      <c r="I2008" s="636"/>
      <c r="J2008" s="636"/>
      <c r="K2008" s="4377"/>
      <c r="L2008" s="636"/>
      <c r="M2008" s="745" t="s">
        <v>4360</v>
      </c>
      <c r="N2008" s="636" t="s">
        <v>3347</v>
      </c>
      <c r="O2008" s="636" t="s">
        <v>7157</v>
      </c>
      <c r="P2008" s="744">
        <f t="shared" si="59"/>
        <v>25000</v>
      </c>
      <c r="Q2008" s="4361">
        <f>250000*0.1</f>
        <v>25000</v>
      </c>
      <c r="R2008" s="821" t="s">
        <v>349</v>
      </c>
      <c r="S2008" s="822"/>
      <c r="T2008" s="745"/>
      <c r="U2008" s="819"/>
      <c r="V2008" s="741"/>
      <c r="W2008" s="4360"/>
      <c r="X2008" s="745"/>
      <c r="Y2008" s="819"/>
      <c r="Z2008" s="745"/>
      <c r="AA2008" s="918"/>
      <c r="AB2008" s="919"/>
      <c r="AC2008" s="919"/>
      <c r="AD2008" s="961"/>
      <c r="AE2008" s="961"/>
      <c r="AF2008" s="961"/>
      <c r="AG2008" s="961"/>
      <c r="AH2008" s="682"/>
      <c r="AI2008" s="961"/>
    </row>
    <row r="2009" s="16" customFormat="1" ht="46.25" customHeight="1" spans="1:35">
      <c r="A2009" s="728" t="s">
        <v>2570</v>
      </c>
      <c r="B2009" s="3134">
        <v>45660</v>
      </c>
      <c r="C2009" s="728" t="s">
        <v>7088</v>
      </c>
      <c r="D2009" s="636"/>
      <c r="E2009" s="728" t="s">
        <v>7158</v>
      </c>
      <c r="F2009" s="689" t="s">
        <v>7159</v>
      </c>
      <c r="G2009" s="689" t="s">
        <v>7160</v>
      </c>
      <c r="H2009" s="728" t="s">
        <v>6057</v>
      </c>
      <c r="I2009" s="728"/>
      <c r="J2009" s="728" t="s">
        <v>997</v>
      </c>
      <c r="K2009" s="4378">
        <v>320000</v>
      </c>
      <c r="L2009" s="728" t="s">
        <v>126</v>
      </c>
      <c r="M2009" s="393"/>
      <c r="N2009" s="418" t="s">
        <v>7161</v>
      </c>
      <c r="O2009" s="418" t="s">
        <v>7162</v>
      </c>
      <c r="P2009" s="482">
        <v>64000</v>
      </c>
      <c r="Q2009" s="4387">
        <v>64000</v>
      </c>
      <c r="R2009" s="4387" t="s">
        <v>4603</v>
      </c>
      <c r="S2009" s="1634">
        <v>45764</v>
      </c>
      <c r="T2009" s="393">
        <v>64000</v>
      </c>
      <c r="U2009" s="517">
        <v>45764</v>
      </c>
      <c r="V2009" s="393">
        <v>64000</v>
      </c>
      <c r="W2009" s="568">
        <v>45765</v>
      </c>
      <c r="X2009" s="4387">
        <v>64000</v>
      </c>
      <c r="Y2009" s="517">
        <v>45776</v>
      </c>
      <c r="Z2009" s="393"/>
      <c r="AA2009" s="600"/>
      <c r="AB2009" s="601"/>
      <c r="AC2009" s="601"/>
      <c r="AD2009" s="612"/>
      <c r="AE2009" s="612"/>
      <c r="AF2009" s="612"/>
      <c r="AG2009" s="612"/>
      <c r="AH2009" s="617"/>
      <c r="AI2009" s="612"/>
    </row>
    <row r="2010" s="16" customFormat="1" ht="46.25" customHeight="1" spans="1:35">
      <c r="A2010" s="689"/>
      <c r="B2010" s="3134"/>
      <c r="C2010" s="689"/>
      <c r="D2010" s="636"/>
      <c r="E2010" s="689"/>
      <c r="F2010" s="689"/>
      <c r="G2010" s="689"/>
      <c r="H2010" s="689"/>
      <c r="I2010" s="689"/>
      <c r="J2010" s="689"/>
      <c r="K2010" s="4379"/>
      <c r="L2010" s="689"/>
      <c r="M2010" s="393"/>
      <c r="N2010" s="418" t="s">
        <v>7163</v>
      </c>
      <c r="O2010" s="418" t="s">
        <v>7164</v>
      </c>
      <c r="P2010" s="482">
        <v>224000</v>
      </c>
      <c r="Q2010" s="4387">
        <v>224000</v>
      </c>
      <c r="R2010" s="4387" t="s">
        <v>4603</v>
      </c>
      <c r="S2010" s="1634">
        <v>45764</v>
      </c>
      <c r="T2010" s="393">
        <v>224000</v>
      </c>
      <c r="U2010" s="517">
        <v>45764</v>
      </c>
      <c r="V2010" s="393">
        <v>224000</v>
      </c>
      <c r="W2010" s="568">
        <v>45765</v>
      </c>
      <c r="X2010" s="4387">
        <v>224000</v>
      </c>
      <c r="Y2010" s="517">
        <v>45776</v>
      </c>
      <c r="Z2010" s="393"/>
      <c r="AA2010" s="600"/>
      <c r="AB2010" s="601"/>
      <c r="AC2010" s="601"/>
      <c r="AD2010" s="612"/>
      <c r="AE2010" s="612"/>
      <c r="AF2010" s="612"/>
      <c r="AG2010" s="612"/>
      <c r="AH2010" s="617"/>
      <c r="AI2010" s="612"/>
    </row>
    <row r="2011" s="16" customFormat="1" ht="46.25" customHeight="1" spans="1:35">
      <c r="A2011" s="691"/>
      <c r="B2011" s="3134"/>
      <c r="C2011" s="691"/>
      <c r="D2011" s="636"/>
      <c r="E2011" s="691"/>
      <c r="F2011" s="691"/>
      <c r="G2011" s="691"/>
      <c r="H2011" s="691"/>
      <c r="I2011" s="691"/>
      <c r="J2011" s="691"/>
      <c r="K2011" s="4380"/>
      <c r="L2011" s="691"/>
      <c r="M2011" s="393"/>
      <c r="N2011" s="418" t="s">
        <v>7165</v>
      </c>
      <c r="O2011" s="418" t="s">
        <v>7166</v>
      </c>
      <c r="P2011" s="482">
        <v>32000</v>
      </c>
      <c r="Q2011" s="519">
        <v>32000</v>
      </c>
      <c r="R2011" s="519" t="s">
        <v>349</v>
      </c>
      <c r="S2011" s="520">
        <v>46386</v>
      </c>
      <c r="T2011" s="393"/>
      <c r="U2011" s="517"/>
      <c r="V2011" s="419"/>
      <c r="W2011" s="567"/>
      <c r="X2011" s="519"/>
      <c r="Y2011" s="520"/>
      <c r="Z2011" s="393"/>
      <c r="AA2011" s="600"/>
      <c r="AB2011" s="601"/>
      <c r="AC2011" s="601"/>
      <c r="AD2011" s="612"/>
      <c r="AE2011" s="612"/>
      <c r="AF2011" s="612"/>
      <c r="AG2011" s="612"/>
      <c r="AH2011" s="617"/>
      <c r="AI2011" s="612"/>
    </row>
    <row r="2012" s="1" customFormat="1" ht="92" spans="1:35">
      <c r="A2012" s="636" t="s">
        <v>2570</v>
      </c>
      <c r="B2012" s="4318">
        <v>45199</v>
      </c>
      <c r="C2012" s="636" t="s">
        <v>7088</v>
      </c>
      <c r="D2012" s="636" t="s">
        <v>171</v>
      </c>
      <c r="E2012" s="636" t="s">
        <v>7167</v>
      </c>
      <c r="F2012" s="636" t="s">
        <v>7168</v>
      </c>
      <c r="G2012" s="636" t="s">
        <v>5718</v>
      </c>
      <c r="H2012" s="636" t="s">
        <v>5074</v>
      </c>
      <c r="I2012" s="636"/>
      <c r="J2012" s="636" t="s">
        <v>997</v>
      </c>
      <c r="K2012" s="4377">
        <v>1400000</v>
      </c>
      <c r="L2012" s="636" t="s">
        <v>126</v>
      </c>
      <c r="M2012" s="636">
        <v>1</v>
      </c>
      <c r="N2012" s="636" t="s">
        <v>5513</v>
      </c>
      <c r="O2012" s="636" t="s">
        <v>7169</v>
      </c>
      <c r="P2012" s="744">
        <f>1400000*0.15</f>
        <v>210000</v>
      </c>
      <c r="Q2012" s="745">
        <v>210000</v>
      </c>
      <c r="R2012" s="745" t="s">
        <v>4603</v>
      </c>
      <c r="S2012" s="819">
        <v>45240</v>
      </c>
      <c r="T2012" s="745">
        <v>210000</v>
      </c>
      <c r="U2012" s="819">
        <v>45240</v>
      </c>
      <c r="V2012" s="745">
        <v>210000</v>
      </c>
      <c r="W2012" s="4360">
        <v>45267</v>
      </c>
      <c r="X2012" s="745">
        <v>210000</v>
      </c>
      <c r="Y2012" s="819">
        <v>45273</v>
      </c>
      <c r="Z2012" s="745"/>
      <c r="AA2012" s="918"/>
      <c r="AB2012" s="919"/>
      <c r="AC2012" s="919"/>
      <c r="AD2012" s="961"/>
      <c r="AE2012" s="961"/>
      <c r="AF2012" s="961"/>
      <c r="AG2012" s="961"/>
      <c r="AH2012" s="682"/>
      <c r="AI2012" s="961"/>
    </row>
    <row r="2013" s="1" customFormat="1" ht="92" spans="1:35">
      <c r="A2013" s="636"/>
      <c r="B2013" s="4319"/>
      <c r="C2013" s="636"/>
      <c r="D2013" s="636"/>
      <c r="E2013" s="636"/>
      <c r="F2013" s="636"/>
      <c r="G2013" s="636"/>
      <c r="H2013" s="636"/>
      <c r="I2013" s="636"/>
      <c r="J2013" s="636"/>
      <c r="K2013" s="4377"/>
      <c r="L2013" s="636"/>
      <c r="M2013" s="636">
        <v>2</v>
      </c>
      <c r="N2013" s="636" t="s">
        <v>5514</v>
      </c>
      <c r="O2013" s="636" t="s">
        <v>7170</v>
      </c>
      <c r="P2013" s="744">
        <f>1400000*0.25</f>
        <v>350000</v>
      </c>
      <c r="Q2013" s="745">
        <v>350000</v>
      </c>
      <c r="R2013" s="745" t="s">
        <v>4603</v>
      </c>
      <c r="S2013" s="819">
        <v>45240</v>
      </c>
      <c r="T2013" s="745">
        <v>350000</v>
      </c>
      <c r="U2013" s="819">
        <v>45240</v>
      </c>
      <c r="V2013" s="745">
        <v>350000</v>
      </c>
      <c r="W2013" s="4360">
        <v>45267</v>
      </c>
      <c r="X2013" s="745">
        <v>350000</v>
      </c>
      <c r="Y2013" s="819">
        <v>45273</v>
      </c>
      <c r="Z2013" s="745"/>
      <c r="AA2013" s="918"/>
      <c r="AB2013" s="919"/>
      <c r="AC2013" s="919"/>
      <c r="AD2013" s="961"/>
      <c r="AE2013" s="961"/>
      <c r="AF2013" s="961"/>
      <c r="AG2013" s="961"/>
      <c r="AH2013" s="682"/>
      <c r="AI2013" s="961"/>
    </row>
    <row r="2014" s="1" customFormat="1" ht="92" spans="1:35">
      <c r="A2014" s="636"/>
      <c r="B2014" s="4319"/>
      <c r="C2014" s="636"/>
      <c r="D2014" s="636"/>
      <c r="E2014" s="636"/>
      <c r="F2014" s="636"/>
      <c r="G2014" s="636"/>
      <c r="H2014" s="636"/>
      <c r="I2014" s="636"/>
      <c r="J2014" s="636"/>
      <c r="K2014" s="4377"/>
      <c r="L2014" s="636"/>
      <c r="M2014" s="636">
        <v>3</v>
      </c>
      <c r="N2014" s="636" t="s">
        <v>5515</v>
      </c>
      <c r="O2014" s="636" t="s">
        <v>7171</v>
      </c>
      <c r="P2014" s="744">
        <f>1400000*0.1</f>
        <v>140000</v>
      </c>
      <c r="Q2014" s="745">
        <v>140000</v>
      </c>
      <c r="R2014" s="745" t="s">
        <v>4603</v>
      </c>
      <c r="S2014" s="819">
        <v>45240</v>
      </c>
      <c r="T2014" s="745">
        <v>140000</v>
      </c>
      <c r="U2014" s="819">
        <v>45240</v>
      </c>
      <c r="V2014" s="745">
        <v>140000</v>
      </c>
      <c r="W2014" s="4360">
        <v>45267</v>
      </c>
      <c r="X2014" s="745">
        <v>140000</v>
      </c>
      <c r="Y2014" s="819">
        <v>45273</v>
      </c>
      <c r="Z2014" s="745"/>
      <c r="AA2014" s="918"/>
      <c r="AB2014" s="919"/>
      <c r="AC2014" s="919"/>
      <c r="AD2014" s="961"/>
      <c r="AE2014" s="961"/>
      <c r="AF2014" s="961"/>
      <c r="AG2014" s="961"/>
      <c r="AH2014" s="682"/>
      <c r="AI2014" s="961"/>
    </row>
    <row r="2015" s="1" customFormat="1" spans="1:35">
      <c r="A2015" s="636"/>
      <c r="B2015" s="4319"/>
      <c r="C2015" s="636"/>
      <c r="D2015" s="636"/>
      <c r="E2015" s="636"/>
      <c r="F2015" s="636"/>
      <c r="G2015" s="636"/>
      <c r="H2015" s="636"/>
      <c r="I2015" s="636"/>
      <c r="J2015" s="636"/>
      <c r="K2015" s="4377"/>
      <c r="L2015" s="636"/>
      <c r="M2015" s="639">
        <v>4</v>
      </c>
      <c r="N2015" s="639" t="s">
        <v>5516</v>
      </c>
      <c r="O2015" s="639" t="s">
        <v>7172</v>
      </c>
      <c r="P2015" s="4344">
        <f>1400000*0.3</f>
        <v>420000</v>
      </c>
      <c r="Q2015" s="926">
        <v>420000</v>
      </c>
      <c r="R2015" s="926" t="s">
        <v>4603</v>
      </c>
      <c r="S2015" s="3419">
        <v>45240</v>
      </c>
      <c r="T2015" s="926">
        <v>420000</v>
      </c>
      <c r="U2015" s="3419">
        <v>45240</v>
      </c>
      <c r="V2015" s="745">
        <v>210000</v>
      </c>
      <c r="W2015" s="4360">
        <v>45880</v>
      </c>
      <c r="X2015" s="745">
        <v>210000</v>
      </c>
      <c r="Y2015" s="819">
        <v>45896</v>
      </c>
      <c r="Z2015" s="745"/>
      <c r="AA2015" s="918"/>
      <c r="AB2015" s="919"/>
      <c r="AC2015" s="919"/>
      <c r="AD2015" s="961"/>
      <c r="AE2015" s="961"/>
      <c r="AF2015" s="961"/>
      <c r="AG2015" s="961"/>
      <c r="AH2015" s="682"/>
      <c r="AI2015" s="961"/>
    </row>
    <row r="2016" s="1" customFormat="1" spans="1:35">
      <c r="A2016" s="636"/>
      <c r="B2016" s="4319"/>
      <c r="C2016" s="636"/>
      <c r="D2016" s="636"/>
      <c r="E2016" s="636"/>
      <c r="F2016" s="636"/>
      <c r="G2016" s="636"/>
      <c r="H2016" s="636"/>
      <c r="I2016" s="636"/>
      <c r="J2016" s="636"/>
      <c r="K2016" s="4377"/>
      <c r="L2016" s="636"/>
      <c r="M2016" s="2895"/>
      <c r="N2016" s="2895"/>
      <c r="O2016" s="2895"/>
      <c r="P2016" s="4382"/>
      <c r="Q2016" s="2909"/>
      <c r="R2016" s="2909"/>
      <c r="S2016" s="4388"/>
      <c r="T2016" s="2909"/>
      <c r="U2016" s="4388"/>
      <c r="V2016" s="741"/>
      <c r="W2016" s="4360"/>
      <c r="X2016" s="821">
        <f>Q2015/2</f>
        <v>210000</v>
      </c>
      <c r="Y2016" s="822">
        <v>46021</v>
      </c>
      <c r="Z2016" s="745"/>
      <c r="AA2016" s="918"/>
      <c r="AB2016" s="919"/>
      <c r="AC2016" s="919"/>
      <c r="AD2016" s="961"/>
      <c r="AE2016" s="961"/>
      <c r="AF2016" s="961"/>
      <c r="AG2016" s="961"/>
      <c r="AH2016" s="682"/>
      <c r="AI2016" s="961"/>
    </row>
    <row r="2017" s="1" customFormat="1" ht="76" spans="1:35">
      <c r="A2017" s="636"/>
      <c r="B2017" s="4319"/>
      <c r="C2017" s="636"/>
      <c r="D2017" s="636"/>
      <c r="E2017" s="636"/>
      <c r="F2017" s="636"/>
      <c r="G2017" s="636"/>
      <c r="H2017" s="636"/>
      <c r="I2017" s="636"/>
      <c r="J2017" s="636"/>
      <c r="K2017" s="4377"/>
      <c r="L2017" s="636"/>
      <c r="M2017" s="636">
        <v>5</v>
      </c>
      <c r="N2017" s="636" t="s">
        <v>5517</v>
      </c>
      <c r="O2017" s="636" t="s">
        <v>7173</v>
      </c>
      <c r="P2017" s="744">
        <f t="shared" ref="P2017:P2019" si="61">1400000*0.05</f>
        <v>70000</v>
      </c>
      <c r="Q2017" s="4361">
        <f>1400000*0.05</f>
        <v>70000</v>
      </c>
      <c r="R2017" s="821" t="s">
        <v>5015</v>
      </c>
      <c r="S2017" s="822">
        <v>46052</v>
      </c>
      <c r="T2017" s="745"/>
      <c r="U2017" s="819"/>
      <c r="V2017" s="741"/>
      <c r="W2017" s="4360"/>
      <c r="X2017" s="821">
        <f>Q2017</f>
        <v>70000</v>
      </c>
      <c r="Y2017" s="822">
        <v>46052</v>
      </c>
      <c r="Z2017" s="745"/>
      <c r="AA2017" s="918" t="s">
        <v>7156</v>
      </c>
      <c r="AB2017" s="919"/>
      <c r="AC2017" s="919"/>
      <c r="AD2017" s="961"/>
      <c r="AE2017" s="961"/>
      <c r="AF2017" s="961"/>
      <c r="AG2017" s="961"/>
      <c r="AH2017" s="682"/>
      <c r="AI2017" s="961"/>
    </row>
    <row r="2018" s="1" customFormat="1" ht="76" spans="1:35">
      <c r="A2018" s="636"/>
      <c r="B2018" s="4319"/>
      <c r="C2018" s="636"/>
      <c r="D2018" s="636"/>
      <c r="E2018" s="636"/>
      <c r="F2018" s="636"/>
      <c r="G2018" s="636"/>
      <c r="H2018" s="636"/>
      <c r="I2018" s="636"/>
      <c r="J2018" s="636"/>
      <c r="K2018" s="4377"/>
      <c r="L2018" s="636"/>
      <c r="M2018" s="636">
        <v>6</v>
      </c>
      <c r="N2018" s="636" t="s">
        <v>3634</v>
      </c>
      <c r="O2018" s="636" t="s">
        <v>7174</v>
      </c>
      <c r="P2018" s="744">
        <f t="shared" si="61"/>
        <v>70000</v>
      </c>
      <c r="Q2018" s="821">
        <v>70000</v>
      </c>
      <c r="R2018" s="821" t="s">
        <v>349</v>
      </c>
      <c r="S2018" s="822">
        <v>46386</v>
      </c>
      <c r="T2018" s="745"/>
      <c r="U2018" s="819"/>
      <c r="V2018" s="741"/>
      <c r="W2018" s="4360"/>
      <c r="X2018" s="821"/>
      <c r="Y2018" s="822"/>
      <c r="Z2018" s="745"/>
      <c r="AA2018" s="918"/>
      <c r="AB2018" s="919"/>
      <c r="AC2018" s="919"/>
      <c r="AD2018" s="961"/>
      <c r="AE2018" s="961"/>
      <c r="AF2018" s="961"/>
      <c r="AG2018" s="961"/>
      <c r="AH2018" s="682"/>
      <c r="AI2018" s="961"/>
    </row>
    <row r="2019" s="1" customFormat="1" ht="92" spans="1:35">
      <c r="A2019" s="636"/>
      <c r="B2019" s="4372"/>
      <c r="C2019" s="636"/>
      <c r="D2019" s="636"/>
      <c r="E2019" s="636"/>
      <c r="F2019" s="636"/>
      <c r="G2019" s="636"/>
      <c r="H2019" s="636"/>
      <c r="I2019" s="636"/>
      <c r="J2019" s="636"/>
      <c r="K2019" s="4377"/>
      <c r="L2019" s="636"/>
      <c r="M2019" s="636">
        <v>7</v>
      </c>
      <c r="N2019" s="636" t="s">
        <v>3356</v>
      </c>
      <c r="O2019" s="636" t="s">
        <v>7175</v>
      </c>
      <c r="P2019" s="744">
        <f>1400000*0.1</f>
        <v>140000</v>
      </c>
      <c r="Q2019" s="821">
        <v>140000</v>
      </c>
      <c r="R2019" s="821" t="s">
        <v>349</v>
      </c>
      <c r="S2019" s="822"/>
      <c r="T2019" s="745"/>
      <c r="U2019" s="819"/>
      <c r="V2019" s="741"/>
      <c r="W2019" s="4360"/>
      <c r="X2019" s="745"/>
      <c r="Y2019" s="822"/>
      <c r="Z2019" s="745"/>
      <c r="AA2019" s="918"/>
      <c r="AB2019" s="919"/>
      <c r="AC2019" s="919"/>
      <c r="AD2019" s="961"/>
      <c r="AE2019" s="961"/>
      <c r="AF2019" s="961"/>
      <c r="AG2019" s="961"/>
      <c r="AH2019" s="682"/>
      <c r="AI2019" s="961"/>
    </row>
    <row r="2020" s="1" customFormat="1" ht="63.75" customHeight="1" spans="1:35">
      <c r="A2020" s="639" t="s">
        <v>2570</v>
      </c>
      <c r="B2020" s="4318">
        <v>45245</v>
      </c>
      <c r="C2020" s="639" t="s">
        <v>7088</v>
      </c>
      <c r="D2020" s="639" t="s">
        <v>171</v>
      </c>
      <c r="E2020" s="639" t="s">
        <v>7176</v>
      </c>
      <c r="F2020" s="639" t="s">
        <v>7177</v>
      </c>
      <c r="G2020" s="639" t="s">
        <v>5718</v>
      </c>
      <c r="H2020" s="639" t="s">
        <v>6402</v>
      </c>
      <c r="I2020" s="639" t="s">
        <v>5255</v>
      </c>
      <c r="J2020" s="33"/>
      <c r="K2020" s="639">
        <v>1534182.21</v>
      </c>
      <c r="L2020" s="639" t="s">
        <v>126</v>
      </c>
      <c r="M2020" s="636">
        <v>1</v>
      </c>
      <c r="N2020" s="636" t="s">
        <v>3621</v>
      </c>
      <c r="O2020" s="636" t="s">
        <v>7178</v>
      </c>
      <c r="P2020" s="744">
        <f>K2020*0.15</f>
        <v>230127.3315</v>
      </c>
      <c r="Q2020" s="745">
        <v>230127.33</v>
      </c>
      <c r="R2020" s="745" t="s">
        <v>4603</v>
      </c>
      <c r="S2020" s="819">
        <v>45255</v>
      </c>
      <c r="T2020" s="745">
        <v>230127.33</v>
      </c>
      <c r="U2020" s="819">
        <v>45255</v>
      </c>
      <c r="V2020" s="745">
        <v>230127.33</v>
      </c>
      <c r="W2020" s="4360">
        <v>45267</v>
      </c>
      <c r="X2020" s="745">
        <v>230127.33</v>
      </c>
      <c r="Y2020" s="819">
        <v>45273</v>
      </c>
      <c r="Z2020" s="745"/>
      <c r="AA2020" s="918"/>
      <c r="AB2020" s="919"/>
      <c r="AC2020" s="919"/>
      <c r="AD2020" s="961"/>
      <c r="AE2020" s="961"/>
      <c r="AF2020" s="961"/>
      <c r="AG2020" s="961"/>
      <c r="AH2020" s="682"/>
      <c r="AI2020" s="961"/>
    </row>
    <row r="2021" s="1" customFormat="1" ht="63.75" customHeight="1" spans="1:35">
      <c r="A2021" s="683"/>
      <c r="B2021" s="4319"/>
      <c r="C2021" s="683"/>
      <c r="D2021" s="683"/>
      <c r="E2021" s="683"/>
      <c r="F2021" s="683"/>
      <c r="G2021" s="683"/>
      <c r="H2021" s="683"/>
      <c r="I2021" s="683"/>
      <c r="J2021" s="33"/>
      <c r="K2021" s="683"/>
      <c r="L2021" s="683"/>
      <c r="M2021" s="636">
        <v>2</v>
      </c>
      <c r="N2021" s="636" t="s">
        <v>3625</v>
      </c>
      <c r="O2021" s="636" t="s">
        <v>3626</v>
      </c>
      <c r="P2021" s="744">
        <f>K2020*0.2</f>
        <v>306836.442</v>
      </c>
      <c r="Q2021" s="745">
        <v>306836.44</v>
      </c>
      <c r="R2021" s="745" t="s">
        <v>4603</v>
      </c>
      <c r="S2021" s="819">
        <v>45255</v>
      </c>
      <c r="T2021" s="745">
        <v>306836.44</v>
      </c>
      <c r="U2021" s="819">
        <v>45255</v>
      </c>
      <c r="V2021" s="745">
        <v>306836.44</v>
      </c>
      <c r="W2021" s="4360">
        <v>45267</v>
      </c>
      <c r="X2021" s="745">
        <v>306836.44</v>
      </c>
      <c r="Y2021" s="819">
        <v>45273</v>
      </c>
      <c r="Z2021" s="745"/>
      <c r="AA2021" s="918"/>
      <c r="AB2021" s="919"/>
      <c r="AC2021" s="919"/>
      <c r="AD2021" s="961"/>
      <c r="AE2021" s="961"/>
      <c r="AF2021" s="961"/>
      <c r="AG2021" s="961"/>
      <c r="AH2021" s="682"/>
      <c r="AI2021" s="961"/>
    </row>
    <row r="2022" s="1" customFormat="1" ht="63.75" customHeight="1" spans="1:35">
      <c r="A2022" s="683"/>
      <c r="B2022" s="4319"/>
      <c r="C2022" s="683"/>
      <c r="D2022" s="683"/>
      <c r="E2022" s="683"/>
      <c r="F2022" s="683"/>
      <c r="G2022" s="683"/>
      <c r="H2022" s="683"/>
      <c r="I2022" s="683"/>
      <c r="J2022" s="33"/>
      <c r="K2022" s="683"/>
      <c r="L2022" s="683"/>
      <c r="M2022" s="636">
        <v>3</v>
      </c>
      <c r="N2022" s="636" t="s">
        <v>3627</v>
      </c>
      <c r="O2022" s="636" t="s">
        <v>3628</v>
      </c>
      <c r="P2022" s="744">
        <f>K2020*0.15</f>
        <v>230127.3315</v>
      </c>
      <c r="Q2022" s="745">
        <v>230127.33</v>
      </c>
      <c r="R2022" s="745" t="s">
        <v>4603</v>
      </c>
      <c r="S2022" s="819">
        <v>45255</v>
      </c>
      <c r="T2022" s="745">
        <v>230127.33</v>
      </c>
      <c r="U2022" s="819">
        <v>45255</v>
      </c>
      <c r="V2022" s="741">
        <v>230127.33</v>
      </c>
      <c r="W2022" s="4360">
        <v>45582</v>
      </c>
      <c r="X2022" s="745">
        <v>230127.33</v>
      </c>
      <c r="Y2022" s="819">
        <v>45596</v>
      </c>
      <c r="Z2022" s="745"/>
      <c r="AA2022" s="918"/>
      <c r="AB2022" s="919"/>
      <c r="AC2022" s="919"/>
      <c r="AD2022" s="961"/>
      <c r="AE2022" s="961"/>
      <c r="AF2022" s="961"/>
      <c r="AG2022" s="961"/>
      <c r="AH2022" s="682"/>
      <c r="AI2022" s="961"/>
    </row>
    <row r="2023" s="1" customFormat="1" ht="63.75" customHeight="1" spans="1:35">
      <c r="A2023" s="683"/>
      <c r="B2023" s="4319"/>
      <c r="C2023" s="683"/>
      <c r="D2023" s="683"/>
      <c r="E2023" s="683"/>
      <c r="F2023" s="683"/>
      <c r="G2023" s="683"/>
      <c r="H2023" s="683"/>
      <c r="I2023" s="683"/>
      <c r="J2023" s="33"/>
      <c r="K2023" s="683"/>
      <c r="L2023" s="683"/>
      <c r="M2023" s="639">
        <v>4</v>
      </c>
      <c r="N2023" s="639" t="s">
        <v>3630</v>
      </c>
      <c r="O2023" s="639" t="s">
        <v>3631</v>
      </c>
      <c r="P2023" s="4344">
        <f>K2020*0.3</f>
        <v>460254.663</v>
      </c>
      <c r="Q2023" s="926">
        <v>460254.66</v>
      </c>
      <c r="R2023" s="926" t="s">
        <v>4603</v>
      </c>
      <c r="S2023" s="3419">
        <v>45255</v>
      </c>
      <c r="T2023" s="926">
        <v>460254.66</v>
      </c>
      <c r="U2023" s="3419">
        <v>45255</v>
      </c>
      <c r="V2023" s="741">
        <v>230127.33</v>
      </c>
      <c r="W2023" s="4360">
        <v>45638</v>
      </c>
      <c r="X2023" s="4356">
        <v>230127.33</v>
      </c>
      <c r="Y2023" s="819">
        <v>45714</v>
      </c>
      <c r="Z2023" s="745"/>
      <c r="AA2023" s="918"/>
      <c r="AB2023" s="919"/>
      <c r="AC2023" s="919"/>
      <c r="AD2023" s="961"/>
      <c r="AE2023" s="961"/>
      <c r="AF2023" s="961"/>
      <c r="AG2023" s="961"/>
      <c r="AH2023" s="682"/>
      <c r="AI2023" s="961"/>
    </row>
    <row r="2024" s="1" customFormat="1" ht="63.75" customHeight="1" spans="1:35">
      <c r="A2024" s="683"/>
      <c r="B2024" s="4319"/>
      <c r="C2024" s="683"/>
      <c r="D2024" s="683"/>
      <c r="E2024" s="683"/>
      <c r="F2024" s="683"/>
      <c r="G2024" s="683"/>
      <c r="H2024" s="683"/>
      <c r="I2024" s="683"/>
      <c r="J2024" s="33"/>
      <c r="K2024" s="683"/>
      <c r="L2024" s="683"/>
      <c r="M2024" s="2895"/>
      <c r="N2024" s="2895"/>
      <c r="O2024" s="2895"/>
      <c r="P2024" s="4382"/>
      <c r="Q2024" s="2909"/>
      <c r="R2024" s="2909"/>
      <c r="S2024" s="4388"/>
      <c r="T2024" s="2909"/>
      <c r="U2024" s="4388"/>
      <c r="V2024" s="745">
        <v>230127.33</v>
      </c>
      <c r="W2024" s="4389">
        <v>45828</v>
      </c>
      <c r="X2024" s="745">
        <f>V2023</f>
        <v>230127.33</v>
      </c>
      <c r="Y2024" s="819">
        <v>45838</v>
      </c>
      <c r="Z2024" s="745"/>
      <c r="AA2024" s="918"/>
      <c r="AB2024" s="919"/>
      <c r="AC2024" s="919"/>
      <c r="AD2024" s="961"/>
      <c r="AE2024" s="961"/>
      <c r="AF2024" s="961"/>
      <c r="AG2024" s="961"/>
      <c r="AH2024" s="682"/>
      <c r="AI2024" s="961"/>
    </row>
    <row r="2025" s="1" customFormat="1" ht="63.75" customHeight="1" spans="1:35">
      <c r="A2025" s="683"/>
      <c r="B2025" s="4319"/>
      <c r="C2025" s="683"/>
      <c r="D2025" s="683"/>
      <c r="E2025" s="683"/>
      <c r="F2025" s="683"/>
      <c r="G2025" s="683"/>
      <c r="H2025" s="683"/>
      <c r="I2025" s="683"/>
      <c r="J2025" s="33"/>
      <c r="K2025" s="683"/>
      <c r="L2025" s="683"/>
      <c r="M2025" s="636">
        <v>5</v>
      </c>
      <c r="N2025" s="636" t="s">
        <v>7179</v>
      </c>
      <c r="O2025" s="636" t="s">
        <v>7180</v>
      </c>
      <c r="P2025" s="744">
        <f>K2020*0.05</f>
        <v>76709.1105</v>
      </c>
      <c r="Q2025" s="4361">
        <v>76709.1105</v>
      </c>
      <c r="R2025" s="821" t="s">
        <v>5015</v>
      </c>
      <c r="S2025" s="822">
        <v>46052</v>
      </c>
      <c r="T2025" s="745"/>
      <c r="U2025" s="819"/>
      <c r="V2025" s="741"/>
      <c r="W2025" s="4360"/>
      <c r="X2025" s="821">
        <f>Q2025</f>
        <v>76709.1105</v>
      </c>
      <c r="Y2025" s="822">
        <v>46021</v>
      </c>
      <c r="Z2025" s="745"/>
      <c r="AA2025" s="918"/>
      <c r="AB2025" s="919"/>
      <c r="AC2025" s="919"/>
      <c r="AD2025" s="961"/>
      <c r="AE2025" s="961"/>
      <c r="AF2025" s="961"/>
      <c r="AG2025" s="961"/>
      <c r="AH2025" s="682"/>
      <c r="AI2025" s="961"/>
    </row>
    <row r="2026" s="1" customFormat="1" ht="63.75" customHeight="1" spans="1:35">
      <c r="A2026" s="683"/>
      <c r="B2026" s="4319"/>
      <c r="C2026" s="683"/>
      <c r="D2026" s="683"/>
      <c r="E2026" s="683"/>
      <c r="F2026" s="683"/>
      <c r="G2026" s="683"/>
      <c r="H2026" s="683"/>
      <c r="I2026" s="683"/>
      <c r="J2026" s="33"/>
      <c r="K2026" s="683"/>
      <c r="L2026" s="683"/>
      <c r="M2026" s="636">
        <v>6</v>
      </c>
      <c r="N2026" s="636" t="s">
        <v>6675</v>
      </c>
      <c r="O2026" s="636" t="s">
        <v>7099</v>
      </c>
      <c r="P2026" s="744">
        <f>K2020*0.05</f>
        <v>76709.1105</v>
      </c>
      <c r="Q2026" s="4361">
        <v>76709.1105</v>
      </c>
      <c r="R2026" s="821" t="s">
        <v>349</v>
      </c>
      <c r="S2026" s="822">
        <v>46386</v>
      </c>
      <c r="T2026" s="745"/>
      <c r="U2026" s="819"/>
      <c r="V2026" s="741"/>
      <c r="W2026" s="4360"/>
      <c r="X2026" s="821"/>
      <c r="Y2026" s="822"/>
      <c r="Z2026" s="745"/>
      <c r="AA2026" s="918"/>
      <c r="AB2026" s="919"/>
      <c r="AC2026" s="919"/>
      <c r="AD2026" s="961"/>
      <c r="AE2026" s="961"/>
      <c r="AF2026" s="961"/>
      <c r="AG2026" s="961"/>
      <c r="AH2026" s="682"/>
      <c r="AI2026" s="961"/>
    </row>
    <row r="2027" s="1" customFormat="1" ht="63.75" customHeight="1" spans="1:35">
      <c r="A2027" s="2895"/>
      <c r="B2027" s="4372"/>
      <c r="C2027" s="2895"/>
      <c r="D2027" s="2895"/>
      <c r="E2027" s="2895"/>
      <c r="F2027" s="2895"/>
      <c r="G2027" s="2895"/>
      <c r="H2027" s="2895"/>
      <c r="I2027" s="2895"/>
      <c r="J2027" s="33"/>
      <c r="K2027" s="2895"/>
      <c r="L2027" s="2895"/>
      <c r="M2027" s="636">
        <v>7</v>
      </c>
      <c r="N2027" s="636" t="s">
        <v>3356</v>
      </c>
      <c r="O2027" s="636" t="s">
        <v>7101</v>
      </c>
      <c r="P2027" s="744">
        <f>K2020*0.1</f>
        <v>153418.221</v>
      </c>
      <c r="Q2027" s="4361">
        <v>153418.221</v>
      </c>
      <c r="R2027" s="821" t="s">
        <v>349</v>
      </c>
      <c r="S2027" s="822">
        <v>46386</v>
      </c>
      <c r="T2027" s="745"/>
      <c r="U2027" s="819"/>
      <c r="V2027" s="741"/>
      <c r="W2027" s="4360"/>
      <c r="X2027" s="745"/>
      <c r="Y2027" s="819"/>
      <c r="Z2027" s="745"/>
      <c r="AA2027" s="918"/>
      <c r="AB2027" s="919"/>
      <c r="AC2027" s="919"/>
      <c r="AD2027" s="961"/>
      <c r="AE2027" s="961"/>
      <c r="AF2027" s="961"/>
      <c r="AG2027" s="961"/>
      <c r="AH2027" s="682"/>
      <c r="AI2027" s="961"/>
    </row>
    <row r="2028" s="1" customFormat="1" ht="63.75" customHeight="1" spans="1:35">
      <c r="A2028" s="683" t="s">
        <v>2570</v>
      </c>
      <c r="B2028" s="4319">
        <v>45785</v>
      </c>
      <c r="C2028" s="683" t="s">
        <v>7088</v>
      </c>
      <c r="D2028" s="2895"/>
      <c r="E2028" s="683" t="s">
        <v>7181</v>
      </c>
      <c r="F2028" s="683" t="s">
        <v>7182</v>
      </c>
      <c r="G2028" s="683" t="s">
        <v>5718</v>
      </c>
      <c r="H2028" s="683" t="s">
        <v>6402</v>
      </c>
      <c r="I2028" s="683" t="s">
        <v>5255</v>
      </c>
      <c r="J2028" s="35"/>
      <c r="K2028" s="683">
        <v>91150</v>
      </c>
      <c r="L2028" s="683" t="s">
        <v>126</v>
      </c>
      <c r="M2028" s="636">
        <v>1</v>
      </c>
      <c r="N2028" s="636" t="s">
        <v>5801</v>
      </c>
      <c r="O2028" s="636" t="s">
        <v>7178</v>
      </c>
      <c r="P2028" s="4353">
        <f>K2028*0.15</f>
        <v>13672.5</v>
      </c>
      <c r="Q2028" s="745">
        <v>13672.5</v>
      </c>
      <c r="R2028" s="745" t="s">
        <v>4603</v>
      </c>
      <c r="S2028" s="819">
        <v>45882</v>
      </c>
      <c r="T2028" s="745">
        <v>13672.5</v>
      </c>
      <c r="U2028" s="819">
        <v>45882</v>
      </c>
      <c r="V2028" s="745">
        <v>13672.5</v>
      </c>
      <c r="W2028" s="819">
        <v>45883</v>
      </c>
      <c r="X2028" s="745">
        <f>Q2028</f>
        <v>13672.5</v>
      </c>
      <c r="Y2028" s="819">
        <v>45899</v>
      </c>
      <c r="Z2028" s="745"/>
      <c r="AA2028" s="918"/>
      <c r="AB2028" s="919"/>
      <c r="AC2028" s="919"/>
      <c r="AD2028" s="961"/>
      <c r="AE2028" s="961"/>
      <c r="AF2028" s="961"/>
      <c r="AG2028" s="961"/>
      <c r="AH2028" s="682"/>
      <c r="AI2028" s="961"/>
    </row>
    <row r="2029" s="1" customFormat="1" ht="63.75" customHeight="1" spans="1:35">
      <c r="A2029" s="683"/>
      <c r="B2029" s="4319"/>
      <c r="C2029" s="683"/>
      <c r="D2029" s="2895"/>
      <c r="E2029" s="683"/>
      <c r="F2029" s="683"/>
      <c r="G2029" s="683"/>
      <c r="H2029" s="683"/>
      <c r="I2029" s="683"/>
      <c r="J2029" s="35"/>
      <c r="K2029" s="683"/>
      <c r="L2029" s="683"/>
      <c r="M2029" s="636">
        <v>2</v>
      </c>
      <c r="N2029" s="636" t="s">
        <v>3625</v>
      </c>
      <c r="O2029" s="636" t="s">
        <v>3626</v>
      </c>
      <c r="P2029" s="4353">
        <f>K2028*0.2</f>
        <v>18230</v>
      </c>
      <c r="Q2029" s="745">
        <v>18230</v>
      </c>
      <c r="R2029" s="745" t="s">
        <v>4603</v>
      </c>
      <c r="S2029" s="819">
        <v>45882</v>
      </c>
      <c r="T2029" s="745">
        <v>18230</v>
      </c>
      <c r="U2029" s="819">
        <v>45882</v>
      </c>
      <c r="V2029" s="745">
        <v>18230</v>
      </c>
      <c r="W2029" s="819">
        <v>45883</v>
      </c>
      <c r="X2029" s="745">
        <f>Q2029</f>
        <v>18230</v>
      </c>
      <c r="Y2029" s="819">
        <v>45899</v>
      </c>
      <c r="Z2029" s="745"/>
      <c r="AA2029" s="918"/>
      <c r="AB2029" s="919"/>
      <c r="AC2029" s="919"/>
      <c r="AD2029" s="961"/>
      <c r="AE2029" s="961"/>
      <c r="AF2029" s="961"/>
      <c r="AG2029" s="961"/>
      <c r="AH2029" s="682"/>
      <c r="AI2029" s="961"/>
    </row>
    <row r="2030" s="1" customFormat="1" ht="63.75" customHeight="1" spans="1:35">
      <c r="A2030" s="683"/>
      <c r="B2030" s="4319"/>
      <c r="C2030" s="683"/>
      <c r="D2030" s="2895"/>
      <c r="E2030" s="683"/>
      <c r="F2030" s="683"/>
      <c r="G2030" s="683"/>
      <c r="H2030" s="683"/>
      <c r="I2030" s="683"/>
      <c r="J2030" s="35"/>
      <c r="K2030" s="683"/>
      <c r="L2030" s="683"/>
      <c r="M2030" s="636">
        <v>3</v>
      </c>
      <c r="N2030" s="636" t="s">
        <v>3627</v>
      </c>
      <c r="O2030" s="636" t="s">
        <v>3628</v>
      </c>
      <c r="P2030" s="4353">
        <f>K2028*0.15</f>
        <v>13672.5</v>
      </c>
      <c r="Q2030" s="745">
        <v>13672.5</v>
      </c>
      <c r="R2030" s="745" t="s">
        <v>4603</v>
      </c>
      <c r="S2030" s="819">
        <v>45882</v>
      </c>
      <c r="T2030" s="745">
        <v>13672.5</v>
      </c>
      <c r="U2030" s="819">
        <v>45882</v>
      </c>
      <c r="V2030" s="745">
        <v>13672.5</v>
      </c>
      <c r="W2030" s="819">
        <v>45883</v>
      </c>
      <c r="X2030" s="745">
        <f>Q2030</f>
        <v>13672.5</v>
      </c>
      <c r="Y2030" s="819">
        <v>45899</v>
      </c>
      <c r="Z2030" s="745"/>
      <c r="AA2030" s="918"/>
      <c r="AB2030" s="919"/>
      <c r="AC2030" s="919"/>
      <c r="AD2030" s="961"/>
      <c r="AE2030" s="961"/>
      <c r="AF2030" s="961"/>
      <c r="AG2030" s="961"/>
      <c r="AH2030" s="682"/>
      <c r="AI2030" s="961"/>
    </row>
    <row r="2031" s="1" customFormat="1" ht="63.75" customHeight="1" spans="1:35">
      <c r="A2031" s="683"/>
      <c r="B2031" s="4319"/>
      <c r="C2031" s="683"/>
      <c r="D2031" s="2895"/>
      <c r="E2031" s="683"/>
      <c r="F2031" s="683"/>
      <c r="G2031" s="683"/>
      <c r="H2031" s="683"/>
      <c r="I2031" s="683"/>
      <c r="J2031" s="35"/>
      <c r="K2031" s="683"/>
      <c r="L2031" s="683"/>
      <c r="M2031" s="636">
        <v>4</v>
      </c>
      <c r="N2031" s="636" t="s">
        <v>3630</v>
      </c>
      <c r="O2031" s="636" t="s">
        <v>3631</v>
      </c>
      <c r="P2031" s="744">
        <f>K2028*0.3</f>
        <v>27345</v>
      </c>
      <c r="Q2031" s="821">
        <v>27345</v>
      </c>
      <c r="R2031" s="821" t="s">
        <v>349</v>
      </c>
      <c r="S2031" s="822">
        <v>46111</v>
      </c>
      <c r="T2031" s="745"/>
      <c r="U2031" s="819"/>
      <c r="V2031" s="741"/>
      <c r="W2031" s="4360"/>
      <c r="X2031" s="821">
        <f>Q2031</f>
        <v>27345</v>
      </c>
      <c r="Y2031" s="822">
        <v>46111</v>
      </c>
      <c r="Z2031" s="745"/>
      <c r="AA2031" s="918"/>
      <c r="AB2031" s="919"/>
      <c r="AC2031" s="919"/>
      <c r="AD2031" s="961"/>
      <c r="AE2031" s="961"/>
      <c r="AF2031" s="961"/>
      <c r="AG2031" s="961"/>
      <c r="AH2031" s="682"/>
      <c r="AI2031" s="961"/>
    </row>
    <row r="2032" s="1" customFormat="1" ht="63.75" customHeight="1" spans="1:35">
      <c r="A2032" s="683"/>
      <c r="B2032" s="4319"/>
      <c r="C2032" s="683"/>
      <c r="D2032" s="2895"/>
      <c r="E2032" s="683"/>
      <c r="F2032" s="683"/>
      <c r="G2032" s="683"/>
      <c r="H2032" s="683"/>
      <c r="I2032" s="683"/>
      <c r="J2032" s="35"/>
      <c r="K2032" s="683"/>
      <c r="L2032" s="683"/>
      <c r="M2032" s="636">
        <v>5</v>
      </c>
      <c r="N2032" s="636" t="s">
        <v>7179</v>
      </c>
      <c r="O2032" s="636" t="s">
        <v>7180</v>
      </c>
      <c r="P2032" s="744">
        <f>K2028*5%</f>
        <v>4557.5</v>
      </c>
      <c r="Q2032" s="821">
        <v>4557.5</v>
      </c>
      <c r="R2032" s="821" t="s">
        <v>349</v>
      </c>
      <c r="S2032" s="822">
        <v>46111</v>
      </c>
      <c r="T2032" s="745"/>
      <c r="U2032" s="819"/>
      <c r="V2032" s="741"/>
      <c r="W2032" s="4360"/>
      <c r="X2032" s="821">
        <f>Q2032</f>
        <v>4557.5</v>
      </c>
      <c r="Y2032" s="822">
        <v>46111</v>
      </c>
      <c r="Z2032" s="745"/>
      <c r="AA2032" s="918"/>
      <c r="AB2032" s="919"/>
      <c r="AC2032" s="919"/>
      <c r="AD2032" s="961"/>
      <c r="AE2032" s="961"/>
      <c r="AF2032" s="961"/>
      <c r="AG2032" s="961"/>
      <c r="AH2032" s="682"/>
      <c r="AI2032" s="961"/>
    </row>
    <row r="2033" s="1" customFormat="1" ht="63.75" customHeight="1" spans="1:35">
      <c r="A2033" s="683"/>
      <c r="B2033" s="4319"/>
      <c r="C2033" s="683"/>
      <c r="D2033" s="2895"/>
      <c r="E2033" s="683"/>
      <c r="F2033" s="683"/>
      <c r="G2033" s="683"/>
      <c r="H2033" s="683"/>
      <c r="I2033" s="683"/>
      <c r="J2033" s="35"/>
      <c r="K2033" s="683"/>
      <c r="L2033" s="683"/>
      <c r="M2033" s="636">
        <v>6</v>
      </c>
      <c r="N2033" s="636" t="s">
        <v>5642</v>
      </c>
      <c r="O2033" s="636" t="s">
        <v>7099</v>
      </c>
      <c r="P2033" s="744">
        <f>K2028*5%</f>
        <v>4557.5</v>
      </c>
      <c r="Q2033" s="821">
        <v>4557.5</v>
      </c>
      <c r="R2033" s="821" t="s">
        <v>349</v>
      </c>
      <c r="S2033" s="822">
        <v>46386</v>
      </c>
      <c r="T2033" s="745"/>
      <c r="U2033" s="819"/>
      <c r="V2033" s="741"/>
      <c r="W2033" s="4360"/>
      <c r="X2033" s="821"/>
      <c r="Y2033" s="822"/>
      <c r="Z2033" s="745"/>
      <c r="AA2033" s="918"/>
      <c r="AB2033" s="919"/>
      <c r="AC2033" s="919"/>
      <c r="AD2033" s="961"/>
      <c r="AE2033" s="961"/>
      <c r="AF2033" s="961"/>
      <c r="AG2033" s="961"/>
      <c r="AH2033" s="682"/>
      <c r="AI2033" s="961"/>
    </row>
    <row r="2034" s="1" customFormat="1" ht="63.75" customHeight="1" spans="1:35">
      <c r="A2034" s="2895"/>
      <c r="B2034" s="4319"/>
      <c r="C2034" s="2895"/>
      <c r="D2034" s="2895"/>
      <c r="E2034" s="2895"/>
      <c r="F2034" s="2895"/>
      <c r="G2034" s="2895"/>
      <c r="H2034" s="2895"/>
      <c r="I2034" s="2895"/>
      <c r="J2034" s="35"/>
      <c r="K2034" s="2895"/>
      <c r="L2034" s="2895"/>
      <c r="M2034" s="636">
        <v>7</v>
      </c>
      <c r="N2034" s="636" t="s">
        <v>6245</v>
      </c>
      <c r="O2034" s="636" t="s">
        <v>7101</v>
      </c>
      <c r="P2034" s="744">
        <f>K2028*10%</f>
        <v>9115</v>
      </c>
      <c r="Q2034" s="745"/>
      <c r="R2034" s="745"/>
      <c r="S2034" s="819"/>
      <c r="T2034" s="745"/>
      <c r="U2034" s="819"/>
      <c r="V2034" s="741"/>
      <c r="W2034" s="4360"/>
      <c r="X2034" s="745"/>
      <c r="Y2034" s="819"/>
      <c r="Z2034" s="745"/>
      <c r="AA2034" s="918"/>
      <c r="AB2034" s="919"/>
      <c r="AC2034" s="919"/>
      <c r="AD2034" s="961"/>
      <c r="AE2034" s="961"/>
      <c r="AF2034" s="961"/>
      <c r="AG2034" s="961"/>
      <c r="AH2034" s="682"/>
      <c r="AI2034" s="961"/>
    </row>
    <row r="2035" s="1" customFormat="1" ht="107" spans="1:35">
      <c r="A2035" s="636" t="s">
        <v>2570</v>
      </c>
      <c r="B2035" s="4318">
        <v>45215</v>
      </c>
      <c r="C2035" s="636" t="s">
        <v>7088</v>
      </c>
      <c r="D2035" s="636" t="s">
        <v>171</v>
      </c>
      <c r="E2035" s="636" t="s">
        <v>7183</v>
      </c>
      <c r="F2035" s="636" t="s">
        <v>7184</v>
      </c>
      <c r="G2035" s="636" t="s">
        <v>193</v>
      </c>
      <c r="H2035" s="636" t="s">
        <v>5837</v>
      </c>
      <c r="I2035" s="636">
        <v>57393.32</v>
      </c>
      <c r="J2035" s="636" t="s">
        <v>7185</v>
      </c>
      <c r="K2035" s="636">
        <v>160701.3</v>
      </c>
      <c r="L2035" s="636" t="s">
        <v>32</v>
      </c>
      <c r="M2035" s="636">
        <v>1</v>
      </c>
      <c r="N2035" s="636" t="s">
        <v>7186</v>
      </c>
      <c r="O2035" s="4383">
        <v>0.4</v>
      </c>
      <c r="P2035" s="744">
        <f>160701.3*O2035</f>
        <v>64280.52</v>
      </c>
      <c r="Q2035" s="4353">
        <v>64280.52</v>
      </c>
      <c r="R2035" s="745" t="s">
        <v>4603</v>
      </c>
      <c r="S2035" s="4389">
        <v>45267</v>
      </c>
      <c r="T2035" s="4353">
        <v>64280.52</v>
      </c>
      <c r="U2035" s="4389">
        <v>45267</v>
      </c>
      <c r="V2035" s="4353">
        <v>64280.52</v>
      </c>
      <c r="W2035" s="4389">
        <v>45362</v>
      </c>
      <c r="X2035" s="4353">
        <v>64280.52</v>
      </c>
      <c r="Y2035" s="819">
        <v>45380</v>
      </c>
      <c r="Z2035" s="745"/>
      <c r="AA2035" s="918"/>
      <c r="AB2035" s="919"/>
      <c r="AC2035" s="919"/>
      <c r="AD2035" s="961"/>
      <c r="AE2035" s="961"/>
      <c r="AF2035" s="961"/>
      <c r="AG2035" s="961"/>
      <c r="AH2035" s="682"/>
      <c r="AI2035" s="961"/>
    </row>
    <row r="2036" s="1" customFormat="1" ht="49.5" customHeight="1" spans="1:35">
      <c r="A2036" s="636"/>
      <c r="B2036" s="4319"/>
      <c r="C2036" s="636"/>
      <c r="D2036" s="636"/>
      <c r="E2036" s="636"/>
      <c r="F2036" s="636"/>
      <c r="G2036" s="636"/>
      <c r="H2036" s="636"/>
      <c r="I2036" s="636"/>
      <c r="J2036" s="636"/>
      <c r="K2036" s="636"/>
      <c r="L2036" s="636"/>
      <c r="M2036" s="639">
        <v>2</v>
      </c>
      <c r="N2036" s="639" t="s">
        <v>7187</v>
      </c>
      <c r="O2036" s="4383">
        <v>0.25</v>
      </c>
      <c r="P2036" s="744">
        <f>K2035*O2036</f>
        <v>40175.325</v>
      </c>
      <c r="Q2036" s="4353">
        <f>P2036</f>
        <v>40175.325</v>
      </c>
      <c r="R2036" s="745" t="s">
        <v>4603</v>
      </c>
      <c r="S2036" s="4389">
        <v>45267</v>
      </c>
      <c r="T2036" s="4353">
        <f>Q2036</f>
        <v>40175.325</v>
      </c>
      <c r="U2036" s="4389">
        <v>45267</v>
      </c>
      <c r="V2036" s="4353">
        <f>T2036</f>
        <v>40175.325</v>
      </c>
      <c r="W2036" s="4389">
        <v>45362</v>
      </c>
      <c r="X2036" s="4353">
        <f>V2036</f>
        <v>40175.325</v>
      </c>
      <c r="Y2036" s="819">
        <v>45380</v>
      </c>
      <c r="Z2036" s="745"/>
      <c r="AA2036" s="918"/>
      <c r="AB2036" s="919"/>
      <c r="AC2036" s="919"/>
      <c r="AD2036" s="961"/>
      <c r="AE2036" s="961"/>
      <c r="AF2036" s="961"/>
      <c r="AG2036" s="961"/>
      <c r="AH2036" s="682"/>
      <c r="AI2036" s="961"/>
    </row>
    <row r="2037" s="1" customFormat="1" ht="49.5" customHeight="1" spans="1:35">
      <c r="A2037" s="636"/>
      <c r="B2037" s="4319"/>
      <c r="C2037" s="636"/>
      <c r="D2037" s="636"/>
      <c r="E2037" s="636"/>
      <c r="F2037" s="636"/>
      <c r="G2037" s="636"/>
      <c r="H2037" s="636"/>
      <c r="I2037" s="636"/>
      <c r="J2037" s="636"/>
      <c r="K2037" s="636"/>
      <c r="L2037" s="636"/>
      <c r="M2037" s="2895"/>
      <c r="N2037" s="2895"/>
      <c r="O2037" s="4383">
        <v>0.3</v>
      </c>
      <c r="P2037" s="744">
        <f>K2035*O2037</f>
        <v>48210.39</v>
      </c>
      <c r="Q2037" s="4390">
        <v>48210.39</v>
      </c>
      <c r="R2037" s="745" t="s">
        <v>4603</v>
      </c>
      <c r="S2037" s="4389">
        <v>45667</v>
      </c>
      <c r="T2037" s="4353">
        <v>48210.39</v>
      </c>
      <c r="U2037" s="4389">
        <v>45667</v>
      </c>
      <c r="V2037" s="4353">
        <v>48210.39</v>
      </c>
      <c r="W2037" s="4389">
        <v>45672</v>
      </c>
      <c r="X2037" s="4353">
        <v>48210.39</v>
      </c>
      <c r="Y2037" s="4389">
        <v>45681</v>
      </c>
      <c r="Z2037" s="745"/>
      <c r="AA2037" s="918" t="s">
        <v>4806</v>
      </c>
      <c r="AB2037" s="919"/>
      <c r="AC2037" s="919"/>
      <c r="AD2037" s="961"/>
      <c r="AE2037" s="961"/>
      <c r="AF2037" s="961"/>
      <c r="AG2037" s="961"/>
      <c r="AH2037" s="682"/>
      <c r="AI2037" s="961"/>
    </row>
    <row r="2038" s="1" customFormat="1" ht="107" spans="1:35">
      <c r="A2038" s="636"/>
      <c r="B2038" s="4372"/>
      <c r="C2038" s="636"/>
      <c r="D2038" s="636"/>
      <c r="E2038" s="636"/>
      <c r="F2038" s="636"/>
      <c r="G2038" s="636"/>
      <c r="H2038" s="636"/>
      <c r="I2038" s="636"/>
      <c r="J2038" s="636"/>
      <c r="K2038" s="636"/>
      <c r="L2038" s="636"/>
      <c r="M2038" s="636">
        <v>3</v>
      </c>
      <c r="N2038" s="636" t="s">
        <v>5590</v>
      </c>
      <c r="O2038" s="4383">
        <v>0.05</v>
      </c>
      <c r="P2038" s="744">
        <f>160701.3*O2038</f>
        <v>8035.065</v>
      </c>
      <c r="Q2038" s="4361">
        <v>8035.065</v>
      </c>
      <c r="R2038" s="821" t="s">
        <v>349</v>
      </c>
      <c r="S2038" s="822">
        <v>46386</v>
      </c>
      <c r="T2038" s="745"/>
      <c r="U2038" s="819"/>
      <c r="V2038" s="741"/>
      <c r="W2038" s="4360"/>
      <c r="X2038" s="821">
        <f>Q2038</f>
        <v>8035.065</v>
      </c>
      <c r="Y2038" s="822">
        <v>46386</v>
      </c>
      <c r="Z2038" s="745"/>
      <c r="AA2038" s="918"/>
      <c r="AB2038" s="919"/>
      <c r="AC2038" s="919"/>
      <c r="AD2038" s="961"/>
      <c r="AE2038" s="961"/>
      <c r="AF2038" s="961"/>
      <c r="AG2038" s="961"/>
      <c r="AH2038" s="682"/>
      <c r="AI2038" s="961"/>
    </row>
    <row r="2039" s="1" customFormat="1" ht="107" spans="1:35">
      <c r="A2039" s="636" t="s">
        <v>2570</v>
      </c>
      <c r="B2039" s="4318">
        <v>45230</v>
      </c>
      <c r="C2039" s="636" t="s">
        <v>7088</v>
      </c>
      <c r="D2039" s="636" t="s">
        <v>171</v>
      </c>
      <c r="E2039" s="636" t="s">
        <v>7188</v>
      </c>
      <c r="F2039" s="636" t="s">
        <v>7189</v>
      </c>
      <c r="G2039" s="636" t="s">
        <v>4761</v>
      </c>
      <c r="H2039" s="636" t="s">
        <v>6124</v>
      </c>
      <c r="I2039" s="636" t="s">
        <v>171</v>
      </c>
      <c r="J2039" s="636" t="s">
        <v>997</v>
      </c>
      <c r="K2039" s="636">
        <v>270000</v>
      </c>
      <c r="L2039" s="636" t="s">
        <v>126</v>
      </c>
      <c r="M2039" s="636">
        <v>1</v>
      </c>
      <c r="N2039" s="636" t="s">
        <v>7190</v>
      </c>
      <c r="O2039" s="4383">
        <v>0.3</v>
      </c>
      <c r="P2039" s="744">
        <f>K2039*O2039</f>
        <v>81000</v>
      </c>
      <c r="Q2039" s="745">
        <v>81000</v>
      </c>
      <c r="R2039" s="745" t="s">
        <v>4603</v>
      </c>
      <c r="S2039" s="819">
        <v>45246</v>
      </c>
      <c r="T2039" s="745">
        <v>81000</v>
      </c>
      <c r="U2039" s="819">
        <v>45246</v>
      </c>
      <c r="V2039" s="745">
        <v>81000</v>
      </c>
      <c r="W2039" s="4360">
        <v>45264</v>
      </c>
      <c r="X2039" s="745">
        <v>81000</v>
      </c>
      <c r="Y2039" s="819">
        <v>45273</v>
      </c>
      <c r="Z2039" s="745"/>
      <c r="AA2039" s="918"/>
      <c r="AB2039" s="919"/>
      <c r="AC2039" s="919"/>
      <c r="AD2039" s="961"/>
      <c r="AE2039" s="961"/>
      <c r="AF2039" s="961"/>
      <c r="AG2039" s="961"/>
      <c r="AH2039" s="682"/>
      <c r="AI2039" s="961"/>
    </row>
    <row r="2040" s="1" customFormat="1" ht="36.75" customHeight="1" spans="1:35">
      <c r="A2040" s="636"/>
      <c r="B2040" s="4319"/>
      <c r="C2040" s="636"/>
      <c r="D2040" s="636"/>
      <c r="E2040" s="636"/>
      <c r="F2040" s="636"/>
      <c r="G2040" s="636"/>
      <c r="H2040" s="636"/>
      <c r="I2040" s="636"/>
      <c r="J2040" s="636"/>
      <c r="K2040" s="636"/>
      <c r="L2040" s="636"/>
      <c r="M2040" s="636">
        <v>2</v>
      </c>
      <c r="N2040" s="636" t="s">
        <v>7191</v>
      </c>
      <c r="O2040" s="4383">
        <v>0.5</v>
      </c>
      <c r="P2040" s="744">
        <f>K2039*O2040</f>
        <v>135000</v>
      </c>
      <c r="Q2040" s="745">
        <v>135000</v>
      </c>
      <c r="R2040" s="745" t="s">
        <v>4603</v>
      </c>
      <c r="S2040" s="819">
        <v>45246</v>
      </c>
      <c r="T2040" s="745">
        <v>135000</v>
      </c>
      <c r="U2040" s="819">
        <v>45246</v>
      </c>
      <c r="V2040" s="745">
        <v>135000</v>
      </c>
      <c r="W2040" s="4360">
        <v>45296</v>
      </c>
      <c r="X2040" s="745">
        <v>135000</v>
      </c>
      <c r="Y2040" s="819">
        <v>45309</v>
      </c>
      <c r="Z2040" s="745"/>
      <c r="AA2040" s="918"/>
      <c r="AB2040" s="919"/>
      <c r="AC2040" s="919"/>
      <c r="AD2040" s="961"/>
      <c r="AE2040" s="961"/>
      <c r="AF2040" s="961"/>
      <c r="AG2040" s="961"/>
      <c r="AH2040" s="682"/>
      <c r="AI2040" s="961"/>
    </row>
    <row r="2041" s="1" customFormat="1" ht="36.75" customHeight="1" spans="1:35">
      <c r="A2041" s="636"/>
      <c r="B2041" s="4319"/>
      <c r="C2041" s="636"/>
      <c r="D2041" s="636"/>
      <c r="E2041" s="636"/>
      <c r="F2041" s="636"/>
      <c r="G2041" s="636"/>
      <c r="H2041" s="636"/>
      <c r="I2041" s="636"/>
      <c r="J2041" s="636"/>
      <c r="K2041" s="636"/>
      <c r="L2041" s="636"/>
      <c r="M2041" s="2895"/>
      <c r="N2041" s="2895"/>
      <c r="O2041" s="4383">
        <v>0.1</v>
      </c>
      <c r="P2041" s="744">
        <f>O2041*K2039</f>
        <v>27000</v>
      </c>
      <c r="Q2041" s="745">
        <v>27000</v>
      </c>
      <c r="R2041" s="745" t="s">
        <v>4603</v>
      </c>
      <c r="S2041" s="819">
        <v>45267</v>
      </c>
      <c r="T2041" s="745">
        <v>27000</v>
      </c>
      <c r="U2041" s="819">
        <v>45267</v>
      </c>
      <c r="V2041" s="745">
        <v>27000</v>
      </c>
      <c r="W2041" s="4360">
        <v>45296</v>
      </c>
      <c r="X2041" s="745">
        <v>27000</v>
      </c>
      <c r="Y2041" s="819">
        <v>45309</v>
      </c>
      <c r="Z2041" s="745"/>
      <c r="AA2041" s="918"/>
      <c r="AB2041" s="919"/>
      <c r="AC2041" s="919"/>
      <c r="AD2041" s="961"/>
      <c r="AE2041" s="961"/>
      <c r="AF2041" s="961"/>
      <c r="AG2041" s="961"/>
      <c r="AH2041" s="682"/>
      <c r="AI2041" s="961"/>
    </row>
    <row r="2042" s="1" customFormat="1" ht="92" spans="1:35">
      <c r="A2042" s="636"/>
      <c r="B2042" s="4372"/>
      <c r="C2042" s="636"/>
      <c r="D2042" s="636"/>
      <c r="E2042" s="636"/>
      <c r="F2042" s="636"/>
      <c r="G2042" s="636"/>
      <c r="H2042" s="636"/>
      <c r="I2042" s="636"/>
      <c r="J2042" s="636"/>
      <c r="K2042" s="636"/>
      <c r="L2042" s="636"/>
      <c r="M2042" s="636">
        <v>3</v>
      </c>
      <c r="N2042" s="636" t="s">
        <v>7192</v>
      </c>
      <c r="O2042" s="4383">
        <v>0.1</v>
      </c>
      <c r="P2042" s="744">
        <f>K2039*O2042</f>
        <v>27000</v>
      </c>
      <c r="Q2042" s="821">
        <v>27000</v>
      </c>
      <c r="R2042" s="821" t="s">
        <v>349</v>
      </c>
      <c r="S2042" s="822"/>
      <c r="T2042" s="745"/>
      <c r="U2042" s="819"/>
      <c r="V2042" s="741"/>
      <c r="W2042" s="4360"/>
      <c r="X2042" s="745"/>
      <c r="Y2042" s="819"/>
      <c r="Z2042" s="745"/>
      <c r="AA2042" s="918"/>
      <c r="AB2042" s="919"/>
      <c r="AC2042" s="919"/>
      <c r="AD2042" s="961"/>
      <c r="AE2042" s="961"/>
      <c r="AF2042" s="961"/>
      <c r="AG2042" s="961"/>
      <c r="AH2042" s="682"/>
      <c r="AI2042" s="961"/>
    </row>
    <row r="2043" s="1" customFormat="1" ht="92" spans="1:35">
      <c r="A2043" s="639" t="s">
        <v>2570</v>
      </c>
      <c r="B2043" s="4318">
        <v>45238</v>
      </c>
      <c r="C2043" s="639" t="s">
        <v>7088</v>
      </c>
      <c r="D2043" s="639" t="s">
        <v>171</v>
      </c>
      <c r="E2043" s="639" t="s">
        <v>7193</v>
      </c>
      <c r="F2043" s="639" t="s">
        <v>7194</v>
      </c>
      <c r="G2043" s="639" t="s">
        <v>5025</v>
      </c>
      <c r="H2043" s="639" t="s">
        <v>6050</v>
      </c>
      <c r="I2043" s="639" t="s">
        <v>7195</v>
      </c>
      <c r="J2043" s="639" t="s">
        <v>997</v>
      </c>
      <c r="K2043" s="639">
        <v>412600</v>
      </c>
      <c r="L2043" s="639" t="s">
        <v>126</v>
      </c>
      <c r="M2043" s="636">
        <v>1</v>
      </c>
      <c r="N2043" s="636" t="s">
        <v>7196</v>
      </c>
      <c r="O2043" s="4383">
        <v>0.2</v>
      </c>
      <c r="P2043" s="744">
        <f>412600*O2043</f>
        <v>82520</v>
      </c>
      <c r="Q2043" s="4353">
        <v>82520</v>
      </c>
      <c r="R2043" s="745" t="s">
        <v>4603</v>
      </c>
      <c r="S2043" s="819">
        <v>45246</v>
      </c>
      <c r="T2043" s="4353">
        <v>82520</v>
      </c>
      <c r="U2043" s="819">
        <v>45246</v>
      </c>
      <c r="V2043" s="4353">
        <v>82520</v>
      </c>
      <c r="W2043" s="4360">
        <v>45272</v>
      </c>
      <c r="X2043" s="4353">
        <v>82520</v>
      </c>
      <c r="Y2043" s="819">
        <v>45275</v>
      </c>
      <c r="Z2043" s="822"/>
      <c r="AA2043" s="918"/>
      <c r="AB2043" s="919"/>
      <c r="AC2043" s="919"/>
      <c r="AD2043" s="961"/>
      <c r="AE2043" s="961"/>
      <c r="AF2043" s="961"/>
      <c r="AG2043" s="961"/>
      <c r="AH2043" s="682"/>
      <c r="AI2043" s="961"/>
    </row>
    <row r="2044" s="1" customFormat="1" ht="92" spans="1:35">
      <c r="A2044" s="683"/>
      <c r="B2044" s="4319"/>
      <c r="C2044" s="683"/>
      <c r="D2044" s="683"/>
      <c r="E2044" s="683"/>
      <c r="F2044" s="683"/>
      <c r="G2044" s="683"/>
      <c r="H2044" s="683"/>
      <c r="I2044" s="683"/>
      <c r="J2044" s="683"/>
      <c r="K2044" s="683"/>
      <c r="L2044" s="683"/>
      <c r="M2044" s="636">
        <v>2</v>
      </c>
      <c r="N2044" s="636" t="s">
        <v>7197</v>
      </c>
      <c r="O2044" s="4383">
        <v>0.6</v>
      </c>
      <c r="P2044" s="744">
        <f>412600*O2044</f>
        <v>247560</v>
      </c>
      <c r="Q2044" s="4353">
        <v>247560</v>
      </c>
      <c r="R2044" s="745" t="s">
        <v>4603</v>
      </c>
      <c r="S2044" s="819">
        <v>45246</v>
      </c>
      <c r="T2044" s="4353">
        <v>247560</v>
      </c>
      <c r="U2044" s="819">
        <v>45246</v>
      </c>
      <c r="V2044" s="4353">
        <v>247560</v>
      </c>
      <c r="W2044" s="4360">
        <v>45272</v>
      </c>
      <c r="X2044" s="4353">
        <v>247560</v>
      </c>
      <c r="Y2044" s="819">
        <v>45275</v>
      </c>
      <c r="Z2044" s="822"/>
      <c r="AA2044" s="918"/>
      <c r="AB2044" s="919"/>
      <c r="AC2044" s="919"/>
      <c r="AD2044" s="961"/>
      <c r="AE2044" s="961"/>
      <c r="AF2044" s="961"/>
      <c r="AG2044" s="961"/>
      <c r="AH2044" s="682"/>
      <c r="AI2044" s="961"/>
    </row>
    <row r="2045" s="1" customFormat="1" ht="92" spans="1:35">
      <c r="A2045" s="683"/>
      <c r="B2045" s="4319"/>
      <c r="C2045" s="683"/>
      <c r="D2045" s="683"/>
      <c r="E2045" s="683"/>
      <c r="F2045" s="683"/>
      <c r="G2045" s="683"/>
      <c r="H2045" s="683"/>
      <c r="I2045" s="683"/>
      <c r="J2045" s="683"/>
      <c r="K2045" s="683"/>
      <c r="L2045" s="683"/>
      <c r="M2045" s="639">
        <v>3</v>
      </c>
      <c r="N2045" s="639" t="s">
        <v>7198</v>
      </c>
      <c r="O2045" s="4384">
        <v>0.2</v>
      </c>
      <c r="P2045" s="4344">
        <f>412600*O2045</f>
        <v>82520</v>
      </c>
      <c r="Q2045" s="821">
        <v>82520</v>
      </c>
      <c r="R2045" s="821" t="s">
        <v>349</v>
      </c>
      <c r="S2045" s="822">
        <v>46386</v>
      </c>
      <c r="T2045" s="745"/>
      <c r="U2045" s="819"/>
      <c r="V2045" s="741"/>
      <c r="W2045" s="4360"/>
      <c r="X2045" s="821"/>
      <c r="Y2045" s="822"/>
      <c r="Z2045" s="745"/>
      <c r="AA2045" s="918"/>
      <c r="AB2045" s="919"/>
      <c r="AC2045" s="919"/>
      <c r="AD2045" s="961"/>
      <c r="AE2045" s="961"/>
      <c r="AF2045" s="961"/>
      <c r="AG2045" s="961"/>
      <c r="AH2045" s="682"/>
      <c r="AI2045" s="961"/>
    </row>
    <row r="2046" s="47" customFormat="1" ht="122" spans="1:35">
      <c r="A2046" s="639" t="s">
        <v>2570</v>
      </c>
      <c r="B2046" s="4318">
        <v>45254</v>
      </c>
      <c r="C2046" s="639" t="s">
        <v>7088</v>
      </c>
      <c r="D2046" s="639" t="s">
        <v>171</v>
      </c>
      <c r="E2046" s="639" t="s">
        <v>7199</v>
      </c>
      <c r="F2046" s="639" t="s">
        <v>7200</v>
      </c>
      <c r="G2046" s="639" t="s">
        <v>6039</v>
      </c>
      <c r="H2046" s="639" t="s">
        <v>6293</v>
      </c>
      <c r="I2046" s="639" t="s">
        <v>171</v>
      </c>
      <c r="J2046" s="639" t="s">
        <v>997</v>
      </c>
      <c r="K2046" s="639">
        <v>831780</v>
      </c>
      <c r="L2046" s="639" t="s">
        <v>126</v>
      </c>
      <c r="M2046" s="636">
        <v>1</v>
      </c>
      <c r="N2046" s="636" t="s">
        <v>7201</v>
      </c>
      <c r="O2046" s="4383">
        <v>0.2</v>
      </c>
      <c r="P2046" s="744">
        <f>831780*O2046</f>
        <v>166356</v>
      </c>
      <c r="Q2046" s="4353">
        <v>166356</v>
      </c>
      <c r="R2046" s="745" t="s">
        <v>4603</v>
      </c>
      <c r="S2046" s="819">
        <v>45266</v>
      </c>
      <c r="T2046" s="4353">
        <v>166356</v>
      </c>
      <c r="U2046" s="819">
        <v>45266</v>
      </c>
      <c r="V2046" s="4353">
        <v>166356</v>
      </c>
      <c r="W2046" s="4360">
        <v>45267</v>
      </c>
      <c r="X2046" s="4353">
        <v>166356</v>
      </c>
      <c r="Y2046" s="819">
        <v>45275</v>
      </c>
      <c r="Z2046" s="745"/>
      <c r="AA2046" s="918"/>
      <c r="AB2046" s="919"/>
      <c r="AC2046" s="919"/>
      <c r="AD2046" s="741"/>
      <c r="AE2046" s="741"/>
      <c r="AF2046" s="741"/>
      <c r="AG2046" s="741"/>
      <c r="AH2046" s="638"/>
      <c r="AI2046" s="741"/>
    </row>
    <row r="2047" s="47" customFormat="1" ht="107" spans="1:35">
      <c r="A2047" s="683"/>
      <c r="B2047" s="4319"/>
      <c r="C2047" s="683"/>
      <c r="D2047" s="683"/>
      <c r="E2047" s="683"/>
      <c r="F2047" s="683"/>
      <c r="G2047" s="683"/>
      <c r="H2047" s="683"/>
      <c r="I2047" s="683"/>
      <c r="J2047" s="683"/>
      <c r="K2047" s="683"/>
      <c r="L2047" s="683"/>
      <c r="M2047" s="636">
        <v>2</v>
      </c>
      <c r="N2047" s="636" t="s">
        <v>7202</v>
      </c>
      <c r="O2047" s="4383">
        <v>0.4</v>
      </c>
      <c r="P2047" s="744">
        <f>831780*O2047</f>
        <v>332712</v>
      </c>
      <c r="Q2047" s="4353">
        <v>332712</v>
      </c>
      <c r="R2047" s="745" t="s">
        <v>4603</v>
      </c>
      <c r="S2047" s="819">
        <v>45266</v>
      </c>
      <c r="T2047" s="4353">
        <v>332712</v>
      </c>
      <c r="U2047" s="819">
        <v>45266</v>
      </c>
      <c r="V2047" s="744">
        <f>Q2047</f>
        <v>332712</v>
      </c>
      <c r="W2047" s="4360">
        <v>45544</v>
      </c>
      <c r="X2047" s="4353">
        <f>V2047</f>
        <v>332712</v>
      </c>
      <c r="Y2047" s="819">
        <v>45562</v>
      </c>
      <c r="Z2047" s="745"/>
      <c r="AA2047" s="918"/>
      <c r="AB2047" s="919"/>
      <c r="AC2047" s="919"/>
      <c r="AD2047" s="741"/>
      <c r="AE2047" s="741"/>
      <c r="AF2047" s="741"/>
      <c r="AG2047" s="741"/>
      <c r="AH2047" s="638"/>
      <c r="AI2047" s="741"/>
    </row>
    <row r="2048" s="47" customFormat="1" ht="107" spans="1:35">
      <c r="A2048" s="683"/>
      <c r="B2048" s="4319"/>
      <c r="C2048" s="683"/>
      <c r="D2048" s="683"/>
      <c r="E2048" s="683"/>
      <c r="F2048" s="683"/>
      <c r="G2048" s="683"/>
      <c r="H2048" s="683"/>
      <c r="I2048" s="683"/>
      <c r="J2048" s="683"/>
      <c r="K2048" s="683"/>
      <c r="L2048" s="683"/>
      <c r="M2048" s="636">
        <v>3</v>
      </c>
      <c r="N2048" s="636" t="s">
        <v>7203</v>
      </c>
      <c r="O2048" s="4383">
        <v>0.2</v>
      </c>
      <c r="P2048" s="744">
        <f>831780*O2048</f>
        <v>166356</v>
      </c>
      <c r="Q2048" s="4353">
        <v>166356</v>
      </c>
      <c r="R2048" s="745" t="s">
        <v>4603</v>
      </c>
      <c r="S2048" s="819">
        <v>45266</v>
      </c>
      <c r="T2048" s="4353">
        <v>166356</v>
      </c>
      <c r="U2048" s="819">
        <v>45266</v>
      </c>
      <c r="V2048" s="741">
        <v>166356</v>
      </c>
      <c r="W2048" s="4360">
        <v>45883</v>
      </c>
      <c r="X2048" s="4386" t="s">
        <v>6358</v>
      </c>
      <c r="Y2048" s="822">
        <v>45899</v>
      </c>
      <c r="Z2048" s="745"/>
      <c r="AA2048" s="918"/>
      <c r="AB2048" s="919"/>
      <c r="AC2048" s="919"/>
      <c r="AD2048" s="741"/>
      <c r="AE2048" s="741"/>
      <c r="AF2048" s="741"/>
      <c r="AG2048" s="741"/>
      <c r="AH2048" s="638"/>
      <c r="AI2048" s="741"/>
    </row>
    <row r="2049" s="47" customFormat="1" ht="92" spans="1:35">
      <c r="A2049" s="683"/>
      <c r="B2049" s="4319"/>
      <c r="C2049" s="683"/>
      <c r="D2049" s="683"/>
      <c r="E2049" s="683"/>
      <c r="F2049" s="683"/>
      <c r="G2049" s="683"/>
      <c r="H2049" s="683"/>
      <c r="I2049" s="683"/>
      <c r="J2049" s="683"/>
      <c r="K2049" s="683"/>
      <c r="L2049" s="683"/>
      <c r="M2049" s="639">
        <v>4</v>
      </c>
      <c r="N2049" s="639" t="s">
        <v>7204</v>
      </c>
      <c r="O2049" s="4384">
        <v>0.2</v>
      </c>
      <c r="P2049" s="4344">
        <f>831780*O2049</f>
        <v>166356</v>
      </c>
      <c r="Q2049" s="821">
        <v>166356</v>
      </c>
      <c r="R2049" s="821" t="s">
        <v>349</v>
      </c>
      <c r="S2049" s="822">
        <v>46386</v>
      </c>
      <c r="T2049" s="745"/>
      <c r="U2049" s="819"/>
      <c r="V2049" s="741"/>
      <c r="W2049" s="4360"/>
      <c r="X2049" s="745"/>
      <c r="Y2049" s="819"/>
      <c r="Z2049" s="745"/>
      <c r="AA2049" s="918"/>
      <c r="AB2049" s="919"/>
      <c r="AC2049" s="919"/>
      <c r="AD2049" s="959"/>
      <c r="AE2049" s="959"/>
      <c r="AF2049" s="959"/>
      <c r="AG2049" s="959"/>
      <c r="AH2049" s="642"/>
      <c r="AI2049" s="959"/>
    </row>
    <row r="2050" s="23" customFormat="1" ht="46" spans="1:35">
      <c r="A2050" s="636" t="s">
        <v>2570</v>
      </c>
      <c r="B2050" s="4318">
        <v>45257</v>
      </c>
      <c r="C2050" s="636" t="s">
        <v>7088</v>
      </c>
      <c r="D2050" s="636" t="s">
        <v>171</v>
      </c>
      <c r="E2050" s="636" t="s">
        <v>7205</v>
      </c>
      <c r="F2050" s="636" t="s">
        <v>7206</v>
      </c>
      <c r="G2050" s="636" t="s">
        <v>3453</v>
      </c>
      <c r="H2050" s="636" t="s">
        <v>6618</v>
      </c>
      <c r="I2050" s="636" t="s">
        <v>7207</v>
      </c>
      <c r="J2050" s="636" t="s">
        <v>2887</v>
      </c>
      <c r="K2050" s="636">
        <v>390000</v>
      </c>
      <c r="L2050" s="636" t="s">
        <v>126</v>
      </c>
      <c r="M2050" s="636">
        <v>1</v>
      </c>
      <c r="N2050" s="636" t="s">
        <v>7208</v>
      </c>
      <c r="O2050" s="636" t="s">
        <v>7209</v>
      </c>
      <c r="P2050" s="744">
        <f t="shared" ref="P2050:T2050" si="62">390000*0.2</f>
        <v>78000</v>
      </c>
      <c r="Q2050" s="4353">
        <f t="shared" si="62"/>
        <v>78000</v>
      </c>
      <c r="R2050" s="745" t="s">
        <v>4603</v>
      </c>
      <c r="S2050" s="819">
        <v>45266</v>
      </c>
      <c r="T2050" s="4353">
        <f t="shared" si="62"/>
        <v>78000</v>
      </c>
      <c r="U2050" s="819">
        <v>45266</v>
      </c>
      <c r="V2050" s="4353">
        <f>390000*0.2</f>
        <v>78000</v>
      </c>
      <c r="W2050" s="819">
        <v>45267</v>
      </c>
      <c r="X2050" s="4353">
        <f>390000*0.2</f>
        <v>78000</v>
      </c>
      <c r="Y2050" s="819">
        <v>45279</v>
      </c>
      <c r="Z2050" s="745"/>
      <c r="AA2050" s="918"/>
      <c r="AB2050" s="919"/>
      <c r="AC2050" s="919"/>
      <c r="AD2050" s="741"/>
      <c r="AE2050" s="741"/>
      <c r="AF2050" s="741"/>
      <c r="AG2050" s="741"/>
      <c r="AH2050" s="638"/>
      <c r="AI2050" s="741"/>
    </row>
    <row r="2051" s="23" customFormat="1" ht="76" spans="1:35">
      <c r="A2051" s="636"/>
      <c r="B2051" s="4319"/>
      <c r="C2051" s="636"/>
      <c r="D2051" s="636"/>
      <c r="E2051" s="636"/>
      <c r="F2051" s="636"/>
      <c r="G2051" s="636"/>
      <c r="H2051" s="636"/>
      <c r="I2051" s="636"/>
      <c r="J2051" s="636"/>
      <c r="K2051" s="636"/>
      <c r="L2051" s="636"/>
      <c r="M2051" s="636">
        <v>2</v>
      </c>
      <c r="N2051" s="636" t="s">
        <v>7210</v>
      </c>
      <c r="O2051" s="636" t="s">
        <v>7211</v>
      </c>
      <c r="P2051" s="744">
        <f t="shared" ref="P2051:T2051" si="63">390000*0.6</f>
        <v>234000</v>
      </c>
      <c r="Q2051" s="4353">
        <f t="shared" si="63"/>
        <v>234000</v>
      </c>
      <c r="R2051" s="745" t="s">
        <v>4603</v>
      </c>
      <c r="S2051" s="819">
        <v>45266</v>
      </c>
      <c r="T2051" s="4353">
        <f t="shared" si="63"/>
        <v>234000</v>
      </c>
      <c r="U2051" s="819">
        <v>45266</v>
      </c>
      <c r="V2051" s="4353">
        <f>390000*0.6</f>
        <v>234000</v>
      </c>
      <c r="W2051" s="4360">
        <v>45294</v>
      </c>
      <c r="X2051" s="745">
        <v>234000</v>
      </c>
      <c r="Y2051" s="819">
        <v>45313</v>
      </c>
      <c r="Z2051" s="745"/>
      <c r="AA2051" s="918"/>
      <c r="AB2051" s="919"/>
      <c r="AC2051" s="919"/>
      <c r="AD2051" s="741"/>
      <c r="AE2051" s="741"/>
      <c r="AF2051" s="741"/>
      <c r="AG2051" s="741"/>
      <c r="AH2051" s="638"/>
      <c r="AI2051" s="741"/>
    </row>
    <row r="2052" s="23" customFormat="1" ht="46" spans="1:35">
      <c r="A2052" s="636"/>
      <c r="B2052" s="4372"/>
      <c r="C2052" s="636"/>
      <c r="D2052" s="636"/>
      <c r="E2052" s="636"/>
      <c r="F2052" s="636"/>
      <c r="G2052" s="636"/>
      <c r="H2052" s="636"/>
      <c r="I2052" s="636"/>
      <c r="J2052" s="636"/>
      <c r="K2052" s="636"/>
      <c r="L2052" s="636"/>
      <c r="M2052" s="636">
        <v>3</v>
      </c>
      <c r="N2052" s="636" t="s">
        <v>7212</v>
      </c>
      <c r="O2052" s="636" t="s">
        <v>7101</v>
      </c>
      <c r="P2052" s="744">
        <f>390000*0.2</f>
        <v>78000</v>
      </c>
      <c r="Q2052" s="821">
        <v>78000</v>
      </c>
      <c r="R2052" s="821" t="s">
        <v>349</v>
      </c>
      <c r="S2052" s="822">
        <v>46386</v>
      </c>
      <c r="T2052" s="745"/>
      <c r="U2052" s="819"/>
      <c r="V2052" s="741"/>
      <c r="W2052" s="4360"/>
      <c r="X2052" s="821"/>
      <c r="Y2052" s="822"/>
      <c r="Z2052" s="745"/>
      <c r="AA2052" s="918"/>
      <c r="AB2052" s="919"/>
      <c r="AC2052" s="919"/>
      <c r="AD2052" s="741"/>
      <c r="AE2052" s="741"/>
      <c r="AF2052" s="741"/>
      <c r="AG2052" s="741"/>
      <c r="AH2052" s="638"/>
      <c r="AI2052" s="741"/>
    </row>
    <row r="2053" s="23" customFormat="1" ht="61" spans="1:35">
      <c r="A2053" s="636" t="s">
        <v>2570</v>
      </c>
      <c r="B2053" s="4318">
        <v>45254</v>
      </c>
      <c r="C2053" s="636" t="s">
        <v>7088</v>
      </c>
      <c r="D2053" s="636" t="s">
        <v>171</v>
      </c>
      <c r="E2053" s="636" t="s">
        <v>7213</v>
      </c>
      <c r="F2053" s="636" t="s">
        <v>7214</v>
      </c>
      <c r="G2053" s="636" t="s">
        <v>432</v>
      </c>
      <c r="H2053" s="636" t="s">
        <v>6655</v>
      </c>
      <c r="I2053" s="636" t="s">
        <v>171</v>
      </c>
      <c r="J2053" s="636" t="s">
        <v>2887</v>
      </c>
      <c r="K2053" s="636">
        <v>200000</v>
      </c>
      <c r="L2053" s="636" t="s">
        <v>126</v>
      </c>
      <c r="M2053" s="636">
        <v>1</v>
      </c>
      <c r="N2053" s="636" t="s">
        <v>7215</v>
      </c>
      <c r="O2053" s="4383" t="s">
        <v>7091</v>
      </c>
      <c r="P2053" s="744">
        <f t="shared" ref="P2053:T2053" si="64">200000*0.2</f>
        <v>40000</v>
      </c>
      <c r="Q2053" s="4353">
        <f t="shared" si="64"/>
        <v>40000</v>
      </c>
      <c r="R2053" s="745" t="s">
        <v>4603</v>
      </c>
      <c r="S2053" s="819">
        <v>45266</v>
      </c>
      <c r="T2053" s="4353">
        <f t="shared" si="64"/>
        <v>40000</v>
      </c>
      <c r="U2053" s="819">
        <v>45266</v>
      </c>
      <c r="V2053" s="4353">
        <f>200000*0.2</f>
        <v>40000</v>
      </c>
      <c r="W2053" s="819">
        <v>45267</v>
      </c>
      <c r="X2053" s="4353">
        <f>200000*0.2</f>
        <v>40000</v>
      </c>
      <c r="Y2053" s="819">
        <v>45279</v>
      </c>
      <c r="Z2053" s="745"/>
      <c r="AA2053" s="918"/>
      <c r="AB2053" s="919"/>
      <c r="AC2053" s="919"/>
      <c r="AD2053" s="741"/>
      <c r="AE2053" s="741"/>
      <c r="AF2053" s="741"/>
      <c r="AG2053" s="741"/>
      <c r="AH2053" s="638"/>
      <c r="AI2053" s="741"/>
    </row>
    <row r="2054" s="23" customFormat="1" ht="76" spans="1:35">
      <c r="A2054" s="636"/>
      <c r="B2054" s="4319"/>
      <c r="C2054" s="636"/>
      <c r="D2054" s="636"/>
      <c r="E2054" s="636"/>
      <c r="F2054" s="636"/>
      <c r="G2054" s="636"/>
      <c r="H2054" s="636"/>
      <c r="I2054" s="636"/>
      <c r="J2054" s="636"/>
      <c r="K2054" s="636"/>
      <c r="L2054" s="636"/>
      <c r="M2054" s="636">
        <v>2</v>
      </c>
      <c r="N2054" s="636" t="s">
        <v>7216</v>
      </c>
      <c r="O2054" s="4383" t="s">
        <v>7217</v>
      </c>
      <c r="P2054" s="744">
        <f t="shared" ref="P2054:T2054" si="65">200000*0.6</f>
        <v>120000</v>
      </c>
      <c r="Q2054" s="4353">
        <f t="shared" si="65"/>
        <v>120000</v>
      </c>
      <c r="R2054" s="745" t="s">
        <v>4603</v>
      </c>
      <c r="S2054" s="819">
        <v>45266</v>
      </c>
      <c r="T2054" s="4353">
        <f t="shared" si="65"/>
        <v>120000</v>
      </c>
      <c r="U2054" s="819">
        <v>45266</v>
      </c>
      <c r="V2054" s="4353">
        <f>200000*0.6</f>
        <v>120000</v>
      </c>
      <c r="W2054" s="4360">
        <v>45296</v>
      </c>
      <c r="X2054" s="4353">
        <f>200000*0.6</f>
        <v>120000</v>
      </c>
      <c r="Y2054" s="819">
        <v>45313</v>
      </c>
      <c r="Z2054" s="745"/>
      <c r="AA2054" s="918"/>
      <c r="AB2054" s="919"/>
      <c r="AC2054" s="919"/>
      <c r="AD2054" s="741"/>
      <c r="AE2054" s="741"/>
      <c r="AF2054" s="741"/>
      <c r="AG2054" s="741"/>
      <c r="AH2054" s="638"/>
      <c r="AI2054" s="741"/>
    </row>
    <row r="2055" s="23" customFormat="1" ht="46" spans="1:35">
      <c r="A2055" s="636"/>
      <c r="B2055" s="4372"/>
      <c r="C2055" s="636"/>
      <c r="D2055" s="636"/>
      <c r="E2055" s="636"/>
      <c r="F2055" s="636"/>
      <c r="G2055" s="636"/>
      <c r="H2055" s="636"/>
      <c r="I2055" s="636"/>
      <c r="J2055" s="636"/>
      <c r="K2055" s="636"/>
      <c r="L2055" s="636"/>
      <c r="M2055" s="636">
        <v>3</v>
      </c>
      <c r="N2055" s="636" t="s">
        <v>7212</v>
      </c>
      <c r="O2055" s="4383" t="s">
        <v>7101</v>
      </c>
      <c r="P2055" s="744">
        <f>200000*0.2</f>
        <v>40000</v>
      </c>
      <c r="Q2055" s="821">
        <v>40000</v>
      </c>
      <c r="R2055" s="821" t="s">
        <v>349</v>
      </c>
      <c r="S2055" s="822">
        <v>46386</v>
      </c>
      <c r="T2055" s="745"/>
      <c r="U2055" s="819"/>
      <c r="V2055" s="741"/>
      <c r="W2055" s="4360"/>
      <c r="X2055" s="821"/>
      <c r="Y2055" s="822"/>
      <c r="Z2055" s="745"/>
      <c r="AA2055" s="918"/>
      <c r="AB2055" s="919"/>
      <c r="AC2055" s="919"/>
      <c r="AD2055" s="741"/>
      <c r="AE2055" s="741"/>
      <c r="AF2055" s="741"/>
      <c r="AG2055" s="741"/>
      <c r="AH2055" s="638"/>
      <c r="AI2055" s="741"/>
    </row>
    <row r="2056" s="1" customFormat="1" ht="46" spans="1:35">
      <c r="A2056" s="2112" t="s">
        <v>2570</v>
      </c>
      <c r="B2056" s="4393">
        <v>45275</v>
      </c>
      <c r="C2056" s="2112" t="s">
        <v>7218</v>
      </c>
      <c r="D2056" s="2112"/>
      <c r="E2056" s="2112" t="s">
        <v>7219</v>
      </c>
      <c r="F2056" s="2112" t="s">
        <v>7220</v>
      </c>
      <c r="G2056" s="2112" t="s">
        <v>240</v>
      </c>
      <c r="H2056" s="2112" t="s">
        <v>4638</v>
      </c>
      <c r="I2056" s="2112"/>
      <c r="J2056" s="2112"/>
      <c r="K2056" s="2112">
        <v>2240000</v>
      </c>
      <c r="L2056" s="2112" t="s">
        <v>26</v>
      </c>
      <c r="M2056" s="1969">
        <v>1</v>
      </c>
      <c r="N2056" s="2116" t="s">
        <v>3320</v>
      </c>
      <c r="O2056" s="2116" t="s">
        <v>7091</v>
      </c>
      <c r="P2056" s="4409">
        <f>K2056*0.2</f>
        <v>448000</v>
      </c>
      <c r="Q2056" s="1842">
        <v>448000</v>
      </c>
      <c r="R2056" s="1842" t="s">
        <v>4603</v>
      </c>
      <c r="S2056" s="1970">
        <v>45279</v>
      </c>
      <c r="T2056" s="1842">
        <v>448000</v>
      </c>
      <c r="U2056" s="1970">
        <v>45279</v>
      </c>
      <c r="V2056" s="1842">
        <v>448000</v>
      </c>
      <c r="W2056" s="1970">
        <v>45299</v>
      </c>
      <c r="X2056" s="1842">
        <v>448000</v>
      </c>
      <c r="Y2056" s="1970">
        <v>45310</v>
      </c>
      <c r="Z2056" s="1842"/>
      <c r="AA2056" s="4436"/>
      <c r="AB2056" s="4437"/>
      <c r="AC2056" s="4437"/>
      <c r="AD2056" s="2028"/>
      <c r="AE2056" s="2028"/>
      <c r="AF2056" s="2028"/>
      <c r="AG2056" s="2028"/>
      <c r="AH2056" s="2116"/>
      <c r="AI2056" s="2028"/>
    </row>
    <row r="2057" s="1" customFormat="1" ht="46" spans="1:35">
      <c r="A2057" s="2112"/>
      <c r="B2057" s="4393"/>
      <c r="C2057" s="2112"/>
      <c r="D2057" s="2112"/>
      <c r="E2057" s="2112"/>
      <c r="F2057" s="2112"/>
      <c r="G2057" s="2112"/>
      <c r="H2057" s="2112"/>
      <c r="I2057" s="2112"/>
      <c r="J2057" s="2112"/>
      <c r="K2057" s="2112"/>
      <c r="L2057" s="2112"/>
      <c r="M2057" s="1824">
        <v>2</v>
      </c>
      <c r="N2057" s="1826" t="s">
        <v>3321</v>
      </c>
      <c r="O2057" s="1826" t="s">
        <v>7092</v>
      </c>
      <c r="P2057" s="4410">
        <f>K2056*0.2</f>
        <v>448000</v>
      </c>
      <c r="Q2057" s="1825">
        <v>448000</v>
      </c>
      <c r="R2057" s="1825" t="s">
        <v>4603</v>
      </c>
      <c r="S2057" s="1970">
        <v>45279</v>
      </c>
      <c r="T2057" s="1825">
        <v>448000</v>
      </c>
      <c r="U2057" s="1970">
        <v>45279</v>
      </c>
      <c r="V2057" s="1825">
        <v>448000</v>
      </c>
      <c r="W2057" s="1970">
        <v>45299</v>
      </c>
      <c r="X2057" s="1825">
        <v>448000</v>
      </c>
      <c r="Y2057" s="1970">
        <v>45310</v>
      </c>
      <c r="Z2057" s="1842"/>
      <c r="AA2057" s="4436"/>
      <c r="AB2057" s="4437"/>
      <c r="AC2057" s="2245"/>
      <c r="AD2057" s="1790"/>
      <c r="AE2057" s="1790"/>
      <c r="AF2057" s="1790"/>
      <c r="AG2057" s="1790"/>
      <c r="AH2057" s="1826"/>
      <c r="AI2057" s="1790"/>
    </row>
    <row r="2058" s="1" customFormat="1" ht="46" spans="1:35">
      <c r="A2058" s="2112"/>
      <c r="B2058" s="4393"/>
      <c r="C2058" s="2112"/>
      <c r="D2058" s="2112"/>
      <c r="E2058" s="2112"/>
      <c r="F2058" s="2112"/>
      <c r="G2058" s="2112"/>
      <c r="H2058" s="2112"/>
      <c r="I2058" s="2112"/>
      <c r="J2058" s="2112"/>
      <c r="K2058" s="2112"/>
      <c r="L2058" s="2112"/>
      <c r="M2058" s="1824">
        <v>3</v>
      </c>
      <c r="N2058" s="1826" t="s">
        <v>3322</v>
      </c>
      <c r="O2058" s="1826" t="s">
        <v>7093</v>
      </c>
      <c r="P2058" s="4410">
        <f>K2056*0.2</f>
        <v>448000</v>
      </c>
      <c r="Q2058" s="1825">
        <v>448000</v>
      </c>
      <c r="R2058" s="1825" t="s">
        <v>4603</v>
      </c>
      <c r="S2058" s="1970">
        <v>45279</v>
      </c>
      <c r="T2058" s="1825">
        <v>448000</v>
      </c>
      <c r="U2058" s="1970">
        <v>45279</v>
      </c>
      <c r="V2058" s="1825">
        <v>448000</v>
      </c>
      <c r="W2058" s="1970">
        <v>45299</v>
      </c>
      <c r="X2058" s="1825">
        <v>448000</v>
      </c>
      <c r="Y2058" s="1970">
        <v>45310</v>
      </c>
      <c r="Z2058" s="1842"/>
      <c r="AA2058" s="4436"/>
      <c r="AB2058" s="4437"/>
      <c r="AC2058" s="2245"/>
      <c r="AD2058" s="1790"/>
      <c r="AE2058" s="1790"/>
      <c r="AF2058" s="1790"/>
      <c r="AG2058" s="1790"/>
      <c r="AH2058" s="1826"/>
      <c r="AI2058" s="1790"/>
    </row>
    <row r="2059" s="1" customFormat="1" ht="61" spans="1:35">
      <c r="A2059" s="2112"/>
      <c r="B2059" s="4393"/>
      <c r="C2059" s="2112"/>
      <c r="D2059" s="2112"/>
      <c r="E2059" s="2112"/>
      <c r="F2059" s="2112"/>
      <c r="G2059" s="2112"/>
      <c r="H2059" s="2112"/>
      <c r="I2059" s="2112"/>
      <c r="J2059" s="2112"/>
      <c r="K2059" s="2112"/>
      <c r="L2059" s="2112"/>
      <c r="M2059" s="1824">
        <v>4</v>
      </c>
      <c r="N2059" s="1826" t="s">
        <v>7221</v>
      </c>
      <c r="O2059" s="1826" t="s">
        <v>7095</v>
      </c>
      <c r="P2059" s="4410">
        <f>K2056*0.15</f>
        <v>336000</v>
      </c>
      <c r="Q2059" s="1825">
        <v>336000</v>
      </c>
      <c r="R2059" s="1825" t="s">
        <v>4603</v>
      </c>
      <c r="S2059" s="1970">
        <v>45279</v>
      </c>
      <c r="T2059" s="1825">
        <v>336000</v>
      </c>
      <c r="U2059" s="1970">
        <v>45279</v>
      </c>
      <c r="V2059" s="1825">
        <v>336000</v>
      </c>
      <c r="W2059" s="1970">
        <v>45299</v>
      </c>
      <c r="X2059" s="1825">
        <v>336000</v>
      </c>
      <c r="Y2059" s="1970">
        <v>45310</v>
      </c>
      <c r="Z2059" s="1842"/>
      <c r="AA2059" s="4436"/>
      <c r="AB2059" s="4437"/>
      <c r="AC2059" s="2245"/>
      <c r="AD2059" s="1790"/>
      <c r="AE2059" s="1790"/>
      <c r="AF2059" s="1790"/>
      <c r="AG2059" s="1790"/>
      <c r="AH2059" s="1826"/>
      <c r="AI2059" s="1790"/>
    </row>
    <row r="2060" s="1" customFormat="1" ht="46" spans="1:35">
      <c r="A2060" s="2112"/>
      <c r="B2060" s="4393"/>
      <c r="C2060" s="2112"/>
      <c r="D2060" s="2112"/>
      <c r="E2060" s="2112"/>
      <c r="F2060" s="2112"/>
      <c r="G2060" s="2112"/>
      <c r="H2060" s="2112"/>
      <c r="I2060" s="2112"/>
      <c r="J2060" s="2112"/>
      <c r="K2060" s="2112"/>
      <c r="L2060" s="2112"/>
      <c r="M2060" s="1824">
        <v>5</v>
      </c>
      <c r="N2060" s="1826" t="s">
        <v>7222</v>
      </c>
      <c r="O2060" s="1826" t="s">
        <v>7097</v>
      </c>
      <c r="P2060" s="4410">
        <f>K2056*0.1</f>
        <v>224000</v>
      </c>
      <c r="Q2060" s="1825">
        <v>224000</v>
      </c>
      <c r="R2060" s="1825" t="s">
        <v>4603</v>
      </c>
      <c r="S2060" s="1970">
        <v>45279</v>
      </c>
      <c r="T2060" s="1825">
        <v>224000</v>
      </c>
      <c r="U2060" s="1970">
        <v>45279</v>
      </c>
      <c r="V2060" s="1825">
        <v>224000</v>
      </c>
      <c r="W2060" s="1970">
        <v>45299</v>
      </c>
      <c r="X2060" s="1825">
        <v>224000</v>
      </c>
      <c r="Y2060" s="1970">
        <v>45310</v>
      </c>
      <c r="Z2060" s="1842"/>
      <c r="AA2060" s="4436"/>
      <c r="AB2060" s="4437"/>
      <c r="AC2060" s="2245"/>
      <c r="AD2060" s="1790"/>
      <c r="AE2060" s="1790"/>
      <c r="AF2060" s="1790"/>
      <c r="AG2060" s="1790"/>
      <c r="AH2060" s="1826"/>
      <c r="AI2060" s="1790"/>
    </row>
    <row r="2061" s="1" customFormat="1" ht="61" spans="1:35">
      <c r="A2061" s="2112"/>
      <c r="B2061" s="4393"/>
      <c r="C2061" s="2112"/>
      <c r="D2061" s="2112"/>
      <c r="E2061" s="2112"/>
      <c r="F2061" s="2112"/>
      <c r="G2061" s="2112"/>
      <c r="H2061" s="2112"/>
      <c r="I2061" s="2112"/>
      <c r="J2061" s="2112"/>
      <c r="K2061" s="2112"/>
      <c r="L2061" s="2112"/>
      <c r="M2061" s="1824">
        <v>6</v>
      </c>
      <c r="N2061" s="1826" t="s">
        <v>5604</v>
      </c>
      <c r="O2061" s="1826" t="s">
        <v>7099</v>
      </c>
      <c r="P2061" s="4410">
        <f>K2056*0.05</f>
        <v>112000</v>
      </c>
      <c r="Q2061" s="4419">
        <v>112000</v>
      </c>
      <c r="R2061" s="2158" t="s">
        <v>5015</v>
      </c>
      <c r="S2061" s="4420">
        <v>46386</v>
      </c>
      <c r="T2061" s="1842"/>
      <c r="U2061" s="1970"/>
      <c r="V2061" s="2028"/>
      <c r="W2061" s="2198"/>
      <c r="X2061" s="1842"/>
      <c r="Y2061" s="1970"/>
      <c r="Z2061" s="1842"/>
      <c r="AA2061" s="4436"/>
      <c r="AB2061" s="4437"/>
      <c r="AC2061" s="2245"/>
      <c r="AD2061" s="1790"/>
      <c r="AE2061" s="1790"/>
      <c r="AF2061" s="1790"/>
      <c r="AG2061" s="1790"/>
      <c r="AH2061" s="1826"/>
      <c r="AI2061" s="1790"/>
    </row>
    <row r="2062" s="1" customFormat="1" ht="76" spans="1:35">
      <c r="A2062" s="1969"/>
      <c r="B2062" s="4394"/>
      <c r="C2062" s="1969"/>
      <c r="D2062" s="1969"/>
      <c r="E2062" s="1969"/>
      <c r="F2062" s="1969"/>
      <c r="G2062" s="1969"/>
      <c r="H2062" s="1969"/>
      <c r="I2062" s="1969"/>
      <c r="J2062" s="1969"/>
      <c r="K2062" s="4400"/>
      <c r="L2062" s="1969"/>
      <c r="M2062" s="1824">
        <v>7</v>
      </c>
      <c r="N2062" s="1826" t="s">
        <v>7223</v>
      </c>
      <c r="O2062" s="1826" t="s">
        <v>7101</v>
      </c>
      <c r="P2062" s="4410">
        <f>K2056*0.1</f>
        <v>224000</v>
      </c>
      <c r="Q2062" s="1825"/>
      <c r="R2062" s="1825"/>
      <c r="S2062" s="1970"/>
      <c r="T2062" s="1842"/>
      <c r="U2062" s="1970"/>
      <c r="V2062" s="2028"/>
      <c r="W2062" s="2198"/>
      <c r="X2062" s="1842"/>
      <c r="Y2062" s="1970"/>
      <c r="Z2062" s="1842"/>
      <c r="AA2062" s="4436"/>
      <c r="AB2062" s="4437"/>
      <c r="AC2062" s="2245"/>
      <c r="AD2062" s="1790"/>
      <c r="AE2062" s="1790"/>
      <c r="AF2062" s="1790"/>
      <c r="AG2062" s="1790"/>
      <c r="AH2062" s="1826"/>
      <c r="AI2062" s="1790"/>
    </row>
    <row r="2063" s="1" customFormat="1" ht="27.75" customHeight="1" spans="1:35">
      <c r="A2063" s="1824" t="s">
        <v>2570</v>
      </c>
      <c r="B2063" s="4395">
        <v>45279</v>
      </c>
      <c r="C2063" s="1824" t="s">
        <v>7218</v>
      </c>
      <c r="D2063" s="2112"/>
      <c r="E2063" s="1824" t="s">
        <v>7224</v>
      </c>
      <c r="F2063" s="1824" t="s">
        <v>7225</v>
      </c>
      <c r="G2063" s="1824" t="s">
        <v>7226</v>
      </c>
      <c r="H2063" s="1824" t="s">
        <v>6610</v>
      </c>
      <c r="I2063" s="1824"/>
      <c r="J2063" s="1824" t="s">
        <v>2887</v>
      </c>
      <c r="K2063" s="1824">
        <v>6161180.79</v>
      </c>
      <c r="L2063" s="1824" t="s">
        <v>126</v>
      </c>
      <c r="M2063" s="1824">
        <v>1</v>
      </c>
      <c r="N2063" s="1826" t="s">
        <v>7105</v>
      </c>
      <c r="O2063" s="1826" t="s">
        <v>7106</v>
      </c>
      <c r="P2063" s="4410">
        <f>K2063*0.2</f>
        <v>1232236.158</v>
      </c>
      <c r="Q2063" s="4421">
        <v>1232236.16</v>
      </c>
      <c r="R2063" s="1825" t="s">
        <v>4603</v>
      </c>
      <c r="S2063" s="1970">
        <v>45282</v>
      </c>
      <c r="T2063" s="4421">
        <v>1232236.16</v>
      </c>
      <c r="U2063" s="1970">
        <v>45282</v>
      </c>
      <c r="V2063" s="4421">
        <v>1232236.16</v>
      </c>
      <c r="W2063" s="1970">
        <v>45282</v>
      </c>
      <c r="X2063" s="4421">
        <v>1232236.16</v>
      </c>
      <c r="Y2063" s="1970">
        <v>45285</v>
      </c>
      <c r="Z2063" s="1842"/>
      <c r="AA2063" s="4436"/>
      <c r="AB2063" s="4437"/>
      <c r="AC2063" s="2245"/>
      <c r="AD2063" s="1790"/>
      <c r="AE2063" s="1790"/>
      <c r="AF2063" s="1790"/>
      <c r="AG2063" s="1790"/>
      <c r="AH2063" s="1826"/>
      <c r="AI2063" s="1790"/>
    </row>
    <row r="2064" s="1" customFormat="1" ht="27.75" customHeight="1" spans="1:35">
      <c r="A2064" s="1824"/>
      <c r="B2064" s="4393"/>
      <c r="C2064" s="1824"/>
      <c r="D2064" s="2112"/>
      <c r="E2064" s="1824"/>
      <c r="F2064" s="1824"/>
      <c r="G2064" s="1824"/>
      <c r="H2064" s="1824"/>
      <c r="I2064" s="1824"/>
      <c r="J2064" s="1824"/>
      <c r="K2064" s="1824"/>
      <c r="L2064" s="1824"/>
      <c r="M2064" s="1824">
        <v>2</v>
      </c>
      <c r="N2064" s="1826" t="s">
        <v>7107</v>
      </c>
      <c r="O2064" s="1826" t="s">
        <v>7108</v>
      </c>
      <c r="P2064" s="4410">
        <f>K2063*0.2</f>
        <v>1232236.158</v>
      </c>
      <c r="Q2064" s="4421">
        <v>1232236.16</v>
      </c>
      <c r="R2064" s="1825" t="s">
        <v>4603</v>
      </c>
      <c r="S2064" s="1970">
        <v>45282</v>
      </c>
      <c r="T2064" s="4421">
        <v>1232236.16</v>
      </c>
      <c r="U2064" s="1970">
        <v>45282</v>
      </c>
      <c r="V2064" s="4421">
        <v>1232236.16</v>
      </c>
      <c r="W2064" s="2198">
        <v>45295</v>
      </c>
      <c r="X2064" s="4421">
        <v>1232236.16</v>
      </c>
      <c r="Y2064" s="1970">
        <v>45309</v>
      </c>
      <c r="Z2064" s="1842"/>
      <c r="AA2064" s="4436"/>
      <c r="AB2064" s="4437"/>
      <c r="AC2064" s="2245"/>
      <c r="AD2064" s="1790"/>
      <c r="AE2064" s="1790"/>
      <c r="AF2064" s="1790"/>
      <c r="AG2064" s="1790"/>
      <c r="AH2064" s="1826"/>
      <c r="AI2064" s="1790"/>
    </row>
    <row r="2065" s="1" customFormat="1" ht="27.75" customHeight="1" spans="1:35">
      <c r="A2065" s="1824"/>
      <c r="B2065" s="4393"/>
      <c r="C2065" s="1824"/>
      <c r="D2065" s="2112"/>
      <c r="E2065" s="1824"/>
      <c r="F2065" s="1824"/>
      <c r="G2065" s="1824"/>
      <c r="H2065" s="1824"/>
      <c r="I2065" s="1824"/>
      <c r="J2065" s="1824"/>
      <c r="K2065" s="1824"/>
      <c r="L2065" s="1824"/>
      <c r="M2065" s="1824">
        <v>3</v>
      </c>
      <c r="N2065" s="1826" t="s">
        <v>7109</v>
      </c>
      <c r="O2065" s="1826" t="s">
        <v>7110</v>
      </c>
      <c r="P2065" s="4410">
        <f>K2063*0.1</f>
        <v>616118.079</v>
      </c>
      <c r="Q2065" s="4421">
        <v>616118.08</v>
      </c>
      <c r="R2065" s="1825" t="s">
        <v>4603</v>
      </c>
      <c r="S2065" s="1970">
        <v>45282</v>
      </c>
      <c r="T2065" s="4421">
        <v>616118.08</v>
      </c>
      <c r="U2065" s="1970">
        <v>45282</v>
      </c>
      <c r="V2065" s="4421">
        <v>616118.08</v>
      </c>
      <c r="W2065" s="2198">
        <v>45295</v>
      </c>
      <c r="X2065" s="4421">
        <v>616118.08</v>
      </c>
      <c r="Y2065" s="1970">
        <v>45309</v>
      </c>
      <c r="Z2065" s="1842"/>
      <c r="AA2065" s="4436"/>
      <c r="AB2065" s="4437"/>
      <c r="AC2065" s="2245"/>
      <c r="AD2065" s="1790"/>
      <c r="AE2065" s="1790"/>
      <c r="AF2065" s="1790"/>
      <c r="AG2065" s="1790"/>
      <c r="AH2065" s="1826"/>
      <c r="AI2065" s="1790"/>
    </row>
    <row r="2066" s="1" customFormat="1" ht="27.75" customHeight="1" spans="1:35">
      <c r="A2066" s="1824"/>
      <c r="B2066" s="4393"/>
      <c r="C2066" s="1824"/>
      <c r="D2066" s="2112"/>
      <c r="E2066" s="1824"/>
      <c r="F2066" s="1824"/>
      <c r="G2066" s="1824"/>
      <c r="H2066" s="1824"/>
      <c r="I2066" s="1824"/>
      <c r="J2066" s="1824"/>
      <c r="K2066" s="1824"/>
      <c r="L2066" s="1824"/>
      <c r="M2066" s="1824">
        <v>4</v>
      </c>
      <c r="N2066" s="1826" t="s">
        <v>7111</v>
      </c>
      <c r="O2066" s="1826" t="s">
        <v>7112</v>
      </c>
      <c r="P2066" s="4410">
        <f>K2063*0.2</f>
        <v>1232236.158</v>
      </c>
      <c r="Q2066" s="4421">
        <v>1232236.15</v>
      </c>
      <c r="R2066" s="1825" t="s">
        <v>4603</v>
      </c>
      <c r="S2066" s="1970">
        <v>45282</v>
      </c>
      <c r="T2066" s="4421">
        <v>1232236.15</v>
      </c>
      <c r="U2066" s="1970">
        <v>45282</v>
      </c>
      <c r="V2066" s="4421">
        <v>1232236.15</v>
      </c>
      <c r="W2066" s="2198">
        <v>45295</v>
      </c>
      <c r="X2066" s="4421">
        <v>1232236.15</v>
      </c>
      <c r="Y2066" s="1970">
        <v>45309</v>
      </c>
      <c r="Z2066" s="1842"/>
      <c r="AA2066" s="4436"/>
      <c r="AB2066" s="4437"/>
      <c r="AC2066" s="2245"/>
      <c r="AD2066" s="1790"/>
      <c r="AE2066" s="1790"/>
      <c r="AF2066" s="1790"/>
      <c r="AG2066" s="1790"/>
      <c r="AH2066" s="1826"/>
      <c r="AI2066" s="1790"/>
    </row>
    <row r="2067" s="1" customFormat="1" ht="27.75" customHeight="1" spans="1:35">
      <c r="A2067" s="1824"/>
      <c r="B2067" s="4393"/>
      <c r="C2067" s="1824"/>
      <c r="D2067" s="2112"/>
      <c r="E2067" s="1824"/>
      <c r="F2067" s="1824"/>
      <c r="G2067" s="1824"/>
      <c r="H2067" s="1824"/>
      <c r="I2067" s="1824"/>
      <c r="J2067" s="1824"/>
      <c r="K2067" s="1824"/>
      <c r="L2067" s="1824"/>
      <c r="M2067" s="1824">
        <v>5</v>
      </c>
      <c r="N2067" s="1826" t="s">
        <v>7113</v>
      </c>
      <c r="O2067" s="1826" t="s">
        <v>7116</v>
      </c>
      <c r="P2067" s="4410">
        <f>K2063*0.15</f>
        <v>924177.1185</v>
      </c>
      <c r="Q2067" s="4422">
        <v>924177.1185</v>
      </c>
      <c r="R2067" s="4102" t="s">
        <v>4603</v>
      </c>
      <c r="S2067" s="4423">
        <v>45635</v>
      </c>
      <c r="T2067" s="4424">
        <f>Q2067</f>
        <v>924177.1185</v>
      </c>
      <c r="U2067" s="1970">
        <v>45635</v>
      </c>
      <c r="V2067" s="2028">
        <f>T2067</f>
        <v>924177.1185</v>
      </c>
      <c r="W2067" s="2198">
        <v>45636</v>
      </c>
      <c r="X2067" s="4421">
        <v>800000</v>
      </c>
      <c r="Y2067" s="1970">
        <v>45652</v>
      </c>
      <c r="Z2067" s="1842"/>
      <c r="AA2067" s="4436"/>
      <c r="AB2067" s="4437"/>
      <c r="AC2067" s="2245"/>
      <c r="AD2067" s="1790"/>
      <c r="AE2067" s="1790"/>
      <c r="AF2067" s="1790"/>
      <c r="AG2067" s="1790"/>
      <c r="AH2067" s="1826"/>
      <c r="AI2067" s="1790"/>
    </row>
    <row r="2068" s="1" customFormat="1" ht="27.75" customHeight="1" spans="1:35">
      <c r="A2068" s="1824"/>
      <c r="B2068" s="4393"/>
      <c r="C2068" s="1824"/>
      <c r="D2068" s="2112"/>
      <c r="E2068" s="1824"/>
      <c r="F2068" s="1824"/>
      <c r="G2068" s="1824"/>
      <c r="H2068" s="1824"/>
      <c r="I2068" s="1824"/>
      <c r="J2068" s="1824"/>
      <c r="K2068" s="1824"/>
      <c r="L2068" s="1824"/>
      <c r="M2068" s="1824">
        <v>6</v>
      </c>
      <c r="N2068" s="1826" t="s">
        <v>7115</v>
      </c>
      <c r="O2068" s="1826" t="s">
        <v>7227</v>
      </c>
      <c r="P2068" s="4410">
        <f>K2063*0.05</f>
        <v>308059.0395</v>
      </c>
      <c r="Q2068" s="4422">
        <v>308059.0395</v>
      </c>
      <c r="R2068" s="4102" t="s">
        <v>4603</v>
      </c>
      <c r="S2068" s="4423">
        <v>45635</v>
      </c>
      <c r="T2068" s="4424">
        <f>Q2068</f>
        <v>308059.0395</v>
      </c>
      <c r="U2068" s="1970">
        <v>45635</v>
      </c>
      <c r="V2068" s="2028">
        <f>T2068</f>
        <v>308059.0395</v>
      </c>
      <c r="W2068" s="2198">
        <v>45636</v>
      </c>
      <c r="X2068" s="4421">
        <f>308059.0395+(V2067-X2067)</f>
        <v>432236.158</v>
      </c>
      <c r="Y2068" s="1970">
        <v>45681</v>
      </c>
      <c r="Z2068" s="1842"/>
      <c r="AA2068" s="4436"/>
      <c r="AB2068" s="4437"/>
      <c r="AC2068" s="2245"/>
      <c r="AD2068" s="1790"/>
      <c r="AE2068" s="1790"/>
      <c r="AF2068" s="1790"/>
      <c r="AG2068" s="1790"/>
      <c r="AH2068" s="1826"/>
      <c r="AI2068" s="1790"/>
    </row>
    <row r="2069" s="1" customFormat="1" ht="27.75" customHeight="1" spans="1:35">
      <c r="A2069" s="1824"/>
      <c r="B2069" s="4393"/>
      <c r="C2069" s="1824"/>
      <c r="D2069" s="2112"/>
      <c r="E2069" s="1824"/>
      <c r="F2069" s="1824"/>
      <c r="G2069" s="1824"/>
      <c r="H2069" s="1824"/>
      <c r="I2069" s="1824"/>
      <c r="J2069" s="1824"/>
      <c r="K2069" s="1824"/>
      <c r="L2069" s="1824"/>
      <c r="M2069" s="1824">
        <v>7</v>
      </c>
      <c r="N2069" s="1826" t="s">
        <v>7117</v>
      </c>
      <c r="O2069" s="1826" t="s">
        <v>7118</v>
      </c>
      <c r="P2069" s="4410">
        <f>K2063*0.1</f>
        <v>616118.079</v>
      </c>
      <c r="Q2069" s="4422">
        <v>616118.08</v>
      </c>
      <c r="R2069" s="4425" t="s">
        <v>4603</v>
      </c>
      <c r="S2069" s="4423">
        <v>45652</v>
      </c>
      <c r="T2069" s="4424">
        <v>616118.08</v>
      </c>
      <c r="U2069" s="4423">
        <v>45652</v>
      </c>
      <c r="V2069" s="2028"/>
      <c r="W2069" s="2198"/>
      <c r="X2069" s="1842"/>
      <c r="Y2069" s="4420"/>
      <c r="Z2069" s="1842"/>
      <c r="AA2069" s="4436"/>
      <c r="AB2069" s="4437"/>
      <c r="AC2069" s="2245"/>
      <c r="AD2069" s="1790"/>
      <c r="AE2069" s="1790"/>
      <c r="AF2069" s="1790"/>
      <c r="AG2069" s="1790"/>
      <c r="AH2069" s="1826"/>
      <c r="AI2069" s="1790"/>
    </row>
    <row r="2070" s="1" customFormat="1" ht="27.75" customHeight="1" spans="1:35">
      <c r="A2070" s="1824"/>
      <c r="B2070" s="4393"/>
      <c r="C2070" s="1824"/>
      <c r="D2070" s="2112"/>
      <c r="E2070" s="1824"/>
      <c r="F2070" s="1824"/>
      <c r="G2070" s="1824" t="s">
        <v>6613</v>
      </c>
      <c r="H2070" s="1824"/>
      <c r="I2070" s="1824"/>
      <c r="J2070" s="1824"/>
      <c r="K2070" s="1824">
        <v>1390258.81</v>
      </c>
      <c r="L2070" s="1824" t="s">
        <v>126</v>
      </c>
      <c r="M2070" s="1826">
        <v>1</v>
      </c>
      <c r="N2070" s="1826" t="s">
        <v>7119</v>
      </c>
      <c r="O2070" s="1826" t="s">
        <v>7120</v>
      </c>
      <c r="P2070" s="4410">
        <f>K2070*0.2</f>
        <v>278051.762</v>
      </c>
      <c r="Q2070" s="4421">
        <v>278051.76</v>
      </c>
      <c r="R2070" s="1825" t="s">
        <v>4603</v>
      </c>
      <c r="S2070" s="1970">
        <v>45282</v>
      </c>
      <c r="T2070" s="4421">
        <v>278051.76</v>
      </c>
      <c r="U2070" s="1970">
        <v>45282</v>
      </c>
      <c r="V2070" s="4421">
        <v>278051.76</v>
      </c>
      <c r="W2070" s="1970">
        <v>45282</v>
      </c>
      <c r="X2070" s="4421">
        <v>278051.76</v>
      </c>
      <c r="Y2070" s="1970">
        <v>45285</v>
      </c>
      <c r="Z2070" s="1842"/>
      <c r="AA2070" s="4436"/>
      <c r="AB2070" s="4437"/>
      <c r="AC2070" s="2245"/>
      <c r="AD2070" s="1790"/>
      <c r="AE2070" s="1790"/>
      <c r="AF2070" s="1790"/>
      <c r="AG2070" s="1790"/>
      <c r="AH2070" s="1826"/>
      <c r="AI2070" s="1790"/>
    </row>
    <row r="2071" s="1" customFormat="1" ht="27.75" customHeight="1" spans="1:35">
      <c r="A2071" s="1824"/>
      <c r="B2071" s="4393"/>
      <c r="C2071" s="1824"/>
      <c r="D2071" s="2112"/>
      <c r="E2071" s="1824"/>
      <c r="F2071" s="1824"/>
      <c r="G2071" s="1824"/>
      <c r="H2071" s="1824"/>
      <c r="I2071" s="1824"/>
      <c r="J2071" s="1824"/>
      <c r="K2071" s="1824"/>
      <c r="L2071" s="1824"/>
      <c r="M2071" s="1826">
        <v>2</v>
      </c>
      <c r="N2071" s="1826" t="s">
        <v>7121</v>
      </c>
      <c r="O2071" s="1826" t="s">
        <v>7122</v>
      </c>
      <c r="P2071" s="4410">
        <f>K2070*0.6</f>
        <v>834155.286</v>
      </c>
      <c r="Q2071" s="4421">
        <v>834155.29</v>
      </c>
      <c r="R2071" s="1825" t="s">
        <v>4603</v>
      </c>
      <c r="S2071" s="1970">
        <v>45282</v>
      </c>
      <c r="T2071" s="4421">
        <v>834155.29</v>
      </c>
      <c r="U2071" s="1970">
        <v>45282</v>
      </c>
      <c r="V2071" s="4421">
        <v>834155.29</v>
      </c>
      <c r="W2071" s="2198">
        <v>45295</v>
      </c>
      <c r="X2071" s="4421">
        <v>834155.29</v>
      </c>
      <c r="Y2071" s="1970">
        <v>45309</v>
      </c>
      <c r="Z2071" s="1842"/>
      <c r="AA2071" s="4436"/>
      <c r="AB2071" s="4437"/>
      <c r="AC2071" s="2245"/>
      <c r="AD2071" s="1790"/>
      <c r="AE2071" s="1790"/>
      <c r="AF2071" s="1790"/>
      <c r="AG2071" s="1790"/>
      <c r="AH2071" s="1826"/>
      <c r="AI2071" s="1790"/>
    </row>
    <row r="2072" s="1" customFormat="1" ht="27.75" customHeight="1" spans="1:35">
      <c r="A2072" s="1824"/>
      <c r="B2072" s="4393"/>
      <c r="C2072" s="1824"/>
      <c r="D2072" s="2112"/>
      <c r="E2072" s="1824"/>
      <c r="F2072" s="1824"/>
      <c r="G2072" s="1824"/>
      <c r="H2072" s="1824"/>
      <c r="I2072" s="1824"/>
      <c r="J2072" s="1824"/>
      <c r="K2072" s="1824"/>
      <c r="L2072" s="1824"/>
      <c r="M2072" s="1826">
        <v>3</v>
      </c>
      <c r="N2072" s="1826" t="s">
        <v>7117</v>
      </c>
      <c r="O2072" s="1826" t="s">
        <v>7123</v>
      </c>
      <c r="P2072" s="4410">
        <f>K2070*0.2</f>
        <v>278051.762</v>
      </c>
      <c r="Q2072" s="2158"/>
      <c r="R2072" s="1842"/>
      <c r="S2072" s="1970"/>
      <c r="T2072" s="1842"/>
      <c r="U2072" s="1970"/>
      <c r="V2072" s="2028"/>
      <c r="W2072" s="2198"/>
      <c r="X2072" s="1842"/>
      <c r="Y2072" s="4420"/>
      <c r="Z2072" s="1842"/>
      <c r="AA2072" s="4436"/>
      <c r="AB2072" s="4437"/>
      <c r="AC2072" s="2245"/>
      <c r="AD2072" s="1790"/>
      <c r="AE2072" s="1790"/>
      <c r="AF2072" s="1790"/>
      <c r="AG2072" s="1790"/>
      <c r="AH2072" s="1826"/>
      <c r="AI2072" s="1790"/>
    </row>
    <row r="2073" s="1" customFormat="1" ht="27.75" customHeight="1" spans="1:35">
      <c r="A2073" s="1824"/>
      <c r="B2073" s="4393"/>
      <c r="C2073" s="1824"/>
      <c r="D2073" s="2112"/>
      <c r="E2073" s="1824"/>
      <c r="F2073" s="1824"/>
      <c r="G2073" s="1824" t="s">
        <v>3453</v>
      </c>
      <c r="H2073" s="1824"/>
      <c r="I2073" s="1824"/>
      <c r="J2073" s="1824"/>
      <c r="K2073" s="1824">
        <v>360560.4</v>
      </c>
      <c r="L2073" s="1824" t="s">
        <v>126</v>
      </c>
      <c r="M2073" s="1826">
        <v>1</v>
      </c>
      <c r="N2073" s="1826" t="s">
        <v>7228</v>
      </c>
      <c r="O2073" s="1826" t="s">
        <v>7229</v>
      </c>
      <c r="P2073" s="4410">
        <f>K2073*0.2</f>
        <v>72112.08</v>
      </c>
      <c r="Q2073" s="1825">
        <v>72112.08</v>
      </c>
      <c r="R2073" s="1825" t="s">
        <v>4603</v>
      </c>
      <c r="S2073" s="1970">
        <v>45282</v>
      </c>
      <c r="T2073" s="1825">
        <v>72112.08</v>
      </c>
      <c r="U2073" s="1970">
        <v>45282</v>
      </c>
      <c r="V2073" s="1825">
        <v>72112.08</v>
      </c>
      <c r="W2073" s="1970">
        <v>45282</v>
      </c>
      <c r="X2073" s="1825">
        <v>72112.08</v>
      </c>
      <c r="Y2073" s="1970">
        <v>45285</v>
      </c>
      <c r="Z2073" s="1842"/>
      <c r="AA2073" s="4436"/>
      <c r="AB2073" s="4437"/>
      <c r="AC2073" s="2245"/>
      <c r="AD2073" s="1790"/>
      <c r="AE2073" s="1790"/>
      <c r="AF2073" s="1790"/>
      <c r="AG2073" s="1790"/>
      <c r="AH2073" s="1826"/>
      <c r="AI2073" s="1790"/>
    </row>
    <row r="2074" s="1" customFormat="1" ht="27.75" customHeight="1" spans="1:35">
      <c r="A2074" s="1824"/>
      <c r="B2074" s="4393"/>
      <c r="C2074" s="1824"/>
      <c r="D2074" s="2112"/>
      <c r="E2074" s="1824"/>
      <c r="F2074" s="1824"/>
      <c r="G2074" s="1824"/>
      <c r="H2074" s="1824"/>
      <c r="I2074" s="1824"/>
      <c r="J2074" s="1824"/>
      <c r="K2074" s="1824"/>
      <c r="L2074" s="1824"/>
      <c r="M2074" s="1826">
        <v>2</v>
      </c>
      <c r="N2074" s="1826" t="s">
        <v>7230</v>
      </c>
      <c r="O2074" s="1826" t="s">
        <v>7231</v>
      </c>
      <c r="P2074" s="4410">
        <f>K2073*0.6</f>
        <v>216336.24</v>
      </c>
      <c r="Q2074" s="1825">
        <v>216336.24</v>
      </c>
      <c r="R2074" s="1825" t="s">
        <v>4603</v>
      </c>
      <c r="S2074" s="1970">
        <v>45282</v>
      </c>
      <c r="T2074" s="1825">
        <v>216336.24</v>
      </c>
      <c r="U2074" s="1970">
        <v>45282</v>
      </c>
      <c r="V2074" s="1825">
        <v>216336.24</v>
      </c>
      <c r="W2074" s="2198">
        <v>45295</v>
      </c>
      <c r="X2074" s="1825">
        <v>216336.24</v>
      </c>
      <c r="Y2074" s="1970">
        <v>45309</v>
      </c>
      <c r="Z2074" s="1842"/>
      <c r="AA2074" s="4436"/>
      <c r="AB2074" s="4437"/>
      <c r="AC2074" s="2245"/>
      <c r="AD2074" s="1790"/>
      <c r="AE2074" s="1790"/>
      <c r="AF2074" s="1790"/>
      <c r="AG2074" s="1790"/>
      <c r="AH2074" s="1826"/>
      <c r="AI2074" s="1790"/>
    </row>
    <row r="2075" s="1" customFormat="1" ht="27.75" customHeight="1" spans="1:35">
      <c r="A2075" s="1824"/>
      <c r="B2075" s="4393"/>
      <c r="C2075" s="1824"/>
      <c r="D2075" s="2112"/>
      <c r="E2075" s="1824"/>
      <c r="F2075" s="1824"/>
      <c r="G2075" s="1824"/>
      <c r="H2075" s="1824"/>
      <c r="I2075" s="1824"/>
      <c r="J2075" s="1824"/>
      <c r="K2075" s="1824"/>
      <c r="L2075" s="1824"/>
      <c r="M2075" s="1826">
        <v>3</v>
      </c>
      <c r="N2075" s="1826" t="s">
        <v>7117</v>
      </c>
      <c r="O2075" s="1826" t="s">
        <v>7232</v>
      </c>
      <c r="P2075" s="4410">
        <f>K2073*0.2</f>
        <v>72112.08</v>
      </c>
      <c r="Q2075" s="1825"/>
      <c r="R2075" s="1842"/>
      <c r="S2075" s="1970"/>
      <c r="T2075" s="1842"/>
      <c r="U2075" s="1970"/>
      <c r="V2075" s="2028"/>
      <c r="W2075" s="2198"/>
      <c r="X2075" s="1842"/>
      <c r="Y2075" s="1970"/>
      <c r="Z2075" s="1842"/>
      <c r="AA2075" s="4436"/>
      <c r="AB2075" s="4437"/>
      <c r="AC2075" s="2245"/>
      <c r="AD2075" s="1790"/>
      <c r="AE2075" s="1790"/>
      <c r="AF2075" s="1790"/>
      <c r="AG2075" s="1790"/>
      <c r="AH2075" s="1826"/>
      <c r="AI2075" s="1790"/>
    </row>
    <row r="2076" s="1" customFormat="1" ht="27.75" customHeight="1" spans="1:35">
      <c r="A2076" s="1824"/>
      <c r="B2076" s="4394"/>
      <c r="C2076" s="1824"/>
      <c r="D2076" s="1969"/>
      <c r="E2076" s="1824"/>
      <c r="F2076" s="1824"/>
      <c r="G2076" s="1824" t="s">
        <v>7233</v>
      </c>
      <c r="H2076" s="1824"/>
      <c r="I2076" s="1824"/>
      <c r="J2076" s="1824"/>
      <c r="K2076" s="1824">
        <v>50000</v>
      </c>
      <c r="L2076" s="1824" t="s">
        <v>126</v>
      </c>
      <c r="M2076" s="1826">
        <v>1</v>
      </c>
      <c r="N2076" s="1824" t="s">
        <v>7127</v>
      </c>
      <c r="O2076" s="1824" t="s">
        <v>7234</v>
      </c>
      <c r="P2076" s="4410">
        <f>K2076</f>
        <v>50000</v>
      </c>
      <c r="Q2076" s="1825"/>
      <c r="R2076" s="1842"/>
      <c r="S2076" s="1970"/>
      <c r="T2076" s="1842"/>
      <c r="U2076" s="1970"/>
      <c r="V2076" s="2028"/>
      <c r="W2076" s="2198"/>
      <c r="X2076" s="1842"/>
      <c r="Y2076" s="1970"/>
      <c r="Z2076" s="1842"/>
      <c r="AA2076" s="4436"/>
      <c r="AB2076" s="4437"/>
      <c r="AC2076" s="2245"/>
      <c r="AD2076" s="1790"/>
      <c r="AE2076" s="1790"/>
      <c r="AF2076" s="1790"/>
      <c r="AG2076" s="1790"/>
      <c r="AH2076" s="1826"/>
      <c r="AI2076" s="1790"/>
    </row>
    <row r="2077" s="1" customFormat="1" ht="76" spans="1:35">
      <c r="A2077" s="1824" t="s">
        <v>2570</v>
      </c>
      <c r="B2077" s="4395">
        <v>45253</v>
      </c>
      <c r="C2077" s="1824" t="s">
        <v>7218</v>
      </c>
      <c r="D2077" s="1824" t="s">
        <v>171</v>
      </c>
      <c r="E2077" s="1824" t="s">
        <v>7235</v>
      </c>
      <c r="F2077" s="1824" t="s">
        <v>7236</v>
      </c>
      <c r="G2077" s="1824" t="s">
        <v>3579</v>
      </c>
      <c r="H2077" s="1824" t="s">
        <v>5505</v>
      </c>
      <c r="I2077" s="2109" t="s">
        <v>7237</v>
      </c>
      <c r="J2077" s="2109" t="s">
        <v>7238</v>
      </c>
      <c r="K2077" s="4401">
        <v>1898076</v>
      </c>
      <c r="L2077" s="2109" t="s">
        <v>126</v>
      </c>
      <c r="M2077" s="1824" t="s">
        <v>7239</v>
      </c>
      <c r="N2077" s="1826" t="s">
        <v>5063</v>
      </c>
      <c r="O2077" s="1826" t="s">
        <v>7135</v>
      </c>
      <c r="P2077" s="4410">
        <f t="shared" ref="P2077:T2077" si="66">1898076*10%</f>
        <v>189807.6</v>
      </c>
      <c r="Q2077" s="4410">
        <f t="shared" si="66"/>
        <v>189807.6</v>
      </c>
      <c r="R2077" s="1825" t="s">
        <v>4603</v>
      </c>
      <c r="S2077" s="1791">
        <v>45272</v>
      </c>
      <c r="T2077" s="4410">
        <f t="shared" si="66"/>
        <v>189807.6</v>
      </c>
      <c r="U2077" s="1791">
        <v>45272</v>
      </c>
      <c r="V2077" s="4410">
        <f>1898076*10%</f>
        <v>189807.6</v>
      </c>
      <c r="W2077" s="2050">
        <v>45267</v>
      </c>
      <c r="X2077" s="4410">
        <f>1898076*10%</f>
        <v>189807.6</v>
      </c>
      <c r="Y2077" s="2050">
        <v>45279</v>
      </c>
      <c r="Z2077" s="1825"/>
      <c r="AA2077" s="4436"/>
      <c r="AB2077" s="4437"/>
      <c r="AC2077" s="2245"/>
      <c r="AD2077" s="1790"/>
      <c r="AE2077" s="1790"/>
      <c r="AF2077" s="1790"/>
      <c r="AG2077" s="1790"/>
      <c r="AH2077" s="1826"/>
      <c r="AI2077" s="1790"/>
    </row>
    <row r="2078" s="1" customFormat="1" ht="76" spans="1:35">
      <c r="A2078" s="1824"/>
      <c r="B2078" s="4393"/>
      <c r="C2078" s="1824"/>
      <c r="D2078" s="1824"/>
      <c r="E2078" s="1824"/>
      <c r="F2078" s="1824"/>
      <c r="G2078" s="1824"/>
      <c r="H2078" s="1824"/>
      <c r="I2078" s="2112"/>
      <c r="J2078" s="2112"/>
      <c r="K2078" s="4402"/>
      <c r="L2078" s="2112"/>
      <c r="M2078" s="1824" t="s">
        <v>7240</v>
      </c>
      <c r="N2078" s="1826" t="s">
        <v>5064</v>
      </c>
      <c r="O2078" s="1826" t="s">
        <v>7137</v>
      </c>
      <c r="P2078" s="4410">
        <f t="shared" ref="P2078:T2078" si="67">(138120+373760+168880)*40%</f>
        <v>272304</v>
      </c>
      <c r="Q2078" s="4410">
        <f t="shared" si="67"/>
        <v>272304</v>
      </c>
      <c r="R2078" s="1825" t="s">
        <v>4603</v>
      </c>
      <c r="S2078" s="1791">
        <v>45272</v>
      </c>
      <c r="T2078" s="4410">
        <f t="shared" si="67"/>
        <v>272304</v>
      </c>
      <c r="U2078" s="1791">
        <v>45272</v>
      </c>
      <c r="V2078" s="4410">
        <f>(138120+373760+168880)*40%</f>
        <v>272304</v>
      </c>
      <c r="W2078" s="2050">
        <v>45267</v>
      </c>
      <c r="X2078" s="4410">
        <f>(138120+373760+168880)*40%</f>
        <v>272304</v>
      </c>
      <c r="Y2078" s="2050">
        <v>45279</v>
      </c>
      <c r="Z2078" s="1825"/>
      <c r="AA2078" s="4436"/>
      <c r="AB2078" s="4437"/>
      <c r="AC2078" s="2245"/>
      <c r="AD2078" s="1790"/>
      <c r="AE2078" s="1790"/>
      <c r="AF2078" s="1790"/>
      <c r="AG2078" s="1790"/>
      <c r="AH2078" s="1826"/>
      <c r="AI2078" s="1790"/>
    </row>
    <row r="2079" s="1" customFormat="1" ht="76" spans="1:35">
      <c r="A2079" s="1824"/>
      <c r="B2079" s="4393"/>
      <c r="C2079" s="1824"/>
      <c r="D2079" s="1824"/>
      <c r="E2079" s="1824"/>
      <c r="F2079" s="1824"/>
      <c r="G2079" s="1824"/>
      <c r="H2079" s="1824"/>
      <c r="I2079" s="2112"/>
      <c r="J2079" s="2112"/>
      <c r="K2079" s="4402"/>
      <c r="L2079" s="2112"/>
      <c r="M2079" s="1824" t="s">
        <v>7241</v>
      </c>
      <c r="N2079" s="1826" t="s">
        <v>5065</v>
      </c>
      <c r="O2079" s="1826" t="s">
        <v>7138</v>
      </c>
      <c r="P2079" s="4410">
        <f t="shared" ref="P2079:T2079" si="68">(138120+373760+168880)*30%</f>
        <v>204228</v>
      </c>
      <c r="Q2079" s="4410">
        <f t="shared" si="68"/>
        <v>204228</v>
      </c>
      <c r="R2079" s="1825" t="s">
        <v>4603</v>
      </c>
      <c r="S2079" s="1791">
        <v>45272</v>
      </c>
      <c r="T2079" s="4410">
        <f t="shared" si="68"/>
        <v>204228</v>
      </c>
      <c r="U2079" s="1791">
        <v>45272</v>
      </c>
      <c r="V2079" s="4410">
        <f>(138120+373760+168880)*30%</f>
        <v>204228</v>
      </c>
      <c r="W2079" s="2050">
        <v>45267</v>
      </c>
      <c r="X2079" s="4410">
        <f>(138120+373760+168880)*30%</f>
        <v>204228</v>
      </c>
      <c r="Y2079" s="2050">
        <v>45279</v>
      </c>
      <c r="Z2079" s="1825"/>
      <c r="AA2079" s="4436"/>
      <c r="AB2079" s="4437"/>
      <c r="AC2079" s="2245"/>
      <c r="AD2079" s="1790"/>
      <c r="AE2079" s="1790"/>
      <c r="AF2079" s="1790"/>
      <c r="AG2079" s="1790"/>
      <c r="AH2079" s="1826"/>
      <c r="AI2079" s="1790"/>
    </row>
    <row r="2080" s="1" customFormat="1" ht="76" spans="1:35">
      <c r="A2080" s="1824"/>
      <c r="B2080" s="4393"/>
      <c r="C2080" s="1824"/>
      <c r="D2080" s="1824"/>
      <c r="E2080" s="1824"/>
      <c r="F2080" s="1824"/>
      <c r="G2080" s="1824"/>
      <c r="H2080" s="1824"/>
      <c r="I2080" s="2112"/>
      <c r="J2080" s="2112"/>
      <c r="K2080" s="4402"/>
      <c r="L2080" s="2112"/>
      <c r="M2080" s="1824" t="s">
        <v>7242</v>
      </c>
      <c r="N2080" s="1826" t="s">
        <v>5066</v>
      </c>
      <c r="O2080" s="1826" t="s">
        <v>7139</v>
      </c>
      <c r="P2080" s="4410">
        <f>(138120+373760+168880)*10%</f>
        <v>68076</v>
      </c>
      <c r="Q2080" s="4421">
        <f>(138120+373760+168880)*10%</f>
        <v>68076</v>
      </c>
      <c r="R2080" s="1825" t="s">
        <v>4603</v>
      </c>
      <c r="S2080" s="1791">
        <v>45852</v>
      </c>
      <c r="T2080" s="4421">
        <v>68076</v>
      </c>
      <c r="U2080" s="1791">
        <v>45852</v>
      </c>
      <c r="V2080" s="4410">
        <v>68076</v>
      </c>
      <c r="W2080" s="2050">
        <v>45854</v>
      </c>
      <c r="X2080" s="4410">
        <v>68076</v>
      </c>
      <c r="Y2080" s="1791">
        <v>45863</v>
      </c>
      <c r="Z2080" s="1825"/>
      <c r="AA2080" s="4436"/>
      <c r="AB2080" s="4437"/>
      <c r="AC2080" s="2245"/>
      <c r="AD2080" s="1790"/>
      <c r="AE2080" s="1790"/>
      <c r="AF2080" s="1790"/>
      <c r="AG2080" s="1790"/>
      <c r="AH2080" s="1826"/>
      <c r="AI2080" s="1790"/>
    </row>
    <row r="2081" s="1" customFormat="1" ht="76" spans="1:35">
      <c r="A2081" s="1824"/>
      <c r="B2081" s="4393"/>
      <c r="C2081" s="1824"/>
      <c r="D2081" s="1824"/>
      <c r="E2081" s="1824"/>
      <c r="F2081" s="1824"/>
      <c r="G2081" s="1824"/>
      <c r="H2081" s="1824"/>
      <c r="I2081" s="2112"/>
      <c r="J2081" s="2112"/>
      <c r="K2081" s="4402"/>
      <c r="L2081" s="2112"/>
      <c r="M2081" s="1824" t="s">
        <v>7243</v>
      </c>
      <c r="N2081" s="1826" t="s">
        <v>5067</v>
      </c>
      <c r="O2081" s="1826" t="s">
        <v>7141</v>
      </c>
      <c r="P2081" s="4410">
        <f t="shared" ref="P2081:T2081" si="69">(365316+750456+101544)*15%</f>
        <v>182597.4</v>
      </c>
      <c r="Q2081" s="4410">
        <f t="shared" si="69"/>
        <v>182597.4</v>
      </c>
      <c r="R2081" s="1825" t="s">
        <v>4603</v>
      </c>
      <c r="S2081" s="1791">
        <v>45272</v>
      </c>
      <c r="T2081" s="4410">
        <f t="shared" si="69"/>
        <v>182597.4</v>
      </c>
      <c r="U2081" s="1791">
        <v>45272</v>
      </c>
      <c r="V2081" s="4410">
        <f>(365316+750456+101544)*15%</f>
        <v>182597.4</v>
      </c>
      <c r="W2081" s="2050">
        <v>45267</v>
      </c>
      <c r="X2081" s="4410">
        <f>(365316+750456+101544)*15%</f>
        <v>182597.4</v>
      </c>
      <c r="Y2081" s="2050">
        <v>45279</v>
      </c>
      <c r="Z2081" s="1825"/>
      <c r="AA2081" s="4436"/>
      <c r="AB2081" s="4437"/>
      <c r="AC2081" s="2245"/>
      <c r="AD2081" s="1790"/>
      <c r="AE2081" s="1790"/>
      <c r="AF2081" s="1790"/>
      <c r="AG2081" s="1790"/>
      <c r="AH2081" s="1826"/>
      <c r="AI2081" s="1790"/>
    </row>
    <row r="2082" s="1" customFormat="1" ht="76" spans="1:35">
      <c r="A2082" s="1824"/>
      <c r="B2082" s="4393"/>
      <c r="C2082" s="1824"/>
      <c r="D2082" s="1824"/>
      <c r="E2082" s="1824"/>
      <c r="F2082" s="1824"/>
      <c r="G2082" s="1824"/>
      <c r="H2082" s="1824"/>
      <c r="I2082" s="2112"/>
      <c r="J2082" s="2112"/>
      <c r="K2082" s="4402"/>
      <c r="L2082" s="2112"/>
      <c r="M2082" s="1824" t="s">
        <v>7244</v>
      </c>
      <c r="N2082" s="1826" t="s">
        <v>5064</v>
      </c>
      <c r="O2082" s="1826" t="s">
        <v>7142</v>
      </c>
      <c r="P2082" s="4410">
        <f t="shared" ref="P2082:T2082" si="70">(365316+750456+101544)*15%</f>
        <v>182597.4</v>
      </c>
      <c r="Q2082" s="4410">
        <f t="shared" si="70"/>
        <v>182597.4</v>
      </c>
      <c r="R2082" s="1825" t="s">
        <v>4603</v>
      </c>
      <c r="S2082" s="1791">
        <v>45272</v>
      </c>
      <c r="T2082" s="4410">
        <f t="shared" si="70"/>
        <v>182597.4</v>
      </c>
      <c r="U2082" s="1791">
        <v>45272</v>
      </c>
      <c r="V2082" s="4410">
        <f>(365316+750456+101544)*15%</f>
        <v>182597.4</v>
      </c>
      <c r="W2082" s="2050">
        <v>45267</v>
      </c>
      <c r="X2082" s="4410">
        <f>(365316+750456+101544)*15%</f>
        <v>182597.4</v>
      </c>
      <c r="Y2082" s="2050">
        <v>45279</v>
      </c>
      <c r="Z2082" s="1825"/>
      <c r="AA2082" s="4436"/>
      <c r="AB2082" s="4437"/>
      <c r="AC2082" s="2245"/>
      <c r="AD2082" s="1790"/>
      <c r="AE2082" s="1790"/>
      <c r="AF2082" s="1790"/>
      <c r="AG2082" s="1790"/>
      <c r="AH2082" s="1826"/>
      <c r="AI2082" s="1790"/>
    </row>
    <row r="2083" s="1" customFormat="1" ht="50.25" customHeight="1" spans="1:35">
      <c r="A2083" s="1824"/>
      <c r="B2083" s="4393"/>
      <c r="C2083" s="1824"/>
      <c r="D2083" s="1824"/>
      <c r="E2083" s="1824"/>
      <c r="F2083" s="1824"/>
      <c r="G2083" s="1824"/>
      <c r="H2083" s="1824"/>
      <c r="I2083" s="2112"/>
      <c r="J2083" s="2112"/>
      <c r="K2083" s="4402"/>
      <c r="L2083" s="2112"/>
      <c r="M2083" s="2109" t="s">
        <v>7245</v>
      </c>
      <c r="N2083" s="2105" t="s">
        <v>5068</v>
      </c>
      <c r="O2083" s="1824" t="s">
        <v>7246</v>
      </c>
      <c r="P2083" s="4411">
        <f>(365316+750456+101544)*20%</f>
        <v>243463.2</v>
      </c>
      <c r="Q2083" s="4410">
        <v>4830.96</v>
      </c>
      <c r="R2083" s="1825" t="s">
        <v>4603</v>
      </c>
      <c r="S2083" s="1791">
        <v>45272</v>
      </c>
      <c r="T2083" s="4410">
        <v>4830.96</v>
      </c>
      <c r="U2083" s="1791">
        <v>45272</v>
      </c>
      <c r="V2083" s="4410">
        <v>4830.96</v>
      </c>
      <c r="W2083" s="2050">
        <v>45267</v>
      </c>
      <c r="X2083" s="4410">
        <v>4830.96</v>
      </c>
      <c r="Y2083" s="2050">
        <v>45279</v>
      </c>
      <c r="Z2083" s="1825"/>
      <c r="AA2083" s="4436"/>
      <c r="AB2083" s="4437"/>
      <c r="AC2083" s="2245"/>
      <c r="AD2083" s="1790"/>
      <c r="AE2083" s="1790"/>
      <c r="AF2083" s="1790"/>
      <c r="AG2083" s="1790"/>
      <c r="AH2083" s="1826"/>
      <c r="AI2083" s="1790"/>
    </row>
    <row r="2084" s="1" customFormat="1" ht="33" customHeight="1" spans="1:35">
      <c r="A2084" s="1824"/>
      <c r="B2084" s="4393"/>
      <c r="C2084" s="1824"/>
      <c r="D2084" s="1824"/>
      <c r="E2084" s="1824"/>
      <c r="F2084" s="1824"/>
      <c r="G2084" s="1824"/>
      <c r="H2084" s="1824"/>
      <c r="I2084" s="2112"/>
      <c r="J2084" s="2112"/>
      <c r="K2084" s="4402"/>
      <c r="L2084" s="2112"/>
      <c r="M2084" s="1969"/>
      <c r="N2084" s="2116"/>
      <c r="O2084" s="1824" t="s">
        <v>7247</v>
      </c>
      <c r="P2084" s="4409"/>
      <c r="Q2084" s="4426">
        <v>238632.24</v>
      </c>
      <c r="R2084" s="1825" t="s">
        <v>4603</v>
      </c>
      <c r="S2084" s="1791">
        <v>45442</v>
      </c>
      <c r="T2084" s="4410">
        <v>238632.24</v>
      </c>
      <c r="U2084" s="1791">
        <v>45442</v>
      </c>
      <c r="V2084" s="4410">
        <v>238632.24</v>
      </c>
      <c r="W2084" s="1791">
        <v>45436</v>
      </c>
      <c r="X2084" s="4410">
        <v>238632.24</v>
      </c>
      <c r="Y2084" s="1791">
        <v>45440</v>
      </c>
      <c r="Z2084" s="1825"/>
      <c r="AA2084" s="4436"/>
      <c r="AB2084" s="4437"/>
      <c r="AC2084" s="2245"/>
      <c r="AD2084" s="1790"/>
      <c r="AE2084" s="1790"/>
      <c r="AF2084" s="1790"/>
      <c r="AG2084" s="1790"/>
      <c r="AH2084" s="1826"/>
      <c r="AI2084" s="1790"/>
    </row>
    <row r="2085" s="1" customFormat="1" ht="44.25" customHeight="1" spans="1:35">
      <c r="A2085" s="1824"/>
      <c r="B2085" s="4393"/>
      <c r="C2085" s="1824"/>
      <c r="D2085" s="1824"/>
      <c r="E2085" s="1824"/>
      <c r="F2085" s="1824"/>
      <c r="G2085" s="1824"/>
      <c r="H2085" s="1824"/>
      <c r="I2085" s="2112"/>
      <c r="J2085" s="2112"/>
      <c r="K2085" s="4402"/>
      <c r="L2085" s="2112"/>
      <c r="M2085" s="2109" t="s">
        <v>7248</v>
      </c>
      <c r="N2085" s="2105" t="s">
        <v>5065</v>
      </c>
      <c r="O2085" s="1824" t="s">
        <v>7246</v>
      </c>
      <c r="P2085" s="4411">
        <f>(365316+750456+101544)*20%</f>
        <v>243463.2</v>
      </c>
      <c r="Q2085" s="4410">
        <v>4830.96</v>
      </c>
      <c r="R2085" s="1825" t="s">
        <v>4603</v>
      </c>
      <c r="S2085" s="1791">
        <v>45272</v>
      </c>
      <c r="T2085" s="4410">
        <v>4830.96</v>
      </c>
      <c r="U2085" s="1791">
        <v>45272</v>
      </c>
      <c r="V2085" s="4410">
        <v>4830.96</v>
      </c>
      <c r="W2085" s="2050">
        <v>45267</v>
      </c>
      <c r="X2085" s="4410">
        <v>4830.96</v>
      </c>
      <c r="Y2085" s="2050">
        <v>45279</v>
      </c>
      <c r="Z2085" s="1825"/>
      <c r="AA2085" s="4436"/>
      <c r="AB2085" s="4437"/>
      <c r="AC2085" s="2245"/>
      <c r="AD2085" s="1790"/>
      <c r="AE2085" s="1790"/>
      <c r="AF2085" s="1790"/>
      <c r="AG2085" s="1790"/>
      <c r="AH2085" s="1826"/>
      <c r="AI2085" s="1790"/>
    </row>
    <row r="2086" s="1" customFormat="1" ht="44.25" customHeight="1" spans="1:35">
      <c r="A2086" s="1824"/>
      <c r="B2086" s="4393"/>
      <c r="C2086" s="1824"/>
      <c r="D2086" s="1824"/>
      <c r="E2086" s="1824"/>
      <c r="F2086" s="1824"/>
      <c r="G2086" s="1824"/>
      <c r="H2086" s="1824"/>
      <c r="I2086" s="2112"/>
      <c r="J2086" s="2112"/>
      <c r="K2086" s="4402"/>
      <c r="L2086" s="2112"/>
      <c r="M2086" s="2112"/>
      <c r="N2086" s="2108"/>
      <c r="O2086" s="1824" t="s">
        <v>7249</v>
      </c>
      <c r="P2086" s="4412"/>
      <c r="Q2086" s="4410">
        <v>150091.2</v>
      </c>
      <c r="R2086" s="1825" t="s">
        <v>4603</v>
      </c>
      <c r="S2086" s="1791">
        <v>45583</v>
      </c>
      <c r="T2086" s="4410">
        <f>Q2086</f>
        <v>150091.2</v>
      </c>
      <c r="U2086" s="1791">
        <v>45583</v>
      </c>
      <c r="V2086" s="4410">
        <v>150091.2</v>
      </c>
      <c r="W2086" s="2050">
        <v>45583</v>
      </c>
      <c r="X2086" s="4410">
        <v>150091.2</v>
      </c>
      <c r="Y2086" s="2050">
        <v>45596</v>
      </c>
      <c r="Z2086" s="1825"/>
      <c r="AA2086" s="4436"/>
      <c r="AB2086" s="4437"/>
      <c r="AC2086" s="2245"/>
      <c r="AD2086" s="1790"/>
      <c r="AE2086" s="1790"/>
      <c r="AF2086" s="1790"/>
      <c r="AG2086" s="1790"/>
      <c r="AH2086" s="1826"/>
      <c r="AI2086" s="1790"/>
    </row>
    <row r="2087" s="1" customFormat="1" ht="61" spans="1:35">
      <c r="A2087" s="1824"/>
      <c r="B2087" s="4393"/>
      <c r="C2087" s="1824"/>
      <c r="D2087" s="1824"/>
      <c r="E2087" s="1824"/>
      <c r="F2087" s="1824"/>
      <c r="G2087" s="1824"/>
      <c r="H2087" s="1824"/>
      <c r="I2087" s="2112"/>
      <c r="J2087" s="2112"/>
      <c r="K2087" s="4402"/>
      <c r="L2087" s="2112"/>
      <c r="M2087" s="1969"/>
      <c r="N2087" s="2116"/>
      <c r="O2087" s="1824" t="s">
        <v>7247</v>
      </c>
      <c r="P2087" s="4409"/>
      <c r="Q2087" s="4421">
        <f>P2085-Q2085-Q2086</f>
        <v>88541.04</v>
      </c>
      <c r="R2087" s="1825" t="s">
        <v>4603</v>
      </c>
      <c r="S2087" s="1791">
        <v>45852</v>
      </c>
      <c r="T2087" s="1825">
        <v>88541.04</v>
      </c>
      <c r="U2087" s="1791">
        <v>45852</v>
      </c>
      <c r="V2087" s="1825">
        <v>88541.01</v>
      </c>
      <c r="W2087" s="3602">
        <v>45854</v>
      </c>
      <c r="X2087" s="1825">
        <v>88541.04</v>
      </c>
      <c r="Y2087" s="1791">
        <v>45863</v>
      </c>
      <c r="Z2087" s="1825"/>
      <c r="AA2087" s="4436"/>
      <c r="AB2087" s="4437"/>
      <c r="AC2087" s="2245"/>
      <c r="AD2087" s="1790"/>
      <c r="AE2087" s="1790"/>
      <c r="AF2087" s="1790"/>
      <c r="AG2087" s="1790"/>
      <c r="AH2087" s="1826"/>
      <c r="AI2087" s="1790"/>
    </row>
    <row r="2088" s="1" customFormat="1" ht="92" spans="1:35">
      <c r="A2088" s="1824"/>
      <c r="B2088" s="4393"/>
      <c r="C2088" s="1824"/>
      <c r="D2088" s="1824"/>
      <c r="E2088" s="1824"/>
      <c r="F2088" s="1824"/>
      <c r="G2088" s="1824"/>
      <c r="H2088" s="1824"/>
      <c r="I2088" s="2112"/>
      <c r="J2088" s="2112"/>
      <c r="K2088" s="4402"/>
      <c r="L2088" s="2112"/>
      <c r="M2088" s="1824" t="s">
        <v>7250</v>
      </c>
      <c r="N2088" s="1826" t="s">
        <v>5070</v>
      </c>
      <c r="O2088" s="1826" t="s">
        <v>7145</v>
      </c>
      <c r="P2088" s="4410">
        <f>(365316+750456+101544)*5%</f>
        <v>60865.8</v>
      </c>
      <c r="Q2088" s="4419">
        <v>60865.8</v>
      </c>
      <c r="R2088" s="2158" t="s">
        <v>5015</v>
      </c>
      <c r="S2088" s="1973">
        <v>46052</v>
      </c>
      <c r="T2088" s="1825"/>
      <c r="U2088" s="1791"/>
      <c r="V2088" s="1790"/>
      <c r="W2088" s="2050"/>
      <c r="X2088" s="1825"/>
      <c r="Y2088" s="4438"/>
      <c r="Z2088" s="1825"/>
      <c r="AA2088" s="4436"/>
      <c r="AB2088" s="4437"/>
      <c r="AC2088" s="2245"/>
      <c r="AD2088" s="1790"/>
      <c r="AE2088" s="1790"/>
      <c r="AF2088" s="1790"/>
      <c r="AG2088" s="1790"/>
      <c r="AH2088" s="1826"/>
      <c r="AI2088" s="1790"/>
    </row>
    <row r="2089" s="1" customFormat="1" ht="92" spans="1:35">
      <c r="A2089" s="1824"/>
      <c r="B2089" s="4393"/>
      <c r="C2089" s="1824"/>
      <c r="D2089" s="1824"/>
      <c r="E2089" s="1824"/>
      <c r="F2089" s="1824"/>
      <c r="G2089" s="1824"/>
      <c r="H2089" s="1824"/>
      <c r="I2089" s="2112"/>
      <c r="J2089" s="2112"/>
      <c r="K2089" s="4402"/>
      <c r="L2089" s="2112"/>
      <c r="M2089" s="1824" t="s">
        <v>7251</v>
      </c>
      <c r="N2089" s="1826" t="s">
        <v>5071</v>
      </c>
      <c r="O2089" s="1826" t="s">
        <v>7146</v>
      </c>
      <c r="P2089" s="4410">
        <f>(365316+750456+101544)*5%</f>
        <v>60865.8</v>
      </c>
      <c r="Q2089" s="4419">
        <v>60865.8</v>
      </c>
      <c r="R2089" s="2158" t="s">
        <v>5015</v>
      </c>
      <c r="S2089" s="1973" t="s">
        <v>7252</v>
      </c>
      <c r="T2089" s="1825"/>
      <c r="U2089" s="1791"/>
      <c r="V2089" s="1790"/>
      <c r="W2089" s="2050"/>
      <c r="X2089" s="1825"/>
      <c r="Y2089" s="1791"/>
      <c r="Z2089" s="1825"/>
      <c r="AA2089" s="4436"/>
      <c r="AB2089" s="4437"/>
      <c r="AC2089" s="2245"/>
      <c r="AD2089" s="1790"/>
      <c r="AE2089" s="1790"/>
      <c r="AF2089" s="1790"/>
      <c r="AG2089" s="1790"/>
      <c r="AH2089" s="1826"/>
      <c r="AI2089" s="1790"/>
    </row>
    <row r="2090" s="1" customFormat="1" ht="76" spans="1:35">
      <c r="A2090" s="1824"/>
      <c r="B2090" s="4394"/>
      <c r="C2090" s="1824"/>
      <c r="D2090" s="1824"/>
      <c r="E2090" s="1824"/>
      <c r="F2090" s="1824"/>
      <c r="G2090" s="1824"/>
      <c r="H2090" s="1824"/>
      <c r="I2090" s="1969"/>
      <c r="J2090" s="1969"/>
      <c r="K2090" s="4403"/>
      <c r="L2090" s="1969"/>
      <c r="M2090" s="1824" t="s">
        <v>7253</v>
      </c>
      <c r="N2090" s="1826" t="s">
        <v>3347</v>
      </c>
      <c r="O2090" s="1826" t="s">
        <v>7147</v>
      </c>
      <c r="P2090" s="4410">
        <f>1898076*10%</f>
        <v>189807.6</v>
      </c>
      <c r="Q2090" s="1825"/>
      <c r="R2090" s="1825"/>
      <c r="S2090" s="1791"/>
      <c r="T2090" s="1825"/>
      <c r="U2090" s="1791"/>
      <c r="V2090" s="1790"/>
      <c r="W2090" s="2050"/>
      <c r="X2090" s="1825"/>
      <c r="Y2090" s="1791"/>
      <c r="Z2090" s="1825"/>
      <c r="AA2090" s="4436"/>
      <c r="AB2090" s="4437"/>
      <c r="AC2090" s="2245"/>
      <c r="AD2090" s="1790"/>
      <c r="AE2090" s="1790"/>
      <c r="AF2090" s="1790"/>
      <c r="AG2090" s="1790"/>
      <c r="AH2090" s="1826"/>
      <c r="AI2090" s="1790"/>
    </row>
    <row r="2091" s="47" customFormat="1" ht="92" spans="1:35">
      <c r="A2091" s="639" t="s">
        <v>2570</v>
      </c>
      <c r="B2091" s="4318">
        <v>45267</v>
      </c>
      <c r="C2091" s="639" t="s">
        <v>7218</v>
      </c>
      <c r="D2091" s="639" t="s">
        <v>171</v>
      </c>
      <c r="E2091" s="639" t="s">
        <v>7254</v>
      </c>
      <c r="F2091" s="639" t="s">
        <v>7255</v>
      </c>
      <c r="G2091" s="639" t="s">
        <v>3620</v>
      </c>
      <c r="H2091" s="639" t="s">
        <v>6402</v>
      </c>
      <c r="I2091" s="683">
        <v>98820</v>
      </c>
      <c r="J2091" s="683" t="s">
        <v>7256</v>
      </c>
      <c r="K2091" s="4404">
        <v>1966935.9</v>
      </c>
      <c r="L2091" s="683" t="s">
        <v>126</v>
      </c>
      <c r="M2091" s="636">
        <v>1</v>
      </c>
      <c r="N2091" s="636" t="s">
        <v>3621</v>
      </c>
      <c r="O2091" s="636" t="s">
        <v>7178</v>
      </c>
      <c r="P2091" s="744">
        <f>1966935.9*0.15</f>
        <v>295040.385</v>
      </c>
      <c r="Q2091" s="2909">
        <v>295040.39</v>
      </c>
      <c r="R2091" s="2909" t="s">
        <v>4603</v>
      </c>
      <c r="S2091" s="4388">
        <v>45273</v>
      </c>
      <c r="T2091" s="2909">
        <v>295040.39</v>
      </c>
      <c r="U2091" s="4388">
        <v>45273</v>
      </c>
      <c r="V2091" s="2909">
        <v>295040.39</v>
      </c>
      <c r="W2091" s="4389">
        <v>45273</v>
      </c>
      <c r="X2091" s="2909">
        <v>295040.39</v>
      </c>
      <c r="Y2091" s="4388">
        <v>45281</v>
      </c>
      <c r="Z2091" s="2909"/>
      <c r="AA2091" s="4439"/>
      <c r="AB2091" s="4391"/>
      <c r="AC2091" s="4391"/>
      <c r="AD2091" s="961"/>
      <c r="AE2091" s="961"/>
      <c r="AF2091" s="961"/>
      <c r="AG2091" s="961"/>
      <c r="AH2091" s="682"/>
      <c r="AI2091" s="961"/>
    </row>
    <row r="2092" s="47" customFormat="1" ht="92" spans="1:35">
      <c r="A2092" s="683"/>
      <c r="B2092" s="4319"/>
      <c r="C2092" s="683"/>
      <c r="D2092" s="683"/>
      <c r="E2092" s="683"/>
      <c r="F2092" s="683"/>
      <c r="G2092" s="683"/>
      <c r="H2092" s="683"/>
      <c r="I2092" s="683"/>
      <c r="J2092" s="683"/>
      <c r="K2092" s="4404"/>
      <c r="L2092" s="683"/>
      <c r="M2092" s="636">
        <v>2</v>
      </c>
      <c r="N2092" s="636" t="s">
        <v>3625</v>
      </c>
      <c r="O2092" s="636" t="s">
        <v>3626</v>
      </c>
      <c r="P2092" s="744">
        <f>1966935.9*0.2</f>
        <v>393387.18</v>
      </c>
      <c r="Q2092" s="2909">
        <v>393387.18</v>
      </c>
      <c r="R2092" s="2909" t="s">
        <v>4603</v>
      </c>
      <c r="S2092" s="4388">
        <v>45273</v>
      </c>
      <c r="T2092" s="2909">
        <v>393387.18</v>
      </c>
      <c r="U2092" s="4388">
        <v>45273</v>
      </c>
      <c r="V2092" s="2909">
        <v>393387.18</v>
      </c>
      <c r="W2092" s="4360">
        <v>45295</v>
      </c>
      <c r="X2092" s="2909">
        <v>393387.18</v>
      </c>
      <c r="Y2092" s="819">
        <v>45442</v>
      </c>
      <c r="Z2092" s="2909"/>
      <c r="AA2092" s="4439"/>
      <c r="AB2092" s="4391"/>
      <c r="AC2092" s="4391"/>
      <c r="AD2092" s="961"/>
      <c r="AE2092" s="961"/>
      <c r="AF2092" s="961"/>
      <c r="AG2092" s="961"/>
      <c r="AH2092" s="682"/>
      <c r="AI2092" s="961"/>
    </row>
    <row r="2093" s="47" customFormat="1" ht="92" spans="1:35">
      <c r="A2093" s="683"/>
      <c r="B2093" s="4319"/>
      <c r="C2093" s="683"/>
      <c r="D2093" s="683"/>
      <c r="E2093" s="683"/>
      <c r="F2093" s="683"/>
      <c r="G2093" s="683"/>
      <c r="H2093" s="683"/>
      <c r="I2093" s="683"/>
      <c r="J2093" s="683"/>
      <c r="K2093" s="4404"/>
      <c r="L2093" s="683"/>
      <c r="M2093" s="636">
        <v>3</v>
      </c>
      <c r="N2093" s="636" t="s">
        <v>7257</v>
      </c>
      <c r="O2093" s="636" t="s">
        <v>3628</v>
      </c>
      <c r="P2093" s="744">
        <f>1966935.9*0.15</f>
        <v>295040.385</v>
      </c>
      <c r="Q2093" s="2909">
        <v>295040.39</v>
      </c>
      <c r="R2093" s="2909" t="s">
        <v>4603</v>
      </c>
      <c r="S2093" s="4388">
        <v>45286</v>
      </c>
      <c r="T2093" s="2909">
        <v>295040.39</v>
      </c>
      <c r="U2093" s="4388">
        <v>45286</v>
      </c>
      <c r="V2093" s="2909">
        <v>295040.39</v>
      </c>
      <c r="W2093" s="4389">
        <v>45516</v>
      </c>
      <c r="X2093" s="2909">
        <f>T2093</f>
        <v>295040.39</v>
      </c>
      <c r="Y2093" s="4388">
        <v>45534</v>
      </c>
      <c r="Z2093" s="2909"/>
      <c r="AA2093" s="4439"/>
      <c r="AB2093" s="4391"/>
      <c r="AC2093" s="4391"/>
      <c r="AD2093" s="961"/>
      <c r="AE2093" s="961"/>
      <c r="AF2093" s="961"/>
      <c r="AG2093" s="961"/>
      <c r="AH2093" s="682"/>
      <c r="AI2093" s="961"/>
    </row>
    <row r="2094" s="47" customFormat="1" ht="26.6" customHeight="1" spans="1:35">
      <c r="A2094" s="683"/>
      <c r="B2094" s="4319"/>
      <c r="C2094" s="683"/>
      <c r="D2094" s="683"/>
      <c r="E2094" s="683"/>
      <c r="F2094" s="683"/>
      <c r="G2094" s="683"/>
      <c r="H2094" s="683"/>
      <c r="I2094" s="683"/>
      <c r="J2094" s="683"/>
      <c r="K2094" s="4404"/>
      <c r="L2094" s="683"/>
      <c r="M2094" s="639">
        <v>4</v>
      </c>
      <c r="N2094" s="639" t="s">
        <v>3630</v>
      </c>
      <c r="O2094" s="639" t="s">
        <v>3631</v>
      </c>
      <c r="P2094" s="4344">
        <f>1966935.9*0.3</f>
        <v>590080.77</v>
      </c>
      <c r="Q2094" s="2907">
        <v>590080.77</v>
      </c>
      <c r="R2094" s="2907" t="s">
        <v>4603</v>
      </c>
      <c r="S2094" s="4427">
        <v>45615</v>
      </c>
      <c r="T2094" s="2907">
        <v>590080.77</v>
      </c>
      <c r="U2094" s="4427">
        <v>45615</v>
      </c>
      <c r="V2094" s="2909">
        <v>200000</v>
      </c>
      <c r="W2094" s="4389">
        <v>45617</v>
      </c>
      <c r="X2094" s="2909">
        <v>200000</v>
      </c>
      <c r="Y2094" s="4388">
        <v>45624</v>
      </c>
      <c r="Z2094" s="2909"/>
      <c r="AA2094" s="4439"/>
      <c r="AB2094" s="4391"/>
      <c r="AC2094" s="4391"/>
      <c r="AD2094" s="961"/>
      <c r="AE2094" s="961"/>
      <c r="AF2094" s="961"/>
      <c r="AG2094" s="961"/>
      <c r="AH2094" s="682"/>
      <c r="AI2094" s="961"/>
    </row>
    <row r="2095" s="47" customFormat="1" ht="39.55" customHeight="1" spans="1:35">
      <c r="A2095" s="683"/>
      <c r="B2095" s="4319"/>
      <c r="C2095" s="683"/>
      <c r="D2095" s="683"/>
      <c r="E2095" s="683"/>
      <c r="F2095" s="683"/>
      <c r="G2095" s="683"/>
      <c r="H2095" s="683"/>
      <c r="I2095" s="683"/>
      <c r="J2095" s="683"/>
      <c r="K2095" s="4404"/>
      <c r="L2095" s="683"/>
      <c r="M2095" s="2895"/>
      <c r="N2095" s="2895"/>
      <c r="O2095" s="2895"/>
      <c r="P2095" s="4382"/>
      <c r="Q2095" s="2909"/>
      <c r="R2095" s="2909"/>
      <c r="S2095" s="4388"/>
      <c r="T2095" s="2909"/>
      <c r="U2095" s="4388"/>
      <c r="V2095" s="2909">
        <v>390080.76</v>
      </c>
      <c r="W2095" s="4389">
        <v>45638</v>
      </c>
      <c r="X2095" s="2909">
        <v>390080.76</v>
      </c>
      <c r="Y2095" s="4388">
        <v>45652</v>
      </c>
      <c r="Z2095" s="2909"/>
      <c r="AA2095" s="4439"/>
      <c r="AB2095" s="4391"/>
      <c r="AC2095" s="4391"/>
      <c r="AD2095" s="961"/>
      <c r="AE2095" s="961"/>
      <c r="AF2095" s="961"/>
      <c r="AG2095" s="961"/>
      <c r="AH2095" s="682"/>
      <c r="AI2095" s="961"/>
    </row>
    <row r="2096" s="47" customFormat="1" ht="92" spans="1:35">
      <c r="A2096" s="683"/>
      <c r="B2096" s="4319"/>
      <c r="C2096" s="683"/>
      <c r="D2096" s="683"/>
      <c r="E2096" s="683"/>
      <c r="F2096" s="683"/>
      <c r="G2096" s="683"/>
      <c r="H2096" s="683"/>
      <c r="I2096" s="683"/>
      <c r="J2096" s="683"/>
      <c r="K2096" s="4404"/>
      <c r="L2096" s="683"/>
      <c r="M2096" s="636">
        <v>5</v>
      </c>
      <c r="N2096" s="636" t="s">
        <v>7179</v>
      </c>
      <c r="O2096" s="636" t="s">
        <v>7180</v>
      </c>
      <c r="P2096" s="744">
        <f t="shared" ref="P2096:P2098" si="71">1966935.9*0.05</f>
        <v>98346.795</v>
      </c>
      <c r="Q2096" s="4428">
        <v>98346.8</v>
      </c>
      <c r="R2096" s="4428" t="s">
        <v>5015</v>
      </c>
      <c r="S2096" s="4429">
        <v>46386</v>
      </c>
      <c r="T2096" s="2909"/>
      <c r="U2096" s="4388"/>
      <c r="V2096" s="4392"/>
      <c r="W2096" s="4360"/>
      <c r="X2096" s="2909"/>
      <c r="Y2096" s="4388"/>
      <c r="Z2096" s="2909"/>
      <c r="AA2096" s="4439"/>
      <c r="AB2096" s="4391"/>
      <c r="AC2096" s="4391"/>
      <c r="AD2096" s="961"/>
      <c r="AE2096" s="961"/>
      <c r="AF2096" s="961"/>
      <c r="AG2096" s="961"/>
      <c r="AH2096" s="682"/>
      <c r="AI2096" s="961"/>
    </row>
    <row r="2097" s="47" customFormat="1" ht="76" spans="1:35">
      <c r="A2097" s="683"/>
      <c r="B2097" s="4319"/>
      <c r="C2097" s="683"/>
      <c r="D2097" s="683"/>
      <c r="E2097" s="683"/>
      <c r="F2097" s="683"/>
      <c r="G2097" s="683"/>
      <c r="H2097" s="683"/>
      <c r="I2097" s="683"/>
      <c r="J2097" s="683"/>
      <c r="K2097" s="4404"/>
      <c r="L2097" s="683"/>
      <c r="M2097" s="636">
        <v>6</v>
      </c>
      <c r="N2097" s="636" t="s">
        <v>6675</v>
      </c>
      <c r="O2097" s="636" t="s">
        <v>7099</v>
      </c>
      <c r="P2097" s="744">
        <f t="shared" si="71"/>
        <v>98346.795</v>
      </c>
      <c r="Q2097" s="4428">
        <v>98346.8</v>
      </c>
      <c r="R2097" s="4428" t="s">
        <v>5015</v>
      </c>
      <c r="S2097" s="4429">
        <v>46386</v>
      </c>
      <c r="T2097" s="2909"/>
      <c r="U2097" s="4388"/>
      <c r="V2097" s="4392"/>
      <c r="W2097" s="4360"/>
      <c r="X2097" s="2909"/>
      <c r="Y2097" s="4388"/>
      <c r="Z2097" s="2909"/>
      <c r="AA2097" s="4439"/>
      <c r="AB2097" s="4391"/>
      <c r="AC2097" s="4391"/>
      <c r="AD2097" s="961"/>
      <c r="AE2097" s="961"/>
      <c r="AF2097" s="961"/>
      <c r="AG2097" s="961"/>
      <c r="AH2097" s="682"/>
      <c r="AI2097" s="961"/>
    </row>
    <row r="2098" s="47" customFormat="1" ht="92" spans="1:35">
      <c r="A2098" s="683"/>
      <c r="B2098" s="4319"/>
      <c r="C2098" s="683"/>
      <c r="D2098" s="683"/>
      <c r="E2098" s="683"/>
      <c r="F2098" s="683"/>
      <c r="G2098" s="683"/>
      <c r="H2098" s="683"/>
      <c r="I2098" s="683"/>
      <c r="J2098" s="683"/>
      <c r="K2098" s="4404"/>
      <c r="L2098" s="683"/>
      <c r="M2098" s="639">
        <v>7</v>
      </c>
      <c r="N2098" s="639" t="s">
        <v>3356</v>
      </c>
      <c r="O2098" s="636" t="s">
        <v>7101</v>
      </c>
      <c r="P2098" s="744">
        <f>1966935.9*0.1</f>
        <v>196693.59</v>
      </c>
      <c r="Q2098" s="2909">
        <v>196693.59</v>
      </c>
      <c r="R2098" s="2909"/>
      <c r="S2098" s="4388"/>
      <c r="T2098" s="2909"/>
      <c r="U2098" s="4388"/>
      <c r="V2098" s="4392"/>
      <c r="W2098" s="4360"/>
      <c r="X2098" s="2909"/>
      <c r="Y2098" s="4388"/>
      <c r="Z2098" s="2909"/>
      <c r="AA2098" s="4439"/>
      <c r="AB2098" s="4391"/>
      <c r="AC2098" s="4391"/>
      <c r="AD2098" s="961"/>
      <c r="AE2098" s="961"/>
      <c r="AF2098" s="961"/>
      <c r="AG2098" s="961"/>
      <c r="AH2098" s="682"/>
      <c r="AI2098" s="961"/>
    </row>
    <row r="2099" s="48" customFormat="1" ht="92" spans="1:35">
      <c r="A2099" s="1485" t="s">
        <v>2570</v>
      </c>
      <c r="B2099" s="4396">
        <v>45267</v>
      </c>
      <c r="C2099" s="1485" t="s">
        <v>7218</v>
      </c>
      <c r="D2099" s="1485" t="s">
        <v>171</v>
      </c>
      <c r="E2099" s="1485" t="s">
        <v>7258</v>
      </c>
      <c r="F2099" s="1485" t="s">
        <v>7259</v>
      </c>
      <c r="G2099" s="1485" t="s">
        <v>7260</v>
      </c>
      <c r="H2099" s="1485" t="s">
        <v>5074</v>
      </c>
      <c r="I2099" s="1485"/>
      <c r="J2099" s="1485"/>
      <c r="K2099" s="4405">
        <v>1672101</v>
      </c>
      <c r="L2099" s="1485" t="s">
        <v>126</v>
      </c>
      <c r="M2099" s="1485">
        <v>1</v>
      </c>
      <c r="N2099" s="1485" t="s">
        <v>5513</v>
      </c>
      <c r="O2099" s="1485" t="s">
        <v>3622</v>
      </c>
      <c r="P2099" s="4413">
        <f>1672101*0.15</f>
        <v>250815.15</v>
      </c>
      <c r="Q2099" s="1816">
        <v>250815.15</v>
      </c>
      <c r="R2099" s="1816" t="s">
        <v>4603</v>
      </c>
      <c r="S2099" s="1766">
        <v>45271</v>
      </c>
      <c r="T2099" s="1816">
        <v>250815.15</v>
      </c>
      <c r="U2099" s="1766">
        <v>45271</v>
      </c>
      <c r="V2099" s="4413">
        <f>1672101*0.15</f>
        <v>250815.15</v>
      </c>
      <c r="W2099" s="1766">
        <v>45275</v>
      </c>
      <c r="X2099" s="1816">
        <v>250815.15</v>
      </c>
      <c r="Y2099" s="1766">
        <v>45281</v>
      </c>
      <c r="Z2099" s="1816"/>
      <c r="AA2099" s="4440"/>
      <c r="AB2099" s="4441"/>
      <c r="AC2099" s="4441"/>
      <c r="AD2099" s="1514"/>
      <c r="AE2099" s="1514"/>
      <c r="AF2099" s="1514"/>
      <c r="AG2099" s="1514"/>
      <c r="AH2099" s="1486"/>
      <c r="AI2099" s="1514"/>
    </row>
    <row r="2100" s="48" customFormat="1" ht="92" spans="1:35">
      <c r="A2100" s="1813"/>
      <c r="B2100" s="4397"/>
      <c r="C2100" s="1813"/>
      <c r="D2100" s="1813"/>
      <c r="E2100" s="1813"/>
      <c r="F2100" s="1813"/>
      <c r="G2100" s="1813"/>
      <c r="H2100" s="1813"/>
      <c r="I2100" s="1813"/>
      <c r="J2100" s="1813"/>
      <c r="K2100" s="4406"/>
      <c r="L2100" s="1813"/>
      <c r="M2100" s="1485">
        <v>2</v>
      </c>
      <c r="N2100" s="1485" t="s">
        <v>5514</v>
      </c>
      <c r="O2100" s="1485" t="s">
        <v>3706</v>
      </c>
      <c r="P2100" s="4414">
        <f>1672101*0.25</f>
        <v>418025.25</v>
      </c>
      <c r="Q2100" s="1816">
        <v>418025.25</v>
      </c>
      <c r="R2100" s="1816" t="s">
        <v>4603</v>
      </c>
      <c r="S2100" s="1766">
        <v>45271</v>
      </c>
      <c r="T2100" s="1816">
        <v>418025.25</v>
      </c>
      <c r="U2100" s="1766">
        <v>45271</v>
      </c>
      <c r="V2100" s="4414">
        <f>1672101*0.25</f>
        <v>418025.25</v>
      </c>
      <c r="W2100" s="1766">
        <v>45275</v>
      </c>
      <c r="X2100" s="1816">
        <v>418025.25</v>
      </c>
      <c r="Y2100" s="1766">
        <v>45281</v>
      </c>
      <c r="Z2100" s="1816"/>
      <c r="AA2100" s="4440"/>
      <c r="AB2100" s="4441"/>
      <c r="AC2100" s="4441"/>
      <c r="AD2100" s="1514"/>
      <c r="AE2100" s="1514"/>
      <c r="AF2100" s="1514"/>
      <c r="AG2100" s="1514"/>
      <c r="AH2100" s="1486"/>
      <c r="AI2100" s="1514"/>
    </row>
    <row r="2101" s="48" customFormat="1" ht="92" spans="1:35">
      <c r="A2101" s="1813"/>
      <c r="B2101" s="4397"/>
      <c r="C2101" s="1813"/>
      <c r="D2101" s="1813"/>
      <c r="E2101" s="1813"/>
      <c r="F2101" s="1813"/>
      <c r="G2101" s="1813"/>
      <c r="H2101" s="1813"/>
      <c r="I2101" s="1813"/>
      <c r="J2101" s="1813"/>
      <c r="K2101" s="4406"/>
      <c r="L2101" s="1813"/>
      <c r="M2101" s="1485">
        <v>3</v>
      </c>
      <c r="N2101" s="1485" t="s">
        <v>5515</v>
      </c>
      <c r="O2101" s="1485" t="s">
        <v>7261</v>
      </c>
      <c r="P2101" s="4413">
        <f>1672101*0.1</f>
        <v>167210.1</v>
      </c>
      <c r="Q2101" s="1816">
        <v>167210.1</v>
      </c>
      <c r="R2101" s="1816" t="s">
        <v>4603</v>
      </c>
      <c r="S2101" s="1766">
        <v>45271</v>
      </c>
      <c r="T2101" s="1816">
        <v>167210.1</v>
      </c>
      <c r="U2101" s="1766">
        <v>45271</v>
      </c>
      <c r="V2101" s="4413">
        <f>1672101*0.1</f>
        <v>167210.1</v>
      </c>
      <c r="W2101" s="1673">
        <v>45346</v>
      </c>
      <c r="X2101" s="4414">
        <f>1672101*0.1</f>
        <v>167210.1</v>
      </c>
      <c r="Y2101" s="1766">
        <v>45380</v>
      </c>
      <c r="Z2101" s="1816"/>
      <c r="AA2101" s="4440"/>
      <c r="AB2101" s="4441"/>
      <c r="AC2101" s="4441"/>
      <c r="AD2101" s="1514"/>
      <c r="AE2101" s="1514"/>
      <c r="AF2101" s="1514"/>
      <c r="AG2101" s="1514"/>
      <c r="AH2101" s="1486"/>
      <c r="AI2101" s="1514"/>
    </row>
    <row r="2102" s="48" customFormat="1" ht="92" spans="1:35">
      <c r="A2102" s="1813"/>
      <c r="B2102" s="4397"/>
      <c r="C2102" s="1813"/>
      <c r="D2102" s="1813"/>
      <c r="E2102" s="1813"/>
      <c r="F2102" s="1813"/>
      <c r="G2102" s="1813"/>
      <c r="H2102" s="1813"/>
      <c r="I2102" s="1813"/>
      <c r="J2102" s="1813"/>
      <c r="K2102" s="4406"/>
      <c r="L2102" s="1813"/>
      <c r="M2102" s="1485">
        <v>4</v>
      </c>
      <c r="N2102" s="1485" t="s">
        <v>5516</v>
      </c>
      <c r="O2102" s="1485" t="s">
        <v>3708</v>
      </c>
      <c r="P2102" s="4413">
        <f t="shared" ref="P2102:T2102" si="72">1672101*0.3</f>
        <v>501630.3</v>
      </c>
      <c r="Q2102" s="4414">
        <f t="shared" si="72"/>
        <v>501630.3</v>
      </c>
      <c r="R2102" s="1816" t="s">
        <v>4603</v>
      </c>
      <c r="S2102" s="1766">
        <v>45588</v>
      </c>
      <c r="T2102" s="4414">
        <f t="shared" si="72"/>
        <v>501630.3</v>
      </c>
      <c r="U2102" s="1766">
        <v>45588</v>
      </c>
      <c r="V2102" s="1516">
        <v>501630.3</v>
      </c>
      <c r="W2102" s="1766">
        <v>45590</v>
      </c>
      <c r="X2102" s="4414">
        <f>1672101*0.3</f>
        <v>501630.3</v>
      </c>
      <c r="Y2102" s="1766">
        <v>45596</v>
      </c>
      <c r="Z2102" s="1816"/>
      <c r="AA2102" s="4440"/>
      <c r="AB2102" s="4441"/>
      <c r="AC2102" s="4441"/>
      <c r="AD2102" s="1514"/>
      <c r="AE2102" s="1514"/>
      <c r="AF2102" s="1514"/>
      <c r="AG2102" s="1514"/>
      <c r="AH2102" s="1486"/>
      <c r="AI2102" s="1514"/>
    </row>
    <row r="2103" s="48" customFormat="1" ht="76" spans="1:35">
      <c r="A2103" s="1813"/>
      <c r="B2103" s="4397"/>
      <c r="C2103" s="1813"/>
      <c r="D2103" s="1813"/>
      <c r="E2103" s="1813"/>
      <c r="F2103" s="1813"/>
      <c r="G2103" s="1813"/>
      <c r="H2103" s="1813"/>
      <c r="I2103" s="1813"/>
      <c r="J2103" s="1813"/>
      <c r="K2103" s="4406"/>
      <c r="L2103" s="1813"/>
      <c r="M2103" s="1485">
        <v>5</v>
      </c>
      <c r="N2103" s="1485" t="s">
        <v>5517</v>
      </c>
      <c r="O2103" s="1485" t="s">
        <v>7262</v>
      </c>
      <c r="P2103" s="4413">
        <f t="shared" ref="P2103:P2105" si="73">1672101*0.05</f>
        <v>83605.05</v>
      </c>
      <c r="Q2103" s="4430">
        <f>1672101*0.05</f>
        <v>83605.05</v>
      </c>
      <c r="R2103" s="3088" t="s">
        <v>5015</v>
      </c>
      <c r="S2103" s="4431">
        <v>46111</v>
      </c>
      <c r="T2103" s="1816"/>
      <c r="U2103" s="1766"/>
      <c r="V2103" s="1516"/>
      <c r="W2103" s="1673"/>
      <c r="X2103" s="3088">
        <f>Q2103</f>
        <v>83605.05</v>
      </c>
      <c r="Y2103" s="4431">
        <v>46052</v>
      </c>
      <c r="Z2103" s="1816"/>
      <c r="AA2103" s="4440"/>
      <c r="AB2103" s="4441"/>
      <c r="AC2103" s="4441"/>
      <c r="AD2103" s="1514"/>
      <c r="AE2103" s="1514"/>
      <c r="AF2103" s="1514"/>
      <c r="AG2103" s="1514"/>
      <c r="AH2103" s="1486"/>
      <c r="AI2103" s="1514"/>
    </row>
    <row r="2104" s="48" customFormat="1" ht="76" spans="1:35">
      <c r="A2104" s="1813"/>
      <c r="B2104" s="4397"/>
      <c r="C2104" s="1813"/>
      <c r="D2104" s="1813"/>
      <c r="E2104" s="1813"/>
      <c r="F2104" s="1813"/>
      <c r="G2104" s="1813"/>
      <c r="H2104" s="1813"/>
      <c r="I2104" s="1813"/>
      <c r="J2104" s="1813"/>
      <c r="K2104" s="4406"/>
      <c r="L2104" s="1813"/>
      <c r="M2104" s="1485">
        <v>6</v>
      </c>
      <c r="N2104" s="1485" t="s">
        <v>3634</v>
      </c>
      <c r="O2104" s="1485" t="s">
        <v>7263</v>
      </c>
      <c r="P2104" s="4413">
        <f t="shared" si="73"/>
        <v>83605.05</v>
      </c>
      <c r="Q2104" s="4430">
        <f>1672101*0.05</f>
        <v>83605.05</v>
      </c>
      <c r="R2104" s="3088" t="s">
        <v>5015</v>
      </c>
      <c r="S2104" s="4431">
        <v>46386</v>
      </c>
      <c r="T2104" s="1816"/>
      <c r="U2104" s="1766"/>
      <c r="V2104" s="1516"/>
      <c r="W2104" s="1673"/>
      <c r="X2104" s="1816"/>
      <c r="Y2104" s="1766"/>
      <c r="Z2104" s="1816"/>
      <c r="AA2104" s="4440"/>
      <c r="AB2104" s="4441"/>
      <c r="AC2104" s="4441"/>
      <c r="AD2104" s="1514"/>
      <c r="AE2104" s="1514"/>
      <c r="AF2104" s="1514"/>
      <c r="AG2104" s="1514"/>
      <c r="AH2104" s="1486"/>
      <c r="AI2104" s="1514"/>
    </row>
    <row r="2105" s="48" customFormat="1" ht="92" spans="1:35">
      <c r="A2105" s="1815"/>
      <c r="B2105" s="4398"/>
      <c r="C2105" s="1815"/>
      <c r="D2105" s="1815"/>
      <c r="E2105" s="1815"/>
      <c r="F2105" s="1815"/>
      <c r="G2105" s="1815"/>
      <c r="H2105" s="1815"/>
      <c r="I2105" s="1815"/>
      <c r="J2105" s="1815"/>
      <c r="K2105" s="4407"/>
      <c r="L2105" s="1815"/>
      <c r="M2105" s="1485">
        <v>7</v>
      </c>
      <c r="N2105" s="1485" t="s">
        <v>3356</v>
      </c>
      <c r="O2105" s="1485" t="s">
        <v>7264</v>
      </c>
      <c r="P2105" s="4413">
        <f>1672101*0.1</f>
        <v>167210.1</v>
      </c>
      <c r="Q2105" s="1816"/>
      <c r="R2105" s="1816"/>
      <c r="S2105" s="1766"/>
      <c r="T2105" s="1816"/>
      <c r="U2105" s="1766"/>
      <c r="V2105" s="1516"/>
      <c r="W2105" s="1673"/>
      <c r="X2105" s="1816"/>
      <c r="Y2105" s="1766"/>
      <c r="Z2105" s="1816"/>
      <c r="AA2105" s="4440"/>
      <c r="AB2105" s="4441"/>
      <c r="AC2105" s="4441"/>
      <c r="AD2105" s="1514"/>
      <c r="AE2105" s="1514"/>
      <c r="AF2105" s="1514"/>
      <c r="AG2105" s="1514"/>
      <c r="AH2105" s="1486"/>
      <c r="AI2105" s="1514"/>
    </row>
    <row r="2106" s="48" customFormat="1" ht="76" spans="1:35">
      <c r="A2106" s="1547" t="s">
        <v>2570</v>
      </c>
      <c r="B2106" s="4399">
        <v>45278</v>
      </c>
      <c r="C2106" s="1547" t="s">
        <v>7218</v>
      </c>
      <c r="D2106" s="1547"/>
      <c r="E2106" s="1547" t="s">
        <v>7265</v>
      </c>
      <c r="F2106" s="1547" t="s">
        <v>7266</v>
      </c>
      <c r="G2106" s="1547" t="s">
        <v>193</v>
      </c>
      <c r="H2106" s="1547" t="s">
        <v>5837</v>
      </c>
      <c r="I2106" s="1547"/>
      <c r="J2106" s="1547"/>
      <c r="K2106" s="4408">
        <v>237913.02</v>
      </c>
      <c r="L2106" s="1547" t="s">
        <v>32</v>
      </c>
      <c r="M2106" s="1485">
        <v>1</v>
      </c>
      <c r="N2106" s="1485" t="s">
        <v>7267</v>
      </c>
      <c r="O2106" s="4415">
        <v>0.3</v>
      </c>
      <c r="P2106" s="4416">
        <f>237913.02*O2106</f>
        <v>71373.906</v>
      </c>
      <c r="Q2106" s="4432">
        <v>71373.906</v>
      </c>
      <c r="R2106" s="1816" t="s">
        <v>4603</v>
      </c>
      <c r="S2106" s="1766">
        <v>45285</v>
      </c>
      <c r="T2106" s="4432">
        <v>71373.906</v>
      </c>
      <c r="U2106" s="1766">
        <v>45285</v>
      </c>
      <c r="V2106" s="4432">
        <v>71373.906</v>
      </c>
      <c r="W2106" s="1766">
        <v>45299</v>
      </c>
      <c r="X2106" s="4432">
        <v>71373.906</v>
      </c>
      <c r="Y2106" s="1766">
        <v>45310</v>
      </c>
      <c r="Z2106" s="1816"/>
      <c r="AA2106" s="4440"/>
      <c r="AB2106" s="4441"/>
      <c r="AC2106" s="4441"/>
      <c r="AD2106" s="1514"/>
      <c r="AE2106" s="1514"/>
      <c r="AF2106" s="1514"/>
      <c r="AG2106" s="1514"/>
      <c r="AH2106" s="1486"/>
      <c r="AI2106" s="1514"/>
    </row>
    <row r="2107" s="48" customFormat="1" ht="92" spans="1:35">
      <c r="A2107" s="1547"/>
      <c r="B2107" s="4399"/>
      <c r="C2107" s="1547"/>
      <c r="D2107" s="1547"/>
      <c r="E2107" s="1547"/>
      <c r="F2107" s="1547"/>
      <c r="G2107" s="1547"/>
      <c r="H2107" s="1547"/>
      <c r="I2107" s="1547"/>
      <c r="J2107" s="1547"/>
      <c r="K2107" s="4408"/>
      <c r="L2107" s="1547"/>
      <c r="M2107" s="1485">
        <v>2</v>
      </c>
      <c r="N2107" s="1485" t="s">
        <v>7268</v>
      </c>
      <c r="O2107" s="4415">
        <v>0.3</v>
      </c>
      <c r="P2107" s="4416">
        <f>237913.02*O2107</f>
        <v>71373.906</v>
      </c>
      <c r="Q2107" s="4432">
        <v>71373.906</v>
      </c>
      <c r="R2107" s="1816" t="s">
        <v>4603</v>
      </c>
      <c r="S2107" s="1766">
        <v>45285</v>
      </c>
      <c r="T2107" s="4432">
        <v>71373.906</v>
      </c>
      <c r="U2107" s="1766">
        <v>45285</v>
      </c>
      <c r="V2107" s="4432">
        <v>71373.906</v>
      </c>
      <c r="W2107" s="1766">
        <v>45299</v>
      </c>
      <c r="X2107" s="4432">
        <v>71373.906</v>
      </c>
      <c r="Y2107" s="1766">
        <v>45310</v>
      </c>
      <c r="Z2107" s="1816"/>
      <c r="AA2107" s="4440"/>
      <c r="AB2107" s="4441"/>
      <c r="AC2107" s="4441"/>
      <c r="AD2107" s="1514"/>
      <c r="AE2107" s="1514"/>
      <c r="AF2107" s="1514"/>
      <c r="AG2107" s="1514"/>
      <c r="AH2107" s="1486"/>
      <c r="AI2107" s="1514"/>
    </row>
    <row r="2108" s="48" customFormat="1" spans="1:35">
      <c r="A2108" s="1547"/>
      <c r="B2108" s="4399"/>
      <c r="C2108" s="1547"/>
      <c r="D2108" s="1547"/>
      <c r="E2108" s="1547"/>
      <c r="F2108" s="1547"/>
      <c r="G2108" s="1547"/>
      <c r="H2108" s="1547"/>
      <c r="I2108" s="1547"/>
      <c r="J2108" s="1547"/>
      <c r="K2108" s="4408"/>
      <c r="L2108" s="1547"/>
      <c r="M2108" s="1485">
        <v>3</v>
      </c>
      <c r="N2108" s="1485" t="s">
        <v>7269</v>
      </c>
      <c r="O2108" s="4415">
        <v>0.35</v>
      </c>
      <c r="P2108" s="4416">
        <f>237913.02*O2108</f>
        <v>83269.557</v>
      </c>
      <c r="Q2108" s="4433">
        <v>83269.557</v>
      </c>
      <c r="R2108" s="1814" t="s">
        <v>4603</v>
      </c>
      <c r="S2108" s="1764">
        <v>45285</v>
      </c>
      <c r="T2108" s="4433">
        <v>83269.557</v>
      </c>
      <c r="U2108" s="1764">
        <v>45285</v>
      </c>
      <c r="V2108" s="4432">
        <f>Q2108/2</f>
        <v>41634.7785</v>
      </c>
      <c r="W2108" s="1766">
        <v>45727</v>
      </c>
      <c r="X2108" s="4432">
        <v>41634.7785</v>
      </c>
      <c r="Y2108" s="1766">
        <v>45744</v>
      </c>
      <c r="Z2108" s="1816"/>
      <c r="AA2108" s="4440"/>
      <c r="AB2108" s="4441"/>
      <c r="AC2108" s="4441"/>
      <c r="AD2108" s="1514"/>
      <c r="AE2108" s="1514"/>
      <c r="AF2108" s="1514"/>
      <c r="AG2108" s="1514"/>
      <c r="AH2108" s="1486"/>
      <c r="AI2108" s="1514"/>
    </row>
    <row r="2109" s="48" customFormat="1" spans="1:35">
      <c r="A2109" s="1547"/>
      <c r="B2109" s="4399"/>
      <c r="C2109" s="1547"/>
      <c r="D2109" s="1547"/>
      <c r="E2109" s="1547"/>
      <c r="F2109" s="1547"/>
      <c r="G2109" s="1547"/>
      <c r="H2109" s="1547"/>
      <c r="I2109" s="1547"/>
      <c r="J2109" s="1547"/>
      <c r="K2109" s="4408"/>
      <c r="L2109" s="1547"/>
      <c r="M2109" s="1813"/>
      <c r="N2109" s="1813"/>
      <c r="O2109" s="4417"/>
      <c r="P2109" s="4418"/>
      <c r="Q2109" s="4432"/>
      <c r="R2109" s="1816"/>
      <c r="S2109" s="1766"/>
      <c r="T2109" s="4432"/>
      <c r="U2109" s="1766"/>
      <c r="V2109" s="4434">
        <v>41634.7785</v>
      </c>
      <c r="W2109" s="1766">
        <v>45786</v>
      </c>
      <c r="X2109" s="4434">
        <v>41634.7785</v>
      </c>
      <c r="Y2109" s="1766">
        <v>45805</v>
      </c>
      <c r="Z2109" s="1816"/>
      <c r="AA2109" s="4440"/>
      <c r="AB2109" s="4441"/>
      <c r="AC2109" s="4441"/>
      <c r="AD2109" s="1514"/>
      <c r="AE2109" s="1514"/>
      <c r="AF2109" s="1514"/>
      <c r="AG2109" s="1514"/>
      <c r="AH2109" s="1486"/>
      <c r="AI2109" s="1514"/>
    </row>
    <row r="2110" s="48" customFormat="1" ht="61" spans="1:35">
      <c r="A2110" s="1547"/>
      <c r="B2110" s="4399"/>
      <c r="C2110" s="1547"/>
      <c r="D2110" s="1547"/>
      <c r="E2110" s="1547"/>
      <c r="F2110" s="1547"/>
      <c r="G2110" s="1547"/>
      <c r="H2110" s="1547"/>
      <c r="I2110" s="1547"/>
      <c r="J2110" s="1547"/>
      <c r="K2110" s="4408"/>
      <c r="L2110" s="1547"/>
      <c r="M2110" s="1485">
        <v>4</v>
      </c>
      <c r="N2110" s="1485" t="s">
        <v>7270</v>
      </c>
      <c r="O2110" s="4415">
        <v>0.05</v>
      </c>
      <c r="P2110" s="4416">
        <f>237913.02*O2110</f>
        <v>11895.651</v>
      </c>
      <c r="Q2110" s="1816"/>
      <c r="R2110" s="1816"/>
      <c r="S2110" s="1766"/>
      <c r="T2110" s="1816"/>
      <c r="U2110" s="1766"/>
      <c r="V2110" s="1516"/>
      <c r="W2110" s="4435"/>
      <c r="X2110" s="1816"/>
      <c r="Y2110" s="1766"/>
      <c r="Z2110" s="1816"/>
      <c r="AA2110" s="4440"/>
      <c r="AB2110" s="4441"/>
      <c r="AC2110" s="4441"/>
      <c r="AD2110" s="1514"/>
      <c r="AE2110" s="1514"/>
      <c r="AF2110" s="1514"/>
      <c r="AG2110" s="1514"/>
      <c r="AH2110" s="1486"/>
      <c r="AI2110" s="1514"/>
    </row>
    <row r="2111" s="48" customFormat="1" ht="61" spans="1:35">
      <c r="A2111" s="1547" t="s">
        <v>2570</v>
      </c>
      <c r="B2111" s="4396">
        <v>45282</v>
      </c>
      <c r="C2111" s="1547" t="s">
        <v>7218</v>
      </c>
      <c r="D2111" s="1547"/>
      <c r="E2111" s="1547" t="s">
        <v>7271</v>
      </c>
      <c r="F2111" s="1547" t="s">
        <v>7272</v>
      </c>
      <c r="G2111" s="1547" t="s">
        <v>6713</v>
      </c>
      <c r="H2111" s="1547" t="s">
        <v>6538</v>
      </c>
      <c r="I2111" s="1547"/>
      <c r="J2111" s="1547" t="s">
        <v>2887</v>
      </c>
      <c r="K2111" s="1547">
        <v>250000</v>
      </c>
      <c r="L2111" s="1547" t="s">
        <v>126</v>
      </c>
      <c r="M2111" s="1485">
        <v>1</v>
      </c>
      <c r="N2111" s="1485" t="s">
        <v>7215</v>
      </c>
      <c r="O2111" s="4415" t="s">
        <v>7091</v>
      </c>
      <c r="P2111" s="4416">
        <f>K2111*20%</f>
        <v>50000</v>
      </c>
      <c r="Q2111" s="1816">
        <v>50000</v>
      </c>
      <c r="R2111" s="1816" t="s">
        <v>4603</v>
      </c>
      <c r="S2111" s="1766">
        <v>45286</v>
      </c>
      <c r="T2111" s="1816">
        <v>50000</v>
      </c>
      <c r="U2111" s="1766">
        <v>45286</v>
      </c>
      <c r="V2111" s="1816">
        <v>50000</v>
      </c>
      <c r="W2111" s="4435">
        <v>45297</v>
      </c>
      <c r="X2111" s="1816">
        <v>50000</v>
      </c>
      <c r="Y2111" s="1766">
        <v>45309</v>
      </c>
      <c r="Z2111" s="1816"/>
      <c r="AA2111" s="4440"/>
      <c r="AB2111" s="4441"/>
      <c r="AC2111" s="4441"/>
      <c r="AD2111" s="1514"/>
      <c r="AE2111" s="1514"/>
      <c r="AF2111" s="1514"/>
      <c r="AG2111" s="1514"/>
      <c r="AH2111" s="1486"/>
      <c r="AI2111" s="1514"/>
    </row>
    <row r="2112" s="48" customFormat="1" ht="76" spans="1:35">
      <c r="A2112" s="1547"/>
      <c r="B2112" s="4397"/>
      <c r="C2112" s="1547"/>
      <c r="D2112" s="1547"/>
      <c r="E2112" s="1547"/>
      <c r="F2112" s="1547"/>
      <c r="G2112" s="1547"/>
      <c r="H2112" s="1547"/>
      <c r="I2112" s="1547"/>
      <c r="J2112" s="1547"/>
      <c r="K2112" s="1547"/>
      <c r="L2112" s="1547"/>
      <c r="M2112" s="1485">
        <v>2</v>
      </c>
      <c r="N2112" s="1485" t="s">
        <v>7216</v>
      </c>
      <c r="O2112" s="4415" t="s">
        <v>7217</v>
      </c>
      <c r="P2112" s="4416">
        <f>K2111*0.6</f>
        <v>150000</v>
      </c>
      <c r="Q2112" s="1816">
        <v>150000</v>
      </c>
      <c r="R2112" s="1816" t="s">
        <v>4603</v>
      </c>
      <c r="S2112" s="1766">
        <v>45286</v>
      </c>
      <c r="T2112" s="1816">
        <v>150000</v>
      </c>
      <c r="U2112" s="1766">
        <v>45286</v>
      </c>
      <c r="V2112" s="1816">
        <v>150000</v>
      </c>
      <c r="W2112" s="4435">
        <v>45297</v>
      </c>
      <c r="X2112" s="1816">
        <v>150000</v>
      </c>
      <c r="Y2112" s="1766">
        <v>45309</v>
      </c>
      <c r="Z2112" s="1816"/>
      <c r="AA2112" s="4440"/>
      <c r="AB2112" s="4441"/>
      <c r="AC2112" s="4441"/>
      <c r="AD2112" s="1514"/>
      <c r="AE2112" s="1514"/>
      <c r="AF2112" s="1514"/>
      <c r="AG2112" s="1514"/>
      <c r="AH2112" s="1486"/>
      <c r="AI2112" s="1514"/>
    </row>
    <row r="2113" s="48" customFormat="1" ht="46" spans="1:35">
      <c r="A2113" s="1547"/>
      <c r="B2113" s="4398"/>
      <c r="C2113" s="1547"/>
      <c r="D2113" s="1547"/>
      <c r="E2113" s="1547"/>
      <c r="F2113" s="1547"/>
      <c r="G2113" s="1547"/>
      <c r="H2113" s="1547"/>
      <c r="I2113" s="1547"/>
      <c r="J2113" s="1547"/>
      <c r="K2113" s="1547"/>
      <c r="L2113" s="1547"/>
      <c r="M2113" s="1485">
        <v>3</v>
      </c>
      <c r="N2113" s="1485" t="s">
        <v>7273</v>
      </c>
      <c r="O2113" s="4415" t="s">
        <v>7101</v>
      </c>
      <c r="P2113" s="4416">
        <f>K2111*0.2</f>
        <v>50000</v>
      </c>
      <c r="Q2113" s="1816"/>
      <c r="R2113" s="1816"/>
      <c r="S2113" s="1766"/>
      <c r="T2113" s="1816"/>
      <c r="U2113" s="1766"/>
      <c r="V2113" s="1516"/>
      <c r="W2113" s="4435"/>
      <c r="X2113" s="1816"/>
      <c r="Y2113" s="1766"/>
      <c r="Z2113" s="1816"/>
      <c r="AA2113" s="4440"/>
      <c r="AB2113" s="4441"/>
      <c r="AC2113" s="4441"/>
      <c r="AD2113" s="1514"/>
      <c r="AE2113" s="1514"/>
      <c r="AF2113" s="1514"/>
      <c r="AG2113" s="1514"/>
      <c r="AH2113" s="1486"/>
      <c r="AI2113" s="1514"/>
    </row>
    <row r="2114" s="47" customFormat="1" ht="60" customHeight="1" spans="1:35">
      <c r="A2114" s="636" t="s">
        <v>2570</v>
      </c>
      <c r="B2114" s="4318">
        <v>45270</v>
      </c>
      <c r="C2114" s="639" t="s">
        <v>7218</v>
      </c>
      <c r="D2114" s="639"/>
      <c r="E2114" s="639" t="s">
        <v>7274</v>
      </c>
      <c r="F2114" s="639" t="s">
        <v>7275</v>
      </c>
      <c r="G2114" s="639" t="s">
        <v>3469</v>
      </c>
      <c r="H2114" s="639" t="s">
        <v>6117</v>
      </c>
      <c r="I2114" s="639">
        <v>230558.16</v>
      </c>
      <c r="J2114" s="639" t="s">
        <v>2887</v>
      </c>
      <c r="K2114" s="639">
        <v>308900</v>
      </c>
      <c r="L2114" s="639" t="s">
        <v>126</v>
      </c>
      <c r="M2114" s="639">
        <v>1</v>
      </c>
      <c r="N2114" s="639" t="s">
        <v>7276</v>
      </c>
      <c r="O2114" s="4455">
        <v>0.15</v>
      </c>
      <c r="P2114" s="4344">
        <f>K2114*O2114</f>
        <v>46335</v>
      </c>
      <c r="Q2114" s="4353">
        <v>46335</v>
      </c>
      <c r="R2114" s="2909" t="s">
        <v>4603</v>
      </c>
      <c r="S2114" s="4388">
        <v>45288</v>
      </c>
      <c r="T2114" s="4353">
        <v>46335</v>
      </c>
      <c r="U2114" s="4388">
        <v>45288</v>
      </c>
      <c r="V2114" s="4382">
        <v>46335</v>
      </c>
      <c r="W2114" s="4493">
        <v>45299</v>
      </c>
      <c r="X2114" s="4494">
        <v>46335</v>
      </c>
      <c r="Y2114" s="4388">
        <v>45316</v>
      </c>
      <c r="Z2114" s="2909"/>
      <c r="AA2114" s="4439"/>
      <c r="AB2114" s="4391"/>
      <c r="AC2114" s="4391"/>
      <c r="AD2114" s="961"/>
      <c r="AE2114" s="961"/>
      <c r="AF2114" s="961"/>
      <c r="AG2114" s="961"/>
      <c r="AH2114" s="682"/>
      <c r="AI2114" s="961"/>
    </row>
    <row r="2115" s="47" customFormat="1" ht="60" customHeight="1" spans="1:35">
      <c r="A2115" s="636"/>
      <c r="B2115" s="4319"/>
      <c r="C2115" s="683"/>
      <c r="D2115" s="683"/>
      <c r="E2115" s="683"/>
      <c r="F2115" s="683"/>
      <c r="G2115" s="683"/>
      <c r="H2115" s="683"/>
      <c r="I2115" s="683"/>
      <c r="J2115" s="683"/>
      <c r="K2115" s="683"/>
      <c r="L2115" s="683"/>
      <c r="M2115" s="639">
        <v>2</v>
      </c>
      <c r="N2115" s="639" t="s">
        <v>7277</v>
      </c>
      <c r="O2115" s="4455">
        <v>0.65</v>
      </c>
      <c r="P2115" s="4344">
        <f>K2114*O2115</f>
        <v>200785</v>
      </c>
      <c r="Q2115" s="4353">
        <v>200785</v>
      </c>
      <c r="R2115" s="2909" t="s">
        <v>4603</v>
      </c>
      <c r="S2115" s="4388">
        <v>45288</v>
      </c>
      <c r="T2115" s="4353">
        <v>200785</v>
      </c>
      <c r="U2115" s="4388">
        <v>45288</v>
      </c>
      <c r="V2115" s="4382">
        <f>T2115</f>
        <v>200785</v>
      </c>
      <c r="W2115" s="4493">
        <v>45636</v>
      </c>
      <c r="X2115" s="4494">
        <f>V2115</f>
        <v>200785</v>
      </c>
      <c r="Y2115" s="4388">
        <v>45681</v>
      </c>
      <c r="Z2115" s="2909"/>
      <c r="AA2115" s="4439"/>
      <c r="AB2115" s="4391"/>
      <c r="AC2115" s="4391"/>
      <c r="AD2115" s="961"/>
      <c r="AE2115" s="961"/>
      <c r="AF2115" s="961"/>
      <c r="AG2115" s="961"/>
      <c r="AH2115" s="682"/>
      <c r="AI2115" s="961"/>
    </row>
    <row r="2116" s="47" customFormat="1" ht="60" customHeight="1" spans="1:35">
      <c r="A2116" s="636"/>
      <c r="B2116" s="4372"/>
      <c r="C2116" s="2895"/>
      <c r="D2116" s="2895"/>
      <c r="E2116" s="2895"/>
      <c r="F2116" s="683"/>
      <c r="G2116" s="683"/>
      <c r="H2116" s="683"/>
      <c r="I2116" s="683"/>
      <c r="J2116" s="683"/>
      <c r="K2116" s="683"/>
      <c r="L2116" s="683"/>
      <c r="M2116" s="639">
        <v>3</v>
      </c>
      <c r="N2116" s="639" t="s">
        <v>7278</v>
      </c>
      <c r="O2116" s="4455">
        <v>0.2</v>
      </c>
      <c r="P2116" s="4344">
        <f>K2114*O2116</f>
        <v>61780</v>
      </c>
      <c r="Q2116" s="745"/>
      <c r="R2116" s="2909"/>
      <c r="S2116" s="4388"/>
      <c r="T2116" s="2907"/>
      <c r="U2116" s="4388"/>
      <c r="V2116" s="4392"/>
      <c r="W2116" s="4493"/>
      <c r="X2116" s="2909"/>
      <c r="Y2116" s="4388"/>
      <c r="Z2116" s="2909"/>
      <c r="AA2116" s="4439"/>
      <c r="AB2116" s="4391"/>
      <c r="AC2116" s="4391"/>
      <c r="AD2116" s="961"/>
      <c r="AE2116" s="961"/>
      <c r="AF2116" s="961"/>
      <c r="AG2116" s="961"/>
      <c r="AH2116" s="682"/>
      <c r="AI2116" s="961"/>
    </row>
    <row r="2117" s="47" customFormat="1" ht="40" customHeight="1" spans="1:35">
      <c r="A2117" s="636" t="s">
        <v>2570</v>
      </c>
      <c r="B2117" s="4318">
        <v>45286</v>
      </c>
      <c r="C2117" s="639" t="s">
        <v>7218</v>
      </c>
      <c r="D2117" s="639"/>
      <c r="E2117" s="639" t="s">
        <v>7279</v>
      </c>
      <c r="F2117" s="639" t="s">
        <v>7280</v>
      </c>
      <c r="G2117" s="639" t="s">
        <v>3461</v>
      </c>
      <c r="H2117" s="639" t="s">
        <v>6567</v>
      </c>
      <c r="I2117" s="639">
        <v>230558.16</v>
      </c>
      <c r="J2117" s="639" t="s">
        <v>2887</v>
      </c>
      <c r="K2117" s="639">
        <v>570000</v>
      </c>
      <c r="L2117" s="639" t="s">
        <v>126</v>
      </c>
      <c r="M2117" s="639">
        <v>1</v>
      </c>
      <c r="N2117" s="639" t="s">
        <v>7281</v>
      </c>
      <c r="O2117" s="4455">
        <v>0.3</v>
      </c>
      <c r="P2117" s="4344">
        <f>K2117*O2117</f>
        <v>171000</v>
      </c>
      <c r="Q2117" s="4353">
        <v>171000</v>
      </c>
      <c r="R2117" s="2909" t="s">
        <v>4603</v>
      </c>
      <c r="S2117" s="4388">
        <v>45288</v>
      </c>
      <c r="T2117" s="4353">
        <v>171000</v>
      </c>
      <c r="U2117" s="4388">
        <v>45288</v>
      </c>
      <c r="V2117" s="4382">
        <v>171000</v>
      </c>
      <c r="W2117" s="4493">
        <v>45295</v>
      </c>
      <c r="X2117" s="4382">
        <v>171000</v>
      </c>
      <c r="Y2117" s="4388">
        <v>45310</v>
      </c>
      <c r="Z2117" s="2909"/>
      <c r="AA2117" s="4439"/>
      <c r="AB2117" s="4391"/>
      <c r="AC2117" s="4391"/>
      <c r="AD2117" s="961"/>
      <c r="AE2117" s="961"/>
      <c r="AF2117" s="961"/>
      <c r="AG2117" s="961"/>
      <c r="AH2117" s="682"/>
      <c r="AI2117" s="961"/>
    </row>
    <row r="2118" s="47" customFormat="1" ht="40" customHeight="1" spans="1:35">
      <c r="A2118" s="636"/>
      <c r="B2118" s="4319"/>
      <c r="C2118" s="683"/>
      <c r="D2118" s="683"/>
      <c r="E2118" s="683"/>
      <c r="F2118" s="683"/>
      <c r="G2118" s="683"/>
      <c r="H2118" s="683"/>
      <c r="I2118" s="683"/>
      <c r="J2118" s="683"/>
      <c r="K2118" s="683"/>
      <c r="L2118" s="683"/>
      <c r="M2118" s="639">
        <v>2</v>
      </c>
      <c r="N2118" s="639" t="s">
        <v>7282</v>
      </c>
      <c r="O2118" s="4455">
        <v>0.6</v>
      </c>
      <c r="P2118" s="4344">
        <f>K2117*O2118</f>
        <v>342000</v>
      </c>
      <c r="Q2118" s="4353">
        <v>342000</v>
      </c>
      <c r="R2118" s="2909" t="s">
        <v>4603</v>
      </c>
      <c r="S2118" s="4388">
        <v>45288</v>
      </c>
      <c r="T2118" s="4353">
        <v>342000</v>
      </c>
      <c r="U2118" s="4388">
        <v>45288</v>
      </c>
      <c r="V2118" s="4382">
        <v>342000</v>
      </c>
      <c r="W2118" s="4493">
        <v>45295</v>
      </c>
      <c r="X2118" s="4382">
        <v>342000</v>
      </c>
      <c r="Y2118" s="4388">
        <v>45310</v>
      </c>
      <c r="Z2118" s="2909"/>
      <c r="AA2118" s="4439"/>
      <c r="AB2118" s="4391"/>
      <c r="AC2118" s="4391"/>
      <c r="AD2118" s="961"/>
      <c r="AE2118" s="961"/>
      <c r="AF2118" s="961"/>
      <c r="AG2118" s="961"/>
      <c r="AH2118" s="682"/>
      <c r="AI2118" s="961"/>
    </row>
    <row r="2119" s="47" customFormat="1" ht="40" customHeight="1" spans="1:35">
      <c r="A2119" s="636"/>
      <c r="B2119" s="4372"/>
      <c r="C2119" s="2895"/>
      <c r="D2119" s="2895"/>
      <c r="E2119" s="2895"/>
      <c r="F2119" s="683"/>
      <c r="G2119" s="683"/>
      <c r="H2119" s="683"/>
      <c r="I2119" s="683"/>
      <c r="J2119" s="683"/>
      <c r="K2119" s="683"/>
      <c r="L2119" s="683"/>
      <c r="M2119" s="639">
        <v>3</v>
      </c>
      <c r="N2119" s="639" t="s">
        <v>7283</v>
      </c>
      <c r="O2119" s="4455">
        <v>0.1</v>
      </c>
      <c r="P2119" s="4344">
        <f>K2117*O2119</f>
        <v>57000</v>
      </c>
      <c r="Q2119" s="4353"/>
      <c r="R2119" s="2909"/>
      <c r="S2119" s="4388"/>
      <c r="T2119" s="745"/>
      <c r="U2119" s="4388"/>
      <c r="V2119" s="4392"/>
      <c r="W2119" s="4493"/>
      <c r="X2119" s="2909"/>
      <c r="Y2119" s="4388"/>
      <c r="Z2119" s="2909"/>
      <c r="AA2119" s="4439"/>
      <c r="AB2119" s="4391"/>
      <c r="AC2119" s="4391"/>
      <c r="AD2119" s="961"/>
      <c r="AE2119" s="961"/>
      <c r="AF2119" s="961"/>
      <c r="AG2119" s="961"/>
      <c r="AH2119" s="682"/>
      <c r="AI2119" s="961"/>
    </row>
    <row r="2120" s="47" customFormat="1" ht="40" customHeight="1" spans="1:35">
      <c r="A2120" s="636" t="s">
        <v>2570</v>
      </c>
      <c r="B2120" s="4318">
        <v>45286</v>
      </c>
      <c r="C2120" s="636" t="s">
        <v>7218</v>
      </c>
      <c r="D2120" s="639"/>
      <c r="E2120" s="636" t="s">
        <v>7284</v>
      </c>
      <c r="F2120" s="636" t="s">
        <v>7285</v>
      </c>
      <c r="G2120" s="636" t="s">
        <v>6647</v>
      </c>
      <c r="H2120" s="636" t="s">
        <v>7286</v>
      </c>
      <c r="I2120" s="636">
        <v>230558.16</v>
      </c>
      <c r="J2120" s="636" t="s">
        <v>2887</v>
      </c>
      <c r="K2120" s="636">
        <v>1382742.2</v>
      </c>
      <c r="L2120" s="636" t="s">
        <v>126</v>
      </c>
      <c r="M2120" s="636">
        <v>1</v>
      </c>
      <c r="N2120" s="636" t="s">
        <v>7287</v>
      </c>
      <c r="O2120" s="4054">
        <v>0.8</v>
      </c>
      <c r="P2120" s="4353">
        <f>K2120*O2120</f>
        <v>1106193.76</v>
      </c>
      <c r="Q2120" s="745">
        <v>1106193.76</v>
      </c>
      <c r="R2120" s="745" t="s">
        <v>4603</v>
      </c>
      <c r="S2120" s="819">
        <v>45288</v>
      </c>
      <c r="T2120" s="745">
        <v>1106193.76</v>
      </c>
      <c r="U2120" s="819">
        <v>45288</v>
      </c>
      <c r="V2120" s="741">
        <v>1106193.76</v>
      </c>
      <c r="W2120" s="4360">
        <v>45296</v>
      </c>
      <c r="X2120" s="745">
        <v>1106193.76</v>
      </c>
      <c r="Y2120" s="4388">
        <v>45320</v>
      </c>
      <c r="Z2120" s="2909"/>
      <c r="AA2120" s="4439"/>
      <c r="AB2120" s="4391"/>
      <c r="AC2120" s="4391"/>
      <c r="AD2120" s="961"/>
      <c r="AE2120" s="961"/>
      <c r="AF2120" s="961"/>
      <c r="AG2120" s="961"/>
      <c r="AH2120" s="682"/>
      <c r="AI2120" s="961"/>
    </row>
    <row r="2121" s="47" customFormat="1" ht="40" customHeight="1" spans="1:35">
      <c r="A2121" s="636"/>
      <c r="B2121" s="4319"/>
      <c r="C2121" s="636"/>
      <c r="D2121" s="683"/>
      <c r="E2121" s="636"/>
      <c r="F2121" s="636"/>
      <c r="G2121" s="636"/>
      <c r="H2121" s="636"/>
      <c r="I2121" s="636"/>
      <c r="J2121" s="636"/>
      <c r="K2121" s="636"/>
      <c r="L2121" s="636"/>
      <c r="M2121" s="636">
        <v>2</v>
      </c>
      <c r="N2121" s="636" t="s">
        <v>7288</v>
      </c>
      <c r="O2121" s="4054">
        <v>0.1</v>
      </c>
      <c r="P2121" s="4353">
        <f>K2120*O2121</f>
        <v>138274.22</v>
      </c>
      <c r="Q2121" s="4355">
        <v>138274.22</v>
      </c>
      <c r="R2121" s="4356" t="s">
        <v>4603</v>
      </c>
      <c r="S2121" s="4357">
        <v>45637</v>
      </c>
      <c r="T2121" s="818">
        <v>138274.22</v>
      </c>
      <c r="U2121" s="4357">
        <v>45637</v>
      </c>
      <c r="V2121" s="741">
        <v>138274.22</v>
      </c>
      <c r="W2121" s="4360">
        <v>45659</v>
      </c>
      <c r="X2121" s="745">
        <v>132874.22</v>
      </c>
      <c r="Y2121" s="4388">
        <v>45681</v>
      </c>
      <c r="Z2121" s="2909"/>
      <c r="AA2121" s="4439"/>
      <c r="AB2121" s="4391"/>
      <c r="AC2121" s="4391"/>
      <c r="AD2121" s="961"/>
      <c r="AE2121" s="961"/>
      <c r="AF2121" s="961"/>
      <c r="AG2121" s="961"/>
      <c r="AH2121" s="682"/>
      <c r="AI2121" s="961"/>
    </row>
    <row r="2122" s="47" customFormat="1" ht="40" customHeight="1" spans="1:35">
      <c r="A2122" s="636"/>
      <c r="B2122" s="4372"/>
      <c r="C2122" s="636"/>
      <c r="D2122" s="2895"/>
      <c r="E2122" s="636"/>
      <c r="F2122" s="636"/>
      <c r="G2122" s="636"/>
      <c r="H2122" s="636"/>
      <c r="I2122" s="636"/>
      <c r="J2122" s="636"/>
      <c r="K2122" s="636"/>
      <c r="L2122" s="636"/>
      <c r="M2122" s="636">
        <v>3</v>
      </c>
      <c r="N2122" s="636" t="s">
        <v>7289</v>
      </c>
      <c r="O2122" s="4054">
        <v>0.1</v>
      </c>
      <c r="P2122" s="744">
        <f>K2120*O2122</f>
        <v>138274.22</v>
      </c>
      <c r="Q2122" s="821">
        <v>138274.22</v>
      </c>
      <c r="R2122" s="821" t="s">
        <v>349</v>
      </c>
      <c r="S2122" s="822"/>
      <c r="T2122" s="745"/>
      <c r="U2122" s="819"/>
      <c r="V2122" s="741"/>
      <c r="W2122" s="4360"/>
      <c r="X2122" s="745"/>
      <c r="Y2122" s="4388"/>
      <c r="Z2122" s="2909"/>
      <c r="AA2122" s="4439"/>
      <c r="AB2122" s="4391"/>
      <c r="AC2122" s="4391"/>
      <c r="AD2122" s="961"/>
      <c r="AE2122" s="961"/>
      <c r="AF2122" s="961"/>
      <c r="AG2122" s="961"/>
      <c r="AH2122" s="682"/>
      <c r="AI2122" s="961"/>
    </row>
    <row r="2123" s="47" customFormat="1" ht="40" customHeight="1" spans="1:35">
      <c r="A2123" s="636" t="s">
        <v>2570</v>
      </c>
      <c r="B2123" s="4318">
        <v>45286</v>
      </c>
      <c r="C2123" s="636" t="s">
        <v>7218</v>
      </c>
      <c r="D2123" s="636"/>
      <c r="E2123" s="636" t="s">
        <v>7290</v>
      </c>
      <c r="F2123" s="636" t="s">
        <v>7291</v>
      </c>
      <c r="G2123" s="636" t="s">
        <v>7292</v>
      </c>
      <c r="H2123" s="636" t="s">
        <v>6106</v>
      </c>
      <c r="I2123" s="636">
        <v>230558.16</v>
      </c>
      <c r="J2123" s="636" t="s">
        <v>997</v>
      </c>
      <c r="K2123" s="636">
        <v>1200000</v>
      </c>
      <c r="L2123" s="636" t="s">
        <v>126</v>
      </c>
      <c r="M2123" s="639">
        <v>1</v>
      </c>
      <c r="N2123" s="639" t="s">
        <v>7293</v>
      </c>
      <c r="O2123" s="4455">
        <v>0.2</v>
      </c>
      <c r="P2123" s="4344">
        <f>K2123*O2123</f>
        <v>240000</v>
      </c>
      <c r="Q2123" s="745">
        <v>240000</v>
      </c>
      <c r="R2123" s="2909" t="s">
        <v>4603</v>
      </c>
      <c r="S2123" s="4388">
        <v>45288</v>
      </c>
      <c r="T2123" s="745">
        <v>240000</v>
      </c>
      <c r="U2123" s="4388">
        <v>45288</v>
      </c>
      <c r="V2123" s="4382">
        <v>240000</v>
      </c>
      <c r="W2123" s="4493">
        <v>45306</v>
      </c>
      <c r="X2123" s="4494">
        <v>240000</v>
      </c>
      <c r="Y2123" s="4388">
        <v>45321</v>
      </c>
      <c r="Z2123" s="2909"/>
      <c r="AA2123" s="4439"/>
      <c r="AB2123" s="4391"/>
      <c r="AC2123" s="4391"/>
      <c r="AD2123" s="961"/>
      <c r="AE2123" s="961"/>
      <c r="AF2123" s="961"/>
      <c r="AG2123" s="961"/>
      <c r="AH2123" s="682"/>
      <c r="AI2123" s="961"/>
    </row>
    <row r="2124" s="47" customFormat="1" ht="40" customHeight="1" spans="1:35">
      <c r="A2124" s="636"/>
      <c r="B2124" s="4319"/>
      <c r="C2124" s="636"/>
      <c r="D2124" s="636"/>
      <c r="E2124" s="636"/>
      <c r="F2124" s="636"/>
      <c r="G2124" s="636"/>
      <c r="H2124" s="636"/>
      <c r="I2124" s="636"/>
      <c r="J2124" s="636"/>
      <c r="K2124" s="636"/>
      <c r="L2124" s="636"/>
      <c r="M2124" s="639">
        <v>2</v>
      </c>
      <c r="N2124" s="639" t="s">
        <v>7294</v>
      </c>
      <c r="O2124" s="4455">
        <v>0.6</v>
      </c>
      <c r="P2124" s="4344">
        <f>K2123*O2124</f>
        <v>720000</v>
      </c>
      <c r="Q2124" s="745">
        <v>720000</v>
      </c>
      <c r="R2124" s="2909" t="s">
        <v>4603</v>
      </c>
      <c r="S2124" s="4388">
        <v>45288</v>
      </c>
      <c r="T2124" s="745">
        <v>720000</v>
      </c>
      <c r="U2124" s="4388">
        <v>45288</v>
      </c>
      <c r="V2124" s="4382">
        <v>720000</v>
      </c>
      <c r="W2124" s="4493">
        <v>45306</v>
      </c>
      <c r="X2124" s="4494">
        <v>720000</v>
      </c>
      <c r="Y2124" s="4388">
        <v>45321</v>
      </c>
      <c r="Z2124" s="2909"/>
      <c r="AA2124" s="4439"/>
      <c r="AB2124" s="4391"/>
      <c r="AC2124" s="4391"/>
      <c r="AD2124" s="961"/>
      <c r="AE2124" s="961"/>
      <c r="AF2124" s="961"/>
      <c r="AG2124" s="961"/>
      <c r="AH2124" s="682"/>
      <c r="AI2124" s="961"/>
    </row>
    <row r="2125" s="47" customFormat="1" ht="40" customHeight="1" spans="1:35">
      <c r="A2125" s="636"/>
      <c r="B2125" s="4372"/>
      <c r="C2125" s="636"/>
      <c r="D2125" s="636"/>
      <c r="E2125" s="636"/>
      <c r="F2125" s="636"/>
      <c r="G2125" s="636"/>
      <c r="H2125" s="636"/>
      <c r="I2125" s="636"/>
      <c r="J2125" s="636"/>
      <c r="K2125" s="636"/>
      <c r="L2125" s="636"/>
      <c r="M2125" s="639">
        <v>3</v>
      </c>
      <c r="N2125" s="639" t="s">
        <v>7295</v>
      </c>
      <c r="O2125" s="4455">
        <v>0.2</v>
      </c>
      <c r="P2125" s="4344">
        <f>K2123*O2125</f>
        <v>240000</v>
      </c>
      <c r="Q2125" s="745">
        <v>240000</v>
      </c>
      <c r="R2125" s="4428"/>
      <c r="S2125" s="4429"/>
      <c r="T2125" s="745"/>
      <c r="U2125" s="4388"/>
      <c r="V2125" s="4392"/>
      <c r="W2125" s="4493"/>
      <c r="X2125" s="2909"/>
      <c r="Y2125" s="4388"/>
      <c r="Z2125" s="2909"/>
      <c r="AA2125" s="4439"/>
      <c r="AB2125" s="4391"/>
      <c r="AC2125" s="4391"/>
      <c r="AD2125" s="961"/>
      <c r="AE2125" s="961"/>
      <c r="AF2125" s="961"/>
      <c r="AG2125" s="961"/>
      <c r="AH2125" s="682"/>
      <c r="AI2125" s="961"/>
    </row>
    <row r="2126" s="47" customFormat="1" ht="40" customHeight="1" spans="1:35">
      <c r="A2126" s="636" t="s">
        <v>2570</v>
      </c>
      <c r="B2126" s="4318">
        <v>45286</v>
      </c>
      <c r="C2126" s="636" t="s">
        <v>7218</v>
      </c>
      <c r="D2126" s="636"/>
      <c r="E2126" s="636" t="s">
        <v>7296</v>
      </c>
      <c r="F2126" s="636" t="s">
        <v>7297</v>
      </c>
      <c r="G2126" s="636" t="s">
        <v>3465</v>
      </c>
      <c r="H2126" s="636" t="s">
        <v>6733</v>
      </c>
      <c r="I2126" s="636">
        <v>230558.16</v>
      </c>
      <c r="J2126" s="636" t="s">
        <v>997</v>
      </c>
      <c r="K2126" s="636">
        <v>588000</v>
      </c>
      <c r="L2126" s="636" t="s">
        <v>126</v>
      </c>
      <c r="M2126" s="639">
        <v>1</v>
      </c>
      <c r="N2126" s="639" t="s">
        <v>7298</v>
      </c>
      <c r="O2126" s="4455">
        <v>0.2</v>
      </c>
      <c r="P2126" s="4344">
        <f>K2126*O2126</f>
        <v>117600</v>
      </c>
      <c r="Q2126" s="745">
        <v>117600</v>
      </c>
      <c r="R2126" s="2909" t="s">
        <v>4603</v>
      </c>
      <c r="S2126" s="4388">
        <v>45288</v>
      </c>
      <c r="T2126" s="745">
        <v>117600</v>
      </c>
      <c r="U2126" s="4388">
        <v>45288</v>
      </c>
      <c r="V2126" s="745">
        <v>117600</v>
      </c>
      <c r="W2126" s="4493">
        <v>45296</v>
      </c>
      <c r="X2126" s="745">
        <v>117600</v>
      </c>
      <c r="Y2126" s="4388">
        <v>45310</v>
      </c>
      <c r="Z2126" s="2909"/>
      <c r="AA2126" s="4439"/>
      <c r="AB2126" s="4391"/>
      <c r="AC2126" s="4391"/>
      <c r="AD2126" s="961"/>
      <c r="AE2126" s="961"/>
      <c r="AF2126" s="961"/>
      <c r="AG2126" s="961"/>
      <c r="AH2126" s="682"/>
      <c r="AI2126" s="961"/>
    </row>
    <row r="2127" s="47" customFormat="1" ht="40" customHeight="1" spans="1:35">
      <c r="A2127" s="636"/>
      <c r="B2127" s="4319"/>
      <c r="C2127" s="636"/>
      <c r="D2127" s="636"/>
      <c r="E2127" s="636"/>
      <c r="F2127" s="636"/>
      <c r="G2127" s="636"/>
      <c r="H2127" s="636"/>
      <c r="I2127" s="636"/>
      <c r="J2127" s="636"/>
      <c r="K2127" s="636"/>
      <c r="L2127" s="636"/>
      <c r="M2127" s="639">
        <v>2</v>
      </c>
      <c r="N2127" s="639" t="s">
        <v>7299</v>
      </c>
      <c r="O2127" s="4455">
        <v>0.6</v>
      </c>
      <c r="P2127" s="4344">
        <f>K2126*O2127</f>
        <v>352800</v>
      </c>
      <c r="Q2127" s="745">
        <v>352800</v>
      </c>
      <c r="R2127" s="2909" t="s">
        <v>4603</v>
      </c>
      <c r="S2127" s="4388">
        <v>45288</v>
      </c>
      <c r="T2127" s="745">
        <v>352800</v>
      </c>
      <c r="U2127" s="4388">
        <v>45288</v>
      </c>
      <c r="V2127" s="745">
        <v>352800</v>
      </c>
      <c r="W2127" s="4493">
        <v>45296</v>
      </c>
      <c r="X2127" s="745">
        <v>352800</v>
      </c>
      <c r="Y2127" s="4388">
        <v>45310</v>
      </c>
      <c r="Z2127" s="2909"/>
      <c r="AA2127" s="4439"/>
      <c r="AB2127" s="4391"/>
      <c r="AC2127" s="4391"/>
      <c r="AD2127" s="961"/>
      <c r="AE2127" s="961"/>
      <c r="AF2127" s="961"/>
      <c r="AG2127" s="961"/>
      <c r="AH2127" s="682"/>
      <c r="AI2127" s="961"/>
    </row>
    <row r="2128" s="47" customFormat="1" ht="40" customHeight="1" spans="1:35">
      <c r="A2128" s="636"/>
      <c r="B2128" s="4372"/>
      <c r="C2128" s="636"/>
      <c r="D2128" s="636"/>
      <c r="E2128" s="636"/>
      <c r="F2128" s="636"/>
      <c r="G2128" s="636"/>
      <c r="H2128" s="636"/>
      <c r="I2128" s="636"/>
      <c r="J2128" s="636"/>
      <c r="K2128" s="636"/>
      <c r="L2128" s="636"/>
      <c r="M2128" s="639">
        <v>3</v>
      </c>
      <c r="N2128" s="639" t="s">
        <v>7300</v>
      </c>
      <c r="O2128" s="4455">
        <v>0.2</v>
      </c>
      <c r="P2128" s="4344">
        <f>K2126*O2128</f>
        <v>117600</v>
      </c>
      <c r="Q2128" s="745">
        <v>117600</v>
      </c>
      <c r="R2128" s="4428"/>
      <c r="S2128" s="4429"/>
      <c r="T2128" s="745"/>
      <c r="U2128" s="4388"/>
      <c r="V2128" s="4392"/>
      <c r="W2128" s="4493"/>
      <c r="X2128" s="2909"/>
      <c r="Y2128" s="4388"/>
      <c r="Z2128" s="2909"/>
      <c r="AA2128" s="4439"/>
      <c r="AB2128" s="4391"/>
      <c r="AC2128" s="4391"/>
      <c r="AD2128" s="961"/>
      <c r="AE2128" s="961"/>
      <c r="AF2128" s="961"/>
      <c r="AG2128" s="961"/>
      <c r="AH2128" s="682"/>
      <c r="AI2128" s="961"/>
    </row>
    <row r="2129" s="48" customFormat="1" ht="92" spans="1:35">
      <c r="A2129" s="1813" t="s">
        <v>2570</v>
      </c>
      <c r="B2129" s="4397">
        <v>45282</v>
      </c>
      <c r="C2129" s="1815" t="s">
        <v>7218</v>
      </c>
      <c r="D2129" s="1815"/>
      <c r="E2129" s="1815" t="s">
        <v>7301</v>
      </c>
      <c r="F2129" s="1813" t="s">
        <v>7302</v>
      </c>
      <c r="G2129" s="1813" t="s">
        <v>6624</v>
      </c>
      <c r="H2129" s="1813" t="s">
        <v>6441</v>
      </c>
      <c r="I2129" s="1813">
        <v>230558.16</v>
      </c>
      <c r="J2129" s="1813" t="s">
        <v>2887</v>
      </c>
      <c r="K2129" s="1813">
        <v>238713.74</v>
      </c>
      <c r="L2129" s="1813" t="s">
        <v>26</v>
      </c>
      <c r="M2129" s="1485">
        <v>1</v>
      </c>
      <c r="N2129" s="1485" t="s">
        <v>7303</v>
      </c>
      <c r="O2129" s="4415">
        <v>0.2</v>
      </c>
      <c r="P2129" s="4416">
        <v>47742.75</v>
      </c>
      <c r="Q2129" s="4470">
        <v>47742.75</v>
      </c>
      <c r="R2129" s="1816" t="s">
        <v>4603</v>
      </c>
      <c r="S2129" s="1766">
        <v>45286</v>
      </c>
      <c r="T2129" s="4416">
        <v>47742.75</v>
      </c>
      <c r="U2129" s="1766">
        <v>45286</v>
      </c>
      <c r="V2129" s="4416">
        <v>47742.75</v>
      </c>
      <c r="W2129" s="4435">
        <v>45296</v>
      </c>
      <c r="X2129" s="4416">
        <v>47742.75</v>
      </c>
      <c r="Y2129" s="1766">
        <v>45350</v>
      </c>
      <c r="Z2129" s="1816"/>
      <c r="AA2129" s="4440"/>
      <c r="AB2129" s="4441"/>
      <c r="AC2129" s="4441"/>
      <c r="AD2129" s="1514"/>
      <c r="AE2129" s="1514"/>
      <c r="AF2129" s="1514"/>
      <c r="AG2129" s="1514"/>
      <c r="AH2129" s="1486"/>
      <c r="AI2129" s="1514"/>
    </row>
    <row r="2130" s="48" customFormat="1" ht="107" spans="1:35">
      <c r="A2130" s="1813"/>
      <c r="B2130" s="4397"/>
      <c r="C2130" s="1547"/>
      <c r="D2130" s="1547"/>
      <c r="E2130" s="1547"/>
      <c r="F2130" s="1813"/>
      <c r="G2130" s="1813"/>
      <c r="H2130" s="1813"/>
      <c r="I2130" s="1813"/>
      <c r="J2130" s="1813"/>
      <c r="K2130" s="1813"/>
      <c r="L2130" s="1813"/>
      <c r="M2130" s="1485">
        <v>2</v>
      </c>
      <c r="N2130" s="1485" t="s">
        <v>7304</v>
      </c>
      <c r="O2130" s="4456">
        <v>0.6</v>
      </c>
      <c r="P2130" s="4413">
        <v>143228.24</v>
      </c>
      <c r="Q2130" s="4414">
        <v>143228.24</v>
      </c>
      <c r="R2130" s="1816" t="s">
        <v>4603</v>
      </c>
      <c r="S2130" s="1997">
        <v>45286</v>
      </c>
      <c r="T2130" s="4413">
        <v>143228.24</v>
      </c>
      <c r="U2130" s="1997">
        <v>45286</v>
      </c>
      <c r="V2130" s="4413">
        <v>143228.24</v>
      </c>
      <c r="W2130" s="1673">
        <v>45296</v>
      </c>
      <c r="X2130" s="4413">
        <v>143228.24</v>
      </c>
      <c r="Y2130" s="1997">
        <v>45350</v>
      </c>
      <c r="Z2130" s="1816"/>
      <c r="AA2130" s="4440"/>
      <c r="AB2130" s="4441"/>
      <c r="AC2130" s="4441"/>
      <c r="AD2130" s="1514"/>
      <c r="AE2130" s="1514"/>
      <c r="AF2130" s="1514"/>
      <c r="AG2130" s="1514"/>
      <c r="AH2130" s="1486"/>
      <c r="AI2130" s="1514"/>
    </row>
    <row r="2131" s="48" customFormat="1" ht="92" spans="1:35">
      <c r="A2131" s="1813"/>
      <c r="B2131" s="4397"/>
      <c r="C2131" s="1485"/>
      <c r="D2131" s="1485"/>
      <c r="E2131" s="1485"/>
      <c r="F2131" s="1813"/>
      <c r="G2131" s="1813"/>
      <c r="H2131" s="1813"/>
      <c r="I2131" s="1813"/>
      <c r="J2131" s="1813"/>
      <c r="K2131" s="1813"/>
      <c r="L2131" s="1813"/>
      <c r="M2131" s="1485">
        <v>3</v>
      </c>
      <c r="N2131" s="1485" t="s">
        <v>7305</v>
      </c>
      <c r="O2131" s="4456">
        <v>0.2</v>
      </c>
      <c r="P2131" s="4413">
        <v>47742.75</v>
      </c>
      <c r="Q2131" s="1454"/>
      <c r="R2131" s="1454"/>
      <c r="S2131" s="1997"/>
      <c r="T2131" s="1454"/>
      <c r="U2131" s="1997"/>
      <c r="V2131" s="1457"/>
      <c r="W2131" s="1673"/>
      <c r="X2131" s="1454"/>
      <c r="Y2131" s="1997"/>
      <c r="Z2131" s="1816"/>
      <c r="AA2131" s="4440"/>
      <c r="AB2131" s="4441"/>
      <c r="AC2131" s="4441"/>
      <c r="AD2131" s="1514"/>
      <c r="AE2131" s="1514"/>
      <c r="AF2131" s="1514"/>
      <c r="AG2131" s="1514"/>
      <c r="AH2131" s="1486"/>
      <c r="AI2131" s="1514"/>
    </row>
    <row r="2132" s="48" customFormat="1" ht="38.25" customHeight="1" spans="1:35">
      <c r="A2132" s="1547" t="s">
        <v>2570</v>
      </c>
      <c r="B2132" s="4396">
        <v>45286</v>
      </c>
      <c r="C2132" s="1547" t="s">
        <v>7218</v>
      </c>
      <c r="D2132" s="1547"/>
      <c r="E2132" s="1547" t="s">
        <v>7306</v>
      </c>
      <c r="F2132" s="1547" t="s">
        <v>7307</v>
      </c>
      <c r="G2132" s="1547" t="s">
        <v>7308</v>
      </c>
      <c r="H2132" s="1547" t="s">
        <v>7309</v>
      </c>
      <c r="I2132" s="1547">
        <v>230558.16</v>
      </c>
      <c r="J2132" s="1547" t="s">
        <v>2887</v>
      </c>
      <c r="K2132" s="1547">
        <v>691674.39</v>
      </c>
      <c r="L2132" s="1547" t="s">
        <v>126</v>
      </c>
      <c r="M2132" s="1485">
        <v>1</v>
      </c>
      <c r="N2132" s="1485" t="s">
        <v>7310</v>
      </c>
      <c r="O2132" s="4457">
        <v>0.6</v>
      </c>
      <c r="P2132" s="4413">
        <v>415004.63</v>
      </c>
      <c r="Q2132" s="4413">
        <v>415004.63</v>
      </c>
      <c r="R2132" s="1816" t="s">
        <v>4603</v>
      </c>
      <c r="S2132" s="1997">
        <v>45288</v>
      </c>
      <c r="T2132" s="4413">
        <v>415004.63</v>
      </c>
      <c r="U2132" s="1997">
        <v>45288</v>
      </c>
      <c r="V2132" s="4413">
        <v>415004.63</v>
      </c>
      <c r="W2132" s="1673">
        <v>45295</v>
      </c>
      <c r="X2132" s="4413">
        <v>415004.63</v>
      </c>
      <c r="Y2132" s="1997">
        <v>45313</v>
      </c>
      <c r="Z2132" s="1816"/>
      <c r="AA2132" s="4440"/>
      <c r="AB2132" s="4441"/>
      <c r="AC2132" s="4441"/>
      <c r="AD2132" s="1514"/>
      <c r="AE2132" s="1514"/>
      <c r="AF2132" s="1514"/>
      <c r="AG2132" s="1514"/>
      <c r="AH2132" s="1486"/>
      <c r="AI2132" s="1514"/>
    </row>
    <row r="2133" s="48" customFormat="1" ht="38.25" customHeight="1" spans="1:35">
      <c r="A2133" s="1547"/>
      <c r="B2133" s="4397"/>
      <c r="C2133" s="1547"/>
      <c r="D2133" s="1547"/>
      <c r="E2133" s="1547"/>
      <c r="F2133" s="1547"/>
      <c r="G2133" s="1547"/>
      <c r="H2133" s="1547"/>
      <c r="I2133" s="1547"/>
      <c r="J2133" s="1547"/>
      <c r="K2133" s="1547"/>
      <c r="L2133" s="1547"/>
      <c r="M2133" s="1485">
        <v>2</v>
      </c>
      <c r="N2133" s="1485" t="s">
        <v>7311</v>
      </c>
      <c r="O2133" s="4457">
        <v>0.2</v>
      </c>
      <c r="P2133" s="4416">
        <v>138334.88</v>
      </c>
      <c r="Q2133" s="4416">
        <v>138334.88</v>
      </c>
      <c r="R2133" s="1816" t="s">
        <v>4603</v>
      </c>
      <c r="S2133" s="1766">
        <v>45288</v>
      </c>
      <c r="T2133" s="4413">
        <v>138334.88</v>
      </c>
      <c r="U2133" s="1766">
        <v>45288</v>
      </c>
      <c r="V2133" s="4413">
        <v>138334.88</v>
      </c>
      <c r="W2133" s="4435">
        <v>45295</v>
      </c>
      <c r="X2133" s="4413">
        <v>138334.88</v>
      </c>
      <c r="Y2133" s="1766">
        <v>45313</v>
      </c>
      <c r="Z2133" s="1816"/>
      <c r="AA2133" s="4440"/>
      <c r="AB2133" s="4441"/>
      <c r="AC2133" s="4441"/>
      <c r="AD2133" s="1514"/>
      <c r="AE2133" s="1514"/>
      <c r="AF2133" s="1514"/>
      <c r="AG2133" s="1514"/>
      <c r="AH2133" s="1486"/>
      <c r="AI2133" s="1514"/>
    </row>
    <row r="2134" s="48" customFormat="1" ht="38.25" customHeight="1" spans="1:35">
      <c r="A2134" s="1547"/>
      <c r="B2134" s="4398"/>
      <c r="C2134" s="1547"/>
      <c r="D2134" s="1547"/>
      <c r="E2134" s="1547"/>
      <c r="F2134" s="1547"/>
      <c r="G2134" s="1547"/>
      <c r="H2134" s="1547"/>
      <c r="I2134" s="1547"/>
      <c r="J2134" s="1547"/>
      <c r="K2134" s="1547"/>
      <c r="L2134" s="1547"/>
      <c r="M2134" s="1485">
        <v>3</v>
      </c>
      <c r="N2134" s="1485" t="s">
        <v>7312</v>
      </c>
      <c r="O2134" s="4457">
        <v>0.2</v>
      </c>
      <c r="P2134" s="4416">
        <v>138334.88</v>
      </c>
      <c r="Q2134" s="4471"/>
      <c r="R2134" s="1454"/>
      <c r="S2134" s="1997"/>
      <c r="T2134" s="1454"/>
      <c r="U2134" s="1997"/>
      <c r="V2134" s="4495"/>
      <c r="W2134" s="1673"/>
      <c r="X2134" s="1454"/>
      <c r="Y2134" s="1997"/>
      <c r="Z2134" s="1816"/>
      <c r="AA2134" s="4440"/>
      <c r="AB2134" s="4441"/>
      <c r="AC2134" s="4441"/>
      <c r="AD2134" s="1514"/>
      <c r="AE2134" s="1514"/>
      <c r="AF2134" s="1514"/>
      <c r="AG2134" s="1514"/>
      <c r="AH2134" s="1486"/>
      <c r="AI2134" s="1514"/>
    </row>
    <row r="2135" s="48" customFormat="1" ht="38.25" customHeight="1" spans="1:35">
      <c r="A2135" s="1485" t="s">
        <v>2570</v>
      </c>
      <c r="B2135" s="4396">
        <v>45352</v>
      </c>
      <c r="C2135" s="1485" t="s">
        <v>7218</v>
      </c>
      <c r="D2135" s="1813"/>
      <c r="E2135" s="1485" t="s">
        <v>7313</v>
      </c>
      <c r="F2135" s="1485" t="s">
        <v>7314</v>
      </c>
      <c r="G2135" s="1485" t="s">
        <v>4338</v>
      </c>
      <c r="H2135" s="1485" t="s">
        <v>7315</v>
      </c>
      <c r="I2135" s="1485">
        <v>230558.16</v>
      </c>
      <c r="J2135" s="1485" t="s">
        <v>2887</v>
      </c>
      <c r="K2135" s="4405">
        <v>120000</v>
      </c>
      <c r="L2135" s="1485" t="s">
        <v>126</v>
      </c>
      <c r="M2135" s="1485">
        <v>1</v>
      </c>
      <c r="N2135" s="1485" t="s">
        <v>7316</v>
      </c>
      <c r="O2135" s="4457">
        <v>0.2</v>
      </c>
      <c r="P2135" s="4416">
        <f>K2135*0.2</f>
        <v>24000</v>
      </c>
      <c r="Q2135" s="4472">
        <v>24000</v>
      </c>
      <c r="R2135" s="1816" t="s">
        <v>4603</v>
      </c>
      <c r="S2135" s="1997">
        <v>45364</v>
      </c>
      <c r="T2135" s="4414">
        <v>24000</v>
      </c>
      <c r="U2135" s="1997">
        <v>45364</v>
      </c>
      <c r="V2135" s="4413">
        <v>24000</v>
      </c>
      <c r="W2135" s="1673">
        <v>45364</v>
      </c>
      <c r="X2135" s="4414">
        <v>24000</v>
      </c>
      <c r="Y2135" s="1997">
        <v>45378</v>
      </c>
      <c r="Z2135" s="1816"/>
      <c r="AA2135" s="4440"/>
      <c r="AB2135" s="4441"/>
      <c r="AC2135" s="4441"/>
      <c r="AD2135" s="1514"/>
      <c r="AE2135" s="1514"/>
      <c r="AF2135" s="1514"/>
      <c r="AG2135" s="1514"/>
      <c r="AH2135" s="1486"/>
      <c r="AI2135" s="1514"/>
    </row>
    <row r="2136" s="48" customFormat="1" ht="38.25" customHeight="1" spans="1:35">
      <c r="A2136" s="1813"/>
      <c r="B2136" s="4397"/>
      <c r="C2136" s="1813"/>
      <c r="D2136" s="1813"/>
      <c r="E2136" s="1813"/>
      <c r="F2136" s="1813"/>
      <c r="G2136" s="1813"/>
      <c r="H2136" s="1813"/>
      <c r="I2136" s="1813"/>
      <c r="J2136" s="1813"/>
      <c r="K2136" s="4406"/>
      <c r="L2136" s="1813"/>
      <c r="M2136" s="1485">
        <v>2</v>
      </c>
      <c r="N2136" s="1485" t="s">
        <v>7317</v>
      </c>
      <c r="O2136" s="4457">
        <v>0.6</v>
      </c>
      <c r="P2136" s="4416">
        <f>K2135*O2136</f>
        <v>72000</v>
      </c>
      <c r="Q2136" s="4414">
        <v>72000</v>
      </c>
      <c r="R2136" s="1816" t="s">
        <v>4603</v>
      </c>
      <c r="S2136" s="1997">
        <v>45491</v>
      </c>
      <c r="T2136" s="4414">
        <v>72000</v>
      </c>
      <c r="U2136" s="1997">
        <v>45491</v>
      </c>
      <c r="V2136" s="4413">
        <v>72000</v>
      </c>
      <c r="W2136" s="3017">
        <v>45493</v>
      </c>
      <c r="X2136" s="4414">
        <v>72000</v>
      </c>
      <c r="Y2136" s="1997">
        <v>45502</v>
      </c>
      <c r="Z2136" s="1816"/>
      <c r="AA2136" s="4440"/>
      <c r="AB2136" s="4441"/>
      <c r="AC2136" s="4441"/>
      <c r="AD2136" s="1514"/>
      <c r="AE2136" s="1514"/>
      <c r="AF2136" s="1514"/>
      <c r="AG2136" s="1514"/>
      <c r="AH2136" s="1486"/>
      <c r="AI2136" s="1514"/>
    </row>
    <row r="2137" s="48" customFormat="1" ht="38.25" customHeight="1" spans="1:35">
      <c r="A2137" s="1815"/>
      <c r="B2137" s="4398"/>
      <c r="C2137" s="1815"/>
      <c r="D2137" s="1813"/>
      <c r="E2137" s="1815"/>
      <c r="F2137" s="1815"/>
      <c r="G2137" s="1815"/>
      <c r="H2137" s="1815"/>
      <c r="I2137" s="1815"/>
      <c r="J2137" s="1815"/>
      <c r="K2137" s="4407"/>
      <c r="L2137" s="1815"/>
      <c r="M2137" s="1485">
        <v>3</v>
      </c>
      <c r="N2137" s="1485" t="s">
        <v>7318</v>
      </c>
      <c r="O2137" s="4457">
        <v>0.2</v>
      </c>
      <c r="P2137" s="4416">
        <f>K2135*O2137</f>
        <v>24000</v>
      </c>
      <c r="Q2137" s="4471"/>
      <c r="R2137" s="1454"/>
      <c r="S2137" s="1997"/>
      <c r="T2137" s="1454"/>
      <c r="U2137" s="1997"/>
      <c r="V2137" s="4495"/>
      <c r="W2137" s="1673"/>
      <c r="X2137" s="1454"/>
      <c r="Y2137" s="1997"/>
      <c r="Z2137" s="1816"/>
      <c r="AA2137" s="4440"/>
      <c r="AB2137" s="4441"/>
      <c r="AC2137" s="4441"/>
      <c r="AD2137" s="1514"/>
      <c r="AE2137" s="1514"/>
      <c r="AF2137" s="1514"/>
      <c r="AG2137" s="1514"/>
      <c r="AH2137" s="1486"/>
      <c r="AI2137" s="1514"/>
    </row>
    <row r="2138" s="48" customFormat="1" ht="38.25" customHeight="1" spans="1:35">
      <c r="A2138" s="1485" t="s">
        <v>2570</v>
      </c>
      <c r="B2138" s="4396">
        <v>45352</v>
      </c>
      <c r="C2138" s="1485" t="s">
        <v>7218</v>
      </c>
      <c r="D2138" s="1813"/>
      <c r="E2138" s="1485" t="s">
        <v>7319</v>
      </c>
      <c r="F2138" s="1485" t="s">
        <v>7320</v>
      </c>
      <c r="G2138" s="1485" t="s">
        <v>3673</v>
      </c>
      <c r="H2138" s="1485" t="s">
        <v>7321</v>
      </c>
      <c r="I2138" s="1485">
        <v>230558.16</v>
      </c>
      <c r="J2138" s="1485" t="s">
        <v>2887</v>
      </c>
      <c r="K2138" s="4405">
        <v>150000</v>
      </c>
      <c r="L2138" s="1485" t="s">
        <v>126</v>
      </c>
      <c r="M2138" s="1485">
        <v>1</v>
      </c>
      <c r="N2138" s="1485" t="s">
        <v>7322</v>
      </c>
      <c r="O2138" s="4457">
        <v>0.2</v>
      </c>
      <c r="P2138" s="4416">
        <f>K2138*0.2</f>
        <v>30000</v>
      </c>
      <c r="Q2138" s="4472">
        <v>30000</v>
      </c>
      <c r="R2138" s="1816" t="s">
        <v>4603</v>
      </c>
      <c r="S2138" s="1997">
        <v>45364</v>
      </c>
      <c r="T2138" s="4414">
        <v>30000</v>
      </c>
      <c r="U2138" s="1997">
        <v>45364</v>
      </c>
      <c r="V2138" s="4413">
        <v>30000</v>
      </c>
      <c r="W2138" s="1673">
        <v>45365</v>
      </c>
      <c r="X2138" s="4414">
        <v>30000</v>
      </c>
      <c r="Y2138" s="1997">
        <v>45378</v>
      </c>
      <c r="Z2138" s="1816"/>
      <c r="AA2138" s="4440"/>
      <c r="AB2138" s="4441"/>
      <c r="AC2138" s="4441"/>
      <c r="AD2138" s="1514"/>
      <c r="AE2138" s="1514"/>
      <c r="AF2138" s="1514"/>
      <c r="AG2138" s="1514"/>
      <c r="AH2138" s="1486"/>
      <c r="AI2138" s="1514"/>
    </row>
    <row r="2139" s="48" customFormat="1" ht="38.25" customHeight="1" spans="1:35">
      <c r="A2139" s="1813"/>
      <c r="B2139" s="4397"/>
      <c r="C2139" s="1813"/>
      <c r="D2139" s="1813"/>
      <c r="E2139" s="1813"/>
      <c r="F2139" s="1813"/>
      <c r="G2139" s="1813"/>
      <c r="H2139" s="1813"/>
      <c r="I2139" s="1813"/>
      <c r="J2139" s="1813"/>
      <c r="K2139" s="4406"/>
      <c r="L2139" s="1813"/>
      <c r="M2139" s="1485">
        <v>2</v>
      </c>
      <c r="N2139" s="1485" t="s">
        <v>7323</v>
      </c>
      <c r="O2139" s="4457">
        <v>0.6</v>
      </c>
      <c r="P2139" s="4416">
        <f>K2138*O2139</f>
        <v>90000</v>
      </c>
      <c r="Q2139" s="4414">
        <v>90000</v>
      </c>
      <c r="R2139" s="1816" t="s">
        <v>4603</v>
      </c>
      <c r="S2139" s="1997">
        <v>45491</v>
      </c>
      <c r="T2139" s="4414">
        <v>90000</v>
      </c>
      <c r="U2139" s="1997">
        <v>45491</v>
      </c>
      <c r="V2139" s="4413">
        <v>90000</v>
      </c>
      <c r="W2139" s="1673">
        <v>45492</v>
      </c>
      <c r="X2139" s="4414">
        <v>90000</v>
      </c>
      <c r="Y2139" s="1997">
        <v>45502</v>
      </c>
      <c r="Z2139" s="1816"/>
      <c r="AA2139" s="4440"/>
      <c r="AB2139" s="4441"/>
      <c r="AC2139" s="4441"/>
      <c r="AD2139" s="1514"/>
      <c r="AE2139" s="1514"/>
      <c r="AF2139" s="1514"/>
      <c r="AG2139" s="1514"/>
      <c r="AH2139" s="1486"/>
      <c r="AI2139" s="1514"/>
    </row>
    <row r="2140" s="48" customFormat="1" ht="38.25" customHeight="1" spans="1:35">
      <c r="A2140" s="1815"/>
      <c r="B2140" s="4398"/>
      <c r="C2140" s="1815"/>
      <c r="D2140" s="1813"/>
      <c r="E2140" s="1815"/>
      <c r="F2140" s="1815"/>
      <c r="G2140" s="1815"/>
      <c r="H2140" s="1815"/>
      <c r="I2140" s="1815"/>
      <c r="J2140" s="1815"/>
      <c r="K2140" s="4407"/>
      <c r="L2140" s="1815"/>
      <c r="M2140" s="1485">
        <v>3</v>
      </c>
      <c r="N2140" s="1485" t="s">
        <v>7324</v>
      </c>
      <c r="O2140" s="4457">
        <v>0.2</v>
      </c>
      <c r="P2140" s="4416">
        <f>K2138*O2140</f>
        <v>30000</v>
      </c>
      <c r="Q2140" s="4471"/>
      <c r="R2140" s="1454"/>
      <c r="S2140" s="1997"/>
      <c r="T2140" s="1454"/>
      <c r="U2140" s="1997"/>
      <c r="V2140" s="4495"/>
      <c r="W2140" s="1673"/>
      <c r="X2140" s="1454"/>
      <c r="Y2140" s="1997"/>
      <c r="Z2140" s="1816"/>
      <c r="AA2140" s="4440"/>
      <c r="AB2140" s="4441"/>
      <c r="AC2140" s="4441"/>
      <c r="AD2140" s="1514"/>
      <c r="AE2140" s="1514"/>
      <c r="AF2140" s="1514"/>
      <c r="AG2140" s="1514"/>
      <c r="AH2140" s="1486"/>
      <c r="AI2140" s="1514"/>
    </row>
    <row r="2141" s="48" customFormat="1" ht="38.25" customHeight="1" spans="1:35">
      <c r="A2141" s="1813" t="s">
        <v>2570</v>
      </c>
      <c r="B2141" s="4397">
        <v>45286</v>
      </c>
      <c r="C2141" s="1813" t="s">
        <v>7218</v>
      </c>
      <c r="D2141" s="1813"/>
      <c r="E2141" s="4446" t="s">
        <v>7325</v>
      </c>
      <c r="F2141" s="4447" t="s">
        <v>7326</v>
      </c>
      <c r="G2141" s="4448" t="s">
        <v>6636</v>
      </c>
      <c r="H2141" s="1813" t="s">
        <v>6758</v>
      </c>
      <c r="I2141" s="1813"/>
      <c r="J2141" s="1813" t="s">
        <v>2887</v>
      </c>
      <c r="K2141" s="1813"/>
      <c r="L2141" s="1813" t="s">
        <v>126</v>
      </c>
      <c r="M2141" s="1485">
        <v>1</v>
      </c>
      <c r="N2141" s="1547" t="s">
        <v>7327</v>
      </c>
      <c r="O2141" s="4457">
        <v>0.2</v>
      </c>
      <c r="P2141" s="4416">
        <v>69168</v>
      </c>
      <c r="Q2141" s="4416">
        <v>69168</v>
      </c>
      <c r="R2141" s="1816" t="s">
        <v>4603</v>
      </c>
      <c r="S2141" s="1766">
        <v>45288</v>
      </c>
      <c r="T2141" s="4416">
        <v>69168</v>
      </c>
      <c r="U2141" s="1997">
        <v>45288</v>
      </c>
      <c r="V2141" s="4413">
        <v>69168</v>
      </c>
      <c r="W2141" s="1673">
        <v>45296</v>
      </c>
      <c r="X2141" s="4413">
        <v>69168</v>
      </c>
      <c r="Y2141" s="1997">
        <v>45380</v>
      </c>
      <c r="Z2141" s="1816"/>
      <c r="AA2141" s="4440"/>
      <c r="AB2141" s="4441"/>
      <c r="AC2141" s="4441"/>
      <c r="AD2141" s="1514"/>
      <c r="AE2141" s="1514"/>
      <c r="AF2141" s="1514"/>
      <c r="AG2141" s="1514"/>
      <c r="AH2141" s="1486"/>
      <c r="AI2141" s="1514"/>
    </row>
    <row r="2142" s="48" customFormat="1" ht="38.25" customHeight="1" spans="1:35">
      <c r="A2142" s="1813"/>
      <c r="B2142" s="4397"/>
      <c r="C2142" s="1813"/>
      <c r="D2142" s="1813"/>
      <c r="E2142" s="4446"/>
      <c r="F2142" s="4449"/>
      <c r="G2142" s="4448"/>
      <c r="H2142" s="1813"/>
      <c r="I2142" s="1813"/>
      <c r="J2142" s="1813"/>
      <c r="K2142" s="1813"/>
      <c r="L2142" s="1813"/>
      <c r="M2142" s="1485">
        <v>2</v>
      </c>
      <c r="N2142" s="1547" t="s">
        <v>7328</v>
      </c>
      <c r="O2142" s="4457">
        <v>0.6</v>
      </c>
      <c r="P2142" s="4416">
        <v>207504</v>
      </c>
      <c r="Q2142" s="4416">
        <v>207504</v>
      </c>
      <c r="R2142" s="1816" t="s">
        <v>4603</v>
      </c>
      <c r="S2142" s="1766">
        <v>45288</v>
      </c>
      <c r="T2142" s="4416">
        <v>207504</v>
      </c>
      <c r="U2142" s="1997">
        <v>45288</v>
      </c>
      <c r="V2142" s="4413">
        <v>207504</v>
      </c>
      <c r="W2142" s="1673">
        <v>45296</v>
      </c>
      <c r="X2142" s="4413">
        <v>207504</v>
      </c>
      <c r="Y2142" s="1997">
        <v>45380</v>
      </c>
      <c r="Z2142" s="1816"/>
      <c r="AA2142" s="4440"/>
      <c r="AB2142" s="4441"/>
      <c r="AC2142" s="4441"/>
      <c r="AD2142" s="1514"/>
      <c r="AE2142" s="1514"/>
      <c r="AF2142" s="1514"/>
      <c r="AG2142" s="1514"/>
      <c r="AH2142" s="1486"/>
      <c r="AI2142" s="1514"/>
    </row>
    <row r="2143" s="48" customFormat="1" ht="38.25" customHeight="1" spans="1:35">
      <c r="A2143" s="1813"/>
      <c r="B2143" s="4397"/>
      <c r="C2143" s="1813"/>
      <c r="D2143" s="1813"/>
      <c r="E2143" s="4446"/>
      <c r="F2143" s="4449"/>
      <c r="G2143" s="4448"/>
      <c r="H2143" s="1813"/>
      <c r="I2143" s="1813">
        <v>230558.16</v>
      </c>
      <c r="J2143" s="1813"/>
      <c r="K2143" s="1813">
        <v>660000</v>
      </c>
      <c r="L2143" s="1813"/>
      <c r="M2143" s="1485">
        <v>3</v>
      </c>
      <c r="N2143" s="4458" t="s">
        <v>7329</v>
      </c>
      <c r="O2143" s="4457">
        <v>0.2</v>
      </c>
      <c r="P2143" s="4416">
        <v>62832</v>
      </c>
      <c r="Q2143" s="4416">
        <v>62832</v>
      </c>
      <c r="R2143" s="1816" t="s">
        <v>4603</v>
      </c>
      <c r="S2143" s="1766">
        <v>45288</v>
      </c>
      <c r="T2143" s="4416">
        <v>62832</v>
      </c>
      <c r="U2143" s="1997">
        <v>45288</v>
      </c>
      <c r="V2143" s="4413">
        <v>62832</v>
      </c>
      <c r="W2143" s="1673">
        <v>45296</v>
      </c>
      <c r="X2143" s="4413">
        <v>62832</v>
      </c>
      <c r="Y2143" s="1997">
        <v>45380</v>
      </c>
      <c r="Z2143" s="1816"/>
      <c r="AA2143" s="4440"/>
      <c r="AB2143" s="4441"/>
      <c r="AC2143" s="4441"/>
      <c r="AD2143" s="1514"/>
      <c r="AE2143" s="1514"/>
      <c r="AF2143" s="1514"/>
      <c r="AG2143" s="1514"/>
      <c r="AH2143" s="1486"/>
      <c r="AI2143" s="1514"/>
    </row>
    <row r="2144" s="48" customFormat="1" ht="38.25" customHeight="1" spans="1:35">
      <c r="A2144" s="1813"/>
      <c r="B2144" s="4397"/>
      <c r="C2144" s="1813"/>
      <c r="D2144" s="1813"/>
      <c r="E2144" s="4446"/>
      <c r="F2144" s="4449"/>
      <c r="G2144" s="4448"/>
      <c r="H2144" s="1813"/>
      <c r="I2144" s="1813"/>
      <c r="J2144" s="1813"/>
      <c r="K2144" s="1813"/>
      <c r="L2144" s="1813"/>
      <c r="M2144" s="1485">
        <v>4</v>
      </c>
      <c r="N2144" s="4458" t="s">
        <v>7330</v>
      </c>
      <c r="O2144" s="4457">
        <v>0.6</v>
      </c>
      <c r="P2144" s="4416">
        <v>188496</v>
      </c>
      <c r="Q2144" s="4416">
        <v>188496</v>
      </c>
      <c r="R2144" s="1816" t="s">
        <v>4603</v>
      </c>
      <c r="S2144" s="1764">
        <v>45288</v>
      </c>
      <c r="T2144" s="4416">
        <v>188496</v>
      </c>
      <c r="U2144" s="1997">
        <v>45288</v>
      </c>
      <c r="V2144" s="4413">
        <v>188496</v>
      </c>
      <c r="W2144" s="1673">
        <v>45296</v>
      </c>
      <c r="X2144" s="4413">
        <v>188496</v>
      </c>
      <c r="Y2144" s="1997">
        <v>45380</v>
      </c>
      <c r="Z2144" s="1816"/>
      <c r="AA2144" s="4440"/>
      <c r="AB2144" s="4441"/>
      <c r="AC2144" s="4441"/>
      <c r="AD2144" s="1514"/>
      <c r="AE2144" s="1514"/>
      <c r="AF2144" s="1514"/>
      <c r="AG2144" s="1514"/>
      <c r="AH2144" s="1486"/>
      <c r="AI2144" s="1514"/>
    </row>
    <row r="2145" s="48" customFormat="1" ht="38.25" customHeight="1" spans="1:35">
      <c r="A2145" s="1815"/>
      <c r="B2145" s="4398"/>
      <c r="C2145" s="1813"/>
      <c r="D2145" s="1813"/>
      <c r="E2145" s="4446"/>
      <c r="F2145" s="4449"/>
      <c r="G2145" s="4448"/>
      <c r="H2145" s="1813"/>
      <c r="I2145" s="1813"/>
      <c r="J2145" s="1815"/>
      <c r="K2145" s="1813"/>
      <c r="L2145" s="1813"/>
      <c r="M2145" s="1485">
        <v>5</v>
      </c>
      <c r="N2145" s="4459" t="s">
        <v>7331</v>
      </c>
      <c r="O2145" s="4457">
        <v>0.2</v>
      </c>
      <c r="P2145" s="4413">
        <v>132000</v>
      </c>
      <c r="Q2145" s="1454"/>
      <c r="R2145" s="1454"/>
      <c r="S2145" s="1997"/>
      <c r="T2145" s="1454"/>
      <c r="U2145" s="1997"/>
      <c r="V2145" s="1457"/>
      <c r="W2145" s="1673"/>
      <c r="X2145" s="1454"/>
      <c r="Y2145" s="1997"/>
      <c r="Z2145" s="1816"/>
      <c r="AA2145" s="4440"/>
      <c r="AB2145" s="4441"/>
      <c r="AC2145" s="4441"/>
      <c r="AD2145" s="1514"/>
      <c r="AE2145" s="1514"/>
      <c r="AF2145" s="1514"/>
      <c r="AG2145" s="1514"/>
      <c r="AH2145" s="1486"/>
      <c r="AI2145" s="1514"/>
    </row>
    <row r="2146" s="16" customFormat="1" spans="1:35">
      <c r="A2146" s="418" t="s">
        <v>1003</v>
      </c>
      <c r="B2146" s="4442">
        <v>45257</v>
      </c>
      <c r="C2146" s="728" t="s">
        <v>7332</v>
      </c>
      <c r="D2146" s="728" t="s">
        <v>171</v>
      </c>
      <c r="E2146" s="728" t="s">
        <v>7333</v>
      </c>
      <c r="F2146" s="728" t="s">
        <v>7334</v>
      </c>
      <c r="G2146" s="728" t="s">
        <v>2421</v>
      </c>
      <c r="H2146" s="728" t="s">
        <v>4638</v>
      </c>
      <c r="I2146" s="728">
        <v>200203.39</v>
      </c>
      <c r="J2146" s="728" t="s">
        <v>7335</v>
      </c>
      <c r="K2146" s="4451">
        <v>4940100</v>
      </c>
      <c r="L2146" s="728" t="s">
        <v>126</v>
      </c>
      <c r="M2146" s="728">
        <v>1</v>
      </c>
      <c r="N2146" s="728" t="s">
        <v>3320</v>
      </c>
      <c r="O2146" s="616" t="s">
        <v>7091</v>
      </c>
      <c r="P2146" s="4460">
        <f>4940100*0.2</f>
        <v>988020</v>
      </c>
      <c r="Q2146" s="801">
        <f>P2146/2</f>
        <v>494010</v>
      </c>
      <c r="R2146" s="801" t="s">
        <v>4603</v>
      </c>
      <c r="S2146" s="802">
        <v>45279</v>
      </c>
      <c r="T2146" s="801">
        <v>494010</v>
      </c>
      <c r="U2146" s="517">
        <v>45279</v>
      </c>
      <c r="V2146" s="393">
        <v>494010</v>
      </c>
      <c r="W2146" s="517">
        <v>45279</v>
      </c>
      <c r="X2146" s="516">
        <v>494010</v>
      </c>
      <c r="Y2146" s="517">
        <v>45282</v>
      </c>
      <c r="Z2146" s="393"/>
      <c r="AA2146" s="600"/>
      <c r="AB2146" s="601"/>
      <c r="AC2146" s="4505"/>
      <c r="AD2146" s="612"/>
      <c r="AE2146" s="612"/>
      <c r="AF2146" s="612"/>
      <c r="AG2146" s="612"/>
      <c r="AH2146" s="617"/>
      <c r="AI2146" s="612"/>
    </row>
    <row r="2147" s="16" customFormat="1" spans="1:35">
      <c r="A2147" s="418"/>
      <c r="B2147" s="3134"/>
      <c r="C2147" s="689"/>
      <c r="D2147" s="689"/>
      <c r="E2147" s="689"/>
      <c r="F2147" s="689"/>
      <c r="G2147" s="689"/>
      <c r="H2147" s="689"/>
      <c r="I2147" s="689"/>
      <c r="J2147" s="689"/>
      <c r="K2147" s="4452"/>
      <c r="L2147" s="689"/>
      <c r="M2147" s="691"/>
      <c r="N2147" s="691"/>
      <c r="O2147" s="618"/>
      <c r="P2147" s="4461"/>
      <c r="Q2147" s="801">
        <f>P2146/2</f>
        <v>494010</v>
      </c>
      <c r="R2147" s="801" t="s">
        <v>4603</v>
      </c>
      <c r="S2147" s="802">
        <v>45288</v>
      </c>
      <c r="T2147" s="801">
        <v>494010</v>
      </c>
      <c r="U2147" s="517">
        <v>45288</v>
      </c>
      <c r="V2147" s="393">
        <v>494010</v>
      </c>
      <c r="W2147" s="567">
        <v>45310</v>
      </c>
      <c r="X2147" s="516">
        <v>494010</v>
      </c>
      <c r="Y2147" s="517">
        <v>45320</v>
      </c>
      <c r="Z2147" s="393"/>
      <c r="AA2147" s="600"/>
      <c r="AB2147" s="601"/>
      <c r="AC2147" s="4505"/>
      <c r="AD2147" s="612"/>
      <c r="AE2147" s="612"/>
      <c r="AF2147" s="612"/>
      <c r="AG2147" s="612"/>
      <c r="AH2147" s="617"/>
      <c r="AI2147" s="612"/>
    </row>
    <row r="2148" s="16" customFormat="1" spans="1:35">
      <c r="A2148" s="418"/>
      <c r="B2148" s="3134"/>
      <c r="C2148" s="689"/>
      <c r="D2148" s="689"/>
      <c r="E2148" s="689"/>
      <c r="F2148" s="689"/>
      <c r="G2148" s="689"/>
      <c r="H2148" s="689"/>
      <c r="I2148" s="689"/>
      <c r="J2148" s="689"/>
      <c r="K2148" s="4452"/>
      <c r="L2148" s="689"/>
      <c r="M2148" s="728">
        <v>2</v>
      </c>
      <c r="N2148" s="728" t="s">
        <v>3321</v>
      </c>
      <c r="O2148" s="396" t="s">
        <v>7092</v>
      </c>
      <c r="P2148" s="482">
        <f>4940100*0.2</f>
        <v>988020</v>
      </c>
      <c r="Q2148" s="393">
        <f>K2146*0.05</f>
        <v>247005</v>
      </c>
      <c r="R2148" s="393" t="s">
        <v>4603</v>
      </c>
      <c r="S2148" s="517">
        <v>45288</v>
      </c>
      <c r="T2148" s="393">
        <v>247005</v>
      </c>
      <c r="U2148" s="517">
        <v>45288</v>
      </c>
      <c r="V2148" s="393">
        <v>247005</v>
      </c>
      <c r="W2148" s="567">
        <v>45310</v>
      </c>
      <c r="X2148" s="516">
        <f>247005-X2149</f>
        <v>218227.1</v>
      </c>
      <c r="Y2148" s="517">
        <v>45320</v>
      </c>
      <c r="Z2148" s="393"/>
      <c r="AA2148" s="600"/>
      <c r="AB2148" s="601"/>
      <c r="AC2148" s="4505"/>
      <c r="AD2148" s="612"/>
      <c r="AE2148" s="612"/>
      <c r="AF2148" s="612"/>
      <c r="AG2148" s="612"/>
      <c r="AH2148" s="617"/>
      <c r="AI2148" s="612"/>
    </row>
    <row r="2149" s="16" customFormat="1" spans="1:35">
      <c r="A2149" s="418"/>
      <c r="B2149" s="3134"/>
      <c r="C2149" s="689"/>
      <c r="D2149" s="689"/>
      <c r="E2149" s="689"/>
      <c r="F2149" s="689"/>
      <c r="G2149" s="689"/>
      <c r="H2149" s="689"/>
      <c r="I2149" s="689"/>
      <c r="J2149" s="689"/>
      <c r="K2149" s="4452"/>
      <c r="L2149" s="689"/>
      <c r="M2149" s="689"/>
      <c r="N2149" s="689"/>
      <c r="O2149" s="396"/>
      <c r="P2149" s="482"/>
      <c r="Q2149" s="393"/>
      <c r="R2149" s="393"/>
      <c r="S2149" s="517"/>
      <c r="T2149" s="393"/>
      <c r="U2149" s="517"/>
      <c r="V2149" s="393"/>
      <c r="W2149" s="567"/>
      <c r="X2149" s="516">
        <f>Q2147+Q2148-712237.1</f>
        <v>28777.9</v>
      </c>
      <c r="Y2149" s="517">
        <v>45412</v>
      </c>
      <c r="Z2149" s="393"/>
      <c r="AA2149" s="600"/>
      <c r="AB2149" s="601"/>
      <c r="AC2149" s="4505"/>
      <c r="AD2149" s="612"/>
      <c r="AE2149" s="612"/>
      <c r="AF2149" s="612"/>
      <c r="AG2149" s="612"/>
      <c r="AH2149" s="617"/>
      <c r="AI2149" s="612"/>
    </row>
    <row r="2150" s="16" customFormat="1" ht="76" spans="1:35">
      <c r="A2150" s="418"/>
      <c r="B2150" s="3134"/>
      <c r="C2150" s="689"/>
      <c r="D2150" s="689"/>
      <c r="E2150" s="689"/>
      <c r="F2150" s="689"/>
      <c r="G2150" s="689"/>
      <c r="H2150" s="689"/>
      <c r="I2150" s="689"/>
      <c r="J2150" s="689"/>
      <c r="K2150" s="4452"/>
      <c r="L2150" s="689"/>
      <c r="M2150" s="689"/>
      <c r="N2150" s="689"/>
      <c r="O2150" s="396"/>
      <c r="P2150" s="482"/>
      <c r="Q2150" s="393">
        <f>P2148-Q2148</f>
        <v>741015</v>
      </c>
      <c r="R2150" s="393" t="s">
        <v>4603</v>
      </c>
      <c r="S2150" s="517">
        <v>45288</v>
      </c>
      <c r="T2150" s="393">
        <v>741015</v>
      </c>
      <c r="U2150" s="517">
        <v>45288</v>
      </c>
      <c r="V2150" s="393">
        <v>741015</v>
      </c>
      <c r="W2150" s="567">
        <v>45384</v>
      </c>
      <c r="X2150" s="516">
        <v>741015</v>
      </c>
      <c r="Y2150" s="517">
        <v>45412</v>
      </c>
      <c r="Z2150" s="393"/>
      <c r="AA2150" s="1852" t="s">
        <v>7336</v>
      </c>
      <c r="AB2150" s="1852"/>
      <c r="AC2150" s="2120"/>
      <c r="AD2150" s="612"/>
      <c r="AE2150" s="612"/>
      <c r="AF2150" s="612"/>
      <c r="AG2150" s="612"/>
      <c r="AH2150" s="617"/>
      <c r="AI2150" s="612"/>
    </row>
    <row r="2151" s="16" customFormat="1" ht="31" spans="1:35">
      <c r="A2151" s="418"/>
      <c r="B2151" s="3134"/>
      <c r="C2151" s="689"/>
      <c r="D2151" s="689"/>
      <c r="E2151" s="689"/>
      <c r="F2151" s="689"/>
      <c r="G2151" s="689"/>
      <c r="H2151" s="689"/>
      <c r="I2151" s="689"/>
      <c r="J2151" s="689"/>
      <c r="K2151" s="4452"/>
      <c r="L2151" s="689"/>
      <c r="M2151" s="728">
        <v>3</v>
      </c>
      <c r="N2151" s="728" t="s">
        <v>3322</v>
      </c>
      <c r="O2151" s="616" t="s">
        <v>7093</v>
      </c>
      <c r="P2151" s="4460">
        <f>4940100*0.2</f>
        <v>988020</v>
      </c>
      <c r="Q2151" s="393">
        <f>4940100*0.1</f>
        <v>494010</v>
      </c>
      <c r="R2151" s="393" t="s">
        <v>4603</v>
      </c>
      <c r="S2151" s="517">
        <v>45421</v>
      </c>
      <c r="T2151" s="393">
        <v>494010</v>
      </c>
      <c r="U2151" s="517">
        <v>45421</v>
      </c>
      <c r="V2151" s="419">
        <v>494010</v>
      </c>
      <c r="W2151" s="517">
        <v>45491</v>
      </c>
      <c r="X2151" s="516">
        <v>494010</v>
      </c>
      <c r="Y2151" s="517">
        <v>45502</v>
      </c>
      <c r="Z2151" s="393"/>
      <c r="AA2151" s="600"/>
      <c r="AB2151" s="1852" t="s">
        <v>7337</v>
      </c>
      <c r="AC2151" s="4505"/>
      <c r="AD2151" s="612"/>
      <c r="AE2151" s="612"/>
      <c r="AF2151" s="612"/>
      <c r="AG2151" s="612"/>
      <c r="AH2151" s="617"/>
      <c r="AI2151" s="612"/>
    </row>
    <row r="2152" s="16" customFormat="1" spans="1:35">
      <c r="A2152" s="418"/>
      <c r="B2152" s="3134"/>
      <c r="C2152" s="689"/>
      <c r="D2152" s="689"/>
      <c r="E2152" s="689"/>
      <c r="F2152" s="689"/>
      <c r="G2152" s="689"/>
      <c r="H2152" s="689"/>
      <c r="I2152" s="689"/>
      <c r="J2152" s="689"/>
      <c r="K2152" s="4452"/>
      <c r="L2152" s="689"/>
      <c r="M2152" s="689"/>
      <c r="N2152" s="689"/>
      <c r="O2152" s="617"/>
      <c r="P2152" s="1533"/>
      <c r="Q2152" s="4473">
        <f>P2151-Q2151</f>
        <v>494010</v>
      </c>
      <c r="R2152" s="798" t="s">
        <v>4603</v>
      </c>
      <c r="S2152" s="799">
        <v>45421</v>
      </c>
      <c r="T2152" s="798">
        <v>494010</v>
      </c>
      <c r="U2152" s="799">
        <v>45421</v>
      </c>
      <c r="V2152" s="419">
        <f>Q2152*0.5</f>
        <v>247005</v>
      </c>
      <c r="W2152" s="567">
        <v>45558</v>
      </c>
      <c r="X2152" s="516">
        <v>247005</v>
      </c>
      <c r="Y2152" s="517">
        <v>45562</v>
      </c>
      <c r="Z2152" s="393"/>
      <c r="AA2152" s="600"/>
      <c r="AB2152" s="601"/>
      <c r="AC2152" s="4505"/>
      <c r="AD2152" s="612"/>
      <c r="AE2152" s="612"/>
      <c r="AF2152" s="612"/>
      <c r="AG2152" s="612"/>
      <c r="AH2152" s="617"/>
      <c r="AI2152" s="612"/>
    </row>
    <row r="2153" s="16" customFormat="1" spans="1:35">
      <c r="A2153" s="418"/>
      <c r="B2153" s="3134"/>
      <c r="C2153" s="689"/>
      <c r="D2153" s="689"/>
      <c r="E2153" s="689"/>
      <c r="F2153" s="689"/>
      <c r="G2153" s="689"/>
      <c r="H2153" s="689"/>
      <c r="I2153" s="689"/>
      <c r="J2153" s="689"/>
      <c r="K2153" s="4452"/>
      <c r="L2153" s="689"/>
      <c r="M2153" s="689"/>
      <c r="N2153" s="689"/>
      <c r="O2153" s="618"/>
      <c r="P2153" s="4461"/>
      <c r="Q2153" s="4474"/>
      <c r="R2153" s="801"/>
      <c r="S2153" s="802"/>
      <c r="T2153" s="801"/>
      <c r="U2153" s="802"/>
      <c r="V2153" s="393">
        <v>247005</v>
      </c>
      <c r="W2153" s="567">
        <v>45621</v>
      </c>
      <c r="X2153" s="516">
        <v>247005</v>
      </c>
      <c r="Y2153" s="517">
        <v>45624</v>
      </c>
      <c r="Z2153" s="393"/>
      <c r="AA2153" s="600"/>
      <c r="AB2153" s="601"/>
      <c r="AC2153" s="4505"/>
      <c r="AD2153" s="612"/>
      <c r="AE2153" s="612"/>
      <c r="AF2153" s="612"/>
      <c r="AG2153" s="612"/>
      <c r="AH2153" s="617"/>
      <c r="AI2153" s="612"/>
    </row>
    <row r="2154" s="16" customFormat="1" spans="1:35">
      <c r="A2154" s="418"/>
      <c r="B2154" s="3134"/>
      <c r="C2154" s="689"/>
      <c r="D2154" s="689"/>
      <c r="E2154" s="689"/>
      <c r="F2154" s="689"/>
      <c r="G2154" s="689"/>
      <c r="H2154" s="689"/>
      <c r="I2154" s="689"/>
      <c r="J2154" s="689"/>
      <c r="K2154" s="4452"/>
      <c r="L2154" s="689"/>
      <c r="M2154" s="728">
        <v>4</v>
      </c>
      <c r="N2154" s="728" t="s">
        <v>7338</v>
      </c>
      <c r="O2154" s="396" t="s">
        <v>7095</v>
      </c>
      <c r="P2154" s="482">
        <f>4940100*0.15</f>
        <v>741015</v>
      </c>
      <c r="Q2154" s="4473">
        <f>4940100*0.1</f>
        <v>494010</v>
      </c>
      <c r="R2154" s="798" t="s">
        <v>4603</v>
      </c>
      <c r="S2154" s="799">
        <v>45473</v>
      </c>
      <c r="T2154" s="798">
        <f>4940100*0.1</f>
        <v>494010</v>
      </c>
      <c r="U2154" s="799">
        <v>45473</v>
      </c>
      <c r="V2154" s="393">
        <v>247005</v>
      </c>
      <c r="W2154" s="567">
        <v>45737</v>
      </c>
      <c r="X2154" s="2008">
        <v>247005</v>
      </c>
      <c r="Y2154" s="517">
        <v>45744</v>
      </c>
      <c r="Z2154" s="393"/>
      <c r="AA2154" s="600"/>
      <c r="AB2154" s="798" t="s">
        <v>7339</v>
      </c>
      <c r="AC2154" s="4505"/>
      <c r="AD2154" s="612"/>
      <c r="AE2154" s="612"/>
      <c r="AF2154" s="612"/>
      <c r="AG2154" s="612"/>
      <c r="AH2154" s="617"/>
      <c r="AI2154" s="612"/>
    </row>
    <row r="2155" s="16" customFormat="1" spans="1:35">
      <c r="A2155" s="418"/>
      <c r="B2155" s="3134"/>
      <c r="C2155" s="689"/>
      <c r="D2155" s="689"/>
      <c r="E2155" s="689"/>
      <c r="F2155" s="689"/>
      <c r="G2155" s="689"/>
      <c r="H2155" s="689"/>
      <c r="I2155" s="689"/>
      <c r="J2155" s="689"/>
      <c r="K2155" s="4452"/>
      <c r="L2155" s="689"/>
      <c r="M2155" s="689"/>
      <c r="N2155" s="689"/>
      <c r="O2155" s="396"/>
      <c r="P2155" s="482"/>
      <c r="Q2155" s="4474"/>
      <c r="R2155" s="801"/>
      <c r="S2155" s="802"/>
      <c r="T2155" s="801"/>
      <c r="U2155" s="802"/>
      <c r="V2155" s="393">
        <v>247005</v>
      </c>
      <c r="W2155" s="567">
        <v>45788</v>
      </c>
      <c r="X2155" s="2008">
        <v>247005</v>
      </c>
      <c r="Y2155" s="517">
        <v>45806</v>
      </c>
      <c r="Z2155" s="393"/>
      <c r="AA2155" s="600"/>
      <c r="AB2155" s="801"/>
      <c r="AC2155" s="4505"/>
      <c r="AD2155" s="612"/>
      <c r="AE2155" s="612"/>
      <c r="AF2155" s="612"/>
      <c r="AG2155" s="612"/>
      <c r="AH2155" s="617"/>
      <c r="AI2155" s="612"/>
    </row>
    <row r="2156" s="16" customFormat="1" spans="1:35">
      <c r="A2156" s="418"/>
      <c r="B2156" s="3134"/>
      <c r="C2156" s="689"/>
      <c r="D2156" s="689"/>
      <c r="E2156" s="689"/>
      <c r="F2156" s="689"/>
      <c r="G2156" s="689"/>
      <c r="H2156" s="689"/>
      <c r="I2156" s="689"/>
      <c r="J2156" s="689"/>
      <c r="K2156" s="4452"/>
      <c r="L2156" s="689"/>
      <c r="M2156" s="691"/>
      <c r="N2156" s="729"/>
      <c r="O2156" s="396"/>
      <c r="P2156" s="482"/>
      <c r="Q2156" s="483">
        <f>4940100*0.05</f>
        <v>247005</v>
      </c>
      <c r="R2156" s="393" t="s">
        <v>4603</v>
      </c>
      <c r="S2156" s="517">
        <v>45849</v>
      </c>
      <c r="T2156" s="393">
        <v>247005</v>
      </c>
      <c r="U2156" s="517">
        <v>45849</v>
      </c>
      <c r="V2156" s="419"/>
      <c r="W2156" s="567"/>
      <c r="X2156" s="3088">
        <f>Q2156</f>
        <v>247005</v>
      </c>
      <c r="Y2156" s="520">
        <v>46052</v>
      </c>
      <c r="Z2156" s="393"/>
      <c r="AA2156" s="600"/>
      <c r="AB2156" s="601"/>
      <c r="AC2156" s="4505"/>
      <c r="AD2156" s="612"/>
      <c r="AE2156" s="612"/>
      <c r="AF2156" s="612"/>
      <c r="AG2156" s="612"/>
      <c r="AH2156" s="617"/>
      <c r="AI2156" s="612"/>
    </row>
    <row r="2157" s="16" customFormat="1" ht="46" spans="1:35">
      <c r="A2157" s="418"/>
      <c r="B2157" s="3134"/>
      <c r="C2157" s="689"/>
      <c r="D2157" s="689"/>
      <c r="E2157" s="689"/>
      <c r="F2157" s="689"/>
      <c r="G2157" s="689"/>
      <c r="H2157" s="689"/>
      <c r="I2157" s="689"/>
      <c r="J2157" s="689"/>
      <c r="K2157" s="4452"/>
      <c r="L2157" s="689"/>
      <c r="M2157" s="418">
        <v>5</v>
      </c>
      <c r="N2157" s="480" t="s">
        <v>7340</v>
      </c>
      <c r="O2157" s="396" t="s">
        <v>7097</v>
      </c>
      <c r="P2157" s="482">
        <f>4940100*0.1</f>
        <v>494010</v>
      </c>
      <c r="Q2157" s="483">
        <f>4940100*0.1</f>
        <v>494010</v>
      </c>
      <c r="R2157" s="393" t="s">
        <v>4603</v>
      </c>
      <c r="S2157" s="517">
        <v>45849</v>
      </c>
      <c r="T2157" s="393">
        <v>494010</v>
      </c>
      <c r="U2157" s="517">
        <v>45849</v>
      </c>
      <c r="V2157" s="419"/>
      <c r="W2157" s="567"/>
      <c r="X2157" s="518">
        <v>494010</v>
      </c>
      <c r="Y2157" s="520">
        <v>46052</v>
      </c>
      <c r="Z2157" s="393"/>
      <c r="AA2157" s="600"/>
      <c r="AB2157" s="601"/>
      <c r="AC2157" s="4505"/>
      <c r="AD2157" s="612"/>
      <c r="AE2157" s="612"/>
      <c r="AF2157" s="612"/>
      <c r="AG2157" s="612"/>
      <c r="AH2157" s="617"/>
      <c r="AI2157" s="612"/>
    </row>
    <row r="2158" s="16" customFormat="1" ht="61" spans="1:35">
      <c r="A2158" s="418"/>
      <c r="B2158" s="3134"/>
      <c r="C2158" s="689"/>
      <c r="D2158" s="689"/>
      <c r="E2158" s="689"/>
      <c r="F2158" s="689"/>
      <c r="G2158" s="689"/>
      <c r="H2158" s="689"/>
      <c r="I2158" s="689"/>
      <c r="J2158" s="689"/>
      <c r="K2158" s="4452"/>
      <c r="L2158" s="689"/>
      <c r="M2158" s="418">
        <v>6</v>
      </c>
      <c r="N2158" s="480" t="s">
        <v>7341</v>
      </c>
      <c r="O2158" s="396" t="s">
        <v>7342</v>
      </c>
      <c r="P2158" s="482">
        <f>4940100*0.05</f>
        <v>247005</v>
      </c>
      <c r="Q2158" s="519">
        <v>247005</v>
      </c>
      <c r="R2158" s="519" t="s">
        <v>7343</v>
      </c>
      <c r="S2158" s="520">
        <v>46386</v>
      </c>
      <c r="T2158" s="393"/>
      <c r="U2158" s="517"/>
      <c r="V2158" s="419"/>
      <c r="W2158" s="567"/>
      <c r="X2158" s="518">
        <v>247005</v>
      </c>
      <c r="Y2158" s="520">
        <v>46751</v>
      </c>
      <c r="Z2158" s="393"/>
      <c r="AA2158" s="600"/>
      <c r="AB2158" s="601"/>
      <c r="AC2158" s="4505"/>
      <c r="AD2158" s="612"/>
      <c r="AE2158" s="612"/>
      <c r="AF2158" s="612"/>
      <c r="AG2158" s="612"/>
      <c r="AH2158" s="617"/>
      <c r="AI2158" s="612"/>
    </row>
    <row r="2159" s="16" customFormat="1" ht="76" spans="1:35">
      <c r="A2159" s="418"/>
      <c r="B2159" s="4443"/>
      <c r="C2159" s="691"/>
      <c r="D2159" s="691"/>
      <c r="E2159" s="691"/>
      <c r="F2159" s="691"/>
      <c r="G2159" s="691"/>
      <c r="H2159" s="691"/>
      <c r="I2159" s="691"/>
      <c r="J2159" s="691"/>
      <c r="K2159" s="1406"/>
      <c r="L2159" s="691"/>
      <c r="M2159" s="418">
        <v>7</v>
      </c>
      <c r="N2159" s="480" t="s">
        <v>7344</v>
      </c>
      <c r="O2159" s="396" t="s">
        <v>7345</v>
      </c>
      <c r="P2159" s="482">
        <f>4940100*0.1</f>
        <v>494010</v>
      </c>
      <c r="Q2159" s="393"/>
      <c r="R2159" s="393"/>
      <c r="S2159" s="517"/>
      <c r="T2159" s="393"/>
      <c r="U2159" s="517"/>
      <c r="V2159" s="419"/>
      <c r="W2159" s="567"/>
      <c r="X2159" s="516"/>
      <c r="Y2159" s="517"/>
      <c r="Z2159" s="393"/>
      <c r="AA2159" s="600"/>
      <c r="AB2159" s="601"/>
      <c r="AC2159" s="4505"/>
      <c r="AD2159" s="612"/>
      <c r="AE2159" s="612"/>
      <c r="AF2159" s="612"/>
      <c r="AG2159" s="612"/>
      <c r="AH2159" s="617"/>
      <c r="AI2159" s="612"/>
    </row>
    <row r="2160" s="3" customFormat="1" ht="31" spans="1:35">
      <c r="A2160" s="407" t="s">
        <v>1003</v>
      </c>
      <c r="B2160" s="4444">
        <v>45257</v>
      </c>
      <c r="C2160" s="407" t="s">
        <v>7332</v>
      </c>
      <c r="D2160" s="407" t="s">
        <v>171</v>
      </c>
      <c r="E2160" s="407" t="s">
        <v>7346</v>
      </c>
      <c r="F2160" s="413" t="s">
        <v>7347</v>
      </c>
      <c r="G2160" s="413" t="s">
        <v>3723</v>
      </c>
      <c r="H2160" s="413" t="s">
        <v>5607</v>
      </c>
      <c r="I2160" s="407">
        <v>59943.26</v>
      </c>
      <c r="J2160" s="407" t="s">
        <v>7348</v>
      </c>
      <c r="K2160" s="4453">
        <v>2126070.84</v>
      </c>
      <c r="L2160" s="407" t="s">
        <v>126</v>
      </c>
      <c r="M2160" s="407">
        <v>1</v>
      </c>
      <c r="N2160" s="407" t="s">
        <v>7349</v>
      </c>
      <c r="O2160" s="407" t="s">
        <v>7135</v>
      </c>
      <c r="P2160" s="4462">
        <f t="shared" ref="P2160:T2160" si="74">2126070.84*0.1</f>
        <v>212607.084</v>
      </c>
      <c r="Q2160" s="4475">
        <f t="shared" si="74"/>
        <v>212607.084</v>
      </c>
      <c r="R2160" s="501" t="s">
        <v>4603</v>
      </c>
      <c r="S2160" s="504">
        <v>45288</v>
      </c>
      <c r="T2160" s="4475">
        <f t="shared" si="74"/>
        <v>212607.084</v>
      </c>
      <c r="U2160" s="504">
        <v>45288</v>
      </c>
      <c r="V2160" s="4067">
        <v>167350.4</v>
      </c>
      <c r="W2160" s="552">
        <v>45303</v>
      </c>
      <c r="X2160" s="1987">
        <v>167350.4</v>
      </c>
      <c r="Y2160" s="552">
        <v>45320</v>
      </c>
      <c r="Z2160" s="428"/>
      <c r="AA2160" s="4502" t="s">
        <v>7350</v>
      </c>
      <c r="AB2160" s="409" t="s">
        <v>7351</v>
      </c>
      <c r="AC2160" s="591"/>
      <c r="AD2160" s="410"/>
      <c r="AE2160" s="410"/>
      <c r="AF2160" s="410"/>
      <c r="AG2160" s="410"/>
      <c r="AH2160" s="374"/>
      <c r="AI2160" s="410"/>
    </row>
    <row r="2161" s="3" customFormat="1" spans="1:35">
      <c r="A2161" s="409"/>
      <c r="B2161" s="4445"/>
      <c r="C2161" s="409"/>
      <c r="D2161" s="409"/>
      <c r="E2161" s="409"/>
      <c r="F2161" s="413"/>
      <c r="G2161" s="413"/>
      <c r="H2161" s="413"/>
      <c r="I2161" s="409"/>
      <c r="J2161" s="409"/>
      <c r="K2161" s="4454"/>
      <c r="L2161" s="409"/>
      <c r="M2161" s="411"/>
      <c r="N2161" s="411"/>
      <c r="O2161" s="411"/>
      <c r="P2161" s="466"/>
      <c r="Q2161" s="4476"/>
      <c r="R2161" s="503"/>
      <c r="S2161" s="505"/>
      <c r="T2161" s="4476"/>
      <c r="U2161" s="505"/>
      <c r="V2161" s="552" t="s">
        <v>171</v>
      </c>
      <c r="W2161" s="552" t="s">
        <v>171</v>
      </c>
      <c r="X2161" s="1987" t="s">
        <v>171</v>
      </c>
      <c r="Y2161" s="502" t="s">
        <v>171</v>
      </c>
      <c r="Z2161" s="428"/>
      <c r="AA2161" s="592"/>
      <c r="AB2161" s="375"/>
      <c r="AC2161" s="591"/>
      <c r="AD2161" s="410"/>
      <c r="AE2161" s="410"/>
      <c r="AF2161" s="410"/>
      <c r="AG2161" s="410"/>
      <c r="AH2161" s="374"/>
      <c r="AI2161" s="410"/>
    </row>
    <row r="2162" s="3" customFormat="1" ht="107" spans="1:35">
      <c r="A2162" s="409"/>
      <c r="B2162" s="4445"/>
      <c r="C2162" s="409"/>
      <c r="D2162" s="409"/>
      <c r="E2162" s="409"/>
      <c r="F2162" s="413"/>
      <c r="G2162" s="413"/>
      <c r="H2162" s="413"/>
      <c r="I2162" s="409"/>
      <c r="J2162" s="409"/>
      <c r="K2162" s="4454"/>
      <c r="L2162" s="409"/>
      <c r="M2162" s="407">
        <v>2</v>
      </c>
      <c r="N2162" s="407" t="s">
        <v>5064</v>
      </c>
      <c r="O2162" s="407" t="s">
        <v>7137</v>
      </c>
      <c r="P2162" s="467">
        <f t="shared" ref="P2162:T2162" si="75">360000*0.4</f>
        <v>144000</v>
      </c>
      <c r="Q2162" s="4067">
        <f t="shared" si="75"/>
        <v>144000</v>
      </c>
      <c r="R2162" s="428" t="s">
        <v>4603</v>
      </c>
      <c r="S2162" s="502">
        <v>45288</v>
      </c>
      <c r="T2162" s="4067">
        <f t="shared" si="75"/>
        <v>144000</v>
      </c>
      <c r="U2162" s="502">
        <v>45288</v>
      </c>
      <c r="V2162" s="552" t="s">
        <v>171</v>
      </c>
      <c r="W2162" s="552" t="s">
        <v>171</v>
      </c>
      <c r="X2162" s="1987" t="s">
        <v>171</v>
      </c>
      <c r="Y2162" s="502" t="s">
        <v>171</v>
      </c>
      <c r="Z2162" s="428"/>
      <c r="AA2162" s="2147" t="s">
        <v>7352</v>
      </c>
      <c r="AB2162" s="409" t="s">
        <v>7353</v>
      </c>
      <c r="AC2162" s="2147"/>
      <c r="AD2162" s="410"/>
      <c r="AE2162" s="410"/>
      <c r="AF2162" s="410"/>
      <c r="AG2162" s="410"/>
      <c r="AH2162" s="374"/>
      <c r="AI2162" s="410"/>
    </row>
    <row r="2163" s="3" customFormat="1" ht="107" spans="1:35">
      <c r="A2163" s="409"/>
      <c r="B2163" s="4445"/>
      <c r="C2163" s="409"/>
      <c r="D2163" s="409"/>
      <c r="E2163" s="409"/>
      <c r="F2163" s="413"/>
      <c r="G2163" s="413"/>
      <c r="H2163" s="413"/>
      <c r="I2163" s="409"/>
      <c r="J2163" s="409"/>
      <c r="K2163" s="4454"/>
      <c r="L2163" s="409"/>
      <c r="M2163" s="413">
        <v>3</v>
      </c>
      <c r="N2163" s="3030" t="s">
        <v>5065</v>
      </c>
      <c r="O2163" s="413" t="s">
        <v>7138</v>
      </c>
      <c r="P2163" s="467">
        <f t="shared" ref="P2163:T2163" si="76">360000*0.3</f>
        <v>108000</v>
      </c>
      <c r="Q2163" s="4067">
        <f t="shared" si="76"/>
        <v>108000</v>
      </c>
      <c r="R2163" s="428" t="s">
        <v>4603</v>
      </c>
      <c r="S2163" s="502">
        <v>45288</v>
      </c>
      <c r="T2163" s="4067">
        <f t="shared" si="76"/>
        <v>108000</v>
      </c>
      <c r="U2163" s="502">
        <v>45288</v>
      </c>
      <c r="V2163" s="552" t="s">
        <v>171</v>
      </c>
      <c r="W2163" s="552" t="s">
        <v>171</v>
      </c>
      <c r="X2163" s="1987" t="s">
        <v>171</v>
      </c>
      <c r="Y2163" s="502" t="s">
        <v>171</v>
      </c>
      <c r="Z2163" s="428"/>
      <c r="AA2163" s="2147" t="s">
        <v>7352</v>
      </c>
      <c r="AB2163" s="409"/>
      <c r="AC2163" s="2147"/>
      <c r="AD2163" s="410"/>
      <c r="AE2163" s="410"/>
      <c r="AF2163" s="410"/>
      <c r="AG2163" s="410"/>
      <c r="AH2163" s="374"/>
      <c r="AI2163" s="410"/>
    </row>
    <row r="2164" s="49" customFormat="1" ht="60" customHeight="1" spans="1:35">
      <c r="A2164" s="409"/>
      <c r="B2164" s="4445"/>
      <c r="C2164" s="409"/>
      <c r="D2164" s="409"/>
      <c r="E2164" s="409"/>
      <c r="F2164" s="4450"/>
      <c r="G2164" s="4450"/>
      <c r="H2164" s="4450"/>
      <c r="I2164" s="409"/>
      <c r="J2164" s="409"/>
      <c r="K2164" s="4454"/>
      <c r="L2164" s="409"/>
      <c r="M2164" s="4450" t="s">
        <v>7354</v>
      </c>
      <c r="N2164" s="4450" t="s">
        <v>7355</v>
      </c>
      <c r="O2164" s="4450" t="s">
        <v>7356</v>
      </c>
      <c r="P2164" s="4463">
        <f>356320*0.4</f>
        <v>142528</v>
      </c>
      <c r="Q2164" s="4477" t="s">
        <v>171</v>
      </c>
      <c r="R2164" s="4450" t="s">
        <v>7357</v>
      </c>
      <c r="S2164" s="4478" t="s">
        <v>171</v>
      </c>
      <c r="T2164" s="4477" t="s">
        <v>171</v>
      </c>
      <c r="U2164" s="4478" t="s">
        <v>171</v>
      </c>
      <c r="V2164" s="4477">
        <v>142528</v>
      </c>
      <c r="W2164" s="4478">
        <v>45399</v>
      </c>
      <c r="X2164" s="4496">
        <v>142528</v>
      </c>
      <c r="Y2164" s="4478">
        <v>45410</v>
      </c>
      <c r="Z2164" s="4479"/>
      <c r="AA2164" s="4503"/>
      <c r="AB2164" s="409"/>
      <c r="AC2164" s="4503"/>
      <c r="AD2164" s="4506"/>
      <c r="AE2164" s="4506"/>
      <c r="AF2164" s="4506"/>
      <c r="AG2164" s="4506"/>
      <c r="AH2164" s="4507"/>
      <c r="AI2164" s="4506"/>
    </row>
    <row r="2165" s="49" customFormat="1" ht="92" spans="1:35">
      <c r="A2165" s="409"/>
      <c r="B2165" s="4445"/>
      <c r="C2165" s="409"/>
      <c r="D2165" s="409"/>
      <c r="E2165" s="409"/>
      <c r="F2165" s="4450"/>
      <c r="G2165" s="4450"/>
      <c r="H2165" s="4450"/>
      <c r="I2165" s="409"/>
      <c r="J2165" s="409"/>
      <c r="K2165" s="4454"/>
      <c r="L2165" s="409"/>
      <c r="M2165" s="4450" t="s">
        <v>7354</v>
      </c>
      <c r="N2165" s="4464" t="s">
        <v>7358</v>
      </c>
      <c r="O2165" s="4450" t="s">
        <v>7359</v>
      </c>
      <c r="P2165" s="4463">
        <f t="shared" ref="P2165:T2165" si="77">356320*0.3</f>
        <v>106896</v>
      </c>
      <c r="Q2165" s="4477">
        <f t="shared" si="77"/>
        <v>106896</v>
      </c>
      <c r="R2165" s="4479" t="s">
        <v>4603</v>
      </c>
      <c r="S2165" s="4478">
        <v>45473</v>
      </c>
      <c r="T2165" s="4477">
        <f t="shared" si="77"/>
        <v>106896</v>
      </c>
      <c r="U2165" s="4478">
        <v>45473</v>
      </c>
      <c r="V2165" s="4497">
        <v>106896</v>
      </c>
      <c r="W2165" s="4498">
        <v>45555</v>
      </c>
      <c r="X2165" s="4496">
        <v>106896</v>
      </c>
      <c r="Y2165" s="4478">
        <v>45562</v>
      </c>
      <c r="Z2165" s="4479"/>
      <c r="AA2165" s="4503"/>
      <c r="AB2165" s="409"/>
      <c r="AC2165" s="4503"/>
      <c r="AD2165" s="4506"/>
      <c r="AE2165" s="4506"/>
      <c r="AF2165" s="4506"/>
      <c r="AG2165" s="4506"/>
      <c r="AH2165" s="4507"/>
      <c r="AI2165" s="4506"/>
    </row>
    <row r="2166" s="49" customFormat="1" ht="92" spans="1:35">
      <c r="A2166" s="409"/>
      <c r="B2166" s="4445"/>
      <c r="C2166" s="409"/>
      <c r="D2166" s="409"/>
      <c r="E2166" s="409"/>
      <c r="F2166" s="4450"/>
      <c r="G2166" s="4450"/>
      <c r="H2166" s="4450"/>
      <c r="I2166" s="409"/>
      <c r="J2166" s="409"/>
      <c r="K2166" s="4454"/>
      <c r="L2166" s="409"/>
      <c r="M2166" s="4450" t="s">
        <v>7354</v>
      </c>
      <c r="N2166" s="4465" t="s">
        <v>7360</v>
      </c>
      <c r="O2166" s="4466" t="s">
        <v>7361</v>
      </c>
      <c r="P2166" s="4463">
        <f t="shared" ref="P2166:T2166" si="78">356320*0.1</f>
        <v>35632</v>
      </c>
      <c r="Q2166" s="4480">
        <f t="shared" si="78"/>
        <v>35632</v>
      </c>
      <c r="R2166" s="4479" t="s">
        <v>4603</v>
      </c>
      <c r="S2166" s="4478">
        <v>45796</v>
      </c>
      <c r="T2166" s="4477">
        <f t="shared" si="78"/>
        <v>35632</v>
      </c>
      <c r="U2166" s="4478">
        <v>45796</v>
      </c>
      <c r="V2166" s="4496">
        <v>35632</v>
      </c>
      <c r="W2166" s="4498">
        <v>45831</v>
      </c>
      <c r="X2166" s="4496">
        <v>35632</v>
      </c>
      <c r="Y2166" s="4478">
        <v>45835</v>
      </c>
      <c r="Z2166" s="4479"/>
      <c r="AA2166" s="4503"/>
      <c r="AB2166" s="409"/>
      <c r="AC2166" s="4503"/>
      <c r="AD2166" s="4506"/>
      <c r="AE2166" s="4506"/>
      <c r="AF2166" s="4506"/>
      <c r="AG2166" s="4506"/>
      <c r="AH2166" s="4507"/>
      <c r="AI2166" s="4506"/>
    </row>
    <row r="2167" s="31" customFormat="1" ht="75" customHeight="1" spans="1:35">
      <c r="A2167" s="409"/>
      <c r="B2167" s="4445"/>
      <c r="C2167" s="409"/>
      <c r="D2167" s="409"/>
      <c r="E2167" s="409"/>
      <c r="F2167" s="1396"/>
      <c r="G2167" s="1396"/>
      <c r="H2167" s="1396"/>
      <c r="I2167" s="409"/>
      <c r="J2167" s="409"/>
      <c r="K2167" s="4454"/>
      <c r="L2167" s="409"/>
      <c r="M2167" s="1846" t="s">
        <v>7354</v>
      </c>
      <c r="N2167" s="2052" t="s">
        <v>7362</v>
      </c>
      <c r="O2167" s="2052" t="s">
        <v>7363</v>
      </c>
      <c r="P2167" s="4467">
        <f>135000*0.4</f>
        <v>54000</v>
      </c>
      <c r="Q2167" s="4481" t="s">
        <v>171</v>
      </c>
      <c r="R2167" s="1280" t="s">
        <v>7357</v>
      </c>
      <c r="S2167" s="4482" t="s">
        <v>171</v>
      </c>
      <c r="T2167" s="4481" t="s">
        <v>171</v>
      </c>
      <c r="U2167" s="4481" t="s">
        <v>171</v>
      </c>
      <c r="V2167" s="4481">
        <f>135000*0.4</f>
        <v>54000</v>
      </c>
      <c r="W2167" s="4499">
        <v>45399</v>
      </c>
      <c r="X2167" s="3044">
        <f>135000*0.4</f>
        <v>54000</v>
      </c>
      <c r="Y2167" s="1736">
        <v>45410</v>
      </c>
      <c r="Z2167" s="1252"/>
      <c r="AA2167" s="2117"/>
      <c r="AB2167" s="409"/>
      <c r="AC2167" s="2117"/>
      <c r="AD2167" s="1300"/>
      <c r="AE2167" s="1300"/>
      <c r="AF2167" s="1300"/>
      <c r="AG2167" s="1300"/>
      <c r="AH2167" s="1281"/>
      <c r="AI2167" s="1300"/>
    </row>
    <row r="2168" s="31" customFormat="1" ht="75" customHeight="1" spans="1:35">
      <c r="A2168" s="409"/>
      <c r="B2168" s="4445"/>
      <c r="C2168" s="409"/>
      <c r="D2168" s="409"/>
      <c r="E2168" s="409"/>
      <c r="F2168" s="1396"/>
      <c r="G2168" s="1396"/>
      <c r="H2168" s="1396"/>
      <c r="I2168" s="409"/>
      <c r="J2168" s="409"/>
      <c r="K2168" s="4454"/>
      <c r="L2168" s="409"/>
      <c r="M2168" s="1846" t="s">
        <v>7354</v>
      </c>
      <c r="N2168" s="3041" t="s">
        <v>7364</v>
      </c>
      <c r="O2168" s="1396" t="s">
        <v>7365</v>
      </c>
      <c r="P2168" s="4468">
        <f>135000*0.3</f>
        <v>40500</v>
      </c>
      <c r="Q2168" s="4483">
        <f>135000*0.3</f>
        <v>40500</v>
      </c>
      <c r="R2168" s="1252" t="s">
        <v>4603</v>
      </c>
      <c r="S2168" s="1736">
        <v>45473</v>
      </c>
      <c r="T2168" s="4484"/>
      <c r="U2168" s="1736"/>
      <c r="V2168" s="1255">
        <v>40500</v>
      </c>
      <c r="W2168" s="1437">
        <v>45555</v>
      </c>
      <c r="X2168" s="3044">
        <v>40500</v>
      </c>
      <c r="Y2168" s="1736">
        <v>45562</v>
      </c>
      <c r="Z2168" s="1252"/>
      <c r="AA2168" s="2117"/>
      <c r="AB2168" s="409"/>
      <c r="AC2168" s="2117"/>
      <c r="AD2168" s="1300"/>
      <c r="AE2168" s="1300"/>
      <c r="AF2168" s="1300"/>
      <c r="AG2168" s="1300"/>
      <c r="AH2168" s="1281"/>
      <c r="AI2168" s="1300"/>
    </row>
    <row r="2169" s="31" customFormat="1" ht="75" customHeight="1" spans="1:35">
      <c r="A2169" s="409"/>
      <c r="B2169" s="4445"/>
      <c r="C2169" s="409"/>
      <c r="D2169" s="409"/>
      <c r="E2169" s="409"/>
      <c r="F2169" s="1396"/>
      <c r="G2169" s="1396"/>
      <c r="H2169" s="1396"/>
      <c r="I2169" s="409"/>
      <c r="J2169" s="409"/>
      <c r="K2169" s="4454"/>
      <c r="L2169" s="409"/>
      <c r="M2169" s="1846" t="s">
        <v>7354</v>
      </c>
      <c r="N2169" s="3041" t="s">
        <v>7366</v>
      </c>
      <c r="O2169" s="1396" t="s">
        <v>7367</v>
      </c>
      <c r="P2169" s="4468">
        <f>135000*0.1</f>
        <v>13500</v>
      </c>
      <c r="Q2169" s="4483">
        <f>135000*0.1</f>
        <v>13500</v>
      </c>
      <c r="R2169" s="1252" t="s">
        <v>4603</v>
      </c>
      <c r="S2169" s="1736">
        <v>45796</v>
      </c>
      <c r="T2169" s="4484">
        <v>13500</v>
      </c>
      <c r="U2169" s="1736">
        <v>45796</v>
      </c>
      <c r="V2169" s="3044">
        <v>13500</v>
      </c>
      <c r="W2169" s="1437">
        <v>45831</v>
      </c>
      <c r="X2169" s="3044">
        <v>13500</v>
      </c>
      <c r="Y2169" s="1736">
        <v>45835</v>
      </c>
      <c r="Z2169" s="1252"/>
      <c r="AA2169" s="2117"/>
      <c r="AB2169" s="409"/>
      <c r="AC2169" s="2117"/>
      <c r="AD2169" s="1300"/>
      <c r="AE2169" s="1300"/>
      <c r="AF2169" s="1300"/>
      <c r="AG2169" s="1300"/>
      <c r="AH2169" s="1281"/>
      <c r="AI2169" s="1300"/>
    </row>
    <row r="2170" s="16" customFormat="1" ht="75" customHeight="1" spans="1:35">
      <c r="A2170" s="409"/>
      <c r="B2170" s="4445"/>
      <c r="C2170" s="409"/>
      <c r="D2170" s="409"/>
      <c r="E2170" s="409"/>
      <c r="F2170" s="418"/>
      <c r="G2170" s="418"/>
      <c r="H2170" s="418"/>
      <c r="I2170" s="409"/>
      <c r="J2170" s="409"/>
      <c r="K2170" s="4454"/>
      <c r="L2170" s="409"/>
      <c r="M2170" s="691" t="s">
        <v>7354</v>
      </c>
      <c r="N2170" s="691" t="s">
        <v>7368</v>
      </c>
      <c r="O2170" s="691" t="s">
        <v>7369</v>
      </c>
      <c r="P2170" s="4461">
        <f>150000*0.55</f>
        <v>82500</v>
      </c>
      <c r="Q2170" s="4485" t="s">
        <v>171</v>
      </c>
      <c r="R2170" s="691" t="s">
        <v>7357</v>
      </c>
      <c r="S2170" s="802" t="s">
        <v>171</v>
      </c>
      <c r="T2170" s="4485" t="s">
        <v>171</v>
      </c>
      <c r="U2170" s="802" t="s">
        <v>171</v>
      </c>
      <c r="V2170" s="4485">
        <f>150000*0.55</f>
        <v>82500</v>
      </c>
      <c r="W2170" s="4500">
        <v>45399</v>
      </c>
      <c r="X2170" s="516">
        <f>150000*0.55</f>
        <v>82500</v>
      </c>
      <c r="Y2170" s="517">
        <v>45410</v>
      </c>
      <c r="Z2170" s="393"/>
      <c r="AA2170" s="2120"/>
      <c r="AB2170" s="409"/>
      <c r="AC2170" s="2120"/>
      <c r="AD2170" s="612"/>
      <c r="AE2170" s="612"/>
      <c r="AF2170" s="612"/>
      <c r="AG2170" s="612"/>
      <c r="AH2170" s="617"/>
      <c r="AI2170" s="612"/>
    </row>
    <row r="2171" s="16" customFormat="1" ht="75" customHeight="1" spans="1:35">
      <c r="A2171" s="409"/>
      <c r="B2171" s="4445"/>
      <c r="C2171" s="409"/>
      <c r="D2171" s="409"/>
      <c r="E2171" s="409"/>
      <c r="F2171" s="418"/>
      <c r="G2171" s="418"/>
      <c r="H2171" s="418"/>
      <c r="I2171" s="409"/>
      <c r="J2171" s="409"/>
      <c r="K2171" s="4454"/>
      <c r="L2171" s="409"/>
      <c r="M2171" s="691" t="s">
        <v>7354</v>
      </c>
      <c r="N2171" s="480" t="s">
        <v>7370</v>
      </c>
      <c r="O2171" s="418" t="s">
        <v>7371</v>
      </c>
      <c r="P2171" s="482">
        <f t="shared" ref="P2171:T2171" si="79">150000*0.15</f>
        <v>22500</v>
      </c>
      <c r="Q2171" s="483">
        <f t="shared" si="79"/>
        <v>22500</v>
      </c>
      <c r="R2171" s="393" t="s">
        <v>4603</v>
      </c>
      <c r="S2171" s="517">
        <v>45558</v>
      </c>
      <c r="T2171" s="483">
        <f t="shared" si="79"/>
        <v>22500</v>
      </c>
      <c r="U2171" s="517">
        <v>45558</v>
      </c>
      <c r="V2171" s="419">
        <v>22500</v>
      </c>
      <c r="W2171" s="567">
        <v>45555</v>
      </c>
      <c r="X2171" s="4501">
        <v>22500</v>
      </c>
      <c r="Y2171" s="4504">
        <v>45562</v>
      </c>
      <c r="Z2171" s="393"/>
      <c r="AA2171" s="2120"/>
      <c r="AB2171" s="409"/>
      <c r="AC2171" s="2120"/>
      <c r="AD2171" s="612"/>
      <c r="AE2171" s="612"/>
      <c r="AF2171" s="612"/>
      <c r="AG2171" s="612"/>
      <c r="AH2171" s="617"/>
      <c r="AI2171" s="612"/>
    </row>
    <row r="2172" s="16" customFormat="1" ht="75" customHeight="1" spans="1:35">
      <c r="A2172" s="409"/>
      <c r="B2172" s="4445"/>
      <c r="C2172" s="409"/>
      <c r="D2172" s="409"/>
      <c r="E2172" s="409"/>
      <c r="F2172" s="418"/>
      <c r="G2172" s="418"/>
      <c r="H2172" s="418"/>
      <c r="I2172" s="409"/>
      <c r="J2172" s="409"/>
      <c r="K2172" s="4454"/>
      <c r="L2172" s="409"/>
      <c r="M2172" s="691" t="s">
        <v>7354</v>
      </c>
      <c r="N2172" s="418" t="s">
        <v>7372</v>
      </c>
      <c r="O2172" s="418" t="s">
        <v>7373</v>
      </c>
      <c r="P2172" s="482">
        <f>150000*0.1</f>
        <v>15000</v>
      </c>
      <c r="Q2172" s="483">
        <f>150000*0.1</f>
        <v>15000</v>
      </c>
      <c r="R2172" s="393" t="s">
        <v>4603</v>
      </c>
      <c r="S2172" s="517">
        <v>45796</v>
      </c>
      <c r="T2172" s="483">
        <v>15000</v>
      </c>
      <c r="U2172" s="517">
        <v>45796</v>
      </c>
      <c r="V2172" s="516">
        <v>15000</v>
      </c>
      <c r="W2172" s="4500">
        <v>45831</v>
      </c>
      <c r="X2172" s="516">
        <v>15000</v>
      </c>
      <c r="Y2172" s="517">
        <v>45835</v>
      </c>
      <c r="Z2172" s="393"/>
      <c r="AA2172" s="2120"/>
      <c r="AB2172" s="409"/>
      <c r="AC2172" s="2120"/>
      <c r="AD2172" s="612"/>
      <c r="AE2172" s="612"/>
      <c r="AF2172" s="612"/>
      <c r="AG2172" s="612"/>
      <c r="AH2172" s="617"/>
      <c r="AI2172" s="612"/>
    </row>
    <row r="2173" s="50" customFormat="1" ht="75" customHeight="1" spans="1:35">
      <c r="A2173" s="409"/>
      <c r="B2173" s="4445"/>
      <c r="C2173" s="409"/>
      <c r="D2173" s="409"/>
      <c r="E2173" s="409"/>
      <c r="F2173" s="1080"/>
      <c r="G2173" s="1080"/>
      <c r="H2173" s="1080"/>
      <c r="I2173" s="409"/>
      <c r="J2173" s="409"/>
      <c r="K2173" s="4454"/>
      <c r="L2173" s="409"/>
      <c r="M2173" s="1312" t="s">
        <v>7354</v>
      </c>
      <c r="N2173" s="1312" t="s">
        <v>7374</v>
      </c>
      <c r="O2173" s="1312" t="s">
        <v>7375</v>
      </c>
      <c r="P2173" s="4469">
        <f>251940*0.35</f>
        <v>88179</v>
      </c>
      <c r="Q2173" s="4486">
        <f>251940*0.35</f>
        <v>88179</v>
      </c>
      <c r="R2173" s="4487" t="s">
        <v>4603</v>
      </c>
      <c r="S2173" s="4488">
        <v>45642</v>
      </c>
      <c r="T2173" s="1120">
        <v>88179</v>
      </c>
      <c r="U2173" s="4488">
        <v>45642</v>
      </c>
      <c r="V2173" s="4489">
        <f>251940*0.35</f>
        <v>88179</v>
      </c>
      <c r="W2173" s="4490">
        <v>45673</v>
      </c>
      <c r="X2173" s="1120">
        <f>251940*0.35</f>
        <v>88179</v>
      </c>
      <c r="Y2173" s="4490">
        <v>45681</v>
      </c>
      <c r="Z2173" s="1074"/>
      <c r="AA2173" s="1319"/>
      <c r="AB2173" s="409"/>
      <c r="AC2173" s="1319"/>
      <c r="AD2173" s="1233"/>
      <c r="AE2173" s="1233"/>
      <c r="AF2173" s="1233"/>
      <c r="AG2173" s="1233"/>
      <c r="AH2173" s="1276"/>
      <c r="AI2173" s="1233"/>
    </row>
    <row r="2174" s="50" customFormat="1" ht="75" customHeight="1" spans="1:35">
      <c r="A2174" s="409"/>
      <c r="B2174" s="4445"/>
      <c r="C2174" s="409"/>
      <c r="D2174" s="409"/>
      <c r="E2174" s="409"/>
      <c r="F2174" s="1080"/>
      <c r="G2174" s="1080"/>
      <c r="H2174" s="1080"/>
      <c r="I2174" s="409"/>
      <c r="J2174" s="409"/>
      <c r="K2174" s="4454"/>
      <c r="L2174" s="409"/>
      <c r="M2174" s="1312" t="s">
        <v>7354</v>
      </c>
      <c r="N2174" s="1312" t="s">
        <v>7376</v>
      </c>
      <c r="O2174" s="1312" t="s">
        <v>7377</v>
      </c>
      <c r="P2174" s="4469">
        <f>251940*0.2</f>
        <v>50388</v>
      </c>
      <c r="Q2174" s="4486">
        <f>251940*0.2</f>
        <v>50388</v>
      </c>
      <c r="R2174" s="4487" t="s">
        <v>4603</v>
      </c>
      <c r="S2174" s="4488">
        <v>45642</v>
      </c>
      <c r="T2174" s="1120">
        <v>50388</v>
      </c>
      <c r="U2174" s="4488">
        <v>45642</v>
      </c>
      <c r="V2174" s="4489">
        <f>251940*0.2</f>
        <v>50388</v>
      </c>
      <c r="W2174" s="4490">
        <v>45673</v>
      </c>
      <c r="X2174" s="1120">
        <f>251940*0.2</f>
        <v>50388</v>
      </c>
      <c r="Y2174" s="4490">
        <v>45681</v>
      </c>
      <c r="Z2174" s="1074"/>
      <c r="AA2174" s="1319"/>
      <c r="AB2174" s="409"/>
      <c r="AC2174" s="1319"/>
      <c r="AD2174" s="1233"/>
      <c r="AE2174" s="1233"/>
      <c r="AF2174" s="1233"/>
      <c r="AG2174" s="1233"/>
      <c r="AH2174" s="1276"/>
      <c r="AI2174" s="1233"/>
    </row>
    <row r="2175" s="50" customFormat="1" ht="92" spans="1:35">
      <c r="A2175" s="409"/>
      <c r="B2175" s="4445"/>
      <c r="C2175" s="409"/>
      <c r="D2175" s="409"/>
      <c r="E2175" s="409"/>
      <c r="F2175" s="1080"/>
      <c r="G2175" s="1080"/>
      <c r="H2175" s="1080"/>
      <c r="I2175" s="409"/>
      <c r="J2175" s="409"/>
      <c r="K2175" s="4454"/>
      <c r="L2175" s="409"/>
      <c r="M2175" s="1312" t="s">
        <v>7354</v>
      </c>
      <c r="N2175" s="1080" t="s">
        <v>7378</v>
      </c>
      <c r="O2175" s="1080" t="s">
        <v>7379</v>
      </c>
      <c r="P2175" s="4469">
        <f>251940*0.15</f>
        <v>37791</v>
      </c>
      <c r="Q2175" s="4489">
        <f>251940*0.15</f>
        <v>37791</v>
      </c>
      <c r="R2175" s="1074" t="s">
        <v>4603</v>
      </c>
      <c r="S2175" s="4490">
        <v>45796</v>
      </c>
      <c r="T2175" s="4489"/>
      <c r="U2175" s="4490"/>
      <c r="V2175" s="1074"/>
      <c r="W2175" s="4490"/>
      <c r="X2175" s="1370">
        <v>37791</v>
      </c>
      <c r="Y2175" s="4492">
        <v>46052</v>
      </c>
      <c r="Z2175" s="1074"/>
      <c r="AA2175" s="1319"/>
      <c r="AB2175" s="409"/>
      <c r="AC2175" s="1319"/>
      <c r="AD2175" s="1233"/>
      <c r="AE2175" s="1233"/>
      <c r="AF2175" s="1233"/>
      <c r="AG2175" s="1233"/>
      <c r="AH2175" s="1276"/>
      <c r="AI2175" s="1233"/>
    </row>
    <row r="2176" s="50" customFormat="1" ht="92.25" customHeight="1" spans="1:35">
      <c r="A2176" s="409"/>
      <c r="B2176" s="4445"/>
      <c r="C2176" s="409"/>
      <c r="D2176" s="409"/>
      <c r="E2176" s="409"/>
      <c r="F2176" s="1080"/>
      <c r="G2176" s="1080"/>
      <c r="H2176" s="1080"/>
      <c r="I2176" s="409"/>
      <c r="J2176" s="409"/>
      <c r="K2176" s="4454"/>
      <c r="L2176" s="409"/>
      <c r="M2176" s="1312" t="s">
        <v>7354</v>
      </c>
      <c r="N2176" s="1080" t="s">
        <v>7380</v>
      </c>
      <c r="O2176" s="1080" t="s">
        <v>7381</v>
      </c>
      <c r="P2176" s="4469">
        <f>251940*0.05</f>
        <v>12597</v>
      </c>
      <c r="Q2176" s="4491">
        <f>251940*0.05</f>
        <v>12597</v>
      </c>
      <c r="R2176" s="2842" t="s">
        <v>349</v>
      </c>
      <c r="S2176" s="4492">
        <v>46021</v>
      </c>
      <c r="T2176" s="4489"/>
      <c r="U2176" s="4490"/>
      <c r="V2176" s="1074"/>
      <c r="W2176" s="4490"/>
      <c r="X2176" s="4491">
        <f>251940*0.05</f>
        <v>12597</v>
      </c>
      <c r="Y2176" s="4492">
        <v>46052</v>
      </c>
      <c r="Z2176" s="1074"/>
      <c r="AA2176" s="1319"/>
      <c r="AB2176" s="409"/>
      <c r="AC2176" s="1319"/>
      <c r="AD2176" s="1233"/>
      <c r="AE2176" s="1233"/>
      <c r="AF2176" s="1233"/>
      <c r="AG2176" s="1233"/>
      <c r="AH2176" s="1276"/>
      <c r="AI2176" s="1233"/>
    </row>
    <row r="2177" s="51" customFormat="1" ht="92.25" customHeight="1" spans="1:35">
      <c r="A2177" s="1273"/>
      <c r="B2177" s="4445"/>
      <c r="C2177" s="1273"/>
      <c r="D2177" s="409"/>
      <c r="E2177" s="1273"/>
      <c r="F2177" s="1274"/>
      <c r="G2177" s="1274"/>
      <c r="H2177" s="1274"/>
      <c r="I2177" s="1273"/>
      <c r="J2177" s="1273"/>
      <c r="K2177" s="4523"/>
      <c r="L2177" s="1273"/>
      <c r="M2177" s="1274" t="s">
        <v>7354</v>
      </c>
      <c r="N2177" s="3056" t="s">
        <v>7382</v>
      </c>
      <c r="O2177" s="1274" t="s">
        <v>7383</v>
      </c>
      <c r="P2177" s="4534">
        <f>422184*0.35</f>
        <v>147764.4</v>
      </c>
      <c r="Q2177" s="4585">
        <f>422184*0.35</f>
        <v>147764.4</v>
      </c>
      <c r="R2177" s="4586" t="s">
        <v>4603</v>
      </c>
      <c r="S2177" s="4587">
        <v>45642</v>
      </c>
      <c r="T2177" s="4588">
        <v>147764.4</v>
      </c>
      <c r="U2177" s="4587">
        <v>45642</v>
      </c>
      <c r="V2177" s="4589">
        <f>422184*0.35</f>
        <v>147764.4</v>
      </c>
      <c r="W2177" s="4590">
        <v>45673</v>
      </c>
      <c r="X2177" s="4588">
        <f>422184*0.35</f>
        <v>147764.4</v>
      </c>
      <c r="Y2177" s="4590">
        <v>45681</v>
      </c>
      <c r="Z2177" s="1224"/>
      <c r="AA2177" s="2123"/>
      <c r="AB2177" s="409"/>
      <c r="AC2177" s="2123"/>
      <c r="AD2177" s="1450"/>
      <c r="AE2177" s="1450"/>
      <c r="AF2177" s="1450"/>
      <c r="AG2177" s="1450"/>
      <c r="AH2177" s="1451"/>
      <c r="AI2177" s="1450"/>
    </row>
    <row r="2178" s="51" customFormat="1" ht="92.25" customHeight="1" spans="1:35">
      <c r="A2178" s="1273"/>
      <c r="B2178" s="4445"/>
      <c r="C2178" s="1273"/>
      <c r="D2178" s="409"/>
      <c r="E2178" s="1273"/>
      <c r="F2178" s="1274"/>
      <c r="G2178" s="1274"/>
      <c r="H2178" s="1274"/>
      <c r="I2178" s="1273"/>
      <c r="J2178" s="1273"/>
      <c r="K2178" s="4523"/>
      <c r="L2178" s="1273"/>
      <c r="M2178" s="1274" t="s">
        <v>7354</v>
      </c>
      <c r="N2178" s="3056" t="s">
        <v>7384</v>
      </c>
      <c r="O2178" s="1274" t="s">
        <v>7385</v>
      </c>
      <c r="P2178" s="4534">
        <f t="shared" ref="P2178:T2178" si="80">422184*0.2</f>
        <v>84436.8</v>
      </c>
      <c r="Q2178" s="4589">
        <f t="shared" si="80"/>
        <v>84436.8</v>
      </c>
      <c r="R2178" s="1224" t="s">
        <v>4603</v>
      </c>
      <c r="S2178" s="4590">
        <v>45796</v>
      </c>
      <c r="T2178" s="4589">
        <f t="shared" si="80"/>
        <v>84436.8</v>
      </c>
      <c r="U2178" s="4590">
        <v>45787</v>
      </c>
      <c r="V2178" s="4589">
        <f>422184*0.2</f>
        <v>84436.8</v>
      </c>
      <c r="W2178" s="4590">
        <v>45795</v>
      </c>
      <c r="X2178" s="4585">
        <v>84436.8</v>
      </c>
      <c r="Y2178" s="4590">
        <v>45806</v>
      </c>
      <c r="Z2178" s="1224"/>
      <c r="AA2178" s="2123"/>
      <c r="AB2178" s="409"/>
      <c r="AC2178" s="2123"/>
      <c r="AD2178" s="1450"/>
      <c r="AE2178" s="1450"/>
      <c r="AF2178" s="1450"/>
      <c r="AG2178" s="1450"/>
      <c r="AH2178" s="1451"/>
      <c r="AI2178" s="1450"/>
    </row>
    <row r="2179" s="51" customFormat="1" ht="92.25" customHeight="1" spans="1:35">
      <c r="A2179" s="1273"/>
      <c r="B2179" s="4445"/>
      <c r="C2179" s="1273"/>
      <c r="D2179" s="409"/>
      <c r="E2179" s="1273"/>
      <c r="F2179" s="1274"/>
      <c r="G2179" s="1274"/>
      <c r="H2179" s="1274"/>
      <c r="I2179" s="1273"/>
      <c r="J2179" s="1273"/>
      <c r="K2179" s="4523"/>
      <c r="L2179" s="1273"/>
      <c r="M2179" s="1270" t="s">
        <v>7354</v>
      </c>
      <c r="N2179" s="1270" t="s">
        <v>7386</v>
      </c>
      <c r="O2179" s="1270" t="s">
        <v>7387</v>
      </c>
      <c r="P2179" s="4535">
        <f>422184*0.15</f>
        <v>63327.6</v>
      </c>
      <c r="Q2179" s="4589" t="s">
        <v>171</v>
      </c>
      <c r="R2179" s="1274" t="s">
        <v>7357</v>
      </c>
      <c r="S2179" s="4590" t="s">
        <v>171</v>
      </c>
      <c r="T2179" s="4589" t="s">
        <v>171</v>
      </c>
      <c r="U2179" s="4590" t="s">
        <v>171</v>
      </c>
      <c r="V2179" s="4588">
        <v>42218.4</v>
      </c>
      <c r="W2179" s="4590">
        <v>45831</v>
      </c>
      <c r="X2179" s="4588">
        <v>42218.4</v>
      </c>
      <c r="Y2179" s="4590">
        <v>45835</v>
      </c>
      <c r="Z2179" s="1224"/>
      <c r="AA2179" s="2123"/>
      <c r="AB2179" s="409"/>
      <c r="AC2179" s="2123"/>
      <c r="AD2179" s="1450"/>
      <c r="AE2179" s="1450"/>
      <c r="AF2179" s="1450"/>
      <c r="AG2179" s="1450"/>
      <c r="AH2179" s="1451"/>
      <c r="AI2179" s="1450"/>
    </row>
    <row r="2180" s="51" customFormat="1" ht="92.25" customHeight="1" spans="1:35">
      <c r="A2180" s="1273"/>
      <c r="B2180" s="4445"/>
      <c r="C2180" s="1273"/>
      <c r="D2180" s="409"/>
      <c r="E2180" s="1273"/>
      <c r="F2180" s="1274"/>
      <c r="G2180" s="1274"/>
      <c r="H2180" s="1274"/>
      <c r="I2180" s="1273"/>
      <c r="J2180" s="1273"/>
      <c r="K2180" s="4523"/>
      <c r="L2180" s="1273"/>
      <c r="M2180" s="2899"/>
      <c r="N2180" s="4536"/>
      <c r="O2180" s="2899"/>
      <c r="P2180" s="4537"/>
      <c r="Q2180" s="4591">
        <f>422184*0.05</f>
        <v>21109.2</v>
      </c>
      <c r="R2180" s="2971" t="s">
        <v>349</v>
      </c>
      <c r="S2180" s="2974">
        <v>46021</v>
      </c>
      <c r="T2180" s="4589"/>
      <c r="U2180" s="4590"/>
      <c r="V2180" s="4589"/>
      <c r="W2180" s="4590"/>
      <c r="X2180" s="1644">
        <v>21109.2</v>
      </c>
      <c r="Y2180" s="2974">
        <v>46052</v>
      </c>
      <c r="Z2180" s="1224"/>
      <c r="AA2180" s="2123"/>
      <c r="AB2180" s="409"/>
      <c r="AC2180" s="2123"/>
      <c r="AD2180" s="1450"/>
      <c r="AE2180" s="1450"/>
      <c r="AF2180" s="1450"/>
      <c r="AG2180" s="1450"/>
      <c r="AH2180" s="1451"/>
      <c r="AI2180" s="1450"/>
    </row>
    <row r="2181" s="51" customFormat="1" ht="92.25" customHeight="1" spans="1:35">
      <c r="A2181" s="1273"/>
      <c r="B2181" s="4445"/>
      <c r="C2181" s="1273"/>
      <c r="D2181" s="409"/>
      <c r="E2181" s="1273"/>
      <c r="F2181" s="1274"/>
      <c r="G2181" s="1274"/>
      <c r="H2181" s="1274"/>
      <c r="I2181" s="1273"/>
      <c r="J2181" s="1273"/>
      <c r="K2181" s="4523"/>
      <c r="L2181" s="1273"/>
      <c r="M2181" s="1274" t="s">
        <v>7354</v>
      </c>
      <c r="N2181" s="3056" t="s">
        <v>7388</v>
      </c>
      <c r="O2181" s="1274" t="s">
        <v>7389</v>
      </c>
      <c r="P2181" s="4534">
        <f>422184*0.05</f>
        <v>21109.2</v>
      </c>
      <c r="Q2181" s="4591">
        <v>21109.2</v>
      </c>
      <c r="R2181" s="2971" t="s">
        <v>349</v>
      </c>
      <c r="S2181" s="2974">
        <v>46203</v>
      </c>
      <c r="T2181" s="4589"/>
      <c r="U2181" s="4590"/>
      <c r="V2181" s="4589"/>
      <c r="W2181" s="4590"/>
      <c r="X2181" s="1644">
        <v>21109.2</v>
      </c>
      <c r="Y2181" s="2974">
        <v>46233</v>
      </c>
      <c r="Z2181" s="1224"/>
      <c r="AA2181" s="2123"/>
      <c r="AB2181" s="409"/>
      <c r="AC2181" s="2123"/>
      <c r="AD2181" s="1450"/>
      <c r="AE2181" s="1450"/>
      <c r="AF2181" s="1450"/>
      <c r="AG2181" s="1450"/>
      <c r="AH2181" s="1451"/>
      <c r="AI2181" s="1450"/>
    </row>
    <row r="2182" s="52" customFormat="1" ht="92.25" customHeight="1" spans="1:35">
      <c r="A2182" s="2784"/>
      <c r="B2182" s="4445"/>
      <c r="C2182" s="2784"/>
      <c r="D2182" s="409"/>
      <c r="E2182" s="2784"/>
      <c r="F2182" s="1381"/>
      <c r="G2182" s="1381"/>
      <c r="H2182" s="1381"/>
      <c r="I2182" s="2784"/>
      <c r="J2182" s="2784"/>
      <c r="K2182" s="4524"/>
      <c r="L2182" s="2784"/>
      <c r="M2182" s="2805" t="s">
        <v>7354</v>
      </c>
      <c r="N2182" s="2805" t="s">
        <v>7390</v>
      </c>
      <c r="O2182" s="2805" t="s">
        <v>7391</v>
      </c>
      <c r="P2182" s="4538">
        <f>358060*0.55</f>
        <v>196933</v>
      </c>
      <c r="Q2182" s="4592">
        <f>358060*0.2</f>
        <v>71612</v>
      </c>
      <c r="R2182" s="2520" t="s">
        <v>4603</v>
      </c>
      <c r="S2182" s="2668">
        <v>45796</v>
      </c>
      <c r="T2182" s="4592">
        <f>358060*0.2</f>
        <v>71612</v>
      </c>
      <c r="U2182" s="2668">
        <v>45787</v>
      </c>
      <c r="V2182" s="4592">
        <f>358060*0.2</f>
        <v>71612</v>
      </c>
      <c r="W2182" s="2668">
        <v>45795</v>
      </c>
      <c r="X2182" s="4627">
        <v>71612</v>
      </c>
      <c r="Y2182" s="2668">
        <v>45806</v>
      </c>
      <c r="Z2182" s="2520"/>
      <c r="AA2182" s="4662"/>
      <c r="AB2182" s="409"/>
      <c r="AC2182" s="4662"/>
      <c r="AD2182" s="4678"/>
      <c r="AE2182" s="4678"/>
      <c r="AF2182" s="4678"/>
      <c r="AG2182" s="4678"/>
      <c r="AH2182" s="4681"/>
      <c r="AI2182" s="4678"/>
    </row>
    <row r="2183" s="52" customFormat="1" ht="92.25" customHeight="1" spans="1:35">
      <c r="A2183" s="2784"/>
      <c r="B2183" s="4445"/>
      <c r="C2183" s="2784"/>
      <c r="D2183" s="409"/>
      <c r="E2183" s="2784"/>
      <c r="F2183" s="1381"/>
      <c r="G2183" s="1381"/>
      <c r="H2183" s="1381"/>
      <c r="I2183" s="2784"/>
      <c r="J2183" s="2784"/>
      <c r="K2183" s="4524"/>
      <c r="L2183" s="2784"/>
      <c r="M2183" s="2284"/>
      <c r="N2183" s="2284"/>
      <c r="O2183" s="2284"/>
      <c r="P2183" s="4539"/>
      <c r="Q2183" s="4593">
        <f>358060*0.35</f>
        <v>125321</v>
      </c>
      <c r="R2183" s="2835" t="s">
        <v>349</v>
      </c>
      <c r="S2183" s="2854">
        <v>46021</v>
      </c>
      <c r="T2183" s="4592"/>
      <c r="U2183" s="2668"/>
      <c r="V2183" s="1433"/>
      <c r="X2183" s="2814">
        <v>125321</v>
      </c>
      <c r="Y2183" s="2854">
        <v>46052</v>
      </c>
      <c r="Z2183" s="2520"/>
      <c r="AA2183" s="4662"/>
      <c r="AB2183" s="409"/>
      <c r="AC2183" s="4662"/>
      <c r="AD2183" s="4678"/>
      <c r="AE2183" s="4678"/>
      <c r="AF2183" s="4678"/>
      <c r="AG2183" s="4678"/>
      <c r="AH2183" s="4681"/>
      <c r="AI2183" s="4678"/>
    </row>
    <row r="2184" s="52" customFormat="1" ht="92.25" customHeight="1" spans="1:35">
      <c r="A2184" s="2784"/>
      <c r="B2184" s="4445"/>
      <c r="C2184" s="2784"/>
      <c r="D2184" s="409"/>
      <c r="E2184" s="2784"/>
      <c r="F2184" s="1381"/>
      <c r="G2184" s="1381"/>
      <c r="H2184" s="1381"/>
      <c r="I2184" s="2784"/>
      <c r="J2184" s="2784"/>
      <c r="K2184" s="4524"/>
      <c r="L2184" s="2784"/>
      <c r="M2184" s="1381" t="s">
        <v>7354</v>
      </c>
      <c r="N2184" s="2611" t="s">
        <v>7392</v>
      </c>
      <c r="O2184" s="1381" t="s">
        <v>7387</v>
      </c>
      <c r="P2184" s="4540">
        <f>358060*0.15</f>
        <v>53709</v>
      </c>
      <c r="Q2184" s="4593">
        <f>358060*0.15</f>
        <v>53709</v>
      </c>
      <c r="R2184" s="2835" t="s">
        <v>349</v>
      </c>
      <c r="S2184" s="2854">
        <v>46021</v>
      </c>
      <c r="T2184" s="4592"/>
      <c r="U2184" s="2668"/>
      <c r="V2184" s="1433"/>
      <c r="X2184" s="2814">
        <v>53709</v>
      </c>
      <c r="Y2184" s="2854">
        <v>46052</v>
      </c>
      <c r="Z2184" s="2520"/>
      <c r="AA2184" s="4662"/>
      <c r="AB2184" s="409"/>
      <c r="AC2184" s="4662"/>
      <c r="AD2184" s="4678"/>
      <c r="AE2184" s="4678"/>
      <c r="AF2184" s="4678"/>
      <c r="AG2184" s="4678"/>
      <c r="AH2184" s="4681"/>
      <c r="AI2184" s="4678"/>
    </row>
    <row r="2185" s="52" customFormat="1" ht="92.25" customHeight="1" spans="1:35">
      <c r="A2185" s="2784"/>
      <c r="B2185" s="4445"/>
      <c r="C2185" s="2784"/>
      <c r="D2185" s="409"/>
      <c r="E2185" s="2784"/>
      <c r="F2185" s="1381"/>
      <c r="G2185" s="1381"/>
      <c r="H2185" s="1381"/>
      <c r="I2185" s="2784"/>
      <c r="J2185" s="2784"/>
      <c r="K2185" s="4524"/>
      <c r="L2185" s="2784"/>
      <c r="M2185" s="1381" t="s">
        <v>7354</v>
      </c>
      <c r="N2185" s="2611" t="s">
        <v>7393</v>
      </c>
      <c r="O2185" s="1381" t="s">
        <v>7389</v>
      </c>
      <c r="P2185" s="4540">
        <f>358060*0.05</f>
        <v>17903</v>
      </c>
      <c r="Q2185" s="4593">
        <f>358060*0.05</f>
        <v>17903</v>
      </c>
      <c r="R2185" s="2835" t="s">
        <v>349</v>
      </c>
      <c r="S2185" s="2854">
        <v>46203</v>
      </c>
      <c r="T2185" s="4592"/>
      <c r="U2185" s="2668"/>
      <c r="V2185" s="1433"/>
      <c r="X2185" s="2814">
        <v>17903</v>
      </c>
      <c r="Y2185" s="2854">
        <v>46233</v>
      </c>
      <c r="Z2185" s="2520"/>
      <c r="AA2185" s="4662"/>
      <c r="AB2185" s="409"/>
      <c r="AC2185" s="4662"/>
      <c r="AD2185" s="4678"/>
      <c r="AE2185" s="4678"/>
      <c r="AF2185" s="4678"/>
      <c r="AG2185" s="4678"/>
      <c r="AH2185" s="4681"/>
      <c r="AI2185" s="4678"/>
    </row>
    <row r="2186" s="53" customFormat="1" ht="92.25" customHeight="1" spans="1:35">
      <c r="A2186" s="4508"/>
      <c r="B2186" s="4445"/>
      <c r="C2186" s="4508"/>
      <c r="D2186" s="409"/>
      <c r="E2186" s="4508"/>
      <c r="F2186" s="4515"/>
      <c r="G2186" s="4515"/>
      <c r="H2186" s="4515"/>
      <c r="I2186" s="4508"/>
      <c r="J2186" s="4508"/>
      <c r="K2186" s="4525"/>
      <c r="L2186" s="4508"/>
      <c r="M2186" s="4515" t="s">
        <v>7354</v>
      </c>
      <c r="N2186" s="4541" t="s">
        <v>7394</v>
      </c>
      <c r="O2186" s="4515" t="s">
        <v>7146</v>
      </c>
      <c r="P2186" s="4542">
        <f>356320*0+135000*0+150000*0+251940*0.05+358060*0.05+422184*0.05</f>
        <v>51609.2</v>
      </c>
      <c r="Q2186" s="4560"/>
      <c r="R2186" s="4594"/>
      <c r="S2186" s="4595"/>
      <c r="T2186" s="4560"/>
      <c r="U2186" s="4595"/>
      <c r="V2186" s="4628"/>
      <c r="X2186" s="4629"/>
      <c r="Y2186" s="4595"/>
      <c r="Z2186" s="4594"/>
      <c r="AA2186" s="4563"/>
      <c r="AB2186" s="409"/>
      <c r="AC2186" s="4563"/>
      <c r="AD2186" s="4643"/>
      <c r="AE2186" s="4643"/>
      <c r="AF2186" s="4643"/>
      <c r="AG2186" s="4643"/>
      <c r="AH2186" s="4682"/>
      <c r="AI2186" s="4643"/>
    </row>
    <row r="2187" s="53" customFormat="1" ht="92.25" customHeight="1" spans="1:35">
      <c r="A2187" s="4508"/>
      <c r="B2187" s="4445"/>
      <c r="C2187" s="4508"/>
      <c r="D2187" s="409"/>
      <c r="E2187" s="4508"/>
      <c r="F2187" s="4515"/>
      <c r="G2187" s="4515"/>
      <c r="H2187" s="4515"/>
      <c r="I2187" s="4508"/>
      <c r="J2187" s="4508"/>
      <c r="K2187" s="4525"/>
      <c r="L2187" s="4508"/>
      <c r="M2187" s="4513" t="s">
        <v>7354</v>
      </c>
      <c r="N2187" s="4543" t="s">
        <v>7395</v>
      </c>
      <c r="O2187" s="4513" t="s">
        <v>7147</v>
      </c>
      <c r="P2187" s="4544">
        <f>1673504*0.1</f>
        <v>167350.4</v>
      </c>
      <c r="Q2187" s="4560"/>
      <c r="R2187" s="4594"/>
      <c r="S2187" s="4595"/>
      <c r="T2187" s="4560"/>
      <c r="U2187" s="4595"/>
      <c r="V2187" s="4628"/>
      <c r="X2187" s="4629"/>
      <c r="Y2187" s="4595"/>
      <c r="Z2187" s="4594"/>
      <c r="AA2187" s="4563"/>
      <c r="AB2187" s="411"/>
      <c r="AC2187" s="4563"/>
      <c r="AD2187" s="4643"/>
      <c r="AE2187" s="4643"/>
      <c r="AF2187" s="4643"/>
      <c r="AG2187" s="4643"/>
      <c r="AH2187" s="4682"/>
      <c r="AI2187" s="4643"/>
    </row>
    <row r="2188" s="26" customFormat="1" ht="92" spans="1:35">
      <c r="A2188" s="2109" t="s">
        <v>1003</v>
      </c>
      <c r="B2188" s="4395">
        <v>45280</v>
      </c>
      <c r="C2188" s="2109" t="s">
        <v>7332</v>
      </c>
      <c r="D2188" s="1824" t="s">
        <v>171</v>
      </c>
      <c r="E2188" s="2109" t="s">
        <v>7396</v>
      </c>
      <c r="F2188" s="2109" t="s">
        <v>7397</v>
      </c>
      <c r="G2188" s="2109" t="s">
        <v>7398</v>
      </c>
      <c r="H2188" s="2109" t="s">
        <v>5074</v>
      </c>
      <c r="I2188" s="2109" t="s">
        <v>171</v>
      </c>
      <c r="J2188" s="2109"/>
      <c r="K2188" s="4401">
        <v>3189750</v>
      </c>
      <c r="L2188" s="2109" t="s">
        <v>126</v>
      </c>
      <c r="M2188" s="2109">
        <v>1</v>
      </c>
      <c r="N2188" s="2109" t="s">
        <v>5513</v>
      </c>
      <c r="O2188" s="2109" t="s">
        <v>3622</v>
      </c>
      <c r="P2188" s="4545">
        <f>3189750*0.15</f>
        <v>478462.5</v>
      </c>
      <c r="Q2188" s="1842">
        <v>478462.5</v>
      </c>
      <c r="R2188" s="1842" t="s">
        <v>4603</v>
      </c>
      <c r="S2188" s="1970">
        <v>45288</v>
      </c>
      <c r="T2188" s="1842">
        <v>478462.5</v>
      </c>
      <c r="U2188" s="1970">
        <v>45288</v>
      </c>
      <c r="V2188" s="1842">
        <v>478462.5</v>
      </c>
      <c r="W2188" s="4080">
        <v>45309</v>
      </c>
      <c r="X2188" s="4424">
        <v>478462.5</v>
      </c>
      <c r="Y2188" s="3602">
        <v>45320</v>
      </c>
      <c r="Z2188" s="1842"/>
      <c r="AA2188" s="4436"/>
      <c r="AB2188" s="4437"/>
      <c r="AC2188" s="4437"/>
      <c r="AD2188" s="2156"/>
      <c r="AE2188" s="2156"/>
      <c r="AF2188" s="2156"/>
      <c r="AG2188" s="2156"/>
      <c r="AH2188" s="2108"/>
      <c r="AI2188" s="2156"/>
    </row>
    <row r="2189" s="26" customFormat="1" ht="92" spans="1:35">
      <c r="A2189" s="2112"/>
      <c r="B2189" s="4393"/>
      <c r="C2189" s="2112"/>
      <c r="D2189" s="1824"/>
      <c r="E2189" s="2112"/>
      <c r="F2189" s="2112"/>
      <c r="G2189" s="2112"/>
      <c r="H2189" s="2112"/>
      <c r="I2189" s="2112"/>
      <c r="J2189" s="2112"/>
      <c r="K2189" s="4402"/>
      <c r="L2189" s="2112"/>
      <c r="M2189" s="2109">
        <v>2</v>
      </c>
      <c r="N2189" s="2109" t="s">
        <v>5514</v>
      </c>
      <c r="O2189" s="2109" t="s">
        <v>3704</v>
      </c>
      <c r="P2189" s="4545">
        <f>3189750*0.2</f>
        <v>637950</v>
      </c>
      <c r="Q2189" s="1842">
        <v>637950</v>
      </c>
      <c r="R2189" s="1842" t="s">
        <v>4603</v>
      </c>
      <c r="S2189" s="1970">
        <v>45288</v>
      </c>
      <c r="T2189" s="1842">
        <v>637950</v>
      </c>
      <c r="U2189" s="1970">
        <v>45288</v>
      </c>
      <c r="V2189" s="2154">
        <v>637950</v>
      </c>
      <c r="W2189" s="4080">
        <v>45309</v>
      </c>
      <c r="X2189" s="4630">
        <v>637950</v>
      </c>
      <c r="Y2189" s="3602">
        <v>45320</v>
      </c>
      <c r="Z2189" s="1842"/>
      <c r="AA2189" s="4436"/>
      <c r="AB2189" s="4437"/>
      <c r="AC2189" s="4437"/>
      <c r="AD2189" s="2156"/>
      <c r="AE2189" s="2156"/>
      <c r="AF2189" s="2156"/>
      <c r="AG2189" s="2156"/>
      <c r="AH2189" s="2108"/>
      <c r="AI2189" s="2156"/>
    </row>
    <row r="2190" s="26" customFormat="1" ht="76" spans="1:35">
      <c r="A2190" s="2112"/>
      <c r="B2190" s="4393"/>
      <c r="C2190" s="2112"/>
      <c r="D2190" s="1824"/>
      <c r="E2190" s="2112"/>
      <c r="F2190" s="2112"/>
      <c r="G2190" s="2112"/>
      <c r="H2190" s="2112"/>
      <c r="I2190" s="2112"/>
      <c r="J2190" s="2112"/>
      <c r="K2190" s="4402"/>
      <c r="L2190" s="2112"/>
      <c r="M2190" s="2109">
        <v>3</v>
      </c>
      <c r="N2190" s="2109" t="s">
        <v>5515</v>
      </c>
      <c r="O2190" s="2109" t="s">
        <v>7261</v>
      </c>
      <c r="P2190" s="4545">
        <f>3189750*0.15</f>
        <v>478462.5</v>
      </c>
      <c r="Q2190" s="2154">
        <v>478462.5</v>
      </c>
      <c r="R2190" s="2154" t="s">
        <v>4603</v>
      </c>
      <c r="S2190" s="2155">
        <v>45288</v>
      </c>
      <c r="T2190" s="1790">
        <f>3189750*0.05</f>
        <v>159487.5</v>
      </c>
      <c r="U2190" s="1791">
        <v>45288</v>
      </c>
      <c r="V2190" s="1790">
        <f>3189750*0.05</f>
        <v>159487.5</v>
      </c>
      <c r="W2190" s="2050">
        <v>45510</v>
      </c>
      <c r="X2190" s="2194">
        <f>3189750*0.05</f>
        <v>159487.5</v>
      </c>
      <c r="Y2190" s="1791">
        <v>45533</v>
      </c>
      <c r="Z2190" s="1842"/>
      <c r="AA2190" s="4663" t="s">
        <v>7336</v>
      </c>
      <c r="AB2190" s="4664" t="s">
        <v>7399</v>
      </c>
      <c r="AC2190" s="4663"/>
      <c r="AD2190" s="2156"/>
      <c r="AE2190" s="2156"/>
      <c r="AF2190" s="2156"/>
      <c r="AG2190" s="2156"/>
      <c r="AH2190" s="2108"/>
      <c r="AI2190" s="2156"/>
    </row>
    <row r="2191" s="26" customFormat="1" ht="39.75" customHeight="1" spans="1:35">
      <c r="A2191" s="2112"/>
      <c r="B2191" s="4393"/>
      <c r="C2191" s="2112"/>
      <c r="D2191" s="1824"/>
      <c r="E2191" s="2112"/>
      <c r="F2191" s="2112"/>
      <c r="G2191" s="2112"/>
      <c r="H2191" s="2112"/>
      <c r="I2191" s="2112"/>
      <c r="J2191" s="2112"/>
      <c r="K2191" s="4402"/>
      <c r="L2191" s="2112"/>
      <c r="M2191" s="2112"/>
      <c r="N2191" s="2112"/>
      <c r="O2191" s="2112"/>
      <c r="P2191" s="4546"/>
      <c r="Q2191" s="1842"/>
      <c r="R2191" s="1842"/>
      <c r="S2191" s="1970"/>
      <c r="T2191" s="1825">
        <v>318975</v>
      </c>
      <c r="U2191" s="1791">
        <v>45288</v>
      </c>
      <c r="V2191" s="1790">
        <v>318975</v>
      </c>
      <c r="W2191" s="2050">
        <v>45614</v>
      </c>
      <c r="X2191" s="2151">
        <f>Q2190-X2190</f>
        <v>318975</v>
      </c>
      <c r="Y2191" s="1791">
        <v>45624</v>
      </c>
      <c r="Z2191" s="1842"/>
      <c r="AA2191" s="4663"/>
      <c r="AB2191" s="4664"/>
      <c r="AC2191" s="4663"/>
      <c r="AD2191" s="2156"/>
      <c r="AE2191" s="2156"/>
      <c r="AF2191" s="2156"/>
      <c r="AG2191" s="2156"/>
      <c r="AH2191" s="2108"/>
      <c r="AI2191" s="2156"/>
    </row>
    <row r="2192" s="26" customFormat="1" ht="76" spans="1:35">
      <c r="A2192" s="2112"/>
      <c r="B2192" s="4393"/>
      <c r="C2192" s="2112"/>
      <c r="D2192" s="1824"/>
      <c r="E2192" s="2112"/>
      <c r="F2192" s="2112"/>
      <c r="G2192" s="2112"/>
      <c r="H2192" s="2112"/>
      <c r="I2192" s="2112"/>
      <c r="J2192" s="2112"/>
      <c r="K2192" s="4402"/>
      <c r="L2192" s="2112"/>
      <c r="M2192" s="2109">
        <v>4</v>
      </c>
      <c r="N2192" s="2109" t="s">
        <v>5516</v>
      </c>
      <c r="O2192" s="2109" t="s">
        <v>3708</v>
      </c>
      <c r="P2192" s="4545">
        <f t="shared" ref="P2192:T2192" si="81">3189750*0.3</f>
        <v>956925</v>
      </c>
      <c r="Q2192" s="4545">
        <f t="shared" si="81"/>
        <v>956925</v>
      </c>
      <c r="R2192" s="2152" t="s">
        <v>4603</v>
      </c>
      <c r="S2192" s="2155">
        <v>45288</v>
      </c>
      <c r="T2192" s="4545">
        <f t="shared" si="81"/>
        <v>956925</v>
      </c>
      <c r="U2192" s="2155">
        <v>45288</v>
      </c>
      <c r="V2192" s="1825">
        <f t="shared" ref="V2192:V2195" si="82">3189750*0.1</f>
        <v>318975</v>
      </c>
      <c r="W2192" s="3602">
        <v>45642</v>
      </c>
      <c r="X2192" s="2151">
        <f>3189750*0.1</f>
        <v>318975</v>
      </c>
      <c r="Y2192" s="1791">
        <v>45650</v>
      </c>
      <c r="Z2192" s="1842"/>
      <c r="AA2192" s="4663" t="s">
        <v>7336</v>
      </c>
      <c r="AB2192" s="4437"/>
      <c r="AC2192" s="4663"/>
      <c r="AD2192" s="2156"/>
      <c r="AE2192" s="2156"/>
      <c r="AF2192" s="2156"/>
      <c r="AG2192" s="2156"/>
      <c r="AH2192" s="2108"/>
      <c r="AI2192" s="2156"/>
    </row>
    <row r="2193" s="26" customFormat="1" spans="1:35">
      <c r="A2193" s="2112"/>
      <c r="B2193" s="4393"/>
      <c r="C2193" s="2112"/>
      <c r="D2193" s="1824"/>
      <c r="E2193" s="2112"/>
      <c r="F2193" s="2112"/>
      <c r="G2193" s="2112"/>
      <c r="H2193" s="2112"/>
      <c r="I2193" s="2112"/>
      <c r="J2193" s="2112"/>
      <c r="K2193" s="4402"/>
      <c r="L2193" s="2112"/>
      <c r="M2193" s="2112"/>
      <c r="N2193" s="2112"/>
      <c r="O2193" s="2112"/>
      <c r="P2193" s="4546"/>
      <c r="Q2193" s="4546"/>
      <c r="R2193" s="2154"/>
      <c r="S2193" s="2155"/>
      <c r="T2193" s="4546"/>
      <c r="U2193" s="2155"/>
      <c r="V2193" s="1790">
        <f t="shared" si="82"/>
        <v>318975</v>
      </c>
      <c r="W2193" s="2195">
        <v>45338</v>
      </c>
      <c r="X2193" s="2200">
        <f>X2192/2</f>
        <v>159487.5</v>
      </c>
      <c r="Y2193" s="1791">
        <v>45716</v>
      </c>
      <c r="Z2193" s="1842"/>
      <c r="AA2193" s="4663"/>
      <c r="AB2193" s="4437"/>
      <c r="AC2193" s="4663"/>
      <c r="AD2193" s="2156"/>
      <c r="AE2193" s="2156"/>
      <c r="AF2193" s="2156"/>
      <c r="AG2193" s="2156"/>
      <c r="AH2193" s="2108"/>
      <c r="AI2193" s="2156"/>
    </row>
    <row r="2194" s="26" customFormat="1" spans="1:35">
      <c r="A2194" s="2112"/>
      <c r="B2194" s="4393"/>
      <c r="C2194" s="2112"/>
      <c r="D2194" s="1824"/>
      <c r="E2194" s="2112"/>
      <c r="F2194" s="2112"/>
      <c r="G2194" s="2112"/>
      <c r="H2194" s="2112"/>
      <c r="I2194" s="2112"/>
      <c r="J2194" s="2112"/>
      <c r="K2194" s="4402"/>
      <c r="L2194" s="2112"/>
      <c r="M2194" s="2112"/>
      <c r="N2194" s="2112"/>
      <c r="O2194" s="2112"/>
      <c r="P2194" s="4546"/>
      <c r="Q2194" s="4546"/>
      <c r="R2194" s="2154"/>
      <c r="S2194" s="2155"/>
      <c r="T2194" s="4546"/>
      <c r="U2194" s="2155"/>
      <c r="V2194" s="1790"/>
      <c r="W2194" s="2198"/>
      <c r="X2194" s="4422">
        <v>159487.5</v>
      </c>
      <c r="Y2194" s="1791">
        <v>45744</v>
      </c>
      <c r="Z2194" s="1842"/>
      <c r="AA2194" s="4663"/>
      <c r="AB2194" s="4437"/>
      <c r="AC2194" s="4663"/>
      <c r="AD2194" s="2156"/>
      <c r="AE2194" s="2156"/>
      <c r="AF2194" s="2156"/>
      <c r="AG2194" s="2156"/>
      <c r="AH2194" s="2108"/>
      <c r="AI2194" s="2156"/>
    </row>
    <row r="2195" s="26" customFormat="1" spans="1:35">
      <c r="A2195" s="2112"/>
      <c r="B2195" s="4393"/>
      <c r="C2195" s="2112"/>
      <c r="D2195" s="1824"/>
      <c r="E2195" s="2112"/>
      <c r="F2195" s="2112"/>
      <c r="G2195" s="2112"/>
      <c r="H2195" s="2112"/>
      <c r="I2195" s="2112"/>
      <c r="J2195" s="2112"/>
      <c r="K2195" s="4402"/>
      <c r="L2195" s="2112"/>
      <c r="M2195" s="2112"/>
      <c r="N2195" s="2112"/>
      <c r="O2195" s="2112"/>
      <c r="P2195" s="4546"/>
      <c r="Q2195" s="4546"/>
      <c r="R2195" s="2154"/>
      <c r="S2195" s="2155"/>
      <c r="T2195" s="4546"/>
      <c r="U2195" s="2155"/>
      <c r="V2195" s="1790">
        <f t="shared" si="82"/>
        <v>318975</v>
      </c>
      <c r="W2195" s="2050">
        <v>45797</v>
      </c>
      <c r="X2195" s="2200">
        <v>159487.5</v>
      </c>
      <c r="Y2195" s="1791">
        <v>45806</v>
      </c>
      <c r="Z2195" s="1842"/>
      <c r="AA2195" s="4663"/>
      <c r="AB2195" s="4437"/>
      <c r="AC2195" s="4663"/>
      <c r="AD2195" s="2156"/>
      <c r="AE2195" s="2156"/>
      <c r="AF2195" s="2156"/>
      <c r="AG2195" s="2156"/>
      <c r="AH2195" s="2108"/>
      <c r="AI2195" s="2156"/>
    </row>
    <row r="2196" s="26" customFormat="1" spans="1:35">
      <c r="A2196" s="2112"/>
      <c r="B2196" s="4393"/>
      <c r="C2196" s="2112"/>
      <c r="D2196" s="1824"/>
      <c r="E2196" s="2112"/>
      <c r="F2196" s="2112"/>
      <c r="G2196" s="2112"/>
      <c r="H2196" s="2112"/>
      <c r="I2196" s="2112"/>
      <c r="J2196" s="2112"/>
      <c r="K2196" s="4402"/>
      <c r="L2196" s="2112"/>
      <c r="M2196" s="2112"/>
      <c r="N2196" s="2112"/>
      <c r="O2196" s="2112"/>
      <c r="P2196" s="4546"/>
      <c r="Q2196" s="4596"/>
      <c r="R2196" s="1842"/>
      <c r="S2196" s="1970"/>
      <c r="T2196" s="4596"/>
      <c r="U2196" s="1970"/>
      <c r="V2196" s="1790"/>
      <c r="W2196" s="3602">
        <v>46001</v>
      </c>
      <c r="X2196" s="4631">
        <v>159487.5</v>
      </c>
      <c r="Y2196" s="1973">
        <v>46021</v>
      </c>
      <c r="Z2196" s="1842"/>
      <c r="AA2196" s="4663"/>
      <c r="AB2196" s="4437"/>
      <c r="AC2196" s="4663"/>
      <c r="AD2196" s="2156"/>
      <c r="AE2196" s="2156"/>
      <c r="AF2196" s="2156"/>
      <c r="AG2196" s="2156"/>
      <c r="AH2196" s="2108"/>
      <c r="AI2196" s="2156"/>
    </row>
    <row r="2197" s="26" customFormat="1" ht="76" spans="1:35">
      <c r="A2197" s="2112"/>
      <c r="B2197" s="4393"/>
      <c r="C2197" s="2112"/>
      <c r="D2197" s="1824"/>
      <c r="E2197" s="2112"/>
      <c r="F2197" s="2112"/>
      <c r="G2197" s="2112"/>
      <c r="H2197" s="2112"/>
      <c r="I2197" s="2112"/>
      <c r="J2197" s="2112"/>
      <c r="K2197" s="4402"/>
      <c r="L2197" s="2112"/>
      <c r="M2197" s="2109">
        <v>5</v>
      </c>
      <c r="N2197" s="2109" t="s">
        <v>5517</v>
      </c>
      <c r="O2197" s="2109" t="s">
        <v>7262</v>
      </c>
      <c r="P2197" s="4545">
        <f>3189750*0.05</f>
        <v>159487.5</v>
      </c>
      <c r="Q2197" s="4419">
        <f>3189750*0.05</f>
        <v>159487.5</v>
      </c>
      <c r="R2197" s="4597" t="s">
        <v>349</v>
      </c>
      <c r="S2197" s="1973">
        <v>46021</v>
      </c>
      <c r="T2197" s="1825"/>
      <c r="U2197" s="1791"/>
      <c r="V2197" s="1790"/>
      <c r="W2197" s="2050"/>
      <c r="X2197" s="4632">
        <f>3189750*0.05</f>
        <v>159487.5</v>
      </c>
      <c r="Y2197" s="1973">
        <v>46052</v>
      </c>
      <c r="Z2197" s="1842"/>
      <c r="AA2197" s="4436"/>
      <c r="AB2197" s="4437"/>
      <c r="AC2197" s="4437"/>
      <c r="AD2197" s="2156"/>
      <c r="AE2197" s="2156"/>
      <c r="AF2197" s="2156"/>
      <c r="AG2197" s="2156"/>
      <c r="AH2197" s="2108"/>
      <c r="AI2197" s="2156"/>
    </row>
    <row r="2198" s="26" customFormat="1" ht="76" spans="1:35">
      <c r="A2198" s="2112"/>
      <c r="B2198" s="4393"/>
      <c r="C2198" s="2112"/>
      <c r="D2198" s="1824"/>
      <c r="E2198" s="2112"/>
      <c r="F2198" s="2112"/>
      <c r="G2198" s="2112"/>
      <c r="H2198" s="2112"/>
      <c r="I2198" s="2112"/>
      <c r="J2198" s="2112"/>
      <c r="K2198" s="4402"/>
      <c r="L2198" s="2112"/>
      <c r="M2198" s="2109">
        <v>6</v>
      </c>
      <c r="N2198" s="2109" t="s">
        <v>3634</v>
      </c>
      <c r="O2198" s="2109" t="s">
        <v>7263</v>
      </c>
      <c r="P2198" s="4545">
        <f>3189750*0.05</f>
        <v>159487.5</v>
      </c>
      <c r="Q2198" s="4419">
        <f>3189750*0.05</f>
        <v>159487.5</v>
      </c>
      <c r="R2198" s="4597" t="s">
        <v>5015</v>
      </c>
      <c r="S2198" s="4420">
        <v>46386</v>
      </c>
      <c r="T2198" s="1825"/>
      <c r="U2198" s="1791"/>
      <c r="V2198" s="1790"/>
      <c r="W2198" s="2050"/>
      <c r="X2198" s="4632">
        <f>3189750*0.05</f>
        <v>159487.5</v>
      </c>
      <c r="Y2198" s="1973">
        <v>46751</v>
      </c>
      <c r="Z2198" s="1842"/>
      <c r="AA2198" s="4436"/>
      <c r="AB2198" s="4437"/>
      <c r="AC2198" s="4437"/>
      <c r="AD2198" s="2156"/>
      <c r="AE2198" s="2156"/>
      <c r="AF2198" s="2156"/>
      <c r="AG2198" s="2156"/>
      <c r="AH2198" s="2108"/>
      <c r="AI2198" s="2156"/>
    </row>
    <row r="2199" s="26" customFormat="1" ht="92" spans="1:35">
      <c r="A2199" s="1969"/>
      <c r="B2199" s="4394"/>
      <c r="C2199" s="1969"/>
      <c r="D2199" s="1824"/>
      <c r="E2199" s="1969"/>
      <c r="F2199" s="1969"/>
      <c r="G2199" s="1969"/>
      <c r="H2199" s="1969"/>
      <c r="I2199" s="1969"/>
      <c r="J2199" s="1969"/>
      <c r="K2199" s="4403"/>
      <c r="L2199" s="1969"/>
      <c r="M2199" s="2109">
        <v>7</v>
      </c>
      <c r="N2199" s="2109" t="s">
        <v>3356</v>
      </c>
      <c r="O2199" s="2109" t="s">
        <v>7264</v>
      </c>
      <c r="P2199" s="4545">
        <f>3189750*0.1</f>
        <v>318975</v>
      </c>
      <c r="Q2199" s="2154"/>
      <c r="R2199" s="2154"/>
      <c r="S2199" s="2155"/>
      <c r="T2199" s="1825"/>
      <c r="U2199" s="1791"/>
      <c r="V2199" s="1790"/>
      <c r="W2199" s="2050"/>
      <c r="X2199" s="2151"/>
      <c r="Y2199" s="1791"/>
      <c r="Z2199" s="1842"/>
      <c r="AA2199" s="4436"/>
      <c r="AB2199" s="4437"/>
      <c r="AC2199" s="4437"/>
      <c r="AD2199" s="2156"/>
      <c r="AE2199" s="2156"/>
      <c r="AF2199" s="2156"/>
      <c r="AG2199" s="2156"/>
      <c r="AH2199" s="2108"/>
      <c r="AI2199" s="2156"/>
    </row>
    <row r="2200" s="54" customFormat="1" ht="61.5" customHeight="1" spans="1:35">
      <c r="A2200" s="4509" t="s">
        <v>1003</v>
      </c>
      <c r="B2200" s="4510">
        <v>45257</v>
      </c>
      <c r="C2200" s="4509" t="s">
        <v>7332</v>
      </c>
      <c r="D2200" s="4509" t="s">
        <v>171</v>
      </c>
      <c r="E2200" s="4509" t="s">
        <v>7400</v>
      </c>
      <c r="F2200" s="4509" t="s">
        <v>7401</v>
      </c>
      <c r="G2200" s="4509" t="s">
        <v>3736</v>
      </c>
      <c r="H2200" s="4509" t="s">
        <v>5136</v>
      </c>
      <c r="I2200" s="4509" t="s">
        <v>7402</v>
      </c>
      <c r="J2200" s="4509" t="s">
        <v>7403</v>
      </c>
      <c r="K2200" s="4526">
        <v>686800</v>
      </c>
      <c r="L2200" s="4509" t="s">
        <v>126</v>
      </c>
      <c r="M2200" s="4547">
        <v>1</v>
      </c>
      <c r="N2200" s="4548" t="s">
        <v>7404</v>
      </c>
      <c r="O2200" s="4548" t="s">
        <v>7405</v>
      </c>
      <c r="P2200" s="4549">
        <f>686800*0.15</f>
        <v>103020</v>
      </c>
      <c r="Q2200" s="2558">
        <f t="shared" ref="Q2200:V2200" si="83">387600*0.15</f>
        <v>58140</v>
      </c>
      <c r="R2200" s="2558" t="s">
        <v>4603</v>
      </c>
      <c r="S2200" s="2741">
        <v>45279</v>
      </c>
      <c r="T2200" s="2558">
        <f t="shared" si="83"/>
        <v>58140</v>
      </c>
      <c r="U2200" s="2741">
        <v>45279</v>
      </c>
      <c r="V2200" s="2558">
        <f t="shared" si="83"/>
        <v>58140</v>
      </c>
      <c r="W2200" s="2741">
        <v>45279</v>
      </c>
      <c r="X2200" s="2703">
        <f>387600*0.15</f>
        <v>58140</v>
      </c>
      <c r="Y2200" s="2741">
        <v>45282</v>
      </c>
      <c r="Z2200" s="2797"/>
      <c r="AA2200" s="4665" t="s">
        <v>7406</v>
      </c>
      <c r="AB2200" s="4666"/>
      <c r="AC2200" s="4666"/>
      <c r="AD2200" s="4679"/>
      <c r="AE2200" s="4679"/>
      <c r="AF2200" s="4679"/>
      <c r="AG2200" s="4679"/>
      <c r="AH2200" s="4683"/>
      <c r="AI2200" s="4679"/>
    </row>
    <row r="2201" s="54" customFormat="1" ht="51" customHeight="1" spans="1:35">
      <c r="A2201" s="4509"/>
      <c r="B2201" s="4511"/>
      <c r="C2201" s="4509"/>
      <c r="D2201" s="4509"/>
      <c r="E2201" s="4509"/>
      <c r="F2201" s="4509"/>
      <c r="G2201" s="4509"/>
      <c r="H2201" s="4509"/>
      <c r="I2201" s="4509"/>
      <c r="J2201" s="4509"/>
      <c r="K2201" s="4526"/>
      <c r="L2201" s="4509"/>
      <c r="M2201" s="4550"/>
      <c r="N2201" s="4551"/>
      <c r="O2201" s="4551"/>
      <c r="P2201" s="4552"/>
      <c r="Q2201" s="4598">
        <f t="shared" ref="Q2201:V2201" si="84">299200*0.15</f>
        <v>44880</v>
      </c>
      <c r="R2201" s="4599" t="s">
        <v>4603</v>
      </c>
      <c r="S2201" s="4600">
        <v>45397</v>
      </c>
      <c r="T2201" s="4599">
        <f t="shared" si="84"/>
        <v>44880</v>
      </c>
      <c r="U2201" s="4600">
        <v>45397</v>
      </c>
      <c r="V2201" s="4599">
        <f t="shared" si="84"/>
        <v>44880</v>
      </c>
      <c r="W2201" s="4600">
        <v>45407</v>
      </c>
      <c r="X2201" s="4633">
        <v>44880</v>
      </c>
      <c r="Y2201" s="4600">
        <v>45412</v>
      </c>
      <c r="Z2201" s="4608"/>
      <c r="AA2201" s="4605" t="s">
        <v>7407</v>
      </c>
      <c r="AB2201" s="4666"/>
      <c r="AC2201" s="4666"/>
      <c r="AD2201" s="4679"/>
      <c r="AE2201" s="4679"/>
      <c r="AF2201" s="4679"/>
      <c r="AG2201" s="4679"/>
      <c r="AH2201" s="4683"/>
      <c r="AI2201" s="4679"/>
    </row>
    <row r="2202" s="54" customFormat="1" ht="64.5" customHeight="1" spans="1:35">
      <c r="A2202" s="4509"/>
      <c r="B2202" s="4511"/>
      <c r="C2202" s="4509"/>
      <c r="D2202" s="4509"/>
      <c r="E2202" s="4509"/>
      <c r="F2202" s="4509"/>
      <c r="G2202" s="4509"/>
      <c r="H2202" s="4520"/>
      <c r="I2202" s="4509"/>
      <c r="J2202" s="4509"/>
      <c r="K2202" s="4526"/>
      <c r="L2202" s="4509"/>
      <c r="M2202" s="4547">
        <v>2</v>
      </c>
      <c r="N2202" s="4548" t="s">
        <v>7408</v>
      </c>
      <c r="O2202" s="4548" t="s">
        <v>7409</v>
      </c>
      <c r="P2202" s="4549">
        <f>686800*0.25</f>
        <v>171700</v>
      </c>
      <c r="Q2202" s="2797">
        <f t="shared" ref="Q2202:V2202" si="85">387600*0.25</f>
        <v>96900</v>
      </c>
      <c r="R2202" s="2797" t="s">
        <v>4603</v>
      </c>
      <c r="S2202" s="4601">
        <v>45279</v>
      </c>
      <c r="T2202" s="2797">
        <f t="shared" si="85"/>
        <v>96900</v>
      </c>
      <c r="U2202" s="4601">
        <v>45279</v>
      </c>
      <c r="V2202" s="2797">
        <f t="shared" si="85"/>
        <v>96900</v>
      </c>
      <c r="W2202" s="4601">
        <v>45279</v>
      </c>
      <c r="X2202" s="4634">
        <f>387600*0.25</f>
        <v>96900</v>
      </c>
      <c r="Y2202" s="4601">
        <v>45282</v>
      </c>
      <c r="Z2202" s="2797"/>
      <c r="AA2202" s="4665" t="s">
        <v>7406</v>
      </c>
      <c r="AB2202" s="4666"/>
      <c r="AC2202" s="4666"/>
      <c r="AD2202" s="4679"/>
      <c r="AE2202" s="4679"/>
      <c r="AF2202" s="4679"/>
      <c r="AG2202" s="4679"/>
      <c r="AH2202" s="4683"/>
      <c r="AI2202" s="4679"/>
    </row>
    <row r="2203" s="51" customFormat="1" ht="64.5" customHeight="1" spans="1:35">
      <c r="A2203" s="1274"/>
      <c r="B2203" s="4511"/>
      <c r="C2203" s="1274"/>
      <c r="D2203" s="4509"/>
      <c r="E2203" s="1274"/>
      <c r="F2203" s="1274"/>
      <c r="G2203" s="1274"/>
      <c r="H2203" s="3249"/>
      <c r="I2203" s="4509"/>
      <c r="J2203" s="4509"/>
      <c r="K2203" s="1672"/>
      <c r="L2203" s="1274"/>
      <c r="M2203" s="1451"/>
      <c r="N2203" s="1273"/>
      <c r="O2203" s="1273"/>
      <c r="P2203" s="4553"/>
      <c r="Q2203" s="4602">
        <f>299200*0.2</f>
        <v>59840</v>
      </c>
      <c r="R2203" s="4603" t="s">
        <v>4603</v>
      </c>
      <c r="S2203" s="4600">
        <v>45434</v>
      </c>
      <c r="T2203" s="4603">
        <v>59840</v>
      </c>
      <c r="U2203" s="4600">
        <v>45434</v>
      </c>
      <c r="V2203" s="4603">
        <v>59840</v>
      </c>
      <c r="W2203" s="4600">
        <v>45434</v>
      </c>
      <c r="X2203" s="4633">
        <f>299200*0.2</f>
        <v>59840</v>
      </c>
      <c r="Y2203" s="4600">
        <v>45441</v>
      </c>
      <c r="Z2203" s="4605"/>
      <c r="AA2203" s="4605" t="s">
        <v>7407</v>
      </c>
      <c r="AB2203" s="4667"/>
      <c r="AC2203" s="4667"/>
      <c r="AD2203" s="1450"/>
      <c r="AE2203" s="1450"/>
      <c r="AF2203" s="1450"/>
      <c r="AG2203" s="1450"/>
      <c r="AH2203" s="1451"/>
      <c r="AI2203" s="1450"/>
    </row>
    <row r="2204" s="51" customFormat="1" ht="40.5" customHeight="1" spans="1:35">
      <c r="A2204" s="1274"/>
      <c r="B2204" s="4511"/>
      <c r="C2204" s="1274"/>
      <c r="D2204" s="4509"/>
      <c r="E2204" s="1274"/>
      <c r="F2204" s="1274"/>
      <c r="G2204" s="1274"/>
      <c r="H2204" s="3249"/>
      <c r="I2204" s="4509"/>
      <c r="J2204" s="4509"/>
      <c r="K2204" s="1672"/>
      <c r="L2204" s="1274"/>
      <c r="M2204" s="1453"/>
      <c r="N2204" s="2899"/>
      <c r="O2204" s="2899"/>
      <c r="P2204" s="4554"/>
      <c r="Q2204" s="4604">
        <f>299200*0.05</f>
        <v>14960</v>
      </c>
      <c r="R2204" s="4605" t="s">
        <v>4603</v>
      </c>
      <c r="S2204" s="4606">
        <v>45473</v>
      </c>
      <c r="T2204" s="4605">
        <f>299200*0.05</f>
        <v>14960</v>
      </c>
      <c r="U2204" s="4606">
        <v>45473</v>
      </c>
      <c r="V2204" s="4605">
        <v>14960</v>
      </c>
      <c r="W2204" s="4600">
        <v>45511</v>
      </c>
      <c r="X2204" s="4635">
        <v>14960</v>
      </c>
      <c r="Y2204" s="4600">
        <v>45533</v>
      </c>
      <c r="Z2204" s="4605"/>
      <c r="AA2204" s="4605" t="s">
        <v>7407</v>
      </c>
      <c r="AB2204" s="4667"/>
      <c r="AC2204" s="4667"/>
      <c r="AD2204" s="1450"/>
      <c r="AE2204" s="1450"/>
      <c r="AF2204" s="1450"/>
      <c r="AG2204" s="1450"/>
      <c r="AH2204" s="1451"/>
      <c r="AI2204" s="1450"/>
    </row>
    <row r="2205" s="54" customFormat="1" ht="39.75" customHeight="1" spans="1:35">
      <c r="A2205" s="4509"/>
      <c r="B2205" s="4511"/>
      <c r="C2205" s="4509"/>
      <c r="D2205" s="4509"/>
      <c r="E2205" s="4509"/>
      <c r="F2205" s="4509"/>
      <c r="G2205" s="4509"/>
      <c r="H2205" s="4520"/>
      <c r="I2205" s="4509"/>
      <c r="J2205" s="4509"/>
      <c r="K2205" s="4526"/>
      <c r="L2205" s="4509"/>
      <c r="M2205" s="4547">
        <v>3</v>
      </c>
      <c r="N2205" s="4548" t="s">
        <v>7410</v>
      </c>
      <c r="O2205" s="4548" t="s">
        <v>7411</v>
      </c>
      <c r="P2205" s="4549">
        <f>686800*0.1</f>
        <v>68680</v>
      </c>
      <c r="Q2205" s="2797">
        <f t="shared" ref="Q2205:V2205" si="86">387600*0.1</f>
        <v>38760</v>
      </c>
      <c r="R2205" s="2797" t="s">
        <v>4603</v>
      </c>
      <c r="S2205" s="4601">
        <v>45279</v>
      </c>
      <c r="T2205" s="2797">
        <f t="shared" si="86"/>
        <v>38760</v>
      </c>
      <c r="U2205" s="4601">
        <v>45279</v>
      </c>
      <c r="V2205" s="2797">
        <f t="shared" si="86"/>
        <v>38760</v>
      </c>
      <c r="W2205" s="4601">
        <v>45279</v>
      </c>
      <c r="X2205" s="4634">
        <f>387600*0.1</f>
        <v>38760</v>
      </c>
      <c r="Y2205" s="4601">
        <v>45282</v>
      </c>
      <c r="Z2205" s="2797"/>
      <c r="AA2205" s="4665" t="s">
        <v>7406</v>
      </c>
      <c r="AB2205" s="4666"/>
      <c r="AC2205" s="4666"/>
      <c r="AD2205" s="4679"/>
      <c r="AE2205" s="4679"/>
      <c r="AF2205" s="4679"/>
      <c r="AG2205" s="4679"/>
      <c r="AH2205" s="4683"/>
      <c r="AI2205" s="4679"/>
    </row>
    <row r="2206" s="54" customFormat="1" ht="59.25" customHeight="1" spans="1:35">
      <c r="A2206" s="4509"/>
      <c r="B2206" s="4511"/>
      <c r="C2206" s="4509"/>
      <c r="D2206" s="4509"/>
      <c r="E2206" s="4509"/>
      <c r="F2206" s="4509"/>
      <c r="G2206" s="4509"/>
      <c r="H2206" s="4520"/>
      <c r="I2206" s="4509"/>
      <c r="J2206" s="4509"/>
      <c r="K2206" s="4526"/>
      <c r="L2206" s="4509"/>
      <c r="M2206" s="4550"/>
      <c r="N2206" s="4551"/>
      <c r="O2206" s="4551"/>
      <c r="P2206" s="4552"/>
      <c r="Q2206" s="4607">
        <f>299200*0.1</f>
        <v>29920</v>
      </c>
      <c r="R2206" s="4605" t="s">
        <v>4603</v>
      </c>
      <c r="S2206" s="4606">
        <v>45473</v>
      </c>
      <c r="T2206" s="4608">
        <f>299200*0.1</f>
        <v>29920</v>
      </c>
      <c r="U2206" s="4606">
        <v>45473</v>
      </c>
      <c r="V2206" s="4636">
        <v>29920</v>
      </c>
      <c r="W2206" s="4600">
        <v>45511</v>
      </c>
      <c r="X2206" s="4637">
        <v>29920</v>
      </c>
      <c r="Y2206" s="4600">
        <v>45533</v>
      </c>
      <c r="Z2206" s="4608"/>
      <c r="AA2206" s="4605" t="s">
        <v>7407</v>
      </c>
      <c r="AB2206" s="4666"/>
      <c r="AC2206" s="4666"/>
      <c r="AD2206" s="4679"/>
      <c r="AE2206" s="4679"/>
      <c r="AF2206" s="4679"/>
      <c r="AG2206" s="4679"/>
      <c r="AH2206" s="4683"/>
      <c r="AI2206" s="4679"/>
    </row>
    <row r="2207" s="54" customFormat="1" ht="15.75" customHeight="1" spans="1:35">
      <c r="A2207" s="4509"/>
      <c r="B2207" s="4511"/>
      <c r="C2207" s="4509"/>
      <c r="D2207" s="4509"/>
      <c r="E2207" s="4509"/>
      <c r="F2207" s="4509"/>
      <c r="G2207" s="4509"/>
      <c r="H2207" s="4520"/>
      <c r="I2207" s="4509"/>
      <c r="J2207" s="4509"/>
      <c r="K2207" s="4526"/>
      <c r="L2207" s="4509"/>
      <c r="M2207" s="4555">
        <v>4</v>
      </c>
      <c r="N2207" s="4509" t="s">
        <v>7412</v>
      </c>
      <c r="O2207" s="4509" t="s">
        <v>7413</v>
      </c>
      <c r="P2207" s="4556">
        <f>686800*0.3</f>
        <v>206040</v>
      </c>
      <c r="Q2207" s="3397">
        <f>387600*0.3</f>
        <v>116280</v>
      </c>
      <c r="R2207" s="3397" t="s">
        <v>4603</v>
      </c>
      <c r="S2207" s="4609">
        <v>45288</v>
      </c>
      <c r="T2207" s="3397"/>
      <c r="U2207" s="4609"/>
      <c r="V2207" s="3397">
        <v>116280</v>
      </c>
      <c r="W2207" s="4638">
        <v>45310</v>
      </c>
      <c r="X2207" s="2639">
        <v>116280</v>
      </c>
      <c r="Y2207" s="4609">
        <v>45320</v>
      </c>
      <c r="Z2207" s="3397"/>
      <c r="AA2207" s="4668" t="s">
        <v>7406</v>
      </c>
      <c r="AB2207" s="4666"/>
      <c r="AC2207" s="4666"/>
      <c r="AD2207" s="4679"/>
      <c r="AE2207" s="4679"/>
      <c r="AF2207" s="4679"/>
      <c r="AG2207" s="4679"/>
      <c r="AH2207" s="4683"/>
      <c r="AI2207" s="4679"/>
    </row>
    <row r="2208" s="54" customFormat="1" ht="22.5" customHeight="1" spans="1:35">
      <c r="A2208" s="4509"/>
      <c r="B2208" s="4511"/>
      <c r="C2208" s="4509"/>
      <c r="D2208" s="4509"/>
      <c r="E2208" s="4509"/>
      <c r="F2208" s="4509"/>
      <c r="G2208" s="4509"/>
      <c r="H2208" s="4520"/>
      <c r="I2208" s="4509"/>
      <c r="J2208" s="4509"/>
      <c r="K2208" s="4526"/>
      <c r="L2208" s="4509"/>
      <c r="M2208" s="4555"/>
      <c r="N2208" s="4509"/>
      <c r="O2208" s="4509"/>
      <c r="P2208" s="4556"/>
      <c r="Q2208" s="4598">
        <f>299200*0.3</f>
        <v>89760</v>
      </c>
      <c r="R2208" s="4605" t="s">
        <v>4603</v>
      </c>
      <c r="S2208" s="4600">
        <v>45473</v>
      </c>
      <c r="T2208" s="4599">
        <f>299200*0.3</f>
        <v>89760</v>
      </c>
      <c r="U2208" s="4600">
        <v>45473</v>
      </c>
      <c r="V2208" s="4636">
        <v>89760</v>
      </c>
      <c r="W2208" s="4600">
        <v>45511</v>
      </c>
      <c r="X2208" s="4637">
        <v>89760</v>
      </c>
      <c r="Y2208" s="4600">
        <v>45533</v>
      </c>
      <c r="Z2208" s="4599"/>
      <c r="AA2208" s="4605" t="s">
        <v>7407</v>
      </c>
      <c r="AB2208" s="4666"/>
      <c r="AC2208" s="4666"/>
      <c r="AD2208" s="4679"/>
      <c r="AE2208" s="4679"/>
      <c r="AF2208" s="4679"/>
      <c r="AG2208" s="4679"/>
      <c r="AH2208" s="4683"/>
      <c r="AI2208" s="4679"/>
    </row>
    <row r="2209" s="54" customFormat="1" spans="1:35">
      <c r="A2209" s="4509"/>
      <c r="B2209" s="4511"/>
      <c r="C2209" s="4509"/>
      <c r="D2209" s="4509"/>
      <c r="E2209" s="4509"/>
      <c r="F2209" s="4509"/>
      <c r="G2209" s="4509"/>
      <c r="H2209" s="4520"/>
      <c r="I2209" s="4509"/>
      <c r="J2209" s="4509"/>
      <c r="K2209" s="4526"/>
      <c r="L2209" s="4509"/>
      <c r="M2209" s="4547">
        <v>5</v>
      </c>
      <c r="N2209" s="4548" t="s">
        <v>7414</v>
      </c>
      <c r="O2209" s="4548" t="s">
        <v>7415</v>
      </c>
      <c r="P2209" s="4549">
        <f>686800*0.05</f>
        <v>34340</v>
      </c>
      <c r="Q2209" s="4610">
        <f>387600*0.05</f>
        <v>19380</v>
      </c>
      <c r="R2209" s="4610" t="s">
        <v>349</v>
      </c>
      <c r="S2209" s="4611">
        <v>46203</v>
      </c>
      <c r="T2209" s="3457"/>
      <c r="U2209" s="3397"/>
      <c r="V2209" s="4639"/>
      <c r="W2209" s="4640"/>
      <c r="X2209" s="2639"/>
      <c r="Y2209" s="4611"/>
      <c r="Z2209" s="3397"/>
      <c r="AA2209" s="4668" t="s">
        <v>7406</v>
      </c>
      <c r="AB2209" s="4666"/>
      <c r="AC2209" s="4666"/>
      <c r="AD2209" s="4679"/>
      <c r="AE2209" s="4679"/>
      <c r="AF2209" s="4679"/>
      <c r="AG2209" s="4679"/>
      <c r="AH2209" s="4683"/>
      <c r="AI2209" s="4679"/>
    </row>
    <row r="2210" s="54" customFormat="1" spans="1:35">
      <c r="A2210" s="4509"/>
      <c r="B2210" s="4511"/>
      <c r="C2210" s="4509"/>
      <c r="D2210" s="4509"/>
      <c r="E2210" s="4509"/>
      <c r="F2210" s="4509"/>
      <c r="G2210" s="4509"/>
      <c r="H2210" s="4520"/>
      <c r="I2210" s="4509"/>
      <c r="J2210" s="4509"/>
      <c r="K2210" s="4526"/>
      <c r="L2210" s="4509"/>
      <c r="M2210" s="4550"/>
      <c r="N2210" s="4551"/>
      <c r="O2210" s="4551"/>
      <c r="P2210" s="4552"/>
      <c r="Q2210" s="4612">
        <f>299200*0.05</f>
        <v>14960</v>
      </c>
      <c r="R2210" s="4612" t="s">
        <v>5015</v>
      </c>
      <c r="S2210" s="4613">
        <v>46021</v>
      </c>
      <c r="T2210" s="4614"/>
      <c r="U2210" s="4599"/>
      <c r="V2210" s="4636"/>
      <c r="W2210" s="4641"/>
      <c r="X2210" s="4612">
        <f>299200*0.05</f>
        <v>14960</v>
      </c>
      <c r="Y2210" s="4613">
        <v>46021</v>
      </c>
      <c r="Z2210" s="4599"/>
      <c r="AA2210" s="4605" t="s">
        <v>7407</v>
      </c>
      <c r="AB2210" s="4666"/>
      <c r="AC2210" s="4666"/>
      <c r="AD2210" s="4679"/>
      <c r="AE2210" s="4679"/>
      <c r="AF2210" s="4679"/>
      <c r="AG2210" s="4679"/>
      <c r="AH2210" s="4683"/>
      <c r="AI2210" s="4679"/>
    </row>
    <row r="2211" s="54" customFormat="1" ht="52.5" customHeight="1" spans="1:35">
      <c r="A2211" s="4509"/>
      <c r="B2211" s="4511"/>
      <c r="C2211" s="4509"/>
      <c r="D2211" s="4509"/>
      <c r="E2211" s="4509"/>
      <c r="F2211" s="4509"/>
      <c r="G2211" s="4509"/>
      <c r="H2211" s="4520"/>
      <c r="I2211" s="4509"/>
      <c r="J2211" s="4509"/>
      <c r="K2211" s="4526"/>
      <c r="L2211" s="4509"/>
      <c r="M2211" s="4547">
        <v>6</v>
      </c>
      <c r="N2211" s="4548" t="s">
        <v>7416</v>
      </c>
      <c r="O2211" s="4548" t="s">
        <v>7417</v>
      </c>
      <c r="P2211" s="4549">
        <f>686800*0.05</f>
        <v>34340</v>
      </c>
      <c r="Q2211" s="4610">
        <f>387600*0.05</f>
        <v>19380</v>
      </c>
      <c r="R2211" s="4610" t="s">
        <v>349</v>
      </c>
      <c r="S2211" s="4611">
        <v>46386</v>
      </c>
      <c r="T2211" s="3397"/>
      <c r="U2211" s="4609"/>
      <c r="V2211" s="4639"/>
      <c r="W2211" s="4640"/>
      <c r="X2211" s="2639"/>
      <c r="Y2211" s="4609"/>
      <c r="Z2211" s="3397"/>
      <c r="AA2211" s="4668" t="s">
        <v>7406</v>
      </c>
      <c r="AB2211" s="4666"/>
      <c r="AC2211" s="4666"/>
      <c r="AD2211" s="4679"/>
      <c r="AE2211" s="4679"/>
      <c r="AF2211" s="4679"/>
      <c r="AG2211" s="4679"/>
      <c r="AH2211" s="4683"/>
      <c r="AI2211" s="4679"/>
    </row>
    <row r="2212" s="54" customFormat="1" ht="53.25" customHeight="1" spans="1:35">
      <c r="A2212" s="4509"/>
      <c r="B2212" s="4511"/>
      <c r="C2212" s="4509"/>
      <c r="D2212" s="4509"/>
      <c r="E2212" s="4509"/>
      <c r="F2212" s="4509"/>
      <c r="G2212" s="4509"/>
      <c r="H2212" s="4520"/>
      <c r="I2212" s="4509"/>
      <c r="J2212" s="4509"/>
      <c r="K2212" s="4526"/>
      <c r="L2212" s="4509"/>
      <c r="M2212" s="4550"/>
      <c r="N2212" s="4551"/>
      <c r="O2212" s="4551"/>
      <c r="P2212" s="4552"/>
      <c r="Q2212" s="4612">
        <f>299200*0.05</f>
        <v>14960</v>
      </c>
      <c r="R2212" s="4612" t="s">
        <v>5015</v>
      </c>
      <c r="S2212" s="4613">
        <v>46386</v>
      </c>
      <c r="T2212" s="4599"/>
      <c r="U2212" s="4600"/>
      <c r="V2212" s="4636"/>
      <c r="W2212" s="4641"/>
      <c r="X2212" s="4633"/>
      <c r="Y2212" s="4600"/>
      <c r="Z2212" s="4599"/>
      <c r="AA2212" s="4605" t="s">
        <v>7407</v>
      </c>
      <c r="AB2212" s="4666"/>
      <c r="AC2212" s="4666"/>
      <c r="AD2212" s="4679"/>
      <c r="AE2212" s="4679"/>
      <c r="AF2212" s="4679"/>
      <c r="AG2212" s="4679"/>
      <c r="AH2212" s="4683"/>
      <c r="AI2212" s="4679"/>
    </row>
    <row r="2213" s="54" customFormat="1" ht="42" customHeight="1" spans="1:35">
      <c r="A2213" s="4509"/>
      <c r="B2213" s="4511"/>
      <c r="C2213" s="4509"/>
      <c r="D2213" s="4509"/>
      <c r="E2213" s="4509"/>
      <c r="F2213" s="4509"/>
      <c r="G2213" s="4509"/>
      <c r="H2213" s="4520"/>
      <c r="I2213" s="4509"/>
      <c r="J2213" s="4509"/>
      <c r="K2213" s="4526"/>
      <c r="L2213" s="4509"/>
      <c r="M2213" s="4547">
        <v>7</v>
      </c>
      <c r="N2213" s="4548" t="s">
        <v>7418</v>
      </c>
      <c r="O2213" s="4548" t="s">
        <v>3635</v>
      </c>
      <c r="P2213" s="4549">
        <f>686800*0.1</f>
        <v>68680</v>
      </c>
      <c r="Q2213" s="4610">
        <f>387600*0.1</f>
        <v>38760</v>
      </c>
      <c r="R2213" s="3397"/>
      <c r="S2213" s="4609"/>
      <c r="T2213" s="3397"/>
      <c r="U2213" s="4609"/>
      <c r="V2213" s="4639"/>
      <c r="W2213" s="4640"/>
      <c r="X2213" s="2639"/>
      <c r="Y2213" s="4609"/>
      <c r="Z2213" s="3397"/>
      <c r="AA2213" s="4668" t="s">
        <v>7406</v>
      </c>
      <c r="AB2213" s="4666"/>
      <c r="AC2213" s="4666"/>
      <c r="AD2213" s="4679"/>
      <c r="AE2213" s="4679"/>
      <c r="AF2213" s="4679"/>
      <c r="AG2213" s="4679"/>
      <c r="AH2213" s="4683"/>
      <c r="AI2213" s="4679"/>
    </row>
    <row r="2214" s="54" customFormat="1" ht="107.25" customHeight="1" spans="1:35">
      <c r="A2214" s="4509"/>
      <c r="B2214" s="4512"/>
      <c r="C2214" s="4509"/>
      <c r="D2214" s="4509"/>
      <c r="E2214" s="4509"/>
      <c r="F2214" s="4509"/>
      <c r="G2214" s="4509"/>
      <c r="H2214" s="4520"/>
      <c r="I2214" s="4509"/>
      <c r="J2214" s="4509"/>
      <c r="K2214" s="4526"/>
      <c r="L2214" s="4509"/>
      <c r="M2214" s="4550"/>
      <c r="N2214" s="4557"/>
      <c r="O2214" s="4551"/>
      <c r="P2214" s="4552"/>
      <c r="Q2214" s="4612">
        <f>299200*0.1</f>
        <v>29920</v>
      </c>
      <c r="R2214" s="4599"/>
      <c r="S2214" s="4600"/>
      <c r="T2214" s="4599"/>
      <c r="U2214" s="4600"/>
      <c r="V2214" s="4636"/>
      <c r="W2214" s="4641"/>
      <c r="X2214" s="4633"/>
      <c r="Y2214" s="4600"/>
      <c r="Z2214" s="4599"/>
      <c r="AA2214" s="4605" t="s">
        <v>7407</v>
      </c>
      <c r="AB2214" s="4666"/>
      <c r="AC2214" s="4666"/>
      <c r="AD2214" s="4679"/>
      <c r="AE2214" s="4679"/>
      <c r="AF2214" s="4679"/>
      <c r="AG2214" s="4679"/>
      <c r="AH2214" s="4683"/>
      <c r="AI2214" s="4679"/>
    </row>
    <row r="2215" s="53" customFormat="1" ht="107" spans="1:35">
      <c r="A2215" s="4513" t="s">
        <v>1003</v>
      </c>
      <c r="B2215" s="4514">
        <v>45288</v>
      </c>
      <c r="C2215" s="4515" t="s">
        <v>7332</v>
      </c>
      <c r="D2215" s="4513"/>
      <c r="E2215" s="4513" t="s">
        <v>7419</v>
      </c>
      <c r="F2215" s="4513" t="s">
        <v>7420</v>
      </c>
      <c r="G2215" s="4515" t="s">
        <v>3482</v>
      </c>
      <c r="H2215" s="4513" t="s">
        <v>7421</v>
      </c>
      <c r="I2215" s="4513"/>
      <c r="J2215" s="4513"/>
      <c r="K2215" s="4527">
        <v>300000</v>
      </c>
      <c r="L2215" s="4513" t="s">
        <v>126</v>
      </c>
      <c r="M2215" s="4515">
        <v>1</v>
      </c>
      <c r="N2215" s="4558" t="s">
        <v>7422</v>
      </c>
      <c r="O2215" s="4559">
        <v>0.2</v>
      </c>
      <c r="P2215" s="4560">
        <f>K2215*0.2</f>
        <v>60000</v>
      </c>
      <c r="Q2215" s="4615">
        <v>60000</v>
      </c>
      <c r="R2215" s="4594" t="s">
        <v>4603</v>
      </c>
      <c r="S2215" s="4616">
        <v>45300</v>
      </c>
      <c r="T2215" s="4617">
        <v>60000</v>
      </c>
      <c r="U2215" s="4616">
        <v>45300</v>
      </c>
      <c r="V2215" s="4617">
        <v>60000</v>
      </c>
      <c r="W2215" s="4616">
        <v>45300</v>
      </c>
      <c r="X2215" s="4642">
        <v>60000</v>
      </c>
      <c r="Y2215" s="4616">
        <v>45310</v>
      </c>
      <c r="Z2215" s="4618">
        <f>Q2215-X2215</f>
        <v>0</v>
      </c>
      <c r="AA2215" s="4669"/>
      <c r="AB2215" s="4670"/>
      <c r="AC2215" s="4670"/>
      <c r="AD2215" s="4643"/>
      <c r="AE2215" s="4643"/>
      <c r="AF2215" s="4643"/>
      <c r="AG2215" s="4643"/>
      <c r="AH2215" s="4682"/>
      <c r="AI2215" s="4643"/>
    </row>
    <row r="2216" s="53" customFormat="1" ht="92" spans="1:35">
      <c r="A2216" s="4508"/>
      <c r="B2216" s="4516"/>
      <c r="C2216" s="4515"/>
      <c r="D2216" s="4508"/>
      <c r="E2216" s="4508"/>
      <c r="F2216" s="4508"/>
      <c r="G2216" s="4515"/>
      <c r="H2216" s="4521"/>
      <c r="I2216" s="4508"/>
      <c r="J2216" s="4508"/>
      <c r="K2216" s="4527"/>
      <c r="L2216" s="4508"/>
      <c r="M2216" s="4515">
        <v>2</v>
      </c>
      <c r="N2216" s="4558" t="s">
        <v>7423</v>
      </c>
      <c r="O2216" s="4559">
        <v>0.3</v>
      </c>
      <c r="P2216" s="4560">
        <f>K2215*0.3</f>
        <v>90000</v>
      </c>
      <c r="Q2216" s="4594">
        <v>90000</v>
      </c>
      <c r="R2216" s="4594" t="s">
        <v>4603</v>
      </c>
      <c r="S2216" s="4595">
        <v>45473</v>
      </c>
      <c r="T2216" s="4594">
        <v>90000</v>
      </c>
      <c r="U2216" s="4595">
        <v>45473</v>
      </c>
      <c r="V2216" s="4643">
        <v>90000</v>
      </c>
      <c r="W2216" s="4644">
        <v>45496</v>
      </c>
      <c r="X2216" s="4645">
        <v>90000</v>
      </c>
      <c r="Y2216" s="4619">
        <v>45502</v>
      </c>
      <c r="Z2216" s="4618">
        <f>Q2216-X2216</f>
        <v>0</v>
      </c>
      <c r="AA2216" s="4669"/>
      <c r="AB2216" s="4670"/>
      <c r="AC2216" s="4670"/>
      <c r="AD2216" s="4643"/>
      <c r="AE2216" s="4643"/>
      <c r="AF2216" s="4643"/>
      <c r="AG2216" s="4643"/>
      <c r="AH2216" s="4682"/>
      <c r="AI2216" s="4643"/>
    </row>
    <row r="2217" s="53" customFormat="1" ht="40.85" customHeight="1" spans="1:35">
      <c r="A2217" s="4508"/>
      <c r="B2217" s="4516"/>
      <c r="C2217" s="4515"/>
      <c r="D2217" s="4508"/>
      <c r="E2217" s="4508"/>
      <c r="F2217" s="4508"/>
      <c r="G2217" s="4515"/>
      <c r="H2217" s="4521"/>
      <c r="I2217" s="4508"/>
      <c r="J2217" s="4508"/>
      <c r="K2217" s="4527"/>
      <c r="L2217" s="4508"/>
      <c r="M2217" s="4513">
        <v>3</v>
      </c>
      <c r="N2217" s="4513" t="s">
        <v>7424</v>
      </c>
      <c r="O2217" s="4561">
        <v>0.4</v>
      </c>
      <c r="P2217" s="4544">
        <f>K2215*0.4</f>
        <v>120000</v>
      </c>
      <c r="Q2217" s="4594">
        <v>60000</v>
      </c>
      <c r="R2217" s="4594" t="s">
        <v>4603</v>
      </c>
      <c r="S2217" s="4595">
        <v>45849</v>
      </c>
      <c r="T2217" s="4618">
        <v>60000</v>
      </c>
      <c r="U2217" s="4595">
        <v>45849</v>
      </c>
      <c r="V2217" s="4628">
        <v>60000</v>
      </c>
      <c r="W2217" s="4646">
        <v>45873</v>
      </c>
      <c r="X2217" s="4629">
        <v>60000</v>
      </c>
      <c r="Y2217" s="4595">
        <v>45899</v>
      </c>
      <c r="Z2217" s="4618"/>
      <c r="AA2217" s="4669"/>
      <c r="AB2217" s="4670"/>
      <c r="AC2217" s="4670"/>
      <c r="AD2217" s="4643"/>
      <c r="AE2217" s="4643"/>
      <c r="AF2217" s="4643"/>
      <c r="AG2217" s="4643"/>
      <c r="AH2217" s="4682"/>
      <c r="AI2217" s="4643"/>
    </row>
    <row r="2218" s="53" customFormat="1" ht="39.15" customHeight="1" spans="1:35">
      <c r="A2218" s="4508"/>
      <c r="B2218" s="4516"/>
      <c r="C2218" s="4515"/>
      <c r="D2218" s="4508"/>
      <c r="E2218" s="4508"/>
      <c r="F2218" s="4508"/>
      <c r="G2218" s="4515"/>
      <c r="H2218" s="4521"/>
      <c r="I2218" s="4508"/>
      <c r="J2218" s="4508"/>
      <c r="K2218" s="4527"/>
      <c r="L2218" s="4508"/>
      <c r="M2218" s="4562"/>
      <c r="N2218" s="4563"/>
      <c r="O2218" s="4564"/>
      <c r="P2218" s="4565"/>
      <c r="Q2218" s="4594">
        <v>60000</v>
      </c>
      <c r="R2218" s="4594" t="s">
        <v>4603</v>
      </c>
      <c r="S2218" s="4595">
        <v>45849</v>
      </c>
      <c r="T2218" s="4618">
        <v>60000</v>
      </c>
      <c r="U2218" s="4595">
        <v>45849</v>
      </c>
      <c r="V2218" s="4628">
        <v>60000</v>
      </c>
      <c r="W2218" s="4616">
        <v>45876</v>
      </c>
      <c r="X2218" s="4629">
        <v>60000</v>
      </c>
      <c r="Y2218" s="4595">
        <v>45899</v>
      </c>
      <c r="Z2218" s="4618"/>
      <c r="AA2218" s="4669"/>
      <c r="AB2218" s="4670"/>
      <c r="AC2218" s="4670"/>
      <c r="AD2218" s="4643"/>
      <c r="AE2218" s="4643"/>
      <c r="AF2218" s="4643"/>
      <c r="AG2218" s="4643"/>
      <c r="AH2218" s="4682"/>
      <c r="AI2218" s="4643"/>
    </row>
    <row r="2219" s="53" customFormat="1" ht="92" spans="1:35">
      <c r="A2219" s="4508"/>
      <c r="B2219" s="4516"/>
      <c r="C2219" s="4513"/>
      <c r="D2219" s="4508"/>
      <c r="E2219" s="4508"/>
      <c r="F2219" s="4508"/>
      <c r="G2219" s="4513"/>
      <c r="H2219" s="4521"/>
      <c r="I2219" s="4508"/>
      <c r="J2219" s="4508"/>
      <c r="K2219" s="4528"/>
      <c r="L2219" s="4508"/>
      <c r="M2219" s="4515">
        <v>4</v>
      </c>
      <c r="N2219" s="4558" t="s">
        <v>7425</v>
      </c>
      <c r="O2219" s="4559">
        <v>0.1</v>
      </c>
      <c r="P2219" s="4560">
        <f>K2215*0.1</f>
        <v>30000</v>
      </c>
      <c r="Q2219" s="4618"/>
      <c r="R2219" s="4618"/>
      <c r="S2219" s="4619"/>
      <c r="T2219" s="4618"/>
      <c r="U2219" s="4619"/>
      <c r="V2219" s="4647"/>
      <c r="W2219" s="4646"/>
      <c r="X2219" s="4648"/>
      <c r="Y2219" s="4619"/>
      <c r="Z2219" s="4618"/>
      <c r="AA2219" s="4669"/>
      <c r="AB2219" s="4670"/>
      <c r="AC2219" s="4670"/>
      <c r="AD2219" s="4643"/>
      <c r="AE2219" s="4643"/>
      <c r="AF2219" s="4643"/>
      <c r="AG2219" s="4643"/>
      <c r="AH2219" s="4682"/>
      <c r="AI2219" s="4643"/>
    </row>
    <row r="2220" s="47" customFormat="1" ht="29.25" customHeight="1" spans="1:35">
      <c r="A2220" s="636" t="s">
        <v>1003</v>
      </c>
      <c r="B2220" s="4318">
        <v>45286</v>
      </c>
      <c r="C2220" s="636" t="s">
        <v>7332</v>
      </c>
      <c r="D2220" s="636"/>
      <c r="E2220" s="636" t="s">
        <v>7426</v>
      </c>
      <c r="F2220" s="636" t="s">
        <v>7427</v>
      </c>
      <c r="G2220" s="636" t="s">
        <v>3620</v>
      </c>
      <c r="H2220" s="636" t="s">
        <v>5155</v>
      </c>
      <c r="I2220" s="636"/>
      <c r="J2220" s="636"/>
      <c r="K2220" s="4385">
        <v>1551610.47</v>
      </c>
      <c r="L2220" s="636" t="s">
        <v>35</v>
      </c>
      <c r="M2220" s="4566">
        <v>1</v>
      </c>
      <c r="N2220" s="642" t="s">
        <v>5801</v>
      </c>
      <c r="O2220" s="642" t="s">
        <v>3622</v>
      </c>
      <c r="P2220" s="4567">
        <f>1551610.47*0.15</f>
        <v>232741.5705</v>
      </c>
      <c r="Q2220" s="4567">
        <f>1551610.47*0.05</f>
        <v>77580.5235</v>
      </c>
      <c r="R2220" s="745" t="s">
        <v>4603</v>
      </c>
      <c r="S2220" s="819">
        <v>45288</v>
      </c>
      <c r="T2220" s="4567">
        <v>77580.5235</v>
      </c>
      <c r="U2220" s="819">
        <v>45288</v>
      </c>
      <c r="V2220" s="4494">
        <v>77580.5235</v>
      </c>
      <c r="W2220" s="4001">
        <v>45370</v>
      </c>
      <c r="X2220" s="4649">
        <v>77580.5235</v>
      </c>
      <c r="Y2220" s="819">
        <v>45412</v>
      </c>
      <c r="Z2220" s="2909"/>
      <c r="AA2220" s="4671"/>
      <c r="AB2220" s="4391"/>
      <c r="AC2220" s="4391"/>
      <c r="AD2220" s="961"/>
      <c r="AE2220" s="961"/>
      <c r="AF2220" s="961"/>
      <c r="AG2220" s="961"/>
      <c r="AH2220" s="682"/>
      <c r="AI2220" s="961"/>
    </row>
    <row r="2221" s="47" customFormat="1" ht="29.25" customHeight="1" spans="1:35">
      <c r="A2221" s="636"/>
      <c r="B2221" s="4319"/>
      <c r="C2221" s="636"/>
      <c r="D2221" s="636"/>
      <c r="E2221" s="636"/>
      <c r="F2221" s="636"/>
      <c r="G2221" s="636"/>
      <c r="H2221" s="636"/>
      <c r="I2221" s="636"/>
      <c r="J2221" s="636"/>
      <c r="K2221" s="4385"/>
      <c r="L2221" s="636"/>
      <c r="M2221" s="4566"/>
      <c r="N2221" s="646"/>
      <c r="O2221" s="646"/>
      <c r="P2221" s="4568"/>
      <c r="Q2221" s="4567">
        <f>P2220-Q2220</f>
        <v>155161.047</v>
      </c>
      <c r="R2221" s="745" t="s">
        <v>4603</v>
      </c>
      <c r="S2221" s="819">
        <v>45402</v>
      </c>
      <c r="T2221" s="4567">
        <v>155161.047</v>
      </c>
      <c r="U2221" s="819">
        <v>45402</v>
      </c>
      <c r="V2221" s="4494">
        <v>155161.047</v>
      </c>
      <c r="W2221" s="4001">
        <v>45370</v>
      </c>
      <c r="X2221" s="4649">
        <v>155161.047</v>
      </c>
      <c r="Y2221" s="819">
        <v>45412</v>
      </c>
      <c r="Z2221" s="2909"/>
      <c r="AA2221" s="4671"/>
      <c r="AB2221" s="4391"/>
      <c r="AC2221" s="4391"/>
      <c r="AD2221" s="961"/>
      <c r="AE2221" s="961"/>
      <c r="AF2221" s="961"/>
      <c r="AG2221" s="961"/>
      <c r="AH2221" s="682"/>
      <c r="AI2221" s="961"/>
    </row>
    <row r="2222" s="47" customFormat="1" ht="92" spans="1:35">
      <c r="A2222" s="636"/>
      <c r="B2222" s="4319"/>
      <c r="C2222" s="636"/>
      <c r="D2222" s="636"/>
      <c r="E2222" s="636"/>
      <c r="F2222" s="636"/>
      <c r="G2222" s="636"/>
      <c r="H2222" s="4023"/>
      <c r="I2222" s="636"/>
      <c r="J2222" s="636"/>
      <c r="K2222" s="4385"/>
      <c r="L2222" s="636"/>
      <c r="M2222" s="4569">
        <v>2</v>
      </c>
      <c r="N2222" s="4570" t="s">
        <v>3625</v>
      </c>
      <c r="O2222" s="638" t="s">
        <v>3704</v>
      </c>
      <c r="P2222" s="4567">
        <f t="shared" ref="P2222:T2222" si="87">1551610.47*0.2</f>
        <v>310322.094</v>
      </c>
      <c r="Q2222" s="4567">
        <f t="shared" si="87"/>
        <v>310322.094</v>
      </c>
      <c r="R2222" s="745" t="s">
        <v>4603</v>
      </c>
      <c r="S2222" s="819">
        <v>45434</v>
      </c>
      <c r="T2222" s="4567">
        <f t="shared" si="87"/>
        <v>310322.094</v>
      </c>
      <c r="U2222" s="819">
        <v>45434</v>
      </c>
      <c r="V2222" s="4567">
        <f>1551610.47*0.2</f>
        <v>310322.094</v>
      </c>
      <c r="W2222" s="819">
        <v>45434</v>
      </c>
      <c r="X2222" s="4649">
        <v>310322.09</v>
      </c>
      <c r="Y2222" s="819">
        <v>45441</v>
      </c>
      <c r="Z2222" s="2909"/>
      <c r="AA2222" s="4439"/>
      <c r="AB2222" s="4391"/>
      <c r="AC2222" s="4391"/>
      <c r="AD2222" s="961"/>
      <c r="AE2222" s="961"/>
      <c r="AF2222" s="961"/>
      <c r="AG2222" s="961"/>
      <c r="AH2222" s="682"/>
      <c r="AI2222" s="961"/>
    </row>
    <row r="2223" s="47" customFormat="1" ht="92" spans="1:35">
      <c r="A2223" s="636"/>
      <c r="B2223" s="4319"/>
      <c r="C2223" s="636"/>
      <c r="D2223" s="636"/>
      <c r="E2223" s="636"/>
      <c r="F2223" s="636"/>
      <c r="G2223" s="636"/>
      <c r="H2223" s="4023"/>
      <c r="I2223" s="636"/>
      <c r="J2223" s="636"/>
      <c r="K2223" s="4385"/>
      <c r="L2223" s="636"/>
      <c r="M2223" s="4569">
        <v>3</v>
      </c>
      <c r="N2223" s="4570" t="s">
        <v>7428</v>
      </c>
      <c r="O2223" s="638" t="s">
        <v>7261</v>
      </c>
      <c r="P2223" s="4567">
        <f t="shared" ref="P2223:T2223" si="88">1551610.47*0.15</f>
        <v>232741.5705</v>
      </c>
      <c r="Q2223" s="4390">
        <f t="shared" si="88"/>
        <v>232741.5705</v>
      </c>
      <c r="R2223" s="4356" t="s">
        <v>4603</v>
      </c>
      <c r="S2223" s="4357">
        <v>45520</v>
      </c>
      <c r="T2223" s="4353">
        <f t="shared" si="88"/>
        <v>232741.5705</v>
      </c>
      <c r="U2223" s="819">
        <v>45520</v>
      </c>
      <c r="V2223" s="4353">
        <f>1551610.47*0.15</f>
        <v>232741.5705</v>
      </c>
      <c r="W2223" s="819">
        <v>45527</v>
      </c>
      <c r="X2223" s="818">
        <f>1551610.47*0.15</f>
        <v>232741.5705</v>
      </c>
      <c r="Y2223" s="819">
        <v>45533</v>
      </c>
      <c r="Z2223" s="2909"/>
      <c r="AA2223" s="4439"/>
      <c r="AB2223" s="4391"/>
      <c r="AC2223" s="4391"/>
      <c r="AD2223" s="961"/>
      <c r="AE2223" s="961"/>
      <c r="AF2223" s="961"/>
      <c r="AG2223" s="961"/>
      <c r="AH2223" s="682"/>
      <c r="AI2223" s="961"/>
    </row>
    <row r="2224" s="47" customFormat="1" ht="92" spans="1:35">
      <c r="A2224" s="636"/>
      <c r="B2224" s="4319"/>
      <c r="C2224" s="636"/>
      <c r="D2224" s="636"/>
      <c r="E2224" s="636"/>
      <c r="F2224" s="636"/>
      <c r="G2224" s="636"/>
      <c r="H2224" s="4023"/>
      <c r="I2224" s="636"/>
      <c r="J2224" s="636"/>
      <c r="K2224" s="4385"/>
      <c r="L2224" s="636"/>
      <c r="M2224" s="4569">
        <v>4</v>
      </c>
      <c r="N2224" s="4570" t="s">
        <v>3630</v>
      </c>
      <c r="O2224" s="638" t="s">
        <v>3708</v>
      </c>
      <c r="P2224" s="4567">
        <f t="shared" ref="P2224:T2224" si="89">1551610.47*0.3</f>
        <v>465483.141</v>
      </c>
      <c r="Q2224" s="4568">
        <f t="shared" si="89"/>
        <v>465483.141</v>
      </c>
      <c r="R2224" s="2909" t="s">
        <v>4603</v>
      </c>
      <c r="S2224" s="4388">
        <v>45562</v>
      </c>
      <c r="T2224" s="4568">
        <f t="shared" si="89"/>
        <v>465483.141</v>
      </c>
      <c r="U2224" s="4388">
        <v>45562</v>
      </c>
      <c r="V2224" s="745">
        <v>465483.14</v>
      </c>
      <c r="W2224" s="4388">
        <v>45586</v>
      </c>
      <c r="X2224" s="818">
        <v>465483.141</v>
      </c>
      <c r="Y2224" s="4388">
        <v>45596</v>
      </c>
      <c r="Z2224" s="2909"/>
      <c r="AA2224" s="4439"/>
      <c r="AB2224" s="4391"/>
      <c r="AC2224" s="4391"/>
      <c r="AD2224" s="961"/>
      <c r="AE2224" s="961"/>
      <c r="AF2224" s="961"/>
      <c r="AG2224" s="961"/>
      <c r="AH2224" s="682"/>
      <c r="AI2224" s="961"/>
    </row>
    <row r="2225" s="47" customFormat="1" ht="92" spans="1:35">
      <c r="A2225" s="636"/>
      <c r="B2225" s="4319"/>
      <c r="C2225" s="636"/>
      <c r="D2225" s="636"/>
      <c r="E2225" s="636"/>
      <c r="F2225" s="636"/>
      <c r="G2225" s="636"/>
      <c r="H2225" s="4023"/>
      <c r="I2225" s="636"/>
      <c r="J2225" s="636"/>
      <c r="K2225" s="4385"/>
      <c r="L2225" s="636"/>
      <c r="M2225" s="4569">
        <v>5</v>
      </c>
      <c r="N2225" s="4570" t="s">
        <v>3632</v>
      </c>
      <c r="O2225" s="638" t="s">
        <v>3718</v>
      </c>
      <c r="P2225" s="4567">
        <f>1551610.47*0.15</f>
        <v>232741.5705</v>
      </c>
      <c r="Q2225" s="4354">
        <f>1551610.47*0.15</f>
        <v>232741.5705</v>
      </c>
      <c r="R2225" s="821" t="s">
        <v>349</v>
      </c>
      <c r="S2225" s="4429">
        <v>46203</v>
      </c>
      <c r="T2225" s="745"/>
      <c r="U2225" s="819"/>
      <c r="V2225" s="741"/>
      <c r="W2225" s="4360"/>
      <c r="X2225" s="818">
        <v>232741.5705</v>
      </c>
      <c r="Y2225" s="4429">
        <v>46233</v>
      </c>
      <c r="Z2225" s="2909"/>
      <c r="AA2225" s="4439"/>
      <c r="AB2225" s="4391"/>
      <c r="AC2225" s="4391"/>
      <c r="AD2225" s="961"/>
      <c r="AE2225" s="961"/>
      <c r="AF2225" s="961"/>
      <c r="AG2225" s="961"/>
      <c r="AH2225" s="682"/>
      <c r="AI2225" s="961"/>
    </row>
    <row r="2226" s="47" customFormat="1" ht="76" spans="1:35">
      <c r="A2226" s="636"/>
      <c r="B2226" s="4372"/>
      <c r="C2226" s="636"/>
      <c r="D2226" s="636"/>
      <c r="E2226" s="636"/>
      <c r="F2226" s="636"/>
      <c r="G2226" s="636"/>
      <c r="H2226" s="4023"/>
      <c r="I2226" s="636"/>
      <c r="J2226" s="636"/>
      <c r="K2226" s="4385"/>
      <c r="L2226" s="636"/>
      <c r="M2226" s="4569">
        <v>6</v>
      </c>
      <c r="N2226" s="4570" t="s">
        <v>3634</v>
      </c>
      <c r="O2226" s="638" t="s">
        <v>7264</v>
      </c>
      <c r="P2226" s="4567">
        <f>1551610.47*0.05</f>
        <v>77580.5235</v>
      </c>
      <c r="Q2226" s="745"/>
      <c r="R2226" s="745"/>
      <c r="S2226" s="819"/>
      <c r="T2226" s="745"/>
      <c r="U2226" s="819"/>
      <c r="V2226" s="741"/>
      <c r="W2226" s="4360"/>
      <c r="X2226" s="818"/>
      <c r="Y2226" s="4388"/>
      <c r="Z2226" s="2909"/>
      <c r="AA2226" s="4439"/>
      <c r="AB2226" s="4391"/>
      <c r="AC2226" s="4391"/>
      <c r="AD2226" s="961"/>
      <c r="AE2226" s="961"/>
      <c r="AF2226" s="961"/>
      <c r="AG2226" s="961"/>
      <c r="AH2226" s="682"/>
      <c r="AI2226" s="961"/>
    </row>
    <row r="2227" s="16" customFormat="1" ht="122" spans="1:35">
      <c r="A2227" s="728" t="s">
        <v>1003</v>
      </c>
      <c r="B2227" s="4442">
        <v>45280</v>
      </c>
      <c r="C2227" s="728" t="s">
        <v>7332</v>
      </c>
      <c r="D2227" s="728" t="s">
        <v>171</v>
      </c>
      <c r="E2227" s="728" t="s">
        <v>7429</v>
      </c>
      <c r="F2227" s="728" t="s">
        <v>7430</v>
      </c>
      <c r="G2227" s="728" t="s">
        <v>3652</v>
      </c>
      <c r="H2227" s="728" t="s">
        <v>5400</v>
      </c>
      <c r="I2227" s="728">
        <v>200203.39</v>
      </c>
      <c r="J2227" s="728" t="s">
        <v>7431</v>
      </c>
      <c r="K2227" s="4451">
        <v>440447.46</v>
      </c>
      <c r="L2227" s="418" t="s">
        <v>126</v>
      </c>
      <c r="M2227" s="4571">
        <v>1</v>
      </c>
      <c r="N2227" s="1852" t="s">
        <v>7432</v>
      </c>
      <c r="O2227" s="1350">
        <v>0.2</v>
      </c>
      <c r="P2227" s="483">
        <f>440447.46*O2227</f>
        <v>88089.492</v>
      </c>
      <c r="Q2227" s="483">
        <v>88089.492</v>
      </c>
      <c r="R2227" s="393" t="s">
        <v>4603</v>
      </c>
      <c r="S2227" s="517">
        <v>45288</v>
      </c>
      <c r="T2227" s="483">
        <v>88089.492</v>
      </c>
      <c r="U2227" s="802">
        <v>45288</v>
      </c>
      <c r="V2227" s="4485">
        <v>88089.492</v>
      </c>
      <c r="W2227" s="802">
        <v>45398</v>
      </c>
      <c r="X2227" s="800">
        <v>88089.492</v>
      </c>
      <c r="Y2227" s="802">
        <v>45412</v>
      </c>
      <c r="Z2227" s="801"/>
      <c r="AA2227" s="729" t="s">
        <v>7336</v>
      </c>
      <c r="AB2227" s="4505"/>
      <c r="AC2227" s="4680"/>
      <c r="AD2227" s="612"/>
      <c r="AE2227" s="612"/>
      <c r="AF2227" s="612"/>
      <c r="AG2227" s="612"/>
      <c r="AH2227" s="617"/>
      <c r="AI2227" s="612"/>
    </row>
    <row r="2228" s="16" customFormat="1" ht="92" spans="1:35">
      <c r="A2228" s="689"/>
      <c r="B2228" s="3134"/>
      <c r="C2228" s="689"/>
      <c r="D2228" s="689"/>
      <c r="E2228" s="689"/>
      <c r="F2228" s="689"/>
      <c r="G2228" s="689"/>
      <c r="H2228" s="2543"/>
      <c r="I2228" s="689"/>
      <c r="J2228" s="689"/>
      <c r="K2228" s="4452"/>
      <c r="L2228" s="418"/>
      <c r="M2228" s="4571">
        <v>2</v>
      </c>
      <c r="N2228" s="1852" t="s">
        <v>7433</v>
      </c>
      <c r="O2228" s="1350">
        <v>0.3</v>
      </c>
      <c r="P2228" s="483">
        <f>440447.46*O2228</f>
        <v>132134.238</v>
      </c>
      <c r="Q2228" s="483">
        <v>132134.238</v>
      </c>
      <c r="R2228" s="393" t="s">
        <v>4603</v>
      </c>
      <c r="S2228" s="517">
        <v>45849</v>
      </c>
      <c r="T2228" s="393">
        <v>132134.24</v>
      </c>
      <c r="U2228" s="517">
        <v>45849</v>
      </c>
      <c r="V2228" s="483">
        <v>132134.238</v>
      </c>
      <c r="W2228" s="517">
        <v>45873</v>
      </c>
      <c r="X2228" s="516">
        <v>132134.238</v>
      </c>
      <c r="Y2228" s="517">
        <v>45899</v>
      </c>
      <c r="Z2228" s="801"/>
      <c r="AA2228" s="907"/>
      <c r="AB2228" s="4505"/>
      <c r="AC2228" s="4505"/>
      <c r="AD2228" s="612"/>
      <c r="AE2228" s="612"/>
      <c r="AF2228" s="612"/>
      <c r="AG2228" s="612"/>
      <c r="AH2228" s="617"/>
      <c r="AI2228" s="612"/>
    </row>
    <row r="2229" s="16" customFormat="1" ht="92" spans="1:35">
      <c r="A2229" s="689"/>
      <c r="B2229" s="3134"/>
      <c r="C2229" s="689"/>
      <c r="D2229" s="689"/>
      <c r="E2229" s="689"/>
      <c r="F2229" s="689"/>
      <c r="G2229" s="689"/>
      <c r="H2229" s="2543"/>
      <c r="I2229" s="689"/>
      <c r="J2229" s="689"/>
      <c r="K2229" s="4452"/>
      <c r="L2229" s="418"/>
      <c r="M2229" s="4571">
        <v>3</v>
      </c>
      <c r="N2229" s="1852" t="s">
        <v>7434</v>
      </c>
      <c r="O2229" s="1350">
        <v>0.2</v>
      </c>
      <c r="P2229" s="483">
        <f>440447.46*O2229</f>
        <v>88089.492</v>
      </c>
      <c r="Q2229" s="483">
        <v>88089.492</v>
      </c>
      <c r="R2229" s="393" t="s">
        <v>4603</v>
      </c>
      <c r="S2229" s="517">
        <v>45849</v>
      </c>
      <c r="T2229" s="393">
        <v>88089.49</v>
      </c>
      <c r="U2229" s="517">
        <v>45849</v>
      </c>
      <c r="V2229" s="483">
        <v>88089.492</v>
      </c>
      <c r="W2229" s="517">
        <v>45873</v>
      </c>
      <c r="X2229" s="516">
        <v>88089.492</v>
      </c>
      <c r="Y2229" s="517">
        <v>45899</v>
      </c>
      <c r="Z2229" s="801"/>
      <c r="AA2229" s="907"/>
      <c r="AB2229" s="4505"/>
      <c r="AC2229" s="4505"/>
      <c r="AD2229" s="612"/>
      <c r="AE2229" s="612"/>
      <c r="AF2229" s="612"/>
      <c r="AG2229" s="612"/>
      <c r="AH2229" s="617"/>
      <c r="AI2229" s="612"/>
    </row>
    <row r="2230" s="16" customFormat="1" ht="92" spans="1:35">
      <c r="A2230" s="689"/>
      <c r="B2230" s="3134"/>
      <c r="C2230" s="689"/>
      <c r="D2230" s="689"/>
      <c r="E2230" s="689"/>
      <c r="F2230" s="689"/>
      <c r="G2230" s="689"/>
      <c r="H2230" s="2543"/>
      <c r="I2230" s="689"/>
      <c r="J2230" s="689"/>
      <c r="K2230" s="4452"/>
      <c r="L2230" s="418"/>
      <c r="M2230" s="4571">
        <v>4</v>
      </c>
      <c r="N2230" s="1852" t="s">
        <v>7435</v>
      </c>
      <c r="O2230" s="1350">
        <v>0.25</v>
      </c>
      <c r="P2230" s="483">
        <f>440447.46*O2230</f>
        <v>110111.865</v>
      </c>
      <c r="Q2230" s="483">
        <v>110111.865</v>
      </c>
      <c r="R2230" s="393" t="s">
        <v>4603</v>
      </c>
      <c r="S2230" s="517">
        <v>45849</v>
      </c>
      <c r="T2230" s="393">
        <v>110111.87</v>
      </c>
      <c r="U2230" s="517">
        <v>45849</v>
      </c>
      <c r="V2230" s="483">
        <v>110111.865</v>
      </c>
      <c r="W2230" s="517">
        <v>45873</v>
      </c>
      <c r="X2230" s="516">
        <v>110111.865</v>
      </c>
      <c r="Y2230" s="517">
        <v>45899</v>
      </c>
      <c r="Z2230" s="801"/>
      <c r="AA2230" s="907"/>
      <c r="AB2230" s="4505"/>
      <c r="AC2230" s="4505"/>
      <c r="AD2230" s="612"/>
      <c r="AE2230" s="612"/>
      <c r="AF2230" s="612"/>
      <c r="AG2230" s="612"/>
      <c r="AH2230" s="617"/>
      <c r="AI2230" s="612"/>
    </row>
    <row r="2231" s="16" customFormat="1" ht="92" spans="1:35">
      <c r="A2231" s="691"/>
      <c r="B2231" s="4443"/>
      <c r="C2231" s="691"/>
      <c r="D2231" s="691"/>
      <c r="E2231" s="691"/>
      <c r="F2231" s="691"/>
      <c r="G2231" s="691"/>
      <c r="H2231" s="3319"/>
      <c r="I2231" s="691"/>
      <c r="J2231" s="691"/>
      <c r="K2231" s="4529"/>
      <c r="L2231" s="418"/>
      <c r="M2231" s="4571">
        <v>5</v>
      </c>
      <c r="N2231" s="1852" t="s">
        <v>7436</v>
      </c>
      <c r="O2231" s="1350">
        <v>0.05</v>
      </c>
      <c r="P2231" s="483">
        <f>440447.46*O2231</f>
        <v>22022.373</v>
      </c>
      <c r="Q2231" s="393"/>
      <c r="R2231" s="393"/>
      <c r="S2231" s="517"/>
      <c r="T2231" s="393"/>
      <c r="U2231" s="517"/>
      <c r="V2231" s="419"/>
      <c r="W2231" s="567"/>
      <c r="X2231" s="800"/>
      <c r="Y2231" s="802"/>
      <c r="Z2231" s="801"/>
      <c r="AA2231" s="907"/>
      <c r="AB2231" s="4505"/>
      <c r="AC2231" s="4505"/>
      <c r="AD2231" s="612"/>
      <c r="AE2231" s="612"/>
      <c r="AF2231" s="612"/>
      <c r="AG2231" s="612"/>
      <c r="AH2231" s="617"/>
      <c r="AI2231" s="612"/>
    </row>
    <row r="2232" s="47" customFormat="1" ht="122" spans="1:35">
      <c r="A2232" s="636" t="s">
        <v>1003</v>
      </c>
      <c r="B2232" s="4318">
        <v>45278</v>
      </c>
      <c r="C2232" s="636" t="s">
        <v>7332</v>
      </c>
      <c r="D2232" s="636" t="s">
        <v>171</v>
      </c>
      <c r="E2232" s="636" t="s">
        <v>7437</v>
      </c>
      <c r="F2232" s="636" t="s">
        <v>7438</v>
      </c>
      <c r="G2232" s="636" t="s">
        <v>4338</v>
      </c>
      <c r="H2232" s="636" t="s">
        <v>7439</v>
      </c>
      <c r="I2232" s="636" t="s">
        <v>171</v>
      </c>
      <c r="J2232" s="636" t="s">
        <v>997</v>
      </c>
      <c r="K2232" s="4385">
        <v>250000</v>
      </c>
      <c r="L2232" s="636" t="s">
        <v>126</v>
      </c>
      <c r="M2232" s="4572">
        <v>1</v>
      </c>
      <c r="N2232" s="4573" t="s">
        <v>7440</v>
      </c>
      <c r="O2232" s="4574">
        <v>0.2</v>
      </c>
      <c r="P2232" s="4494">
        <f>250000*O2232</f>
        <v>50000</v>
      </c>
      <c r="Q2232" s="4494">
        <v>50000</v>
      </c>
      <c r="R2232" s="2909" t="s">
        <v>4603</v>
      </c>
      <c r="S2232" s="4388">
        <v>45287</v>
      </c>
      <c r="T2232" s="4353">
        <v>50000</v>
      </c>
      <c r="U2232" s="819">
        <v>45287</v>
      </c>
      <c r="V2232" s="745">
        <v>50000</v>
      </c>
      <c r="W2232" s="4389">
        <v>45309</v>
      </c>
      <c r="X2232" s="4649">
        <v>50000</v>
      </c>
      <c r="Y2232" s="4001">
        <v>45320</v>
      </c>
      <c r="Z2232" s="2909"/>
      <c r="AA2232" s="4439"/>
      <c r="AB2232" s="4391"/>
      <c r="AC2232" s="4391"/>
      <c r="AD2232" s="961"/>
      <c r="AE2232" s="961"/>
      <c r="AF2232" s="961"/>
      <c r="AG2232" s="961"/>
      <c r="AH2232" s="682"/>
      <c r="AI2232" s="961"/>
    </row>
    <row r="2233" s="47" customFormat="1" ht="107" spans="1:35">
      <c r="A2233" s="636"/>
      <c r="B2233" s="4319"/>
      <c r="C2233" s="636"/>
      <c r="D2233" s="636"/>
      <c r="E2233" s="636"/>
      <c r="F2233" s="636"/>
      <c r="G2233" s="636"/>
      <c r="H2233" s="4023"/>
      <c r="I2233" s="636"/>
      <c r="J2233" s="636"/>
      <c r="K2233" s="4385"/>
      <c r="L2233" s="636"/>
      <c r="M2233" s="4575">
        <v>2</v>
      </c>
      <c r="N2233" s="4576" t="s">
        <v>7441</v>
      </c>
      <c r="O2233" s="4054">
        <v>0.3</v>
      </c>
      <c r="P2233" s="4353">
        <f>250000*O2233</f>
        <v>75000</v>
      </c>
      <c r="Q2233" s="4494">
        <v>75000</v>
      </c>
      <c r="R2233" s="2909" t="s">
        <v>4603</v>
      </c>
      <c r="S2233" s="4388">
        <v>45287</v>
      </c>
      <c r="T2233" s="4353">
        <v>75000</v>
      </c>
      <c r="U2233" s="819">
        <v>45287</v>
      </c>
      <c r="V2233" s="4353">
        <v>75000</v>
      </c>
      <c r="W2233" s="4389">
        <v>45448</v>
      </c>
      <c r="X2233" s="4650">
        <v>75000</v>
      </c>
      <c r="Y2233" s="4001">
        <v>45470</v>
      </c>
      <c r="Z2233" s="2907"/>
      <c r="AA2233" s="4439"/>
      <c r="AB2233" s="4391"/>
      <c r="AC2233" s="4391"/>
      <c r="AD2233" s="961"/>
      <c r="AE2233" s="961"/>
      <c r="AF2233" s="961"/>
      <c r="AG2233" s="961"/>
      <c r="AH2233" s="682"/>
      <c r="AI2233" s="961"/>
    </row>
    <row r="2234" s="47" customFormat="1" ht="122" spans="1:35">
      <c r="A2234" s="636"/>
      <c r="B2234" s="4319"/>
      <c r="C2234" s="636"/>
      <c r="D2234" s="636"/>
      <c r="E2234" s="636"/>
      <c r="F2234" s="636"/>
      <c r="G2234" s="636"/>
      <c r="H2234" s="4023"/>
      <c r="I2234" s="636"/>
      <c r="J2234" s="636"/>
      <c r="K2234" s="4385"/>
      <c r="L2234" s="636"/>
      <c r="M2234" s="4575">
        <v>3</v>
      </c>
      <c r="N2234" s="4576" t="s">
        <v>7442</v>
      </c>
      <c r="O2234" s="4054">
        <v>0.4</v>
      </c>
      <c r="P2234" s="4353">
        <f>250000*O2234</f>
        <v>100000</v>
      </c>
      <c r="Q2234" s="4353">
        <v>100000</v>
      </c>
      <c r="R2234" s="2909" t="s">
        <v>4603</v>
      </c>
      <c r="S2234" s="4388">
        <v>45868</v>
      </c>
      <c r="T2234" s="4353">
        <v>100000</v>
      </c>
      <c r="U2234" s="819">
        <v>45868</v>
      </c>
      <c r="V2234" s="741">
        <v>100000</v>
      </c>
      <c r="W2234" s="4360">
        <v>45877</v>
      </c>
      <c r="X2234" s="818">
        <v>100000</v>
      </c>
      <c r="Y2234" s="819">
        <v>45899</v>
      </c>
      <c r="Z2234" s="745"/>
      <c r="AA2234" s="4439"/>
      <c r="AB2234" s="4391"/>
      <c r="AC2234" s="4391"/>
      <c r="AD2234" s="961"/>
      <c r="AE2234" s="961"/>
      <c r="AF2234" s="961"/>
      <c r="AG2234" s="961"/>
      <c r="AH2234" s="682"/>
      <c r="AI2234" s="961"/>
    </row>
    <row r="2235" s="47" customFormat="1" ht="107" spans="1:35">
      <c r="A2235" s="636"/>
      <c r="B2235" s="4372"/>
      <c r="C2235" s="636"/>
      <c r="D2235" s="636"/>
      <c r="E2235" s="636"/>
      <c r="F2235" s="636"/>
      <c r="G2235" s="636"/>
      <c r="H2235" s="4023"/>
      <c r="I2235" s="636"/>
      <c r="J2235" s="636"/>
      <c r="K2235" s="4385"/>
      <c r="L2235" s="636"/>
      <c r="M2235" s="4575">
        <v>4</v>
      </c>
      <c r="N2235" s="4576" t="s">
        <v>7443</v>
      </c>
      <c r="O2235" s="4054">
        <v>0.1</v>
      </c>
      <c r="P2235" s="4353">
        <f>250000*O2235</f>
        <v>25000</v>
      </c>
      <c r="Q2235" s="745"/>
      <c r="R2235" s="745"/>
      <c r="S2235" s="819"/>
      <c r="T2235" s="745"/>
      <c r="U2235" s="819"/>
      <c r="V2235" s="741"/>
      <c r="W2235" s="4360"/>
      <c r="X2235" s="818"/>
      <c r="Y2235" s="819"/>
      <c r="Z2235" s="2909"/>
      <c r="AA2235" s="4439"/>
      <c r="AB2235" s="4391"/>
      <c r="AC2235" s="4391"/>
      <c r="AD2235" s="961"/>
      <c r="AE2235" s="961"/>
      <c r="AF2235" s="961"/>
      <c r="AG2235" s="961"/>
      <c r="AH2235" s="682"/>
      <c r="AI2235" s="961"/>
    </row>
    <row r="2236" s="55" customFormat="1" ht="107" spans="1:35">
      <c r="A2236" s="4517" t="s">
        <v>1003</v>
      </c>
      <c r="B2236" s="4518">
        <v>45280</v>
      </c>
      <c r="C2236" s="4517" t="s">
        <v>7332</v>
      </c>
      <c r="D2236" s="4517" t="s">
        <v>171</v>
      </c>
      <c r="E2236" s="4517" t="s">
        <v>7444</v>
      </c>
      <c r="F2236" s="4517" t="s">
        <v>7445</v>
      </c>
      <c r="G2236" s="4517" t="s">
        <v>3682</v>
      </c>
      <c r="H2236" s="4517" t="s">
        <v>7446</v>
      </c>
      <c r="I2236" s="4517">
        <v>41860.36</v>
      </c>
      <c r="J2236" s="4517" t="s">
        <v>7447</v>
      </c>
      <c r="K2236" s="4530">
        <v>669765.76</v>
      </c>
      <c r="L2236" s="4517" t="s">
        <v>126</v>
      </c>
      <c r="M2236" s="4577"/>
      <c r="N2236" s="4578" t="s">
        <v>7448</v>
      </c>
      <c r="O2236" s="4579">
        <v>0.2</v>
      </c>
      <c r="P2236" s="4580">
        <f>669765.76*O2236</f>
        <v>133953.152</v>
      </c>
      <c r="Q2236" s="4620">
        <v>133953.152</v>
      </c>
      <c r="R2236" s="4621" t="s">
        <v>4603</v>
      </c>
      <c r="S2236" s="4622">
        <v>45555</v>
      </c>
      <c r="T2236" s="4621">
        <v>133953.15</v>
      </c>
      <c r="U2236" s="4622">
        <v>45555</v>
      </c>
      <c r="V2236" s="4621">
        <v>133953.15</v>
      </c>
      <c r="W2236" s="4651">
        <v>45555</v>
      </c>
      <c r="X2236" s="4652">
        <v>133953.152</v>
      </c>
      <c r="Y2236" s="4622">
        <v>45565</v>
      </c>
      <c r="Z2236" s="4621"/>
      <c r="AA2236" s="4672"/>
      <c r="AB2236" s="4673"/>
      <c r="AC2236" s="4673"/>
      <c r="AD2236" s="4658"/>
      <c r="AE2236" s="4658"/>
      <c r="AF2236" s="4658"/>
      <c r="AG2236" s="4658"/>
      <c r="AH2236" s="4684"/>
      <c r="AI2236" s="4658"/>
    </row>
    <row r="2237" s="55" customFormat="1" ht="92" spans="1:35">
      <c r="A2237" s="4517"/>
      <c r="B2237" s="4518"/>
      <c r="C2237" s="4517"/>
      <c r="D2237" s="4517"/>
      <c r="E2237" s="4517"/>
      <c r="F2237" s="4517"/>
      <c r="G2237" s="4517"/>
      <c r="H2237" s="4522"/>
      <c r="I2237" s="4517"/>
      <c r="J2237" s="4517"/>
      <c r="K2237" s="4530"/>
      <c r="L2237" s="4517"/>
      <c r="M2237" s="4577"/>
      <c r="N2237" s="4578" t="s">
        <v>7449</v>
      </c>
      <c r="O2237" s="4579">
        <v>0.3</v>
      </c>
      <c r="P2237" s="4580">
        <f>669765.76*O2237</f>
        <v>200929.728</v>
      </c>
      <c r="Q2237" s="4580">
        <v>200929.728</v>
      </c>
      <c r="R2237" s="4621" t="s">
        <v>4603</v>
      </c>
      <c r="S2237" s="4622">
        <v>45787</v>
      </c>
      <c r="T2237" s="4580">
        <v>200929.728</v>
      </c>
      <c r="U2237" s="4622">
        <v>45787</v>
      </c>
      <c r="V2237" s="4580">
        <v>200929.728</v>
      </c>
      <c r="W2237" s="4622">
        <v>45785</v>
      </c>
      <c r="X2237" s="4653">
        <v>200929.728</v>
      </c>
      <c r="Y2237" s="4622">
        <v>45806</v>
      </c>
      <c r="Z2237" s="4621"/>
      <c r="AA2237" s="4672"/>
      <c r="AB2237" s="4673"/>
      <c r="AC2237" s="4673"/>
      <c r="AD2237" s="4658"/>
      <c r="AE2237" s="4658"/>
      <c r="AF2237" s="4658"/>
      <c r="AG2237" s="4658"/>
      <c r="AH2237" s="4684"/>
      <c r="AI2237" s="4658"/>
    </row>
    <row r="2238" s="55" customFormat="1" ht="92" spans="1:35">
      <c r="A2238" s="4517"/>
      <c r="B2238" s="4518"/>
      <c r="C2238" s="4517"/>
      <c r="D2238" s="4517"/>
      <c r="E2238" s="4517"/>
      <c r="F2238" s="4517"/>
      <c r="G2238" s="4517"/>
      <c r="H2238" s="4522"/>
      <c r="I2238" s="4517"/>
      <c r="J2238" s="4517"/>
      <c r="K2238" s="4530"/>
      <c r="L2238" s="4517"/>
      <c r="M2238" s="4577"/>
      <c r="N2238" s="4578" t="s">
        <v>7450</v>
      </c>
      <c r="O2238" s="4579">
        <v>0.4</v>
      </c>
      <c r="P2238" s="4580">
        <f>669765.76*O2238</f>
        <v>267906.304</v>
      </c>
      <c r="Q2238" s="4620">
        <v>267906.304</v>
      </c>
      <c r="R2238" s="4621" t="s">
        <v>4603</v>
      </c>
      <c r="S2238" s="4622">
        <v>45849</v>
      </c>
      <c r="T2238" s="4623">
        <v>267906.3</v>
      </c>
      <c r="U2238" s="4622">
        <v>45849</v>
      </c>
      <c r="V2238" s="4654"/>
      <c r="W2238" s="4655"/>
      <c r="X2238" s="4656">
        <v>267906.304</v>
      </c>
      <c r="Y2238" s="4625">
        <v>46078</v>
      </c>
      <c r="Z2238" s="4621"/>
      <c r="AA2238" s="4672"/>
      <c r="AB2238" s="4673"/>
      <c r="AC2238" s="4673"/>
      <c r="AD2238" s="4658"/>
      <c r="AE2238" s="4658"/>
      <c r="AF2238" s="4658"/>
      <c r="AG2238" s="4658"/>
      <c r="AH2238" s="4684"/>
      <c r="AI2238" s="4658"/>
    </row>
    <row r="2239" s="55" customFormat="1" ht="92" spans="1:35">
      <c r="A2239" s="4517"/>
      <c r="B2239" s="4518"/>
      <c r="C2239" s="4517"/>
      <c r="D2239" s="4517"/>
      <c r="E2239" s="4517"/>
      <c r="F2239" s="4517"/>
      <c r="G2239" s="4517"/>
      <c r="H2239" s="4522"/>
      <c r="I2239" s="4517"/>
      <c r="J2239" s="4517"/>
      <c r="K2239" s="4531"/>
      <c r="L2239" s="4532"/>
      <c r="M2239" s="4577"/>
      <c r="N2239" s="4578" t="s">
        <v>7451</v>
      </c>
      <c r="O2239" s="4581">
        <v>0.1</v>
      </c>
      <c r="P2239" s="4582">
        <f>669765.76*O2239</f>
        <v>66976.576</v>
      </c>
      <c r="Q2239" s="4624">
        <v>66976.576</v>
      </c>
      <c r="R2239" s="4624"/>
      <c r="S2239" s="4625"/>
      <c r="T2239" s="4624"/>
      <c r="U2239" s="4657"/>
      <c r="V2239" s="4658"/>
      <c r="W2239" s="4659"/>
      <c r="X2239" s="4660"/>
      <c r="Y2239" s="4657"/>
      <c r="Z2239" s="4624"/>
      <c r="AA2239" s="4674"/>
      <c r="AB2239" s="4675"/>
      <c r="AC2239" s="4675"/>
      <c r="AD2239" s="4658"/>
      <c r="AE2239" s="4658"/>
      <c r="AF2239" s="4658"/>
      <c r="AG2239" s="4658"/>
      <c r="AH2239" s="4684"/>
      <c r="AI2239" s="4658"/>
    </row>
    <row r="2240" s="56" customFormat="1" ht="152" spans="1:35">
      <c r="A2240" s="416" t="s">
        <v>1003</v>
      </c>
      <c r="B2240" s="4519">
        <v>45272</v>
      </c>
      <c r="C2240" s="416" t="s">
        <v>7332</v>
      </c>
      <c r="D2240" s="416" t="s">
        <v>171</v>
      </c>
      <c r="E2240" s="416" t="s">
        <v>7452</v>
      </c>
      <c r="F2240" s="416" t="s">
        <v>7453</v>
      </c>
      <c r="G2240" s="416" t="s">
        <v>3469</v>
      </c>
      <c r="H2240" s="416" t="s">
        <v>5984</v>
      </c>
      <c r="I2240" s="416">
        <v>200203.39</v>
      </c>
      <c r="J2240" s="416" t="s">
        <v>1368</v>
      </c>
      <c r="K2240" s="4533">
        <v>200203.39</v>
      </c>
      <c r="L2240" s="414" t="s">
        <v>126</v>
      </c>
      <c r="M2240" s="414">
        <v>1</v>
      </c>
      <c r="N2240" s="2132" t="s">
        <v>7454</v>
      </c>
      <c r="O2240" s="4583">
        <v>0.2</v>
      </c>
      <c r="P2240" s="4584">
        <f>200203.39*O2240</f>
        <v>40040.678</v>
      </c>
      <c r="Q2240" s="4626">
        <v>40040.678</v>
      </c>
      <c r="R2240" s="622" t="s">
        <v>4603</v>
      </c>
      <c r="S2240" s="903">
        <v>45434</v>
      </c>
      <c r="T2240" s="622"/>
      <c r="U2240" s="903"/>
      <c r="V2240" s="415"/>
      <c r="W2240" s="571"/>
      <c r="X2240" s="4661">
        <v>40040.678</v>
      </c>
      <c r="Y2240" s="903">
        <v>45441</v>
      </c>
      <c r="Z2240" s="622"/>
      <c r="AA2240" s="4676"/>
      <c r="AB2240" s="4677"/>
      <c r="AC2240" s="4677"/>
      <c r="AD2240" s="415"/>
      <c r="AE2240" s="415"/>
      <c r="AF2240" s="415"/>
      <c r="AG2240" s="415"/>
      <c r="AH2240" s="402"/>
      <c r="AI2240" s="609"/>
    </row>
    <row r="2241" s="56" customFormat="1" ht="152" spans="1:35">
      <c r="A2241" s="420"/>
      <c r="B2241" s="4685"/>
      <c r="C2241" s="420"/>
      <c r="D2241" s="420"/>
      <c r="E2241" s="420"/>
      <c r="F2241" s="420"/>
      <c r="G2241" s="420"/>
      <c r="H2241" s="420"/>
      <c r="I2241" s="420"/>
      <c r="J2241" s="420"/>
      <c r="K2241" s="4533"/>
      <c r="L2241" s="414"/>
      <c r="M2241" s="388">
        <v>2</v>
      </c>
      <c r="N2241" s="2132" t="s">
        <v>7455</v>
      </c>
      <c r="O2241" s="4583">
        <v>0.7</v>
      </c>
      <c r="P2241" s="4584">
        <f>200203.39*O2241</f>
        <v>140142.373</v>
      </c>
      <c r="Q2241" s="4584">
        <v>140142.373</v>
      </c>
      <c r="R2241" s="622" t="s">
        <v>4603</v>
      </c>
      <c r="S2241" s="903">
        <v>45849</v>
      </c>
      <c r="T2241" s="622"/>
      <c r="U2241" s="903"/>
      <c r="V2241" s="415"/>
      <c r="W2241" s="571"/>
      <c r="X2241" s="572">
        <v>140142.373</v>
      </c>
      <c r="Y2241" s="604">
        <v>46052</v>
      </c>
      <c r="Z2241" s="622"/>
      <c r="AA2241" s="4676"/>
      <c r="AB2241" s="4677"/>
      <c r="AC2241" s="4677"/>
      <c r="AD2241" s="415"/>
      <c r="AE2241" s="415"/>
      <c r="AF2241" s="415"/>
      <c r="AG2241" s="415"/>
      <c r="AH2241" s="402"/>
      <c r="AI2241" s="609"/>
    </row>
    <row r="2242" s="56" customFormat="1" ht="107" spans="1:35">
      <c r="A2242" s="420"/>
      <c r="B2242" s="4685"/>
      <c r="C2242" s="420"/>
      <c r="D2242" s="420"/>
      <c r="E2242" s="420"/>
      <c r="F2242" s="420"/>
      <c r="G2242" s="420"/>
      <c r="H2242" s="420"/>
      <c r="I2242" s="420"/>
      <c r="J2242" s="420"/>
      <c r="K2242" s="4696"/>
      <c r="L2242" s="416"/>
      <c r="M2242" s="392">
        <v>3</v>
      </c>
      <c r="N2242" s="4699" t="s">
        <v>7456</v>
      </c>
      <c r="O2242" s="4700">
        <v>0.1</v>
      </c>
      <c r="P2242" s="4701">
        <f>200203.39*O2242</f>
        <v>20020.339</v>
      </c>
      <c r="Q2242" s="4254"/>
      <c r="R2242" s="4254"/>
      <c r="S2242" s="4715"/>
      <c r="T2242" s="4254"/>
      <c r="U2242" s="4715"/>
      <c r="V2242" s="417"/>
      <c r="W2242" s="4730"/>
      <c r="X2242" s="4731"/>
      <c r="Y2242" s="4715"/>
      <c r="Z2242" s="4254"/>
      <c r="AA2242" s="4749"/>
      <c r="AB2242" s="4750"/>
      <c r="AC2242" s="4750"/>
      <c r="AD2242" s="417"/>
      <c r="AE2242" s="417"/>
      <c r="AF2242" s="417"/>
      <c r="AG2242" s="417"/>
      <c r="AH2242" s="402"/>
      <c r="AI2242" s="609"/>
    </row>
    <row r="2243" s="45" customFormat="1" ht="61" spans="1:35">
      <c r="A2243" s="4011" t="s">
        <v>1003</v>
      </c>
      <c r="B2243" s="4279">
        <v>45485</v>
      </c>
      <c r="C2243" s="4011" t="s">
        <v>7332</v>
      </c>
      <c r="D2243" s="1795"/>
      <c r="E2243" s="4011" t="s">
        <v>7457</v>
      </c>
      <c r="F2243" s="4011" t="s">
        <v>7458</v>
      </c>
      <c r="G2243" s="4086" t="s">
        <v>193</v>
      </c>
      <c r="H2243" s="4086" t="s">
        <v>5837</v>
      </c>
      <c r="I2243" s="4086">
        <v>44455.61</v>
      </c>
      <c r="J2243" s="4086" t="s">
        <v>7459</v>
      </c>
      <c r="K2243" s="4697">
        <v>124475.71</v>
      </c>
      <c r="L2243" s="4010" t="s">
        <v>32</v>
      </c>
      <c r="M2243" s="4702">
        <v>1</v>
      </c>
      <c r="N2243" s="4703" t="s">
        <v>7460</v>
      </c>
      <c r="O2243" s="4704">
        <v>0.4</v>
      </c>
      <c r="P2243" s="4705">
        <f>124475.71*O2243</f>
        <v>49790.284</v>
      </c>
      <c r="Q2243" s="4705">
        <v>49790.284</v>
      </c>
      <c r="R2243" s="3967" t="s">
        <v>4603</v>
      </c>
      <c r="S2243" s="4716">
        <v>45496</v>
      </c>
      <c r="T2243" s="4705">
        <v>49790.284</v>
      </c>
      <c r="U2243" s="4716">
        <v>45496</v>
      </c>
      <c r="V2243" s="4705">
        <v>49790.284</v>
      </c>
      <c r="W2243" s="4716">
        <v>45497</v>
      </c>
      <c r="X2243" s="4732">
        <v>49790.284</v>
      </c>
      <c r="Y2243" s="4716">
        <v>45503</v>
      </c>
      <c r="Z2243" s="4098"/>
      <c r="AA2243" s="4751"/>
      <c r="AB2243" s="4752"/>
      <c r="AC2243" s="4752"/>
      <c r="AD2243" s="4332"/>
      <c r="AE2243" s="4332"/>
      <c r="AF2243" s="4332"/>
      <c r="AG2243" s="4332"/>
      <c r="AH2243" s="4370"/>
      <c r="AI2243" s="4336"/>
    </row>
    <row r="2244" s="45" customFormat="1" ht="76" spans="1:35">
      <c r="A2244" s="4011"/>
      <c r="B2244" s="4280"/>
      <c r="C2244" s="4011"/>
      <c r="D2244" s="1795"/>
      <c r="E2244" s="4011"/>
      <c r="F2244" s="4011"/>
      <c r="G2244" s="4086"/>
      <c r="H2244" s="4086"/>
      <c r="I2244" s="4086"/>
      <c r="J2244" s="4086"/>
      <c r="K2244" s="4698"/>
      <c r="L2244" s="4086"/>
      <c r="M2244" s="4010">
        <v>2</v>
      </c>
      <c r="N2244" s="4703" t="s">
        <v>5701</v>
      </c>
      <c r="O2244" s="4704">
        <v>0.55</v>
      </c>
      <c r="P2244" s="4705">
        <f>124475.71*O2244</f>
        <v>68461.6405</v>
      </c>
      <c r="Q2244" s="4705">
        <v>68461.6405</v>
      </c>
      <c r="R2244" s="3967" t="s">
        <v>4603</v>
      </c>
      <c r="S2244" s="4716">
        <v>45855</v>
      </c>
      <c r="T2244" s="4705">
        <v>68461.6405</v>
      </c>
      <c r="U2244" s="4716">
        <v>45859</v>
      </c>
      <c r="V2244" s="4705">
        <v>68461.6405</v>
      </c>
      <c r="W2244" s="4733">
        <v>45852</v>
      </c>
      <c r="X2244" s="4732">
        <v>68461.6405</v>
      </c>
      <c r="Y2244" s="4716">
        <v>45877</v>
      </c>
      <c r="Z2244" s="4098"/>
      <c r="AA2244" s="4751"/>
      <c r="AB2244" s="4752"/>
      <c r="AC2244" s="4752"/>
      <c r="AD2244" s="4332"/>
      <c r="AE2244" s="4332"/>
      <c r="AF2244" s="4332"/>
      <c r="AG2244" s="4332"/>
      <c r="AH2244" s="4370"/>
      <c r="AI2244" s="4336"/>
    </row>
    <row r="2245" s="45" customFormat="1" ht="76" spans="1:35">
      <c r="A2245" s="4010"/>
      <c r="B2245" s="4280"/>
      <c r="C2245" s="4010"/>
      <c r="D2245" s="1976"/>
      <c r="E2245" s="4010"/>
      <c r="F2245" s="4010"/>
      <c r="G2245" s="4086"/>
      <c r="H2245" s="4086"/>
      <c r="I2245" s="4086"/>
      <c r="J2245" s="4086"/>
      <c r="K2245" s="4698"/>
      <c r="L2245" s="4086"/>
      <c r="M2245" s="4702">
        <v>3</v>
      </c>
      <c r="N2245" s="4703" t="s">
        <v>5702</v>
      </c>
      <c r="O2245" s="4704">
        <v>0.05</v>
      </c>
      <c r="P2245" s="4705">
        <f>124475.71*O2245</f>
        <v>6223.7855</v>
      </c>
      <c r="Q2245" s="3967"/>
      <c r="R2245" s="3967"/>
      <c r="S2245" s="4716"/>
      <c r="T2245" s="3967"/>
      <c r="U2245" s="4716"/>
      <c r="V2245" s="4332"/>
      <c r="W2245" s="4733"/>
      <c r="X2245" s="4732"/>
      <c r="Y2245" s="4716"/>
      <c r="Z2245" s="4098"/>
      <c r="AA2245" s="4751"/>
      <c r="AB2245" s="4752"/>
      <c r="AC2245" s="4752"/>
      <c r="AD2245" s="4332"/>
      <c r="AE2245" s="4332"/>
      <c r="AF2245" s="4332"/>
      <c r="AG2245" s="4332"/>
      <c r="AH2245" s="4370"/>
      <c r="AI2245" s="4336"/>
    </row>
    <row r="2246" s="19" customFormat="1" ht="92" spans="1:35">
      <c r="A2246" s="1795" t="s">
        <v>1003</v>
      </c>
      <c r="B2246" s="3132">
        <v>45714</v>
      </c>
      <c r="C2246" s="3132" t="s">
        <v>7332</v>
      </c>
      <c r="D2246" s="1795"/>
      <c r="E2246" s="3132" t="s">
        <v>7461</v>
      </c>
      <c r="F2246" s="1976" t="s">
        <v>7462</v>
      </c>
      <c r="G2246" s="3132" t="s">
        <v>6190</v>
      </c>
      <c r="H2246" s="3132" t="s">
        <v>5155</v>
      </c>
      <c r="I2246" s="1976"/>
      <c r="J2246" s="1976"/>
      <c r="K2246" s="3150">
        <v>215365.48</v>
      </c>
      <c r="L2246" s="3132" t="s">
        <v>35</v>
      </c>
      <c r="M2246" s="1976">
        <v>1</v>
      </c>
      <c r="N2246" s="1976" t="s">
        <v>3702</v>
      </c>
      <c r="O2246" s="1976" t="s">
        <v>3622</v>
      </c>
      <c r="P2246" s="4706">
        <f>215365.48*0.15</f>
        <v>32304.822</v>
      </c>
      <c r="Q2246" s="4706">
        <v>32304.822</v>
      </c>
      <c r="R2246" s="2650" t="s">
        <v>4603</v>
      </c>
      <c r="S2246" s="1977">
        <v>45855</v>
      </c>
      <c r="T2246" s="4706">
        <v>32304.822</v>
      </c>
      <c r="U2246" s="1977">
        <v>45855</v>
      </c>
      <c r="V2246" s="4706">
        <v>32304.822</v>
      </c>
      <c r="W2246" s="4734">
        <v>45852</v>
      </c>
      <c r="X2246" s="4735">
        <v>32304.822</v>
      </c>
      <c r="Y2246" s="1977">
        <v>45868</v>
      </c>
      <c r="Z2246" s="1793"/>
      <c r="AA2246" s="2707"/>
      <c r="AB2246" s="4753"/>
      <c r="AC2246" s="4753"/>
      <c r="AD2246" s="1843"/>
      <c r="AE2246" s="1843"/>
      <c r="AF2246" s="1843"/>
      <c r="AG2246" s="1843"/>
      <c r="AH2246" s="4762"/>
      <c r="AI2246" s="4763"/>
    </row>
    <row r="2247" s="19" customFormat="1" ht="76" spans="1:35">
      <c r="A2247" s="1795"/>
      <c r="B2247" s="3132"/>
      <c r="C2247" s="3132"/>
      <c r="D2247" s="1795"/>
      <c r="E2247" s="3132"/>
      <c r="F2247" s="2787"/>
      <c r="G2247" s="3132"/>
      <c r="H2247" s="3132"/>
      <c r="I2247" s="2787"/>
      <c r="J2247" s="2787"/>
      <c r="K2247" s="3150"/>
      <c r="L2247" s="3132"/>
      <c r="M2247" s="1976">
        <v>3</v>
      </c>
      <c r="N2247" s="1976" t="s">
        <v>3703</v>
      </c>
      <c r="O2247" s="1976" t="s">
        <v>3704</v>
      </c>
      <c r="P2247" s="4706">
        <f>215365.48*0.2</f>
        <v>43073.096</v>
      </c>
      <c r="Q2247" s="4706">
        <v>43073.096</v>
      </c>
      <c r="R2247" s="2650" t="s">
        <v>4603</v>
      </c>
      <c r="S2247" s="1977">
        <v>45855</v>
      </c>
      <c r="T2247" s="4706">
        <v>43073.096</v>
      </c>
      <c r="U2247" s="1977">
        <v>45855</v>
      </c>
      <c r="V2247" s="4706">
        <v>43073.096</v>
      </c>
      <c r="W2247" s="4734">
        <v>45852</v>
      </c>
      <c r="X2247" s="4735">
        <v>43073.096</v>
      </c>
      <c r="Y2247" s="1977">
        <v>45868</v>
      </c>
      <c r="Z2247" s="1793"/>
      <c r="AA2247" s="2707"/>
      <c r="AB2247" s="4753"/>
      <c r="AC2247" s="4753"/>
      <c r="AD2247" s="1843"/>
      <c r="AE2247" s="1843"/>
      <c r="AF2247" s="1843"/>
      <c r="AG2247" s="1843"/>
      <c r="AH2247" s="4762"/>
      <c r="AI2247" s="4763"/>
    </row>
    <row r="2248" s="19" customFormat="1" ht="61.5" customHeight="1" spans="1:35">
      <c r="A2248" s="1795"/>
      <c r="B2248" s="3132"/>
      <c r="C2248" s="3132"/>
      <c r="D2248" s="1795"/>
      <c r="E2248" s="3132"/>
      <c r="F2248" s="2787"/>
      <c r="G2248" s="3132"/>
      <c r="H2248" s="3132"/>
      <c r="I2248" s="2787"/>
      <c r="J2248" s="2787"/>
      <c r="K2248" s="3150"/>
      <c r="L2248" s="3132"/>
      <c r="M2248" s="1976">
        <v>3</v>
      </c>
      <c r="N2248" s="1976" t="s">
        <v>3705</v>
      </c>
      <c r="O2248" s="1976" t="s">
        <v>3706</v>
      </c>
      <c r="P2248" s="4706">
        <f>215365.48*0.05</f>
        <v>10768.274</v>
      </c>
      <c r="Q2248" s="4706">
        <v>10768.274</v>
      </c>
      <c r="R2248" s="2650" t="s">
        <v>4603</v>
      </c>
      <c r="S2248" s="1977">
        <v>45855</v>
      </c>
      <c r="T2248" s="4706">
        <v>10768.274</v>
      </c>
      <c r="U2248" s="1977">
        <v>45855</v>
      </c>
      <c r="V2248" s="4706">
        <v>10768.274</v>
      </c>
      <c r="W2248" s="4734">
        <v>45852</v>
      </c>
      <c r="X2248" s="4735">
        <v>10768.274</v>
      </c>
      <c r="Y2248" s="1977">
        <v>45868</v>
      </c>
      <c r="Z2248" s="1793"/>
      <c r="AA2248" s="2707"/>
      <c r="AB2248" s="4753"/>
      <c r="AC2248" s="4753"/>
      <c r="AD2248" s="1843"/>
      <c r="AE2248" s="1843"/>
      <c r="AF2248" s="1843"/>
      <c r="AG2248" s="1843"/>
      <c r="AH2248" s="4762"/>
      <c r="AI2248" s="4763"/>
    </row>
    <row r="2249" s="19" customFormat="1" ht="30" customHeight="1" spans="1:35">
      <c r="A2249" s="1795"/>
      <c r="B2249" s="3132"/>
      <c r="C2249" s="3132"/>
      <c r="D2249" s="1795"/>
      <c r="E2249" s="3132"/>
      <c r="F2249" s="2787"/>
      <c r="G2249" s="3132"/>
      <c r="H2249" s="3132"/>
      <c r="I2249" s="2787"/>
      <c r="J2249" s="2787"/>
      <c r="K2249" s="3150"/>
      <c r="L2249" s="3132"/>
      <c r="M2249" s="1976">
        <v>4</v>
      </c>
      <c r="N2249" s="1976" t="s">
        <v>3707</v>
      </c>
      <c r="O2249" s="1976" t="s">
        <v>3708</v>
      </c>
      <c r="P2249" s="4706">
        <f>215365.48*0.4</f>
        <v>86146.192</v>
      </c>
      <c r="Q2249" s="4706">
        <f>215365.48*0.3</f>
        <v>64609.644</v>
      </c>
      <c r="R2249" s="2650" t="s">
        <v>4603</v>
      </c>
      <c r="S2249" s="1977">
        <v>45855</v>
      </c>
      <c r="T2249" s="4706">
        <f>215365.48*0.3</f>
        <v>64609.644</v>
      </c>
      <c r="U2249" s="1977">
        <v>45855</v>
      </c>
      <c r="V2249" s="1843">
        <v>34458.46</v>
      </c>
      <c r="W2249" s="4734">
        <v>45852</v>
      </c>
      <c r="X2249" s="4735">
        <v>34458.46</v>
      </c>
      <c r="Y2249" s="1977">
        <v>45868</v>
      </c>
      <c r="Z2249" s="1793"/>
      <c r="AA2249" s="2707"/>
      <c r="AB2249" s="4753"/>
      <c r="AC2249" s="4753"/>
      <c r="AD2249" s="1843"/>
      <c r="AE2249" s="1843"/>
      <c r="AF2249" s="1843"/>
      <c r="AG2249" s="1843"/>
      <c r="AH2249" s="4762"/>
      <c r="AI2249" s="4763"/>
    </row>
    <row r="2250" s="19" customFormat="1" ht="30.75" customHeight="1" spans="1:35">
      <c r="A2250" s="1795"/>
      <c r="B2250" s="3132"/>
      <c r="C2250" s="3132"/>
      <c r="D2250" s="1795"/>
      <c r="E2250" s="3132"/>
      <c r="F2250" s="2787"/>
      <c r="G2250" s="3132"/>
      <c r="H2250" s="3132"/>
      <c r="I2250" s="2787"/>
      <c r="J2250" s="2787"/>
      <c r="K2250" s="3150"/>
      <c r="L2250" s="3132"/>
      <c r="M2250" s="2787"/>
      <c r="N2250" s="2787"/>
      <c r="O2250" s="2787"/>
      <c r="P2250" s="4707"/>
      <c r="Q2250" s="4707"/>
      <c r="R2250" s="2779"/>
      <c r="S2250" s="4717"/>
      <c r="T2250" s="4707"/>
      <c r="U2250" s="4717"/>
      <c r="V2250" s="1982">
        <v>30151.18</v>
      </c>
      <c r="W2250" s="4734"/>
      <c r="X2250" s="4736">
        <v>30151.18</v>
      </c>
      <c r="Y2250" s="1984">
        <v>46052</v>
      </c>
      <c r="Z2250" s="1793"/>
      <c r="AA2250" s="2707"/>
      <c r="AB2250" s="4753"/>
      <c r="AC2250" s="4753"/>
      <c r="AD2250" s="1843"/>
      <c r="AE2250" s="1843"/>
      <c r="AF2250" s="1843"/>
      <c r="AG2250" s="1843"/>
      <c r="AH2250" s="4762"/>
      <c r="AI2250" s="4763"/>
    </row>
    <row r="2251" s="19" customFormat="1" ht="45" customHeight="1" spans="1:35">
      <c r="A2251" s="1795"/>
      <c r="B2251" s="3132"/>
      <c r="C2251" s="3132"/>
      <c r="D2251" s="1795"/>
      <c r="E2251" s="3132"/>
      <c r="F2251" s="2787"/>
      <c r="G2251" s="3132"/>
      <c r="H2251" s="3132"/>
      <c r="I2251" s="2787"/>
      <c r="J2251" s="2787"/>
      <c r="K2251" s="3150"/>
      <c r="L2251" s="3132"/>
      <c r="M2251" s="2787"/>
      <c r="N2251" s="2787"/>
      <c r="O2251" s="2787"/>
      <c r="P2251" s="4707"/>
      <c r="Q2251" s="4718">
        <f>P2249-Q2249</f>
        <v>21536.548</v>
      </c>
      <c r="R2251" s="1982" t="s">
        <v>349</v>
      </c>
      <c r="S2251" s="4238">
        <v>46203</v>
      </c>
      <c r="T2251" s="2650"/>
      <c r="U2251" s="1977"/>
      <c r="V2251" s="4718">
        <v>21536.548</v>
      </c>
      <c r="W2251" s="4734"/>
      <c r="X2251" s="4736">
        <v>21536.548</v>
      </c>
      <c r="Y2251" s="1984">
        <v>46233</v>
      </c>
      <c r="Z2251" s="1793"/>
      <c r="AA2251" s="2707"/>
      <c r="AB2251" s="4753"/>
      <c r="AC2251" s="4753"/>
      <c r="AD2251" s="1843"/>
      <c r="AE2251" s="1843"/>
      <c r="AF2251" s="1843"/>
      <c r="AG2251" s="1843"/>
      <c r="AH2251" s="4762"/>
      <c r="AI2251" s="4763"/>
    </row>
    <row r="2252" s="19" customFormat="1" ht="76" spans="1:35">
      <c r="A2252" s="1795"/>
      <c r="B2252" s="3132"/>
      <c r="C2252" s="3132"/>
      <c r="D2252" s="1795"/>
      <c r="E2252" s="3132"/>
      <c r="F2252" s="2787"/>
      <c r="G2252" s="3132"/>
      <c r="H2252" s="3132"/>
      <c r="I2252" s="2787"/>
      <c r="J2252" s="2787"/>
      <c r="K2252" s="3150"/>
      <c r="L2252" s="3132"/>
      <c r="M2252" s="1976">
        <v>5</v>
      </c>
      <c r="N2252" s="1976" t="s">
        <v>3709</v>
      </c>
      <c r="O2252" s="1976" t="s">
        <v>3633</v>
      </c>
      <c r="P2252" s="4706">
        <f>215365.48*0.15</f>
        <v>32304.822</v>
      </c>
      <c r="Q2252" s="4718">
        <f>215365.48*0.15</f>
        <v>32304.822</v>
      </c>
      <c r="R2252" s="1982" t="s">
        <v>349</v>
      </c>
      <c r="S2252" s="1984">
        <v>46386</v>
      </c>
      <c r="T2252" s="2650"/>
      <c r="U2252" s="1977"/>
      <c r="V2252" s="1843"/>
      <c r="W2252" s="4734"/>
      <c r="X2252" s="4718">
        <f>215365.48*0.15</f>
        <v>32304.822</v>
      </c>
      <c r="Y2252" s="1984">
        <v>46386</v>
      </c>
      <c r="Z2252" s="1793"/>
      <c r="AA2252" s="2707"/>
      <c r="AB2252" s="4753"/>
      <c r="AC2252" s="4753"/>
      <c r="AD2252" s="1843"/>
      <c r="AE2252" s="1843"/>
      <c r="AF2252" s="1843"/>
      <c r="AG2252" s="1843"/>
      <c r="AH2252" s="4762"/>
      <c r="AI2252" s="4763"/>
    </row>
    <row r="2253" s="19" customFormat="1" ht="46" spans="1:35">
      <c r="A2253" s="1795"/>
      <c r="B2253" s="3132"/>
      <c r="C2253" s="3132"/>
      <c r="D2253" s="1795"/>
      <c r="E2253" s="3132"/>
      <c r="F2253" s="2604"/>
      <c r="G2253" s="3132"/>
      <c r="H2253" s="3132"/>
      <c r="I2253" s="2604"/>
      <c r="J2253" s="2604"/>
      <c r="K2253" s="3150"/>
      <c r="L2253" s="3132"/>
      <c r="M2253" s="1976">
        <v>6</v>
      </c>
      <c r="N2253" s="1976" t="s">
        <v>7463</v>
      </c>
      <c r="O2253" s="1976" t="s">
        <v>3711</v>
      </c>
      <c r="P2253" s="4706">
        <f>215365.48*0.05</f>
        <v>10768.274</v>
      </c>
      <c r="Q2253" s="2650"/>
      <c r="R2253" s="2650"/>
      <c r="S2253" s="1977"/>
      <c r="T2253" s="2650"/>
      <c r="U2253" s="1977"/>
      <c r="V2253" s="1843"/>
      <c r="W2253" s="4734"/>
      <c r="X2253" s="4735"/>
      <c r="Y2253" s="1977"/>
      <c r="Z2253" s="1793"/>
      <c r="AA2253" s="2707"/>
      <c r="AB2253" s="4753"/>
      <c r="AC2253" s="4753"/>
      <c r="AD2253" s="1843"/>
      <c r="AE2253" s="1843"/>
      <c r="AF2253" s="1843"/>
      <c r="AG2253" s="1843"/>
      <c r="AH2253" s="4762"/>
      <c r="AI2253" s="4763"/>
    </row>
    <row r="2254" s="23" customFormat="1" ht="25" customHeight="1" spans="1:35">
      <c r="A2254" s="655" t="s">
        <v>159</v>
      </c>
      <c r="B2254" s="648">
        <v>44893</v>
      </c>
      <c r="C2254" s="95" t="s">
        <v>4099</v>
      </c>
      <c r="D2254" s="328" t="s">
        <v>769</v>
      </c>
      <c r="E2254" s="127" t="s">
        <v>7464</v>
      </c>
      <c r="F2254" s="127" t="s">
        <v>7465</v>
      </c>
      <c r="G2254" s="96" t="s">
        <v>193</v>
      </c>
      <c r="H2254" s="127" t="s">
        <v>4861</v>
      </c>
      <c r="I2254" s="712">
        <v>92500</v>
      </c>
      <c r="J2254" s="127" t="s">
        <v>6724</v>
      </c>
      <c r="K2254" s="150">
        <v>273337.5</v>
      </c>
      <c r="L2254" s="128" t="s">
        <v>32</v>
      </c>
      <c r="M2254" s="96">
        <v>1</v>
      </c>
      <c r="N2254" s="2618" t="s">
        <v>4729</v>
      </c>
      <c r="O2254" s="2619">
        <v>0.2</v>
      </c>
      <c r="P2254" s="579">
        <f>O2254*K2254</f>
        <v>54667.5</v>
      </c>
      <c r="Q2254" s="128">
        <v>55500</v>
      </c>
      <c r="R2254" s="128" t="s">
        <v>4603</v>
      </c>
      <c r="S2254" s="276">
        <v>44911</v>
      </c>
      <c r="T2254" s="128">
        <v>55500</v>
      </c>
      <c r="U2254" s="276">
        <v>44896</v>
      </c>
      <c r="V2254" s="128">
        <v>249750</v>
      </c>
      <c r="W2254" s="882">
        <v>45258</v>
      </c>
      <c r="X2254" s="128">
        <v>249750</v>
      </c>
      <c r="Y2254" s="276">
        <v>45322</v>
      </c>
      <c r="Z2254" s="128">
        <f>V2254-X2254</f>
        <v>0</v>
      </c>
      <c r="AA2254" s="857"/>
      <c r="AB2254" s="927"/>
      <c r="AC2254" s="927"/>
      <c r="AD2254" s="96">
        <f>SUM(Q2254)</f>
        <v>55500</v>
      </c>
      <c r="AE2254" s="96">
        <f>SUM(V2254:V2258)</f>
        <v>273337.5</v>
      </c>
      <c r="AF2254" s="96">
        <f>SUM(X2254:X2258)</f>
        <v>273337.5</v>
      </c>
      <c r="AG2254" s="96">
        <f>K2254-AD2254</f>
        <v>217837.5</v>
      </c>
      <c r="AH2254" s="328" t="s">
        <v>197</v>
      </c>
      <c r="AI2254" s="96" t="s">
        <v>154</v>
      </c>
    </row>
    <row r="2255" s="23" customFormat="1" ht="25" customHeight="1" spans="1:35">
      <c r="A2255" s="655"/>
      <c r="B2255" s="652"/>
      <c r="C2255" s="656"/>
      <c r="D2255" s="328"/>
      <c r="E2255" s="328"/>
      <c r="F2255" s="127"/>
      <c r="G2255" s="96"/>
      <c r="H2255" s="328"/>
      <c r="I2255" s="712"/>
      <c r="J2255" s="328"/>
      <c r="K2255" s="150"/>
      <c r="L2255" s="96"/>
      <c r="M2255" s="96">
        <v>2</v>
      </c>
      <c r="N2255" s="2618" t="s">
        <v>6725</v>
      </c>
      <c r="O2255" s="2619">
        <v>0.3</v>
      </c>
      <c r="P2255" s="579">
        <f>O2255*K2254</f>
        <v>82001.25</v>
      </c>
      <c r="Q2255" s="128">
        <v>52795.8</v>
      </c>
      <c r="R2255" s="128" t="s">
        <v>4603</v>
      </c>
      <c r="S2255" s="276">
        <v>44911</v>
      </c>
      <c r="T2255" s="128">
        <v>52795.8</v>
      </c>
      <c r="U2255" s="276">
        <v>44896</v>
      </c>
      <c r="V2255" s="128"/>
      <c r="W2255" s="882"/>
      <c r="X2255" s="128"/>
      <c r="Y2255" s="276"/>
      <c r="Z2255" s="128"/>
      <c r="AA2255" s="857"/>
      <c r="AB2255" s="927"/>
      <c r="AC2255" s="927"/>
      <c r="AD2255" s="96"/>
      <c r="AE2255" s="96"/>
      <c r="AF2255" s="96"/>
      <c r="AG2255" s="96"/>
      <c r="AH2255" s="328"/>
      <c r="AI2255" s="96"/>
    </row>
    <row r="2256" s="23" customFormat="1" ht="25" customHeight="1" spans="1:35">
      <c r="A2256" s="655"/>
      <c r="B2256" s="652"/>
      <c r="C2256" s="656"/>
      <c r="D2256" s="328"/>
      <c r="E2256" s="328"/>
      <c r="F2256" s="127"/>
      <c r="G2256" s="96"/>
      <c r="H2256" s="328"/>
      <c r="I2256" s="712"/>
      <c r="J2256" s="328"/>
      <c r="K2256" s="150"/>
      <c r="L2256" s="96"/>
      <c r="M2256" s="96"/>
      <c r="N2256" s="2618"/>
      <c r="O2256" s="2619"/>
      <c r="P2256" s="579"/>
      <c r="Q2256" s="128">
        <f>P2255-Q2255</f>
        <v>29205.45</v>
      </c>
      <c r="R2256" s="128" t="s">
        <v>4603</v>
      </c>
      <c r="S2256" s="276">
        <v>45262</v>
      </c>
      <c r="T2256" s="128">
        <v>30454.2</v>
      </c>
      <c r="U2256" s="276">
        <v>45259</v>
      </c>
      <c r="V2256" s="128"/>
      <c r="W2256" s="882"/>
      <c r="X2256" s="128"/>
      <c r="Y2256" s="276"/>
      <c r="Z2256" s="128"/>
      <c r="AA2256" s="857"/>
      <c r="AB2256" s="927"/>
      <c r="AC2256" s="927"/>
      <c r="AD2256" s="96"/>
      <c r="AE2256" s="96"/>
      <c r="AF2256" s="96"/>
      <c r="AG2256" s="96"/>
      <c r="AH2256" s="328"/>
      <c r="AI2256" s="96"/>
    </row>
    <row r="2257" s="23" customFormat="1" ht="46" spans="1:35">
      <c r="A2257" s="655"/>
      <c r="B2257" s="652"/>
      <c r="C2257" s="656"/>
      <c r="D2257" s="328"/>
      <c r="E2257" s="328"/>
      <c r="F2257" s="127"/>
      <c r="G2257" s="96"/>
      <c r="H2257" s="328"/>
      <c r="I2257" s="712"/>
      <c r="J2257" s="328"/>
      <c r="K2257" s="150"/>
      <c r="L2257" s="96"/>
      <c r="M2257" s="96">
        <v>3</v>
      </c>
      <c r="N2257" s="2618" t="s">
        <v>5903</v>
      </c>
      <c r="O2257" s="2619">
        <v>0.4</v>
      </c>
      <c r="P2257" s="579">
        <f>K2254*O2257</f>
        <v>109335</v>
      </c>
      <c r="Q2257" s="837">
        <v>111000</v>
      </c>
      <c r="R2257" s="128" t="s">
        <v>4603</v>
      </c>
      <c r="S2257" s="276">
        <v>45262</v>
      </c>
      <c r="T2257" s="128">
        <v>111000</v>
      </c>
      <c r="U2257" s="276">
        <v>45259</v>
      </c>
      <c r="V2257" s="128"/>
      <c r="W2257" s="882"/>
      <c r="X2257" s="128"/>
      <c r="Y2257" s="276"/>
      <c r="Z2257" s="128"/>
      <c r="AA2257" s="857"/>
      <c r="AB2257" s="927"/>
      <c r="AC2257" s="927"/>
      <c r="AD2257" s="96"/>
      <c r="AE2257" s="96"/>
      <c r="AF2257" s="96"/>
      <c r="AG2257" s="96"/>
      <c r="AH2257" s="328"/>
      <c r="AI2257" s="96"/>
    </row>
    <row r="2258" s="1" customFormat="1" ht="33" customHeight="1" spans="1:35">
      <c r="A2258" s="4686"/>
      <c r="B2258" s="2539"/>
      <c r="C2258" s="1068"/>
      <c r="D2258" s="328"/>
      <c r="E2258" s="353"/>
      <c r="F2258" s="1067"/>
      <c r="G2258" s="316"/>
      <c r="H2258" s="353"/>
      <c r="I2258" s="3541"/>
      <c r="J2258" s="353"/>
      <c r="K2258" s="3368"/>
      <c r="L2258" s="316"/>
      <c r="M2258" s="96">
        <v>4</v>
      </c>
      <c r="N2258" s="2618" t="s">
        <v>4725</v>
      </c>
      <c r="O2258" s="2619">
        <v>0.1</v>
      </c>
      <c r="P2258" s="579">
        <f>O2258*K2254</f>
        <v>27333.75</v>
      </c>
      <c r="Q2258" s="837">
        <f>K2254-T2254-T2255-T2256-T2257</f>
        <v>23587.5</v>
      </c>
      <c r="R2258" s="128" t="s">
        <v>4603</v>
      </c>
      <c r="S2258" s="276">
        <v>45455</v>
      </c>
      <c r="T2258" s="74">
        <v>23587.5</v>
      </c>
      <c r="U2258" s="4737">
        <v>45455</v>
      </c>
      <c r="V2258" s="74">
        <v>23587.5</v>
      </c>
      <c r="W2258" s="4738">
        <v>45832</v>
      </c>
      <c r="X2258" s="74">
        <v>23587.5</v>
      </c>
      <c r="Y2258" s="4754">
        <v>45833</v>
      </c>
      <c r="Z2258" s="152"/>
      <c r="AA2258" s="3409"/>
      <c r="AB2258" s="4755"/>
      <c r="AC2258" s="4755"/>
      <c r="AD2258" s="316"/>
      <c r="AE2258" s="316"/>
      <c r="AF2258" s="316"/>
      <c r="AG2258" s="316"/>
      <c r="AH2258" s="353"/>
      <c r="AI2258" s="316"/>
    </row>
    <row r="2259" s="29" customFormat="1" ht="37.5" customHeight="1" spans="1:35">
      <c r="A2259" s="3576" t="s">
        <v>173</v>
      </c>
      <c r="B2259" s="3803">
        <v>44900</v>
      </c>
      <c r="C2259" s="649" t="s">
        <v>1201</v>
      </c>
      <c r="D2259" s="3804"/>
      <c r="E2259" s="647" t="s">
        <v>7466</v>
      </c>
      <c r="F2259" s="127" t="s">
        <v>7467</v>
      </c>
      <c r="G2259" s="3745" t="s">
        <v>193</v>
      </c>
      <c r="H2259" s="647" t="s">
        <v>7468</v>
      </c>
      <c r="I2259" s="3745">
        <v>42740.72</v>
      </c>
      <c r="J2259" s="3745">
        <v>2.78</v>
      </c>
      <c r="K2259" s="3812">
        <v>119000</v>
      </c>
      <c r="L2259" s="3576" t="s">
        <v>32</v>
      </c>
      <c r="M2259" s="3576">
        <v>1</v>
      </c>
      <c r="N2259" s="2618" t="s">
        <v>7469</v>
      </c>
      <c r="O2259" s="4708">
        <v>0.2</v>
      </c>
      <c r="P2259" s="837">
        <f>K2259*O2259</f>
        <v>23800</v>
      </c>
      <c r="Q2259" s="4719">
        <v>23800</v>
      </c>
      <c r="R2259" s="128" t="s">
        <v>4603</v>
      </c>
      <c r="S2259" s="276">
        <v>44911</v>
      </c>
      <c r="T2259" s="3576">
        <v>23800</v>
      </c>
      <c r="U2259" s="276">
        <v>44911</v>
      </c>
      <c r="V2259" s="3576">
        <v>23800</v>
      </c>
      <c r="W2259" s="313">
        <v>45407</v>
      </c>
      <c r="X2259" s="3576">
        <v>23800</v>
      </c>
      <c r="Y2259" s="3615">
        <v>45442</v>
      </c>
      <c r="Z2259" s="3894"/>
      <c r="AA2259" s="280"/>
      <c r="AB2259" s="3846"/>
      <c r="AC2259" s="3846"/>
      <c r="AD2259" s="3846"/>
      <c r="AE2259" s="3846"/>
      <c r="AF2259" s="3846"/>
      <c r="AG2259" s="3846"/>
      <c r="AH2259" s="3850" t="s">
        <v>197</v>
      </c>
      <c r="AI2259" s="3850" t="s">
        <v>154</v>
      </c>
    </row>
    <row r="2260" s="29" customFormat="1" ht="37.5" customHeight="1" spans="1:35">
      <c r="A2260" s="3576"/>
      <c r="B2260" s="3805"/>
      <c r="C2260" s="3807"/>
      <c r="D2260" s="3806"/>
      <c r="E2260" s="3806"/>
      <c r="F2260" s="3810"/>
      <c r="G2260" s="3747"/>
      <c r="H2260" s="3806"/>
      <c r="I2260" s="3747"/>
      <c r="J2260" s="3747"/>
      <c r="K2260" s="3812"/>
      <c r="L2260" s="3576"/>
      <c r="M2260" s="3576">
        <v>2</v>
      </c>
      <c r="N2260" s="2618" t="s">
        <v>7470</v>
      </c>
      <c r="O2260" s="4708">
        <v>0.5</v>
      </c>
      <c r="P2260" s="837">
        <f>K2259*O2260</f>
        <v>59500</v>
      </c>
      <c r="Q2260" s="3832">
        <v>59500</v>
      </c>
      <c r="R2260" s="128" t="s">
        <v>4603</v>
      </c>
      <c r="S2260" s="276">
        <v>44911</v>
      </c>
      <c r="T2260" s="3832">
        <v>59500</v>
      </c>
      <c r="U2260" s="276">
        <v>44911</v>
      </c>
      <c r="V2260" s="3832">
        <v>59500</v>
      </c>
      <c r="W2260" s="313">
        <v>45407</v>
      </c>
      <c r="X2260" s="3832">
        <v>59500</v>
      </c>
      <c r="Y2260" s="3615">
        <v>45442</v>
      </c>
      <c r="Z2260" s="3709"/>
      <c r="AA2260" s="280"/>
      <c r="AB2260" s="3846"/>
      <c r="AC2260" s="3846"/>
      <c r="AD2260" s="3846"/>
      <c r="AE2260" s="3846"/>
      <c r="AF2260" s="3846"/>
      <c r="AG2260" s="3846"/>
      <c r="AH2260" s="3851"/>
      <c r="AI2260" s="3851"/>
    </row>
    <row r="2261" s="29" customFormat="1" ht="28.5" customHeight="1" spans="1:35">
      <c r="A2261" s="3576"/>
      <c r="B2261" s="3830"/>
      <c r="C2261" s="3852"/>
      <c r="D2261" s="3853"/>
      <c r="E2261" s="3853"/>
      <c r="F2261" s="3810"/>
      <c r="G2261" s="3577"/>
      <c r="H2261" s="3853"/>
      <c r="I2261" s="3577"/>
      <c r="J2261" s="3577"/>
      <c r="K2261" s="3812"/>
      <c r="L2261" s="3576"/>
      <c r="M2261" s="3576">
        <v>3</v>
      </c>
      <c r="N2261" s="3556" t="s">
        <v>7471</v>
      </c>
      <c r="O2261" s="4708">
        <v>0.3</v>
      </c>
      <c r="P2261" s="837">
        <f>K2259*O2261</f>
        <v>35700</v>
      </c>
      <c r="Q2261" s="3833">
        <v>35700</v>
      </c>
      <c r="R2261" s="280"/>
      <c r="S2261" s="4720"/>
      <c r="T2261" s="3709"/>
      <c r="U2261" s="3709"/>
      <c r="V2261" s="3709"/>
      <c r="W2261" s="3846"/>
      <c r="X2261" s="3833">
        <v>35700</v>
      </c>
      <c r="Y2261" s="282"/>
      <c r="Z2261" s="3846"/>
      <c r="AA2261" s="3709"/>
      <c r="AB2261" s="3846"/>
      <c r="AC2261" s="3846"/>
      <c r="AD2261" s="3846"/>
      <c r="AE2261" s="3846"/>
      <c r="AF2261" s="3846"/>
      <c r="AG2261" s="3846"/>
      <c r="AH2261" s="930"/>
      <c r="AI2261" s="930"/>
    </row>
    <row r="2262" s="29" customFormat="1" ht="107" spans="1:35">
      <c r="A2262" s="3576" t="s">
        <v>173</v>
      </c>
      <c r="B2262" s="3803">
        <v>45019</v>
      </c>
      <c r="C2262" s="95" t="s">
        <v>1206</v>
      </c>
      <c r="D2262" s="3810"/>
      <c r="E2262" s="127" t="s">
        <v>7472</v>
      </c>
      <c r="F2262" s="127" t="s">
        <v>7473</v>
      </c>
      <c r="G2262" s="3576" t="s">
        <v>193</v>
      </c>
      <c r="H2262" s="127" t="s">
        <v>7468</v>
      </c>
      <c r="I2262" s="3576">
        <v>51990.42</v>
      </c>
      <c r="J2262" s="3576">
        <v>2.8</v>
      </c>
      <c r="K2262" s="3812">
        <v>145573.18</v>
      </c>
      <c r="L2262" s="3576" t="s">
        <v>32</v>
      </c>
      <c r="M2262" s="3576">
        <v>1</v>
      </c>
      <c r="N2262" s="3556" t="s">
        <v>5588</v>
      </c>
      <c r="O2262" s="4708">
        <v>0.4</v>
      </c>
      <c r="P2262" s="4709">
        <f>O2262*K2262</f>
        <v>58229.272</v>
      </c>
      <c r="Q2262" s="3576">
        <v>58229.27</v>
      </c>
      <c r="R2262" s="4721" t="s">
        <v>4603</v>
      </c>
      <c r="S2262" s="276">
        <v>45898</v>
      </c>
      <c r="T2262" s="3745">
        <v>58229.27</v>
      </c>
      <c r="U2262" s="276">
        <v>45898</v>
      </c>
      <c r="V2262" s="4727">
        <v>58229.27</v>
      </c>
      <c r="W2262" s="3837">
        <v>45904</v>
      </c>
      <c r="X2262" s="4727">
        <v>58229.27</v>
      </c>
      <c r="Y2262" s="4737">
        <v>45919</v>
      </c>
      <c r="Z2262" s="3846"/>
      <c r="AA2262" s="3709"/>
      <c r="AB2262" s="3846"/>
      <c r="AC2262" s="3846"/>
      <c r="AD2262" s="3846"/>
      <c r="AE2262" s="3846"/>
      <c r="AF2262" s="3846"/>
      <c r="AG2262" s="3846"/>
      <c r="AH2262" s="3851"/>
      <c r="AI2262" s="3851"/>
    </row>
    <row r="2263" s="29" customFormat="1" ht="122" spans="1:35">
      <c r="A2263" s="3576"/>
      <c r="B2263" s="3805"/>
      <c r="C2263" s="4687"/>
      <c r="D2263" s="3810"/>
      <c r="E2263" s="3810"/>
      <c r="F2263" s="3810"/>
      <c r="G2263" s="3576"/>
      <c r="H2263" s="3810"/>
      <c r="I2263" s="3576"/>
      <c r="J2263" s="3576"/>
      <c r="K2263" s="3812"/>
      <c r="L2263" s="3576"/>
      <c r="M2263" s="3576">
        <v>2</v>
      </c>
      <c r="N2263" s="3556" t="s">
        <v>5589</v>
      </c>
      <c r="O2263" s="4708">
        <v>0.58</v>
      </c>
      <c r="P2263" s="4709">
        <f>K2262*O2263</f>
        <v>84432.4444</v>
      </c>
      <c r="Q2263" s="3576">
        <v>84432.44</v>
      </c>
      <c r="R2263" s="4722"/>
      <c r="S2263" s="282"/>
      <c r="T2263" s="3769"/>
      <c r="U2263" s="282"/>
      <c r="V2263" s="3709"/>
      <c r="W2263" s="3846"/>
      <c r="X2263" s="3833"/>
      <c r="Y2263" s="282"/>
      <c r="Z2263" s="3846"/>
      <c r="AA2263" s="3709"/>
      <c r="AB2263" s="3846"/>
      <c r="AC2263" s="3846"/>
      <c r="AD2263" s="3846"/>
      <c r="AE2263" s="3846"/>
      <c r="AF2263" s="3846"/>
      <c r="AG2263" s="3846"/>
      <c r="AH2263" s="3851"/>
      <c r="AI2263" s="3851"/>
    </row>
    <row r="2264" s="29" customFormat="1" ht="107" spans="1:35">
      <c r="A2264" s="3576"/>
      <c r="B2264" s="3830"/>
      <c r="C2264" s="4687"/>
      <c r="D2264" s="3810"/>
      <c r="E2264" s="3810"/>
      <c r="F2264" s="3810"/>
      <c r="G2264" s="3576"/>
      <c r="H2264" s="3810"/>
      <c r="I2264" s="3576"/>
      <c r="J2264" s="3576"/>
      <c r="K2264" s="3812"/>
      <c r="L2264" s="3576"/>
      <c r="M2264" s="3576">
        <v>3</v>
      </c>
      <c r="N2264" s="3556" t="s">
        <v>5590</v>
      </c>
      <c r="O2264" s="4708">
        <v>0.02</v>
      </c>
      <c r="P2264" s="4709">
        <f>K2262*O2264</f>
        <v>2911.4636</v>
      </c>
      <c r="Q2264" s="3576">
        <v>2911.47</v>
      </c>
      <c r="R2264" s="4722"/>
      <c r="S2264" s="282"/>
      <c r="T2264" s="3769"/>
      <c r="U2264" s="3769"/>
      <c r="V2264" s="3709"/>
      <c r="W2264" s="3846"/>
      <c r="X2264" s="3833"/>
      <c r="Y2264" s="282"/>
      <c r="Z2264" s="3846"/>
      <c r="AA2264" s="3709"/>
      <c r="AB2264" s="3846"/>
      <c r="AC2264" s="3846"/>
      <c r="AD2264" s="3846"/>
      <c r="AE2264" s="3846"/>
      <c r="AF2264" s="3846"/>
      <c r="AG2264" s="3846"/>
      <c r="AH2264" s="3851"/>
      <c r="AI2264" s="3851"/>
    </row>
    <row r="2265" s="29" customFormat="1" ht="37.5" customHeight="1" spans="1:35">
      <c r="A2265" s="128" t="s">
        <v>173</v>
      </c>
      <c r="B2265" s="3803">
        <v>45013</v>
      </c>
      <c r="C2265" s="649" t="s">
        <v>7474</v>
      </c>
      <c r="D2265" s="3804"/>
      <c r="E2265" s="647" t="s">
        <v>7475</v>
      </c>
      <c r="F2265" s="127" t="s">
        <v>7476</v>
      </c>
      <c r="G2265" s="149" t="s">
        <v>31</v>
      </c>
      <c r="H2265" s="647" t="s">
        <v>7477</v>
      </c>
      <c r="I2265" s="3745">
        <v>333655.15</v>
      </c>
      <c r="J2265" s="3745">
        <v>3.3</v>
      </c>
      <c r="K2265" s="3812">
        <v>1101062</v>
      </c>
      <c r="L2265" s="128" t="s">
        <v>126</v>
      </c>
      <c r="M2265" s="3576">
        <v>1</v>
      </c>
      <c r="N2265" s="3556" t="s">
        <v>7478</v>
      </c>
      <c r="O2265" s="4708">
        <v>0.2</v>
      </c>
      <c r="P2265" s="4709">
        <f>K2265*O2265</f>
        <v>220212.4</v>
      </c>
      <c r="Q2265" s="3745">
        <v>220212.4</v>
      </c>
      <c r="R2265" s="4721" t="s">
        <v>4603</v>
      </c>
      <c r="S2265" s="283">
        <v>45019</v>
      </c>
      <c r="T2265" s="3745">
        <v>220212.4</v>
      </c>
      <c r="U2265" s="283">
        <v>45019</v>
      </c>
      <c r="V2265" s="3841">
        <v>220212.4</v>
      </c>
      <c r="W2265" s="276">
        <v>45019</v>
      </c>
      <c r="X2265" s="3841">
        <v>220212.4</v>
      </c>
      <c r="Y2265" s="3615">
        <v>45040</v>
      </c>
      <c r="Z2265" s="96">
        <f>Q2265-X2265</f>
        <v>0</v>
      </c>
      <c r="AA2265" s="647" t="s">
        <v>7479</v>
      </c>
      <c r="AB2265" s="3846"/>
      <c r="AC2265" s="3846"/>
      <c r="AD2265" s="3846"/>
      <c r="AE2265" s="3846"/>
      <c r="AF2265" s="3846"/>
      <c r="AG2265" s="3846"/>
      <c r="AH2265" s="3850" t="s">
        <v>197</v>
      </c>
      <c r="AI2265" s="3850" t="s">
        <v>154</v>
      </c>
    </row>
    <row r="2266" s="29" customFormat="1" ht="37.5" customHeight="1" spans="1:35">
      <c r="A2266" s="3576"/>
      <c r="B2266" s="3805"/>
      <c r="C2266" s="653"/>
      <c r="D2266" s="3806"/>
      <c r="E2266" s="651"/>
      <c r="F2266" s="127"/>
      <c r="G2266" s="151"/>
      <c r="H2266" s="651"/>
      <c r="I2266" s="3747"/>
      <c r="J2266" s="3747"/>
      <c r="K2266" s="3812"/>
      <c r="L2266" s="128"/>
      <c r="M2266" s="3745">
        <v>2</v>
      </c>
      <c r="N2266" s="3556" t="s">
        <v>7480</v>
      </c>
      <c r="O2266" s="4708">
        <v>0.6</v>
      </c>
      <c r="P2266" s="4710">
        <f>K2265*O2266</f>
        <v>660637.2</v>
      </c>
      <c r="Q2266" s="3745">
        <v>660637.2</v>
      </c>
      <c r="R2266" s="149" t="s">
        <v>4603</v>
      </c>
      <c r="S2266" s="283">
        <v>45051</v>
      </c>
      <c r="T2266" s="3745">
        <v>660637.2</v>
      </c>
      <c r="U2266" s="283">
        <v>45050</v>
      </c>
      <c r="V2266" s="3841">
        <v>392607.6</v>
      </c>
      <c r="W2266" s="276">
        <v>45051</v>
      </c>
      <c r="X2266" s="3841">
        <v>392607.6</v>
      </c>
      <c r="Y2266" s="3615">
        <v>45069</v>
      </c>
      <c r="Z2266" s="96">
        <f>Q2266-X2266</f>
        <v>268029.6</v>
      </c>
      <c r="AA2266" s="151"/>
      <c r="AB2266" s="3846"/>
      <c r="AC2266" s="3846"/>
      <c r="AD2266" s="3846"/>
      <c r="AE2266" s="3846"/>
      <c r="AF2266" s="3846"/>
      <c r="AG2266" s="3846"/>
      <c r="AH2266" s="3851"/>
      <c r="AI2266" s="3851"/>
    </row>
    <row r="2267" s="29" customFormat="1" ht="37.5" customHeight="1" spans="1:35">
      <c r="A2267" s="3576"/>
      <c r="B2267" s="3805"/>
      <c r="C2267" s="3807"/>
      <c r="D2267" s="3806"/>
      <c r="E2267" s="3806"/>
      <c r="F2267" s="3810"/>
      <c r="G2267" s="3747"/>
      <c r="H2267" s="3806"/>
      <c r="I2267" s="3747"/>
      <c r="J2267" s="3747"/>
      <c r="K2267" s="3812"/>
      <c r="L2267" s="3576"/>
      <c r="M2267" s="3577"/>
      <c r="N2267" s="3748"/>
      <c r="O2267" s="4708"/>
      <c r="P2267" s="4711"/>
      <c r="Q2267" s="3577"/>
      <c r="R2267" s="152"/>
      <c r="S2267" s="284"/>
      <c r="T2267" s="3577"/>
      <c r="U2267" s="284"/>
      <c r="V2267" s="128">
        <f>T2266-V2266</f>
        <v>268029.6</v>
      </c>
      <c r="W2267" s="4739">
        <v>45217</v>
      </c>
      <c r="X2267" s="3577">
        <v>268029.6</v>
      </c>
      <c r="Y2267" s="3830">
        <v>45309</v>
      </c>
      <c r="Z2267" s="96">
        <f>Q2267-X2267</f>
        <v>-268029.6</v>
      </c>
      <c r="AA2267" s="151"/>
      <c r="AB2267" s="3846"/>
      <c r="AC2267" s="3846"/>
      <c r="AD2267" s="3846"/>
      <c r="AE2267" s="3846"/>
      <c r="AF2267" s="3846"/>
      <c r="AG2267" s="3846"/>
      <c r="AH2267" s="3851"/>
      <c r="AI2267" s="3851"/>
    </row>
    <row r="2268" s="29" customFormat="1" ht="37.5" customHeight="1" spans="1:35">
      <c r="A2268" s="3576"/>
      <c r="B2268" s="3830"/>
      <c r="C2268" s="3852"/>
      <c r="D2268" s="3853"/>
      <c r="E2268" s="3853"/>
      <c r="F2268" s="3810"/>
      <c r="G2268" s="3577"/>
      <c r="H2268" s="3853"/>
      <c r="I2268" s="3577"/>
      <c r="J2268" s="3577"/>
      <c r="K2268" s="3812"/>
      <c r="L2268" s="3576"/>
      <c r="M2268" s="3576">
        <v>3</v>
      </c>
      <c r="N2268" s="2618" t="s">
        <v>7481</v>
      </c>
      <c r="O2268" s="4708">
        <v>0.2</v>
      </c>
      <c r="P2268" s="837">
        <f>K2265*O2268</f>
        <v>220212.4</v>
      </c>
      <c r="Q2268" s="3832">
        <v>220212.4</v>
      </c>
      <c r="R2268" s="128" t="s">
        <v>4603</v>
      </c>
      <c r="S2268" s="3615">
        <v>45240</v>
      </c>
      <c r="T2268" s="3576">
        <v>220212.4</v>
      </c>
      <c r="U2268" s="3615">
        <v>45240</v>
      </c>
      <c r="V2268" s="2676">
        <v>216625.3</v>
      </c>
      <c r="W2268" s="3846"/>
      <c r="X2268" s="2679">
        <v>216625.3</v>
      </c>
      <c r="Y2268" s="3584">
        <v>46021</v>
      </c>
      <c r="Z2268" s="3709">
        <f>Q2268-X2268</f>
        <v>3587.10000000001</v>
      </c>
      <c r="AA2268" s="152"/>
      <c r="AB2268" s="3846"/>
      <c r="AC2268" s="3846"/>
      <c r="AD2268" s="3846"/>
      <c r="AE2268" s="3846"/>
      <c r="AF2268" s="3846"/>
      <c r="AG2268" s="3846"/>
      <c r="AH2268" s="930"/>
      <c r="AI2268" s="930"/>
    </row>
    <row r="2269" s="57" customFormat="1" ht="37.5" customHeight="1" spans="1:35">
      <c r="A2269" s="294" t="s">
        <v>3079</v>
      </c>
      <c r="B2269" s="3780">
        <v>45016</v>
      </c>
      <c r="C2269" s="3735" t="s">
        <v>3823</v>
      </c>
      <c r="D2269" s="3804"/>
      <c r="E2269" s="2068" t="s">
        <v>7482</v>
      </c>
      <c r="F2269" s="1499" t="s">
        <v>7483</v>
      </c>
      <c r="G2269" s="4690" t="s">
        <v>193</v>
      </c>
      <c r="H2269" s="2068" t="s">
        <v>4861</v>
      </c>
      <c r="I2269" s="4690">
        <v>45546.58</v>
      </c>
      <c r="J2269" s="4690">
        <v>2.95</v>
      </c>
      <c r="K2269" s="3684">
        <v>132346.98</v>
      </c>
      <c r="L2269" s="3588" t="s">
        <v>32</v>
      </c>
      <c r="M2269" s="3588">
        <v>1</v>
      </c>
      <c r="N2269" s="2347" t="s">
        <v>7484</v>
      </c>
      <c r="O2269" s="4712">
        <v>0.2</v>
      </c>
      <c r="P2269" s="4713">
        <f>K2269*O2269</f>
        <v>26469.396</v>
      </c>
      <c r="Q2269" s="294">
        <v>26872.48</v>
      </c>
      <c r="R2269" s="294" t="s">
        <v>4603</v>
      </c>
      <c r="S2269" s="2000">
        <v>45069</v>
      </c>
      <c r="T2269" s="3588">
        <v>26872.48</v>
      </c>
      <c r="U2269" s="2000">
        <v>45069</v>
      </c>
      <c r="V2269" s="4740">
        <v>67181.2</v>
      </c>
      <c r="W2269" s="1948">
        <v>45068</v>
      </c>
      <c r="X2269" s="4740">
        <v>67181.2</v>
      </c>
      <c r="Y2269" s="1948">
        <v>45135</v>
      </c>
      <c r="Z2269" s="4756"/>
      <c r="AA2269" s="3605"/>
      <c r="AB2269" s="4757"/>
      <c r="AC2269" s="4757"/>
      <c r="AD2269" s="4757"/>
      <c r="AE2269" s="4757"/>
      <c r="AF2269" s="4757"/>
      <c r="AG2269" s="4757"/>
      <c r="AH2269" s="4764" t="s">
        <v>197</v>
      </c>
      <c r="AI2269" s="4764" t="s">
        <v>154</v>
      </c>
    </row>
    <row r="2270" s="57" customFormat="1" ht="37.5" customHeight="1" spans="1:35">
      <c r="A2270" s="3588"/>
      <c r="B2270" s="3783"/>
      <c r="C2270" s="4688"/>
      <c r="D2270" s="3806"/>
      <c r="E2270" s="4691"/>
      <c r="F2270" s="4692"/>
      <c r="G2270" s="4693"/>
      <c r="H2270" s="4691"/>
      <c r="I2270" s="4693"/>
      <c r="J2270" s="4693"/>
      <c r="K2270" s="3684"/>
      <c r="L2270" s="3588"/>
      <c r="M2270" s="3588">
        <v>2</v>
      </c>
      <c r="N2270" s="2347" t="s">
        <v>7485</v>
      </c>
      <c r="O2270" s="4712">
        <v>0.3</v>
      </c>
      <c r="P2270" s="4713">
        <f>K2269*O2270</f>
        <v>39704.094</v>
      </c>
      <c r="Q2270" s="1499">
        <v>40308.72</v>
      </c>
      <c r="R2270" s="294" t="s">
        <v>4603</v>
      </c>
      <c r="S2270" s="2000">
        <v>45069</v>
      </c>
      <c r="T2270" s="4723">
        <v>40308.72</v>
      </c>
      <c r="U2270" s="2000">
        <v>45069</v>
      </c>
      <c r="V2270" s="4740"/>
      <c r="W2270" s="1948"/>
      <c r="X2270" s="4740"/>
      <c r="Y2270" s="1948"/>
      <c r="Z2270" s="3706"/>
      <c r="AA2270" s="3605"/>
      <c r="AB2270" s="4757"/>
      <c r="AC2270" s="4757"/>
      <c r="AD2270" s="4757"/>
      <c r="AE2270" s="4757"/>
      <c r="AF2270" s="4757"/>
      <c r="AG2270" s="4757"/>
      <c r="AH2270" s="4765"/>
      <c r="AI2270" s="4765"/>
    </row>
    <row r="2271" s="57" customFormat="1" ht="37.5" customHeight="1" spans="1:35">
      <c r="A2271" s="3588"/>
      <c r="B2271" s="3783"/>
      <c r="C2271" s="4688"/>
      <c r="D2271" s="3806"/>
      <c r="E2271" s="4691"/>
      <c r="F2271" s="4692"/>
      <c r="G2271" s="4693"/>
      <c r="H2271" s="4691"/>
      <c r="I2271" s="4693"/>
      <c r="J2271" s="4693"/>
      <c r="K2271" s="3684"/>
      <c r="L2271" s="3588"/>
      <c r="M2271" s="3588">
        <v>3</v>
      </c>
      <c r="N2271" s="4714" t="s">
        <v>7486</v>
      </c>
      <c r="O2271" s="4712">
        <v>0.4</v>
      </c>
      <c r="P2271" s="4713">
        <f>K2269*O2271</f>
        <v>52938.792</v>
      </c>
      <c r="Q2271" s="1499">
        <v>53744.96</v>
      </c>
      <c r="R2271" s="294" t="s">
        <v>4603</v>
      </c>
      <c r="S2271" s="2000">
        <v>45069</v>
      </c>
      <c r="T2271" s="4723">
        <v>53744.96</v>
      </c>
      <c r="U2271" s="4741">
        <v>45069</v>
      </c>
      <c r="V2271" s="4740">
        <v>53744.97</v>
      </c>
      <c r="W2271" s="1948"/>
      <c r="X2271" s="4740">
        <v>53744.96</v>
      </c>
      <c r="Y2271" s="1948">
        <v>45152</v>
      </c>
      <c r="Z2271" s="3706"/>
      <c r="AA2271" s="3605"/>
      <c r="AB2271" s="4757"/>
      <c r="AC2271" s="4757"/>
      <c r="AD2271" s="4757"/>
      <c r="AE2271" s="4757"/>
      <c r="AF2271" s="4757"/>
      <c r="AG2271" s="4757"/>
      <c r="AH2271" s="4765"/>
      <c r="AI2271" s="4765"/>
    </row>
    <row r="2272" s="57" customFormat="1" ht="37.5" customHeight="1" spans="1:35">
      <c r="A2272" s="3588"/>
      <c r="B2272" s="3786"/>
      <c r="C2272" s="4689"/>
      <c r="D2272" s="3853"/>
      <c r="E2272" s="4694"/>
      <c r="F2272" s="4692"/>
      <c r="G2272" s="4695"/>
      <c r="H2272" s="4694"/>
      <c r="I2272" s="4695"/>
      <c r="J2272" s="4695"/>
      <c r="K2272" s="3684"/>
      <c r="L2272" s="3588"/>
      <c r="M2272" s="3588">
        <v>4</v>
      </c>
      <c r="N2272" s="2347" t="s">
        <v>7487</v>
      </c>
      <c r="O2272" s="4712">
        <v>0.1</v>
      </c>
      <c r="P2272" s="4713">
        <f>K2269*O2272</f>
        <v>13234.698</v>
      </c>
      <c r="Q2272" s="4713">
        <f>K2269-T2269-T2270-T2271</f>
        <v>11420.82</v>
      </c>
      <c r="R2272" s="294" t="s">
        <v>4603</v>
      </c>
      <c r="S2272" s="1948">
        <v>45455</v>
      </c>
      <c r="T2272" s="4724">
        <v>11420.82</v>
      </c>
      <c r="U2272" s="3826">
        <v>45455</v>
      </c>
      <c r="V2272" s="4724">
        <f>K2269-V2269-V2271</f>
        <v>11420.81</v>
      </c>
      <c r="W2272" s="4742">
        <v>45832</v>
      </c>
      <c r="X2272" s="4743">
        <f>K2269-X2269-X2271</f>
        <v>11420.82</v>
      </c>
      <c r="Y2272" s="4758">
        <v>45833</v>
      </c>
      <c r="Z2272" s="4757"/>
      <c r="AA2272" s="3706"/>
      <c r="AB2272" s="4757"/>
      <c r="AC2272" s="4757"/>
      <c r="AD2272" s="4757"/>
      <c r="AE2272" s="4757"/>
      <c r="AF2272" s="4757"/>
      <c r="AG2272" s="4757"/>
      <c r="AH2272" s="4766"/>
      <c r="AI2272" s="4766"/>
    </row>
    <row r="2273" s="29" customFormat="1" ht="26.25" customHeight="1" spans="1:35">
      <c r="A2273" s="128" t="s">
        <v>3079</v>
      </c>
      <c r="B2273" s="3803">
        <v>45287</v>
      </c>
      <c r="C2273" s="649" t="s">
        <v>3837</v>
      </c>
      <c r="D2273" s="3804"/>
      <c r="E2273" s="647" t="s">
        <v>7488</v>
      </c>
      <c r="F2273" s="127" t="s">
        <v>7489</v>
      </c>
      <c r="G2273" s="149" t="s">
        <v>7490</v>
      </c>
      <c r="H2273" s="647" t="s">
        <v>7491</v>
      </c>
      <c r="I2273" s="3745">
        <v>30500</v>
      </c>
      <c r="J2273" s="3811">
        <f>K2273/I2273</f>
        <v>13.3114754098361</v>
      </c>
      <c r="K2273" s="3812">
        <v>406000</v>
      </c>
      <c r="L2273" s="128" t="s">
        <v>34</v>
      </c>
      <c r="M2273" s="3745">
        <v>1</v>
      </c>
      <c r="N2273" s="647" t="s">
        <v>7492</v>
      </c>
      <c r="O2273" s="4708">
        <v>0.6</v>
      </c>
      <c r="P2273" s="3817">
        <f>K2273*O2273</f>
        <v>243600</v>
      </c>
      <c r="Q2273" s="3745">
        <v>243600</v>
      </c>
      <c r="R2273" s="149" t="s">
        <v>4603</v>
      </c>
      <c r="S2273" s="3803">
        <v>45287</v>
      </c>
      <c r="T2273" s="3745">
        <v>243600</v>
      </c>
      <c r="U2273" s="4744">
        <v>45287</v>
      </c>
      <c r="V2273" s="3888">
        <v>38667.44</v>
      </c>
      <c r="W2273" s="3616"/>
      <c r="X2273" s="3888"/>
      <c r="Y2273" s="3616">
        <v>46386</v>
      </c>
      <c r="Z2273" s="3894"/>
      <c r="AA2273" s="280"/>
      <c r="AB2273" s="3846"/>
      <c r="AC2273" s="3846"/>
      <c r="AD2273" s="3846"/>
      <c r="AE2273" s="3846"/>
      <c r="AF2273" s="3846"/>
      <c r="AG2273" s="3846"/>
      <c r="AH2273" s="3850" t="s">
        <v>197</v>
      </c>
      <c r="AI2273" s="3850" t="s">
        <v>154</v>
      </c>
    </row>
    <row r="2274" s="29" customFormat="1" ht="26.25" customHeight="1" spans="1:35">
      <c r="A2274" s="128"/>
      <c r="B2274" s="3805"/>
      <c r="C2274" s="653"/>
      <c r="D2274" s="3806"/>
      <c r="E2274" s="651"/>
      <c r="F2274" s="127"/>
      <c r="G2274" s="151"/>
      <c r="H2274" s="651"/>
      <c r="I2274" s="3747"/>
      <c r="J2274" s="3813"/>
      <c r="K2274" s="3812"/>
      <c r="L2274" s="128"/>
      <c r="M2274" s="3747"/>
      <c r="N2274" s="651"/>
      <c r="O2274" s="4708"/>
      <c r="P2274" s="3819"/>
      <c r="Q2274" s="3747"/>
      <c r="R2274" s="151"/>
      <c r="S2274" s="3805"/>
      <c r="T2274" s="3747"/>
      <c r="U2274" s="4745"/>
      <c r="V2274" s="3888">
        <v>42532.56</v>
      </c>
      <c r="W2274" s="3616"/>
      <c r="X2274" s="3888"/>
      <c r="Y2274" s="3616"/>
      <c r="Z2274" s="3894"/>
      <c r="AA2274" s="280"/>
      <c r="AB2274" s="3846"/>
      <c r="AC2274" s="3846"/>
      <c r="AD2274" s="3846"/>
      <c r="AE2274" s="3846"/>
      <c r="AF2274" s="3846"/>
      <c r="AG2274" s="3846"/>
      <c r="AH2274" s="3851"/>
      <c r="AI2274" s="3851"/>
    </row>
    <row r="2275" s="29" customFormat="1" ht="25.5" customHeight="1" spans="1:35">
      <c r="A2275" s="3576"/>
      <c r="B2275" s="3805"/>
      <c r="C2275" s="3807"/>
      <c r="D2275" s="3806"/>
      <c r="E2275" s="3806"/>
      <c r="F2275" s="3810"/>
      <c r="G2275" s="3747"/>
      <c r="H2275" s="3806"/>
      <c r="I2275" s="3747"/>
      <c r="J2275" s="3813"/>
      <c r="K2275" s="3812"/>
      <c r="L2275" s="3576"/>
      <c r="M2275" s="3747"/>
      <c r="N2275" s="651"/>
      <c r="O2275" s="4708"/>
      <c r="P2275" s="3819"/>
      <c r="Q2275" s="3747"/>
      <c r="R2275" s="151"/>
      <c r="S2275" s="3805"/>
      <c r="T2275" s="3747"/>
      <c r="U2275" s="4745"/>
      <c r="V2275" s="3841"/>
      <c r="W2275" s="3615"/>
      <c r="X2275" s="3841"/>
      <c r="Y2275" s="3615"/>
      <c r="Z2275" s="4759"/>
      <c r="AA2275" s="280"/>
      <c r="AB2275" s="3846"/>
      <c r="AC2275" s="3846"/>
      <c r="AD2275" s="3846"/>
      <c r="AE2275" s="3846"/>
      <c r="AF2275" s="3846"/>
      <c r="AG2275" s="3846"/>
      <c r="AH2275" s="3851"/>
      <c r="AI2275" s="3851"/>
    </row>
    <row r="2276" s="29" customFormat="1" ht="25.5" customHeight="1" spans="1:35">
      <c r="A2276" s="3576"/>
      <c r="B2276" s="3805"/>
      <c r="C2276" s="3807"/>
      <c r="D2276" s="3806"/>
      <c r="E2276" s="3806"/>
      <c r="F2276" s="3810"/>
      <c r="G2276" s="3747"/>
      <c r="H2276" s="3806"/>
      <c r="I2276" s="3747"/>
      <c r="J2276" s="3813"/>
      <c r="K2276" s="3812"/>
      <c r="L2276" s="3576"/>
      <c r="M2276" s="3577"/>
      <c r="N2276" s="1067"/>
      <c r="O2276" s="4708"/>
      <c r="P2276" s="3821"/>
      <c r="Q2276" s="3577"/>
      <c r="R2276" s="152"/>
      <c r="S2276" s="3830"/>
      <c r="T2276" s="3577"/>
      <c r="U2276" s="4746"/>
      <c r="V2276" s="3841"/>
      <c r="W2276" s="3615"/>
      <c r="X2276" s="3841"/>
      <c r="Y2276" s="3615"/>
      <c r="Z2276" s="4759"/>
      <c r="AA2276" s="280"/>
      <c r="AB2276" s="3846"/>
      <c r="AC2276" s="3846"/>
      <c r="AD2276" s="3846"/>
      <c r="AE2276" s="3846"/>
      <c r="AF2276" s="3846"/>
      <c r="AG2276" s="3846"/>
      <c r="AH2276" s="3851"/>
      <c r="AI2276" s="3851"/>
    </row>
    <row r="2277" s="29" customFormat="1" ht="61" spans="1:35">
      <c r="A2277" s="3576"/>
      <c r="B2277" s="3805"/>
      <c r="C2277" s="3807"/>
      <c r="D2277" s="3806"/>
      <c r="E2277" s="3806"/>
      <c r="F2277" s="3810"/>
      <c r="G2277" s="3747"/>
      <c r="H2277" s="3806"/>
      <c r="I2277" s="3747"/>
      <c r="J2277" s="3813"/>
      <c r="K2277" s="3812"/>
      <c r="L2277" s="3576"/>
      <c r="M2277" s="3576">
        <v>2</v>
      </c>
      <c r="N2277" s="185" t="s">
        <v>7493</v>
      </c>
      <c r="O2277" s="4708">
        <v>0.2</v>
      </c>
      <c r="P2277" s="837">
        <f>K2273*O2277</f>
        <v>81200</v>
      </c>
      <c r="Q2277" s="3832"/>
      <c r="R2277" s="128"/>
      <c r="S2277" s="276"/>
      <c r="T2277" s="3832"/>
      <c r="U2277" s="3842"/>
      <c r="V2277" s="3841"/>
      <c r="W2277" s="3615"/>
      <c r="X2277" s="3841"/>
      <c r="Y2277" s="3615"/>
      <c r="Z2277" s="3709"/>
      <c r="AA2277" s="280"/>
      <c r="AB2277" s="3846"/>
      <c r="AC2277" s="3846"/>
      <c r="AD2277" s="3846"/>
      <c r="AE2277" s="3846"/>
      <c r="AF2277" s="3846"/>
      <c r="AG2277" s="3846"/>
      <c r="AH2277" s="3851"/>
      <c r="AI2277" s="3851"/>
    </row>
    <row r="2278" s="29" customFormat="1" ht="37.5" customHeight="1" spans="1:35">
      <c r="A2278" s="3576"/>
      <c r="B2278" s="3805"/>
      <c r="C2278" s="3807"/>
      <c r="D2278" s="3806"/>
      <c r="E2278" s="3806"/>
      <c r="F2278" s="3810"/>
      <c r="G2278" s="3747"/>
      <c r="H2278" s="3806"/>
      <c r="I2278" s="3747"/>
      <c r="J2278" s="3813"/>
      <c r="K2278" s="3812"/>
      <c r="L2278" s="3576"/>
      <c r="M2278" s="3576">
        <v>3</v>
      </c>
      <c r="N2278" s="185" t="s">
        <v>7494</v>
      </c>
      <c r="O2278" s="4708">
        <v>0.15</v>
      </c>
      <c r="P2278" s="837">
        <f>K2273*O2278</f>
        <v>60900</v>
      </c>
      <c r="Q2278" s="3832"/>
      <c r="R2278" s="128"/>
      <c r="S2278" s="276"/>
      <c r="T2278" s="3832"/>
      <c r="U2278" s="3842"/>
      <c r="V2278" s="3841"/>
      <c r="W2278" s="3615"/>
      <c r="X2278" s="3841"/>
      <c r="Y2278" s="3615"/>
      <c r="Z2278" s="3709"/>
      <c r="AA2278" s="280"/>
      <c r="AB2278" s="3846"/>
      <c r="AC2278" s="3846"/>
      <c r="AD2278" s="3846"/>
      <c r="AE2278" s="3846"/>
      <c r="AF2278" s="3846"/>
      <c r="AG2278" s="3846"/>
      <c r="AH2278" s="3851"/>
      <c r="AI2278" s="3851"/>
    </row>
    <row r="2279" s="29" customFormat="1" ht="37.5" customHeight="1" spans="1:35">
      <c r="A2279" s="3576"/>
      <c r="B2279" s="3830"/>
      <c r="C2279" s="3852"/>
      <c r="D2279" s="3853"/>
      <c r="E2279" s="3853"/>
      <c r="F2279" s="3810"/>
      <c r="G2279" s="3577"/>
      <c r="H2279" s="3853"/>
      <c r="I2279" s="3577"/>
      <c r="J2279" s="3829"/>
      <c r="K2279" s="3812"/>
      <c r="L2279" s="3576"/>
      <c r="M2279" s="3576">
        <v>4</v>
      </c>
      <c r="N2279" s="185" t="s">
        <v>7495</v>
      </c>
      <c r="O2279" s="4708">
        <v>0.05</v>
      </c>
      <c r="P2279" s="837">
        <f>K2273*O2279</f>
        <v>20300</v>
      </c>
      <c r="Q2279" s="3858"/>
      <c r="R2279" s="280"/>
      <c r="S2279" s="3584"/>
      <c r="T2279" s="3709"/>
      <c r="U2279" s="3709"/>
      <c r="V2279" s="3709"/>
      <c r="W2279" s="3846"/>
      <c r="X2279" s="3858"/>
      <c r="Y2279" s="282"/>
      <c r="Z2279" s="3846"/>
      <c r="AA2279" s="3709"/>
      <c r="AB2279" s="3846"/>
      <c r="AC2279" s="3846"/>
      <c r="AD2279" s="3846"/>
      <c r="AE2279" s="3846"/>
      <c r="AF2279" s="3846"/>
      <c r="AG2279" s="3846"/>
      <c r="AH2279" s="930"/>
      <c r="AI2279" s="930"/>
    </row>
    <row r="2280" s="29" customFormat="1" ht="37.5" customHeight="1" spans="1:35">
      <c r="A2280" s="128" t="s">
        <v>3079</v>
      </c>
      <c r="B2280" s="3803">
        <v>45249</v>
      </c>
      <c r="C2280" s="649" t="s">
        <v>7496</v>
      </c>
      <c r="D2280" s="3804"/>
      <c r="E2280" s="647" t="s">
        <v>7497</v>
      </c>
      <c r="F2280" s="127" t="s">
        <v>7498</v>
      </c>
      <c r="G2280" s="647" t="s">
        <v>7499</v>
      </c>
      <c r="H2280" s="647" t="s">
        <v>6402</v>
      </c>
      <c r="I2280" s="3745">
        <v>8530</v>
      </c>
      <c r="J2280" s="3811">
        <f>K2280/I2280</f>
        <v>176.400468933177</v>
      </c>
      <c r="K2280" s="3812">
        <v>1504696</v>
      </c>
      <c r="L2280" s="128" t="s">
        <v>126</v>
      </c>
      <c r="M2280" s="3576">
        <v>1</v>
      </c>
      <c r="N2280" s="185" t="s">
        <v>7500</v>
      </c>
      <c r="O2280" s="4708">
        <v>0.15</v>
      </c>
      <c r="P2280" s="837">
        <f>K2280*O2280</f>
        <v>225704.4</v>
      </c>
      <c r="Q2280" s="3576">
        <v>237002.4</v>
      </c>
      <c r="R2280" s="128" t="s">
        <v>4603</v>
      </c>
      <c r="S2280" s="3615">
        <v>45267</v>
      </c>
      <c r="T2280" s="837">
        <v>237002.4</v>
      </c>
      <c r="U2280" s="3615">
        <v>45266</v>
      </c>
      <c r="V2280" s="4747">
        <f>Q2280+Q2281</f>
        <v>300939.2</v>
      </c>
      <c r="W2280" s="3442">
        <v>45310</v>
      </c>
      <c r="X2280" s="4747">
        <v>300939.2</v>
      </c>
      <c r="Y2280" s="3803">
        <v>45350</v>
      </c>
      <c r="Z2280" s="3894"/>
      <c r="AA2280" s="280"/>
      <c r="AB2280" s="3846"/>
      <c r="AC2280" s="3846"/>
      <c r="AD2280" s="3846"/>
      <c r="AE2280" s="3846"/>
      <c r="AF2280" s="3846"/>
      <c r="AG2280" s="3846"/>
      <c r="AH2280" s="3850" t="s">
        <v>197</v>
      </c>
      <c r="AI2280" s="3850" t="s">
        <v>154</v>
      </c>
    </row>
    <row r="2281" s="29" customFormat="1" ht="37.5" customHeight="1" spans="1:35">
      <c r="A2281" s="3576"/>
      <c r="B2281" s="3805"/>
      <c r="C2281" s="3807"/>
      <c r="D2281" s="3806"/>
      <c r="E2281" s="3806"/>
      <c r="F2281" s="3810"/>
      <c r="G2281" s="3806"/>
      <c r="H2281" s="3806"/>
      <c r="I2281" s="3747"/>
      <c r="J2281" s="3813"/>
      <c r="K2281" s="3812"/>
      <c r="L2281" s="3576"/>
      <c r="M2281" s="3745">
        <v>2</v>
      </c>
      <c r="N2281" s="647" t="s">
        <v>5626</v>
      </c>
      <c r="O2281" s="4708">
        <v>0.2</v>
      </c>
      <c r="P2281" s="3817">
        <f>K2280*O2281</f>
        <v>300939.2</v>
      </c>
      <c r="Q2281" s="3576">
        <v>63936.8</v>
      </c>
      <c r="R2281" s="128" t="s">
        <v>4603</v>
      </c>
      <c r="S2281" s="3615">
        <v>45288</v>
      </c>
      <c r="T2281" s="3872">
        <v>63936.8</v>
      </c>
      <c r="U2281" s="3615">
        <v>45288</v>
      </c>
      <c r="V2281" s="3840"/>
      <c r="W2281" s="3830"/>
      <c r="X2281" s="3840"/>
      <c r="Y2281" s="3830"/>
      <c r="Z2281" s="3709"/>
      <c r="AA2281" s="280"/>
      <c r="AB2281" s="3846"/>
      <c r="AC2281" s="3846"/>
      <c r="AD2281" s="3846"/>
      <c r="AE2281" s="3846"/>
      <c r="AF2281" s="3846"/>
      <c r="AG2281" s="3846"/>
      <c r="AH2281" s="3851"/>
      <c r="AI2281" s="3851"/>
    </row>
    <row r="2282" s="29" customFormat="1" ht="37.5" customHeight="1" spans="1:35">
      <c r="A2282" s="3576"/>
      <c r="B2282" s="3805"/>
      <c r="C2282" s="3807"/>
      <c r="D2282" s="3806"/>
      <c r="E2282" s="3806"/>
      <c r="F2282" s="3810"/>
      <c r="G2282" s="3806"/>
      <c r="H2282" s="3806"/>
      <c r="I2282" s="3747"/>
      <c r="J2282" s="3813"/>
      <c r="K2282" s="3812"/>
      <c r="L2282" s="3576"/>
      <c r="M2282" s="3577"/>
      <c r="N2282" s="651"/>
      <c r="O2282" s="4708"/>
      <c r="P2282" s="3821"/>
      <c r="Q2282" s="3879">
        <v>252066.4</v>
      </c>
      <c r="R2282" s="128" t="s">
        <v>4603</v>
      </c>
      <c r="S2282" s="3615">
        <v>45295</v>
      </c>
      <c r="T2282" s="4725">
        <v>300939.2</v>
      </c>
      <c r="U2282" s="3875">
        <v>45295</v>
      </c>
      <c r="V2282" s="3841">
        <v>100000</v>
      </c>
      <c r="W2282" s="3615">
        <v>45450</v>
      </c>
      <c r="X2282" s="3841">
        <v>100000</v>
      </c>
      <c r="Y2282" s="3615">
        <v>45470</v>
      </c>
      <c r="Z2282" s="3709"/>
      <c r="AA2282" s="280"/>
      <c r="AB2282" s="3846"/>
      <c r="AC2282" s="3846"/>
      <c r="AD2282" s="3846"/>
      <c r="AE2282" s="3846"/>
      <c r="AF2282" s="3846"/>
      <c r="AG2282" s="3846"/>
      <c r="AH2282" s="3851"/>
      <c r="AI2282" s="3851"/>
    </row>
    <row r="2283" s="29" customFormat="1" ht="37.5" customHeight="1" spans="1:35">
      <c r="A2283" s="3576"/>
      <c r="B2283" s="3805"/>
      <c r="C2283" s="3807"/>
      <c r="D2283" s="3806"/>
      <c r="E2283" s="3806"/>
      <c r="F2283" s="3810"/>
      <c r="G2283" s="3806"/>
      <c r="H2283" s="3806"/>
      <c r="I2283" s="3747"/>
      <c r="J2283" s="3813"/>
      <c r="K2283" s="3812"/>
      <c r="L2283" s="3576"/>
      <c r="M2283" s="3745">
        <v>3</v>
      </c>
      <c r="N2283" s="127" t="s">
        <v>7501</v>
      </c>
      <c r="O2283" s="4708">
        <v>0.15</v>
      </c>
      <c r="P2283" s="837">
        <f>K2280*O2283</f>
        <v>225704.4</v>
      </c>
      <c r="Q2283" s="3879">
        <v>48872.8</v>
      </c>
      <c r="R2283" s="128" t="s">
        <v>4603</v>
      </c>
      <c r="S2283" s="3615">
        <v>45295</v>
      </c>
      <c r="T2283" s="4726"/>
      <c r="U2283" s="3877"/>
      <c r="V2283" s="3841">
        <v>100000</v>
      </c>
      <c r="W2283" s="3615">
        <v>45545</v>
      </c>
      <c r="X2283" s="3841">
        <v>100000</v>
      </c>
      <c r="Y2283" s="3615">
        <v>45563</v>
      </c>
      <c r="Z2283" s="3709"/>
      <c r="AA2283" s="280"/>
      <c r="AB2283" s="3846"/>
      <c r="AC2283" s="3846"/>
      <c r="AD2283" s="3846"/>
      <c r="AE2283" s="3846"/>
      <c r="AF2283" s="3846"/>
      <c r="AG2283" s="3846"/>
      <c r="AH2283" s="3851"/>
      <c r="AI2283" s="3851"/>
    </row>
    <row r="2284" s="29" customFormat="1" ht="37.5" customHeight="1" spans="1:35">
      <c r="A2284" s="3576"/>
      <c r="B2284" s="3805"/>
      <c r="C2284" s="3807"/>
      <c r="D2284" s="3806"/>
      <c r="E2284" s="3806"/>
      <c r="F2284" s="3810"/>
      <c r="G2284" s="3806"/>
      <c r="H2284" s="3806"/>
      <c r="I2284" s="3747"/>
      <c r="J2284" s="3813"/>
      <c r="K2284" s="3812"/>
      <c r="L2284" s="3576"/>
      <c r="M2284" s="3747"/>
      <c r="N2284" s="127"/>
      <c r="O2284" s="4708"/>
      <c r="P2284" s="837"/>
      <c r="Q2284" s="3745">
        <v>188129.6</v>
      </c>
      <c r="R2284" s="149" t="s">
        <v>4603</v>
      </c>
      <c r="S2284" s="283">
        <v>45545</v>
      </c>
      <c r="T2284" s="3747">
        <f>Q2284</f>
        <v>188129.6</v>
      </c>
      <c r="U2284" s="3876">
        <v>45545</v>
      </c>
      <c r="V2284" s="3841">
        <v>101878.4</v>
      </c>
      <c r="W2284" s="3615">
        <v>45600</v>
      </c>
      <c r="X2284" s="3841">
        <v>101878.4</v>
      </c>
      <c r="Y2284" s="3615">
        <v>45624</v>
      </c>
      <c r="Z2284" s="3709"/>
      <c r="AA2284" s="280"/>
      <c r="AB2284" s="3846"/>
      <c r="AC2284" s="3846"/>
      <c r="AD2284" s="3846"/>
      <c r="AE2284" s="3846"/>
      <c r="AF2284" s="3846"/>
      <c r="AG2284" s="3846"/>
      <c r="AH2284" s="3851"/>
      <c r="AI2284" s="3851"/>
    </row>
    <row r="2285" s="29" customFormat="1" ht="37.5" customHeight="1" spans="1:35">
      <c r="A2285" s="3576"/>
      <c r="B2285" s="3805"/>
      <c r="C2285" s="3807"/>
      <c r="D2285" s="3806"/>
      <c r="E2285" s="3806"/>
      <c r="F2285" s="3810"/>
      <c r="G2285" s="3806"/>
      <c r="H2285" s="3806"/>
      <c r="I2285" s="3747"/>
      <c r="J2285" s="3813"/>
      <c r="K2285" s="3812"/>
      <c r="L2285" s="3576"/>
      <c r="M2285" s="3577"/>
      <c r="N2285" s="127"/>
      <c r="O2285" s="4708"/>
      <c r="P2285" s="837"/>
      <c r="Q2285" s="3577"/>
      <c r="R2285" s="152"/>
      <c r="S2285" s="284"/>
      <c r="T2285" s="3577"/>
      <c r="U2285" s="3877"/>
      <c r="V2285" s="3874">
        <v>187190.4</v>
      </c>
      <c r="W2285" s="3837">
        <v>45814</v>
      </c>
      <c r="X2285" s="3874">
        <v>187190.4</v>
      </c>
      <c r="Y2285" s="3837">
        <v>45835</v>
      </c>
      <c r="Z2285" s="3709"/>
      <c r="AA2285" s="280"/>
      <c r="AB2285" s="3846"/>
      <c r="AC2285" s="3846"/>
      <c r="AD2285" s="3846"/>
      <c r="AE2285" s="3846"/>
      <c r="AF2285" s="3846"/>
      <c r="AG2285" s="3846"/>
      <c r="AH2285" s="3851"/>
      <c r="AI2285" s="3851"/>
    </row>
    <row r="2286" s="29" customFormat="1" ht="37.5" customHeight="1" spans="1:35">
      <c r="A2286" s="3576"/>
      <c r="B2286" s="3805"/>
      <c r="C2286" s="3807"/>
      <c r="D2286" s="3806"/>
      <c r="E2286" s="3806"/>
      <c r="F2286" s="3810"/>
      <c r="G2286" s="3806"/>
      <c r="H2286" s="3806"/>
      <c r="I2286" s="3747"/>
      <c r="J2286" s="3813"/>
      <c r="K2286" s="3812"/>
      <c r="L2286" s="3576"/>
      <c r="M2286" s="3747">
        <v>4</v>
      </c>
      <c r="N2286" s="127" t="s">
        <v>5629</v>
      </c>
      <c r="O2286" s="4708">
        <v>0.3</v>
      </c>
      <c r="P2286" s="837">
        <f>K2280*O2286</f>
        <v>451408.8</v>
      </c>
      <c r="Q2286" s="3576">
        <v>158001.6</v>
      </c>
      <c r="R2286" s="128" t="s">
        <v>4603</v>
      </c>
      <c r="S2286" s="276">
        <v>45545</v>
      </c>
      <c r="T2286" s="3576">
        <v>158001.6</v>
      </c>
      <c r="U2286" s="276">
        <v>45545</v>
      </c>
      <c r="V2286" s="3874">
        <v>160000</v>
      </c>
      <c r="W2286" s="3837">
        <v>45879</v>
      </c>
      <c r="X2286" s="3874">
        <v>160000</v>
      </c>
      <c r="Y2286" s="4760">
        <v>45887</v>
      </c>
      <c r="Z2286" s="3709"/>
      <c r="AA2286" s="280"/>
      <c r="AB2286" s="3846"/>
      <c r="AC2286" s="3846"/>
      <c r="AD2286" s="3846"/>
      <c r="AE2286" s="3846"/>
      <c r="AF2286" s="3846"/>
      <c r="AG2286" s="3846"/>
      <c r="AH2286" s="3851"/>
      <c r="AI2286" s="3851"/>
    </row>
    <row r="2287" s="29" customFormat="1" ht="37.5" customHeight="1" spans="1:35">
      <c r="A2287" s="3576"/>
      <c r="B2287" s="3805"/>
      <c r="C2287" s="3807"/>
      <c r="D2287" s="3806"/>
      <c r="E2287" s="3806"/>
      <c r="F2287" s="3810"/>
      <c r="G2287" s="3806"/>
      <c r="H2287" s="3806"/>
      <c r="I2287" s="3747"/>
      <c r="J2287" s="3813"/>
      <c r="K2287" s="3812"/>
      <c r="L2287" s="3576"/>
      <c r="M2287" s="3747"/>
      <c r="N2287" s="127"/>
      <c r="O2287" s="4708"/>
      <c r="P2287" s="837"/>
      <c r="Q2287" s="3745">
        <v>316003.2</v>
      </c>
      <c r="R2287" s="149" t="s">
        <v>4603</v>
      </c>
      <c r="S2287" s="283">
        <v>45545</v>
      </c>
      <c r="T2287" s="3745">
        <f>Q2287</f>
        <v>316003.2</v>
      </c>
      <c r="U2287" s="283">
        <v>45545</v>
      </c>
      <c r="V2287" s="3841">
        <v>53688.8</v>
      </c>
      <c r="W2287" s="3615"/>
      <c r="X2287" s="3888">
        <v>53688.8</v>
      </c>
      <c r="Y2287" s="3616">
        <v>46021</v>
      </c>
      <c r="Z2287" s="3709"/>
      <c r="AA2287" s="3364"/>
      <c r="AB2287" s="3846"/>
      <c r="AC2287" s="3846"/>
      <c r="AD2287" s="3846"/>
      <c r="AE2287" s="3846"/>
      <c r="AF2287" s="3846"/>
      <c r="AG2287" s="3846"/>
      <c r="AH2287" s="3851"/>
      <c r="AI2287" s="3851"/>
    </row>
    <row r="2288" s="29" customFormat="1" ht="37.5" customHeight="1" spans="1:35">
      <c r="A2288" s="3576"/>
      <c r="B2288" s="3805"/>
      <c r="C2288" s="3807"/>
      <c r="D2288" s="3806"/>
      <c r="E2288" s="3806"/>
      <c r="F2288" s="3810"/>
      <c r="G2288" s="3806"/>
      <c r="H2288" s="3806"/>
      <c r="I2288" s="3747"/>
      <c r="J2288" s="3813"/>
      <c r="K2288" s="3812"/>
      <c r="L2288" s="3576"/>
      <c r="M2288" s="3577"/>
      <c r="N2288" s="185"/>
      <c r="O2288" s="4708"/>
      <c r="P2288" s="837"/>
      <c r="Q2288" s="3577"/>
      <c r="R2288" s="152"/>
      <c r="S2288" s="284"/>
      <c r="T2288" s="3577"/>
      <c r="U2288" s="284"/>
      <c r="V2288" s="3888">
        <v>200060</v>
      </c>
      <c r="W2288" s="3615"/>
      <c r="X2288" s="3841"/>
      <c r="Y2288" s="3615"/>
      <c r="Z2288" s="3709"/>
      <c r="AA2288" s="4761"/>
      <c r="AB2288" s="3846"/>
      <c r="AC2288" s="3846"/>
      <c r="AD2288" s="3846"/>
      <c r="AE2288" s="3846"/>
      <c r="AF2288" s="3846"/>
      <c r="AG2288" s="3846"/>
      <c r="AH2288" s="3851"/>
      <c r="AI2288" s="3851"/>
    </row>
    <row r="2289" s="29" customFormat="1" ht="37.5" customHeight="1" spans="1:35">
      <c r="A2289" s="3576"/>
      <c r="B2289" s="3805"/>
      <c r="C2289" s="3807"/>
      <c r="D2289" s="3806"/>
      <c r="E2289" s="3806"/>
      <c r="F2289" s="3810"/>
      <c r="G2289" s="3806"/>
      <c r="H2289" s="3806"/>
      <c r="I2289" s="3747"/>
      <c r="J2289" s="3813"/>
      <c r="K2289" s="3812"/>
      <c r="L2289" s="3576"/>
      <c r="M2289" s="3576">
        <v>5</v>
      </c>
      <c r="N2289" s="172" t="s">
        <v>5751</v>
      </c>
      <c r="O2289" s="4708">
        <v>0.05</v>
      </c>
      <c r="P2289" s="837">
        <f>K2280*O2289</f>
        <v>75234.8</v>
      </c>
      <c r="Q2289" s="4727">
        <v>14978.8</v>
      </c>
      <c r="R2289" s="128"/>
      <c r="S2289" s="276"/>
      <c r="T2289" s="3832"/>
      <c r="U2289" s="3842"/>
      <c r="V2289" s="3841"/>
      <c r="W2289" s="3615"/>
      <c r="X2289" s="3841"/>
      <c r="Y2289" s="3615"/>
      <c r="Z2289" s="3709"/>
      <c r="AA2289" s="280"/>
      <c r="AB2289" s="3846"/>
      <c r="AC2289" s="3846"/>
      <c r="AD2289" s="3846"/>
      <c r="AE2289" s="3846"/>
      <c r="AF2289" s="3846"/>
      <c r="AG2289" s="3846"/>
      <c r="AH2289" s="3851"/>
      <c r="AI2289" s="3851"/>
    </row>
    <row r="2290" s="29" customFormat="1" ht="37.5" customHeight="1" spans="1:35">
      <c r="A2290" s="3576"/>
      <c r="B2290" s="3805"/>
      <c r="C2290" s="3807"/>
      <c r="D2290" s="3806"/>
      <c r="E2290" s="3806"/>
      <c r="F2290" s="3810"/>
      <c r="G2290" s="3806"/>
      <c r="H2290" s="3806"/>
      <c r="I2290" s="3747"/>
      <c r="J2290" s="3813"/>
      <c r="K2290" s="3812"/>
      <c r="L2290" s="3576"/>
      <c r="M2290" s="3576">
        <v>6</v>
      </c>
      <c r="N2290" s="172" t="s">
        <v>5080</v>
      </c>
      <c r="O2290" s="4708">
        <v>0.05</v>
      </c>
      <c r="P2290" s="837">
        <f>K2280*O2290</f>
        <v>75234.8</v>
      </c>
      <c r="Q2290" s="3832"/>
      <c r="R2290" s="128"/>
      <c r="S2290" s="276"/>
      <c r="T2290" s="3832"/>
      <c r="U2290" s="3842"/>
      <c r="V2290" s="3841"/>
      <c r="W2290" s="3615"/>
      <c r="X2290" s="3841"/>
      <c r="Y2290" s="3615"/>
      <c r="Z2290" s="3709"/>
      <c r="AA2290" s="280"/>
      <c r="AB2290" s="3846"/>
      <c r="AC2290" s="3846"/>
      <c r="AD2290" s="3846"/>
      <c r="AE2290" s="3846"/>
      <c r="AF2290" s="3846"/>
      <c r="AG2290" s="3846"/>
      <c r="AH2290" s="3851"/>
      <c r="AI2290" s="3851"/>
    </row>
    <row r="2291" s="29" customFormat="1" ht="92" spans="1:35">
      <c r="A2291" s="3576"/>
      <c r="B2291" s="3830"/>
      <c r="C2291" s="3852"/>
      <c r="D2291" s="3853"/>
      <c r="E2291" s="3853"/>
      <c r="F2291" s="3810"/>
      <c r="G2291" s="3853"/>
      <c r="H2291" s="3853"/>
      <c r="I2291" s="3577"/>
      <c r="J2291" s="3829"/>
      <c r="K2291" s="3812"/>
      <c r="L2291" s="3576"/>
      <c r="M2291" s="128" t="s">
        <v>6237</v>
      </c>
      <c r="N2291" s="185" t="s">
        <v>6245</v>
      </c>
      <c r="O2291" s="4708">
        <v>0.1</v>
      </c>
      <c r="P2291" s="837">
        <f>K2280*O2291</f>
        <v>150469.6</v>
      </c>
      <c r="Q2291" s="3858"/>
      <c r="R2291" s="280"/>
      <c r="S2291" s="3584"/>
      <c r="T2291" s="3709"/>
      <c r="U2291" s="3709"/>
      <c r="V2291" s="3709"/>
      <c r="W2291" s="3846"/>
      <c r="X2291" s="3858"/>
      <c r="Y2291" s="282"/>
      <c r="Z2291" s="3846"/>
      <c r="AA2291" s="3709"/>
      <c r="AB2291" s="3846"/>
      <c r="AC2291" s="3846"/>
      <c r="AD2291" s="3846"/>
      <c r="AE2291" s="3846"/>
      <c r="AF2291" s="3846"/>
      <c r="AG2291" s="3846"/>
      <c r="AH2291" s="930"/>
      <c r="AI2291" s="930"/>
    </row>
    <row r="2292" s="29" customFormat="1" ht="37.5" customHeight="1" spans="1:35">
      <c r="A2292" s="128" t="s">
        <v>3079</v>
      </c>
      <c r="B2292" s="3803">
        <v>45191</v>
      </c>
      <c r="C2292" s="649" t="s">
        <v>7496</v>
      </c>
      <c r="D2292" s="3804"/>
      <c r="E2292" s="647" t="s">
        <v>7502</v>
      </c>
      <c r="F2292" s="127" t="s">
        <v>7503</v>
      </c>
      <c r="G2292" s="647" t="s">
        <v>7504</v>
      </c>
      <c r="H2292" s="647" t="s">
        <v>5136</v>
      </c>
      <c r="I2292" s="3745">
        <v>1642</v>
      </c>
      <c r="J2292" s="3745">
        <v>988.43</v>
      </c>
      <c r="K2292" s="3812">
        <v>1623000</v>
      </c>
      <c r="L2292" s="128" t="s">
        <v>126</v>
      </c>
      <c r="M2292" s="3576">
        <v>1</v>
      </c>
      <c r="N2292" s="185" t="s">
        <v>7505</v>
      </c>
      <c r="O2292" s="4708">
        <v>0.15</v>
      </c>
      <c r="P2292" s="837">
        <f>K2292*O2292</f>
        <v>243450</v>
      </c>
      <c r="Q2292" s="3576">
        <f>P2292</f>
        <v>243450</v>
      </c>
      <c r="R2292" s="128" t="s">
        <v>4603</v>
      </c>
      <c r="S2292" s="3615">
        <v>45236</v>
      </c>
      <c r="T2292" s="3871">
        <v>243450</v>
      </c>
      <c r="U2292" s="3615">
        <v>45236</v>
      </c>
      <c r="V2292" s="3871">
        <v>243450</v>
      </c>
      <c r="W2292" s="3615">
        <v>45260</v>
      </c>
      <c r="X2292" s="3745">
        <v>700000</v>
      </c>
      <c r="Y2292" s="3803">
        <v>45350</v>
      </c>
      <c r="Z2292" s="3894"/>
      <c r="AA2292" s="280"/>
      <c r="AB2292" s="3846"/>
      <c r="AC2292" s="3846"/>
      <c r="AD2292" s="3846"/>
      <c r="AE2292" s="3846"/>
      <c r="AF2292" s="3846"/>
      <c r="AG2292" s="3846"/>
      <c r="AH2292" s="3850" t="s">
        <v>197</v>
      </c>
      <c r="AI2292" s="3850" t="s">
        <v>154</v>
      </c>
    </row>
    <row r="2293" s="29" customFormat="1" ht="37.5" customHeight="1" spans="1:35">
      <c r="A2293" s="3576"/>
      <c r="B2293" s="3805"/>
      <c r="C2293" s="3807"/>
      <c r="D2293" s="3806"/>
      <c r="E2293" s="3806"/>
      <c r="F2293" s="3810"/>
      <c r="G2293" s="3806"/>
      <c r="H2293" s="3806"/>
      <c r="I2293" s="3747"/>
      <c r="J2293" s="3747"/>
      <c r="K2293" s="3812"/>
      <c r="L2293" s="3576"/>
      <c r="M2293" s="3576">
        <v>2</v>
      </c>
      <c r="N2293" s="185" t="s">
        <v>7506</v>
      </c>
      <c r="O2293" s="4708">
        <v>0.25</v>
      </c>
      <c r="P2293" s="837">
        <f>K2292*O2293</f>
        <v>405750</v>
      </c>
      <c r="Q2293" s="3576">
        <f>P2293</f>
        <v>405750</v>
      </c>
      <c r="R2293" s="128" t="s">
        <v>4603</v>
      </c>
      <c r="S2293" s="3615">
        <v>45236</v>
      </c>
      <c r="T2293" s="3872">
        <v>405750</v>
      </c>
      <c r="U2293" s="3615">
        <v>45236</v>
      </c>
      <c r="V2293" s="3872">
        <v>405750</v>
      </c>
      <c r="W2293" s="3615">
        <v>45260</v>
      </c>
      <c r="X2293" s="3747"/>
      <c r="Y2293" s="3805"/>
      <c r="Z2293" s="3709"/>
      <c r="AA2293" s="280"/>
      <c r="AB2293" s="3846"/>
      <c r="AC2293" s="3846"/>
      <c r="AD2293" s="3846"/>
      <c r="AE2293" s="3846"/>
      <c r="AF2293" s="3846"/>
      <c r="AG2293" s="3846"/>
      <c r="AH2293" s="3851"/>
      <c r="AI2293" s="3851"/>
    </row>
    <row r="2294" s="29" customFormat="1" ht="37.5" customHeight="1" spans="1:35">
      <c r="A2294" s="3576"/>
      <c r="B2294" s="3805"/>
      <c r="C2294" s="3807"/>
      <c r="D2294" s="3806"/>
      <c r="E2294" s="3806"/>
      <c r="F2294" s="3810"/>
      <c r="G2294" s="3806"/>
      <c r="H2294" s="3806"/>
      <c r="I2294" s="3747"/>
      <c r="J2294" s="3747"/>
      <c r="K2294" s="3812"/>
      <c r="L2294" s="3576"/>
      <c r="M2294" s="3745">
        <v>3</v>
      </c>
      <c r="N2294" s="647" t="s">
        <v>5077</v>
      </c>
      <c r="O2294" s="4708">
        <v>0.1</v>
      </c>
      <c r="P2294" s="3817">
        <f>K2292*O2294</f>
        <v>162300</v>
      </c>
      <c r="Q2294" s="3745">
        <f>P2294</f>
        <v>162300</v>
      </c>
      <c r="R2294" s="149" t="s">
        <v>4603</v>
      </c>
      <c r="S2294" s="3803">
        <v>45236</v>
      </c>
      <c r="T2294" s="4725">
        <v>162300</v>
      </c>
      <c r="U2294" s="3803">
        <v>45236</v>
      </c>
      <c r="V2294" s="4725">
        <v>162300</v>
      </c>
      <c r="W2294" s="3803">
        <v>45260</v>
      </c>
      <c r="X2294" s="3577"/>
      <c r="Y2294" s="3830"/>
      <c r="Z2294" s="3709"/>
      <c r="AA2294" s="280"/>
      <c r="AB2294" s="3846"/>
      <c r="AC2294" s="3846"/>
      <c r="AD2294" s="3846"/>
      <c r="AE2294" s="3846"/>
      <c r="AF2294" s="3846"/>
      <c r="AG2294" s="3846"/>
      <c r="AH2294" s="3851"/>
      <c r="AI2294" s="3851"/>
    </row>
    <row r="2295" s="29" customFormat="1" ht="37.5" customHeight="1" spans="1:35">
      <c r="A2295" s="3576"/>
      <c r="B2295" s="3805"/>
      <c r="C2295" s="3807"/>
      <c r="D2295" s="3806"/>
      <c r="E2295" s="3806"/>
      <c r="F2295" s="3810"/>
      <c r="G2295" s="3806"/>
      <c r="H2295" s="3806"/>
      <c r="I2295" s="3747"/>
      <c r="J2295" s="3747"/>
      <c r="K2295" s="3812"/>
      <c r="L2295" s="3576"/>
      <c r="M2295" s="3747"/>
      <c r="N2295" s="651"/>
      <c r="O2295" s="4708"/>
      <c r="P2295" s="3819"/>
      <c r="Q2295" s="3747"/>
      <c r="R2295" s="151"/>
      <c r="S2295" s="3805"/>
      <c r="T2295" s="4728"/>
      <c r="U2295" s="3805"/>
      <c r="V2295" s="4728"/>
      <c r="W2295" s="3805"/>
      <c r="X2295" s="3577">
        <v>68000</v>
      </c>
      <c r="Y2295" s="3615">
        <v>45502</v>
      </c>
      <c r="Z2295" s="3709"/>
      <c r="AA2295" s="280"/>
      <c r="AB2295" s="3846"/>
      <c r="AC2295" s="3846"/>
      <c r="AD2295" s="3846"/>
      <c r="AE2295" s="3846"/>
      <c r="AF2295" s="3846"/>
      <c r="AG2295" s="3846"/>
      <c r="AH2295" s="3851"/>
      <c r="AI2295" s="3851"/>
    </row>
    <row r="2296" s="29" customFormat="1" ht="37.5" customHeight="1" spans="1:35">
      <c r="A2296" s="3576"/>
      <c r="B2296" s="3805"/>
      <c r="C2296" s="3807"/>
      <c r="D2296" s="3806"/>
      <c r="E2296" s="3806"/>
      <c r="F2296" s="3810"/>
      <c r="G2296" s="3806"/>
      <c r="H2296" s="3806"/>
      <c r="I2296" s="3747"/>
      <c r="J2296" s="3747"/>
      <c r="K2296" s="3812"/>
      <c r="L2296" s="3576"/>
      <c r="M2296" s="3577"/>
      <c r="N2296" s="651"/>
      <c r="O2296" s="4708"/>
      <c r="P2296" s="3821"/>
      <c r="Q2296" s="3577"/>
      <c r="R2296" s="152"/>
      <c r="S2296" s="3830"/>
      <c r="T2296" s="4726"/>
      <c r="U2296" s="3830"/>
      <c r="V2296" s="4726"/>
      <c r="W2296" s="3830"/>
      <c r="X2296" s="3840">
        <f>V2292+V2293+V2294-X2292-X2295</f>
        <v>43500</v>
      </c>
      <c r="Y2296" s="3615">
        <v>45563</v>
      </c>
      <c r="Z2296" s="3709"/>
      <c r="AA2296" s="280"/>
      <c r="AB2296" s="3846"/>
      <c r="AC2296" s="3846"/>
      <c r="AD2296" s="3846"/>
      <c r="AE2296" s="3846"/>
      <c r="AF2296" s="3846"/>
      <c r="AG2296" s="3846"/>
      <c r="AH2296" s="3851"/>
      <c r="AI2296" s="3851"/>
    </row>
    <row r="2297" s="29" customFormat="1" ht="37.5" customHeight="1" spans="1:35">
      <c r="A2297" s="3576"/>
      <c r="B2297" s="3805"/>
      <c r="C2297" s="3807"/>
      <c r="D2297" s="3806"/>
      <c r="E2297" s="3806"/>
      <c r="F2297" s="3810"/>
      <c r="G2297" s="3806"/>
      <c r="H2297" s="3806"/>
      <c r="I2297" s="3747"/>
      <c r="J2297" s="3747"/>
      <c r="K2297" s="3812"/>
      <c r="L2297" s="3576"/>
      <c r="M2297" s="3745">
        <v>4</v>
      </c>
      <c r="N2297" s="647" t="s">
        <v>7507</v>
      </c>
      <c r="O2297" s="4708">
        <v>0.3</v>
      </c>
      <c r="P2297" s="3817">
        <f>K2292*O2297</f>
        <v>486900</v>
      </c>
      <c r="Q2297" s="3745">
        <f>P2297</f>
        <v>486900</v>
      </c>
      <c r="R2297" s="149" t="s">
        <v>4603</v>
      </c>
      <c r="S2297" s="283">
        <v>45236</v>
      </c>
      <c r="T2297" s="3886">
        <v>486900</v>
      </c>
      <c r="U2297" s="276">
        <v>45236</v>
      </c>
      <c r="V2297" s="3834">
        <v>486900</v>
      </c>
      <c r="W2297" s="3803">
        <v>45260</v>
      </c>
      <c r="X2297" s="3841">
        <v>273800</v>
      </c>
      <c r="Y2297" s="3615">
        <v>45470</v>
      </c>
      <c r="Z2297" s="3709"/>
      <c r="AA2297" s="280"/>
      <c r="AB2297" s="3846"/>
      <c r="AC2297" s="3846"/>
      <c r="AD2297" s="3846"/>
      <c r="AE2297" s="3846"/>
      <c r="AF2297" s="3846"/>
      <c r="AG2297" s="3846"/>
      <c r="AH2297" s="3851"/>
      <c r="AI2297" s="3851"/>
    </row>
    <row r="2298" s="29" customFormat="1" ht="37.5" customHeight="1" spans="1:35">
      <c r="A2298" s="3576"/>
      <c r="B2298" s="3805"/>
      <c r="C2298" s="3807"/>
      <c r="D2298" s="3806"/>
      <c r="E2298" s="3806"/>
      <c r="F2298" s="3810"/>
      <c r="G2298" s="3806"/>
      <c r="H2298" s="3806"/>
      <c r="I2298" s="3747"/>
      <c r="J2298" s="3747"/>
      <c r="K2298" s="3812"/>
      <c r="L2298" s="3576"/>
      <c r="M2298" s="3747"/>
      <c r="N2298" s="651"/>
      <c r="O2298" s="4708"/>
      <c r="P2298" s="3819"/>
      <c r="Q2298" s="3747"/>
      <c r="R2298" s="151"/>
      <c r="S2298" s="931"/>
      <c r="T2298" s="4729"/>
      <c r="U2298" s="276"/>
      <c r="V2298" s="3834"/>
      <c r="W2298" s="3805"/>
      <c r="X2298" s="3841">
        <v>69600</v>
      </c>
      <c r="Y2298" s="3615">
        <v>45563</v>
      </c>
      <c r="Z2298" s="3709"/>
      <c r="AA2298" s="280"/>
      <c r="AB2298" s="3846"/>
      <c r="AC2298" s="3846"/>
      <c r="AD2298" s="3846"/>
      <c r="AE2298" s="3846"/>
      <c r="AF2298" s="3846"/>
      <c r="AG2298" s="3846"/>
      <c r="AH2298" s="3851"/>
      <c r="AI2298" s="3851"/>
    </row>
    <row r="2299" s="29" customFormat="1" ht="37.5" customHeight="1" spans="1:35">
      <c r="A2299" s="3576"/>
      <c r="B2299" s="3805"/>
      <c r="C2299" s="3807"/>
      <c r="D2299" s="3806"/>
      <c r="E2299" s="3806"/>
      <c r="F2299" s="3810"/>
      <c r="G2299" s="3806"/>
      <c r="H2299" s="3806"/>
      <c r="I2299" s="3747"/>
      <c r="J2299" s="3747"/>
      <c r="K2299" s="3812"/>
      <c r="L2299" s="3576"/>
      <c r="M2299" s="3747"/>
      <c r="N2299" s="651"/>
      <c r="O2299" s="4708"/>
      <c r="P2299" s="3819"/>
      <c r="Q2299" s="3747"/>
      <c r="R2299" s="151"/>
      <c r="S2299" s="931"/>
      <c r="T2299" s="4729"/>
      <c r="U2299" s="276"/>
      <c r="V2299" s="3834"/>
      <c r="W2299" s="3805"/>
      <c r="X2299" s="3841">
        <v>48940</v>
      </c>
      <c r="Y2299" s="3615">
        <v>45772</v>
      </c>
      <c r="Z2299" s="3709"/>
      <c r="AA2299" s="280"/>
      <c r="AB2299" s="3846"/>
      <c r="AC2299" s="3846"/>
      <c r="AD2299" s="3846"/>
      <c r="AE2299" s="3846"/>
      <c r="AF2299" s="3846"/>
      <c r="AG2299" s="3846"/>
      <c r="AH2299" s="3851"/>
      <c r="AI2299" s="3851"/>
    </row>
    <row r="2300" s="29" customFormat="1" ht="37.5" customHeight="1" spans="1:35">
      <c r="A2300" s="3576"/>
      <c r="B2300" s="3805"/>
      <c r="C2300" s="3807"/>
      <c r="D2300" s="3806"/>
      <c r="E2300" s="3806"/>
      <c r="F2300" s="3810"/>
      <c r="G2300" s="3806"/>
      <c r="H2300" s="3806"/>
      <c r="I2300" s="3747"/>
      <c r="J2300" s="3747"/>
      <c r="K2300" s="3812"/>
      <c r="L2300" s="3576"/>
      <c r="M2300" s="3577"/>
      <c r="N2300" s="651"/>
      <c r="O2300" s="4708"/>
      <c r="P2300" s="3821"/>
      <c r="Q2300" s="3577"/>
      <c r="R2300" s="152"/>
      <c r="S2300" s="284"/>
      <c r="T2300" s="3887"/>
      <c r="U2300" s="276"/>
      <c r="V2300" s="3834"/>
      <c r="W2300" s="3830"/>
      <c r="X2300" s="3841">
        <f>143500-X2299</f>
        <v>94560</v>
      </c>
      <c r="Y2300" s="313">
        <v>45887</v>
      </c>
      <c r="Z2300" s="3709"/>
      <c r="AA2300" s="280"/>
      <c r="AB2300" s="3846"/>
      <c r="AC2300" s="3846"/>
      <c r="AD2300" s="3846"/>
      <c r="AE2300" s="3846"/>
      <c r="AF2300" s="3846"/>
      <c r="AG2300" s="3846"/>
      <c r="AH2300" s="3851"/>
      <c r="AI2300" s="3851"/>
    </row>
    <row r="2301" s="29" customFormat="1" ht="37.5" customHeight="1" spans="1:35">
      <c r="A2301" s="3576"/>
      <c r="B2301" s="3805"/>
      <c r="C2301" s="3807"/>
      <c r="D2301" s="3806"/>
      <c r="E2301" s="3806"/>
      <c r="F2301" s="3810"/>
      <c r="G2301" s="3806"/>
      <c r="H2301" s="3806"/>
      <c r="I2301" s="3747"/>
      <c r="J2301" s="3747"/>
      <c r="K2301" s="3812"/>
      <c r="L2301" s="3576"/>
      <c r="M2301" s="3576">
        <v>5</v>
      </c>
      <c r="N2301" s="172" t="s">
        <v>5079</v>
      </c>
      <c r="O2301" s="4708">
        <v>0.05</v>
      </c>
      <c r="P2301" s="837">
        <f>K2292*O2301</f>
        <v>81150</v>
      </c>
      <c r="Q2301" s="3833">
        <v>81150</v>
      </c>
      <c r="R2301" s="280" t="s">
        <v>349</v>
      </c>
      <c r="S2301" s="282"/>
      <c r="T2301" s="3832"/>
      <c r="U2301" s="3842"/>
      <c r="V2301" s="3841"/>
      <c r="W2301" s="3615"/>
      <c r="X2301" s="3841"/>
      <c r="Y2301" s="3615"/>
      <c r="Z2301" s="3709"/>
      <c r="AA2301" s="280"/>
      <c r="AB2301" s="3846"/>
      <c r="AC2301" s="3846"/>
      <c r="AD2301" s="3846"/>
      <c r="AE2301" s="3846"/>
      <c r="AF2301" s="3846"/>
      <c r="AG2301" s="3846"/>
      <c r="AH2301" s="3851"/>
      <c r="AI2301" s="3851"/>
    </row>
    <row r="2302" s="29" customFormat="1" ht="37.5" customHeight="1" spans="1:35">
      <c r="A2302" s="3576"/>
      <c r="B2302" s="3805"/>
      <c r="C2302" s="3807"/>
      <c r="D2302" s="3806"/>
      <c r="E2302" s="3806"/>
      <c r="F2302" s="3810"/>
      <c r="G2302" s="3806"/>
      <c r="H2302" s="3806"/>
      <c r="I2302" s="3747"/>
      <c r="J2302" s="3747"/>
      <c r="K2302" s="3812"/>
      <c r="L2302" s="3576"/>
      <c r="M2302" s="3576">
        <v>6</v>
      </c>
      <c r="N2302" s="172" t="s">
        <v>5080</v>
      </c>
      <c r="O2302" s="4708">
        <v>0.05</v>
      </c>
      <c r="P2302" s="837">
        <f>K2292*O2302</f>
        <v>81150</v>
      </c>
      <c r="Q2302" s="3833">
        <v>81150</v>
      </c>
      <c r="R2302" s="280" t="s">
        <v>349</v>
      </c>
      <c r="S2302" s="282"/>
      <c r="T2302" s="3832"/>
      <c r="U2302" s="3842"/>
      <c r="V2302" s="3841"/>
      <c r="W2302" s="3615"/>
      <c r="X2302" s="3841"/>
      <c r="Y2302" s="3615"/>
      <c r="Z2302" s="3709"/>
      <c r="AA2302" s="280"/>
      <c r="AB2302" s="3846"/>
      <c r="AC2302" s="3846"/>
      <c r="AD2302" s="3846"/>
      <c r="AE2302" s="3846"/>
      <c r="AF2302" s="3846"/>
      <c r="AG2302" s="3846"/>
      <c r="AH2302" s="3851"/>
      <c r="AI2302" s="3851"/>
    </row>
    <row r="2303" s="29" customFormat="1" ht="92" spans="1:35">
      <c r="A2303" s="3576"/>
      <c r="B2303" s="3830"/>
      <c r="C2303" s="3852"/>
      <c r="D2303" s="3853"/>
      <c r="E2303" s="3853"/>
      <c r="F2303" s="3810"/>
      <c r="G2303" s="3853"/>
      <c r="H2303" s="3853"/>
      <c r="I2303" s="3577"/>
      <c r="J2303" s="3577"/>
      <c r="K2303" s="3812"/>
      <c r="L2303" s="3576"/>
      <c r="M2303" s="128" t="s">
        <v>6237</v>
      </c>
      <c r="N2303" s="185" t="s">
        <v>7508</v>
      </c>
      <c r="O2303" s="4708">
        <v>0.1</v>
      </c>
      <c r="P2303" s="837">
        <f>K2292*O2303</f>
        <v>162300</v>
      </c>
      <c r="Q2303" s="3858"/>
      <c r="R2303" s="280"/>
      <c r="S2303" s="3584"/>
      <c r="T2303" s="3709"/>
      <c r="U2303" s="3709"/>
      <c r="V2303" s="3709"/>
      <c r="W2303" s="3846"/>
      <c r="X2303" s="3858"/>
      <c r="Y2303" s="282"/>
      <c r="Z2303" s="3846"/>
      <c r="AA2303" s="3709"/>
      <c r="AB2303" s="3846"/>
      <c r="AC2303" s="3846"/>
      <c r="AD2303" s="3846"/>
      <c r="AE2303" s="3846"/>
      <c r="AF2303" s="3846"/>
      <c r="AG2303" s="3846"/>
      <c r="AH2303" s="930"/>
      <c r="AI2303" s="930"/>
    </row>
    <row r="2304" s="29" customFormat="1" ht="37.5" customHeight="1" spans="1:35">
      <c r="A2304" s="128" t="s">
        <v>3079</v>
      </c>
      <c r="B2304" s="3803">
        <v>45429</v>
      </c>
      <c r="C2304" s="649" t="s">
        <v>7496</v>
      </c>
      <c r="D2304" s="3804"/>
      <c r="E2304" s="647" t="s">
        <v>7509</v>
      </c>
      <c r="F2304" s="127" t="s">
        <v>7510</v>
      </c>
      <c r="G2304" s="647" t="s">
        <v>7504</v>
      </c>
      <c r="H2304" s="647" t="s">
        <v>5136</v>
      </c>
      <c r="I2304" s="3745">
        <v>98.5</v>
      </c>
      <c r="J2304" s="3745">
        <v>1200</v>
      </c>
      <c r="K2304" s="3812">
        <v>118200</v>
      </c>
      <c r="L2304" s="128" t="s">
        <v>126</v>
      </c>
      <c r="M2304" s="3576">
        <v>1</v>
      </c>
      <c r="N2304" s="185" t="s">
        <v>7505</v>
      </c>
      <c r="O2304" s="4708">
        <v>0.15</v>
      </c>
      <c r="P2304" s="837">
        <f>K2304*O2304</f>
        <v>17730</v>
      </c>
      <c r="Q2304" s="3879">
        <f>P2304</f>
        <v>17730</v>
      </c>
      <c r="R2304" s="128" t="s">
        <v>4603</v>
      </c>
      <c r="S2304" s="3615">
        <v>45442</v>
      </c>
      <c r="T2304" s="837">
        <v>94560</v>
      </c>
      <c r="U2304" s="3615">
        <v>45442</v>
      </c>
      <c r="V2304" s="837">
        <v>94560</v>
      </c>
      <c r="W2304" s="4748">
        <v>45449</v>
      </c>
      <c r="X2304" s="3745">
        <v>94560</v>
      </c>
      <c r="Y2304" s="3803">
        <v>45470</v>
      </c>
      <c r="Z2304" s="3894"/>
      <c r="AA2304" s="280"/>
      <c r="AB2304" s="3846"/>
      <c r="AC2304" s="3846"/>
      <c r="AD2304" s="3846"/>
      <c r="AE2304" s="3846"/>
      <c r="AF2304" s="3846"/>
      <c r="AG2304" s="3846"/>
      <c r="AH2304" s="3850" t="s">
        <v>197</v>
      </c>
      <c r="AI2304" s="3850" t="s">
        <v>154</v>
      </c>
    </row>
    <row r="2305" s="29" customFormat="1" ht="37.5" customHeight="1" spans="1:35">
      <c r="A2305" s="3576"/>
      <c r="B2305" s="3805"/>
      <c r="C2305" s="3807"/>
      <c r="D2305" s="3806"/>
      <c r="E2305" s="3806"/>
      <c r="F2305" s="3810"/>
      <c r="G2305" s="3806"/>
      <c r="H2305" s="3806"/>
      <c r="I2305" s="3747"/>
      <c r="J2305" s="3747"/>
      <c r="K2305" s="3812"/>
      <c r="L2305" s="3576"/>
      <c r="M2305" s="3576">
        <v>2</v>
      </c>
      <c r="N2305" s="185" t="s">
        <v>7506</v>
      </c>
      <c r="O2305" s="4708">
        <v>0.25</v>
      </c>
      <c r="P2305" s="837">
        <f>K2304*O2305</f>
        <v>29550</v>
      </c>
      <c r="Q2305" s="3879">
        <f>P2305</f>
        <v>29550</v>
      </c>
      <c r="R2305" s="128"/>
      <c r="S2305" s="3615"/>
      <c r="T2305" s="837"/>
      <c r="U2305" s="3615"/>
      <c r="V2305" s="837"/>
      <c r="W2305" s="4773"/>
      <c r="X2305" s="3747"/>
      <c r="Y2305" s="3805"/>
      <c r="Z2305" s="3709"/>
      <c r="AA2305" s="280"/>
      <c r="AB2305" s="3846"/>
      <c r="AC2305" s="3846"/>
      <c r="AD2305" s="3846"/>
      <c r="AE2305" s="3846"/>
      <c r="AF2305" s="3846"/>
      <c r="AG2305" s="3846"/>
      <c r="AH2305" s="3851"/>
      <c r="AI2305" s="3851"/>
    </row>
    <row r="2306" s="29" customFormat="1" ht="37.5" customHeight="1" spans="1:35">
      <c r="A2306" s="3576"/>
      <c r="B2306" s="3805"/>
      <c r="C2306" s="3807"/>
      <c r="D2306" s="3806"/>
      <c r="E2306" s="3806"/>
      <c r="F2306" s="3810"/>
      <c r="G2306" s="3806"/>
      <c r="H2306" s="3806"/>
      <c r="I2306" s="3747"/>
      <c r="J2306" s="3747"/>
      <c r="K2306" s="3812"/>
      <c r="L2306" s="3576"/>
      <c r="M2306" s="3576">
        <v>3</v>
      </c>
      <c r="N2306" s="172" t="s">
        <v>5077</v>
      </c>
      <c r="O2306" s="4708">
        <v>0.1</v>
      </c>
      <c r="P2306" s="837">
        <f>K2304*O2306</f>
        <v>11820</v>
      </c>
      <c r="Q2306" s="3879">
        <f>P2306</f>
        <v>11820</v>
      </c>
      <c r="R2306" s="128"/>
      <c r="S2306" s="3615"/>
      <c r="T2306" s="837"/>
      <c r="U2306" s="3615"/>
      <c r="V2306" s="837"/>
      <c r="W2306" s="4773"/>
      <c r="X2306" s="3747"/>
      <c r="Y2306" s="3805"/>
      <c r="Z2306" s="3709"/>
      <c r="AA2306" s="280"/>
      <c r="AB2306" s="3846"/>
      <c r="AC2306" s="3846"/>
      <c r="AD2306" s="3846"/>
      <c r="AE2306" s="3846"/>
      <c r="AF2306" s="3846"/>
      <c r="AG2306" s="3846"/>
      <c r="AH2306" s="3851"/>
      <c r="AI2306" s="3851"/>
    </row>
    <row r="2307" s="29" customFormat="1" ht="37.5" customHeight="1" spans="1:35">
      <c r="A2307" s="3576"/>
      <c r="B2307" s="3805"/>
      <c r="C2307" s="3807"/>
      <c r="D2307" s="3806"/>
      <c r="E2307" s="3806"/>
      <c r="F2307" s="3810"/>
      <c r="G2307" s="3806"/>
      <c r="H2307" s="3806"/>
      <c r="I2307" s="3747"/>
      <c r="J2307" s="3747"/>
      <c r="K2307" s="3812"/>
      <c r="L2307" s="3576"/>
      <c r="M2307" s="3576">
        <v>4</v>
      </c>
      <c r="N2307" s="172" t="s">
        <v>7507</v>
      </c>
      <c r="O2307" s="4708">
        <v>0.3</v>
      </c>
      <c r="P2307" s="837">
        <f>K2304*O2307</f>
        <v>35460</v>
      </c>
      <c r="Q2307" s="3879">
        <f>P2307</f>
        <v>35460</v>
      </c>
      <c r="R2307" s="128"/>
      <c r="S2307" s="3615"/>
      <c r="T2307" s="837"/>
      <c r="U2307" s="3615"/>
      <c r="V2307" s="837"/>
      <c r="W2307" s="4739"/>
      <c r="X2307" s="3577"/>
      <c r="Y2307" s="3830"/>
      <c r="Z2307" s="3709"/>
      <c r="AA2307" s="280"/>
      <c r="AB2307" s="3846"/>
      <c r="AC2307" s="3846"/>
      <c r="AD2307" s="3846"/>
      <c r="AE2307" s="3846"/>
      <c r="AF2307" s="3846"/>
      <c r="AG2307" s="3846"/>
      <c r="AH2307" s="3851"/>
      <c r="AI2307" s="3851"/>
    </row>
    <row r="2308" s="29" customFormat="1" ht="37.5" customHeight="1" spans="1:35">
      <c r="A2308" s="3576"/>
      <c r="B2308" s="3805"/>
      <c r="C2308" s="3807"/>
      <c r="D2308" s="3806"/>
      <c r="E2308" s="3806"/>
      <c r="F2308" s="3810"/>
      <c r="G2308" s="3806"/>
      <c r="H2308" s="3806"/>
      <c r="I2308" s="3747"/>
      <c r="J2308" s="3747"/>
      <c r="K2308" s="3812"/>
      <c r="L2308" s="3576"/>
      <c r="M2308" s="3576">
        <v>5</v>
      </c>
      <c r="N2308" s="172" t="s">
        <v>5079</v>
      </c>
      <c r="O2308" s="4708">
        <v>0.05</v>
      </c>
      <c r="P2308" s="837">
        <f>K2304*O2308</f>
        <v>5910</v>
      </c>
      <c r="Q2308" s="3833"/>
      <c r="R2308" s="280"/>
      <c r="S2308" s="282"/>
      <c r="T2308" s="3832"/>
      <c r="U2308" s="3842"/>
      <c r="V2308" s="3841"/>
      <c r="W2308" s="3615"/>
      <c r="X2308" s="3841"/>
      <c r="Y2308" s="3615"/>
      <c r="Z2308" s="3709"/>
      <c r="AA2308" s="280"/>
      <c r="AB2308" s="3846"/>
      <c r="AC2308" s="3846"/>
      <c r="AD2308" s="3846"/>
      <c r="AE2308" s="3846"/>
      <c r="AF2308" s="3846"/>
      <c r="AG2308" s="3846"/>
      <c r="AH2308" s="3851"/>
      <c r="AI2308" s="3851"/>
    </row>
    <row r="2309" s="29" customFormat="1" ht="37.5" customHeight="1" spans="1:35">
      <c r="A2309" s="3576"/>
      <c r="B2309" s="3805"/>
      <c r="C2309" s="3807"/>
      <c r="D2309" s="3806"/>
      <c r="E2309" s="3806"/>
      <c r="F2309" s="3810"/>
      <c r="G2309" s="3806"/>
      <c r="H2309" s="3806"/>
      <c r="I2309" s="3747"/>
      <c r="J2309" s="3747"/>
      <c r="K2309" s="3812"/>
      <c r="L2309" s="3576"/>
      <c r="M2309" s="3576">
        <v>6</v>
      </c>
      <c r="N2309" s="172" t="s">
        <v>5080</v>
      </c>
      <c r="O2309" s="4708">
        <v>0.05</v>
      </c>
      <c r="P2309" s="837">
        <f>K2304*O2309</f>
        <v>5910</v>
      </c>
      <c r="Q2309" s="3833"/>
      <c r="R2309" s="280"/>
      <c r="S2309" s="282"/>
      <c r="T2309" s="3832"/>
      <c r="U2309" s="3842"/>
      <c r="V2309" s="3841"/>
      <c r="W2309" s="3615"/>
      <c r="X2309" s="3841"/>
      <c r="Y2309" s="3615"/>
      <c r="Z2309" s="3709"/>
      <c r="AA2309" s="280"/>
      <c r="AB2309" s="3846"/>
      <c r="AC2309" s="3846"/>
      <c r="AD2309" s="3846"/>
      <c r="AE2309" s="3846"/>
      <c r="AF2309" s="3846"/>
      <c r="AG2309" s="3846"/>
      <c r="AH2309" s="3851"/>
      <c r="AI2309" s="3851"/>
    </row>
    <row r="2310" s="29" customFormat="1" ht="92" spans="1:35">
      <c r="A2310" s="3576"/>
      <c r="B2310" s="3830"/>
      <c r="C2310" s="3852"/>
      <c r="D2310" s="3853"/>
      <c r="E2310" s="3853"/>
      <c r="F2310" s="3810"/>
      <c r="G2310" s="3853"/>
      <c r="H2310" s="3853"/>
      <c r="I2310" s="3577"/>
      <c r="J2310" s="3577"/>
      <c r="K2310" s="3812"/>
      <c r="L2310" s="3576"/>
      <c r="M2310" s="128" t="s">
        <v>6237</v>
      </c>
      <c r="N2310" s="185" t="s">
        <v>7508</v>
      </c>
      <c r="O2310" s="4708">
        <v>0.1</v>
      </c>
      <c r="P2310" s="837">
        <f>K2304*O2310</f>
        <v>11820</v>
      </c>
      <c r="Q2310" s="3858"/>
      <c r="R2310" s="280"/>
      <c r="S2310" s="3584"/>
      <c r="T2310" s="3709"/>
      <c r="U2310" s="3709"/>
      <c r="V2310" s="3709"/>
      <c r="W2310" s="3846"/>
      <c r="X2310" s="3858"/>
      <c r="Y2310" s="282"/>
      <c r="Z2310" s="3846"/>
      <c r="AA2310" s="3709"/>
      <c r="AB2310" s="3846"/>
      <c r="AC2310" s="3846"/>
      <c r="AD2310" s="3846"/>
      <c r="AE2310" s="3846"/>
      <c r="AF2310" s="3846"/>
      <c r="AG2310" s="3846"/>
      <c r="AH2310" s="930"/>
      <c r="AI2310" s="930"/>
    </row>
    <row r="2311" s="29" customFormat="1" ht="37.5" customHeight="1" spans="1:35">
      <c r="A2311" s="128" t="s">
        <v>3079</v>
      </c>
      <c r="B2311" s="3803">
        <v>45223</v>
      </c>
      <c r="C2311" s="649" t="s">
        <v>7496</v>
      </c>
      <c r="D2311" s="3804"/>
      <c r="E2311" s="647" t="s">
        <v>7511</v>
      </c>
      <c r="F2311" s="127" t="s">
        <v>7512</v>
      </c>
      <c r="G2311" s="647" t="s">
        <v>5826</v>
      </c>
      <c r="H2311" s="647" t="s">
        <v>5607</v>
      </c>
      <c r="I2311" s="3745">
        <v>1642</v>
      </c>
      <c r="J2311" s="3745">
        <v>988.43</v>
      </c>
      <c r="K2311" s="3812">
        <v>1608410</v>
      </c>
      <c r="L2311" s="128" t="s">
        <v>126</v>
      </c>
      <c r="M2311" s="127" t="s">
        <v>7513</v>
      </c>
      <c r="N2311" s="185" t="s">
        <v>7134</v>
      </c>
      <c r="O2311" s="4708">
        <v>0.1</v>
      </c>
      <c r="P2311" s="837">
        <f>K2311*O2311</f>
        <v>160841</v>
      </c>
      <c r="Q2311" s="3576">
        <f>P2311</f>
        <v>160841</v>
      </c>
      <c r="R2311" s="128" t="s">
        <v>4603</v>
      </c>
      <c r="S2311" s="276">
        <v>45236</v>
      </c>
      <c r="T2311" s="837">
        <v>160841</v>
      </c>
      <c r="U2311" s="276">
        <v>45236</v>
      </c>
      <c r="V2311" s="2676">
        <v>160841</v>
      </c>
      <c r="W2311" s="276">
        <v>45267</v>
      </c>
      <c r="X2311" s="3745">
        <v>263000.2</v>
      </c>
      <c r="Y2311" s="3803">
        <v>45350</v>
      </c>
      <c r="Z2311" s="4747">
        <f>V2311+V2312-X2311</f>
        <v>0</v>
      </c>
      <c r="AA2311" s="280"/>
      <c r="AB2311" s="3846"/>
      <c r="AC2311" s="3846"/>
      <c r="AD2311" s="3846"/>
      <c r="AE2311" s="3846"/>
      <c r="AF2311" s="3846"/>
      <c r="AG2311" s="3846"/>
      <c r="AH2311" s="3850" t="s">
        <v>197</v>
      </c>
      <c r="AI2311" s="3850" t="s">
        <v>154</v>
      </c>
    </row>
    <row r="2312" s="29" customFormat="1" ht="37.5" customHeight="1" spans="1:35">
      <c r="A2312" s="3576"/>
      <c r="B2312" s="3805"/>
      <c r="C2312" s="3807"/>
      <c r="D2312" s="3806"/>
      <c r="E2312" s="3806"/>
      <c r="F2312" s="3810"/>
      <c r="G2312" s="3806"/>
      <c r="H2312" s="3806"/>
      <c r="I2312" s="3747"/>
      <c r="J2312" s="3747"/>
      <c r="K2312" s="3812"/>
      <c r="L2312" s="3576"/>
      <c r="M2312" s="647" t="s">
        <v>7514</v>
      </c>
      <c r="N2312" s="185" t="s">
        <v>5064</v>
      </c>
      <c r="O2312" s="4708">
        <v>0.4</v>
      </c>
      <c r="P2312" s="837">
        <f>255398*O2312</f>
        <v>102159.2</v>
      </c>
      <c r="Q2312" s="3576">
        <f>P2312</f>
        <v>102159.2</v>
      </c>
      <c r="R2312" s="128" t="s">
        <v>4603</v>
      </c>
      <c r="S2312" s="276">
        <v>45236</v>
      </c>
      <c r="T2312" s="3872">
        <v>102159.2</v>
      </c>
      <c r="U2312" s="276">
        <v>45236</v>
      </c>
      <c r="V2312" s="2676">
        <v>102159.2</v>
      </c>
      <c r="W2312" s="276">
        <v>45267</v>
      </c>
      <c r="X2312" s="3577"/>
      <c r="Y2312" s="3830"/>
      <c r="Z2312" s="3840"/>
      <c r="AA2312" s="280"/>
      <c r="AB2312" s="3846"/>
      <c r="AC2312" s="3846"/>
      <c r="AD2312" s="3846"/>
      <c r="AE2312" s="3846"/>
      <c r="AF2312" s="3846"/>
      <c r="AG2312" s="3846"/>
      <c r="AH2312" s="3851"/>
      <c r="AI2312" s="3851"/>
    </row>
    <row r="2313" s="29" customFormat="1" ht="37.5" customHeight="1" spans="1:35">
      <c r="A2313" s="3576"/>
      <c r="B2313" s="3805"/>
      <c r="C2313" s="3807"/>
      <c r="D2313" s="3806"/>
      <c r="E2313" s="3806"/>
      <c r="F2313" s="3810"/>
      <c r="G2313" s="3806"/>
      <c r="H2313" s="3806"/>
      <c r="I2313" s="3747"/>
      <c r="J2313" s="3747"/>
      <c r="K2313" s="3812"/>
      <c r="L2313" s="3576"/>
      <c r="M2313" s="3806"/>
      <c r="N2313" s="185" t="s">
        <v>5065</v>
      </c>
      <c r="O2313" s="4708">
        <v>0.3</v>
      </c>
      <c r="P2313" s="837">
        <f>255398*O2313</f>
        <v>76619.4</v>
      </c>
      <c r="Q2313" s="3576">
        <v>76619.4</v>
      </c>
      <c r="R2313" s="128" t="s">
        <v>4603</v>
      </c>
      <c r="S2313" s="3615">
        <v>45282</v>
      </c>
      <c r="T2313" s="128">
        <v>76619.4</v>
      </c>
      <c r="U2313" s="3615">
        <v>45282</v>
      </c>
      <c r="V2313" s="2676">
        <v>76619.4</v>
      </c>
      <c r="W2313" s="3615">
        <v>45496</v>
      </c>
      <c r="X2313" s="3841">
        <v>115010.02</v>
      </c>
      <c r="Y2313" s="3615">
        <v>45530</v>
      </c>
      <c r="Z2313" s="3576"/>
      <c r="AA2313" s="280"/>
      <c r="AB2313" s="3846"/>
      <c r="AC2313" s="3846"/>
      <c r="AD2313" s="3846"/>
      <c r="AE2313" s="3846"/>
      <c r="AF2313" s="3846"/>
      <c r="AG2313" s="3846"/>
      <c r="AH2313" s="3851"/>
      <c r="AI2313" s="3851"/>
    </row>
    <row r="2314" s="29" customFormat="1" ht="37.5" customHeight="1" spans="1:35">
      <c r="A2314" s="3576"/>
      <c r="B2314" s="3805"/>
      <c r="C2314" s="3807"/>
      <c r="D2314" s="3806"/>
      <c r="E2314" s="3806"/>
      <c r="F2314" s="3810"/>
      <c r="G2314" s="3806"/>
      <c r="H2314" s="3806"/>
      <c r="I2314" s="3747"/>
      <c r="J2314" s="3747"/>
      <c r="K2314" s="3812"/>
      <c r="L2314" s="3576"/>
      <c r="M2314" s="3853"/>
      <c r="N2314" s="185" t="s">
        <v>5066</v>
      </c>
      <c r="O2314" s="4708">
        <v>0.1</v>
      </c>
      <c r="P2314" s="837">
        <f>255398*O2314</f>
        <v>25539.8</v>
      </c>
      <c r="Q2314" s="3576">
        <v>25539.8</v>
      </c>
      <c r="R2314" s="128" t="s">
        <v>4603</v>
      </c>
      <c r="S2314" s="276">
        <v>45545</v>
      </c>
      <c r="T2314" s="3834">
        <v>25539.8</v>
      </c>
      <c r="U2314" s="276">
        <v>45545</v>
      </c>
      <c r="V2314" s="4774">
        <v>25539.8</v>
      </c>
      <c r="W2314" s="3615">
        <v>45544</v>
      </c>
      <c r="X2314" s="3841">
        <v>25539.8</v>
      </c>
      <c r="Y2314" s="276">
        <v>45562</v>
      </c>
      <c r="Z2314" s="3576"/>
      <c r="AA2314" s="280"/>
      <c r="AB2314" s="3846"/>
      <c r="AC2314" s="3846"/>
      <c r="AD2314" s="3846"/>
      <c r="AE2314" s="3846"/>
      <c r="AF2314" s="3846"/>
      <c r="AG2314" s="3846"/>
      <c r="AH2314" s="3851"/>
      <c r="AI2314" s="3851"/>
    </row>
    <row r="2315" s="29" customFormat="1" ht="37.5" customHeight="1" spans="1:35">
      <c r="A2315" s="3576"/>
      <c r="B2315" s="3805"/>
      <c r="C2315" s="3807"/>
      <c r="D2315" s="3806"/>
      <c r="E2315" s="3806"/>
      <c r="F2315" s="3810"/>
      <c r="G2315" s="3806"/>
      <c r="H2315" s="3806"/>
      <c r="I2315" s="3747"/>
      <c r="J2315" s="3747"/>
      <c r="K2315" s="3812"/>
      <c r="L2315" s="3576"/>
      <c r="M2315" s="647" t="s">
        <v>7515</v>
      </c>
      <c r="N2315" s="185" t="s">
        <v>5067</v>
      </c>
      <c r="O2315" s="4708">
        <v>0.2</v>
      </c>
      <c r="P2315" s="837">
        <f>1353012*O2315</f>
        <v>270602.4</v>
      </c>
      <c r="Q2315" s="127">
        <v>270602.4</v>
      </c>
      <c r="R2315" s="128" t="s">
        <v>4603</v>
      </c>
      <c r="S2315" s="276">
        <v>45236</v>
      </c>
      <c r="T2315" s="3872">
        <v>270602.4</v>
      </c>
      <c r="U2315" s="276">
        <v>45236</v>
      </c>
      <c r="V2315" s="2676">
        <v>270602.4</v>
      </c>
      <c r="W2315" s="276">
        <v>45267</v>
      </c>
      <c r="X2315" s="3576">
        <v>236999.8</v>
      </c>
      <c r="Y2315" s="3615">
        <v>45350</v>
      </c>
      <c r="Z2315" s="3576">
        <f>V2315-X2315</f>
        <v>33602.6</v>
      </c>
      <c r="AA2315" s="280"/>
      <c r="AB2315" s="3846"/>
      <c r="AC2315" s="3846"/>
      <c r="AD2315" s="3846"/>
      <c r="AE2315" s="3846"/>
      <c r="AF2315" s="3846"/>
      <c r="AG2315" s="3846"/>
      <c r="AH2315" s="3851"/>
      <c r="AI2315" s="3851"/>
    </row>
    <row r="2316" s="29" customFormat="1" ht="37.5" customHeight="1" spans="1:35">
      <c r="A2316" s="3576"/>
      <c r="B2316" s="3805"/>
      <c r="C2316" s="3807"/>
      <c r="D2316" s="3806"/>
      <c r="E2316" s="3806"/>
      <c r="F2316" s="3810"/>
      <c r="G2316" s="3806"/>
      <c r="H2316" s="3806"/>
      <c r="I2316" s="3747"/>
      <c r="J2316" s="3747"/>
      <c r="K2316" s="3812"/>
      <c r="L2316" s="3576"/>
      <c r="M2316" s="3806"/>
      <c r="N2316" s="185" t="s">
        <v>5064</v>
      </c>
      <c r="O2316" s="4708">
        <v>0.15</v>
      </c>
      <c r="P2316" s="837">
        <f>1353012*O2316</f>
        <v>202951.8</v>
      </c>
      <c r="Q2316" s="127">
        <v>202951.8</v>
      </c>
      <c r="R2316" s="128" t="s">
        <v>4603</v>
      </c>
      <c r="S2316" s="276">
        <v>45236</v>
      </c>
      <c r="T2316" s="3872">
        <v>202951.8</v>
      </c>
      <c r="U2316" s="276">
        <v>45236</v>
      </c>
      <c r="V2316" s="4775">
        <v>202951.8</v>
      </c>
      <c r="W2316" s="276">
        <v>45267</v>
      </c>
      <c r="X2316" s="3841">
        <v>198163.78</v>
      </c>
      <c r="Y2316" s="3615">
        <v>45470</v>
      </c>
      <c r="Z2316" s="3709">
        <f>V2316-X2316</f>
        <v>4788.01999999999</v>
      </c>
      <c r="AA2316" s="280"/>
      <c r="AB2316" s="3846"/>
      <c r="AC2316" s="3846"/>
      <c r="AD2316" s="3846"/>
      <c r="AE2316" s="3846"/>
      <c r="AF2316" s="3846"/>
      <c r="AG2316" s="3846"/>
      <c r="AH2316" s="3851"/>
      <c r="AI2316" s="3851"/>
    </row>
    <row r="2317" s="29" customFormat="1" ht="26.25" customHeight="1" spans="1:35">
      <c r="A2317" s="3576"/>
      <c r="B2317" s="3805"/>
      <c r="C2317" s="3807"/>
      <c r="D2317" s="3806"/>
      <c r="E2317" s="3806"/>
      <c r="F2317" s="3810"/>
      <c r="G2317" s="3806"/>
      <c r="H2317" s="3806"/>
      <c r="I2317" s="3747"/>
      <c r="J2317" s="3747"/>
      <c r="K2317" s="3812"/>
      <c r="L2317" s="3576"/>
      <c r="M2317" s="3806"/>
      <c r="N2317" s="172" t="s">
        <v>5068</v>
      </c>
      <c r="O2317" s="4708">
        <v>0.2</v>
      </c>
      <c r="P2317" s="3817">
        <f>1353012*O2317</f>
        <v>270602.4</v>
      </c>
      <c r="Q2317" s="3861">
        <v>270602.4</v>
      </c>
      <c r="R2317" s="149" t="s">
        <v>4603</v>
      </c>
      <c r="S2317" s="283">
        <v>45545</v>
      </c>
      <c r="T2317" s="647">
        <v>270602.4</v>
      </c>
      <c r="U2317" s="283">
        <v>45545</v>
      </c>
      <c r="V2317" s="3841">
        <v>100000</v>
      </c>
      <c r="W2317" s="3615">
        <v>45544</v>
      </c>
      <c r="X2317" s="3841">
        <v>100000</v>
      </c>
      <c r="Y2317" s="276">
        <v>45562</v>
      </c>
      <c r="Z2317" s="3709"/>
      <c r="AA2317" s="280"/>
      <c r="AB2317" s="3846"/>
      <c r="AC2317" s="3846"/>
      <c r="AD2317" s="3846"/>
      <c r="AE2317" s="3846"/>
      <c r="AF2317" s="3846"/>
      <c r="AG2317" s="3846"/>
      <c r="AH2317" s="3851"/>
      <c r="AI2317" s="3851"/>
    </row>
    <row r="2318" s="29" customFormat="1" ht="26.25" customHeight="1" spans="1:35">
      <c r="A2318" s="3576"/>
      <c r="B2318" s="3805"/>
      <c r="C2318" s="3807"/>
      <c r="D2318" s="3806"/>
      <c r="E2318" s="3806"/>
      <c r="F2318" s="3810"/>
      <c r="G2318" s="3806"/>
      <c r="H2318" s="3806"/>
      <c r="I2318" s="3747"/>
      <c r="J2318" s="3747"/>
      <c r="K2318" s="3812"/>
      <c r="L2318" s="3576"/>
      <c r="M2318" s="3806"/>
      <c r="N2318" s="179"/>
      <c r="O2318" s="4708"/>
      <c r="P2318" s="3821"/>
      <c r="Q2318" s="3867"/>
      <c r="R2318" s="152"/>
      <c r="S2318" s="284"/>
      <c r="T2318" s="1067"/>
      <c r="U2318" s="284"/>
      <c r="V2318" s="3841">
        <f>Q2317-V2317</f>
        <v>170602.4</v>
      </c>
      <c r="W2318" s="3615">
        <v>45607</v>
      </c>
      <c r="X2318" s="3841">
        <v>170602.4</v>
      </c>
      <c r="Y2318" s="3615">
        <v>45624</v>
      </c>
      <c r="Z2318" s="3709"/>
      <c r="AA2318" s="280"/>
      <c r="AB2318" s="3846"/>
      <c r="AC2318" s="3846"/>
      <c r="AD2318" s="3846"/>
      <c r="AE2318" s="3846"/>
      <c r="AF2318" s="3846"/>
      <c r="AG2318" s="3846"/>
      <c r="AH2318" s="3851"/>
      <c r="AI2318" s="3851"/>
    </row>
    <row r="2319" s="29" customFormat="1" ht="37.5" customHeight="1" spans="1:35">
      <c r="A2319" s="3576"/>
      <c r="B2319" s="3805"/>
      <c r="C2319" s="3807"/>
      <c r="D2319" s="3806"/>
      <c r="E2319" s="3806"/>
      <c r="F2319" s="3810"/>
      <c r="G2319" s="3806"/>
      <c r="H2319" s="3806"/>
      <c r="I2319" s="3747"/>
      <c r="J2319" s="3747"/>
      <c r="K2319" s="3812"/>
      <c r="L2319" s="3576"/>
      <c r="M2319" s="3806"/>
      <c r="N2319" s="185" t="s">
        <v>5065</v>
      </c>
      <c r="O2319" s="4708">
        <v>0.15</v>
      </c>
      <c r="P2319" s="837">
        <f>1353012*O2319</f>
        <v>202951.8</v>
      </c>
      <c r="Q2319" s="3832">
        <v>202951.8</v>
      </c>
      <c r="R2319" s="128" t="s">
        <v>4603</v>
      </c>
      <c r="S2319" s="276">
        <v>45545</v>
      </c>
      <c r="T2319" s="127">
        <v>202951.8</v>
      </c>
      <c r="U2319" s="276">
        <v>45545</v>
      </c>
      <c r="V2319" s="3841">
        <v>202951.8</v>
      </c>
      <c r="W2319" s="3615">
        <v>45635</v>
      </c>
      <c r="X2319" s="3841">
        <v>202951.8</v>
      </c>
      <c r="Y2319" s="3615">
        <v>45650</v>
      </c>
      <c r="Z2319" s="3709"/>
      <c r="AA2319" s="280"/>
      <c r="AB2319" s="3846"/>
      <c r="AC2319" s="3846"/>
      <c r="AD2319" s="3846"/>
      <c r="AE2319" s="3846"/>
      <c r="AF2319" s="3846"/>
      <c r="AG2319" s="3846"/>
      <c r="AH2319" s="3851"/>
      <c r="AI2319" s="3851"/>
    </row>
    <row r="2320" s="29" customFormat="1" ht="37.5" customHeight="1" spans="1:35">
      <c r="A2320" s="3576"/>
      <c r="B2320" s="3805"/>
      <c r="C2320" s="3807"/>
      <c r="D2320" s="3806"/>
      <c r="E2320" s="3806"/>
      <c r="F2320" s="3810"/>
      <c r="G2320" s="3806"/>
      <c r="H2320" s="3806"/>
      <c r="I2320" s="3747"/>
      <c r="J2320" s="3747"/>
      <c r="K2320" s="3812"/>
      <c r="L2320" s="3576"/>
      <c r="M2320" s="3853"/>
      <c r="N2320" s="185" t="s">
        <v>5070</v>
      </c>
      <c r="O2320" s="4708">
        <v>0.05</v>
      </c>
      <c r="P2320" s="837">
        <f>1353012*O2320</f>
        <v>67650.6</v>
      </c>
      <c r="Q2320" s="4767">
        <v>67650.6</v>
      </c>
      <c r="R2320" s="3439"/>
      <c r="S2320" s="4768"/>
      <c r="T2320" s="3832"/>
      <c r="U2320" s="3842"/>
      <c r="V2320" s="3841"/>
      <c r="W2320" s="3615"/>
      <c r="X2320" s="3841"/>
      <c r="Y2320" s="3615"/>
      <c r="Z2320" s="3709"/>
      <c r="AA2320" s="280"/>
      <c r="AB2320" s="3846"/>
      <c r="AC2320" s="3846"/>
      <c r="AD2320" s="3846"/>
      <c r="AE2320" s="3846"/>
      <c r="AF2320" s="3846"/>
      <c r="AG2320" s="3846"/>
      <c r="AH2320" s="3851"/>
      <c r="AI2320" s="3851"/>
    </row>
    <row r="2321" s="29" customFormat="1" ht="37.5" customHeight="1" spans="1:35">
      <c r="A2321" s="3576"/>
      <c r="B2321" s="3805"/>
      <c r="C2321" s="3807"/>
      <c r="D2321" s="3806"/>
      <c r="E2321" s="3806"/>
      <c r="F2321" s="3810"/>
      <c r="G2321" s="3806"/>
      <c r="H2321" s="3806"/>
      <c r="I2321" s="3747"/>
      <c r="J2321" s="3747"/>
      <c r="K2321" s="3812"/>
      <c r="L2321" s="3576"/>
      <c r="M2321" s="127" t="s">
        <v>7513</v>
      </c>
      <c r="N2321" s="185" t="s">
        <v>5071</v>
      </c>
      <c r="O2321" s="4708">
        <v>0.05</v>
      </c>
      <c r="P2321" s="837">
        <f>1353012*O2321</f>
        <v>67650.6</v>
      </c>
      <c r="Q2321" s="3832"/>
      <c r="R2321" s="128"/>
      <c r="S2321" s="276"/>
      <c r="T2321" s="3832"/>
      <c r="U2321" s="3842"/>
      <c r="V2321" s="3841"/>
      <c r="W2321" s="3615"/>
      <c r="X2321" s="3841"/>
      <c r="Y2321" s="3615"/>
      <c r="Z2321" s="3709"/>
      <c r="AA2321" s="280"/>
      <c r="AB2321" s="3846"/>
      <c r="AC2321" s="3846"/>
      <c r="AD2321" s="3846"/>
      <c r="AE2321" s="3846"/>
      <c r="AF2321" s="3846"/>
      <c r="AG2321" s="3846"/>
      <c r="AH2321" s="3851"/>
      <c r="AI2321" s="3851"/>
    </row>
    <row r="2322" s="29" customFormat="1" ht="92" spans="1:35">
      <c r="A2322" s="3576"/>
      <c r="B2322" s="3830"/>
      <c r="C2322" s="3852"/>
      <c r="D2322" s="3853"/>
      <c r="E2322" s="3853"/>
      <c r="F2322" s="3810"/>
      <c r="G2322" s="3853"/>
      <c r="H2322" s="3853"/>
      <c r="I2322" s="3577"/>
      <c r="J2322" s="3577"/>
      <c r="K2322" s="3812"/>
      <c r="L2322" s="3576"/>
      <c r="M2322" s="128" t="s">
        <v>6237</v>
      </c>
      <c r="N2322" s="185" t="s">
        <v>7516</v>
      </c>
      <c r="O2322" s="4708">
        <v>0.1</v>
      </c>
      <c r="P2322" s="837">
        <f>K2311*O2322</f>
        <v>160841</v>
      </c>
      <c r="Q2322" s="3858"/>
      <c r="R2322" s="280"/>
      <c r="S2322" s="3584"/>
      <c r="T2322" s="3709"/>
      <c r="U2322" s="3709"/>
      <c r="V2322" s="3709"/>
      <c r="W2322" s="3846"/>
      <c r="X2322" s="3858"/>
      <c r="Y2322" s="282"/>
      <c r="Z2322" s="3846"/>
      <c r="AA2322" s="3709"/>
      <c r="AB2322" s="3846"/>
      <c r="AC2322" s="3846"/>
      <c r="AD2322" s="3846"/>
      <c r="AE2322" s="3846"/>
      <c r="AF2322" s="3846"/>
      <c r="AG2322" s="3846"/>
      <c r="AH2322" s="930"/>
      <c r="AI2322" s="930"/>
    </row>
    <row r="2323" s="29" customFormat="1" ht="37.5" customHeight="1" spans="1:35">
      <c r="A2323" s="128" t="s">
        <v>3079</v>
      </c>
      <c r="B2323" s="3803">
        <v>45286</v>
      </c>
      <c r="C2323" s="649" t="s">
        <v>3905</v>
      </c>
      <c r="D2323" s="3804"/>
      <c r="E2323" s="647" t="s">
        <v>7517</v>
      </c>
      <c r="F2323" s="127" t="s">
        <v>7518</v>
      </c>
      <c r="G2323" s="647" t="s">
        <v>7504</v>
      </c>
      <c r="H2323" s="647" t="s">
        <v>5074</v>
      </c>
      <c r="I2323" s="3745">
        <v>1451</v>
      </c>
      <c r="J2323" s="3811">
        <f>K2323/I2323</f>
        <v>1018.19434872502</v>
      </c>
      <c r="K2323" s="3812">
        <v>1477400</v>
      </c>
      <c r="L2323" s="128" t="s">
        <v>126</v>
      </c>
      <c r="M2323" s="3745">
        <v>1</v>
      </c>
      <c r="N2323" s="647" t="s">
        <v>7505</v>
      </c>
      <c r="O2323" s="4708">
        <v>0.15</v>
      </c>
      <c r="P2323" s="3817">
        <f>K2323*O2323</f>
        <v>221610</v>
      </c>
      <c r="Q2323" s="3882">
        <v>221610</v>
      </c>
      <c r="R2323" s="149" t="s">
        <v>4603</v>
      </c>
      <c r="S2323" s="3803">
        <v>45362</v>
      </c>
      <c r="T2323" s="3871">
        <v>221610</v>
      </c>
      <c r="U2323" s="3803">
        <v>45362</v>
      </c>
      <c r="V2323" s="3841">
        <v>100000</v>
      </c>
      <c r="W2323" s="3615">
        <v>45450</v>
      </c>
      <c r="X2323" s="3841">
        <v>100000</v>
      </c>
      <c r="Y2323" s="3615">
        <v>45470</v>
      </c>
      <c r="Z2323" s="3894"/>
      <c r="AA2323" s="280"/>
      <c r="AB2323" s="3846"/>
      <c r="AC2323" s="3846"/>
      <c r="AD2323" s="3846"/>
      <c r="AE2323" s="3846"/>
      <c r="AF2323" s="3846"/>
      <c r="AG2323" s="3846"/>
      <c r="AH2323" s="3850" t="s">
        <v>197</v>
      </c>
      <c r="AI2323" s="3850" t="s">
        <v>154</v>
      </c>
    </row>
    <row r="2324" s="29" customFormat="1" ht="37.5" customHeight="1" spans="1:35">
      <c r="A2324" s="3576"/>
      <c r="B2324" s="3805"/>
      <c r="C2324" s="3807"/>
      <c r="D2324" s="3806"/>
      <c r="E2324" s="3806"/>
      <c r="F2324" s="3810"/>
      <c r="G2324" s="3806"/>
      <c r="H2324" s="3806"/>
      <c r="I2324" s="3747"/>
      <c r="J2324" s="3813"/>
      <c r="K2324" s="3812"/>
      <c r="L2324" s="3576"/>
      <c r="M2324" s="3577"/>
      <c r="N2324" s="1067"/>
      <c r="O2324" s="4708"/>
      <c r="P2324" s="3821"/>
      <c r="Q2324" s="4769"/>
      <c r="R2324" s="152"/>
      <c r="S2324" s="3830"/>
      <c r="T2324" s="3871"/>
      <c r="U2324" s="3830"/>
      <c r="V2324" s="3841">
        <v>150000</v>
      </c>
      <c r="W2324" s="3803">
        <v>45488</v>
      </c>
      <c r="X2324" s="3841">
        <v>150000</v>
      </c>
      <c r="Y2324" s="3803">
        <v>45503</v>
      </c>
      <c r="Z2324" s="4759"/>
      <c r="AA2324" s="280"/>
      <c r="AB2324" s="3846"/>
      <c r="AC2324" s="3846"/>
      <c r="AD2324" s="3846"/>
      <c r="AE2324" s="3846"/>
      <c r="AF2324" s="3846"/>
      <c r="AG2324" s="3846"/>
      <c r="AH2324" s="3851"/>
      <c r="AI2324" s="3851"/>
    </row>
    <row r="2325" s="29" customFormat="1" ht="37.5" customHeight="1" spans="1:35">
      <c r="A2325" s="3576"/>
      <c r="B2325" s="3805"/>
      <c r="C2325" s="3807"/>
      <c r="D2325" s="3806"/>
      <c r="E2325" s="3806"/>
      <c r="F2325" s="3810"/>
      <c r="G2325" s="3806"/>
      <c r="H2325" s="3806"/>
      <c r="I2325" s="3747"/>
      <c r="J2325" s="3813"/>
      <c r="K2325" s="3812"/>
      <c r="L2325" s="3576"/>
      <c r="M2325" s="3745">
        <v>2</v>
      </c>
      <c r="N2325" s="647" t="s">
        <v>7506</v>
      </c>
      <c r="O2325" s="4708">
        <v>0.25</v>
      </c>
      <c r="P2325" s="3817">
        <f>K2323*O2325</f>
        <v>369350</v>
      </c>
      <c r="Q2325" s="3882">
        <v>369350</v>
      </c>
      <c r="R2325" s="149" t="s">
        <v>4603</v>
      </c>
      <c r="S2325" s="3803">
        <v>45362</v>
      </c>
      <c r="T2325" s="4725">
        <v>369350</v>
      </c>
      <c r="U2325" s="3803">
        <v>45362</v>
      </c>
      <c r="V2325" s="3841">
        <v>100000</v>
      </c>
      <c r="W2325" s="3615">
        <v>45514</v>
      </c>
      <c r="X2325" s="3841">
        <v>100000</v>
      </c>
      <c r="Y2325" s="3615">
        <v>45530</v>
      </c>
      <c r="Z2325" s="3709"/>
      <c r="AA2325" s="280"/>
      <c r="AB2325" s="3846"/>
      <c r="AC2325" s="3846"/>
      <c r="AD2325" s="3846"/>
      <c r="AE2325" s="3846"/>
      <c r="AF2325" s="3846"/>
      <c r="AG2325" s="3846"/>
      <c r="AH2325" s="3851"/>
      <c r="AI2325" s="3851"/>
    </row>
    <row r="2326" s="29" customFormat="1" ht="37.5" customHeight="1" spans="1:35">
      <c r="A2326" s="3576"/>
      <c r="B2326" s="3805"/>
      <c r="C2326" s="3807"/>
      <c r="D2326" s="3806"/>
      <c r="E2326" s="3806"/>
      <c r="F2326" s="3810"/>
      <c r="G2326" s="3806"/>
      <c r="H2326" s="3806"/>
      <c r="I2326" s="3747"/>
      <c r="J2326" s="3813"/>
      <c r="K2326" s="3812"/>
      <c r="L2326" s="3576"/>
      <c r="M2326" s="3577"/>
      <c r="N2326" s="651"/>
      <c r="O2326" s="4708"/>
      <c r="P2326" s="3821"/>
      <c r="Q2326" s="4769"/>
      <c r="R2326" s="152"/>
      <c r="S2326" s="3830"/>
      <c r="T2326" s="4726"/>
      <c r="U2326" s="3830"/>
      <c r="V2326" s="3841">
        <v>140960</v>
      </c>
      <c r="W2326" s="3615">
        <v>45545</v>
      </c>
      <c r="X2326" s="3841">
        <v>140960</v>
      </c>
      <c r="Y2326" s="3615">
        <v>45562</v>
      </c>
      <c r="Z2326" s="3709"/>
      <c r="AA2326" s="280"/>
      <c r="AB2326" s="3846"/>
      <c r="AC2326" s="3846"/>
      <c r="AD2326" s="3846"/>
      <c r="AE2326" s="3846"/>
      <c r="AF2326" s="3846"/>
      <c r="AG2326" s="3846"/>
      <c r="AH2326" s="3851"/>
      <c r="AI2326" s="3851"/>
    </row>
    <row r="2327" s="29" customFormat="1" ht="37.5" customHeight="1" spans="1:35">
      <c r="A2327" s="3576"/>
      <c r="B2327" s="3805"/>
      <c r="C2327" s="3807"/>
      <c r="D2327" s="3806"/>
      <c r="E2327" s="3806"/>
      <c r="F2327" s="3810"/>
      <c r="G2327" s="3806"/>
      <c r="H2327" s="3806"/>
      <c r="I2327" s="3747"/>
      <c r="J2327" s="3813"/>
      <c r="K2327" s="3812"/>
      <c r="L2327" s="3576"/>
      <c r="M2327" s="3576">
        <v>3</v>
      </c>
      <c r="N2327" s="172" t="s">
        <v>5077</v>
      </c>
      <c r="O2327" s="4708">
        <v>0.1</v>
      </c>
      <c r="P2327" s="837">
        <f>K2323*O2327</f>
        <v>147740</v>
      </c>
      <c r="Q2327" s="3576">
        <v>147740</v>
      </c>
      <c r="R2327" s="128" t="s">
        <v>4603</v>
      </c>
      <c r="S2327" s="3615">
        <v>45362</v>
      </c>
      <c r="T2327" s="3872">
        <v>147740</v>
      </c>
      <c r="U2327" s="3615">
        <v>45362</v>
      </c>
      <c r="V2327" s="3841">
        <v>195480</v>
      </c>
      <c r="W2327" s="3615">
        <v>45580</v>
      </c>
      <c r="X2327" s="3841">
        <v>195480</v>
      </c>
      <c r="Y2327" s="3615">
        <v>45596</v>
      </c>
      <c r="Z2327" s="3709"/>
      <c r="AA2327" s="280"/>
      <c r="AB2327" s="3846"/>
      <c r="AC2327" s="3846"/>
      <c r="AD2327" s="3846"/>
      <c r="AE2327" s="3846"/>
      <c r="AF2327" s="3846"/>
      <c r="AG2327" s="3846"/>
      <c r="AH2327" s="3851"/>
      <c r="AI2327" s="3851"/>
    </row>
    <row r="2328" s="29" customFormat="1" ht="37.5" customHeight="1" spans="1:35">
      <c r="A2328" s="3576"/>
      <c r="B2328" s="3805"/>
      <c r="C2328" s="3807"/>
      <c r="D2328" s="3806"/>
      <c r="E2328" s="3806"/>
      <c r="F2328" s="3810"/>
      <c r="G2328" s="3806"/>
      <c r="H2328" s="3806"/>
      <c r="I2328" s="3747"/>
      <c r="J2328" s="3813"/>
      <c r="K2328" s="3812"/>
      <c r="L2328" s="3576"/>
      <c r="M2328" s="3745">
        <v>4</v>
      </c>
      <c r="N2328" s="647" t="s">
        <v>7507</v>
      </c>
      <c r="O2328" s="4708">
        <v>0.3</v>
      </c>
      <c r="P2328" s="3817">
        <f>K2323*O2328</f>
        <v>443220</v>
      </c>
      <c r="Q2328" s="3882">
        <v>147740</v>
      </c>
      <c r="R2328" s="149" t="s">
        <v>4603</v>
      </c>
      <c r="S2328" s="3803">
        <v>45362</v>
      </c>
      <c r="T2328" s="3886">
        <v>147740</v>
      </c>
      <c r="U2328" s="4744">
        <v>45362</v>
      </c>
      <c r="V2328" s="3841">
        <v>100000</v>
      </c>
      <c r="W2328" s="3615">
        <v>45614</v>
      </c>
      <c r="X2328" s="3841">
        <v>100000</v>
      </c>
      <c r="Y2328" s="3615">
        <v>45624</v>
      </c>
      <c r="Z2328" s="3709"/>
      <c r="AA2328" s="280"/>
      <c r="AB2328" s="3846"/>
      <c r="AC2328" s="3846"/>
      <c r="AD2328" s="3846"/>
      <c r="AE2328" s="3846"/>
      <c r="AF2328" s="3846"/>
      <c r="AG2328" s="3846"/>
      <c r="AH2328" s="3851"/>
      <c r="AI2328" s="3851"/>
    </row>
    <row r="2329" s="29" customFormat="1" ht="37.5" customHeight="1" spans="1:35">
      <c r="A2329" s="3576"/>
      <c r="B2329" s="3805"/>
      <c r="C2329" s="3807"/>
      <c r="D2329" s="3806"/>
      <c r="E2329" s="3806"/>
      <c r="F2329" s="3810"/>
      <c r="G2329" s="3806"/>
      <c r="H2329" s="3806"/>
      <c r="I2329" s="3747"/>
      <c r="J2329" s="3813"/>
      <c r="K2329" s="3812"/>
      <c r="L2329" s="3576"/>
      <c r="M2329" s="3747"/>
      <c r="N2329" s="651"/>
      <c r="O2329" s="4708"/>
      <c r="P2329" s="3819"/>
      <c r="Q2329" s="4769"/>
      <c r="R2329" s="152"/>
      <c r="S2329" s="3830"/>
      <c r="T2329" s="3887"/>
      <c r="U2329" s="4746"/>
      <c r="V2329" s="3841">
        <v>100000</v>
      </c>
      <c r="W2329" s="3615">
        <v>45636</v>
      </c>
      <c r="X2329" s="3841">
        <v>100000</v>
      </c>
      <c r="Y2329" s="3615">
        <v>45650</v>
      </c>
      <c r="Z2329" s="3709"/>
      <c r="AA2329" s="280"/>
      <c r="AB2329" s="3846"/>
      <c r="AC2329" s="3846"/>
      <c r="AD2329" s="3846"/>
      <c r="AE2329" s="3846"/>
      <c r="AF2329" s="3846"/>
      <c r="AG2329" s="3846"/>
      <c r="AH2329" s="3851"/>
      <c r="AI2329" s="3851"/>
    </row>
    <row r="2330" s="29" customFormat="1" ht="37.5" customHeight="1" spans="1:35">
      <c r="A2330" s="3576"/>
      <c r="B2330" s="3805"/>
      <c r="C2330" s="3807"/>
      <c r="D2330" s="3806"/>
      <c r="E2330" s="3806"/>
      <c r="F2330" s="3810"/>
      <c r="G2330" s="3806"/>
      <c r="H2330" s="3806"/>
      <c r="I2330" s="3747"/>
      <c r="J2330" s="3813"/>
      <c r="K2330" s="3812"/>
      <c r="L2330" s="3576"/>
      <c r="M2330" s="3577"/>
      <c r="N2330" s="651"/>
      <c r="O2330" s="4708"/>
      <c r="P2330" s="3821"/>
      <c r="Q2330" s="3832">
        <v>295480</v>
      </c>
      <c r="R2330" s="128" t="s">
        <v>4603</v>
      </c>
      <c r="S2330" s="3615">
        <v>45792</v>
      </c>
      <c r="T2330" s="3832">
        <v>295480</v>
      </c>
      <c r="U2330" s="3615">
        <v>45792</v>
      </c>
      <c r="V2330" s="3841">
        <v>295480</v>
      </c>
      <c r="W2330" s="3615">
        <v>45796</v>
      </c>
      <c r="X2330" s="3841">
        <v>295480</v>
      </c>
      <c r="Y2330" s="3615">
        <v>45835</v>
      </c>
      <c r="Z2330" s="3709"/>
      <c r="AA2330" s="280"/>
      <c r="AB2330" s="3846"/>
      <c r="AC2330" s="3846"/>
      <c r="AD2330" s="3846"/>
      <c r="AE2330" s="3846"/>
      <c r="AF2330" s="3846"/>
      <c r="AG2330" s="3846"/>
      <c r="AH2330" s="3851"/>
      <c r="AI2330" s="3851"/>
    </row>
    <row r="2331" s="29" customFormat="1" ht="37.5" customHeight="1" spans="1:35">
      <c r="A2331" s="3576"/>
      <c r="B2331" s="3805"/>
      <c r="C2331" s="3807"/>
      <c r="D2331" s="3806"/>
      <c r="E2331" s="3806"/>
      <c r="F2331" s="3810"/>
      <c r="G2331" s="3806"/>
      <c r="H2331" s="3806"/>
      <c r="I2331" s="3747"/>
      <c r="J2331" s="3813"/>
      <c r="K2331" s="3812"/>
      <c r="L2331" s="3576"/>
      <c r="M2331" s="3576">
        <v>5</v>
      </c>
      <c r="N2331" s="172" t="s">
        <v>5079</v>
      </c>
      <c r="O2331" s="4708">
        <v>0.05</v>
      </c>
      <c r="P2331" s="837">
        <f>K2323*O2331</f>
        <v>73870</v>
      </c>
      <c r="Q2331" s="3832"/>
      <c r="R2331" s="128"/>
      <c r="S2331" s="276"/>
      <c r="T2331" s="3832"/>
      <c r="U2331" s="3842"/>
      <c r="V2331" s="3841"/>
      <c r="W2331" s="3615"/>
      <c r="X2331" s="3841"/>
      <c r="Y2331" s="3615"/>
      <c r="Z2331" s="3709"/>
      <c r="AA2331" s="280"/>
      <c r="AB2331" s="3846"/>
      <c r="AC2331" s="3846"/>
      <c r="AD2331" s="3846"/>
      <c r="AE2331" s="3846"/>
      <c r="AF2331" s="3846"/>
      <c r="AG2331" s="3846"/>
      <c r="AH2331" s="3851"/>
      <c r="AI2331" s="3851"/>
    </row>
    <row r="2332" s="29" customFormat="1" ht="37.5" customHeight="1" spans="1:35">
      <c r="A2332" s="3576"/>
      <c r="B2332" s="3805"/>
      <c r="C2332" s="3807"/>
      <c r="D2332" s="3806"/>
      <c r="E2332" s="3806"/>
      <c r="F2332" s="3810"/>
      <c r="G2332" s="3806"/>
      <c r="H2332" s="3806"/>
      <c r="I2332" s="3747"/>
      <c r="J2332" s="3813"/>
      <c r="K2332" s="3812"/>
      <c r="L2332" s="3576"/>
      <c r="M2332" s="3576">
        <v>6</v>
      </c>
      <c r="N2332" s="172" t="s">
        <v>5080</v>
      </c>
      <c r="O2332" s="4708">
        <v>0.05</v>
      </c>
      <c r="P2332" s="837">
        <f>K2323*O2332</f>
        <v>73870</v>
      </c>
      <c r="Q2332" s="3832"/>
      <c r="R2332" s="128"/>
      <c r="S2332" s="276"/>
      <c r="T2332" s="3832"/>
      <c r="U2332" s="3842"/>
      <c r="V2332" s="3841"/>
      <c r="W2332" s="3615"/>
      <c r="X2332" s="3841"/>
      <c r="Y2332" s="3615"/>
      <c r="Z2332" s="3709"/>
      <c r="AA2332" s="280"/>
      <c r="AB2332" s="3846"/>
      <c r="AC2332" s="3846"/>
      <c r="AD2332" s="3846"/>
      <c r="AE2332" s="3846"/>
      <c r="AF2332" s="3846"/>
      <c r="AG2332" s="3846"/>
      <c r="AH2332" s="3851"/>
      <c r="AI2332" s="3851"/>
    </row>
    <row r="2333" s="29" customFormat="1" ht="92" spans="1:35">
      <c r="A2333" s="3576"/>
      <c r="B2333" s="3830"/>
      <c r="C2333" s="3852"/>
      <c r="D2333" s="3853"/>
      <c r="E2333" s="3853"/>
      <c r="F2333" s="3810"/>
      <c r="G2333" s="3853"/>
      <c r="H2333" s="3853"/>
      <c r="I2333" s="3577"/>
      <c r="J2333" s="3829"/>
      <c r="K2333" s="3812"/>
      <c r="L2333" s="3576"/>
      <c r="M2333" s="128" t="s">
        <v>6237</v>
      </c>
      <c r="N2333" s="185" t="s">
        <v>7508</v>
      </c>
      <c r="O2333" s="4708">
        <v>0.1</v>
      </c>
      <c r="P2333" s="837">
        <f>K2323*O2333</f>
        <v>147740</v>
      </c>
      <c r="Q2333" s="3858"/>
      <c r="R2333" s="280"/>
      <c r="S2333" s="3584"/>
      <c r="T2333" s="3709"/>
      <c r="U2333" s="3709"/>
      <c r="V2333" s="3709"/>
      <c r="W2333" s="3846"/>
      <c r="X2333" s="3858"/>
      <c r="Y2333" s="282"/>
      <c r="Z2333" s="3846"/>
      <c r="AA2333" s="3709"/>
      <c r="AB2333" s="3846"/>
      <c r="AC2333" s="3846"/>
      <c r="AD2333" s="3846"/>
      <c r="AE2333" s="3846"/>
      <c r="AF2333" s="3846"/>
      <c r="AG2333" s="3846"/>
      <c r="AH2333" s="930"/>
      <c r="AI2333" s="930"/>
    </row>
    <row r="2334" s="29" customFormat="1" ht="37.5" customHeight="1" spans="1:35">
      <c r="A2334" s="128" t="s">
        <v>3079</v>
      </c>
      <c r="B2334" s="3803">
        <v>45811</v>
      </c>
      <c r="C2334" s="649" t="s">
        <v>3905</v>
      </c>
      <c r="D2334" s="3804"/>
      <c r="E2334" s="647" t="s">
        <v>7519</v>
      </c>
      <c r="F2334" s="127" t="s">
        <v>7520</v>
      </c>
      <c r="G2334" s="647" t="s">
        <v>7504</v>
      </c>
      <c r="H2334" s="647" t="s">
        <v>5074</v>
      </c>
      <c r="I2334" s="3745">
        <v>493</v>
      </c>
      <c r="J2334" s="3811">
        <f>K2334/I2334</f>
        <v>1200</v>
      </c>
      <c r="K2334" s="3812">
        <v>591600</v>
      </c>
      <c r="L2334" s="128" t="s">
        <v>126</v>
      </c>
      <c r="M2334" s="3745">
        <v>1</v>
      </c>
      <c r="N2334" s="647" t="s">
        <v>7505</v>
      </c>
      <c r="O2334" s="4708">
        <v>0.15</v>
      </c>
      <c r="P2334" s="3817">
        <f>K2334*O2334</f>
        <v>88740</v>
      </c>
      <c r="Q2334" s="3882">
        <v>88740</v>
      </c>
      <c r="R2334" s="128" t="s">
        <v>4603</v>
      </c>
      <c r="S2334" s="3881">
        <v>45999</v>
      </c>
      <c r="T2334" s="4770">
        <v>88740</v>
      </c>
      <c r="U2334" s="4776">
        <v>45999</v>
      </c>
      <c r="V2334" s="4770">
        <v>88740</v>
      </c>
      <c r="W2334" s="3615"/>
      <c r="X2334" s="4770">
        <v>88740</v>
      </c>
      <c r="Y2334" s="4776">
        <v>46052</v>
      </c>
      <c r="Z2334" s="3894"/>
      <c r="AA2334" s="280"/>
      <c r="AB2334" s="3846"/>
      <c r="AC2334" s="3846"/>
      <c r="AD2334" s="3846"/>
      <c r="AE2334" s="3846"/>
      <c r="AF2334" s="3846"/>
      <c r="AG2334" s="3846"/>
      <c r="AH2334" s="3850" t="s">
        <v>197</v>
      </c>
      <c r="AI2334" s="3850" t="s">
        <v>154</v>
      </c>
    </row>
    <row r="2335" s="29" customFormat="1" ht="37.5" customHeight="1" spans="1:35">
      <c r="A2335" s="3576"/>
      <c r="B2335" s="3805"/>
      <c r="C2335" s="3807"/>
      <c r="D2335" s="3806"/>
      <c r="E2335" s="3806"/>
      <c r="F2335" s="3810"/>
      <c r="G2335" s="3806"/>
      <c r="H2335" s="3806"/>
      <c r="I2335" s="3747"/>
      <c r="J2335" s="3813"/>
      <c r="K2335" s="3812"/>
      <c r="L2335" s="3576"/>
      <c r="M2335" s="3745">
        <v>2</v>
      </c>
      <c r="N2335" s="647" t="s">
        <v>7506</v>
      </c>
      <c r="O2335" s="4708">
        <v>0.25</v>
      </c>
      <c r="P2335" s="3817">
        <f>K2334*O2335</f>
        <v>147900</v>
      </c>
      <c r="Q2335" s="3882">
        <v>147900</v>
      </c>
      <c r="R2335" s="128" t="s">
        <v>4603</v>
      </c>
      <c r="S2335" s="3881">
        <v>45999</v>
      </c>
      <c r="T2335" s="4770">
        <v>147900</v>
      </c>
      <c r="U2335" s="4776">
        <v>45999</v>
      </c>
      <c r="V2335" s="4770">
        <v>147900</v>
      </c>
      <c r="W2335" s="3615"/>
      <c r="X2335" s="4770">
        <v>147900</v>
      </c>
      <c r="Y2335" s="4776">
        <v>46052</v>
      </c>
      <c r="Z2335" s="3709"/>
      <c r="AA2335" s="280"/>
      <c r="AB2335" s="3846"/>
      <c r="AC2335" s="3846"/>
      <c r="AD2335" s="3846"/>
      <c r="AE2335" s="3846"/>
      <c r="AF2335" s="3846"/>
      <c r="AG2335" s="3846"/>
      <c r="AH2335" s="3851"/>
      <c r="AI2335" s="3851"/>
    </row>
    <row r="2336" s="29" customFormat="1" ht="37.5" customHeight="1" spans="1:35">
      <c r="A2336" s="3576"/>
      <c r="B2336" s="3805"/>
      <c r="C2336" s="3807"/>
      <c r="D2336" s="3806"/>
      <c r="E2336" s="3806"/>
      <c r="F2336" s="3810"/>
      <c r="G2336" s="3806"/>
      <c r="H2336" s="3806"/>
      <c r="I2336" s="3747"/>
      <c r="J2336" s="3813"/>
      <c r="K2336" s="3812"/>
      <c r="L2336" s="3576"/>
      <c r="M2336" s="3576">
        <v>3</v>
      </c>
      <c r="N2336" s="172" t="s">
        <v>5077</v>
      </c>
      <c r="O2336" s="4708">
        <v>0.1</v>
      </c>
      <c r="P2336" s="837">
        <f>K2334*O2336</f>
        <v>59160</v>
      </c>
      <c r="Q2336" s="3879">
        <v>59160</v>
      </c>
      <c r="R2336" s="128" t="s">
        <v>4603</v>
      </c>
      <c r="S2336" s="3881">
        <v>45999</v>
      </c>
      <c r="T2336" s="3585">
        <v>59160</v>
      </c>
      <c r="U2336" s="4776">
        <v>45999</v>
      </c>
      <c r="V2336" s="3585">
        <v>59160</v>
      </c>
      <c r="W2336" s="3615"/>
      <c r="X2336" s="3585">
        <v>59160</v>
      </c>
      <c r="Y2336" s="4776">
        <v>46052</v>
      </c>
      <c r="Z2336" s="3709"/>
      <c r="AA2336" s="280"/>
      <c r="AB2336" s="3846"/>
      <c r="AC2336" s="3846"/>
      <c r="AD2336" s="3846"/>
      <c r="AE2336" s="3846"/>
      <c r="AF2336" s="3846"/>
      <c r="AG2336" s="3846"/>
      <c r="AH2336" s="3851"/>
      <c r="AI2336" s="3851"/>
    </row>
    <row r="2337" s="29" customFormat="1" ht="37.5" customHeight="1" spans="1:35">
      <c r="A2337" s="3576"/>
      <c r="B2337" s="3805"/>
      <c r="C2337" s="3807"/>
      <c r="D2337" s="3806"/>
      <c r="E2337" s="3806"/>
      <c r="F2337" s="3810"/>
      <c r="G2337" s="3806"/>
      <c r="H2337" s="3806"/>
      <c r="I2337" s="3747"/>
      <c r="J2337" s="3813"/>
      <c r="K2337" s="3812"/>
      <c r="L2337" s="3576"/>
      <c r="M2337" s="3745">
        <v>4</v>
      </c>
      <c r="N2337" s="647" t="s">
        <v>7507</v>
      </c>
      <c r="O2337" s="4708">
        <v>0.3</v>
      </c>
      <c r="P2337" s="3817">
        <f>K2334*O2337</f>
        <v>177480</v>
      </c>
      <c r="Q2337" s="3882">
        <v>177480</v>
      </c>
      <c r="R2337" s="128" t="s">
        <v>4603</v>
      </c>
      <c r="S2337" s="3881">
        <v>45999</v>
      </c>
      <c r="T2337" s="4770">
        <v>177480</v>
      </c>
      <c r="U2337" s="4776">
        <v>45999</v>
      </c>
      <c r="V2337" s="4770">
        <v>177480</v>
      </c>
      <c r="W2337" s="3615"/>
      <c r="X2337" s="4770">
        <v>177480</v>
      </c>
      <c r="Y2337" s="4776">
        <v>46052</v>
      </c>
      <c r="Z2337" s="3709"/>
      <c r="AA2337" s="280"/>
      <c r="AB2337" s="3846"/>
      <c r="AC2337" s="3846"/>
      <c r="AD2337" s="3846"/>
      <c r="AE2337" s="3846"/>
      <c r="AF2337" s="3846"/>
      <c r="AG2337" s="3846"/>
      <c r="AH2337" s="3851"/>
      <c r="AI2337" s="3851"/>
    </row>
    <row r="2338" s="29" customFormat="1" ht="37.5" customHeight="1" spans="1:35">
      <c r="A2338" s="3576"/>
      <c r="B2338" s="3805"/>
      <c r="C2338" s="3807"/>
      <c r="D2338" s="3806"/>
      <c r="E2338" s="3806"/>
      <c r="F2338" s="3810"/>
      <c r="G2338" s="3806"/>
      <c r="H2338" s="3806"/>
      <c r="I2338" s="3747"/>
      <c r="J2338" s="3813"/>
      <c r="K2338" s="3812"/>
      <c r="L2338" s="3576"/>
      <c r="M2338" s="3576">
        <v>5</v>
      </c>
      <c r="N2338" s="172" t="s">
        <v>5079</v>
      </c>
      <c r="O2338" s="4708">
        <v>0.05</v>
      </c>
      <c r="P2338" s="837">
        <f>K2334*O2338</f>
        <v>29580</v>
      </c>
      <c r="Q2338" s="3832">
        <v>29580</v>
      </c>
      <c r="R2338" s="128"/>
      <c r="S2338" s="276"/>
      <c r="T2338" s="3832"/>
      <c r="U2338" s="3842"/>
      <c r="V2338" s="3841"/>
      <c r="W2338" s="3615"/>
      <c r="X2338" s="3841"/>
      <c r="Y2338" s="3615"/>
      <c r="Z2338" s="3709"/>
      <c r="AA2338" s="280"/>
      <c r="AB2338" s="3846"/>
      <c r="AC2338" s="3846"/>
      <c r="AD2338" s="3846"/>
      <c r="AE2338" s="3846"/>
      <c r="AF2338" s="3846"/>
      <c r="AG2338" s="3846"/>
      <c r="AH2338" s="3851"/>
      <c r="AI2338" s="3851"/>
    </row>
    <row r="2339" s="29" customFormat="1" ht="37.5" customHeight="1" spans="1:35">
      <c r="A2339" s="3576"/>
      <c r="B2339" s="3805"/>
      <c r="C2339" s="3807"/>
      <c r="D2339" s="3806"/>
      <c r="E2339" s="3806"/>
      <c r="F2339" s="3810"/>
      <c r="G2339" s="3806"/>
      <c r="H2339" s="3806"/>
      <c r="I2339" s="3747"/>
      <c r="J2339" s="3813"/>
      <c r="K2339" s="3812"/>
      <c r="L2339" s="3576"/>
      <c r="M2339" s="3576">
        <v>6</v>
      </c>
      <c r="N2339" s="172" t="s">
        <v>5080</v>
      </c>
      <c r="O2339" s="4708">
        <v>0.05</v>
      </c>
      <c r="P2339" s="837">
        <f>K2334*O2339</f>
        <v>29580</v>
      </c>
      <c r="Q2339" s="3832">
        <v>29580</v>
      </c>
      <c r="R2339" s="128"/>
      <c r="S2339" s="276"/>
      <c r="T2339" s="3832"/>
      <c r="U2339" s="3842"/>
      <c r="V2339" s="3841"/>
      <c r="W2339" s="3615"/>
      <c r="X2339" s="3841"/>
      <c r="Y2339" s="3615"/>
      <c r="Z2339" s="3709"/>
      <c r="AA2339" s="280"/>
      <c r="AB2339" s="3846"/>
      <c r="AC2339" s="3846"/>
      <c r="AD2339" s="3846"/>
      <c r="AE2339" s="3846"/>
      <c r="AF2339" s="3846"/>
      <c r="AG2339" s="3846"/>
      <c r="AH2339" s="3851"/>
      <c r="AI2339" s="3851"/>
    </row>
    <row r="2340" s="29" customFormat="1" ht="92" spans="1:35">
      <c r="A2340" s="3576"/>
      <c r="B2340" s="3830"/>
      <c r="C2340" s="3852"/>
      <c r="D2340" s="3853"/>
      <c r="E2340" s="3853"/>
      <c r="F2340" s="3810"/>
      <c r="G2340" s="3853"/>
      <c r="H2340" s="3853"/>
      <c r="I2340" s="3577"/>
      <c r="J2340" s="3829"/>
      <c r="K2340" s="3812"/>
      <c r="L2340" s="3576"/>
      <c r="M2340" s="128" t="s">
        <v>6237</v>
      </c>
      <c r="N2340" s="185" t="s">
        <v>7508</v>
      </c>
      <c r="O2340" s="4708">
        <v>0.1</v>
      </c>
      <c r="P2340" s="837">
        <f>K2334*O2340</f>
        <v>59160</v>
      </c>
      <c r="Q2340" s="837">
        <v>59160</v>
      </c>
      <c r="R2340" s="280"/>
      <c r="S2340" s="3584"/>
      <c r="T2340" s="3709"/>
      <c r="U2340" s="3709"/>
      <c r="V2340" s="3709"/>
      <c r="W2340" s="3846"/>
      <c r="X2340" s="3858"/>
      <c r="Y2340" s="282"/>
      <c r="Z2340" s="3846"/>
      <c r="AA2340" s="3709"/>
      <c r="AB2340" s="3846"/>
      <c r="AC2340" s="3846"/>
      <c r="AD2340" s="3846"/>
      <c r="AE2340" s="3846"/>
      <c r="AF2340" s="3846"/>
      <c r="AG2340" s="3846"/>
      <c r="AH2340" s="930"/>
      <c r="AI2340" s="930"/>
    </row>
    <row r="2341" s="29" customFormat="1" ht="37.5" customHeight="1" spans="1:35">
      <c r="A2341" s="128" t="s">
        <v>3079</v>
      </c>
      <c r="B2341" s="3803">
        <v>45377</v>
      </c>
      <c r="C2341" s="649" t="s">
        <v>3905</v>
      </c>
      <c r="D2341" s="3804"/>
      <c r="E2341" s="647" t="s">
        <v>7521</v>
      </c>
      <c r="F2341" s="127" t="s">
        <v>7522</v>
      </c>
      <c r="G2341" s="647" t="s">
        <v>7499</v>
      </c>
      <c r="H2341" s="647" t="s">
        <v>6402</v>
      </c>
      <c r="I2341" s="3745">
        <v>24257</v>
      </c>
      <c r="J2341" s="3811">
        <f>K2341/I2341</f>
        <v>70.0129311126685</v>
      </c>
      <c r="K2341" s="3812">
        <v>1698303.67</v>
      </c>
      <c r="L2341" s="128" t="s">
        <v>126</v>
      </c>
      <c r="M2341" s="3745">
        <v>1</v>
      </c>
      <c r="N2341" s="647" t="s">
        <v>7500</v>
      </c>
      <c r="O2341" s="4708">
        <v>0.15</v>
      </c>
      <c r="P2341" s="3817">
        <f>K2341*O2341</f>
        <v>254745.5505</v>
      </c>
      <c r="Q2341" s="3811">
        <f>P2341</f>
        <v>254745.5505</v>
      </c>
      <c r="R2341" s="149" t="s">
        <v>4603</v>
      </c>
      <c r="S2341" s="3803">
        <v>45433</v>
      </c>
      <c r="T2341" s="3811">
        <v>254820.5505</v>
      </c>
      <c r="U2341" s="3803">
        <v>45433</v>
      </c>
      <c r="V2341" s="3841">
        <v>100000</v>
      </c>
      <c r="W2341" s="313">
        <v>45450</v>
      </c>
      <c r="X2341" s="3841">
        <v>100000</v>
      </c>
      <c r="Y2341" s="3615">
        <v>45470</v>
      </c>
      <c r="Z2341" s="3894"/>
      <c r="AA2341" s="280"/>
      <c r="AB2341" s="3846"/>
      <c r="AC2341" s="3846"/>
      <c r="AD2341" s="3846"/>
      <c r="AE2341" s="3846"/>
      <c r="AF2341" s="3846"/>
      <c r="AG2341" s="3846"/>
      <c r="AH2341" s="3850" t="s">
        <v>197</v>
      </c>
      <c r="AI2341" s="3850" t="s">
        <v>154</v>
      </c>
    </row>
    <row r="2342" s="29" customFormat="1" ht="37.5" customHeight="1" spans="1:35">
      <c r="A2342" s="3576"/>
      <c r="B2342" s="3805"/>
      <c r="C2342" s="3807"/>
      <c r="D2342" s="3806"/>
      <c r="E2342" s="3806"/>
      <c r="F2342" s="3810"/>
      <c r="G2342" s="3806"/>
      <c r="H2342" s="3806"/>
      <c r="I2342" s="3747"/>
      <c r="J2342" s="3813"/>
      <c r="K2342" s="3812"/>
      <c r="L2342" s="3576"/>
      <c r="M2342" s="3747"/>
      <c r="N2342" s="651"/>
      <c r="O2342" s="4708"/>
      <c r="P2342" s="3819"/>
      <c r="Q2342" s="3829"/>
      <c r="R2342" s="152"/>
      <c r="S2342" s="3830"/>
      <c r="T2342" s="3829"/>
      <c r="U2342" s="3830"/>
      <c r="V2342" s="3841">
        <v>100000</v>
      </c>
      <c r="W2342" s="3803">
        <v>45488</v>
      </c>
      <c r="X2342" s="3841">
        <v>100000</v>
      </c>
      <c r="Y2342" s="3803">
        <v>45503</v>
      </c>
      <c r="Z2342" s="4759"/>
      <c r="AA2342" s="280"/>
      <c r="AB2342" s="3846"/>
      <c r="AC2342" s="3846"/>
      <c r="AD2342" s="3846"/>
      <c r="AE2342" s="3846"/>
      <c r="AF2342" s="3846"/>
      <c r="AG2342" s="3846"/>
      <c r="AH2342" s="3851"/>
      <c r="AI2342" s="3851"/>
    </row>
    <row r="2343" s="29" customFormat="1" ht="37.5" customHeight="1" spans="1:35">
      <c r="A2343" s="3576"/>
      <c r="B2343" s="3805"/>
      <c r="C2343" s="3807"/>
      <c r="D2343" s="3806"/>
      <c r="E2343" s="3806"/>
      <c r="F2343" s="3810"/>
      <c r="G2343" s="3806"/>
      <c r="H2343" s="3806"/>
      <c r="I2343" s="3747"/>
      <c r="J2343" s="3813"/>
      <c r="K2343" s="3812"/>
      <c r="L2343" s="3576"/>
      <c r="M2343" s="3745">
        <v>2</v>
      </c>
      <c r="N2343" s="172" t="s">
        <v>5626</v>
      </c>
      <c r="O2343" s="4708">
        <v>0.2</v>
      </c>
      <c r="P2343" s="3817">
        <f>K2341*O2343</f>
        <v>339660.734</v>
      </c>
      <c r="Q2343" s="2676">
        <v>84840.18</v>
      </c>
      <c r="R2343" s="128" t="s">
        <v>4603</v>
      </c>
      <c r="S2343" s="3615">
        <v>45433</v>
      </c>
      <c r="T2343" s="2676">
        <v>84840.18</v>
      </c>
      <c r="U2343" s="3615">
        <v>45433</v>
      </c>
      <c r="V2343" s="3841">
        <v>100000</v>
      </c>
      <c r="W2343" s="3615">
        <v>45514</v>
      </c>
      <c r="X2343" s="3841">
        <v>100000</v>
      </c>
      <c r="Y2343" s="3615">
        <v>45530</v>
      </c>
      <c r="Z2343" s="3709"/>
      <c r="AA2343" s="280"/>
      <c r="AB2343" s="3846"/>
      <c r="AC2343" s="3846"/>
      <c r="AD2343" s="3846"/>
      <c r="AE2343" s="3846"/>
      <c r="AF2343" s="3846"/>
      <c r="AG2343" s="3846"/>
      <c r="AH2343" s="3851"/>
      <c r="AI2343" s="3851"/>
    </row>
    <row r="2344" s="29" customFormat="1" ht="37.5" customHeight="1" spans="1:35">
      <c r="A2344" s="3576"/>
      <c r="B2344" s="3805"/>
      <c r="C2344" s="3807"/>
      <c r="D2344" s="3806"/>
      <c r="E2344" s="3806"/>
      <c r="F2344" s="3810"/>
      <c r="G2344" s="3806"/>
      <c r="H2344" s="3806"/>
      <c r="I2344" s="3747"/>
      <c r="J2344" s="3813"/>
      <c r="K2344" s="3812"/>
      <c r="L2344" s="3576"/>
      <c r="M2344" s="3747"/>
      <c r="N2344" s="176"/>
      <c r="O2344" s="4708"/>
      <c r="P2344" s="3819"/>
      <c r="Q2344" s="3811">
        <f>P2343-Q2343</f>
        <v>254820.554</v>
      </c>
      <c r="R2344" s="149" t="s">
        <v>4603</v>
      </c>
      <c r="S2344" s="3803">
        <v>45433</v>
      </c>
      <c r="T2344" s="3811">
        <f>P2343-T2343</f>
        <v>254820.554</v>
      </c>
      <c r="U2344" s="3803">
        <v>45433</v>
      </c>
      <c r="V2344" s="3841">
        <v>100000</v>
      </c>
      <c r="W2344" s="3615">
        <v>45545</v>
      </c>
      <c r="X2344" s="3841">
        <v>100000</v>
      </c>
      <c r="Y2344" s="3615">
        <v>45562</v>
      </c>
      <c r="Z2344" s="3709"/>
      <c r="AA2344" s="280"/>
      <c r="AB2344" s="3846"/>
      <c r="AC2344" s="3846"/>
      <c r="AD2344" s="3846"/>
      <c r="AE2344" s="3846"/>
      <c r="AF2344" s="3846"/>
      <c r="AG2344" s="3846"/>
      <c r="AH2344" s="3851"/>
      <c r="AI2344" s="3851"/>
    </row>
    <row r="2345" s="29" customFormat="1" ht="37.5" customHeight="1" spans="1:35">
      <c r="A2345" s="3576"/>
      <c r="B2345" s="3805"/>
      <c r="C2345" s="3807"/>
      <c r="D2345" s="3806"/>
      <c r="E2345" s="3806"/>
      <c r="F2345" s="3810"/>
      <c r="G2345" s="3806"/>
      <c r="H2345" s="3806"/>
      <c r="I2345" s="3747"/>
      <c r="J2345" s="3813"/>
      <c r="K2345" s="3812"/>
      <c r="L2345" s="3576"/>
      <c r="M2345" s="3747"/>
      <c r="N2345" s="176"/>
      <c r="O2345" s="4708"/>
      <c r="P2345" s="3819"/>
      <c r="Q2345" s="3813"/>
      <c r="R2345" s="151"/>
      <c r="S2345" s="3805"/>
      <c r="T2345" s="3813"/>
      <c r="U2345" s="3805"/>
      <c r="V2345" s="3841">
        <v>100000</v>
      </c>
      <c r="W2345" s="3615">
        <v>45580</v>
      </c>
      <c r="X2345" s="3841">
        <v>100000</v>
      </c>
      <c r="Y2345" s="3615">
        <v>45596</v>
      </c>
      <c r="Z2345" s="3709"/>
      <c r="AA2345" s="280"/>
      <c r="AB2345" s="3846"/>
      <c r="AC2345" s="3846"/>
      <c r="AD2345" s="3846"/>
      <c r="AE2345" s="3846"/>
      <c r="AF2345" s="3846"/>
      <c r="AG2345" s="3846"/>
      <c r="AH2345" s="3851"/>
      <c r="AI2345" s="3851"/>
    </row>
    <row r="2346" s="29" customFormat="1" ht="37.5" customHeight="1" spans="1:35">
      <c r="A2346" s="3576"/>
      <c r="B2346" s="3805"/>
      <c r="C2346" s="3807"/>
      <c r="D2346" s="3806"/>
      <c r="E2346" s="3806"/>
      <c r="F2346" s="3810"/>
      <c r="G2346" s="3806"/>
      <c r="H2346" s="3806"/>
      <c r="I2346" s="3747"/>
      <c r="J2346" s="3813"/>
      <c r="K2346" s="3812"/>
      <c r="L2346" s="3576"/>
      <c r="M2346" s="3747"/>
      <c r="N2346" s="176"/>
      <c r="O2346" s="4708"/>
      <c r="P2346" s="3819"/>
      <c r="Q2346" s="3829"/>
      <c r="R2346" s="152"/>
      <c r="S2346" s="3830"/>
      <c r="T2346" s="3829"/>
      <c r="U2346" s="3830"/>
      <c r="V2346" s="4747">
        <v>179321.46</v>
      </c>
      <c r="W2346" s="3803">
        <v>45600</v>
      </c>
      <c r="X2346" s="4747">
        <v>179321.46</v>
      </c>
      <c r="Y2346" s="3803">
        <v>45624</v>
      </c>
      <c r="Z2346" s="3709"/>
      <c r="AA2346" s="280"/>
      <c r="AB2346" s="3846"/>
      <c r="AC2346" s="3846"/>
      <c r="AD2346" s="3846"/>
      <c r="AE2346" s="3846"/>
      <c r="AF2346" s="3846"/>
      <c r="AG2346" s="3846"/>
      <c r="AH2346" s="3851"/>
      <c r="AI2346" s="3851"/>
    </row>
    <row r="2347" s="29" customFormat="1" ht="37.5" customHeight="1" spans="1:35">
      <c r="A2347" s="3576"/>
      <c r="B2347" s="3805"/>
      <c r="C2347" s="3807"/>
      <c r="D2347" s="3806"/>
      <c r="E2347" s="3806"/>
      <c r="F2347" s="3810"/>
      <c r="G2347" s="3806"/>
      <c r="H2347" s="3806"/>
      <c r="I2347" s="3747"/>
      <c r="J2347" s="3813"/>
      <c r="K2347" s="3812"/>
      <c r="L2347" s="3576"/>
      <c r="M2347" s="3745">
        <v>3</v>
      </c>
      <c r="N2347" s="647" t="s">
        <v>7501</v>
      </c>
      <c r="O2347" s="4708">
        <v>0.15</v>
      </c>
      <c r="P2347" s="3817">
        <f>K2341*O2347</f>
        <v>254745.5505</v>
      </c>
      <c r="Q2347" s="2676">
        <v>84840.18</v>
      </c>
      <c r="R2347" s="128" t="s">
        <v>4603</v>
      </c>
      <c r="S2347" s="3615">
        <v>45433</v>
      </c>
      <c r="T2347" s="2676">
        <v>84840.18</v>
      </c>
      <c r="U2347" s="3615">
        <v>45433</v>
      </c>
      <c r="V2347" s="3840"/>
      <c r="W2347" s="3830"/>
      <c r="X2347" s="3840"/>
      <c r="Y2347" s="3830"/>
      <c r="Z2347" s="3709"/>
      <c r="AA2347" s="280"/>
      <c r="AB2347" s="3846"/>
      <c r="AC2347" s="3846"/>
      <c r="AD2347" s="3846"/>
      <c r="AE2347" s="3846"/>
      <c r="AF2347" s="3846"/>
      <c r="AG2347" s="3846"/>
      <c r="AH2347" s="3851"/>
      <c r="AI2347" s="3851"/>
    </row>
    <row r="2348" s="29" customFormat="1" ht="37.5" customHeight="1" spans="1:35">
      <c r="A2348" s="3576"/>
      <c r="B2348" s="3805"/>
      <c r="C2348" s="3807"/>
      <c r="D2348" s="3806"/>
      <c r="E2348" s="3806"/>
      <c r="F2348" s="3810"/>
      <c r="G2348" s="3806"/>
      <c r="H2348" s="3806"/>
      <c r="I2348" s="3747"/>
      <c r="J2348" s="3813"/>
      <c r="K2348" s="3812"/>
      <c r="L2348" s="3576"/>
      <c r="M2348" s="3747"/>
      <c r="N2348" s="651"/>
      <c r="O2348" s="4708"/>
      <c r="P2348" s="3819"/>
      <c r="Q2348" s="2676">
        <v>84630.81</v>
      </c>
      <c r="R2348" s="128" t="s">
        <v>4603</v>
      </c>
      <c r="S2348" s="3615">
        <v>45796</v>
      </c>
      <c r="T2348" s="2676">
        <v>84630.81</v>
      </c>
      <c r="U2348" s="3615">
        <v>45791</v>
      </c>
      <c r="V2348" s="2676">
        <v>84630.81</v>
      </c>
      <c r="W2348" s="3615">
        <v>45796</v>
      </c>
      <c r="X2348" s="2676">
        <v>84630.81</v>
      </c>
      <c r="Y2348" s="3615">
        <v>45804</v>
      </c>
      <c r="Z2348" s="3709"/>
      <c r="AA2348" s="280"/>
      <c r="AB2348" s="3846"/>
      <c r="AC2348" s="3846"/>
      <c r="AD2348" s="3846"/>
      <c r="AE2348" s="3846"/>
      <c r="AF2348" s="3846"/>
      <c r="AG2348" s="3846"/>
      <c r="AH2348" s="3851"/>
      <c r="AI2348" s="3851"/>
    </row>
    <row r="2349" s="29" customFormat="1" ht="37.5" customHeight="1" spans="1:35">
      <c r="A2349" s="3576"/>
      <c r="B2349" s="3805"/>
      <c r="C2349" s="3807"/>
      <c r="D2349" s="3806"/>
      <c r="E2349" s="3806"/>
      <c r="F2349" s="3810"/>
      <c r="G2349" s="3806"/>
      <c r="H2349" s="3806"/>
      <c r="I2349" s="3747"/>
      <c r="J2349" s="3813"/>
      <c r="K2349" s="3812"/>
      <c r="L2349" s="3576"/>
      <c r="M2349" s="3747"/>
      <c r="N2349" s="651"/>
      <c r="O2349" s="4708"/>
      <c r="P2349" s="3819"/>
      <c r="Q2349" s="2676">
        <v>72096.92</v>
      </c>
      <c r="R2349" s="128" t="s">
        <v>4603</v>
      </c>
      <c r="S2349" s="3615">
        <v>45817</v>
      </c>
      <c r="T2349" s="2676">
        <v>72096.92</v>
      </c>
      <c r="U2349" s="3615">
        <v>45817</v>
      </c>
      <c r="V2349" s="2676">
        <v>72096.92</v>
      </c>
      <c r="W2349" s="3837"/>
      <c r="X2349" s="4771">
        <v>72096.92</v>
      </c>
      <c r="Y2349" s="4768">
        <v>46052</v>
      </c>
      <c r="Z2349" s="3709"/>
      <c r="AA2349" s="280"/>
      <c r="AB2349" s="3846"/>
      <c r="AC2349" s="3846"/>
      <c r="AD2349" s="3846"/>
      <c r="AE2349" s="3846"/>
      <c r="AF2349" s="3846"/>
      <c r="AG2349" s="3846"/>
      <c r="AH2349" s="3851"/>
      <c r="AI2349" s="3851"/>
    </row>
    <row r="2350" s="29" customFormat="1" ht="37.5" customHeight="1" spans="1:35">
      <c r="A2350" s="3576"/>
      <c r="B2350" s="3805"/>
      <c r="C2350" s="3807"/>
      <c r="D2350" s="3806"/>
      <c r="E2350" s="3806"/>
      <c r="F2350" s="3810"/>
      <c r="G2350" s="3806"/>
      <c r="H2350" s="3806"/>
      <c r="I2350" s="3747"/>
      <c r="J2350" s="3813"/>
      <c r="K2350" s="3812"/>
      <c r="L2350" s="3576"/>
      <c r="M2350" s="3747"/>
      <c r="N2350" s="651"/>
      <c r="O2350" s="4708"/>
      <c r="P2350" s="3819"/>
      <c r="Q2350" s="4771">
        <f>P2347-Q2347-Q2348-Q2349</f>
        <v>13177.6405</v>
      </c>
      <c r="R2350" s="3439"/>
      <c r="S2350" s="4737"/>
      <c r="T2350" s="3873"/>
      <c r="U2350" s="4737"/>
      <c r="V2350" s="3841"/>
      <c r="W2350" s="4737"/>
      <c r="X2350" s="3841"/>
      <c r="Y2350" s="3615"/>
      <c r="Z2350" s="3709"/>
      <c r="AA2350" s="280"/>
      <c r="AB2350" s="3846"/>
      <c r="AC2350" s="3846"/>
      <c r="AD2350" s="3846"/>
      <c r="AE2350" s="3846"/>
      <c r="AF2350" s="3846"/>
      <c r="AG2350" s="3846"/>
      <c r="AH2350" s="3851"/>
      <c r="AI2350" s="3851"/>
    </row>
    <row r="2351" s="29" customFormat="1" ht="37.5" customHeight="1" spans="1:35">
      <c r="A2351" s="3576"/>
      <c r="B2351" s="3805"/>
      <c r="C2351" s="3807"/>
      <c r="D2351" s="3806"/>
      <c r="E2351" s="3806"/>
      <c r="F2351" s="3810"/>
      <c r="G2351" s="3806"/>
      <c r="H2351" s="3806"/>
      <c r="I2351" s="3747"/>
      <c r="J2351" s="3813"/>
      <c r="K2351" s="3812"/>
      <c r="L2351" s="3576"/>
      <c r="M2351" s="3745">
        <v>4</v>
      </c>
      <c r="N2351" s="647" t="s">
        <v>5629</v>
      </c>
      <c r="O2351" s="4708">
        <v>0.3</v>
      </c>
      <c r="P2351" s="3817">
        <f>K2341*O2351</f>
        <v>509491.101</v>
      </c>
      <c r="Q2351" s="2676">
        <v>176888.92</v>
      </c>
      <c r="R2351" s="128" t="s">
        <v>4603</v>
      </c>
      <c r="S2351" s="3615">
        <v>45796</v>
      </c>
      <c r="T2351" s="2676">
        <v>176888.92</v>
      </c>
      <c r="U2351" s="3615">
        <v>45791</v>
      </c>
      <c r="V2351" s="2676">
        <v>176888.92</v>
      </c>
      <c r="W2351" s="3615">
        <v>45796</v>
      </c>
      <c r="X2351" s="2676">
        <v>176888.92</v>
      </c>
      <c r="Y2351" s="3615">
        <v>45804</v>
      </c>
      <c r="Z2351" s="3709"/>
      <c r="AA2351" s="280"/>
      <c r="AB2351" s="3846"/>
      <c r="AC2351" s="3846"/>
      <c r="AD2351" s="3846"/>
      <c r="AE2351" s="3846"/>
      <c r="AF2351" s="3846"/>
      <c r="AG2351" s="3846"/>
      <c r="AH2351" s="3851"/>
      <c r="AI2351" s="3851"/>
    </row>
    <row r="2352" s="29" customFormat="1" ht="37.5" customHeight="1" spans="1:35">
      <c r="A2352" s="3576"/>
      <c r="B2352" s="3805"/>
      <c r="C2352" s="3807"/>
      <c r="D2352" s="3806"/>
      <c r="E2352" s="3806"/>
      <c r="F2352" s="3810"/>
      <c r="G2352" s="3806"/>
      <c r="H2352" s="3806"/>
      <c r="I2352" s="3747"/>
      <c r="J2352" s="3813"/>
      <c r="K2352" s="3812"/>
      <c r="L2352" s="3576"/>
      <c r="M2352" s="3577"/>
      <c r="N2352" s="651"/>
      <c r="O2352" s="4708"/>
      <c r="P2352" s="3821"/>
      <c r="Q2352" s="4104">
        <v>92333.11</v>
      </c>
      <c r="R2352" s="128" t="s">
        <v>4603</v>
      </c>
      <c r="S2352" s="3881">
        <v>45999</v>
      </c>
      <c r="T2352" s="4772">
        <v>92333.11</v>
      </c>
      <c r="U2352" s="4776">
        <v>45999</v>
      </c>
      <c r="V2352" s="3874">
        <v>92333.11</v>
      </c>
      <c r="W2352" s="3615"/>
      <c r="X2352" s="4771">
        <v>92333.11</v>
      </c>
      <c r="Y2352" s="4768">
        <v>46052</v>
      </c>
      <c r="Z2352" s="3709"/>
      <c r="AA2352" s="280"/>
      <c r="AB2352" s="3846"/>
      <c r="AC2352" s="3846"/>
      <c r="AD2352" s="3846"/>
      <c r="AE2352" s="3846"/>
      <c r="AF2352" s="3846"/>
      <c r="AG2352" s="3846"/>
      <c r="AH2352" s="3851"/>
      <c r="AI2352" s="3851"/>
    </row>
    <row r="2353" s="29" customFormat="1" ht="37.5" customHeight="1" spans="1:35">
      <c r="A2353" s="3576"/>
      <c r="B2353" s="3805"/>
      <c r="C2353" s="3807"/>
      <c r="D2353" s="3806"/>
      <c r="E2353" s="3806"/>
      <c r="F2353" s="3810"/>
      <c r="G2353" s="3806"/>
      <c r="H2353" s="3806"/>
      <c r="I2353" s="3747"/>
      <c r="J2353" s="3813"/>
      <c r="K2353" s="3812"/>
      <c r="L2353" s="3576"/>
      <c r="M2353" s="3576">
        <v>5</v>
      </c>
      <c r="N2353" s="172" t="s">
        <v>5751</v>
      </c>
      <c r="O2353" s="4708">
        <v>0.05</v>
      </c>
      <c r="P2353" s="837">
        <f>K2341*O2353</f>
        <v>84915.1835</v>
      </c>
      <c r="Q2353" s="2679">
        <f>P2353</f>
        <v>84915.1835</v>
      </c>
      <c r="R2353" s="128"/>
      <c r="S2353" s="276"/>
      <c r="T2353" s="3832"/>
      <c r="U2353" s="3842"/>
      <c r="V2353" s="3841"/>
      <c r="W2353" s="3615"/>
      <c r="X2353" s="3841"/>
      <c r="Y2353" s="3615"/>
      <c r="Z2353" s="3709"/>
      <c r="AA2353" s="280"/>
      <c r="AB2353" s="3846"/>
      <c r="AC2353" s="3846"/>
      <c r="AD2353" s="3846"/>
      <c r="AE2353" s="3846"/>
      <c r="AF2353" s="3846"/>
      <c r="AG2353" s="3846"/>
      <c r="AH2353" s="3851"/>
      <c r="AI2353" s="3851"/>
    </row>
    <row r="2354" s="29" customFormat="1" ht="37.5" customHeight="1" spans="1:35">
      <c r="A2354" s="3576"/>
      <c r="B2354" s="3805"/>
      <c r="C2354" s="3807"/>
      <c r="D2354" s="3806"/>
      <c r="E2354" s="3806"/>
      <c r="F2354" s="3810"/>
      <c r="G2354" s="3806"/>
      <c r="H2354" s="3806"/>
      <c r="I2354" s="3747"/>
      <c r="J2354" s="3813"/>
      <c r="K2354" s="3812"/>
      <c r="L2354" s="3576"/>
      <c r="M2354" s="3576">
        <v>6</v>
      </c>
      <c r="N2354" s="172" t="s">
        <v>5080</v>
      </c>
      <c r="O2354" s="4708">
        <v>0.05</v>
      </c>
      <c r="P2354" s="837">
        <f>K2341*O2354</f>
        <v>84915.1835</v>
      </c>
      <c r="Q2354" s="2679">
        <f>P2354</f>
        <v>84915.1835</v>
      </c>
      <c r="R2354" s="128"/>
      <c r="S2354" s="276"/>
      <c r="T2354" s="3832"/>
      <c r="U2354" s="3842"/>
      <c r="V2354" s="3841"/>
      <c r="W2354" s="3615"/>
      <c r="X2354" s="3841"/>
      <c r="Y2354" s="3615"/>
      <c r="Z2354" s="3709"/>
      <c r="AA2354" s="280"/>
      <c r="AB2354" s="3846"/>
      <c r="AC2354" s="3846"/>
      <c r="AD2354" s="3846"/>
      <c r="AE2354" s="3846"/>
      <c r="AF2354" s="3846"/>
      <c r="AG2354" s="3846"/>
      <c r="AH2354" s="3851"/>
      <c r="AI2354" s="3851"/>
    </row>
    <row r="2355" s="29" customFormat="1" ht="92" spans="1:35">
      <c r="A2355" s="3576"/>
      <c r="B2355" s="3830"/>
      <c r="C2355" s="3852"/>
      <c r="D2355" s="3853"/>
      <c r="E2355" s="3853"/>
      <c r="F2355" s="3810"/>
      <c r="G2355" s="3853"/>
      <c r="H2355" s="3853"/>
      <c r="I2355" s="3577"/>
      <c r="J2355" s="3829"/>
      <c r="K2355" s="3812"/>
      <c r="L2355" s="3576"/>
      <c r="M2355" s="128" t="s">
        <v>6237</v>
      </c>
      <c r="N2355" s="185" t="s">
        <v>6245</v>
      </c>
      <c r="O2355" s="4708">
        <v>0.1</v>
      </c>
      <c r="P2355" s="837">
        <f>K2341*O2355</f>
        <v>169830.367</v>
      </c>
      <c r="Q2355" s="2679">
        <f>P2355</f>
        <v>169830.367</v>
      </c>
      <c r="R2355" s="280"/>
      <c r="S2355" s="3584"/>
      <c r="T2355" s="3709"/>
      <c r="U2355" s="3709"/>
      <c r="V2355" s="3709"/>
      <c r="W2355" s="3846"/>
      <c r="X2355" s="3858"/>
      <c r="Y2355" s="282"/>
      <c r="Z2355" s="3846"/>
      <c r="AA2355" s="3709"/>
      <c r="AB2355" s="3846"/>
      <c r="AC2355" s="3846"/>
      <c r="AD2355" s="3846"/>
      <c r="AE2355" s="3846"/>
      <c r="AF2355" s="3846"/>
      <c r="AG2355" s="3846"/>
      <c r="AH2355" s="930"/>
      <c r="AI2355" s="930"/>
    </row>
    <row r="2356" s="29" customFormat="1" ht="37.5" customHeight="1" spans="1:35">
      <c r="A2356" s="128" t="s">
        <v>3079</v>
      </c>
      <c r="B2356" s="3803">
        <v>45288</v>
      </c>
      <c r="C2356" s="649" t="s">
        <v>3905</v>
      </c>
      <c r="D2356" s="3804"/>
      <c r="E2356" s="647" t="s">
        <v>7523</v>
      </c>
      <c r="F2356" s="127" t="s">
        <v>7524</v>
      </c>
      <c r="G2356" s="647" t="s">
        <v>5826</v>
      </c>
      <c r="H2356" s="647" t="s">
        <v>5663</v>
      </c>
      <c r="I2356" s="3745">
        <v>106209</v>
      </c>
      <c r="J2356" s="3745">
        <f>K2356/I2356</f>
        <v>24</v>
      </c>
      <c r="K2356" s="3812">
        <v>2549016</v>
      </c>
      <c r="L2356" s="128" t="s">
        <v>126</v>
      </c>
      <c r="M2356" s="647" t="s">
        <v>7513</v>
      </c>
      <c r="N2356" s="647" t="s">
        <v>7134</v>
      </c>
      <c r="O2356" s="4708">
        <v>0.1</v>
      </c>
      <c r="P2356" s="3817">
        <f>K2356*O2356</f>
        <v>254901.6</v>
      </c>
      <c r="Q2356" s="3576">
        <v>131406.38</v>
      </c>
      <c r="R2356" s="128" t="s">
        <v>4603</v>
      </c>
      <c r="S2356" s="3615">
        <v>45362</v>
      </c>
      <c r="T2356" s="3710">
        <v>131406.38</v>
      </c>
      <c r="U2356" s="3615">
        <v>45362</v>
      </c>
      <c r="V2356" s="4747">
        <v>200000</v>
      </c>
      <c r="W2356" s="3803">
        <v>45450</v>
      </c>
      <c r="X2356" s="4747">
        <v>200000</v>
      </c>
      <c r="Y2356" s="3803">
        <v>45470</v>
      </c>
      <c r="Z2356" s="3894"/>
      <c r="AA2356" s="280"/>
      <c r="AB2356" s="3846"/>
      <c r="AC2356" s="3846"/>
      <c r="AD2356" s="3846"/>
      <c r="AE2356" s="3846"/>
      <c r="AF2356" s="3846"/>
      <c r="AG2356" s="3846"/>
      <c r="AH2356" s="3850" t="s">
        <v>197</v>
      </c>
      <c r="AI2356" s="3850" t="s">
        <v>154</v>
      </c>
    </row>
    <row r="2357" s="29" customFormat="1" ht="37.5" customHeight="1" spans="1:35">
      <c r="A2357" s="3576"/>
      <c r="B2357" s="3805"/>
      <c r="C2357" s="3807"/>
      <c r="D2357" s="3806"/>
      <c r="E2357" s="3806"/>
      <c r="F2357" s="3810"/>
      <c r="G2357" s="3806"/>
      <c r="H2357" s="3806"/>
      <c r="I2357" s="3747"/>
      <c r="J2357" s="3747"/>
      <c r="K2357" s="3812"/>
      <c r="L2357" s="3576"/>
      <c r="M2357" s="651"/>
      <c r="N2357" s="1067"/>
      <c r="O2357" s="4708"/>
      <c r="P2357" s="3821"/>
      <c r="Q2357" s="3576">
        <f>P2356-Q2356</f>
        <v>123495.22</v>
      </c>
      <c r="R2357" s="128" t="s">
        <v>4603</v>
      </c>
      <c r="S2357" s="3615">
        <v>45580</v>
      </c>
      <c r="T2357" s="3872">
        <v>123495.22</v>
      </c>
      <c r="U2357" s="3615">
        <v>45580</v>
      </c>
      <c r="V2357" s="4777"/>
      <c r="W2357" s="3805"/>
      <c r="X2357" s="3840"/>
      <c r="Y2357" s="3805"/>
      <c r="Z2357" s="4759"/>
      <c r="AA2357" s="280"/>
      <c r="AB2357" s="3846"/>
      <c r="AC2357" s="3846"/>
      <c r="AD2357" s="3846"/>
      <c r="AE2357" s="3846"/>
      <c r="AF2357" s="3846"/>
      <c r="AG2357" s="3846"/>
      <c r="AH2357" s="3851"/>
      <c r="AI2357" s="3851"/>
    </row>
    <row r="2358" s="29" customFormat="1" ht="37.5" customHeight="1" spans="1:35">
      <c r="A2358" s="3576"/>
      <c r="B2358" s="3805"/>
      <c r="C2358" s="3807"/>
      <c r="D2358" s="3806"/>
      <c r="E2358" s="3806"/>
      <c r="F2358" s="3810"/>
      <c r="G2358" s="3806"/>
      <c r="H2358" s="3806"/>
      <c r="I2358" s="3747"/>
      <c r="J2358" s="3747"/>
      <c r="K2358" s="3812"/>
      <c r="L2358" s="3576"/>
      <c r="M2358" s="647" t="s">
        <v>7514</v>
      </c>
      <c r="N2358" s="185" t="s">
        <v>5064</v>
      </c>
      <c r="O2358" s="4708">
        <v>0.4</v>
      </c>
      <c r="P2358" s="837">
        <f>363960*O2358</f>
        <v>145584</v>
      </c>
      <c r="Q2358" s="3576">
        <v>145584</v>
      </c>
      <c r="R2358" s="128" t="s">
        <v>4603</v>
      </c>
      <c r="S2358" s="3615">
        <v>45362</v>
      </c>
      <c r="T2358" s="3872">
        <v>145584</v>
      </c>
      <c r="U2358" s="3615">
        <v>45362</v>
      </c>
      <c r="V2358" s="4747">
        <v>200000</v>
      </c>
      <c r="W2358" s="3803">
        <v>45488</v>
      </c>
      <c r="X2358" s="3841">
        <v>200000</v>
      </c>
      <c r="Y2358" s="3803">
        <v>45503</v>
      </c>
      <c r="Z2358" s="3709"/>
      <c r="AA2358" s="280"/>
      <c r="AB2358" s="3846"/>
      <c r="AC2358" s="3846"/>
      <c r="AD2358" s="3846"/>
      <c r="AE2358" s="3846"/>
      <c r="AF2358" s="3846"/>
      <c r="AG2358" s="3846"/>
      <c r="AH2358" s="3851"/>
      <c r="AI2358" s="3851"/>
    </row>
    <row r="2359" s="29" customFormat="1" ht="37.5" customHeight="1" spans="1:35">
      <c r="A2359" s="3576"/>
      <c r="B2359" s="3805"/>
      <c r="C2359" s="3807"/>
      <c r="D2359" s="3806"/>
      <c r="E2359" s="3806"/>
      <c r="F2359" s="3810"/>
      <c r="G2359" s="3806"/>
      <c r="H2359" s="3806"/>
      <c r="I2359" s="3747"/>
      <c r="J2359" s="3747"/>
      <c r="K2359" s="3812"/>
      <c r="L2359" s="3576"/>
      <c r="M2359" s="3806"/>
      <c r="N2359" s="185" t="s">
        <v>5065</v>
      </c>
      <c r="O2359" s="4708">
        <v>0.3</v>
      </c>
      <c r="P2359" s="837">
        <f>363960*O2359</f>
        <v>109188</v>
      </c>
      <c r="Q2359" s="3576">
        <v>109188</v>
      </c>
      <c r="R2359" s="128" t="s">
        <v>4603</v>
      </c>
      <c r="S2359" s="3615">
        <v>45362</v>
      </c>
      <c r="T2359" s="3576">
        <v>109188</v>
      </c>
      <c r="U2359" s="3615">
        <v>45362</v>
      </c>
      <c r="V2359" s="4747">
        <v>146069.6</v>
      </c>
      <c r="W2359" s="3803">
        <v>45545</v>
      </c>
      <c r="X2359" s="4747">
        <v>146069.6</v>
      </c>
      <c r="Y2359" s="3803">
        <v>45562</v>
      </c>
      <c r="Z2359" s="3709"/>
      <c r="AA2359" s="280"/>
      <c r="AB2359" s="3846"/>
      <c r="AC2359" s="3846"/>
      <c r="AD2359" s="3846"/>
      <c r="AE2359" s="3846"/>
      <c r="AF2359" s="3846"/>
      <c r="AG2359" s="3846"/>
      <c r="AH2359" s="3851"/>
      <c r="AI2359" s="3851"/>
    </row>
    <row r="2360" s="29" customFormat="1" ht="37.5" customHeight="1" spans="1:35">
      <c r="A2360" s="3576"/>
      <c r="B2360" s="3805"/>
      <c r="C2360" s="3807"/>
      <c r="D2360" s="3806"/>
      <c r="E2360" s="3806"/>
      <c r="F2360" s="3810"/>
      <c r="G2360" s="3806"/>
      <c r="H2360" s="3806"/>
      <c r="I2360" s="3747"/>
      <c r="J2360" s="3747"/>
      <c r="K2360" s="3812"/>
      <c r="L2360" s="3576"/>
      <c r="M2360" s="3853"/>
      <c r="N2360" s="185" t="s">
        <v>5066</v>
      </c>
      <c r="O2360" s="4708">
        <v>0.1</v>
      </c>
      <c r="P2360" s="837">
        <f>363960*O2360</f>
        <v>36396</v>
      </c>
      <c r="Q2360" s="3576">
        <v>36396</v>
      </c>
      <c r="R2360" s="128" t="s">
        <v>4603</v>
      </c>
      <c r="S2360" s="3615">
        <v>45362</v>
      </c>
      <c r="T2360" s="3832">
        <v>36396</v>
      </c>
      <c r="U2360" s="3615">
        <v>45362</v>
      </c>
      <c r="V2360" s="4777"/>
      <c r="W2360" s="3805"/>
      <c r="X2360" s="4777"/>
      <c r="Y2360" s="3805"/>
      <c r="Z2360" s="3709"/>
      <c r="AA2360" s="280"/>
      <c r="AB2360" s="3846"/>
      <c r="AC2360" s="3846"/>
      <c r="AD2360" s="3846"/>
      <c r="AE2360" s="3846"/>
      <c r="AF2360" s="3846"/>
      <c r="AG2360" s="3846"/>
      <c r="AH2360" s="3851"/>
      <c r="AI2360" s="3851"/>
    </row>
    <row r="2361" s="29" customFormat="1" ht="37.5" customHeight="1" spans="1:35">
      <c r="A2361" s="3576"/>
      <c r="B2361" s="3805"/>
      <c r="C2361" s="3807"/>
      <c r="D2361" s="3806"/>
      <c r="E2361" s="3806"/>
      <c r="F2361" s="3810"/>
      <c r="G2361" s="3806"/>
      <c r="H2361" s="3806"/>
      <c r="I2361" s="3747"/>
      <c r="J2361" s="3747"/>
      <c r="K2361" s="3812"/>
      <c r="L2361" s="3576"/>
      <c r="M2361" s="647" t="s">
        <v>7515</v>
      </c>
      <c r="N2361" s="647" t="s">
        <v>5067</v>
      </c>
      <c r="O2361" s="4708">
        <v>0.15</v>
      </c>
      <c r="P2361" s="3817">
        <f>2185056*O2361</f>
        <v>327758.4</v>
      </c>
      <c r="Q2361" s="647">
        <f>173525.18-43381.29</f>
        <v>130143.89</v>
      </c>
      <c r="R2361" s="149" t="s">
        <v>4603</v>
      </c>
      <c r="S2361" s="3803">
        <v>45362</v>
      </c>
      <c r="T2361" s="647">
        <f>173525.18-43381.29</f>
        <v>130143.89</v>
      </c>
      <c r="U2361" s="3803">
        <v>45362</v>
      </c>
      <c r="V2361" s="4747">
        <v>30143.89</v>
      </c>
      <c r="W2361" s="3803">
        <v>45545</v>
      </c>
      <c r="X2361" s="4747">
        <v>30143.89</v>
      </c>
      <c r="Y2361" s="3803">
        <v>45562</v>
      </c>
      <c r="Z2361" s="3709"/>
      <c r="AA2361" s="280"/>
      <c r="AB2361" s="3846"/>
      <c r="AC2361" s="3846"/>
      <c r="AD2361" s="3846"/>
      <c r="AE2361" s="3846"/>
      <c r="AF2361" s="3846"/>
      <c r="AG2361" s="3846"/>
      <c r="AH2361" s="3851"/>
      <c r="AI2361" s="3851"/>
    </row>
    <row r="2362" s="29" customFormat="1" ht="37.5" customHeight="1" spans="1:35">
      <c r="A2362" s="3576"/>
      <c r="B2362" s="3805"/>
      <c r="C2362" s="3807"/>
      <c r="D2362" s="3806"/>
      <c r="E2362" s="3806"/>
      <c r="F2362" s="3810"/>
      <c r="G2362" s="3806"/>
      <c r="H2362" s="3806"/>
      <c r="I2362" s="3747"/>
      <c r="J2362" s="3747"/>
      <c r="K2362" s="3812"/>
      <c r="L2362" s="3576"/>
      <c r="M2362" s="3806"/>
      <c r="N2362" s="651"/>
      <c r="O2362" s="4708"/>
      <c r="P2362" s="3819"/>
      <c r="Q2362" s="1067"/>
      <c r="R2362" s="152"/>
      <c r="S2362" s="3830"/>
      <c r="T2362" s="1067"/>
      <c r="U2362" s="3830"/>
      <c r="V2362" s="4747">
        <v>100000</v>
      </c>
      <c r="W2362" s="3803">
        <v>45581</v>
      </c>
      <c r="X2362" s="4747">
        <v>100000</v>
      </c>
      <c r="Y2362" s="3803">
        <v>45595</v>
      </c>
      <c r="Z2362" s="3709"/>
      <c r="AA2362" s="280" t="s">
        <v>7525</v>
      </c>
      <c r="AB2362" s="3846"/>
      <c r="AC2362" s="3846"/>
      <c r="AD2362" s="3846"/>
      <c r="AE2362" s="3846"/>
      <c r="AF2362" s="3846"/>
      <c r="AG2362" s="3846"/>
      <c r="AH2362" s="3851"/>
      <c r="AI2362" s="3851"/>
    </row>
    <row r="2363" s="29" customFormat="1" ht="37.5" customHeight="1" spans="1:35">
      <c r="A2363" s="3576"/>
      <c r="B2363" s="3805"/>
      <c r="C2363" s="3807"/>
      <c r="D2363" s="3806"/>
      <c r="E2363" s="3806"/>
      <c r="F2363" s="3810"/>
      <c r="G2363" s="3806"/>
      <c r="H2363" s="3806"/>
      <c r="I2363" s="3747"/>
      <c r="J2363" s="3747"/>
      <c r="K2363" s="3812"/>
      <c r="L2363" s="3576"/>
      <c r="M2363" s="3806"/>
      <c r="N2363" s="651"/>
      <c r="O2363" s="4708"/>
      <c r="P2363" s="3819"/>
      <c r="Q2363" s="127">
        <v>176532.95</v>
      </c>
      <c r="R2363" s="128" t="s">
        <v>4603</v>
      </c>
      <c r="S2363" s="3615">
        <v>45947</v>
      </c>
      <c r="T2363" s="127">
        <v>176532.95</v>
      </c>
      <c r="U2363" s="3615">
        <v>45947</v>
      </c>
      <c r="V2363" s="127">
        <v>176532.95</v>
      </c>
      <c r="W2363" s="3615">
        <v>45951</v>
      </c>
      <c r="X2363" s="127">
        <v>176532.95</v>
      </c>
      <c r="Y2363" s="3615">
        <v>45989</v>
      </c>
      <c r="Z2363" s="3709"/>
      <c r="AA2363" s="280"/>
      <c r="AB2363" s="3846"/>
      <c r="AC2363" s="3846"/>
      <c r="AD2363" s="3846"/>
      <c r="AE2363" s="3846"/>
      <c r="AF2363" s="3846"/>
      <c r="AG2363" s="3846"/>
      <c r="AH2363" s="3851"/>
      <c r="AI2363" s="3851"/>
    </row>
    <row r="2364" s="29" customFormat="1" ht="37.5" customHeight="1" spans="1:35">
      <c r="A2364" s="3576"/>
      <c r="B2364" s="3805"/>
      <c r="C2364" s="3807"/>
      <c r="D2364" s="3806"/>
      <c r="E2364" s="3806"/>
      <c r="F2364" s="3810"/>
      <c r="G2364" s="3806"/>
      <c r="H2364" s="3806"/>
      <c r="I2364" s="3747"/>
      <c r="J2364" s="3747"/>
      <c r="K2364" s="3812"/>
      <c r="L2364" s="3576"/>
      <c r="M2364" s="3806"/>
      <c r="N2364" s="1067"/>
      <c r="O2364" s="4708"/>
      <c r="P2364" s="3821"/>
      <c r="Q2364" s="127">
        <f>P2361-Q2361-Q2362</f>
        <v>197614.51</v>
      </c>
      <c r="R2364" s="128"/>
      <c r="S2364" s="3615"/>
      <c r="T2364" s="3872"/>
      <c r="U2364" s="276"/>
      <c r="V2364" s="3841"/>
      <c r="W2364" s="3615"/>
      <c r="X2364" s="3841"/>
      <c r="Y2364" s="3615"/>
      <c r="Z2364" s="3709"/>
      <c r="AA2364" s="280"/>
      <c r="AB2364" s="3846"/>
      <c r="AC2364" s="3846"/>
      <c r="AD2364" s="3846"/>
      <c r="AE2364" s="3846"/>
      <c r="AF2364" s="3846"/>
      <c r="AG2364" s="3846"/>
      <c r="AH2364" s="3851"/>
      <c r="AI2364" s="3851"/>
    </row>
    <row r="2365" s="29" customFormat="1" ht="37.5" customHeight="1" spans="1:35">
      <c r="A2365" s="3576"/>
      <c r="B2365" s="3805"/>
      <c r="C2365" s="3807"/>
      <c r="D2365" s="3806"/>
      <c r="E2365" s="3806"/>
      <c r="F2365" s="3810"/>
      <c r="G2365" s="3806"/>
      <c r="H2365" s="3806"/>
      <c r="I2365" s="3747"/>
      <c r="J2365" s="3747"/>
      <c r="K2365" s="3812"/>
      <c r="L2365" s="3576"/>
      <c r="M2365" s="3806"/>
      <c r="N2365" s="647" t="s">
        <v>5064</v>
      </c>
      <c r="O2365" s="4708">
        <v>0.15</v>
      </c>
      <c r="P2365" s="3817">
        <f>2185056*O2365</f>
        <v>327758.4</v>
      </c>
      <c r="Q2365" s="127">
        <v>126259.2</v>
      </c>
      <c r="R2365" s="128" t="s">
        <v>4603</v>
      </c>
      <c r="S2365" s="3615">
        <v>45580</v>
      </c>
      <c r="T2365" s="3872">
        <v>126259.2</v>
      </c>
      <c r="U2365" s="3615">
        <v>45580</v>
      </c>
      <c r="V2365" s="3841">
        <v>126259.2</v>
      </c>
      <c r="W2365" s="3615">
        <v>45603</v>
      </c>
      <c r="X2365" s="3841">
        <v>126259.2</v>
      </c>
      <c r="Y2365" s="3615">
        <v>45624</v>
      </c>
      <c r="Z2365" s="3709"/>
      <c r="AA2365" s="4778" t="s">
        <v>3898</v>
      </c>
      <c r="AB2365" s="3846"/>
      <c r="AC2365" s="3846"/>
      <c r="AD2365" s="3846"/>
      <c r="AE2365" s="3846"/>
      <c r="AF2365" s="3846"/>
      <c r="AG2365" s="3846"/>
      <c r="AH2365" s="3851"/>
      <c r="AI2365" s="3851"/>
    </row>
    <row r="2366" s="29" customFormat="1" ht="37.5" customHeight="1" spans="1:35">
      <c r="A2366" s="3576"/>
      <c r="B2366" s="3805"/>
      <c r="C2366" s="3807"/>
      <c r="D2366" s="3806"/>
      <c r="E2366" s="3806"/>
      <c r="F2366" s="3810"/>
      <c r="G2366" s="3806"/>
      <c r="H2366" s="3806"/>
      <c r="I2366" s="3747"/>
      <c r="J2366" s="3747"/>
      <c r="K2366" s="3812"/>
      <c r="L2366" s="3576"/>
      <c r="M2366" s="3806"/>
      <c r="N2366" s="651"/>
      <c r="O2366" s="4708"/>
      <c r="P2366" s="3819"/>
      <c r="Q2366" s="127">
        <v>176532.95</v>
      </c>
      <c r="R2366" s="128" t="s">
        <v>4603</v>
      </c>
      <c r="S2366" s="3615">
        <v>45947</v>
      </c>
      <c r="T2366" s="127">
        <v>176532.95</v>
      </c>
      <c r="U2366" s="3615">
        <v>45947</v>
      </c>
      <c r="V2366" s="127">
        <v>176532.95</v>
      </c>
      <c r="W2366" s="3615">
        <v>45951</v>
      </c>
      <c r="X2366" s="127">
        <v>176532.95</v>
      </c>
      <c r="Y2366" s="3615">
        <v>45989</v>
      </c>
      <c r="Z2366" s="3709"/>
      <c r="AA2366" s="4778" t="s">
        <v>7525</v>
      </c>
      <c r="AB2366" s="3846"/>
      <c r="AC2366" s="3846"/>
      <c r="AD2366" s="3846"/>
      <c r="AE2366" s="3846"/>
      <c r="AF2366" s="3846"/>
      <c r="AG2366" s="3846"/>
      <c r="AH2366" s="3851"/>
      <c r="AI2366" s="3851"/>
    </row>
    <row r="2367" s="29" customFormat="1" ht="37.5" customHeight="1" spans="1:35">
      <c r="A2367" s="3576"/>
      <c r="B2367" s="3805"/>
      <c r="C2367" s="3807"/>
      <c r="D2367" s="3806"/>
      <c r="E2367" s="3806"/>
      <c r="F2367" s="3810"/>
      <c r="G2367" s="3806"/>
      <c r="H2367" s="3806"/>
      <c r="I2367" s="3747"/>
      <c r="J2367" s="3747"/>
      <c r="K2367" s="3812"/>
      <c r="L2367" s="3576"/>
      <c r="M2367" s="3806"/>
      <c r="N2367" s="1067"/>
      <c r="O2367" s="4708"/>
      <c r="P2367" s="3821"/>
      <c r="Q2367" s="3832"/>
      <c r="R2367" s="128"/>
      <c r="S2367" s="3615"/>
      <c r="T2367" s="3832"/>
      <c r="U2367" s="3842"/>
      <c r="V2367" s="3841"/>
      <c r="W2367" s="3615"/>
      <c r="X2367" s="3841"/>
      <c r="Y2367" s="3615"/>
      <c r="Z2367" s="3709"/>
      <c r="AA2367" s="280"/>
      <c r="AB2367" s="3846"/>
      <c r="AC2367" s="3846"/>
      <c r="AD2367" s="3846"/>
      <c r="AE2367" s="3846"/>
      <c r="AF2367" s="3846"/>
      <c r="AG2367" s="3846"/>
      <c r="AH2367" s="3851"/>
      <c r="AI2367" s="3851"/>
    </row>
    <row r="2368" s="29" customFormat="1" ht="37.5" customHeight="1" spans="1:35">
      <c r="A2368" s="3576"/>
      <c r="B2368" s="3805"/>
      <c r="C2368" s="3807"/>
      <c r="D2368" s="3806"/>
      <c r="E2368" s="3806"/>
      <c r="F2368" s="3810"/>
      <c r="G2368" s="3806"/>
      <c r="H2368" s="3806"/>
      <c r="I2368" s="3747"/>
      <c r="J2368" s="3747"/>
      <c r="K2368" s="3812"/>
      <c r="L2368" s="3576"/>
      <c r="M2368" s="3806"/>
      <c r="N2368" s="647" t="s">
        <v>5068</v>
      </c>
      <c r="O2368" s="4708">
        <v>0.2</v>
      </c>
      <c r="P2368" s="3817">
        <f>2185056*O2368</f>
        <v>437011.2</v>
      </c>
      <c r="Q2368" s="647">
        <v>86762.59</v>
      </c>
      <c r="R2368" s="149" t="s">
        <v>4603</v>
      </c>
      <c r="S2368" s="3803">
        <v>45362</v>
      </c>
      <c r="T2368" s="647">
        <v>86762.59</v>
      </c>
      <c r="U2368" s="3803">
        <v>45362</v>
      </c>
      <c r="V2368" s="3841">
        <v>43381.3</v>
      </c>
      <c r="W2368" s="3615">
        <v>45603</v>
      </c>
      <c r="X2368" s="3841">
        <v>43381.3</v>
      </c>
      <c r="Y2368" s="3615">
        <v>45624</v>
      </c>
      <c r="Z2368" s="3709"/>
      <c r="AA2368" s="4779" t="s">
        <v>3898</v>
      </c>
      <c r="AB2368" s="3846"/>
      <c r="AC2368" s="3846"/>
      <c r="AD2368" s="3846"/>
      <c r="AE2368" s="3846"/>
      <c r="AF2368" s="3846"/>
      <c r="AG2368" s="3846"/>
      <c r="AH2368" s="3851"/>
      <c r="AI2368" s="3851"/>
    </row>
    <row r="2369" s="29" customFormat="1" ht="37.5" customHeight="1" spans="1:35">
      <c r="A2369" s="3576"/>
      <c r="B2369" s="3805"/>
      <c r="C2369" s="3807"/>
      <c r="D2369" s="3806"/>
      <c r="E2369" s="3806"/>
      <c r="F2369" s="3810"/>
      <c r="G2369" s="3806"/>
      <c r="H2369" s="3806"/>
      <c r="I2369" s="3747"/>
      <c r="J2369" s="3747"/>
      <c r="K2369" s="3812"/>
      <c r="L2369" s="3576"/>
      <c r="M2369" s="3806"/>
      <c r="N2369" s="651"/>
      <c r="O2369" s="4708"/>
      <c r="P2369" s="3819"/>
      <c r="Q2369" s="1067"/>
      <c r="R2369" s="152"/>
      <c r="S2369" s="3830"/>
      <c r="T2369" s="1067"/>
      <c r="U2369" s="3830"/>
      <c r="V2369" s="3841">
        <f>T2368-V2368</f>
        <v>43381.29</v>
      </c>
      <c r="W2369" s="3803">
        <v>45545</v>
      </c>
      <c r="X2369" s="3841">
        <v>43381.29</v>
      </c>
      <c r="Y2369" s="3803">
        <v>45562</v>
      </c>
      <c r="Z2369" s="3709"/>
      <c r="AA2369" s="4825"/>
      <c r="AB2369" s="3846"/>
      <c r="AC2369" s="3846"/>
      <c r="AD2369" s="3846"/>
      <c r="AE2369" s="3846"/>
      <c r="AF2369" s="3846"/>
      <c r="AG2369" s="3846"/>
      <c r="AH2369" s="3851"/>
      <c r="AI2369" s="3851"/>
    </row>
    <row r="2370" s="29" customFormat="1" ht="37.5" customHeight="1" spans="1:35">
      <c r="A2370" s="3576"/>
      <c r="B2370" s="3805"/>
      <c r="C2370" s="3807"/>
      <c r="D2370" s="3806"/>
      <c r="E2370" s="3806"/>
      <c r="F2370" s="3810"/>
      <c r="G2370" s="3806"/>
      <c r="H2370" s="3806"/>
      <c r="I2370" s="3747"/>
      <c r="J2370" s="3747"/>
      <c r="K2370" s="3812"/>
      <c r="L2370" s="3576"/>
      <c r="M2370" s="3806"/>
      <c r="N2370" s="651"/>
      <c r="O2370" s="4708"/>
      <c r="P2370" s="3819"/>
      <c r="Q2370" s="647">
        <f>124964.3-43381.29</f>
        <v>81583.01</v>
      </c>
      <c r="R2370" s="149" t="s">
        <v>4603</v>
      </c>
      <c r="S2370" s="3803">
        <v>45608</v>
      </c>
      <c r="T2370" s="647">
        <f>124964.3-43381.29</f>
        <v>81583.01</v>
      </c>
      <c r="U2370" s="3615">
        <v>45608</v>
      </c>
      <c r="V2370" s="3841">
        <v>61696.93</v>
      </c>
      <c r="W2370" s="3615">
        <v>45636</v>
      </c>
      <c r="X2370" s="3841">
        <v>61696.93</v>
      </c>
      <c r="Y2370" s="3615">
        <v>45650</v>
      </c>
      <c r="Z2370" s="3709"/>
      <c r="AA2370" s="4826"/>
      <c r="AB2370" s="3846"/>
      <c r="AC2370" s="3846"/>
      <c r="AD2370" s="3846"/>
      <c r="AE2370" s="3846"/>
      <c r="AF2370" s="3846"/>
      <c r="AG2370" s="3846"/>
      <c r="AH2370" s="3851"/>
      <c r="AI2370" s="3851"/>
    </row>
    <row r="2371" s="29" customFormat="1" ht="37.5" customHeight="1" spans="1:35">
      <c r="A2371" s="3576"/>
      <c r="B2371" s="3805"/>
      <c r="C2371" s="3807"/>
      <c r="D2371" s="3806"/>
      <c r="E2371" s="3806"/>
      <c r="F2371" s="3810"/>
      <c r="G2371" s="3806"/>
      <c r="H2371" s="3806"/>
      <c r="I2371" s="3747"/>
      <c r="J2371" s="3747"/>
      <c r="K2371" s="3812"/>
      <c r="L2371" s="3576"/>
      <c r="M2371" s="3806"/>
      <c r="N2371" s="651"/>
      <c r="O2371" s="4708"/>
      <c r="P2371" s="3819"/>
      <c r="Q2371" s="1067"/>
      <c r="R2371" s="152"/>
      <c r="S2371" s="3830"/>
      <c r="T2371" s="1067"/>
      <c r="U2371" s="3615"/>
      <c r="V2371" s="3841">
        <f>T2370-V2370</f>
        <v>19886.08</v>
      </c>
      <c r="W2371" s="3803">
        <v>45545</v>
      </c>
      <c r="X2371" s="3841">
        <v>19886.08</v>
      </c>
      <c r="Y2371" s="3803">
        <v>45562</v>
      </c>
      <c r="Z2371" s="3709"/>
      <c r="AA2371" s="4825" t="s">
        <v>7525</v>
      </c>
      <c r="AB2371" s="3846"/>
      <c r="AC2371" s="3846"/>
      <c r="AD2371" s="3846"/>
      <c r="AE2371" s="3846"/>
      <c r="AF2371" s="3846"/>
      <c r="AG2371" s="3846"/>
      <c r="AH2371" s="3851"/>
      <c r="AI2371" s="3851"/>
    </row>
    <row r="2372" s="29" customFormat="1" ht="37.5" customHeight="1" spans="1:35">
      <c r="A2372" s="3576"/>
      <c r="B2372" s="3805"/>
      <c r="C2372" s="3807"/>
      <c r="D2372" s="3806"/>
      <c r="E2372" s="3806"/>
      <c r="F2372" s="3810"/>
      <c r="G2372" s="3806"/>
      <c r="H2372" s="3806"/>
      <c r="I2372" s="3747"/>
      <c r="J2372" s="3747"/>
      <c r="K2372" s="3812"/>
      <c r="L2372" s="3576"/>
      <c r="M2372" s="3806"/>
      <c r="N2372" s="651"/>
      <c r="O2372" s="4708"/>
      <c r="P2372" s="3819"/>
      <c r="Q2372" s="651">
        <v>235377.26</v>
      </c>
      <c r="R2372" s="151" t="s">
        <v>4603</v>
      </c>
      <c r="S2372" s="4795">
        <v>45947</v>
      </c>
      <c r="T2372" s="651">
        <v>235377.26</v>
      </c>
      <c r="U2372" s="3442">
        <v>45947</v>
      </c>
      <c r="V2372" s="647">
        <v>235377.26</v>
      </c>
      <c r="W2372" s="3442">
        <v>45951</v>
      </c>
      <c r="X2372" s="3310">
        <v>146934.1</v>
      </c>
      <c r="Y2372" s="3837">
        <v>45989</v>
      </c>
      <c r="Z2372" s="3709"/>
      <c r="AA2372" s="4825"/>
      <c r="AB2372" s="3846"/>
      <c r="AC2372" s="3846"/>
      <c r="AD2372" s="3846"/>
      <c r="AE2372" s="3846"/>
      <c r="AF2372" s="3846"/>
      <c r="AG2372" s="3846"/>
      <c r="AH2372" s="3851"/>
      <c r="AI2372" s="3851"/>
    </row>
    <row r="2373" s="29" customFormat="1" ht="37.5" customHeight="1" spans="1:35">
      <c r="A2373" s="3576"/>
      <c r="B2373" s="3805"/>
      <c r="C2373" s="3807"/>
      <c r="D2373" s="3806"/>
      <c r="E2373" s="3806"/>
      <c r="F2373" s="3810"/>
      <c r="G2373" s="3806"/>
      <c r="H2373" s="3806"/>
      <c r="I2373" s="3747"/>
      <c r="J2373" s="3747"/>
      <c r="K2373" s="3812"/>
      <c r="L2373" s="3576"/>
      <c r="M2373" s="3806"/>
      <c r="N2373" s="1067"/>
      <c r="O2373" s="4708"/>
      <c r="P2373" s="3821"/>
      <c r="Q2373" s="1067"/>
      <c r="R2373" s="152"/>
      <c r="S2373" s="3444"/>
      <c r="T2373" s="1067"/>
      <c r="U2373" s="3444"/>
      <c r="V2373" s="1067"/>
      <c r="W2373" s="3444"/>
      <c r="X2373" s="4799">
        <v>88443.16</v>
      </c>
      <c r="Y2373" s="3616">
        <v>46021</v>
      </c>
      <c r="Z2373" s="3709"/>
      <c r="AA2373" s="4826"/>
      <c r="AB2373" s="3846"/>
      <c r="AC2373" s="3846"/>
      <c r="AD2373" s="3846"/>
      <c r="AE2373" s="3846"/>
      <c r="AF2373" s="3846"/>
      <c r="AG2373" s="3846"/>
      <c r="AH2373" s="3851"/>
      <c r="AI2373" s="3851"/>
    </row>
    <row r="2374" s="29" customFormat="1" ht="37.5" customHeight="1" spans="1:35">
      <c r="A2374" s="3576"/>
      <c r="B2374" s="3805"/>
      <c r="C2374" s="3807"/>
      <c r="D2374" s="3806"/>
      <c r="E2374" s="3806"/>
      <c r="F2374" s="3810"/>
      <c r="G2374" s="3806"/>
      <c r="H2374" s="3806"/>
      <c r="I2374" s="3747"/>
      <c r="J2374" s="3747"/>
      <c r="K2374" s="3812"/>
      <c r="L2374" s="3576"/>
      <c r="M2374" s="3806"/>
      <c r="N2374" s="647" t="s">
        <v>5065</v>
      </c>
      <c r="O2374" s="4708">
        <v>0.2</v>
      </c>
      <c r="P2374" s="3817">
        <f>2185056*O2374</f>
        <v>437011.2</v>
      </c>
      <c r="Q2374" s="3834">
        <v>124752</v>
      </c>
      <c r="R2374" s="128" t="s">
        <v>4603</v>
      </c>
      <c r="S2374" s="3615">
        <v>45771</v>
      </c>
      <c r="T2374" s="4796">
        <v>168345.6</v>
      </c>
      <c r="U2374" s="3615">
        <v>45771</v>
      </c>
      <c r="V2374" s="4775">
        <v>124752</v>
      </c>
      <c r="W2374" s="3615">
        <v>45791</v>
      </c>
      <c r="X2374" s="4775">
        <v>124752</v>
      </c>
      <c r="Y2374" s="3615">
        <v>45804</v>
      </c>
      <c r="Z2374" s="3709"/>
      <c r="AA2374" s="3892" t="s">
        <v>3900</v>
      </c>
      <c r="AB2374" s="3846"/>
      <c r="AC2374" s="3846"/>
      <c r="AD2374" s="3846"/>
      <c r="AE2374" s="3846"/>
      <c r="AF2374" s="3846"/>
      <c r="AG2374" s="3846"/>
      <c r="AH2374" s="3851"/>
      <c r="AI2374" s="3851"/>
    </row>
    <row r="2375" s="29" customFormat="1" ht="37.5" customHeight="1" spans="1:35">
      <c r="A2375" s="3576"/>
      <c r="B2375" s="3805"/>
      <c r="C2375" s="3807"/>
      <c r="D2375" s="3806"/>
      <c r="E2375" s="3806"/>
      <c r="F2375" s="3810"/>
      <c r="G2375" s="3806"/>
      <c r="H2375" s="3806"/>
      <c r="I2375" s="3747"/>
      <c r="J2375" s="3747"/>
      <c r="K2375" s="3812"/>
      <c r="L2375" s="3576"/>
      <c r="M2375" s="3806"/>
      <c r="N2375" s="651"/>
      <c r="O2375" s="4708"/>
      <c r="P2375" s="3819"/>
      <c r="Q2375" s="3834">
        <v>43593.6</v>
      </c>
      <c r="R2375" s="128" t="s">
        <v>4603</v>
      </c>
      <c r="S2375" s="3615">
        <v>45771</v>
      </c>
      <c r="T2375" s="4797"/>
      <c r="U2375" s="3615">
        <v>45771</v>
      </c>
      <c r="V2375" s="4775">
        <v>43593.6</v>
      </c>
      <c r="W2375" s="3615">
        <v>45848</v>
      </c>
      <c r="X2375" s="3841">
        <v>43593.6</v>
      </c>
      <c r="Y2375" s="3615">
        <v>45868</v>
      </c>
      <c r="Z2375" s="3709"/>
      <c r="AA2375" s="3892" t="s">
        <v>3901</v>
      </c>
      <c r="AB2375" s="3846"/>
      <c r="AC2375" s="3846"/>
      <c r="AD2375" s="3846"/>
      <c r="AE2375" s="3846"/>
      <c r="AF2375" s="3846"/>
      <c r="AG2375" s="3846"/>
      <c r="AH2375" s="3851"/>
      <c r="AI2375" s="3851"/>
    </row>
    <row r="2376" s="29" customFormat="1" ht="37.5" customHeight="1" spans="1:35">
      <c r="A2376" s="3576"/>
      <c r="B2376" s="3805"/>
      <c r="C2376" s="3807"/>
      <c r="D2376" s="3806"/>
      <c r="E2376" s="3806"/>
      <c r="F2376" s="3810"/>
      <c r="G2376" s="3806"/>
      <c r="H2376" s="3806"/>
      <c r="I2376" s="3747"/>
      <c r="J2376" s="3747"/>
      <c r="K2376" s="3812"/>
      <c r="L2376" s="3576"/>
      <c r="M2376" s="3806"/>
      <c r="N2376" s="1067"/>
      <c r="O2376" s="4708"/>
      <c r="P2376" s="3821"/>
      <c r="Q2376" s="3310">
        <v>235377.26</v>
      </c>
      <c r="R2376" s="74" t="s">
        <v>4603</v>
      </c>
      <c r="S2376" s="4798">
        <v>45999</v>
      </c>
      <c r="T2376" s="4799">
        <v>235377.26</v>
      </c>
      <c r="U2376" s="4819">
        <v>45999</v>
      </c>
      <c r="V2376" s="4799">
        <v>235377.26</v>
      </c>
      <c r="W2376" s="313"/>
      <c r="X2376" s="4799">
        <v>235377.26</v>
      </c>
      <c r="Y2376" s="3440">
        <v>46081</v>
      </c>
      <c r="Z2376" s="3709"/>
      <c r="AA2376" s="3892" t="s">
        <v>7525</v>
      </c>
      <c r="AB2376" s="3846"/>
      <c r="AC2376" s="3846"/>
      <c r="AD2376" s="3846"/>
      <c r="AE2376" s="3846"/>
      <c r="AF2376" s="3846"/>
      <c r="AG2376" s="3846"/>
      <c r="AH2376" s="3851"/>
      <c r="AI2376" s="3851"/>
    </row>
    <row r="2377" s="29" customFormat="1" ht="37.5" customHeight="1" spans="1:35">
      <c r="A2377" s="3576"/>
      <c r="B2377" s="3805"/>
      <c r="C2377" s="3807"/>
      <c r="D2377" s="3806"/>
      <c r="E2377" s="3806"/>
      <c r="F2377" s="3810"/>
      <c r="G2377" s="3806"/>
      <c r="H2377" s="3806"/>
      <c r="I2377" s="3747"/>
      <c r="J2377" s="3747"/>
      <c r="K2377" s="3812"/>
      <c r="L2377" s="3576"/>
      <c r="M2377" s="3853"/>
      <c r="N2377" s="185" t="s">
        <v>5070</v>
      </c>
      <c r="O2377" s="4708">
        <v>0.05</v>
      </c>
      <c r="P2377" s="837">
        <f>2185056*O2377</f>
        <v>109252.8</v>
      </c>
      <c r="Q2377" s="3833"/>
      <c r="R2377" s="280"/>
      <c r="S2377" s="3584"/>
      <c r="T2377" s="3832"/>
      <c r="U2377" s="3842"/>
      <c r="V2377" s="3841"/>
      <c r="W2377" s="3615"/>
      <c r="X2377" s="3841"/>
      <c r="Y2377" s="3615"/>
      <c r="Z2377" s="3709"/>
      <c r="AA2377" s="280"/>
      <c r="AB2377" s="3846"/>
      <c r="AC2377" s="3846"/>
      <c r="AD2377" s="3846"/>
      <c r="AE2377" s="3846"/>
      <c r="AF2377" s="3846"/>
      <c r="AG2377" s="3846"/>
      <c r="AH2377" s="3851"/>
      <c r="AI2377" s="3851"/>
    </row>
    <row r="2378" s="29" customFormat="1" ht="37.5" customHeight="1" spans="1:35">
      <c r="A2378" s="3576"/>
      <c r="B2378" s="3805"/>
      <c r="C2378" s="3807"/>
      <c r="D2378" s="3806"/>
      <c r="E2378" s="3806"/>
      <c r="F2378" s="3810"/>
      <c r="G2378" s="3806"/>
      <c r="H2378" s="3806"/>
      <c r="I2378" s="3747"/>
      <c r="J2378" s="3747"/>
      <c r="K2378" s="3812"/>
      <c r="L2378" s="3576"/>
      <c r="M2378" s="127" t="s">
        <v>7513</v>
      </c>
      <c r="N2378" s="185" t="s">
        <v>5071</v>
      </c>
      <c r="O2378" s="4708">
        <v>0.05</v>
      </c>
      <c r="P2378" s="837">
        <f>2185056*O2378</f>
        <v>109252.8</v>
      </c>
      <c r="Q2378" s="3832"/>
      <c r="R2378" s="128"/>
      <c r="S2378" s="276"/>
      <c r="T2378" s="3832"/>
      <c r="U2378" s="3842"/>
      <c r="V2378" s="3841"/>
      <c r="W2378" s="3615"/>
      <c r="X2378" s="3841"/>
      <c r="Y2378" s="3615"/>
      <c r="Z2378" s="3709"/>
      <c r="AA2378" s="280"/>
      <c r="AB2378" s="3846"/>
      <c r="AC2378" s="3846"/>
      <c r="AD2378" s="3846"/>
      <c r="AE2378" s="3846"/>
      <c r="AF2378" s="3846"/>
      <c r="AG2378" s="3846"/>
      <c r="AH2378" s="3851"/>
      <c r="AI2378" s="3851"/>
    </row>
    <row r="2379" s="29" customFormat="1" ht="92" spans="1:35">
      <c r="A2379" s="3576"/>
      <c r="B2379" s="3830"/>
      <c r="C2379" s="3852"/>
      <c r="D2379" s="3853"/>
      <c r="E2379" s="3853"/>
      <c r="F2379" s="3810"/>
      <c r="G2379" s="3853"/>
      <c r="H2379" s="3853"/>
      <c r="I2379" s="3577"/>
      <c r="J2379" s="3577"/>
      <c r="K2379" s="3812"/>
      <c r="L2379" s="3576"/>
      <c r="M2379" s="128" t="s">
        <v>6237</v>
      </c>
      <c r="N2379" s="185" t="s">
        <v>7516</v>
      </c>
      <c r="O2379" s="4708">
        <v>0.1</v>
      </c>
      <c r="P2379" s="837">
        <f>K2356-P2356-P2358-P2359-P2360-P2361-P2365-P2368-P2374-P2377-P2378</f>
        <v>254901.6</v>
      </c>
      <c r="Q2379" s="3858"/>
      <c r="R2379" s="280"/>
      <c r="S2379" s="3584"/>
      <c r="T2379" s="3709"/>
      <c r="U2379" s="3709"/>
      <c r="V2379" s="3709"/>
      <c r="W2379" s="3846"/>
      <c r="X2379" s="3858"/>
      <c r="Y2379" s="282"/>
      <c r="Z2379" s="3846"/>
      <c r="AA2379" s="3709"/>
      <c r="AB2379" s="3846"/>
      <c r="AC2379" s="3846"/>
      <c r="AD2379" s="3846"/>
      <c r="AE2379" s="3846"/>
      <c r="AF2379" s="3846"/>
      <c r="AG2379" s="3846"/>
      <c r="AH2379" s="930"/>
      <c r="AI2379" s="930"/>
    </row>
    <row r="2380" s="58" customFormat="1" ht="46" spans="1:35">
      <c r="A2380" s="149" t="s">
        <v>3079</v>
      </c>
      <c r="B2380" s="3803">
        <v>45561</v>
      </c>
      <c r="C2380" s="647" t="s">
        <v>7496</v>
      </c>
      <c r="D2380" s="3769"/>
      <c r="E2380" s="647" t="s">
        <v>7526</v>
      </c>
      <c r="F2380" s="647" t="s">
        <v>7527</v>
      </c>
      <c r="G2380" s="149" t="s">
        <v>6232</v>
      </c>
      <c r="H2380" s="647" t="s">
        <v>7528</v>
      </c>
      <c r="I2380" s="3745"/>
      <c r="J2380" s="3745"/>
      <c r="K2380" s="3745">
        <v>434732.09</v>
      </c>
      <c r="L2380" s="149" t="s">
        <v>27</v>
      </c>
      <c r="M2380" s="127">
        <v>1</v>
      </c>
      <c r="N2380" s="185" t="s">
        <v>7529</v>
      </c>
      <c r="O2380" s="4708">
        <v>0.3</v>
      </c>
      <c r="P2380" s="837">
        <f>434732.09*O2380</f>
        <v>130419.627</v>
      </c>
      <c r="Q2380" s="837">
        <v>130419.63</v>
      </c>
      <c r="R2380" s="152" t="s">
        <v>4603</v>
      </c>
      <c r="S2380" s="3830">
        <v>45617</v>
      </c>
      <c r="T2380" s="837">
        <v>130419.627</v>
      </c>
      <c r="U2380" s="3830">
        <v>45617</v>
      </c>
      <c r="V2380" s="837">
        <v>130419.627</v>
      </c>
      <c r="W2380" s="3830">
        <v>45621</v>
      </c>
      <c r="X2380" s="837">
        <v>130419.627</v>
      </c>
      <c r="Y2380" s="3830">
        <v>45650</v>
      </c>
      <c r="Z2380" s="4827"/>
      <c r="AA2380" s="152" t="s">
        <v>7049</v>
      </c>
      <c r="AB2380" s="4827"/>
      <c r="AC2380" s="4820"/>
      <c r="AD2380" s="4820"/>
      <c r="AE2380" s="4820"/>
      <c r="AF2380" s="4820"/>
      <c r="AG2380" s="4820"/>
      <c r="AH2380" s="152"/>
      <c r="AI2380" s="152"/>
    </row>
    <row r="2381" s="58" customFormat="1" ht="46" spans="1:35">
      <c r="A2381" s="3747"/>
      <c r="B2381" s="3747"/>
      <c r="C2381" s="3806"/>
      <c r="D2381" s="4780"/>
      <c r="E2381" s="3747"/>
      <c r="F2381" s="3806"/>
      <c r="G2381" s="3747"/>
      <c r="H2381" s="3806"/>
      <c r="I2381" s="3747"/>
      <c r="J2381" s="3747"/>
      <c r="K2381" s="3747"/>
      <c r="L2381" s="3747"/>
      <c r="M2381" s="128">
        <v>2</v>
      </c>
      <c r="N2381" s="185" t="s">
        <v>7530</v>
      </c>
      <c r="O2381" s="4708">
        <v>0.5</v>
      </c>
      <c r="P2381" s="837">
        <f>434732.09*O2381</f>
        <v>217366.045</v>
      </c>
      <c r="Q2381" s="837">
        <v>217366.045</v>
      </c>
      <c r="R2381" s="152" t="s">
        <v>4603</v>
      </c>
      <c r="S2381" s="3830">
        <v>45668</v>
      </c>
      <c r="T2381" s="837">
        <v>217366.045</v>
      </c>
      <c r="U2381" s="3830">
        <v>45668</v>
      </c>
      <c r="V2381" s="837">
        <v>217366.045</v>
      </c>
      <c r="W2381" s="3830">
        <v>45673</v>
      </c>
      <c r="X2381" s="837">
        <v>217366.045</v>
      </c>
      <c r="Y2381" s="3830">
        <v>45681</v>
      </c>
      <c r="Z2381" s="4827"/>
      <c r="AA2381" s="152" t="s">
        <v>4806</v>
      </c>
      <c r="AB2381" s="4827"/>
      <c r="AC2381" s="4820"/>
      <c r="AD2381" s="4820"/>
      <c r="AE2381" s="4820"/>
      <c r="AF2381" s="4820"/>
      <c r="AG2381" s="4820"/>
      <c r="AH2381" s="152"/>
      <c r="AI2381" s="152"/>
    </row>
    <row r="2382" s="58" customFormat="1" ht="61" spans="1:35">
      <c r="A2382" s="3747"/>
      <c r="B2382" s="3747"/>
      <c r="C2382" s="3806"/>
      <c r="D2382" s="4780"/>
      <c r="E2382" s="3747"/>
      <c r="F2382" s="3806"/>
      <c r="G2382" s="3747"/>
      <c r="H2382" s="3806"/>
      <c r="I2382" s="3747"/>
      <c r="J2382" s="3747"/>
      <c r="K2382" s="3747"/>
      <c r="L2382" s="3747"/>
      <c r="M2382" s="128">
        <v>3</v>
      </c>
      <c r="N2382" s="185" t="s">
        <v>7531</v>
      </c>
      <c r="O2382" s="4708">
        <v>0.1</v>
      </c>
      <c r="P2382" s="837">
        <f>434732.09*O2382</f>
        <v>43473.209</v>
      </c>
      <c r="Q2382" s="837"/>
      <c r="R2382" s="152"/>
      <c r="S2382" s="3830"/>
      <c r="T2382" s="3576"/>
      <c r="U2382" s="3577"/>
      <c r="V2382" s="3576"/>
      <c r="W2382" s="4820"/>
      <c r="X2382" s="837"/>
      <c r="Y2382" s="276"/>
      <c r="Z2382" s="4827"/>
      <c r="AA2382" s="3577"/>
      <c r="AB2382" s="4827"/>
      <c r="AC2382" s="4820"/>
      <c r="AD2382" s="4820"/>
      <c r="AE2382" s="4820"/>
      <c r="AF2382" s="4820"/>
      <c r="AG2382" s="4820"/>
      <c r="AH2382" s="152"/>
      <c r="AI2382" s="152"/>
    </row>
    <row r="2383" s="58" customFormat="1" ht="61" spans="1:35">
      <c r="A2383" s="3577"/>
      <c r="B2383" s="3577"/>
      <c r="C2383" s="3853"/>
      <c r="D2383" s="4781"/>
      <c r="E2383" s="3577"/>
      <c r="F2383" s="3853"/>
      <c r="G2383" s="3577"/>
      <c r="H2383" s="3853"/>
      <c r="I2383" s="3577"/>
      <c r="J2383" s="3577"/>
      <c r="K2383" s="3577"/>
      <c r="L2383" s="3577"/>
      <c r="M2383" s="128">
        <v>4</v>
      </c>
      <c r="N2383" s="185" t="s">
        <v>7532</v>
      </c>
      <c r="O2383" s="4708">
        <v>0.1</v>
      </c>
      <c r="P2383" s="837">
        <f>434732.09*O2383</f>
        <v>43473.209</v>
      </c>
      <c r="Q2383" s="837"/>
      <c r="R2383" s="152"/>
      <c r="S2383" s="3830"/>
      <c r="T2383" s="3576"/>
      <c r="U2383" s="3577"/>
      <c r="V2383" s="3576"/>
      <c r="W2383" s="4820"/>
      <c r="X2383" s="837"/>
      <c r="Y2383" s="276"/>
      <c r="Z2383" s="4827"/>
      <c r="AA2383" s="3577"/>
      <c r="AB2383" s="4827"/>
      <c r="AC2383" s="4820"/>
      <c r="AD2383" s="4820"/>
      <c r="AE2383" s="4820"/>
      <c r="AF2383" s="4820"/>
      <c r="AG2383" s="4820"/>
      <c r="AH2383" s="152"/>
      <c r="AI2383" s="152"/>
    </row>
    <row r="2384" s="59" customFormat="1" ht="86.25" customHeight="1" spans="1:35">
      <c r="A2384" s="4782" t="s">
        <v>2570</v>
      </c>
      <c r="B2384" s="4783">
        <v>45266</v>
      </c>
      <c r="C2384" s="4782" t="s">
        <v>7088</v>
      </c>
      <c r="D2384" s="4782"/>
      <c r="E2384" s="4782" t="s">
        <v>7533</v>
      </c>
      <c r="F2384" s="4782" t="s">
        <v>7534</v>
      </c>
      <c r="G2384" s="4782" t="s">
        <v>6624</v>
      </c>
      <c r="H2384" s="4782" t="s">
        <v>6441</v>
      </c>
      <c r="I2384" s="4782"/>
      <c r="J2384" s="4782" t="s">
        <v>2887</v>
      </c>
      <c r="K2384" s="4782">
        <v>398883.57</v>
      </c>
      <c r="L2384" s="4782" t="s">
        <v>26</v>
      </c>
      <c r="M2384" s="4782">
        <v>1</v>
      </c>
      <c r="N2384" s="4782" t="s">
        <v>7535</v>
      </c>
      <c r="O2384" s="4790">
        <v>0.2</v>
      </c>
      <c r="P2384" s="4791">
        <v>79776.71</v>
      </c>
      <c r="Q2384" s="4791">
        <v>79776.71</v>
      </c>
      <c r="R2384" s="4800" t="s">
        <v>4603</v>
      </c>
      <c r="S2384" s="4800">
        <v>45273</v>
      </c>
      <c r="T2384" s="4791">
        <v>79776.71</v>
      </c>
      <c r="U2384" s="4800">
        <v>45273</v>
      </c>
      <c r="V2384" s="4791">
        <v>79776.71</v>
      </c>
      <c r="W2384" s="4821">
        <v>45268</v>
      </c>
      <c r="X2384" s="4791">
        <v>79776.71</v>
      </c>
      <c r="Y2384" s="4821">
        <v>45279</v>
      </c>
      <c r="Z2384" s="4804"/>
      <c r="AA2384" s="4828"/>
      <c r="AB2384" s="4829"/>
      <c r="AC2384" s="4835"/>
      <c r="AD2384" s="4836"/>
      <c r="AE2384" s="4836"/>
      <c r="AF2384" s="4836"/>
      <c r="AG2384" s="4836"/>
      <c r="AH2384" s="4837"/>
      <c r="AI2384" s="4836"/>
    </row>
    <row r="2385" s="59" customFormat="1" ht="85.5" customHeight="1" spans="1:35">
      <c r="A2385" s="4782"/>
      <c r="B2385" s="4784"/>
      <c r="C2385" s="4782"/>
      <c r="D2385" s="4782"/>
      <c r="E2385" s="4782"/>
      <c r="F2385" s="4782"/>
      <c r="G2385" s="4782"/>
      <c r="H2385" s="4782"/>
      <c r="I2385" s="4782"/>
      <c r="J2385" s="4782"/>
      <c r="K2385" s="4782"/>
      <c r="L2385" s="4782"/>
      <c r="M2385" s="4782">
        <v>2</v>
      </c>
      <c r="N2385" s="4782" t="s">
        <v>7536</v>
      </c>
      <c r="O2385" s="4790">
        <v>0.6</v>
      </c>
      <c r="P2385" s="4791">
        <v>239330.14</v>
      </c>
      <c r="Q2385" s="4791">
        <v>239330.14</v>
      </c>
      <c r="R2385" s="4800" t="s">
        <v>4603</v>
      </c>
      <c r="S2385" s="4800">
        <v>45273</v>
      </c>
      <c r="T2385" s="4791">
        <v>239330.14</v>
      </c>
      <c r="U2385" s="4800">
        <v>45273</v>
      </c>
      <c r="V2385" s="4791">
        <v>239330.14</v>
      </c>
      <c r="W2385" s="4821">
        <v>45268</v>
      </c>
      <c r="X2385" s="4791">
        <v>239330.14</v>
      </c>
      <c r="Y2385" s="4821">
        <v>45279</v>
      </c>
      <c r="Z2385" s="4804"/>
      <c r="AA2385" s="4828"/>
      <c r="AB2385" s="4829"/>
      <c r="AC2385" s="4835"/>
      <c r="AD2385" s="4836"/>
      <c r="AE2385" s="4836"/>
      <c r="AF2385" s="4836"/>
      <c r="AG2385" s="4836"/>
      <c r="AH2385" s="4837"/>
      <c r="AI2385" s="4836"/>
    </row>
    <row r="2386" s="59" customFormat="1" ht="84.75" customHeight="1" spans="1:35">
      <c r="A2386" s="4782"/>
      <c r="B2386" s="4785"/>
      <c r="C2386" s="4782"/>
      <c r="D2386" s="4782"/>
      <c r="E2386" s="4782"/>
      <c r="F2386" s="4782"/>
      <c r="G2386" s="4782"/>
      <c r="H2386" s="4782"/>
      <c r="I2386" s="4782"/>
      <c r="J2386" s="4782"/>
      <c r="K2386" s="4782"/>
      <c r="L2386" s="4782"/>
      <c r="M2386" s="4782">
        <v>3</v>
      </c>
      <c r="N2386" s="4782" t="s">
        <v>7537</v>
      </c>
      <c r="O2386" s="4790">
        <v>0.2</v>
      </c>
      <c r="P2386" s="4791">
        <v>79776.71</v>
      </c>
      <c r="Q2386" s="4801">
        <v>79776.71</v>
      </c>
      <c r="R2386" s="4802" t="s">
        <v>349</v>
      </c>
      <c r="S2386" s="4803">
        <v>46386</v>
      </c>
      <c r="T2386" s="4804"/>
      <c r="U2386" s="4800"/>
      <c r="V2386" s="4822"/>
      <c r="W2386" s="4821"/>
      <c r="X2386" s="4802"/>
      <c r="Y2386" s="4803"/>
      <c r="Z2386" s="4804"/>
      <c r="AA2386" s="4828"/>
      <c r="AB2386" s="4829"/>
      <c r="AC2386" s="4835"/>
      <c r="AD2386" s="4836"/>
      <c r="AE2386" s="4836"/>
      <c r="AF2386" s="4836"/>
      <c r="AG2386" s="4836"/>
      <c r="AH2386" s="4837"/>
      <c r="AI2386" s="4836"/>
    </row>
    <row r="2387" s="45" customFormat="1" ht="86.25" customHeight="1" spans="1:35">
      <c r="A2387" s="4086" t="s">
        <v>2570</v>
      </c>
      <c r="B2387" s="4280">
        <v>45266</v>
      </c>
      <c r="C2387" s="4086" t="s">
        <v>7088</v>
      </c>
      <c r="D2387" s="4086" t="s">
        <v>171</v>
      </c>
      <c r="E2387" s="4086" t="s">
        <v>7538</v>
      </c>
      <c r="F2387" s="4086" t="s">
        <v>7539</v>
      </c>
      <c r="G2387" s="4789" t="s">
        <v>3469</v>
      </c>
      <c r="H2387" s="4086" t="s">
        <v>6117</v>
      </c>
      <c r="I2387" s="4011"/>
      <c r="J2387" s="4011" t="s">
        <v>2887</v>
      </c>
      <c r="K2387" s="4011">
        <v>328000</v>
      </c>
      <c r="L2387" s="4011" t="s">
        <v>126</v>
      </c>
      <c r="M2387" s="4011">
        <v>1</v>
      </c>
      <c r="N2387" s="4792" t="s">
        <v>7540</v>
      </c>
      <c r="O2387" s="4793">
        <v>0.15</v>
      </c>
      <c r="P2387" s="4331">
        <v>49200</v>
      </c>
      <c r="Q2387" s="4331">
        <v>49200</v>
      </c>
      <c r="R2387" s="4805" t="s">
        <v>4603</v>
      </c>
      <c r="S2387" s="4805">
        <v>45280</v>
      </c>
      <c r="T2387" s="4331">
        <v>49200</v>
      </c>
      <c r="U2387" s="4805">
        <v>45280</v>
      </c>
      <c r="V2387" s="4331">
        <v>49200</v>
      </c>
      <c r="W2387" s="4359">
        <v>45295</v>
      </c>
      <c r="X2387" s="4331">
        <v>49200</v>
      </c>
      <c r="Y2387" s="4359">
        <v>45316</v>
      </c>
      <c r="Z2387" s="658"/>
      <c r="AA2387" s="4362"/>
      <c r="AB2387" s="4363"/>
      <c r="AC2387" s="4365"/>
      <c r="AD2387" s="346"/>
      <c r="AE2387" s="346"/>
      <c r="AF2387" s="346"/>
      <c r="AG2387" s="346"/>
      <c r="AH2387" s="4043"/>
      <c r="AI2387" s="346"/>
    </row>
    <row r="2388" s="45" customFormat="1" ht="85.5" customHeight="1" spans="1:35">
      <c r="A2388" s="4086"/>
      <c r="B2388" s="4280"/>
      <c r="C2388" s="4086"/>
      <c r="D2388" s="4086"/>
      <c r="E2388" s="4086"/>
      <c r="F2388" s="4086"/>
      <c r="G2388" s="36"/>
      <c r="H2388" s="4086"/>
      <c r="I2388" s="4011"/>
      <c r="J2388" s="4011"/>
      <c r="K2388" s="4011"/>
      <c r="L2388" s="4011"/>
      <c r="M2388" s="4011">
        <v>2</v>
      </c>
      <c r="N2388" s="4792" t="s">
        <v>7541</v>
      </c>
      <c r="O2388" s="4793">
        <v>0.65</v>
      </c>
      <c r="P2388" s="4331">
        <v>213200</v>
      </c>
      <c r="Q2388" s="4331">
        <v>213200</v>
      </c>
      <c r="R2388" s="4805" t="s">
        <v>4603</v>
      </c>
      <c r="S2388" s="4805">
        <v>45280</v>
      </c>
      <c r="T2388" s="4331">
        <v>213200</v>
      </c>
      <c r="U2388" s="4805">
        <v>45280</v>
      </c>
      <c r="V2388" s="4331">
        <v>213200</v>
      </c>
      <c r="W2388" s="4359">
        <v>45791</v>
      </c>
      <c r="X2388" s="4823">
        <v>213200</v>
      </c>
      <c r="Y2388" s="4359">
        <v>45804</v>
      </c>
      <c r="Z2388" s="658"/>
      <c r="AA2388" s="4362"/>
      <c r="AB2388" s="4363"/>
      <c r="AC2388" s="4365"/>
      <c r="AD2388" s="346"/>
      <c r="AE2388" s="346"/>
      <c r="AF2388" s="346"/>
      <c r="AG2388" s="346"/>
      <c r="AH2388" s="4043"/>
      <c r="AI2388" s="346"/>
    </row>
    <row r="2389" s="45" customFormat="1" ht="84.75" customHeight="1" spans="1:35">
      <c r="A2389" s="684"/>
      <c r="B2389" s="4281"/>
      <c r="C2389" s="684"/>
      <c r="D2389" s="684"/>
      <c r="E2389" s="684"/>
      <c r="F2389" s="4086"/>
      <c r="G2389" s="36"/>
      <c r="H2389" s="4086"/>
      <c r="I2389" s="4010"/>
      <c r="J2389" s="4010"/>
      <c r="K2389" s="4010"/>
      <c r="L2389" s="4010"/>
      <c r="M2389" s="4011">
        <v>3</v>
      </c>
      <c r="N2389" s="4792" t="s">
        <v>7542</v>
      </c>
      <c r="O2389" s="4793">
        <v>0.2</v>
      </c>
      <c r="P2389" s="4331">
        <v>65600</v>
      </c>
      <c r="Q2389" s="4806">
        <v>65600</v>
      </c>
      <c r="R2389" s="4807" t="s">
        <v>349</v>
      </c>
      <c r="S2389" s="4808">
        <v>46386</v>
      </c>
      <c r="T2389" s="658"/>
      <c r="U2389" s="4805"/>
      <c r="V2389" s="964"/>
      <c r="W2389" s="4359"/>
      <c r="X2389" s="4807"/>
      <c r="Y2389" s="4808"/>
      <c r="Z2389" s="658"/>
      <c r="AA2389" s="4362"/>
      <c r="AB2389" s="4363"/>
      <c r="AC2389" s="4365"/>
      <c r="AD2389" s="346"/>
      <c r="AE2389" s="346"/>
      <c r="AF2389" s="346"/>
      <c r="AG2389" s="346"/>
      <c r="AH2389" s="4043"/>
      <c r="AI2389" s="346"/>
    </row>
    <row r="2390" s="4" customFormat="1" ht="84.75" customHeight="1" spans="1:35">
      <c r="A2390" s="1817" t="s">
        <v>2570</v>
      </c>
      <c r="B2390" s="3896">
        <v>45692</v>
      </c>
      <c r="C2390" s="1817" t="s">
        <v>7088</v>
      </c>
      <c r="D2390" s="1817" t="s">
        <v>171</v>
      </c>
      <c r="E2390" s="1817" t="s">
        <v>7543</v>
      </c>
      <c r="F2390" s="2068" t="s">
        <v>7544</v>
      </c>
      <c r="G2390" s="1768" t="s">
        <v>4338</v>
      </c>
      <c r="H2390" s="2068" t="s">
        <v>6293</v>
      </c>
      <c r="I2390" s="2068"/>
      <c r="J2390" s="2068" t="s">
        <v>2887</v>
      </c>
      <c r="K2390" s="2068">
        <v>80000</v>
      </c>
      <c r="L2390" s="1499" t="s">
        <v>126</v>
      </c>
      <c r="M2390" s="1499">
        <v>1</v>
      </c>
      <c r="N2390" s="2347" t="s">
        <v>7545</v>
      </c>
      <c r="O2390" s="3683">
        <v>0.2</v>
      </c>
      <c r="P2390" s="4794">
        <v>16000</v>
      </c>
      <c r="Q2390" s="4809">
        <v>16000</v>
      </c>
      <c r="R2390" s="4810" t="s">
        <v>4603</v>
      </c>
      <c r="S2390" s="4758">
        <v>45728</v>
      </c>
      <c r="T2390" s="1772">
        <v>16000</v>
      </c>
      <c r="U2390" s="2391">
        <v>45728</v>
      </c>
      <c r="V2390" s="336">
        <v>16000</v>
      </c>
      <c r="W2390" s="1662">
        <v>45729</v>
      </c>
      <c r="X2390" s="4810">
        <v>16000</v>
      </c>
      <c r="Y2390" s="2391">
        <v>45743</v>
      </c>
      <c r="Z2390" s="1772"/>
      <c r="AA2390" s="4830"/>
      <c r="AB2390" s="4831"/>
      <c r="AC2390" s="1705"/>
      <c r="AD2390" s="339"/>
      <c r="AE2390" s="339"/>
      <c r="AF2390" s="339"/>
      <c r="AG2390" s="339"/>
      <c r="AH2390" s="404"/>
      <c r="AI2390" s="339"/>
    </row>
    <row r="2391" s="4" customFormat="1" ht="84.75" customHeight="1" spans="1:35">
      <c r="A2391" s="1817"/>
      <c r="B2391" s="3896"/>
      <c r="C2391" s="1817"/>
      <c r="D2391" s="1817"/>
      <c r="E2391" s="1817"/>
      <c r="F2391" s="1817"/>
      <c r="G2391" s="3508"/>
      <c r="H2391" s="1817"/>
      <c r="I2391" s="1817"/>
      <c r="J2391" s="1817"/>
      <c r="K2391" s="1817"/>
      <c r="L2391" s="1499"/>
      <c r="M2391" s="1499">
        <v>2</v>
      </c>
      <c r="N2391" s="2347" t="s">
        <v>7546</v>
      </c>
      <c r="O2391" s="3683">
        <v>0.6</v>
      </c>
      <c r="P2391" s="4794">
        <v>48000</v>
      </c>
      <c r="Q2391" s="4809">
        <v>48000</v>
      </c>
      <c r="R2391" s="4810" t="s">
        <v>4603</v>
      </c>
      <c r="S2391" s="4758">
        <v>45728</v>
      </c>
      <c r="T2391" s="1772">
        <v>48000</v>
      </c>
      <c r="U2391" s="2391">
        <v>45728</v>
      </c>
      <c r="V2391" s="336">
        <v>48000</v>
      </c>
      <c r="W2391" s="1662">
        <v>45729</v>
      </c>
      <c r="X2391" s="4810">
        <v>48000</v>
      </c>
      <c r="Y2391" s="2391">
        <v>45743</v>
      </c>
      <c r="Z2391" s="1772"/>
      <c r="AA2391" s="4830"/>
      <c r="AB2391" s="4831"/>
      <c r="AC2391" s="1705"/>
      <c r="AD2391" s="339"/>
      <c r="AE2391" s="339"/>
      <c r="AF2391" s="339"/>
      <c r="AG2391" s="339"/>
      <c r="AH2391" s="404"/>
      <c r="AI2391" s="339"/>
    </row>
    <row r="2392" s="4" customFormat="1" ht="84.75" customHeight="1" spans="1:35">
      <c r="A2392" s="1817"/>
      <c r="B2392" s="3896"/>
      <c r="C2392" s="1817"/>
      <c r="D2392" s="1817"/>
      <c r="E2392" s="1817"/>
      <c r="F2392" s="2161"/>
      <c r="G2392" s="3681"/>
      <c r="H2392" s="2161"/>
      <c r="I2392" s="2161"/>
      <c r="J2392" s="2161"/>
      <c r="K2392" s="2161"/>
      <c r="L2392" s="1499"/>
      <c r="M2392" s="1499">
        <v>3</v>
      </c>
      <c r="N2392" s="2347" t="s">
        <v>7547</v>
      </c>
      <c r="O2392" s="3683">
        <v>0.2</v>
      </c>
      <c r="P2392" s="4794">
        <v>16000</v>
      </c>
      <c r="Q2392" s="4811">
        <v>16000</v>
      </c>
      <c r="R2392" s="4766" t="s">
        <v>349</v>
      </c>
      <c r="S2392" s="4812">
        <v>46386</v>
      </c>
      <c r="T2392" s="1772"/>
      <c r="U2392" s="2391"/>
      <c r="V2392" s="336"/>
      <c r="W2392" s="1662"/>
      <c r="X2392" s="4766"/>
      <c r="Y2392" s="4812"/>
      <c r="Z2392" s="1772"/>
      <c r="AA2392" s="4830"/>
      <c r="AB2392" s="4831"/>
      <c r="AC2392" s="1705"/>
      <c r="AD2392" s="339"/>
      <c r="AE2392" s="339"/>
      <c r="AF2392" s="339"/>
      <c r="AG2392" s="339"/>
      <c r="AH2392" s="404"/>
      <c r="AI2392" s="339"/>
    </row>
    <row r="2393" s="45" customFormat="1" ht="84.75" customHeight="1" spans="1:35">
      <c r="A2393" s="4086" t="s">
        <v>2570</v>
      </c>
      <c r="B2393" s="4280">
        <v>45286</v>
      </c>
      <c r="C2393" s="4086" t="s">
        <v>7088</v>
      </c>
      <c r="D2393" s="4086" t="s">
        <v>171</v>
      </c>
      <c r="E2393" s="4086" t="s">
        <v>7548</v>
      </c>
      <c r="F2393" s="4086" t="s">
        <v>7549</v>
      </c>
      <c r="G2393" s="4086" t="s">
        <v>7550</v>
      </c>
      <c r="H2393" s="4086" t="s">
        <v>6758</v>
      </c>
      <c r="I2393" s="4086"/>
      <c r="J2393" s="4086" t="s">
        <v>2887</v>
      </c>
      <c r="K2393" s="4086">
        <v>590000</v>
      </c>
      <c r="L2393" s="4086" t="s">
        <v>126</v>
      </c>
      <c r="M2393" s="4011">
        <v>1</v>
      </c>
      <c r="N2393" s="4792" t="s">
        <v>7551</v>
      </c>
      <c r="O2393" s="4793">
        <v>0.2</v>
      </c>
      <c r="P2393" s="4331">
        <v>68872.32</v>
      </c>
      <c r="Q2393" s="4331">
        <v>68872.32</v>
      </c>
      <c r="R2393" s="4098" t="s">
        <v>4603</v>
      </c>
      <c r="S2393" s="4351">
        <v>45288</v>
      </c>
      <c r="T2393" s="4331">
        <v>68872.32</v>
      </c>
      <c r="U2393" s="4351">
        <v>45288</v>
      </c>
      <c r="V2393" s="4331">
        <v>68872.32</v>
      </c>
      <c r="W2393" s="4359">
        <v>45296</v>
      </c>
      <c r="X2393" s="4331">
        <v>68872.32</v>
      </c>
      <c r="Y2393" s="4351">
        <v>45313</v>
      </c>
      <c r="Z2393" s="658"/>
      <c r="AA2393" s="4362"/>
      <c r="AB2393" s="4363"/>
      <c r="AC2393" s="4365"/>
      <c r="AD2393" s="346"/>
      <c r="AE2393" s="346"/>
      <c r="AF2393" s="346"/>
      <c r="AG2393" s="346"/>
      <c r="AH2393" s="4043"/>
      <c r="AI2393" s="346"/>
    </row>
    <row r="2394" s="45" customFormat="1" ht="84.75" customHeight="1" spans="1:35">
      <c r="A2394" s="4086"/>
      <c r="B2394" s="4280"/>
      <c r="C2394" s="4086"/>
      <c r="D2394" s="4086"/>
      <c r="E2394" s="4086"/>
      <c r="F2394" s="4086"/>
      <c r="G2394" s="4086"/>
      <c r="H2394" s="4086"/>
      <c r="I2394" s="4086"/>
      <c r="J2394" s="4086"/>
      <c r="K2394" s="4086"/>
      <c r="L2394" s="4086"/>
      <c r="M2394" s="4011">
        <v>2</v>
      </c>
      <c r="N2394" s="4792" t="s">
        <v>7552</v>
      </c>
      <c r="O2394" s="4793">
        <v>0.8</v>
      </c>
      <c r="P2394" s="4331">
        <v>206616.97</v>
      </c>
      <c r="Q2394" s="4331">
        <v>206616.97</v>
      </c>
      <c r="R2394" s="4098" t="s">
        <v>4603</v>
      </c>
      <c r="S2394" s="4351">
        <v>45288</v>
      </c>
      <c r="T2394" s="4331">
        <v>206616.97</v>
      </c>
      <c r="U2394" s="4351">
        <v>45288</v>
      </c>
      <c r="V2394" s="4331">
        <v>206616.97</v>
      </c>
      <c r="W2394" s="4359">
        <v>45296</v>
      </c>
      <c r="X2394" s="4331">
        <v>206616.97</v>
      </c>
      <c r="Y2394" s="4351">
        <v>45313</v>
      </c>
      <c r="Z2394" s="658"/>
      <c r="AA2394" s="4362"/>
      <c r="AB2394" s="4363"/>
      <c r="AC2394" s="4365"/>
      <c r="AD2394" s="346"/>
      <c r="AE2394" s="346"/>
      <c r="AF2394" s="346"/>
      <c r="AG2394" s="346"/>
      <c r="AH2394" s="4043"/>
      <c r="AI2394" s="346"/>
    </row>
    <row r="2395" s="45" customFormat="1" ht="86.25" customHeight="1" spans="1:35">
      <c r="A2395" s="4086"/>
      <c r="B2395" s="4280"/>
      <c r="C2395" s="4086"/>
      <c r="D2395" s="4086"/>
      <c r="E2395" s="4086"/>
      <c r="F2395" s="4086"/>
      <c r="G2395" s="4086"/>
      <c r="H2395" s="4086"/>
      <c r="I2395" s="4086"/>
      <c r="J2395" s="4086"/>
      <c r="K2395" s="4086"/>
      <c r="L2395" s="4086"/>
      <c r="M2395" s="4011">
        <v>3</v>
      </c>
      <c r="N2395" s="4792" t="s">
        <v>7553</v>
      </c>
      <c r="O2395" s="4793">
        <v>0.2</v>
      </c>
      <c r="P2395" s="4331">
        <v>49127.68</v>
      </c>
      <c r="Q2395" s="4331">
        <v>49127.68</v>
      </c>
      <c r="R2395" s="4098" t="s">
        <v>4603</v>
      </c>
      <c r="S2395" s="4351">
        <v>45288</v>
      </c>
      <c r="T2395" s="4331">
        <v>49127.68</v>
      </c>
      <c r="U2395" s="4351">
        <v>45288</v>
      </c>
      <c r="V2395" s="4331">
        <v>49127.68</v>
      </c>
      <c r="W2395" s="4359">
        <v>45296</v>
      </c>
      <c r="X2395" s="4331">
        <v>49127.68</v>
      </c>
      <c r="Y2395" s="4351">
        <v>45313</v>
      </c>
      <c r="Z2395" s="658"/>
      <c r="AA2395" s="4362"/>
      <c r="AB2395" s="4363"/>
      <c r="AC2395" s="4365"/>
      <c r="AD2395" s="346"/>
      <c r="AE2395" s="346"/>
      <c r="AF2395" s="346"/>
      <c r="AG2395" s="346"/>
      <c r="AH2395" s="4043"/>
      <c r="AI2395" s="346"/>
    </row>
    <row r="2396" s="45" customFormat="1" ht="85.5" customHeight="1" spans="1:35">
      <c r="A2396" s="4086"/>
      <c r="B2396" s="4280"/>
      <c r="C2396" s="4086"/>
      <c r="D2396" s="4086"/>
      <c r="E2396" s="4086"/>
      <c r="F2396" s="4086"/>
      <c r="G2396" s="4086"/>
      <c r="H2396" s="4086"/>
      <c r="I2396" s="4086"/>
      <c r="J2396" s="4086"/>
      <c r="K2396" s="4086"/>
      <c r="L2396" s="4086"/>
      <c r="M2396" s="4011">
        <v>4</v>
      </c>
      <c r="N2396" s="4792" t="s">
        <v>7554</v>
      </c>
      <c r="O2396" s="4793">
        <v>0.8</v>
      </c>
      <c r="P2396" s="4331">
        <v>147383.03</v>
      </c>
      <c r="Q2396" s="4331">
        <v>147383.03</v>
      </c>
      <c r="R2396" s="4098" t="s">
        <v>4603</v>
      </c>
      <c r="S2396" s="4351">
        <v>45288</v>
      </c>
      <c r="T2396" s="4331">
        <v>147383.03</v>
      </c>
      <c r="U2396" s="4351">
        <v>45288</v>
      </c>
      <c r="V2396" s="4331">
        <v>147383.03</v>
      </c>
      <c r="W2396" s="4359">
        <v>45296</v>
      </c>
      <c r="X2396" s="4331">
        <v>147383.03</v>
      </c>
      <c r="Y2396" s="4351">
        <v>45313</v>
      </c>
      <c r="Z2396" s="658"/>
      <c r="AA2396" s="4362"/>
      <c r="AB2396" s="4363"/>
      <c r="AC2396" s="4365"/>
      <c r="AD2396" s="346"/>
      <c r="AE2396" s="346"/>
      <c r="AF2396" s="346"/>
      <c r="AG2396" s="346"/>
      <c r="AH2396" s="4043"/>
      <c r="AI2396" s="346"/>
    </row>
    <row r="2397" s="45" customFormat="1" ht="84.75" customHeight="1" spans="1:35">
      <c r="A2397" s="684"/>
      <c r="B2397" s="4281"/>
      <c r="C2397" s="684"/>
      <c r="D2397" s="684"/>
      <c r="E2397" s="684"/>
      <c r="F2397" s="684"/>
      <c r="G2397" s="684"/>
      <c r="H2397" s="684"/>
      <c r="I2397" s="684"/>
      <c r="J2397" s="684"/>
      <c r="K2397" s="684"/>
      <c r="L2397" s="684"/>
      <c r="M2397" s="4011">
        <v>5</v>
      </c>
      <c r="N2397" s="4792" t="s">
        <v>7555</v>
      </c>
      <c r="O2397" s="4793">
        <v>1</v>
      </c>
      <c r="P2397" s="4331">
        <v>118000</v>
      </c>
      <c r="Q2397" s="4806">
        <v>118000</v>
      </c>
      <c r="R2397" s="342" t="s">
        <v>349</v>
      </c>
      <c r="S2397" s="4367">
        <v>46386</v>
      </c>
      <c r="T2397" s="4098"/>
      <c r="U2397" s="4351"/>
      <c r="V2397" s="346"/>
      <c r="W2397" s="4359"/>
      <c r="X2397" s="342"/>
      <c r="Y2397" s="4367"/>
      <c r="Z2397" s="658"/>
      <c r="AA2397" s="4362"/>
      <c r="AB2397" s="4363"/>
      <c r="AC2397" s="4365"/>
      <c r="AD2397" s="346"/>
      <c r="AE2397" s="346"/>
      <c r="AF2397" s="346"/>
      <c r="AG2397" s="346"/>
      <c r="AH2397" s="4043"/>
      <c r="AI2397" s="346"/>
    </row>
    <row r="2398" s="58" customFormat="1" ht="31" spans="1:35">
      <c r="A2398" s="128" t="s">
        <v>173</v>
      </c>
      <c r="B2398" s="3803">
        <v>45910</v>
      </c>
      <c r="C2398" s="649" t="s">
        <v>335</v>
      </c>
      <c r="D2398" s="4786"/>
      <c r="E2398" s="647" t="s">
        <v>7556</v>
      </c>
      <c r="F2398" s="127" t="s">
        <v>7557</v>
      </c>
      <c r="G2398" s="647" t="s">
        <v>3569</v>
      </c>
      <c r="H2398" s="647" t="s">
        <v>4622</v>
      </c>
      <c r="I2398" s="3745">
        <v>34189.34</v>
      </c>
      <c r="J2398" s="3811">
        <f>K2398/I2398</f>
        <v>26.2225009315769</v>
      </c>
      <c r="K2398" s="3812">
        <v>896530</v>
      </c>
      <c r="L2398" s="128" t="s">
        <v>126</v>
      </c>
      <c r="M2398" s="3576">
        <v>1</v>
      </c>
      <c r="N2398" s="185" t="s">
        <v>5610</v>
      </c>
      <c r="O2398" s="4708">
        <v>0.2</v>
      </c>
      <c r="P2398" s="837">
        <f>K2398*O2398</f>
        <v>179306</v>
      </c>
      <c r="Q2398" s="128">
        <v>179306</v>
      </c>
      <c r="R2398" s="152" t="s">
        <v>4603</v>
      </c>
      <c r="S2398" s="3615">
        <v>45926</v>
      </c>
      <c r="T2398" s="128">
        <v>179306</v>
      </c>
      <c r="U2398" s="3615">
        <v>45926</v>
      </c>
      <c r="V2398" s="128">
        <v>179306</v>
      </c>
      <c r="W2398" s="3615">
        <v>45940</v>
      </c>
      <c r="X2398" s="128">
        <v>179306</v>
      </c>
      <c r="Y2398" s="3615">
        <v>45952</v>
      </c>
      <c r="Z2398" s="4832"/>
      <c r="AA2398" s="128"/>
      <c r="AB2398" s="4820"/>
      <c r="AC2398" s="4820"/>
      <c r="AD2398" s="4820"/>
      <c r="AE2398" s="4820"/>
      <c r="AF2398" s="4820"/>
      <c r="AG2398" s="4820"/>
      <c r="AH2398" s="149" t="s">
        <v>197</v>
      </c>
      <c r="AI2398" s="149" t="s">
        <v>154</v>
      </c>
    </row>
    <row r="2399" s="58" customFormat="1" ht="31" spans="1:35">
      <c r="A2399" s="3576"/>
      <c r="B2399" s="3805"/>
      <c r="C2399" s="3807"/>
      <c r="D2399" s="4787"/>
      <c r="E2399" s="3806"/>
      <c r="F2399" s="3810"/>
      <c r="G2399" s="3806"/>
      <c r="H2399" s="3806"/>
      <c r="I2399" s="3747"/>
      <c r="J2399" s="3813"/>
      <c r="K2399" s="3812"/>
      <c r="L2399" s="3576"/>
      <c r="M2399" s="3745">
        <v>2</v>
      </c>
      <c r="N2399" s="172" t="s">
        <v>7558</v>
      </c>
      <c r="O2399" s="4708">
        <v>0.2</v>
      </c>
      <c r="P2399" s="3817">
        <f>K2398*O2399</f>
        <v>179306</v>
      </c>
      <c r="Q2399" s="3745">
        <v>179306</v>
      </c>
      <c r="R2399" s="152" t="s">
        <v>4603</v>
      </c>
      <c r="S2399" s="3615">
        <v>45926</v>
      </c>
      <c r="T2399" s="3745">
        <v>179306</v>
      </c>
      <c r="U2399" s="3615">
        <v>45926</v>
      </c>
      <c r="V2399" s="3745">
        <v>179306</v>
      </c>
      <c r="W2399" s="3615">
        <v>45940</v>
      </c>
      <c r="X2399" s="3745">
        <v>179306</v>
      </c>
      <c r="Y2399" s="3615">
        <v>45952</v>
      </c>
      <c r="Z2399" s="3576"/>
      <c r="AA2399" s="128"/>
      <c r="AB2399" s="4820"/>
      <c r="AC2399" s="4820"/>
      <c r="AD2399" s="4820"/>
      <c r="AE2399" s="4820"/>
      <c r="AF2399" s="4820"/>
      <c r="AG2399" s="4820"/>
      <c r="AH2399" s="151"/>
      <c r="AI2399" s="151"/>
    </row>
    <row r="2400" s="58" customFormat="1" ht="24" customHeight="1" spans="1:35">
      <c r="A2400" s="3576"/>
      <c r="B2400" s="3805"/>
      <c r="C2400" s="3807"/>
      <c r="D2400" s="4787"/>
      <c r="E2400" s="3806"/>
      <c r="F2400" s="3810"/>
      <c r="G2400" s="3806"/>
      <c r="H2400" s="3806"/>
      <c r="I2400" s="3747"/>
      <c r="J2400" s="3813"/>
      <c r="K2400" s="3812"/>
      <c r="L2400" s="3576"/>
      <c r="M2400" s="3745">
        <v>3</v>
      </c>
      <c r="N2400" s="172" t="s">
        <v>7559</v>
      </c>
      <c r="O2400" s="4708">
        <v>0.2</v>
      </c>
      <c r="P2400" s="3817">
        <f>K2398*O2400</f>
        <v>179306</v>
      </c>
      <c r="Q2400" s="3745">
        <v>179306</v>
      </c>
      <c r="R2400" s="152" t="s">
        <v>4603</v>
      </c>
      <c r="S2400" s="3615">
        <v>45926</v>
      </c>
      <c r="T2400" s="3745">
        <v>179306</v>
      </c>
      <c r="U2400" s="3615">
        <v>45926</v>
      </c>
      <c r="V2400" s="3745">
        <v>179306</v>
      </c>
      <c r="W2400" s="3615">
        <v>45940</v>
      </c>
      <c r="X2400" s="3745">
        <v>179306</v>
      </c>
      <c r="Y2400" s="3615">
        <v>45952</v>
      </c>
      <c r="Z2400" s="3576">
        <f>T2400-X2400</f>
        <v>0</v>
      </c>
      <c r="AA2400" s="128"/>
      <c r="AB2400" s="4820"/>
      <c r="AC2400" s="4820"/>
      <c r="AD2400" s="4820"/>
      <c r="AE2400" s="4820"/>
      <c r="AF2400" s="4820"/>
      <c r="AG2400" s="4820"/>
      <c r="AH2400" s="151"/>
      <c r="AI2400" s="151"/>
    </row>
    <row r="2401" s="58" customFormat="1" ht="46" spans="1:35">
      <c r="A2401" s="3576"/>
      <c r="B2401" s="3805"/>
      <c r="C2401" s="3807"/>
      <c r="D2401" s="4787"/>
      <c r="E2401" s="3806"/>
      <c r="F2401" s="3810"/>
      <c r="G2401" s="3806"/>
      <c r="H2401" s="3806"/>
      <c r="I2401" s="3747"/>
      <c r="J2401" s="3813"/>
      <c r="K2401" s="3812"/>
      <c r="L2401" s="3576"/>
      <c r="M2401" s="3745">
        <v>4</v>
      </c>
      <c r="N2401" s="172" t="s">
        <v>7560</v>
      </c>
      <c r="O2401" s="4708">
        <v>0.15</v>
      </c>
      <c r="P2401" s="3817">
        <f>K2398*O2401</f>
        <v>134479.5</v>
      </c>
      <c r="Q2401" s="3745"/>
      <c r="R2401" s="149"/>
      <c r="S2401" s="3803"/>
      <c r="T2401" s="3745"/>
      <c r="U2401" s="3803"/>
      <c r="V2401" s="4824"/>
      <c r="W2401" s="3837"/>
      <c r="X2401" s="4775"/>
      <c r="Y2401" s="3615"/>
      <c r="Z2401" s="3576"/>
      <c r="AA2401" s="128"/>
      <c r="AB2401" s="4820"/>
      <c r="AC2401" s="4820"/>
      <c r="AD2401" s="4820"/>
      <c r="AE2401" s="4820"/>
      <c r="AF2401" s="4820"/>
      <c r="AG2401" s="4820"/>
      <c r="AH2401" s="151"/>
      <c r="AI2401" s="151"/>
    </row>
    <row r="2402" s="58" customFormat="1" ht="46" spans="1:35">
      <c r="A2402" s="3576"/>
      <c r="B2402" s="3805"/>
      <c r="C2402" s="3807"/>
      <c r="D2402" s="4787"/>
      <c r="E2402" s="3806"/>
      <c r="F2402" s="3810"/>
      <c r="G2402" s="3806"/>
      <c r="H2402" s="3806"/>
      <c r="I2402" s="3747"/>
      <c r="J2402" s="3813"/>
      <c r="K2402" s="3812"/>
      <c r="L2402" s="3576"/>
      <c r="M2402" s="3576">
        <v>5</v>
      </c>
      <c r="N2402" s="172" t="s">
        <v>7561</v>
      </c>
      <c r="O2402" s="4708">
        <v>0.1</v>
      </c>
      <c r="P2402" s="837">
        <f>K2398*O2402</f>
        <v>89653</v>
      </c>
      <c r="Q2402" s="3576"/>
      <c r="R2402" s="128"/>
      <c r="S2402" s="3615"/>
      <c r="T2402" s="3576"/>
      <c r="U2402" s="3615"/>
      <c r="V2402" s="3888"/>
      <c r="W2402" s="3616"/>
      <c r="X2402" s="3841"/>
      <c r="Y2402" s="3615"/>
      <c r="Z2402" s="3576"/>
      <c r="AA2402" s="128"/>
      <c r="AB2402" s="4820"/>
      <c r="AC2402" s="4820"/>
      <c r="AD2402" s="4820"/>
      <c r="AE2402" s="4820"/>
      <c r="AF2402" s="4820"/>
      <c r="AG2402" s="4820"/>
      <c r="AH2402" s="151"/>
      <c r="AI2402" s="151"/>
    </row>
    <row r="2403" s="58" customFormat="1" ht="46" spans="1:35">
      <c r="A2403" s="3576"/>
      <c r="B2403" s="3805"/>
      <c r="C2403" s="3807"/>
      <c r="D2403" s="4787"/>
      <c r="E2403" s="3806"/>
      <c r="F2403" s="3810"/>
      <c r="G2403" s="3806"/>
      <c r="H2403" s="3806"/>
      <c r="I2403" s="3747"/>
      <c r="J2403" s="3813"/>
      <c r="K2403" s="3812"/>
      <c r="L2403" s="3576"/>
      <c r="M2403" s="128">
        <v>6</v>
      </c>
      <c r="N2403" s="172" t="s">
        <v>7562</v>
      </c>
      <c r="O2403" s="4708">
        <v>0.05</v>
      </c>
      <c r="P2403" s="837">
        <f>K2398*O2403</f>
        <v>44826.5</v>
      </c>
      <c r="Q2403" s="837"/>
      <c r="R2403" s="128"/>
      <c r="T2403" s="837"/>
      <c r="U2403" s="3615"/>
      <c r="V2403" s="3576"/>
      <c r="W2403" s="4820"/>
      <c r="X2403" s="837"/>
      <c r="Y2403" s="276"/>
      <c r="Z2403" s="4820"/>
      <c r="AA2403" s="3576"/>
      <c r="AB2403" s="4820"/>
      <c r="AC2403" s="4820"/>
      <c r="AD2403" s="4820"/>
      <c r="AE2403" s="4820"/>
      <c r="AF2403" s="4820"/>
      <c r="AG2403" s="4820"/>
      <c r="AH2403" s="151"/>
      <c r="AI2403" s="151"/>
    </row>
    <row r="2404" s="58" customFormat="1" ht="76" spans="1:35">
      <c r="A2404" s="3576"/>
      <c r="B2404" s="3830"/>
      <c r="C2404" s="3852"/>
      <c r="D2404" s="4788"/>
      <c r="E2404" s="3853"/>
      <c r="F2404" s="3810"/>
      <c r="G2404" s="3853"/>
      <c r="H2404" s="3853"/>
      <c r="I2404" s="3577"/>
      <c r="J2404" s="3829"/>
      <c r="K2404" s="3812"/>
      <c r="L2404" s="3576"/>
      <c r="M2404" s="128" t="s">
        <v>6237</v>
      </c>
      <c r="N2404" s="185" t="s">
        <v>3325</v>
      </c>
      <c r="O2404" s="4708">
        <v>0.1</v>
      </c>
      <c r="P2404" s="837">
        <f>K2398*O2404</f>
        <v>89653</v>
      </c>
      <c r="Q2404" s="837"/>
      <c r="R2404" s="128"/>
      <c r="S2404" s="3615"/>
      <c r="T2404" s="837"/>
      <c r="U2404" s="3615"/>
      <c r="V2404" s="3576"/>
      <c r="W2404" s="4820"/>
      <c r="X2404" s="837"/>
      <c r="Y2404" s="276"/>
      <c r="Z2404" s="4820"/>
      <c r="AA2404" s="3576"/>
      <c r="AB2404" s="4820"/>
      <c r="AC2404" s="4820"/>
      <c r="AD2404" s="4820"/>
      <c r="AE2404" s="4820"/>
      <c r="AF2404" s="4820"/>
      <c r="AG2404" s="4820"/>
      <c r="AH2404" s="152"/>
      <c r="AI2404" s="152"/>
    </row>
    <row r="2405" s="58" customFormat="1" ht="37.5" customHeight="1" spans="1:35">
      <c r="A2405" s="128" t="s">
        <v>173</v>
      </c>
      <c r="B2405" s="3803">
        <v>45910</v>
      </c>
      <c r="C2405" s="649" t="s">
        <v>335</v>
      </c>
      <c r="D2405" s="4786"/>
      <c r="E2405" s="647" t="s">
        <v>7563</v>
      </c>
      <c r="F2405" s="127" t="s">
        <v>7564</v>
      </c>
      <c r="G2405" s="647" t="s">
        <v>3579</v>
      </c>
      <c r="H2405" s="647" t="s">
        <v>5663</v>
      </c>
      <c r="I2405" s="3811">
        <v>11449</v>
      </c>
      <c r="J2405" s="3811">
        <f>K2405/I2405</f>
        <v>39.3047427722945</v>
      </c>
      <c r="K2405" s="3812">
        <v>450000</v>
      </c>
      <c r="L2405" s="128" t="s">
        <v>126</v>
      </c>
      <c r="M2405" s="3745">
        <v>1</v>
      </c>
      <c r="N2405" s="172" t="s">
        <v>7565</v>
      </c>
      <c r="O2405" s="4708">
        <v>0.2</v>
      </c>
      <c r="P2405" s="3817">
        <f>K2405*O2405</f>
        <v>90000</v>
      </c>
      <c r="Q2405" s="3811">
        <v>90000</v>
      </c>
      <c r="R2405" s="152" t="s">
        <v>4603</v>
      </c>
      <c r="S2405" s="3615">
        <v>45926</v>
      </c>
      <c r="T2405" s="3811">
        <v>90000</v>
      </c>
      <c r="U2405" s="3615">
        <v>45926</v>
      </c>
      <c r="V2405" s="3811">
        <v>90000</v>
      </c>
      <c r="W2405" s="3615">
        <v>45941</v>
      </c>
      <c r="X2405" s="3811">
        <v>90000</v>
      </c>
      <c r="Y2405" s="3615">
        <v>45952</v>
      </c>
      <c r="Z2405" s="3841"/>
      <c r="AA2405" s="128"/>
      <c r="AB2405" s="4820"/>
      <c r="AC2405" s="4820"/>
      <c r="AD2405" s="4820"/>
      <c r="AE2405" s="4820"/>
      <c r="AF2405" s="4820"/>
      <c r="AG2405" s="4820"/>
      <c r="AH2405" s="149" t="s">
        <v>197</v>
      </c>
      <c r="AI2405" s="149" t="s">
        <v>154</v>
      </c>
    </row>
    <row r="2406" s="58" customFormat="1" ht="37.5" customHeight="1" spans="1:35">
      <c r="A2406" s="3576"/>
      <c r="B2406" s="3805"/>
      <c r="C2406" s="3807"/>
      <c r="D2406" s="4787"/>
      <c r="E2406" s="3806"/>
      <c r="F2406" s="3810"/>
      <c r="G2406" s="3806"/>
      <c r="H2406" s="3806"/>
      <c r="I2406" s="3813"/>
      <c r="J2406" s="3813"/>
      <c r="K2406" s="3812"/>
      <c r="L2406" s="3576"/>
      <c r="M2406" s="3745">
        <v>2</v>
      </c>
      <c r="N2406" s="172" t="s">
        <v>357</v>
      </c>
      <c r="O2406" s="4708">
        <v>0.3</v>
      </c>
      <c r="P2406" s="3817">
        <f>K2405*O2406</f>
        <v>135000</v>
      </c>
      <c r="Q2406" s="3811">
        <v>135000</v>
      </c>
      <c r="R2406" s="152" t="s">
        <v>4603</v>
      </c>
      <c r="S2406" s="3615">
        <v>45926</v>
      </c>
      <c r="T2406" s="3811">
        <v>135000</v>
      </c>
      <c r="U2406" s="3615">
        <v>45926</v>
      </c>
      <c r="V2406" s="3811">
        <v>135000</v>
      </c>
      <c r="W2406" s="3615">
        <v>45941</v>
      </c>
      <c r="X2406" s="3811">
        <v>135000</v>
      </c>
      <c r="Y2406" s="3615">
        <v>45952</v>
      </c>
      <c r="Z2406" s="3576"/>
      <c r="AA2406" s="128"/>
      <c r="AB2406" s="4820"/>
      <c r="AC2406" s="4820"/>
      <c r="AD2406" s="4820"/>
      <c r="AE2406" s="4820"/>
      <c r="AF2406" s="4820"/>
      <c r="AG2406" s="4820"/>
      <c r="AH2406" s="151"/>
      <c r="AI2406" s="151"/>
    </row>
    <row r="2407" s="58" customFormat="1" ht="37.5" customHeight="1" spans="1:35">
      <c r="A2407" s="3576"/>
      <c r="B2407" s="3805"/>
      <c r="C2407" s="3807"/>
      <c r="D2407" s="4787"/>
      <c r="E2407" s="3806"/>
      <c r="F2407" s="3810"/>
      <c r="G2407" s="3806"/>
      <c r="H2407" s="3806"/>
      <c r="I2407" s="3813"/>
      <c r="J2407" s="3813"/>
      <c r="K2407" s="3812"/>
      <c r="L2407" s="3576"/>
      <c r="M2407" s="3576">
        <v>3</v>
      </c>
      <c r="N2407" s="172" t="s">
        <v>2341</v>
      </c>
      <c r="O2407" s="4708">
        <v>0.1</v>
      </c>
      <c r="P2407" s="837">
        <f>K2405*O2407</f>
        <v>45000</v>
      </c>
      <c r="Q2407" s="3879"/>
      <c r="R2407" s="128"/>
      <c r="S2407" s="3615"/>
      <c r="T2407" s="3872"/>
      <c r="U2407" s="3615"/>
      <c r="V2407" s="3841"/>
      <c r="W2407" s="3615"/>
      <c r="X2407" s="3872"/>
      <c r="Y2407" s="3615"/>
      <c r="Z2407" s="3576"/>
      <c r="AA2407" s="128"/>
      <c r="AB2407" s="4820"/>
      <c r="AC2407" s="4820"/>
      <c r="AD2407" s="4820"/>
      <c r="AE2407" s="4820"/>
      <c r="AF2407" s="4820"/>
      <c r="AG2407" s="4820"/>
      <c r="AH2407" s="151"/>
      <c r="AI2407" s="151"/>
    </row>
    <row r="2408" s="58" customFormat="1" ht="37.5" customHeight="1" spans="1:35">
      <c r="A2408" s="3576"/>
      <c r="B2408" s="3805"/>
      <c r="C2408" s="3807"/>
      <c r="D2408" s="4787"/>
      <c r="E2408" s="3806"/>
      <c r="F2408" s="3810"/>
      <c r="G2408" s="3806"/>
      <c r="H2408" s="3806"/>
      <c r="I2408" s="3813"/>
      <c r="J2408" s="3813"/>
      <c r="K2408" s="3812"/>
      <c r="L2408" s="3576"/>
      <c r="M2408" s="3745">
        <v>4</v>
      </c>
      <c r="N2408" s="172" t="s">
        <v>359</v>
      </c>
      <c r="O2408" s="4708">
        <v>0.25</v>
      </c>
      <c r="P2408" s="3817">
        <f>K2405*O2408</f>
        <v>112500</v>
      </c>
      <c r="Q2408" s="3882"/>
      <c r="R2408" s="149"/>
      <c r="S2408" s="3803"/>
      <c r="T2408" s="3886"/>
      <c r="U2408" s="4744"/>
      <c r="V2408" s="3841"/>
      <c r="W2408" s="3615"/>
      <c r="X2408" s="3834"/>
      <c r="Y2408" s="3615"/>
      <c r="Z2408" s="3576"/>
      <c r="AA2408" s="128"/>
      <c r="AB2408" s="4820"/>
      <c r="AC2408" s="4820"/>
      <c r="AD2408" s="4820"/>
      <c r="AE2408" s="4820"/>
      <c r="AF2408" s="4820"/>
      <c r="AG2408" s="4820"/>
      <c r="AH2408" s="151"/>
      <c r="AI2408" s="151"/>
    </row>
    <row r="2409" s="58" customFormat="1" ht="37.5" customHeight="1" spans="1:35">
      <c r="A2409" s="3576"/>
      <c r="B2409" s="3805"/>
      <c r="C2409" s="3807"/>
      <c r="D2409" s="4787"/>
      <c r="E2409" s="3806"/>
      <c r="F2409" s="3810"/>
      <c r="G2409" s="3806"/>
      <c r="H2409" s="3806"/>
      <c r="I2409" s="3813"/>
      <c r="J2409" s="3813"/>
      <c r="K2409" s="3812"/>
      <c r="L2409" s="3576"/>
      <c r="M2409" s="3576">
        <v>5</v>
      </c>
      <c r="N2409" s="172" t="s">
        <v>361</v>
      </c>
      <c r="O2409" s="4708">
        <v>0.05</v>
      </c>
      <c r="P2409" s="837">
        <f>K2405*O2409</f>
        <v>22500</v>
      </c>
      <c r="Q2409" s="3832"/>
      <c r="R2409" s="128"/>
      <c r="S2409" s="276"/>
      <c r="T2409" s="3832"/>
      <c r="U2409" s="3842"/>
      <c r="V2409" s="3841"/>
      <c r="W2409" s="3615"/>
      <c r="X2409" s="3841"/>
      <c r="Y2409" s="3615"/>
      <c r="Z2409" s="3576"/>
      <c r="AA2409" s="128"/>
      <c r="AB2409" s="4820"/>
      <c r="AC2409" s="4820"/>
      <c r="AD2409" s="4820"/>
      <c r="AE2409" s="4820"/>
      <c r="AF2409" s="4820"/>
      <c r="AG2409" s="4820"/>
      <c r="AH2409" s="151"/>
      <c r="AI2409" s="151"/>
    </row>
    <row r="2410" s="58" customFormat="1" ht="76" spans="1:35">
      <c r="A2410" s="3576"/>
      <c r="B2410" s="3830"/>
      <c r="C2410" s="3852"/>
      <c r="D2410" s="4788"/>
      <c r="E2410" s="3853"/>
      <c r="F2410" s="3810"/>
      <c r="G2410" s="3853"/>
      <c r="H2410" s="3853"/>
      <c r="I2410" s="3829"/>
      <c r="J2410" s="3829"/>
      <c r="K2410" s="3812"/>
      <c r="L2410" s="3576"/>
      <c r="M2410" s="128" t="s">
        <v>6237</v>
      </c>
      <c r="N2410" s="185" t="s">
        <v>3325</v>
      </c>
      <c r="O2410" s="4708">
        <v>0.1</v>
      </c>
      <c r="P2410" s="837">
        <f>K2405*O2410</f>
        <v>45000</v>
      </c>
      <c r="Q2410" s="837"/>
      <c r="R2410" s="128"/>
      <c r="S2410" s="3615"/>
      <c r="T2410" s="3576"/>
      <c r="U2410" s="3576"/>
      <c r="V2410" s="3576"/>
      <c r="W2410" s="4820"/>
      <c r="X2410" s="837"/>
      <c r="Y2410" s="276"/>
      <c r="Z2410" s="4820"/>
      <c r="AA2410" s="3576"/>
      <c r="AB2410" s="4820"/>
      <c r="AC2410" s="4820"/>
      <c r="AD2410" s="4820"/>
      <c r="AE2410" s="4820"/>
      <c r="AF2410" s="4820"/>
      <c r="AG2410" s="4820"/>
      <c r="AH2410" s="152"/>
      <c r="AI2410" s="152"/>
    </row>
    <row r="2411" s="58" customFormat="1" ht="37.5" customHeight="1" spans="1:35">
      <c r="A2411" s="128" t="s">
        <v>173</v>
      </c>
      <c r="B2411" s="3803">
        <v>45910</v>
      </c>
      <c r="C2411" s="649" t="s">
        <v>335</v>
      </c>
      <c r="D2411" s="4786"/>
      <c r="E2411" s="647" t="s">
        <v>7566</v>
      </c>
      <c r="F2411" s="127" t="s">
        <v>7567</v>
      </c>
      <c r="G2411" s="647" t="s">
        <v>7499</v>
      </c>
      <c r="H2411" s="647" t="s">
        <v>5128</v>
      </c>
      <c r="I2411" s="3745">
        <v>1665.72</v>
      </c>
      <c r="J2411" s="3811">
        <f>K2411/I2411</f>
        <v>759.937924741253</v>
      </c>
      <c r="K2411" s="3812">
        <v>1265843.8</v>
      </c>
      <c r="L2411" s="128" t="s">
        <v>126</v>
      </c>
      <c r="M2411" s="127" t="s">
        <v>7568</v>
      </c>
      <c r="N2411" s="185" t="s">
        <v>5610</v>
      </c>
      <c r="O2411" s="4708">
        <v>0.2</v>
      </c>
      <c r="P2411" s="837">
        <f t="shared" ref="P2411:P2416" si="90">1064260*O2411</f>
        <v>212852</v>
      </c>
      <c r="Q2411" s="3812">
        <v>212852</v>
      </c>
      <c r="R2411" s="152" t="s">
        <v>4603</v>
      </c>
      <c r="S2411" s="3615">
        <v>45926</v>
      </c>
      <c r="T2411" s="3812">
        <v>212852</v>
      </c>
      <c r="U2411" s="3615">
        <v>45926</v>
      </c>
      <c r="V2411" s="3812">
        <v>212852</v>
      </c>
      <c r="W2411" s="3615">
        <v>45940</v>
      </c>
      <c r="X2411" s="3812">
        <v>212852</v>
      </c>
      <c r="Y2411" s="3615">
        <v>45952</v>
      </c>
      <c r="Z2411" s="4833"/>
      <c r="AA2411" s="128"/>
      <c r="AB2411" s="4820"/>
      <c r="AC2411" s="4820"/>
      <c r="AD2411" s="4820"/>
      <c r="AE2411" s="4820"/>
      <c r="AF2411" s="4820"/>
      <c r="AG2411" s="4820"/>
      <c r="AH2411" s="149" t="s">
        <v>197</v>
      </c>
      <c r="AI2411" s="149" t="s">
        <v>154</v>
      </c>
    </row>
    <row r="2412" s="58" customFormat="1" ht="37.5" customHeight="1" spans="1:35">
      <c r="A2412" s="3576"/>
      <c r="B2412" s="3805"/>
      <c r="C2412" s="3807"/>
      <c r="D2412" s="4787"/>
      <c r="E2412" s="3806"/>
      <c r="F2412" s="3810"/>
      <c r="G2412" s="3806"/>
      <c r="H2412" s="3806"/>
      <c r="I2412" s="3747"/>
      <c r="J2412" s="3813"/>
      <c r="K2412" s="3812"/>
      <c r="L2412" s="3576"/>
      <c r="M2412" s="127" t="s">
        <v>7569</v>
      </c>
      <c r="N2412" s="172" t="s">
        <v>5623</v>
      </c>
      <c r="O2412" s="4708">
        <v>0.2</v>
      </c>
      <c r="P2412" s="837">
        <f t="shared" si="90"/>
        <v>212852</v>
      </c>
      <c r="Q2412" s="3812">
        <v>212852</v>
      </c>
      <c r="R2412" s="152" t="s">
        <v>4603</v>
      </c>
      <c r="S2412" s="3615">
        <v>45926</v>
      </c>
      <c r="T2412" s="3812">
        <v>212852</v>
      </c>
      <c r="U2412" s="3615">
        <v>45926</v>
      </c>
      <c r="V2412" s="3812">
        <v>212852</v>
      </c>
      <c r="W2412" s="3615">
        <v>45940</v>
      </c>
      <c r="X2412" s="3812">
        <v>212852</v>
      </c>
      <c r="Y2412" s="3615">
        <v>45952</v>
      </c>
      <c r="Z2412" s="4833"/>
      <c r="AA2412" s="128"/>
      <c r="AB2412" s="4820"/>
      <c r="AC2412" s="4820"/>
      <c r="AD2412" s="4820"/>
      <c r="AE2412" s="4820"/>
      <c r="AF2412" s="4820"/>
      <c r="AG2412" s="4820"/>
      <c r="AH2412" s="151"/>
      <c r="AI2412" s="151"/>
    </row>
    <row r="2413" s="58" customFormat="1" ht="37.5" customHeight="1" spans="1:35">
      <c r="A2413" s="3576"/>
      <c r="B2413" s="3805"/>
      <c r="C2413" s="3807"/>
      <c r="D2413" s="4787"/>
      <c r="E2413" s="3806"/>
      <c r="F2413" s="3810"/>
      <c r="G2413" s="3806"/>
      <c r="H2413" s="3806"/>
      <c r="I2413" s="3747"/>
      <c r="J2413" s="3813"/>
      <c r="K2413" s="3812"/>
      <c r="L2413" s="3576"/>
      <c r="M2413" s="127" t="s">
        <v>7570</v>
      </c>
      <c r="N2413" s="172" t="s">
        <v>5077</v>
      </c>
      <c r="O2413" s="4708">
        <v>0.2</v>
      </c>
      <c r="P2413" s="837">
        <f t="shared" si="90"/>
        <v>212852</v>
      </c>
      <c r="Q2413" s="4813">
        <v>212852</v>
      </c>
      <c r="R2413" s="4814" t="s">
        <v>4603</v>
      </c>
      <c r="S2413" s="3837">
        <v>45999</v>
      </c>
      <c r="T2413" s="4815">
        <v>212852</v>
      </c>
      <c r="U2413" s="3616">
        <v>45999</v>
      </c>
      <c r="V2413" s="3874"/>
      <c r="W2413" s="3837"/>
      <c r="X2413" s="3841"/>
      <c r="Y2413" s="3615"/>
      <c r="Z2413" s="2676"/>
      <c r="AA2413" s="128"/>
      <c r="AB2413" s="4820"/>
      <c r="AC2413" s="4820"/>
      <c r="AD2413" s="4820"/>
      <c r="AE2413" s="4820"/>
      <c r="AF2413" s="4820"/>
      <c r="AG2413" s="4820"/>
      <c r="AH2413" s="151"/>
      <c r="AI2413" s="151"/>
    </row>
    <row r="2414" s="58" customFormat="1" ht="37.5" customHeight="1" spans="1:35">
      <c r="A2414" s="3576"/>
      <c r="B2414" s="3805"/>
      <c r="C2414" s="3807"/>
      <c r="D2414" s="4787"/>
      <c r="E2414" s="3806"/>
      <c r="F2414" s="3810"/>
      <c r="G2414" s="3806"/>
      <c r="H2414" s="3806"/>
      <c r="I2414" s="3747"/>
      <c r="J2414" s="3813"/>
      <c r="K2414" s="3812"/>
      <c r="L2414" s="3576"/>
      <c r="M2414" s="127" t="s">
        <v>7571</v>
      </c>
      <c r="N2414" s="172" t="s">
        <v>5624</v>
      </c>
      <c r="O2414" s="4708">
        <v>0.2</v>
      </c>
      <c r="P2414" s="837">
        <f t="shared" si="90"/>
        <v>212852</v>
      </c>
      <c r="Q2414" s="4813">
        <v>212852</v>
      </c>
      <c r="R2414" s="4814" t="s">
        <v>4603</v>
      </c>
      <c r="S2414" s="3837">
        <v>45999</v>
      </c>
      <c r="T2414" s="4815">
        <v>212852</v>
      </c>
      <c r="U2414" s="3616">
        <v>45999</v>
      </c>
      <c r="V2414" s="3874"/>
      <c r="W2414" s="3837"/>
      <c r="X2414" s="3576"/>
      <c r="Y2414" s="3615"/>
      <c r="Z2414" s="2676"/>
      <c r="AA2414" s="128"/>
      <c r="AB2414" s="4820"/>
      <c r="AC2414" s="4820"/>
      <c r="AD2414" s="4820"/>
      <c r="AE2414" s="4820"/>
      <c r="AF2414" s="4820"/>
      <c r="AG2414" s="4820"/>
      <c r="AH2414" s="151"/>
      <c r="AI2414" s="151"/>
    </row>
    <row r="2415" s="58" customFormat="1" ht="37.5" customHeight="1" spans="1:35">
      <c r="A2415" s="3576"/>
      <c r="B2415" s="3805"/>
      <c r="C2415" s="3807"/>
      <c r="D2415" s="4787"/>
      <c r="E2415" s="3806"/>
      <c r="F2415" s="3810"/>
      <c r="G2415" s="3806"/>
      <c r="H2415" s="3806"/>
      <c r="I2415" s="3747"/>
      <c r="J2415" s="3813"/>
      <c r="K2415" s="3812"/>
      <c r="L2415" s="3576"/>
      <c r="M2415" s="127" t="s">
        <v>7572</v>
      </c>
      <c r="N2415" s="172" t="s">
        <v>5079</v>
      </c>
      <c r="O2415" s="4708">
        <v>0.05</v>
      </c>
      <c r="P2415" s="837">
        <f t="shared" si="90"/>
        <v>53213</v>
      </c>
      <c r="Q2415" s="3832"/>
      <c r="R2415" s="128"/>
      <c r="S2415" s="276"/>
      <c r="T2415" s="3832"/>
      <c r="U2415" s="3842"/>
      <c r="V2415" s="3841"/>
      <c r="W2415" s="3615"/>
      <c r="X2415" s="3841"/>
      <c r="Y2415" s="3615"/>
      <c r="Z2415" s="2676"/>
      <c r="AA2415" s="128"/>
      <c r="AB2415" s="4820"/>
      <c r="AC2415" s="4820"/>
      <c r="AD2415" s="4820"/>
      <c r="AE2415" s="4820"/>
      <c r="AF2415" s="4820"/>
      <c r="AG2415" s="4820"/>
      <c r="AH2415" s="151"/>
      <c r="AI2415" s="151"/>
    </row>
    <row r="2416" s="58" customFormat="1" ht="76" spans="1:35">
      <c r="A2416" s="3576"/>
      <c r="B2416" s="3805"/>
      <c r="C2416" s="3807"/>
      <c r="D2416" s="4787"/>
      <c r="E2416" s="3806"/>
      <c r="F2416" s="3810"/>
      <c r="G2416" s="3806"/>
      <c r="H2416" s="3806"/>
      <c r="I2416" s="3747"/>
      <c r="J2416" s="3813"/>
      <c r="K2416" s="3812"/>
      <c r="L2416" s="3576"/>
      <c r="M2416" s="127" t="s">
        <v>7573</v>
      </c>
      <c r="N2416" s="172" t="s">
        <v>7574</v>
      </c>
      <c r="O2416" s="4708">
        <v>0.05</v>
      </c>
      <c r="P2416" s="837">
        <f t="shared" si="90"/>
        <v>53213</v>
      </c>
      <c r="Q2416" s="3832"/>
      <c r="R2416" s="128"/>
      <c r="S2416" s="276"/>
      <c r="T2416" s="3832"/>
      <c r="U2416" s="3842"/>
      <c r="V2416" s="3841"/>
      <c r="W2416" s="3615"/>
      <c r="X2416" s="3841"/>
      <c r="Y2416" s="3615"/>
      <c r="Z2416" s="2676"/>
      <c r="AA2416" s="128"/>
      <c r="AB2416" s="4820"/>
      <c r="AC2416" s="4820"/>
      <c r="AD2416" s="4820"/>
      <c r="AE2416" s="4820"/>
      <c r="AF2416" s="4820"/>
      <c r="AG2416" s="4820"/>
      <c r="AH2416" s="151"/>
      <c r="AI2416" s="151"/>
    </row>
    <row r="2417" s="58" customFormat="1" ht="31" spans="1:35">
      <c r="A2417" s="3576"/>
      <c r="B2417" s="3805"/>
      <c r="C2417" s="3807"/>
      <c r="D2417" s="4787"/>
      <c r="E2417" s="3806"/>
      <c r="F2417" s="3810"/>
      <c r="G2417" s="3806"/>
      <c r="H2417" s="3806"/>
      <c r="I2417" s="3747"/>
      <c r="J2417" s="3813"/>
      <c r="K2417" s="3812"/>
      <c r="L2417" s="3576"/>
      <c r="M2417" s="127" t="s">
        <v>7575</v>
      </c>
      <c r="N2417" s="172" t="s">
        <v>5610</v>
      </c>
      <c r="O2417" s="4708">
        <v>0.2</v>
      </c>
      <c r="P2417" s="837">
        <f t="shared" ref="P2417:P2422" si="91">201583.8*O2417</f>
        <v>40316.76</v>
      </c>
      <c r="Q2417" s="3310">
        <v>40316.76</v>
      </c>
      <c r="R2417" s="4814" t="s">
        <v>4603</v>
      </c>
      <c r="S2417" s="4760">
        <v>45999</v>
      </c>
      <c r="T2417" s="4799">
        <v>40316.76</v>
      </c>
      <c r="U2417" s="3440">
        <v>45999</v>
      </c>
      <c r="V2417" s="3841"/>
      <c r="W2417" s="3615"/>
      <c r="X2417" s="3841"/>
      <c r="Y2417" s="3615"/>
      <c r="Z2417" s="2676"/>
      <c r="AA2417" s="128"/>
      <c r="AB2417" s="4820"/>
      <c r="AC2417" s="4820"/>
      <c r="AD2417" s="4820"/>
      <c r="AE2417" s="4820"/>
      <c r="AF2417" s="4820"/>
      <c r="AG2417" s="4820"/>
      <c r="AH2417" s="151"/>
      <c r="AI2417" s="151"/>
    </row>
    <row r="2418" s="58" customFormat="1" ht="46" spans="1:35">
      <c r="A2418" s="3576"/>
      <c r="B2418" s="3805"/>
      <c r="C2418" s="3807"/>
      <c r="D2418" s="4787"/>
      <c r="E2418" s="3806"/>
      <c r="F2418" s="3810"/>
      <c r="G2418" s="3806"/>
      <c r="H2418" s="3806"/>
      <c r="I2418" s="3747"/>
      <c r="J2418" s="3813"/>
      <c r="K2418" s="3812"/>
      <c r="L2418" s="3576"/>
      <c r="M2418" s="127" t="s">
        <v>7576</v>
      </c>
      <c r="N2418" s="172" t="s">
        <v>5626</v>
      </c>
      <c r="O2418" s="4708">
        <v>0.2</v>
      </c>
      <c r="P2418" s="837">
        <f t="shared" si="91"/>
        <v>40316.76</v>
      </c>
      <c r="Q2418" s="3310">
        <v>40316.76</v>
      </c>
      <c r="R2418" s="4814" t="s">
        <v>4603</v>
      </c>
      <c r="S2418" s="4760">
        <v>45999</v>
      </c>
      <c r="T2418" s="4799">
        <v>40316.76</v>
      </c>
      <c r="U2418" s="3440">
        <v>45999</v>
      </c>
      <c r="V2418" s="3841"/>
      <c r="W2418" s="3615"/>
      <c r="X2418" s="3841"/>
      <c r="Y2418" s="3615"/>
      <c r="Z2418" s="2676"/>
      <c r="AA2418" s="128"/>
      <c r="AB2418" s="4820"/>
      <c r="AC2418" s="4820"/>
      <c r="AD2418" s="4820"/>
      <c r="AE2418" s="4820"/>
      <c r="AF2418" s="4820"/>
      <c r="AG2418" s="4820"/>
      <c r="AH2418" s="151"/>
      <c r="AI2418" s="151"/>
    </row>
    <row r="2419" s="58" customFormat="1" ht="46" spans="1:35">
      <c r="A2419" s="3576"/>
      <c r="B2419" s="3805"/>
      <c r="C2419" s="3807"/>
      <c r="D2419" s="4787"/>
      <c r="E2419" s="3806"/>
      <c r="F2419" s="3810"/>
      <c r="G2419" s="3806"/>
      <c r="H2419" s="3806"/>
      <c r="I2419" s="3747"/>
      <c r="J2419" s="3813"/>
      <c r="K2419" s="3812"/>
      <c r="L2419" s="3576"/>
      <c r="M2419" s="127" t="s">
        <v>7577</v>
      </c>
      <c r="N2419" s="172" t="s">
        <v>5750</v>
      </c>
      <c r="O2419" s="4708">
        <v>0.2</v>
      </c>
      <c r="P2419" s="837">
        <f t="shared" si="91"/>
        <v>40316.76</v>
      </c>
      <c r="Q2419" s="3310">
        <v>40316.76</v>
      </c>
      <c r="R2419" s="4814" t="s">
        <v>4603</v>
      </c>
      <c r="S2419" s="4760">
        <v>45999</v>
      </c>
      <c r="T2419" s="4799">
        <v>40316.76</v>
      </c>
      <c r="U2419" s="3440">
        <v>45999</v>
      </c>
      <c r="V2419" s="3841"/>
      <c r="W2419" s="3615"/>
      <c r="X2419" s="3841"/>
      <c r="Y2419" s="3615"/>
      <c r="Z2419" s="2676"/>
      <c r="AA2419" s="128"/>
      <c r="AB2419" s="4820"/>
      <c r="AC2419" s="4820"/>
      <c r="AD2419" s="4820"/>
      <c r="AE2419" s="4820"/>
      <c r="AF2419" s="4820"/>
      <c r="AG2419" s="4820"/>
      <c r="AH2419" s="151"/>
      <c r="AI2419" s="151"/>
    </row>
    <row r="2420" s="58" customFormat="1" ht="46" spans="1:35">
      <c r="A2420" s="3576"/>
      <c r="B2420" s="3805"/>
      <c r="C2420" s="3807"/>
      <c r="D2420" s="4787"/>
      <c r="E2420" s="3806"/>
      <c r="F2420" s="3810"/>
      <c r="G2420" s="3806"/>
      <c r="H2420" s="3806"/>
      <c r="I2420" s="3747"/>
      <c r="J2420" s="3813"/>
      <c r="K2420" s="3812"/>
      <c r="L2420" s="3576"/>
      <c r="M2420" s="127" t="s">
        <v>7578</v>
      </c>
      <c r="N2420" s="172" t="s">
        <v>5629</v>
      </c>
      <c r="O2420" s="4708">
        <v>0.2</v>
      </c>
      <c r="P2420" s="837">
        <f t="shared" si="91"/>
        <v>40316.76</v>
      </c>
      <c r="Q2420" s="3832"/>
      <c r="R2420" s="128"/>
      <c r="S2420" s="276"/>
      <c r="T2420" s="3832"/>
      <c r="U2420" s="3842"/>
      <c r="V2420" s="3841"/>
      <c r="W2420" s="3615"/>
      <c r="X2420" s="3841"/>
      <c r="Y2420" s="3615"/>
      <c r="Z2420" s="2676"/>
      <c r="AA2420" s="128"/>
      <c r="AB2420" s="4820"/>
      <c r="AC2420" s="4820"/>
      <c r="AD2420" s="4820"/>
      <c r="AE2420" s="4820"/>
      <c r="AF2420" s="4820"/>
      <c r="AG2420" s="4820"/>
      <c r="AH2420" s="151"/>
      <c r="AI2420" s="151"/>
    </row>
    <row r="2421" s="58" customFormat="1" ht="31" spans="1:35">
      <c r="A2421" s="3576"/>
      <c r="B2421" s="3805"/>
      <c r="C2421" s="3807"/>
      <c r="D2421" s="4787"/>
      <c r="E2421" s="3806"/>
      <c r="F2421" s="3810"/>
      <c r="G2421" s="3806"/>
      <c r="H2421" s="3806"/>
      <c r="I2421" s="3747"/>
      <c r="J2421" s="3813"/>
      <c r="K2421" s="3812"/>
      <c r="L2421" s="3576"/>
      <c r="M2421" s="127" t="s">
        <v>7579</v>
      </c>
      <c r="N2421" s="172" t="s">
        <v>5751</v>
      </c>
      <c r="O2421" s="4708">
        <v>0.05</v>
      </c>
      <c r="P2421" s="837">
        <f t="shared" si="91"/>
        <v>10079.19</v>
      </c>
      <c r="Q2421" s="3832"/>
      <c r="R2421" s="128"/>
      <c r="S2421" s="276"/>
      <c r="T2421" s="3832"/>
      <c r="U2421" s="3842"/>
      <c r="V2421" s="3841"/>
      <c r="W2421" s="3615"/>
      <c r="X2421" s="3841"/>
      <c r="Y2421" s="3615"/>
      <c r="Z2421" s="2676"/>
      <c r="AA2421" s="128"/>
      <c r="AB2421" s="4820"/>
      <c r="AC2421" s="4820"/>
      <c r="AD2421" s="4820"/>
      <c r="AE2421" s="4820"/>
      <c r="AF2421" s="4820"/>
      <c r="AG2421" s="4820"/>
      <c r="AH2421" s="151"/>
      <c r="AI2421" s="151"/>
    </row>
    <row r="2422" s="58" customFormat="1" ht="76" spans="1:35">
      <c r="A2422" s="3576"/>
      <c r="B2422" s="3805"/>
      <c r="C2422" s="3807"/>
      <c r="D2422" s="4787"/>
      <c r="E2422" s="3806"/>
      <c r="F2422" s="3810"/>
      <c r="G2422" s="3806"/>
      <c r="H2422" s="3806"/>
      <c r="I2422" s="3747"/>
      <c r="J2422" s="3813"/>
      <c r="K2422" s="3812"/>
      <c r="L2422" s="3576"/>
      <c r="M2422" s="127" t="s">
        <v>7580</v>
      </c>
      <c r="N2422" s="172" t="s">
        <v>7574</v>
      </c>
      <c r="O2422" s="4708">
        <v>0.05</v>
      </c>
      <c r="P2422" s="837">
        <f t="shared" si="91"/>
        <v>10079.19</v>
      </c>
      <c r="Q2422" s="3832"/>
      <c r="R2422" s="128"/>
      <c r="S2422" s="276"/>
      <c r="T2422" s="3832"/>
      <c r="U2422" s="3842"/>
      <c r="V2422" s="3841"/>
      <c r="W2422" s="3615"/>
      <c r="X2422" s="3841"/>
      <c r="Y2422" s="3615"/>
      <c r="Z2422" s="2676"/>
      <c r="AA2422" s="128"/>
      <c r="AB2422" s="4820"/>
      <c r="AC2422" s="4820"/>
      <c r="AD2422" s="4820"/>
      <c r="AE2422" s="4820"/>
      <c r="AF2422" s="4820"/>
      <c r="AG2422" s="4820"/>
      <c r="AH2422" s="151"/>
      <c r="AI2422" s="151"/>
    </row>
    <row r="2423" s="58" customFormat="1" ht="92" spans="1:35">
      <c r="A2423" s="3576"/>
      <c r="B2423" s="3830"/>
      <c r="C2423" s="3852"/>
      <c r="D2423" s="4788"/>
      <c r="E2423" s="3853"/>
      <c r="F2423" s="3810"/>
      <c r="G2423" s="3853"/>
      <c r="H2423" s="3853"/>
      <c r="I2423" s="3577"/>
      <c r="J2423" s="3829"/>
      <c r="K2423" s="3812"/>
      <c r="L2423" s="3576"/>
      <c r="M2423" s="128" t="s">
        <v>6237</v>
      </c>
      <c r="N2423" s="185" t="s">
        <v>3356</v>
      </c>
      <c r="O2423" s="4708">
        <v>0.1</v>
      </c>
      <c r="P2423" s="837">
        <f>K2411*O2423</f>
        <v>126584.38</v>
      </c>
      <c r="Q2423" s="837"/>
      <c r="R2423" s="128"/>
      <c r="S2423" s="3615"/>
      <c r="T2423" s="3576"/>
      <c r="U2423" s="3576"/>
      <c r="V2423" s="3576"/>
      <c r="W2423" s="4820"/>
      <c r="X2423" s="837"/>
      <c r="Y2423" s="276"/>
      <c r="Z2423" s="4834"/>
      <c r="AA2423" s="3576"/>
      <c r="AB2423" s="4820"/>
      <c r="AC2423" s="4820"/>
      <c r="AD2423" s="4820"/>
      <c r="AE2423" s="4820"/>
      <c r="AF2423" s="4820"/>
      <c r="AG2423" s="4820"/>
      <c r="AH2423" s="152"/>
      <c r="AI2423" s="152"/>
    </row>
    <row r="2424" s="58" customFormat="1" ht="37.5" customHeight="1" spans="1:35">
      <c r="A2424" s="128" t="s">
        <v>1186</v>
      </c>
      <c r="B2424" s="3803">
        <v>45317</v>
      </c>
      <c r="C2424" s="649" t="s">
        <v>7581</v>
      </c>
      <c r="D2424" s="4786"/>
      <c r="E2424" s="647" t="s">
        <v>7582</v>
      </c>
      <c r="F2424" s="127" t="s">
        <v>7583</v>
      </c>
      <c r="G2424" s="647" t="s">
        <v>7499</v>
      </c>
      <c r="H2424" s="647" t="s">
        <v>7584</v>
      </c>
      <c r="I2424" s="3745">
        <v>5953.01</v>
      </c>
      <c r="J2424" s="3745">
        <v>196.08</v>
      </c>
      <c r="K2424" s="3812">
        <v>1167257.55</v>
      </c>
      <c r="L2424" s="128" t="s">
        <v>126</v>
      </c>
      <c r="M2424" s="3576">
        <v>1</v>
      </c>
      <c r="N2424" s="185" t="s">
        <v>7500</v>
      </c>
      <c r="O2424" s="4708">
        <v>0.15</v>
      </c>
      <c r="P2424" s="837">
        <f>K2424*O2424</f>
        <v>175088.6325</v>
      </c>
      <c r="Q2424" s="4104">
        <v>175088.6325</v>
      </c>
      <c r="R2424" s="128" t="s">
        <v>4603</v>
      </c>
      <c r="S2424" s="3615">
        <v>45362</v>
      </c>
      <c r="T2424" s="3871">
        <v>175088.6325</v>
      </c>
      <c r="U2424" s="3615">
        <v>45362</v>
      </c>
      <c r="V2424" s="3841">
        <v>150000</v>
      </c>
      <c r="W2424" s="3615">
        <v>45455</v>
      </c>
      <c r="X2424" s="3841">
        <v>150000</v>
      </c>
      <c r="Y2424" s="3615">
        <v>45470</v>
      </c>
      <c r="Z2424" s="4833"/>
      <c r="AA2424" s="128"/>
      <c r="AB2424" s="4820"/>
      <c r="AC2424" s="4820"/>
      <c r="AD2424" s="4820"/>
      <c r="AE2424" s="4820"/>
      <c r="AF2424" s="4820"/>
      <c r="AG2424" s="4820"/>
      <c r="AH2424" s="149" t="s">
        <v>197</v>
      </c>
      <c r="AI2424" s="149" t="s">
        <v>154</v>
      </c>
    </row>
    <row r="2425" s="58" customFormat="1" ht="37.5" customHeight="1" spans="1:35">
      <c r="A2425" s="3576"/>
      <c r="B2425" s="3805"/>
      <c r="C2425" s="3807"/>
      <c r="D2425" s="4787"/>
      <c r="E2425" s="3806"/>
      <c r="F2425" s="3810"/>
      <c r="G2425" s="3806"/>
      <c r="H2425" s="3806"/>
      <c r="I2425" s="3747"/>
      <c r="J2425" s="3747"/>
      <c r="K2425" s="3812"/>
      <c r="L2425" s="3576"/>
      <c r="M2425" s="3745">
        <v>2</v>
      </c>
      <c r="N2425" s="647" t="s">
        <v>5626</v>
      </c>
      <c r="O2425" s="4708">
        <v>0.25</v>
      </c>
      <c r="P2425" s="3817">
        <f>K2424*O2425</f>
        <v>291814.3875</v>
      </c>
      <c r="Q2425" s="4816">
        <v>291814.3875</v>
      </c>
      <c r="R2425" s="149" t="s">
        <v>4603</v>
      </c>
      <c r="S2425" s="3803">
        <v>45362</v>
      </c>
      <c r="T2425" s="4725">
        <v>291814.3875</v>
      </c>
      <c r="U2425" s="4744">
        <v>45362</v>
      </c>
      <c r="V2425" s="3841">
        <v>100000</v>
      </c>
      <c r="W2425" s="3615">
        <v>45512</v>
      </c>
      <c r="X2425" s="3841">
        <v>100000</v>
      </c>
      <c r="Y2425" s="3615">
        <v>45530</v>
      </c>
      <c r="Z2425" s="4833"/>
      <c r="AA2425" s="128"/>
      <c r="AB2425" s="4820"/>
      <c r="AC2425" s="4820"/>
      <c r="AD2425" s="4820"/>
      <c r="AE2425" s="4820"/>
      <c r="AF2425" s="4820"/>
      <c r="AG2425" s="4820"/>
      <c r="AH2425" s="151"/>
      <c r="AI2425" s="151"/>
    </row>
    <row r="2426" s="58" customFormat="1" ht="37.5" customHeight="1" spans="1:35">
      <c r="A2426" s="3576"/>
      <c r="B2426" s="3805"/>
      <c r="C2426" s="3807"/>
      <c r="D2426" s="4787"/>
      <c r="E2426" s="3806"/>
      <c r="F2426" s="3810"/>
      <c r="G2426" s="3806"/>
      <c r="H2426" s="3806"/>
      <c r="I2426" s="3747"/>
      <c r="J2426" s="3747"/>
      <c r="K2426" s="3812"/>
      <c r="L2426" s="3576"/>
      <c r="M2426" s="3747"/>
      <c r="N2426" s="651"/>
      <c r="O2426" s="4708"/>
      <c r="P2426" s="3819"/>
      <c r="Q2426" s="4817"/>
      <c r="R2426" s="151"/>
      <c r="S2426" s="3805"/>
      <c r="T2426" s="4728"/>
      <c r="U2426" s="4745"/>
      <c r="V2426" s="3841">
        <v>100000</v>
      </c>
      <c r="W2426" s="3615">
        <v>45550</v>
      </c>
      <c r="X2426" s="3841">
        <v>100000</v>
      </c>
      <c r="Y2426" s="3615">
        <v>45562</v>
      </c>
      <c r="Z2426" s="4833"/>
      <c r="AA2426" s="128"/>
      <c r="AB2426" s="4820"/>
      <c r="AC2426" s="4820"/>
      <c r="AD2426" s="4820"/>
      <c r="AE2426" s="4820"/>
      <c r="AF2426" s="4820"/>
      <c r="AG2426" s="4820"/>
      <c r="AH2426" s="151"/>
      <c r="AI2426" s="151"/>
    </row>
    <row r="2427" s="58" customFormat="1" ht="37.5" customHeight="1" spans="1:35">
      <c r="A2427" s="3576"/>
      <c r="B2427" s="3805"/>
      <c r="C2427" s="3807"/>
      <c r="D2427" s="4787"/>
      <c r="E2427" s="3806"/>
      <c r="F2427" s="3810"/>
      <c r="G2427" s="3806"/>
      <c r="H2427" s="3806"/>
      <c r="I2427" s="3747"/>
      <c r="J2427" s="3747"/>
      <c r="K2427" s="3812"/>
      <c r="L2427" s="3576"/>
      <c r="M2427" s="3577"/>
      <c r="N2427" s="651"/>
      <c r="O2427" s="4708"/>
      <c r="P2427" s="3821"/>
      <c r="Q2427" s="4818"/>
      <c r="R2427" s="152"/>
      <c r="S2427" s="3830"/>
      <c r="T2427" s="4726"/>
      <c r="U2427" s="4746"/>
      <c r="V2427" s="3841">
        <v>66903.02</v>
      </c>
      <c r="W2427" s="3615">
        <v>45608</v>
      </c>
      <c r="X2427" s="3841">
        <v>66903.02</v>
      </c>
      <c r="Y2427" s="3615">
        <v>45650</v>
      </c>
      <c r="Z2427" s="2676"/>
      <c r="AA2427" s="128"/>
      <c r="AB2427" s="4820"/>
      <c r="AC2427" s="4820"/>
      <c r="AD2427" s="4820"/>
      <c r="AE2427" s="4820"/>
      <c r="AF2427" s="4820"/>
      <c r="AG2427" s="4820"/>
      <c r="AH2427" s="151"/>
      <c r="AI2427" s="151"/>
    </row>
    <row r="2428" s="58" customFormat="1" ht="37.5" customHeight="1" spans="1:35">
      <c r="A2428" s="3576"/>
      <c r="B2428" s="3805"/>
      <c r="C2428" s="3807"/>
      <c r="D2428" s="4787"/>
      <c r="E2428" s="3806"/>
      <c r="F2428" s="3810"/>
      <c r="G2428" s="3806"/>
      <c r="H2428" s="3806"/>
      <c r="I2428" s="3747"/>
      <c r="J2428" s="3747"/>
      <c r="K2428" s="3812"/>
      <c r="L2428" s="3576"/>
      <c r="M2428" s="3576">
        <v>3</v>
      </c>
      <c r="N2428" s="172" t="s">
        <v>7501</v>
      </c>
      <c r="O2428" s="4708">
        <v>0.1</v>
      </c>
      <c r="P2428" s="837">
        <f>K2424*O2428</f>
        <v>116725.755</v>
      </c>
      <c r="Q2428" s="3879">
        <v>116725.76</v>
      </c>
      <c r="R2428" s="74" t="s">
        <v>4603</v>
      </c>
      <c r="S2428" s="3837">
        <v>45510</v>
      </c>
      <c r="T2428" s="3879">
        <v>116725.76</v>
      </c>
      <c r="U2428" s="3837">
        <v>45510</v>
      </c>
      <c r="V2428" s="3874">
        <v>116725.76</v>
      </c>
      <c r="W2428" s="3837">
        <v>45728</v>
      </c>
      <c r="X2428" s="3874">
        <v>116725.76</v>
      </c>
      <c r="Y2428" s="3615">
        <v>45744</v>
      </c>
      <c r="Z2428" s="2676"/>
      <c r="AA2428" s="128"/>
      <c r="AB2428" s="4820"/>
      <c r="AC2428" s="4820"/>
      <c r="AD2428" s="4820"/>
      <c r="AE2428" s="4820"/>
      <c r="AF2428" s="4820"/>
      <c r="AG2428" s="4820"/>
      <c r="AH2428" s="151"/>
      <c r="AI2428" s="151"/>
    </row>
    <row r="2429" s="58" customFormat="1" ht="37.5" customHeight="1" spans="1:35">
      <c r="A2429" s="3576"/>
      <c r="B2429" s="3805"/>
      <c r="C2429" s="3807"/>
      <c r="D2429" s="4787"/>
      <c r="E2429" s="3806"/>
      <c r="F2429" s="3810"/>
      <c r="G2429" s="3806"/>
      <c r="H2429" s="3806"/>
      <c r="I2429" s="3747"/>
      <c r="J2429" s="3747"/>
      <c r="K2429" s="3812"/>
      <c r="L2429" s="3576"/>
      <c r="M2429" s="3745">
        <v>4</v>
      </c>
      <c r="N2429" s="647" t="s">
        <v>5629</v>
      </c>
      <c r="O2429" s="4708">
        <v>0.3</v>
      </c>
      <c r="P2429" s="3817">
        <f>K2424*O2429</f>
        <v>350177.265</v>
      </c>
      <c r="Q2429" s="3879">
        <v>116725.76</v>
      </c>
      <c r="R2429" s="74" t="s">
        <v>4603</v>
      </c>
      <c r="S2429" s="3837">
        <v>45510</v>
      </c>
      <c r="T2429" s="3879">
        <v>116725.76</v>
      </c>
      <c r="U2429" s="3837">
        <v>45510</v>
      </c>
      <c r="V2429" s="3874">
        <v>166725.76</v>
      </c>
      <c r="W2429" s="3837">
        <v>45763</v>
      </c>
      <c r="X2429" s="3879">
        <v>166725.76</v>
      </c>
      <c r="Y2429" s="3615">
        <v>45772</v>
      </c>
      <c r="Z2429" s="2676"/>
      <c r="AA2429" s="128"/>
      <c r="AB2429" s="4820"/>
      <c r="AC2429" s="4820"/>
      <c r="AD2429" s="4820"/>
      <c r="AE2429" s="4820"/>
      <c r="AF2429" s="4820"/>
      <c r="AG2429" s="4820"/>
      <c r="AH2429" s="151"/>
      <c r="AI2429" s="151"/>
    </row>
    <row r="2430" s="58" customFormat="1" ht="37.5" customHeight="1" spans="1:35">
      <c r="A2430" s="3576"/>
      <c r="B2430" s="3805"/>
      <c r="C2430" s="3807"/>
      <c r="D2430" s="4787"/>
      <c r="E2430" s="3806"/>
      <c r="F2430" s="3810"/>
      <c r="G2430" s="3806"/>
      <c r="H2430" s="3806"/>
      <c r="I2430" s="3747"/>
      <c r="J2430" s="3747"/>
      <c r="K2430" s="3812"/>
      <c r="L2430" s="3576"/>
      <c r="M2430" s="3577"/>
      <c r="N2430" s="651"/>
      <c r="O2430" s="4708"/>
      <c r="P2430" s="3821"/>
      <c r="Q2430" s="3833">
        <v>233451.51</v>
      </c>
      <c r="R2430" s="3407" t="s">
        <v>349</v>
      </c>
      <c r="S2430" s="3584">
        <v>46233</v>
      </c>
      <c r="T2430" s="3832"/>
      <c r="U2430" s="3842"/>
      <c r="V2430" s="3841"/>
      <c r="W2430" s="3615"/>
      <c r="X2430" s="3841"/>
      <c r="Y2430" s="3615"/>
      <c r="Z2430" s="2676"/>
      <c r="AA2430" s="128"/>
      <c r="AB2430" s="4820"/>
      <c r="AC2430" s="4820"/>
      <c r="AD2430" s="4820"/>
      <c r="AE2430" s="4820"/>
      <c r="AF2430" s="4820"/>
      <c r="AG2430" s="4820"/>
      <c r="AH2430" s="151"/>
      <c r="AI2430" s="151"/>
    </row>
    <row r="2431" s="58" customFormat="1" ht="37.5" customHeight="1" spans="1:35">
      <c r="A2431" s="3576"/>
      <c r="B2431" s="3805"/>
      <c r="C2431" s="3807"/>
      <c r="D2431" s="4787"/>
      <c r="E2431" s="3806"/>
      <c r="F2431" s="3810"/>
      <c r="G2431" s="3806"/>
      <c r="H2431" s="3806"/>
      <c r="I2431" s="3747"/>
      <c r="J2431" s="3747"/>
      <c r="K2431" s="3812"/>
      <c r="L2431" s="3576"/>
      <c r="M2431" s="3576">
        <v>5</v>
      </c>
      <c r="N2431" s="172" t="s">
        <v>5751</v>
      </c>
      <c r="O2431" s="4708">
        <v>0.05</v>
      </c>
      <c r="P2431" s="837">
        <f>K2424*O2431</f>
        <v>58362.8775</v>
      </c>
      <c r="Q2431" s="3832">
        <v>58362.88</v>
      </c>
      <c r="R2431" s="3407" t="s">
        <v>349</v>
      </c>
      <c r="S2431" s="3584">
        <v>46325</v>
      </c>
      <c r="T2431" s="3832"/>
      <c r="U2431" s="3842"/>
      <c r="V2431" s="3841"/>
      <c r="W2431" s="3615"/>
      <c r="X2431" s="3841"/>
      <c r="Y2431" s="3615"/>
      <c r="Z2431" s="2676"/>
      <c r="AA2431" s="128"/>
      <c r="AB2431" s="4820"/>
      <c r="AC2431" s="4820"/>
      <c r="AD2431" s="4820"/>
      <c r="AE2431" s="4820"/>
      <c r="AF2431" s="4820"/>
      <c r="AG2431" s="4820"/>
      <c r="AH2431" s="151"/>
      <c r="AI2431" s="151"/>
    </row>
    <row r="2432" s="58" customFormat="1" ht="37.5" customHeight="1" spans="1:35">
      <c r="A2432" s="3576"/>
      <c r="B2432" s="3805"/>
      <c r="C2432" s="3807"/>
      <c r="D2432" s="4787"/>
      <c r="E2432" s="3806"/>
      <c r="F2432" s="3810"/>
      <c r="G2432" s="3806"/>
      <c r="H2432" s="3806"/>
      <c r="I2432" s="3747"/>
      <c r="J2432" s="3747"/>
      <c r="K2432" s="3812"/>
      <c r="L2432" s="3576"/>
      <c r="M2432" s="3576">
        <v>6</v>
      </c>
      <c r="N2432" s="172" t="s">
        <v>5080</v>
      </c>
      <c r="O2432" s="4708">
        <v>0.05</v>
      </c>
      <c r="P2432" s="837">
        <f>K2424*O2432</f>
        <v>58362.8775</v>
      </c>
      <c r="Q2432" s="3832">
        <v>58362.88</v>
      </c>
      <c r="R2432" s="3407" t="s">
        <v>349</v>
      </c>
      <c r="S2432" s="3584">
        <v>46325</v>
      </c>
      <c r="T2432" s="3832"/>
      <c r="U2432" s="3842"/>
      <c r="V2432" s="3841"/>
      <c r="W2432" s="3615"/>
      <c r="X2432" s="3841"/>
      <c r="Y2432" s="3615"/>
      <c r="Z2432" s="2676"/>
      <c r="AA2432" s="128"/>
      <c r="AB2432" s="4820"/>
      <c r="AC2432" s="4820"/>
      <c r="AD2432" s="4820"/>
      <c r="AE2432" s="4820"/>
      <c r="AF2432" s="4820"/>
      <c r="AG2432" s="4820"/>
      <c r="AH2432" s="151"/>
      <c r="AI2432" s="151"/>
    </row>
    <row r="2433" s="58" customFormat="1" ht="92" spans="1:35">
      <c r="A2433" s="3576"/>
      <c r="B2433" s="3830"/>
      <c r="C2433" s="3852"/>
      <c r="D2433" s="4788"/>
      <c r="E2433" s="3853"/>
      <c r="F2433" s="3810"/>
      <c r="G2433" s="3853"/>
      <c r="H2433" s="3853"/>
      <c r="I2433" s="3577"/>
      <c r="J2433" s="3577"/>
      <c r="K2433" s="3812"/>
      <c r="L2433" s="3576"/>
      <c r="M2433" s="128" t="s">
        <v>6237</v>
      </c>
      <c r="N2433" s="185" t="s">
        <v>6245</v>
      </c>
      <c r="O2433" s="4708">
        <v>0.1</v>
      </c>
      <c r="P2433" s="837">
        <f>K2424*O2433</f>
        <v>116725.755</v>
      </c>
      <c r="Q2433" s="837"/>
      <c r="R2433" s="128"/>
      <c r="S2433" s="3615"/>
      <c r="T2433" s="3576"/>
      <c r="U2433" s="3576"/>
      <c r="V2433" s="3576"/>
      <c r="W2433" s="4820"/>
      <c r="X2433" s="837"/>
      <c r="Y2433" s="276"/>
      <c r="Z2433" s="4834"/>
      <c r="AA2433" s="3576"/>
      <c r="AB2433" s="4820"/>
      <c r="AC2433" s="4820"/>
      <c r="AD2433" s="4820"/>
      <c r="AE2433" s="4820"/>
      <c r="AF2433" s="4820"/>
      <c r="AG2433" s="4820"/>
      <c r="AH2433" s="152"/>
      <c r="AI2433" s="152"/>
    </row>
    <row r="2434" s="58" customFormat="1" ht="37.5" customHeight="1" spans="1:35">
      <c r="A2434" s="128" t="s">
        <v>1186</v>
      </c>
      <c r="B2434" s="3803">
        <v>45317</v>
      </c>
      <c r="C2434" s="649" t="s">
        <v>7581</v>
      </c>
      <c r="D2434" s="4786"/>
      <c r="E2434" s="647" t="s">
        <v>7585</v>
      </c>
      <c r="F2434" s="127" t="s">
        <v>7586</v>
      </c>
      <c r="G2434" s="647" t="s">
        <v>7587</v>
      </c>
      <c r="H2434" s="647" t="s">
        <v>5074</v>
      </c>
      <c r="I2434" s="3745">
        <v>2831.7</v>
      </c>
      <c r="J2434" s="3745">
        <v>790.35</v>
      </c>
      <c r="K2434" s="3812">
        <v>2238040</v>
      </c>
      <c r="L2434" s="128" t="s">
        <v>126</v>
      </c>
      <c r="M2434" s="3745">
        <v>1</v>
      </c>
      <c r="N2434" s="647" t="s">
        <v>7505</v>
      </c>
      <c r="O2434" s="4708">
        <v>0.15</v>
      </c>
      <c r="P2434" s="3817">
        <f>K2434*O2434</f>
        <v>335706</v>
      </c>
      <c r="Q2434" s="3882">
        <v>335706</v>
      </c>
      <c r="R2434" s="149" t="s">
        <v>4603</v>
      </c>
      <c r="S2434" s="3803">
        <v>45362</v>
      </c>
      <c r="T2434" s="3871">
        <v>335706</v>
      </c>
      <c r="U2434" s="3803">
        <v>45362</v>
      </c>
      <c r="V2434" s="3841">
        <v>100000</v>
      </c>
      <c r="W2434" s="3615">
        <v>45450</v>
      </c>
      <c r="X2434" s="3841">
        <v>100000</v>
      </c>
      <c r="Y2434" s="3615">
        <v>45470</v>
      </c>
      <c r="Z2434" s="3841"/>
      <c r="AA2434" s="128"/>
      <c r="AB2434" s="4820"/>
      <c r="AC2434" s="4820"/>
      <c r="AD2434" s="4820"/>
      <c r="AE2434" s="4820"/>
      <c r="AF2434" s="4820"/>
      <c r="AG2434" s="4820"/>
      <c r="AH2434" s="149" t="s">
        <v>197</v>
      </c>
      <c r="AI2434" s="149" t="s">
        <v>154</v>
      </c>
    </row>
    <row r="2435" s="58" customFormat="1" ht="37.5" customHeight="1" spans="1:35">
      <c r="A2435" s="3576"/>
      <c r="B2435" s="3805"/>
      <c r="C2435" s="3807"/>
      <c r="D2435" s="4787"/>
      <c r="E2435" s="3806"/>
      <c r="F2435" s="3810"/>
      <c r="G2435" s="3806"/>
      <c r="H2435" s="3806"/>
      <c r="I2435" s="3747"/>
      <c r="J2435" s="3747"/>
      <c r="K2435" s="3812"/>
      <c r="L2435" s="3576"/>
      <c r="M2435" s="3747"/>
      <c r="N2435" s="651"/>
      <c r="O2435" s="4708"/>
      <c r="P2435" s="3819"/>
      <c r="Q2435" s="4845"/>
      <c r="R2435" s="151"/>
      <c r="S2435" s="3805"/>
      <c r="T2435" s="3871"/>
      <c r="U2435" s="3805"/>
      <c r="V2435" s="3841">
        <v>300000</v>
      </c>
      <c r="W2435" s="3615">
        <v>45484</v>
      </c>
      <c r="X2435" s="3841">
        <v>300000</v>
      </c>
      <c r="Y2435" s="3615">
        <v>45503</v>
      </c>
      <c r="Z2435" s="3576"/>
      <c r="AA2435" s="128"/>
      <c r="AB2435" s="4820"/>
      <c r="AC2435" s="4820"/>
      <c r="AD2435" s="4820"/>
      <c r="AE2435" s="4820"/>
      <c r="AF2435" s="4820"/>
      <c r="AG2435" s="4820"/>
      <c r="AH2435" s="151"/>
      <c r="AI2435" s="151"/>
    </row>
    <row r="2436" s="58" customFormat="1" ht="37.5" customHeight="1" spans="1:35">
      <c r="A2436" s="3576"/>
      <c r="B2436" s="3805"/>
      <c r="C2436" s="3807"/>
      <c r="D2436" s="4787"/>
      <c r="E2436" s="3806"/>
      <c r="F2436" s="3810"/>
      <c r="G2436" s="3806"/>
      <c r="H2436" s="3806"/>
      <c r="I2436" s="3747"/>
      <c r="J2436" s="3747"/>
      <c r="K2436" s="3812"/>
      <c r="L2436" s="3576"/>
      <c r="M2436" s="3745">
        <v>2</v>
      </c>
      <c r="N2436" s="647" t="s">
        <v>7506</v>
      </c>
      <c r="O2436" s="4708">
        <v>0.25</v>
      </c>
      <c r="P2436" s="3817">
        <f>K2434*O2436</f>
        <v>559510</v>
      </c>
      <c r="Q2436" s="3882">
        <v>559510</v>
      </c>
      <c r="R2436" s="149" t="s">
        <v>4603</v>
      </c>
      <c r="S2436" s="3803">
        <v>45362</v>
      </c>
      <c r="T2436" s="4725">
        <v>559510</v>
      </c>
      <c r="U2436" s="3803">
        <v>45362</v>
      </c>
      <c r="V2436" s="3841">
        <v>100000</v>
      </c>
      <c r="W2436" s="3615">
        <v>45530</v>
      </c>
      <c r="X2436" s="3841">
        <v>100000</v>
      </c>
      <c r="Y2436" s="3615">
        <v>45534</v>
      </c>
      <c r="Z2436" s="3576"/>
      <c r="AA2436" s="128"/>
      <c r="AB2436" s="4820"/>
      <c r="AC2436" s="4820"/>
      <c r="AD2436" s="4820"/>
      <c r="AE2436" s="4820"/>
      <c r="AF2436" s="4820"/>
      <c r="AG2436" s="4820"/>
      <c r="AH2436" s="151"/>
      <c r="AI2436" s="151"/>
    </row>
    <row r="2437" s="58" customFormat="1" ht="37.5" customHeight="1" spans="1:35">
      <c r="A2437" s="3576"/>
      <c r="B2437" s="3805"/>
      <c r="C2437" s="3807"/>
      <c r="D2437" s="4787"/>
      <c r="E2437" s="3806"/>
      <c r="F2437" s="3810"/>
      <c r="G2437" s="3806"/>
      <c r="H2437" s="3806"/>
      <c r="I2437" s="3747"/>
      <c r="J2437" s="3747"/>
      <c r="K2437" s="3812"/>
      <c r="L2437" s="3576"/>
      <c r="M2437" s="3747"/>
      <c r="N2437" s="651"/>
      <c r="O2437" s="4708"/>
      <c r="P2437" s="3819"/>
      <c r="Q2437" s="4845"/>
      <c r="R2437" s="151"/>
      <c r="S2437" s="3805"/>
      <c r="T2437" s="4728"/>
      <c r="U2437" s="3805"/>
      <c r="V2437" s="3841">
        <v>150000</v>
      </c>
      <c r="W2437" s="3615">
        <v>45538</v>
      </c>
      <c r="X2437" s="3841">
        <v>150000</v>
      </c>
      <c r="Y2437" s="3615">
        <v>45562</v>
      </c>
      <c r="Z2437" s="3576"/>
      <c r="AA2437" s="128"/>
      <c r="AB2437" s="4820"/>
      <c r="AC2437" s="4820"/>
      <c r="AD2437" s="4820"/>
      <c r="AE2437" s="4820"/>
      <c r="AF2437" s="4820"/>
      <c r="AG2437" s="4820"/>
      <c r="AH2437" s="151"/>
      <c r="AI2437" s="151"/>
    </row>
    <row r="2438" s="58" customFormat="1" ht="37.5" customHeight="1" spans="1:35">
      <c r="A2438" s="3576"/>
      <c r="B2438" s="3805"/>
      <c r="C2438" s="3807"/>
      <c r="D2438" s="4787"/>
      <c r="E2438" s="3806"/>
      <c r="F2438" s="3810"/>
      <c r="G2438" s="3806"/>
      <c r="H2438" s="3806"/>
      <c r="I2438" s="3747"/>
      <c r="J2438" s="3747"/>
      <c r="K2438" s="3812"/>
      <c r="L2438" s="3576"/>
      <c r="M2438" s="3577"/>
      <c r="N2438" s="651"/>
      <c r="O2438" s="4708"/>
      <c r="P2438" s="3821"/>
      <c r="Q2438" s="3577"/>
      <c r="R2438" s="152"/>
      <c r="S2438" s="3830"/>
      <c r="T2438" s="4726"/>
      <c r="U2438" s="3830"/>
      <c r="V2438" s="3841">
        <v>245216</v>
      </c>
      <c r="W2438" s="3615">
        <v>45580</v>
      </c>
      <c r="X2438" s="3841">
        <v>245216</v>
      </c>
      <c r="Y2438" s="3615">
        <v>45596</v>
      </c>
      <c r="Z2438" s="3576"/>
      <c r="AA2438" s="128"/>
      <c r="AB2438" s="4820"/>
      <c r="AC2438" s="4820"/>
      <c r="AD2438" s="4820"/>
      <c r="AE2438" s="4820"/>
      <c r="AF2438" s="4820"/>
      <c r="AG2438" s="4820"/>
      <c r="AH2438" s="151"/>
      <c r="AI2438" s="151"/>
    </row>
    <row r="2439" s="58" customFormat="1" ht="37.5" customHeight="1" spans="1:35">
      <c r="A2439" s="3576"/>
      <c r="B2439" s="3805"/>
      <c r="C2439" s="3807"/>
      <c r="D2439" s="4787"/>
      <c r="E2439" s="3806"/>
      <c r="F2439" s="3810"/>
      <c r="G2439" s="3806"/>
      <c r="H2439" s="3806"/>
      <c r="I2439" s="3747"/>
      <c r="J2439" s="3747"/>
      <c r="K2439" s="3812"/>
      <c r="L2439" s="3576"/>
      <c r="M2439" s="3576">
        <v>3</v>
      </c>
      <c r="N2439" s="172" t="s">
        <v>5077</v>
      </c>
      <c r="O2439" s="4708">
        <v>0.1</v>
      </c>
      <c r="P2439" s="837">
        <f>K2434*O2439</f>
        <v>223804</v>
      </c>
      <c r="Q2439" s="3879">
        <v>223804</v>
      </c>
      <c r="R2439" s="128" t="s">
        <v>4603</v>
      </c>
      <c r="S2439" s="3615">
        <v>45362</v>
      </c>
      <c r="T2439" s="3872">
        <v>223804</v>
      </c>
      <c r="U2439" s="3615">
        <v>45362</v>
      </c>
      <c r="V2439" s="3841">
        <v>123804</v>
      </c>
      <c r="W2439" s="3615">
        <v>45607</v>
      </c>
      <c r="X2439" s="3872">
        <v>123804</v>
      </c>
      <c r="Y2439" s="3615">
        <v>45624</v>
      </c>
      <c r="Z2439" s="3576"/>
      <c r="AA2439" s="128"/>
      <c r="AB2439" s="4820"/>
      <c r="AC2439" s="4820"/>
      <c r="AD2439" s="4820"/>
      <c r="AE2439" s="4820"/>
      <c r="AF2439" s="4820"/>
      <c r="AG2439" s="4820"/>
      <c r="AH2439" s="151"/>
      <c r="AI2439" s="151"/>
    </row>
    <row r="2440" s="58" customFormat="1" ht="37.5" customHeight="1" spans="1:35">
      <c r="A2440" s="3576"/>
      <c r="B2440" s="3805"/>
      <c r="C2440" s="3807"/>
      <c r="D2440" s="4787"/>
      <c r="E2440" s="3806"/>
      <c r="F2440" s="3810"/>
      <c r="G2440" s="3806"/>
      <c r="H2440" s="3806"/>
      <c r="I2440" s="3747"/>
      <c r="J2440" s="3747"/>
      <c r="K2440" s="3812"/>
      <c r="L2440" s="3576"/>
      <c r="M2440" s="3745">
        <v>4</v>
      </c>
      <c r="N2440" s="647" t="s">
        <v>7507</v>
      </c>
      <c r="O2440" s="4708">
        <v>0.3</v>
      </c>
      <c r="P2440" s="3817">
        <f>K2434*O2440</f>
        <v>671412</v>
      </c>
      <c r="Q2440" s="3882">
        <v>671412</v>
      </c>
      <c r="R2440" s="149" t="s">
        <v>4603</v>
      </c>
      <c r="S2440" s="3803">
        <v>45362</v>
      </c>
      <c r="T2440" s="3886">
        <v>671412</v>
      </c>
      <c r="U2440" s="4744">
        <v>45362</v>
      </c>
      <c r="V2440" s="3841">
        <v>471412</v>
      </c>
      <c r="W2440" s="3615">
        <v>45641</v>
      </c>
      <c r="X2440" s="3834">
        <v>471412</v>
      </c>
      <c r="Y2440" s="3615">
        <v>45650</v>
      </c>
      <c r="Z2440" s="3576"/>
      <c r="AA2440" s="128"/>
      <c r="AB2440" s="4820"/>
      <c r="AC2440" s="4820"/>
      <c r="AD2440" s="4820"/>
      <c r="AE2440" s="4820"/>
      <c r="AF2440" s="4820"/>
      <c r="AG2440" s="4820"/>
      <c r="AH2440" s="151"/>
      <c r="AI2440" s="151"/>
    </row>
    <row r="2441" s="58" customFormat="1" ht="37.5" customHeight="1" spans="1:35">
      <c r="A2441" s="3576"/>
      <c r="B2441" s="3805"/>
      <c r="C2441" s="3807"/>
      <c r="D2441" s="4787"/>
      <c r="E2441" s="3806"/>
      <c r="F2441" s="3810"/>
      <c r="G2441" s="3806"/>
      <c r="H2441" s="3806"/>
      <c r="I2441" s="3747"/>
      <c r="J2441" s="3747"/>
      <c r="K2441" s="3812"/>
      <c r="L2441" s="3576"/>
      <c r="M2441" s="3747"/>
      <c r="N2441" s="651"/>
      <c r="O2441" s="4708"/>
      <c r="P2441" s="3819"/>
      <c r="Q2441" s="4845"/>
      <c r="R2441" s="151"/>
      <c r="S2441" s="3805"/>
      <c r="T2441" s="4729"/>
      <c r="U2441" s="4745"/>
      <c r="V2441" s="4747">
        <v>300000</v>
      </c>
      <c r="W2441" s="3803">
        <v>45663</v>
      </c>
      <c r="X2441" s="3841">
        <v>150000</v>
      </c>
      <c r="Y2441" s="3615">
        <v>45681</v>
      </c>
      <c r="Z2441" s="3576"/>
      <c r="AA2441" s="128"/>
      <c r="AB2441" s="4820"/>
      <c r="AC2441" s="4820"/>
      <c r="AD2441" s="4820"/>
      <c r="AE2441" s="4820"/>
      <c r="AF2441" s="4820"/>
      <c r="AG2441" s="4820"/>
      <c r="AH2441" s="151"/>
      <c r="AI2441" s="151"/>
    </row>
    <row r="2442" s="58" customFormat="1" ht="37.5" customHeight="1" spans="1:35">
      <c r="A2442" s="3576"/>
      <c r="B2442" s="3805"/>
      <c r="C2442" s="3807"/>
      <c r="D2442" s="4787"/>
      <c r="E2442" s="3806"/>
      <c r="F2442" s="3810"/>
      <c r="G2442" s="3806"/>
      <c r="H2442" s="3806"/>
      <c r="I2442" s="3747"/>
      <c r="J2442" s="3747"/>
      <c r="K2442" s="3812"/>
      <c r="L2442" s="3576"/>
      <c r="M2442" s="3577"/>
      <c r="N2442" s="651"/>
      <c r="O2442" s="4708"/>
      <c r="P2442" s="3821"/>
      <c r="Q2442" s="4769"/>
      <c r="R2442" s="152"/>
      <c r="S2442" s="3830"/>
      <c r="T2442" s="3887"/>
      <c r="U2442" s="4746"/>
      <c r="V2442" s="3840"/>
      <c r="W2442" s="3830"/>
      <c r="X2442" s="3874">
        <v>150000</v>
      </c>
      <c r="Y2442" s="3615">
        <v>45716</v>
      </c>
      <c r="Z2442" s="3576"/>
      <c r="AA2442" s="128"/>
      <c r="AB2442" s="4820"/>
      <c r="AC2442" s="4820"/>
      <c r="AD2442" s="4820"/>
      <c r="AE2442" s="4820"/>
      <c r="AF2442" s="4820"/>
      <c r="AG2442" s="4820"/>
      <c r="AH2442" s="151"/>
      <c r="AI2442" s="151"/>
    </row>
    <row r="2443" s="58" customFormat="1" ht="37.5" customHeight="1" spans="1:35">
      <c r="A2443" s="3576"/>
      <c r="B2443" s="3805"/>
      <c r="C2443" s="3807"/>
      <c r="D2443" s="4787"/>
      <c r="E2443" s="3806"/>
      <c r="F2443" s="3810"/>
      <c r="G2443" s="3806"/>
      <c r="H2443" s="3806"/>
      <c r="I2443" s="3747"/>
      <c r="J2443" s="3747"/>
      <c r="K2443" s="3812"/>
      <c r="L2443" s="3576"/>
      <c r="M2443" s="3576">
        <v>5</v>
      </c>
      <c r="N2443" s="172" t="s">
        <v>5079</v>
      </c>
      <c r="O2443" s="4708">
        <v>0.05</v>
      </c>
      <c r="P2443" s="837">
        <f>K2434*O2443</f>
        <v>111902</v>
      </c>
      <c r="Q2443" s="3407">
        <v>111902</v>
      </c>
      <c r="R2443" s="3407" t="s">
        <v>349</v>
      </c>
      <c r="S2443" s="315">
        <v>46325</v>
      </c>
      <c r="T2443" s="3832"/>
      <c r="U2443" s="3842"/>
      <c r="V2443" s="3841"/>
      <c r="W2443" s="3615"/>
      <c r="X2443" s="3841"/>
      <c r="Y2443" s="3615"/>
      <c r="Z2443" s="3576"/>
      <c r="AA2443" s="128"/>
      <c r="AB2443" s="4820"/>
      <c r="AC2443" s="4820"/>
      <c r="AD2443" s="4820"/>
      <c r="AE2443" s="4820"/>
      <c r="AF2443" s="4820"/>
      <c r="AG2443" s="4820"/>
      <c r="AH2443" s="151"/>
      <c r="AI2443" s="151"/>
    </row>
    <row r="2444" s="58" customFormat="1" ht="37.5" customHeight="1" spans="1:35">
      <c r="A2444" s="3576"/>
      <c r="B2444" s="3805"/>
      <c r="C2444" s="3807"/>
      <c r="D2444" s="4787"/>
      <c r="E2444" s="3806"/>
      <c r="F2444" s="3810"/>
      <c r="G2444" s="3806"/>
      <c r="H2444" s="3806"/>
      <c r="I2444" s="3747"/>
      <c r="J2444" s="3747"/>
      <c r="K2444" s="3812"/>
      <c r="L2444" s="3576"/>
      <c r="M2444" s="3576">
        <v>6</v>
      </c>
      <c r="N2444" s="172" t="s">
        <v>5080</v>
      </c>
      <c r="O2444" s="4708">
        <v>0.05</v>
      </c>
      <c r="P2444" s="837">
        <f>K2434*O2444</f>
        <v>111902</v>
      </c>
      <c r="Q2444" s="3407">
        <v>111902</v>
      </c>
      <c r="R2444" s="3407" t="s">
        <v>349</v>
      </c>
      <c r="S2444" s="315">
        <v>46325</v>
      </c>
      <c r="T2444" s="3832"/>
      <c r="U2444" s="3842"/>
      <c r="V2444" s="3841"/>
      <c r="W2444" s="3615"/>
      <c r="X2444" s="3841"/>
      <c r="Y2444" s="3615"/>
      <c r="Z2444" s="3576"/>
      <c r="AA2444" s="128"/>
      <c r="AB2444" s="4820"/>
      <c r="AC2444" s="4820"/>
      <c r="AD2444" s="4820"/>
      <c r="AE2444" s="4820"/>
      <c r="AF2444" s="4820"/>
      <c r="AG2444" s="4820"/>
      <c r="AH2444" s="151"/>
      <c r="AI2444" s="151"/>
    </row>
    <row r="2445" s="58" customFormat="1" ht="92" spans="1:35">
      <c r="A2445" s="3576"/>
      <c r="B2445" s="3830"/>
      <c r="C2445" s="3852"/>
      <c r="D2445" s="4788"/>
      <c r="E2445" s="3853"/>
      <c r="F2445" s="3810"/>
      <c r="G2445" s="3853"/>
      <c r="H2445" s="3853"/>
      <c r="I2445" s="3577"/>
      <c r="J2445" s="3577"/>
      <c r="K2445" s="3812"/>
      <c r="L2445" s="3576"/>
      <c r="M2445" s="128" t="s">
        <v>6237</v>
      </c>
      <c r="N2445" s="185" t="s">
        <v>7508</v>
      </c>
      <c r="O2445" s="4708">
        <v>0.1</v>
      </c>
      <c r="P2445" s="837">
        <f>K2434*O2445</f>
        <v>223804</v>
      </c>
      <c r="Q2445" s="837"/>
      <c r="R2445" s="128"/>
      <c r="S2445" s="3615"/>
      <c r="T2445" s="3576"/>
      <c r="U2445" s="3576"/>
      <c r="V2445" s="3576"/>
      <c r="W2445" s="4820"/>
      <c r="X2445" s="837"/>
      <c r="Y2445" s="276"/>
      <c r="Z2445" s="4820"/>
      <c r="AA2445" s="3576"/>
      <c r="AB2445" s="4820"/>
      <c r="AC2445" s="4820"/>
      <c r="AD2445" s="4820"/>
      <c r="AE2445" s="4820"/>
      <c r="AF2445" s="4820"/>
      <c r="AG2445" s="4820"/>
      <c r="AH2445" s="152"/>
      <c r="AI2445" s="152"/>
    </row>
    <row r="2446" s="58" customFormat="1" ht="66.75" customHeight="1" spans="1:35">
      <c r="A2446" s="128" t="s">
        <v>1186</v>
      </c>
      <c r="B2446" s="3803">
        <v>45549</v>
      </c>
      <c r="C2446" s="649" t="s">
        <v>7581</v>
      </c>
      <c r="D2446" s="4786"/>
      <c r="E2446" s="647" t="s">
        <v>7588</v>
      </c>
      <c r="F2446" s="127" t="s">
        <v>7589</v>
      </c>
      <c r="G2446" s="647" t="s">
        <v>7590</v>
      </c>
      <c r="H2446" s="647" t="s">
        <v>5074</v>
      </c>
      <c r="I2446" s="3745">
        <v>155.57</v>
      </c>
      <c r="J2446" s="3745">
        <f>K2446/I2446</f>
        <v>900</v>
      </c>
      <c r="K2446" s="3812">
        <v>140013</v>
      </c>
      <c r="L2446" s="128" t="s">
        <v>126</v>
      </c>
      <c r="M2446" s="3745">
        <v>1</v>
      </c>
      <c r="N2446" s="172" t="s">
        <v>7591</v>
      </c>
      <c r="O2446" s="4708">
        <v>1</v>
      </c>
      <c r="P2446" s="3817">
        <f>K2446*O2446</f>
        <v>140013</v>
      </c>
      <c r="Q2446" s="4816">
        <v>140013</v>
      </c>
      <c r="R2446" s="128" t="s">
        <v>4603</v>
      </c>
      <c r="S2446" s="3615">
        <v>45706</v>
      </c>
      <c r="T2446" s="3871">
        <v>140013</v>
      </c>
      <c r="U2446" s="3803">
        <v>45700</v>
      </c>
      <c r="V2446" s="4775">
        <v>140013</v>
      </c>
      <c r="W2446" s="3615">
        <v>45706</v>
      </c>
      <c r="X2446" s="4824">
        <v>140013</v>
      </c>
      <c r="Y2446" s="3615">
        <v>45716</v>
      </c>
      <c r="Z2446" s="3841"/>
      <c r="AA2446" s="128"/>
      <c r="AB2446" s="4820"/>
      <c r="AC2446" s="4820"/>
      <c r="AD2446" s="4820"/>
      <c r="AE2446" s="4820"/>
      <c r="AF2446" s="4820"/>
      <c r="AG2446" s="4820"/>
      <c r="AH2446" s="149" t="s">
        <v>197</v>
      </c>
      <c r="AI2446" s="149" t="s">
        <v>154</v>
      </c>
    </row>
    <row r="2447" s="58" customFormat="1" ht="37.5" customHeight="1" spans="1:35">
      <c r="A2447" s="128" t="s">
        <v>1186</v>
      </c>
      <c r="B2447" s="3803">
        <v>45319</v>
      </c>
      <c r="C2447" s="649" t="s">
        <v>7581</v>
      </c>
      <c r="D2447" s="4786"/>
      <c r="E2447" s="647" t="s">
        <v>7592</v>
      </c>
      <c r="F2447" s="127" t="s">
        <v>7593</v>
      </c>
      <c r="G2447" s="647" t="s">
        <v>3569</v>
      </c>
      <c r="H2447" s="647" t="s">
        <v>5492</v>
      </c>
      <c r="I2447" s="3745">
        <v>137075.43</v>
      </c>
      <c r="J2447" s="3811">
        <f>K2447/I2447</f>
        <v>19.5521357109732</v>
      </c>
      <c r="K2447" s="3812">
        <v>2680117.41</v>
      </c>
      <c r="L2447" s="128" t="s">
        <v>126</v>
      </c>
      <c r="M2447" s="3576">
        <v>1</v>
      </c>
      <c r="N2447" s="185" t="s">
        <v>7594</v>
      </c>
      <c r="O2447" s="4708">
        <v>0.2</v>
      </c>
      <c r="P2447" s="837">
        <f>K2447*O2447</f>
        <v>536023.482</v>
      </c>
      <c r="Q2447" s="3879">
        <v>536023.48</v>
      </c>
      <c r="R2447" s="128" t="s">
        <v>4603</v>
      </c>
      <c r="S2447" s="3615">
        <v>45362</v>
      </c>
      <c r="T2447" s="3576">
        <v>536023.48</v>
      </c>
      <c r="U2447" s="3885">
        <v>45362</v>
      </c>
      <c r="V2447" s="4775">
        <v>500000</v>
      </c>
      <c r="W2447" s="3615">
        <v>45488</v>
      </c>
      <c r="X2447" s="3841">
        <v>500000</v>
      </c>
      <c r="Y2447" s="3615">
        <v>45503</v>
      </c>
      <c r="Z2447" s="4832"/>
      <c r="AA2447" s="128"/>
      <c r="AB2447" s="4820"/>
      <c r="AC2447" s="4820"/>
      <c r="AD2447" s="4820"/>
      <c r="AE2447" s="4820"/>
      <c r="AF2447" s="4820"/>
      <c r="AG2447" s="4820"/>
      <c r="AH2447" s="149" t="s">
        <v>197</v>
      </c>
      <c r="AI2447" s="149" t="s">
        <v>154</v>
      </c>
    </row>
    <row r="2448" s="58" customFormat="1" ht="37.5" customHeight="1" spans="1:35">
      <c r="A2448" s="3576"/>
      <c r="B2448" s="3805"/>
      <c r="C2448" s="3807"/>
      <c r="D2448" s="4787"/>
      <c r="E2448" s="3806"/>
      <c r="F2448" s="3810"/>
      <c r="G2448" s="3806"/>
      <c r="H2448" s="3806"/>
      <c r="I2448" s="3747"/>
      <c r="J2448" s="3813"/>
      <c r="K2448" s="3812"/>
      <c r="L2448" s="3576"/>
      <c r="M2448" s="3745">
        <v>2</v>
      </c>
      <c r="N2448" s="647" t="s">
        <v>7595</v>
      </c>
      <c r="O2448" s="4708">
        <v>0.3</v>
      </c>
      <c r="P2448" s="3817">
        <f>K2447*O2448</f>
        <v>804035.223</v>
      </c>
      <c r="Q2448" s="3882">
        <v>804035.22</v>
      </c>
      <c r="R2448" s="149" t="s">
        <v>4603</v>
      </c>
      <c r="S2448" s="3803">
        <v>45362</v>
      </c>
      <c r="T2448" s="3745">
        <v>804035.22</v>
      </c>
      <c r="U2448" s="4744">
        <v>45362</v>
      </c>
      <c r="V2448" s="4775">
        <v>100000</v>
      </c>
      <c r="W2448" s="3615">
        <v>45519</v>
      </c>
      <c r="X2448" s="3841">
        <v>100000</v>
      </c>
      <c r="Y2448" s="3615">
        <v>45530</v>
      </c>
      <c r="Z2448" s="3576"/>
      <c r="AA2448" s="128"/>
      <c r="AB2448" s="4820"/>
      <c r="AC2448" s="4820"/>
      <c r="AD2448" s="4820"/>
      <c r="AE2448" s="4820"/>
      <c r="AF2448" s="4820"/>
      <c r="AG2448" s="4820"/>
      <c r="AH2448" s="151"/>
      <c r="AI2448" s="151"/>
    </row>
    <row r="2449" s="58" customFormat="1" ht="37.5" customHeight="1" spans="1:35">
      <c r="A2449" s="3576"/>
      <c r="B2449" s="3805"/>
      <c r="C2449" s="3807"/>
      <c r="D2449" s="4787"/>
      <c r="E2449" s="3806"/>
      <c r="F2449" s="3810"/>
      <c r="G2449" s="3806"/>
      <c r="H2449" s="3806"/>
      <c r="I2449" s="3747"/>
      <c r="J2449" s="3813"/>
      <c r="K2449" s="3812"/>
      <c r="L2449" s="3576"/>
      <c r="M2449" s="3747"/>
      <c r="N2449" s="651"/>
      <c r="O2449" s="4708"/>
      <c r="P2449" s="3819"/>
      <c r="Q2449" s="4845"/>
      <c r="R2449" s="151"/>
      <c r="S2449" s="3805"/>
      <c r="T2449" s="3747"/>
      <c r="U2449" s="4745"/>
      <c r="V2449" s="4775">
        <v>240058.7</v>
      </c>
      <c r="W2449" s="3615">
        <v>45544</v>
      </c>
      <c r="X2449" s="3841">
        <v>240058.7</v>
      </c>
      <c r="Y2449" s="3615">
        <v>45562</v>
      </c>
      <c r="Z2449" s="3576"/>
      <c r="AA2449" s="128"/>
      <c r="AB2449" s="4820"/>
      <c r="AC2449" s="4820"/>
      <c r="AD2449" s="4820"/>
      <c r="AE2449" s="4820"/>
      <c r="AF2449" s="4820"/>
      <c r="AG2449" s="4820"/>
      <c r="AH2449" s="151"/>
      <c r="AI2449" s="151"/>
    </row>
    <row r="2450" s="58" customFormat="1" ht="37.5" customHeight="1" spans="1:35">
      <c r="A2450" s="3576"/>
      <c r="B2450" s="3805"/>
      <c r="C2450" s="3807"/>
      <c r="D2450" s="4787"/>
      <c r="E2450" s="3806"/>
      <c r="F2450" s="3810"/>
      <c r="G2450" s="3806"/>
      <c r="H2450" s="3806"/>
      <c r="I2450" s="3747"/>
      <c r="J2450" s="3813"/>
      <c r="K2450" s="3812"/>
      <c r="L2450" s="3576"/>
      <c r="M2450" s="3747"/>
      <c r="N2450" s="651"/>
      <c r="O2450" s="4708"/>
      <c r="P2450" s="3819"/>
      <c r="Q2450" s="4845"/>
      <c r="R2450" s="151"/>
      <c r="S2450" s="3805"/>
      <c r="T2450" s="3747"/>
      <c r="U2450" s="4745"/>
      <c r="V2450" s="4775">
        <v>300000</v>
      </c>
      <c r="W2450" s="3615">
        <v>45581</v>
      </c>
      <c r="X2450" s="3841">
        <v>200000</v>
      </c>
      <c r="Y2450" s="3615">
        <v>45624</v>
      </c>
      <c r="Z2450" s="3576"/>
      <c r="AA2450" s="128"/>
      <c r="AB2450" s="4820"/>
      <c r="AC2450" s="4820"/>
      <c r="AD2450" s="4820"/>
      <c r="AE2450" s="4820"/>
      <c r="AF2450" s="4820"/>
      <c r="AG2450" s="4820"/>
      <c r="AH2450" s="151"/>
      <c r="AI2450" s="151"/>
    </row>
    <row r="2451" s="58" customFormat="1" ht="37.5" customHeight="1" spans="1:35">
      <c r="A2451" s="3576"/>
      <c r="B2451" s="3805"/>
      <c r="C2451" s="3807"/>
      <c r="D2451" s="4787"/>
      <c r="E2451" s="3806"/>
      <c r="F2451" s="3810"/>
      <c r="G2451" s="3806"/>
      <c r="H2451" s="3806"/>
      <c r="I2451" s="3747"/>
      <c r="J2451" s="3813"/>
      <c r="K2451" s="3812"/>
      <c r="L2451" s="3576"/>
      <c r="M2451" s="3577"/>
      <c r="N2451" s="651"/>
      <c r="O2451" s="4708"/>
      <c r="P2451" s="3821"/>
      <c r="Q2451" s="4769"/>
      <c r="R2451" s="152"/>
      <c r="S2451" s="3830"/>
      <c r="T2451" s="3577"/>
      <c r="U2451" s="4746"/>
      <c r="V2451" s="4775">
        <f>Q2447+Q2448-V2447-V2448-V2449-V2450</f>
        <v>200000</v>
      </c>
      <c r="W2451" s="3615">
        <v>45600</v>
      </c>
      <c r="X2451" s="3841">
        <v>300000</v>
      </c>
      <c r="Y2451" s="3615">
        <v>45650</v>
      </c>
      <c r="Z2451" s="3576"/>
      <c r="AA2451" s="128"/>
      <c r="AB2451" s="4820"/>
      <c r="AC2451" s="4820"/>
      <c r="AD2451" s="4820"/>
      <c r="AE2451" s="4820"/>
      <c r="AF2451" s="4820"/>
      <c r="AG2451" s="4820"/>
      <c r="AH2451" s="151"/>
      <c r="AI2451" s="151"/>
    </row>
    <row r="2452" s="58" customFormat="1" ht="24" customHeight="1" spans="1:35">
      <c r="A2452" s="3576"/>
      <c r="B2452" s="3805"/>
      <c r="C2452" s="3807"/>
      <c r="D2452" s="4787"/>
      <c r="E2452" s="3806"/>
      <c r="F2452" s="3810"/>
      <c r="G2452" s="3806"/>
      <c r="H2452" s="3806"/>
      <c r="I2452" s="3747"/>
      <c r="J2452" s="3813"/>
      <c r="K2452" s="3812"/>
      <c r="L2452" s="3576"/>
      <c r="M2452" s="3745">
        <v>3</v>
      </c>
      <c r="N2452" s="647" t="s">
        <v>7596</v>
      </c>
      <c r="O2452" s="4708">
        <v>0.2</v>
      </c>
      <c r="P2452" s="3817">
        <f>K2447*O2452</f>
        <v>536023.482</v>
      </c>
      <c r="Q2452" s="3882">
        <v>536023.48</v>
      </c>
      <c r="R2452" s="4846" t="s">
        <v>4603</v>
      </c>
      <c r="S2452" s="3881">
        <v>45510</v>
      </c>
      <c r="T2452" s="3882">
        <v>536023.48</v>
      </c>
      <c r="U2452" s="3881">
        <v>45510</v>
      </c>
      <c r="V2452" s="3841">
        <v>336023.48</v>
      </c>
      <c r="W2452" s="3615">
        <v>45664</v>
      </c>
      <c r="X2452" s="3841">
        <v>336023.48</v>
      </c>
      <c r="Y2452" s="3615">
        <v>45681</v>
      </c>
      <c r="Z2452" s="3576">
        <f>T2452-X2452</f>
        <v>200000</v>
      </c>
      <c r="AA2452" s="128"/>
      <c r="AB2452" s="4820"/>
      <c r="AC2452" s="4820"/>
      <c r="AD2452" s="4820"/>
      <c r="AE2452" s="4820"/>
      <c r="AF2452" s="4820"/>
      <c r="AG2452" s="4820"/>
      <c r="AH2452" s="151"/>
      <c r="AI2452" s="151"/>
    </row>
    <row r="2453" s="58" customFormat="1" ht="24.75" customHeight="1" spans="1:35">
      <c r="A2453" s="3576"/>
      <c r="B2453" s="3805"/>
      <c r="C2453" s="3807"/>
      <c r="D2453" s="4787"/>
      <c r="E2453" s="3806"/>
      <c r="F2453" s="3810"/>
      <c r="G2453" s="3806"/>
      <c r="H2453" s="3806"/>
      <c r="I2453" s="3747"/>
      <c r="J2453" s="3813"/>
      <c r="K2453" s="3812"/>
      <c r="L2453" s="3576"/>
      <c r="M2453" s="3577"/>
      <c r="N2453" s="651"/>
      <c r="O2453" s="4708"/>
      <c r="P2453" s="3821"/>
      <c r="Q2453" s="4769"/>
      <c r="R2453" s="4814"/>
      <c r="S2453" s="4847"/>
      <c r="T2453" s="4769"/>
      <c r="U2453" s="4847"/>
      <c r="V2453" s="4775">
        <v>200000</v>
      </c>
      <c r="W2453" s="3615">
        <v>45701</v>
      </c>
      <c r="X2453" s="4824">
        <v>200000</v>
      </c>
      <c r="Y2453" s="3615">
        <v>45715</v>
      </c>
      <c r="Z2453" s="3576"/>
      <c r="AA2453" s="128"/>
      <c r="AB2453" s="4820"/>
      <c r="AC2453" s="4820"/>
      <c r="AD2453" s="4820"/>
      <c r="AE2453" s="4820"/>
      <c r="AF2453" s="4820"/>
      <c r="AG2453" s="4820"/>
      <c r="AH2453" s="151"/>
      <c r="AI2453" s="151"/>
    </row>
    <row r="2454" s="58" customFormat="1" ht="27.75" customHeight="1" spans="1:35">
      <c r="A2454" s="3576"/>
      <c r="B2454" s="3805"/>
      <c r="C2454" s="3807"/>
      <c r="D2454" s="4787"/>
      <c r="E2454" s="3806"/>
      <c r="F2454" s="3810"/>
      <c r="G2454" s="3806"/>
      <c r="H2454" s="3806"/>
      <c r="I2454" s="3747"/>
      <c r="J2454" s="3813"/>
      <c r="K2454" s="3812"/>
      <c r="L2454" s="3576"/>
      <c r="M2454" s="3745">
        <v>4</v>
      </c>
      <c r="N2454" s="647" t="s">
        <v>7597</v>
      </c>
      <c r="O2454" s="4708">
        <v>0.15</v>
      </c>
      <c r="P2454" s="3817">
        <f>K2447*O2454</f>
        <v>402017.6115</v>
      </c>
      <c r="Q2454" s="3882">
        <v>402017.61</v>
      </c>
      <c r="R2454" s="4846" t="s">
        <v>4603</v>
      </c>
      <c r="S2454" s="3881">
        <v>45510</v>
      </c>
      <c r="T2454" s="3882">
        <v>402017.61</v>
      </c>
      <c r="U2454" s="4852">
        <v>45510</v>
      </c>
      <c r="V2454" s="4824">
        <v>200000</v>
      </c>
      <c r="W2454" s="3837">
        <v>45722</v>
      </c>
      <c r="X2454" s="4824">
        <v>200000</v>
      </c>
      <c r="Y2454" s="3615">
        <v>45744</v>
      </c>
      <c r="Z2454" s="3576"/>
      <c r="AA2454" s="128"/>
      <c r="AB2454" s="4820"/>
      <c r="AC2454" s="4820"/>
      <c r="AD2454" s="4820"/>
      <c r="AE2454" s="4820"/>
      <c r="AF2454" s="4820"/>
      <c r="AG2454" s="4820"/>
      <c r="AH2454" s="151"/>
      <c r="AI2454" s="151"/>
    </row>
    <row r="2455" s="58" customFormat="1" ht="27.75" customHeight="1" spans="1:35">
      <c r="A2455" s="3576"/>
      <c r="B2455" s="3805"/>
      <c r="C2455" s="3807"/>
      <c r="D2455" s="4787"/>
      <c r="E2455" s="3806"/>
      <c r="F2455" s="3810"/>
      <c r="G2455" s="3806"/>
      <c r="H2455" s="3806"/>
      <c r="I2455" s="3747"/>
      <c r="J2455" s="3813"/>
      <c r="K2455" s="3812"/>
      <c r="L2455" s="3576"/>
      <c r="M2455" s="3577"/>
      <c r="N2455" s="651"/>
      <c r="O2455" s="4708"/>
      <c r="P2455" s="3821"/>
      <c r="Q2455" s="4769"/>
      <c r="R2455" s="4814"/>
      <c r="S2455" s="4847"/>
      <c r="T2455" s="4769"/>
      <c r="U2455" s="4853"/>
      <c r="V2455" s="3874">
        <f>T2454-V2454</f>
        <v>202017.61</v>
      </c>
      <c r="W2455" s="3837">
        <v>45761</v>
      </c>
      <c r="X2455" s="3874">
        <v>202017.61</v>
      </c>
      <c r="Y2455" s="3615">
        <v>45770</v>
      </c>
      <c r="Z2455" s="3576"/>
      <c r="AA2455" s="128"/>
      <c r="AB2455" s="4820"/>
      <c r="AC2455" s="4820"/>
      <c r="AD2455" s="4820"/>
      <c r="AE2455" s="4820"/>
      <c r="AF2455" s="4820"/>
      <c r="AG2455" s="4820"/>
      <c r="AH2455" s="151"/>
      <c r="AI2455" s="151"/>
    </row>
    <row r="2456" s="58" customFormat="1" ht="76" spans="1:35">
      <c r="A2456" s="3576"/>
      <c r="B2456" s="3805"/>
      <c r="C2456" s="3807"/>
      <c r="D2456" s="4787"/>
      <c r="E2456" s="3806"/>
      <c r="F2456" s="3810"/>
      <c r="G2456" s="3806"/>
      <c r="H2456" s="3806"/>
      <c r="I2456" s="3747"/>
      <c r="J2456" s="3813"/>
      <c r="K2456" s="3812"/>
      <c r="L2456" s="3576"/>
      <c r="M2456" s="3576">
        <v>5</v>
      </c>
      <c r="N2456" s="172" t="s">
        <v>5501</v>
      </c>
      <c r="O2456" s="4708">
        <v>0.05</v>
      </c>
      <c r="P2456" s="837">
        <f>K2447*O2456</f>
        <v>134005.8705</v>
      </c>
      <c r="Q2456" s="3439">
        <v>134005.87</v>
      </c>
      <c r="R2456" s="4799" t="s">
        <v>349</v>
      </c>
      <c r="S2456" s="3440">
        <v>46325</v>
      </c>
      <c r="T2456" s="4799">
        <v>134005.87</v>
      </c>
      <c r="U2456" s="3616"/>
      <c r="V2456" s="3888">
        <v>134005.87</v>
      </c>
      <c r="W2456" s="3616"/>
      <c r="X2456" s="3888">
        <v>134005.87</v>
      </c>
      <c r="Y2456" s="3616"/>
      <c r="Z2456" s="3576"/>
      <c r="AA2456" s="128"/>
      <c r="AB2456" s="4820"/>
      <c r="AC2456" s="4820"/>
      <c r="AD2456" s="4820"/>
      <c r="AE2456" s="4820"/>
      <c r="AF2456" s="4820"/>
      <c r="AG2456" s="4820"/>
      <c r="AH2456" s="151"/>
      <c r="AI2456" s="151"/>
    </row>
    <row r="2457" s="58" customFormat="1" ht="92" spans="1:35">
      <c r="A2457" s="3576"/>
      <c r="B2457" s="3830"/>
      <c r="C2457" s="3852"/>
      <c r="D2457" s="4788"/>
      <c r="E2457" s="3853"/>
      <c r="F2457" s="3810"/>
      <c r="G2457" s="3853"/>
      <c r="H2457" s="3853"/>
      <c r="I2457" s="3577"/>
      <c r="J2457" s="3829"/>
      <c r="K2457" s="3812"/>
      <c r="L2457" s="3576"/>
      <c r="M2457" s="128" t="s">
        <v>6237</v>
      </c>
      <c r="N2457" s="185" t="s">
        <v>6245</v>
      </c>
      <c r="O2457" s="4708">
        <v>0.1</v>
      </c>
      <c r="P2457" s="837">
        <f>K2447*O2457</f>
        <v>268011.741</v>
      </c>
      <c r="Q2457" s="837"/>
      <c r="R2457" s="128"/>
      <c r="S2457" s="3615"/>
      <c r="T2457" s="3576"/>
      <c r="U2457" s="3576"/>
      <c r="V2457" s="3576"/>
      <c r="W2457" s="4820"/>
      <c r="X2457" s="837"/>
      <c r="Y2457" s="276"/>
      <c r="Z2457" s="4820"/>
      <c r="AA2457" s="3576"/>
      <c r="AB2457" s="4820"/>
      <c r="AC2457" s="4820"/>
      <c r="AD2457" s="4820"/>
      <c r="AE2457" s="4820"/>
      <c r="AF2457" s="4820"/>
      <c r="AG2457" s="4820"/>
      <c r="AH2457" s="152"/>
      <c r="AI2457" s="152"/>
    </row>
    <row r="2458" s="58" customFormat="1" ht="37.5" customHeight="1" spans="1:35">
      <c r="A2458" s="128" t="s">
        <v>1186</v>
      </c>
      <c r="B2458" s="3803">
        <v>45317</v>
      </c>
      <c r="C2458" s="649" t="s">
        <v>7581</v>
      </c>
      <c r="D2458" s="4786"/>
      <c r="E2458" s="647" t="s">
        <v>7598</v>
      </c>
      <c r="F2458" s="127" t="s">
        <v>7599</v>
      </c>
      <c r="G2458" s="647" t="s">
        <v>5826</v>
      </c>
      <c r="H2458" s="647" t="s">
        <v>7600</v>
      </c>
      <c r="I2458" s="3745">
        <v>41064.65</v>
      </c>
      <c r="J2458" s="3745">
        <v>30.45</v>
      </c>
      <c r="K2458" s="3812">
        <v>1250355.07</v>
      </c>
      <c r="L2458" s="128" t="s">
        <v>126</v>
      </c>
      <c r="M2458" s="127" t="s">
        <v>7513</v>
      </c>
      <c r="N2458" s="185" t="s">
        <v>7601</v>
      </c>
      <c r="O2458" s="4708">
        <v>0.1</v>
      </c>
      <c r="P2458" s="837">
        <f>K2458*O2458</f>
        <v>125035.507</v>
      </c>
      <c r="Q2458" s="4104">
        <v>125035.507</v>
      </c>
      <c r="R2458" s="128" t="s">
        <v>4603</v>
      </c>
      <c r="S2458" s="3615">
        <v>45362</v>
      </c>
      <c r="T2458" s="2676">
        <v>125035.507</v>
      </c>
      <c r="U2458" s="3615">
        <v>45362</v>
      </c>
      <c r="V2458" s="3841">
        <v>200000</v>
      </c>
      <c r="W2458" s="3615">
        <v>45450</v>
      </c>
      <c r="X2458" s="3841">
        <v>200000</v>
      </c>
      <c r="Y2458" s="3615">
        <v>45470</v>
      </c>
      <c r="Z2458" s="4832"/>
      <c r="AA2458" s="128"/>
      <c r="AB2458" s="4820"/>
      <c r="AC2458" s="4820"/>
      <c r="AD2458" s="4820"/>
      <c r="AE2458" s="4820"/>
      <c r="AF2458" s="4820"/>
      <c r="AG2458" s="4820"/>
      <c r="AH2458" s="149" t="s">
        <v>197</v>
      </c>
      <c r="AI2458" s="149" t="s">
        <v>154</v>
      </c>
    </row>
    <row r="2459" s="58" customFormat="1" ht="37.5" customHeight="1" spans="1:35">
      <c r="A2459" s="3576"/>
      <c r="B2459" s="3805"/>
      <c r="C2459" s="3807"/>
      <c r="D2459" s="4787"/>
      <c r="E2459" s="3806"/>
      <c r="F2459" s="3810"/>
      <c r="G2459" s="3806"/>
      <c r="H2459" s="3806"/>
      <c r="I2459" s="3747"/>
      <c r="J2459" s="3747"/>
      <c r="K2459" s="3812"/>
      <c r="L2459" s="3576"/>
      <c r="M2459" s="647" t="s">
        <v>7514</v>
      </c>
      <c r="N2459" s="185" t="s">
        <v>5064</v>
      </c>
      <c r="O2459" s="4708">
        <v>0.4</v>
      </c>
      <c r="P2459" s="837">
        <f>396887.63*O2459</f>
        <v>158755.052</v>
      </c>
      <c r="Q2459" s="4104">
        <v>158755.052</v>
      </c>
      <c r="R2459" s="128" t="s">
        <v>4603</v>
      </c>
      <c r="S2459" s="3615">
        <v>45362</v>
      </c>
      <c r="T2459" s="2676">
        <v>158755.052</v>
      </c>
      <c r="U2459" s="3615">
        <v>45362</v>
      </c>
      <c r="V2459" s="3841">
        <v>300000</v>
      </c>
      <c r="W2459" s="3615">
        <v>45488</v>
      </c>
      <c r="X2459" s="3841">
        <v>300000</v>
      </c>
      <c r="Y2459" s="3615">
        <v>45503</v>
      </c>
      <c r="Z2459" s="3576"/>
      <c r="AA2459" s="128"/>
      <c r="AB2459" s="4820"/>
      <c r="AC2459" s="4820"/>
      <c r="AD2459" s="4820"/>
      <c r="AE2459" s="4820"/>
      <c r="AF2459" s="4820"/>
      <c r="AG2459" s="4820"/>
      <c r="AH2459" s="151"/>
      <c r="AI2459" s="151"/>
    </row>
    <row r="2460" s="58" customFormat="1" ht="37.5" customHeight="1" spans="1:35">
      <c r="A2460" s="3576"/>
      <c r="B2460" s="3805"/>
      <c r="C2460" s="3807"/>
      <c r="D2460" s="4787"/>
      <c r="E2460" s="3806"/>
      <c r="F2460" s="3810"/>
      <c r="G2460" s="3806"/>
      <c r="H2460" s="3806"/>
      <c r="I2460" s="3747"/>
      <c r="J2460" s="3747"/>
      <c r="K2460" s="3812"/>
      <c r="L2460" s="3576"/>
      <c r="M2460" s="3806"/>
      <c r="N2460" s="185" t="s">
        <v>5065</v>
      </c>
      <c r="O2460" s="4708">
        <v>0.3</v>
      </c>
      <c r="P2460" s="837">
        <f>396887.63*O2460</f>
        <v>119066.289</v>
      </c>
      <c r="Q2460" s="4104">
        <v>119066.289</v>
      </c>
      <c r="R2460" s="128" t="s">
        <v>4603</v>
      </c>
      <c r="S2460" s="3615">
        <v>45362</v>
      </c>
      <c r="T2460" s="2676">
        <v>119066.289</v>
      </c>
      <c r="U2460" s="3615">
        <v>45362</v>
      </c>
      <c r="V2460" s="3841">
        <v>100000</v>
      </c>
      <c r="W2460" s="3615">
        <v>45519</v>
      </c>
      <c r="X2460" s="3841">
        <v>100000</v>
      </c>
      <c r="Y2460" s="3615">
        <v>45530</v>
      </c>
      <c r="Z2460" s="3576"/>
      <c r="AA2460" s="128"/>
      <c r="AB2460" s="4820"/>
      <c r="AC2460" s="4820"/>
      <c r="AD2460" s="4820"/>
      <c r="AE2460" s="4820"/>
      <c r="AF2460" s="4820"/>
      <c r="AG2460" s="4820"/>
      <c r="AH2460" s="151"/>
      <c r="AI2460" s="151"/>
    </row>
    <row r="2461" s="58" customFormat="1" ht="37.5" customHeight="1" spans="1:35">
      <c r="A2461" s="3576"/>
      <c r="B2461" s="3805"/>
      <c r="C2461" s="3807"/>
      <c r="D2461" s="4787"/>
      <c r="E2461" s="3806"/>
      <c r="F2461" s="3810"/>
      <c r="G2461" s="3806"/>
      <c r="H2461" s="3806"/>
      <c r="I2461" s="3747"/>
      <c r="J2461" s="3747"/>
      <c r="K2461" s="3812"/>
      <c r="L2461" s="3576"/>
      <c r="M2461" s="3853"/>
      <c r="N2461" s="185" t="s">
        <v>5066</v>
      </c>
      <c r="O2461" s="4708">
        <v>0.1</v>
      </c>
      <c r="P2461" s="837">
        <f>396887.63*O2461</f>
        <v>39688.763</v>
      </c>
      <c r="Q2461" s="3879">
        <v>39688.76</v>
      </c>
      <c r="R2461" s="74" t="s">
        <v>4603</v>
      </c>
      <c r="S2461" s="3837">
        <v>45510</v>
      </c>
      <c r="T2461" s="3879">
        <v>39688.76</v>
      </c>
      <c r="U2461" s="3837">
        <v>45510</v>
      </c>
      <c r="V2461" s="3841">
        <v>101570.46</v>
      </c>
      <c r="W2461" s="3615">
        <v>45550</v>
      </c>
      <c r="X2461" s="3841">
        <v>101570.46</v>
      </c>
      <c r="Y2461" s="3615">
        <v>45562</v>
      </c>
      <c r="Z2461" s="3576"/>
      <c r="AA2461" s="128"/>
      <c r="AB2461" s="4820"/>
      <c r="AC2461" s="4820"/>
      <c r="AD2461" s="4820"/>
      <c r="AE2461" s="4820"/>
      <c r="AF2461" s="4820"/>
      <c r="AG2461" s="4820"/>
      <c r="AH2461" s="151"/>
      <c r="AI2461" s="151"/>
    </row>
    <row r="2462" s="58" customFormat="1" ht="37.5" customHeight="1" spans="1:35">
      <c r="A2462" s="3576"/>
      <c r="B2462" s="3805"/>
      <c r="C2462" s="3807"/>
      <c r="D2462" s="4787"/>
      <c r="E2462" s="3806"/>
      <c r="F2462" s="3810"/>
      <c r="G2462" s="3806"/>
      <c r="H2462" s="3806"/>
      <c r="I2462" s="3747"/>
      <c r="J2462" s="3747"/>
      <c r="K2462" s="3812"/>
      <c r="L2462" s="3576"/>
      <c r="M2462" s="647" t="s">
        <v>7515</v>
      </c>
      <c r="N2462" s="185" t="s">
        <v>5067</v>
      </c>
      <c r="O2462" s="4708">
        <v>0.15</v>
      </c>
      <c r="P2462" s="837">
        <f>853467.44*O2462</f>
        <v>128020.116</v>
      </c>
      <c r="Q2462" s="3873">
        <v>128020.12</v>
      </c>
      <c r="R2462" s="128" t="s">
        <v>4603</v>
      </c>
      <c r="S2462" s="3615">
        <v>45362</v>
      </c>
      <c r="T2462" s="3834">
        <v>128020.12</v>
      </c>
      <c r="U2462" s="3615">
        <v>45362</v>
      </c>
      <c r="V2462" s="4854">
        <v>167708.87</v>
      </c>
      <c r="W2462" s="3881">
        <v>45666</v>
      </c>
      <c r="X2462" s="4854">
        <v>167708.87</v>
      </c>
      <c r="Y2462" s="3881">
        <v>45684</v>
      </c>
      <c r="Z2462" s="3576"/>
      <c r="AA2462" s="128"/>
      <c r="AB2462" s="4820"/>
      <c r="AC2462" s="4820"/>
      <c r="AD2462" s="4820"/>
      <c r="AE2462" s="4820"/>
      <c r="AF2462" s="4820"/>
      <c r="AG2462" s="4820"/>
      <c r="AH2462" s="151"/>
      <c r="AI2462" s="151"/>
    </row>
    <row r="2463" s="58" customFormat="1" ht="37.5" customHeight="1" spans="1:35">
      <c r="A2463" s="3576"/>
      <c r="B2463" s="3805"/>
      <c r="C2463" s="3807"/>
      <c r="D2463" s="4787"/>
      <c r="E2463" s="3806"/>
      <c r="F2463" s="3810"/>
      <c r="G2463" s="3806"/>
      <c r="H2463" s="3806"/>
      <c r="I2463" s="3747"/>
      <c r="J2463" s="3747"/>
      <c r="K2463" s="3812"/>
      <c r="L2463" s="3576"/>
      <c r="M2463" s="3806"/>
      <c r="N2463" s="185" t="s">
        <v>5064</v>
      </c>
      <c r="O2463" s="4708">
        <v>0.2</v>
      </c>
      <c r="P2463" s="837">
        <f>853467.44*O2463</f>
        <v>170693.488</v>
      </c>
      <c r="Q2463" s="3873">
        <v>170693.49</v>
      </c>
      <c r="R2463" s="128" t="s">
        <v>4603</v>
      </c>
      <c r="S2463" s="3615">
        <v>45362</v>
      </c>
      <c r="T2463" s="3834">
        <v>170693.49</v>
      </c>
      <c r="U2463" s="3615">
        <v>45362</v>
      </c>
      <c r="V2463" s="4855"/>
      <c r="W2463" s="4856"/>
      <c r="X2463" s="4855"/>
      <c r="Y2463" s="4856"/>
      <c r="Z2463" s="3576"/>
      <c r="AA2463" s="128"/>
      <c r="AB2463" s="4820"/>
      <c r="AC2463" s="4820"/>
      <c r="AD2463" s="4820"/>
      <c r="AE2463" s="4820"/>
      <c r="AF2463" s="4820"/>
      <c r="AG2463" s="4820"/>
      <c r="AH2463" s="151"/>
      <c r="AI2463" s="151"/>
    </row>
    <row r="2464" s="58" customFormat="1" ht="37.5" customHeight="1" spans="1:35">
      <c r="A2464" s="3576"/>
      <c r="B2464" s="3805"/>
      <c r="C2464" s="3807"/>
      <c r="D2464" s="4787"/>
      <c r="E2464" s="3806"/>
      <c r="F2464" s="3810"/>
      <c r="G2464" s="3806"/>
      <c r="H2464" s="3806"/>
      <c r="I2464" s="3747"/>
      <c r="J2464" s="3747"/>
      <c r="K2464" s="3812"/>
      <c r="L2464" s="3576"/>
      <c r="M2464" s="3806"/>
      <c r="N2464" s="185" t="s">
        <v>5068</v>
      </c>
      <c r="O2464" s="4708">
        <v>0.15</v>
      </c>
      <c r="P2464" s="837">
        <f>853467.44*O2464</f>
        <v>128020.116</v>
      </c>
      <c r="Q2464" s="3879">
        <v>128020.12</v>
      </c>
      <c r="R2464" s="74" t="s">
        <v>4603</v>
      </c>
      <c r="S2464" s="3837">
        <v>45510</v>
      </c>
      <c r="T2464" s="3879">
        <v>128020.12</v>
      </c>
      <c r="U2464" s="3837">
        <v>45510</v>
      </c>
      <c r="V2464" s="4857"/>
      <c r="W2464" s="4847"/>
      <c r="X2464" s="4857"/>
      <c r="Y2464" s="4847"/>
      <c r="Z2464" s="3576"/>
      <c r="AA2464" s="128"/>
      <c r="AB2464" s="4820"/>
      <c r="AC2464" s="4820"/>
      <c r="AD2464" s="4820"/>
      <c r="AE2464" s="4820"/>
      <c r="AF2464" s="4820"/>
      <c r="AG2464" s="4820"/>
      <c r="AH2464" s="151"/>
      <c r="AI2464" s="151"/>
    </row>
    <row r="2465" s="58" customFormat="1" ht="37.5" customHeight="1" spans="1:35">
      <c r="A2465" s="3576"/>
      <c r="B2465" s="3805"/>
      <c r="C2465" s="3807"/>
      <c r="D2465" s="4787"/>
      <c r="E2465" s="3806"/>
      <c r="F2465" s="3810"/>
      <c r="G2465" s="3806"/>
      <c r="H2465" s="3806"/>
      <c r="I2465" s="3747"/>
      <c r="J2465" s="3747"/>
      <c r="K2465" s="3812"/>
      <c r="L2465" s="3576"/>
      <c r="M2465" s="3806"/>
      <c r="N2465" s="185" t="s">
        <v>5065</v>
      </c>
      <c r="O2465" s="4708">
        <v>0.2</v>
      </c>
      <c r="P2465" s="837">
        <f>853467.44*O2465</f>
        <v>170693.488</v>
      </c>
      <c r="Q2465" s="4799">
        <v>170693.49</v>
      </c>
      <c r="R2465" s="3407" t="s">
        <v>349</v>
      </c>
      <c r="S2465" s="315">
        <v>46264</v>
      </c>
      <c r="T2465" s="3832"/>
      <c r="U2465" s="3842"/>
      <c r="V2465" s="3841"/>
      <c r="W2465" s="3615"/>
      <c r="X2465" s="4767">
        <v>170693.49</v>
      </c>
      <c r="Y2465" s="3616"/>
      <c r="Z2465" s="3576"/>
      <c r="AA2465" s="128"/>
      <c r="AB2465" s="4820"/>
      <c r="AC2465" s="4820"/>
      <c r="AD2465" s="4820"/>
      <c r="AE2465" s="4820"/>
      <c r="AF2465" s="4820"/>
      <c r="AG2465" s="4820"/>
      <c r="AH2465" s="151"/>
      <c r="AI2465" s="151"/>
    </row>
    <row r="2466" s="58" customFormat="1" ht="37.5" customHeight="1" spans="1:35">
      <c r="A2466" s="3576"/>
      <c r="B2466" s="3805"/>
      <c r="C2466" s="3807"/>
      <c r="D2466" s="4787"/>
      <c r="E2466" s="3806"/>
      <c r="F2466" s="3810"/>
      <c r="G2466" s="3806"/>
      <c r="H2466" s="3806"/>
      <c r="I2466" s="3747"/>
      <c r="J2466" s="3747"/>
      <c r="K2466" s="3812"/>
      <c r="L2466" s="3576"/>
      <c r="M2466" s="3853"/>
      <c r="N2466" s="185" t="s">
        <v>5070</v>
      </c>
      <c r="O2466" s="4708">
        <v>0.05</v>
      </c>
      <c r="P2466" s="837">
        <f>853467.44*O2466</f>
        <v>42673.372</v>
      </c>
      <c r="Q2466" s="4799">
        <v>42673.37</v>
      </c>
      <c r="R2466" s="3407" t="s">
        <v>349</v>
      </c>
      <c r="S2466" s="315">
        <v>46325</v>
      </c>
      <c r="T2466" s="3832"/>
      <c r="U2466" s="3842"/>
      <c r="V2466" s="3841"/>
      <c r="W2466" s="3615"/>
      <c r="X2466" s="4767">
        <v>42673.37</v>
      </c>
      <c r="Y2466" s="3616"/>
      <c r="Z2466" s="3576"/>
      <c r="AA2466" s="128"/>
      <c r="AB2466" s="4820"/>
      <c r="AC2466" s="4820"/>
      <c r="AD2466" s="4820"/>
      <c r="AE2466" s="4820"/>
      <c r="AF2466" s="4820"/>
      <c r="AG2466" s="4820"/>
      <c r="AH2466" s="151"/>
      <c r="AI2466" s="151"/>
    </row>
    <row r="2467" s="58" customFormat="1" ht="37.5" customHeight="1" spans="1:35">
      <c r="A2467" s="3576"/>
      <c r="B2467" s="3805"/>
      <c r="C2467" s="3807"/>
      <c r="D2467" s="4787"/>
      <c r="E2467" s="3806"/>
      <c r="F2467" s="3810"/>
      <c r="G2467" s="3806"/>
      <c r="H2467" s="3806"/>
      <c r="I2467" s="3747"/>
      <c r="J2467" s="3747"/>
      <c r="K2467" s="3812"/>
      <c r="L2467" s="3576"/>
      <c r="M2467" s="127" t="s">
        <v>7513</v>
      </c>
      <c r="N2467" s="185" t="s">
        <v>5071</v>
      </c>
      <c r="O2467" s="4708">
        <v>0.05</v>
      </c>
      <c r="P2467" s="837">
        <f>K2458*O2467</f>
        <v>62517.7535</v>
      </c>
      <c r="Q2467" s="4799">
        <v>62517.75</v>
      </c>
      <c r="R2467" s="3407" t="s">
        <v>349</v>
      </c>
      <c r="S2467" s="315">
        <v>46325</v>
      </c>
      <c r="T2467" s="3832"/>
      <c r="U2467" s="3842"/>
      <c r="V2467" s="3841"/>
      <c r="W2467" s="3615"/>
      <c r="X2467" s="3841"/>
      <c r="Y2467" s="3615"/>
      <c r="Z2467" s="3576"/>
      <c r="AA2467" s="128"/>
      <c r="AB2467" s="4820"/>
      <c r="AC2467" s="4820"/>
      <c r="AD2467" s="4820"/>
      <c r="AE2467" s="4820"/>
      <c r="AF2467" s="4820"/>
      <c r="AG2467" s="4820"/>
      <c r="AH2467" s="151"/>
      <c r="AI2467" s="151"/>
    </row>
    <row r="2468" s="58" customFormat="1" ht="92" spans="1:35">
      <c r="A2468" s="3576"/>
      <c r="B2468" s="3830"/>
      <c r="C2468" s="3852"/>
      <c r="D2468" s="4788"/>
      <c r="E2468" s="3853"/>
      <c r="F2468" s="3810"/>
      <c r="G2468" s="3853"/>
      <c r="H2468" s="3853"/>
      <c r="I2468" s="3577"/>
      <c r="J2468" s="3577"/>
      <c r="K2468" s="3812"/>
      <c r="L2468" s="3576"/>
      <c r="M2468" s="128" t="s">
        <v>6237</v>
      </c>
      <c r="N2468" s="185" t="s">
        <v>7516</v>
      </c>
      <c r="O2468" s="4708">
        <v>0.1</v>
      </c>
      <c r="P2468" s="837">
        <f>K2458*O2468</f>
        <v>125035.507</v>
      </c>
      <c r="Q2468" s="837"/>
      <c r="R2468" s="128"/>
      <c r="S2468" s="3615"/>
      <c r="T2468" s="3576"/>
      <c r="U2468" s="3576"/>
      <c r="V2468" s="3576"/>
      <c r="W2468" s="4820"/>
      <c r="X2468" s="837"/>
      <c r="Y2468" s="276"/>
      <c r="Z2468" s="4820"/>
      <c r="AA2468" s="3576"/>
      <c r="AB2468" s="4820"/>
      <c r="AC2468" s="4820"/>
      <c r="AD2468" s="4820"/>
      <c r="AE2468" s="4820"/>
      <c r="AF2468" s="4820"/>
      <c r="AG2468" s="4820"/>
      <c r="AH2468" s="152"/>
      <c r="AI2468" s="152"/>
    </row>
    <row r="2469" s="58" customFormat="1" ht="37.5" customHeight="1" spans="1:35">
      <c r="A2469" s="128" t="s">
        <v>1186</v>
      </c>
      <c r="B2469" s="3803">
        <v>45644</v>
      </c>
      <c r="C2469" s="649" t="s">
        <v>7581</v>
      </c>
      <c r="D2469" s="4838"/>
      <c r="E2469" s="647" t="s">
        <v>7602</v>
      </c>
      <c r="F2469" s="647" t="s">
        <v>7603</v>
      </c>
      <c r="G2469" s="647" t="s">
        <v>5897</v>
      </c>
      <c r="H2469" s="647" t="s">
        <v>4861</v>
      </c>
      <c r="I2469" s="3745">
        <v>12727.32</v>
      </c>
      <c r="J2469" s="3811">
        <v>2.81</v>
      </c>
      <c r="K2469" s="4840">
        <f>I2469*J2469</f>
        <v>35763.7692</v>
      </c>
      <c r="L2469" s="149" t="s">
        <v>32</v>
      </c>
      <c r="M2469" s="128" t="s">
        <v>1144</v>
      </c>
      <c r="N2469" s="185" t="s">
        <v>7485</v>
      </c>
      <c r="O2469" s="4708">
        <v>0.4</v>
      </c>
      <c r="P2469" s="837">
        <f>K2469*O2469</f>
        <v>14305.50768</v>
      </c>
      <c r="Q2469" s="3879">
        <v>14305.51</v>
      </c>
      <c r="R2469" s="74" t="s">
        <v>4603</v>
      </c>
      <c r="S2469" s="3881">
        <v>45727</v>
      </c>
      <c r="T2469" s="3879">
        <v>14305.51</v>
      </c>
      <c r="U2469" s="3881">
        <v>45727</v>
      </c>
      <c r="V2469" s="3882">
        <f>T2469+T2470</f>
        <v>33975.58</v>
      </c>
      <c r="W2469" s="3881">
        <v>45730</v>
      </c>
      <c r="X2469" s="3882">
        <f>V2469</f>
        <v>33975.58</v>
      </c>
      <c r="Y2469" s="3803">
        <v>45744</v>
      </c>
      <c r="Z2469" s="3841"/>
      <c r="AA2469" s="128" t="s">
        <v>4806</v>
      </c>
      <c r="AB2469" s="4820"/>
      <c r="AC2469" s="4820"/>
      <c r="AD2469" s="4820"/>
      <c r="AE2469" s="4820"/>
      <c r="AF2469" s="4820"/>
      <c r="AG2469" s="4820"/>
      <c r="AH2469" s="151"/>
      <c r="AI2469" s="151"/>
    </row>
    <row r="2470" s="58" customFormat="1" ht="37.5" customHeight="1" spans="1:35">
      <c r="A2470" s="128"/>
      <c r="B2470" s="3805"/>
      <c r="C2470" s="653"/>
      <c r="D2470" s="4838"/>
      <c r="E2470" s="651"/>
      <c r="F2470" s="651"/>
      <c r="G2470" s="651"/>
      <c r="H2470" s="651"/>
      <c r="I2470" s="3747"/>
      <c r="J2470" s="3813"/>
      <c r="K2470" s="4841"/>
      <c r="L2470" s="151"/>
      <c r="M2470" s="128" t="s">
        <v>1146</v>
      </c>
      <c r="N2470" s="185" t="s">
        <v>7604</v>
      </c>
      <c r="O2470" s="4708">
        <v>0.55</v>
      </c>
      <c r="P2470" s="837">
        <f>K2469*O2470</f>
        <v>19670.07306</v>
      </c>
      <c r="Q2470" s="3879">
        <v>19670.07</v>
      </c>
      <c r="R2470" s="74" t="s">
        <v>4603</v>
      </c>
      <c r="S2470" s="4847"/>
      <c r="T2470" s="3879">
        <v>19670.07</v>
      </c>
      <c r="U2470" s="4847"/>
      <c r="V2470" s="4769"/>
      <c r="W2470" s="4847"/>
      <c r="X2470" s="4769"/>
      <c r="Y2470" s="3830"/>
      <c r="Z2470" s="3841"/>
      <c r="AA2470" s="128" t="s">
        <v>4806</v>
      </c>
      <c r="AB2470" s="4820"/>
      <c r="AC2470" s="4820"/>
      <c r="AD2470" s="4820"/>
      <c r="AE2470" s="4820"/>
      <c r="AF2470" s="4820"/>
      <c r="AG2470" s="4820"/>
      <c r="AH2470" s="151"/>
      <c r="AI2470" s="151"/>
    </row>
    <row r="2471" s="58" customFormat="1" ht="37.5" customHeight="1" spans="1:35">
      <c r="A2471" s="128"/>
      <c r="B2471" s="3830"/>
      <c r="C2471" s="4839"/>
      <c r="D2471" s="4838"/>
      <c r="E2471" s="1067"/>
      <c r="F2471" s="1067"/>
      <c r="G2471" s="1067"/>
      <c r="H2471" s="1067"/>
      <c r="I2471" s="3577"/>
      <c r="J2471" s="3829"/>
      <c r="K2471" s="4842"/>
      <c r="L2471" s="152"/>
      <c r="M2471" s="128" t="s">
        <v>1148</v>
      </c>
      <c r="N2471" s="185" t="s">
        <v>7605</v>
      </c>
      <c r="O2471" s="4708">
        <v>0.05</v>
      </c>
      <c r="P2471" s="837">
        <f>K2469*O2471</f>
        <v>1788.18846</v>
      </c>
      <c r="Q2471" s="3576"/>
      <c r="R2471" s="128"/>
      <c r="S2471" s="3615"/>
      <c r="T2471" s="3576"/>
      <c r="U2471" s="3615"/>
      <c r="V2471" s="3576"/>
      <c r="W2471" s="3615"/>
      <c r="X2471" s="3576"/>
      <c r="Y2471" s="3615"/>
      <c r="Z2471" s="3841"/>
      <c r="AA2471" s="128"/>
      <c r="AB2471" s="4820"/>
      <c r="AC2471" s="4820"/>
      <c r="AD2471" s="4820"/>
      <c r="AE2471" s="4820"/>
      <c r="AF2471" s="4820"/>
      <c r="AG2471" s="4820"/>
      <c r="AH2471" s="151"/>
      <c r="AI2471" s="151"/>
    </row>
    <row r="2472" s="58" customFormat="1" ht="37.5" customHeight="1" spans="1:35">
      <c r="A2472" s="128" t="s">
        <v>1186</v>
      </c>
      <c r="B2472" s="3803">
        <v>45644</v>
      </c>
      <c r="C2472" s="649" t="s">
        <v>7581</v>
      </c>
      <c r="D2472" s="4838"/>
      <c r="E2472" s="647" t="s">
        <v>7606</v>
      </c>
      <c r="F2472" s="647" t="s">
        <v>7607</v>
      </c>
      <c r="G2472" s="647" t="s">
        <v>5897</v>
      </c>
      <c r="H2472" s="647" t="s">
        <v>5837</v>
      </c>
      <c r="I2472" s="3745">
        <v>25099.44</v>
      </c>
      <c r="J2472" s="3811">
        <v>2.9</v>
      </c>
      <c r="K2472" s="4840">
        <f>I2472*J2472</f>
        <v>72788.376</v>
      </c>
      <c r="L2472" s="149" t="s">
        <v>32</v>
      </c>
      <c r="M2472" s="128" t="s">
        <v>1144</v>
      </c>
      <c r="N2472" s="185" t="s">
        <v>7485</v>
      </c>
      <c r="O2472" s="4708">
        <v>0.4</v>
      </c>
      <c r="P2472" s="837">
        <f>K2472*O2472</f>
        <v>29115.3504</v>
      </c>
      <c r="Q2472" s="3879">
        <v>29115.35</v>
      </c>
      <c r="R2472" s="128" t="s">
        <v>4603</v>
      </c>
      <c r="S2472" s="3615">
        <v>45706</v>
      </c>
      <c r="T2472" s="3576">
        <v>29115.35</v>
      </c>
      <c r="U2472" s="3615">
        <v>45706</v>
      </c>
      <c r="V2472" s="3879">
        <v>29115.35</v>
      </c>
      <c r="W2472" s="3837">
        <v>45706</v>
      </c>
      <c r="X2472" s="3879">
        <v>29115.35</v>
      </c>
      <c r="Y2472" s="3615">
        <v>45715</v>
      </c>
      <c r="Z2472" s="3841"/>
      <c r="AA2472" s="128"/>
      <c r="AB2472" s="4820"/>
      <c r="AC2472" s="4820"/>
      <c r="AD2472" s="4820"/>
      <c r="AE2472" s="4820"/>
      <c r="AF2472" s="4820"/>
      <c r="AG2472" s="4820"/>
      <c r="AH2472" s="151"/>
      <c r="AI2472" s="151"/>
    </row>
    <row r="2473" s="58" customFormat="1" ht="37.5" customHeight="1" spans="1:35">
      <c r="A2473" s="128"/>
      <c r="B2473" s="3805"/>
      <c r="C2473" s="653"/>
      <c r="D2473" s="4838"/>
      <c r="E2473" s="651"/>
      <c r="F2473" s="651"/>
      <c r="G2473" s="651"/>
      <c r="H2473" s="651"/>
      <c r="I2473" s="3747"/>
      <c r="J2473" s="3813"/>
      <c r="K2473" s="4841"/>
      <c r="L2473" s="151"/>
      <c r="M2473" s="128" t="s">
        <v>1146</v>
      </c>
      <c r="N2473" s="185" t="s">
        <v>7604</v>
      </c>
      <c r="O2473" s="4708">
        <v>0.55</v>
      </c>
      <c r="P2473" s="837">
        <f>K2472*O2473</f>
        <v>40033.6068</v>
      </c>
      <c r="Q2473" s="3879">
        <v>40033.61</v>
      </c>
      <c r="R2473" s="128" t="s">
        <v>4603</v>
      </c>
      <c r="S2473" s="3615">
        <v>45706</v>
      </c>
      <c r="T2473" s="3576">
        <v>40033.61</v>
      </c>
      <c r="U2473" s="3615">
        <v>45706</v>
      </c>
      <c r="V2473" s="3879">
        <v>40033.61</v>
      </c>
      <c r="W2473" s="3837">
        <v>45706</v>
      </c>
      <c r="X2473" s="3879">
        <v>40033.61</v>
      </c>
      <c r="Y2473" s="3615">
        <v>45715</v>
      </c>
      <c r="Z2473" s="3841"/>
      <c r="AA2473" s="128"/>
      <c r="AB2473" s="4820"/>
      <c r="AC2473" s="4820"/>
      <c r="AD2473" s="4820"/>
      <c r="AE2473" s="4820"/>
      <c r="AF2473" s="4820"/>
      <c r="AG2473" s="4820"/>
      <c r="AH2473" s="151"/>
      <c r="AI2473" s="151"/>
    </row>
    <row r="2474" s="58" customFormat="1" ht="37.5" customHeight="1" spans="1:35">
      <c r="A2474" s="128"/>
      <c r="B2474" s="3830"/>
      <c r="C2474" s="4839"/>
      <c r="D2474" s="4838"/>
      <c r="E2474" s="1067"/>
      <c r="F2474" s="1067"/>
      <c r="G2474" s="1067"/>
      <c r="H2474" s="1067"/>
      <c r="I2474" s="3577"/>
      <c r="J2474" s="3829"/>
      <c r="K2474" s="4842"/>
      <c r="L2474" s="152"/>
      <c r="M2474" s="128" t="s">
        <v>1148</v>
      </c>
      <c r="N2474" s="185" t="s">
        <v>7605</v>
      </c>
      <c r="O2474" s="4708">
        <v>0.05</v>
      </c>
      <c r="P2474" s="837">
        <f>K2472*O2474</f>
        <v>3639.4188</v>
      </c>
      <c r="Q2474" s="3576"/>
      <c r="R2474" s="128"/>
      <c r="S2474" s="3615"/>
      <c r="T2474" s="3576"/>
      <c r="U2474" s="3615"/>
      <c r="V2474" s="3576"/>
      <c r="W2474" s="3615"/>
      <c r="X2474" s="3576"/>
      <c r="Y2474" s="3615"/>
      <c r="Z2474" s="3841"/>
      <c r="AA2474" s="128"/>
      <c r="AB2474" s="4820"/>
      <c r="AC2474" s="4820"/>
      <c r="AD2474" s="4820"/>
      <c r="AE2474" s="4820"/>
      <c r="AF2474" s="4820"/>
      <c r="AG2474" s="4820"/>
      <c r="AH2474" s="151"/>
      <c r="AI2474" s="151"/>
    </row>
    <row r="2475" s="60" customFormat="1" ht="37.5" customHeight="1" spans="1:35">
      <c r="A2475" s="128" t="s">
        <v>1186</v>
      </c>
      <c r="B2475" s="3442">
        <v>45643</v>
      </c>
      <c r="C2475" s="649" t="s">
        <v>7608</v>
      </c>
      <c r="D2475" s="4838"/>
      <c r="E2475" s="647" t="s">
        <v>7609</v>
      </c>
      <c r="F2475" s="647" t="s">
        <v>7610</v>
      </c>
      <c r="G2475" s="647" t="s">
        <v>5897</v>
      </c>
      <c r="H2475" s="647" t="s">
        <v>4861</v>
      </c>
      <c r="I2475" s="149">
        <v>16993.92</v>
      </c>
      <c r="J2475" s="3441">
        <v>2.81</v>
      </c>
      <c r="K2475" s="3366">
        <f>I2475*J2475</f>
        <v>47752.9152</v>
      </c>
      <c r="L2475" s="149" t="s">
        <v>32</v>
      </c>
      <c r="M2475" s="128" t="s">
        <v>1144</v>
      </c>
      <c r="N2475" s="185" t="s">
        <v>7485</v>
      </c>
      <c r="O2475" s="4844">
        <v>0.4</v>
      </c>
      <c r="P2475" s="837">
        <f>K2475*O2475</f>
        <v>19101.16608</v>
      </c>
      <c r="Q2475" s="271">
        <v>19101.17</v>
      </c>
      <c r="R2475" s="128" t="s">
        <v>4603</v>
      </c>
      <c r="S2475" s="313">
        <v>45664</v>
      </c>
      <c r="T2475" s="4848">
        <v>19101.17</v>
      </c>
      <c r="U2475" s="313">
        <v>45664</v>
      </c>
      <c r="V2475" s="3441">
        <f>T2475+T2476</f>
        <v>45365.27</v>
      </c>
      <c r="W2475" s="3442">
        <v>45705</v>
      </c>
      <c r="X2475" s="4850">
        <f>V2475</f>
        <v>45365.27</v>
      </c>
      <c r="Y2475" s="3442">
        <v>45715</v>
      </c>
      <c r="Z2475" s="4868"/>
      <c r="AA2475" s="128" t="s">
        <v>4806</v>
      </c>
      <c r="AB2475" s="4861"/>
      <c r="AC2475" s="4861"/>
      <c r="AD2475" s="4861"/>
      <c r="AE2475" s="4861"/>
      <c r="AF2475" s="4861"/>
      <c r="AG2475" s="4861"/>
      <c r="AH2475" s="151"/>
      <c r="AI2475" s="151"/>
    </row>
    <row r="2476" s="60" customFormat="1" ht="37.5" customHeight="1" spans="1:35">
      <c r="A2476" s="128"/>
      <c r="B2476" s="4795"/>
      <c r="C2476" s="653"/>
      <c r="D2476" s="4838"/>
      <c r="E2476" s="651"/>
      <c r="F2476" s="651"/>
      <c r="G2476" s="651"/>
      <c r="H2476" s="651"/>
      <c r="I2476" s="151"/>
      <c r="J2476" s="4843"/>
      <c r="K2476" s="3408"/>
      <c r="L2476" s="151"/>
      <c r="M2476" s="128" t="s">
        <v>1146</v>
      </c>
      <c r="N2476" s="185" t="s">
        <v>7604</v>
      </c>
      <c r="O2476" s="4844">
        <v>0.55</v>
      </c>
      <c r="P2476" s="837">
        <f>K2475*O2476</f>
        <v>26264.10336</v>
      </c>
      <c r="Q2476" s="271">
        <v>26264.1</v>
      </c>
      <c r="R2476" s="128" t="s">
        <v>4603</v>
      </c>
      <c r="S2476" s="313">
        <v>45664</v>
      </c>
      <c r="T2476" s="4848">
        <v>26264.1</v>
      </c>
      <c r="U2476" s="313">
        <v>45664</v>
      </c>
      <c r="V2476" s="3443"/>
      <c r="W2476" s="3444"/>
      <c r="X2476" s="4858"/>
      <c r="Y2476" s="3444"/>
      <c r="Z2476" s="4869"/>
      <c r="AA2476" s="128" t="s">
        <v>4806</v>
      </c>
      <c r="AB2476" s="4861"/>
      <c r="AC2476" s="4861"/>
      <c r="AD2476" s="4861"/>
      <c r="AE2476" s="4861"/>
      <c r="AF2476" s="4861"/>
      <c r="AG2476" s="4861"/>
      <c r="AH2476" s="151"/>
      <c r="AI2476" s="151"/>
    </row>
    <row r="2477" s="60" customFormat="1" ht="37.5" customHeight="1" spans="1:35">
      <c r="A2477" s="128"/>
      <c r="B2477" s="3444"/>
      <c r="C2477" s="4839"/>
      <c r="D2477" s="4838"/>
      <c r="E2477" s="1067"/>
      <c r="F2477" s="1067"/>
      <c r="G2477" s="1067"/>
      <c r="H2477" s="1067"/>
      <c r="I2477" s="152"/>
      <c r="J2477" s="3443"/>
      <c r="K2477" s="3409"/>
      <c r="L2477" s="152"/>
      <c r="M2477" s="128" t="s">
        <v>1148</v>
      </c>
      <c r="N2477" s="185" t="s">
        <v>7605</v>
      </c>
      <c r="O2477" s="4844">
        <v>0.05</v>
      </c>
      <c r="P2477" s="837">
        <f>K2475*O2477</f>
        <v>2387.64576</v>
      </c>
      <c r="Q2477" s="4849">
        <v>2387.65</v>
      </c>
      <c r="R2477" s="3439" t="s">
        <v>349</v>
      </c>
      <c r="S2477" s="3440">
        <v>46356</v>
      </c>
      <c r="T2477" s="128"/>
      <c r="U2477" s="313"/>
      <c r="V2477" s="128"/>
      <c r="W2477" s="313"/>
      <c r="X2477" s="128"/>
      <c r="Y2477" s="313"/>
      <c r="Z2477" s="4859"/>
      <c r="AA2477" s="128"/>
      <c r="AB2477" s="4861"/>
      <c r="AC2477" s="4861"/>
      <c r="AD2477" s="4861"/>
      <c r="AE2477" s="4861"/>
      <c r="AF2477" s="4861"/>
      <c r="AG2477" s="4861"/>
      <c r="AH2477" s="151"/>
      <c r="AI2477" s="151"/>
    </row>
    <row r="2478" s="60" customFormat="1" ht="37.5" customHeight="1" spans="1:35">
      <c r="A2478" s="128" t="s">
        <v>1186</v>
      </c>
      <c r="B2478" s="3442">
        <v>45632</v>
      </c>
      <c r="C2478" s="649" t="s">
        <v>7608</v>
      </c>
      <c r="D2478" s="4786"/>
      <c r="E2478" s="647" t="s">
        <v>7611</v>
      </c>
      <c r="F2478" s="127" t="s">
        <v>7612</v>
      </c>
      <c r="G2478" s="647" t="s">
        <v>3569</v>
      </c>
      <c r="H2478" s="647" t="s">
        <v>7613</v>
      </c>
      <c r="I2478" s="149">
        <v>61680.32</v>
      </c>
      <c r="J2478" s="3441">
        <f>K2478/I2478</f>
        <v>16.834268045302</v>
      </c>
      <c r="K2478" s="857">
        <v>1038343.04</v>
      </c>
      <c r="L2478" s="128" t="s">
        <v>126</v>
      </c>
      <c r="M2478" s="128">
        <v>1</v>
      </c>
      <c r="N2478" s="185" t="s">
        <v>7614</v>
      </c>
      <c r="O2478" s="4844">
        <v>0.2</v>
      </c>
      <c r="P2478" s="837">
        <f>K2478*O2478</f>
        <v>207668.608</v>
      </c>
      <c r="Q2478" s="271">
        <v>207668.61</v>
      </c>
      <c r="R2478" s="74" t="s">
        <v>4603</v>
      </c>
      <c r="S2478" s="4760">
        <v>45664</v>
      </c>
      <c r="T2478" s="4848">
        <v>207668.61</v>
      </c>
      <c r="U2478" s="313">
        <v>45664</v>
      </c>
      <c r="V2478" s="271">
        <v>300000</v>
      </c>
      <c r="W2478" s="4760">
        <v>45706</v>
      </c>
      <c r="X2478" s="74">
        <v>300000</v>
      </c>
      <c r="Y2478" s="313">
        <v>45715</v>
      </c>
      <c r="Z2478" s="4870"/>
      <c r="AA2478" s="128"/>
      <c r="AB2478" s="4861"/>
      <c r="AC2478" s="4861"/>
      <c r="AD2478" s="4861"/>
      <c r="AE2478" s="4861"/>
      <c r="AF2478" s="4861"/>
      <c r="AG2478" s="4861"/>
      <c r="AH2478" s="149" t="s">
        <v>197</v>
      </c>
      <c r="AI2478" s="149" t="s">
        <v>154</v>
      </c>
    </row>
    <row r="2479" s="60" customFormat="1" ht="37.5" customHeight="1" spans="1:35">
      <c r="A2479" s="128"/>
      <c r="B2479" s="4795"/>
      <c r="C2479" s="653"/>
      <c r="D2479" s="4787"/>
      <c r="E2479" s="651"/>
      <c r="F2479" s="127"/>
      <c r="G2479" s="651"/>
      <c r="H2479" s="651"/>
      <c r="I2479" s="151"/>
      <c r="J2479" s="4843"/>
      <c r="K2479" s="857"/>
      <c r="L2479" s="128"/>
      <c r="M2479" s="128">
        <v>2</v>
      </c>
      <c r="N2479" s="185" t="s">
        <v>7558</v>
      </c>
      <c r="O2479" s="4844">
        <v>0.3</v>
      </c>
      <c r="P2479" s="837">
        <f>K2478*O2479</f>
        <v>311502.912</v>
      </c>
      <c r="Q2479" s="271">
        <v>311502.91</v>
      </c>
      <c r="R2479" s="74" t="s">
        <v>4603</v>
      </c>
      <c r="S2479" s="4760">
        <v>45664</v>
      </c>
      <c r="T2479" s="4848">
        <v>311502.91</v>
      </c>
      <c r="U2479" s="313">
        <v>45664</v>
      </c>
      <c r="V2479" s="271">
        <v>300000</v>
      </c>
      <c r="W2479" s="4760">
        <v>45722</v>
      </c>
      <c r="X2479" s="74">
        <v>300000</v>
      </c>
      <c r="Y2479" s="313">
        <v>45744</v>
      </c>
      <c r="Z2479" s="128"/>
      <c r="AA2479" s="128"/>
      <c r="AB2479" s="4861"/>
      <c r="AC2479" s="4861"/>
      <c r="AD2479" s="4861"/>
      <c r="AE2479" s="4861"/>
      <c r="AF2479" s="4861"/>
      <c r="AG2479" s="4861"/>
      <c r="AH2479" s="151"/>
      <c r="AI2479" s="151"/>
    </row>
    <row r="2480" s="60" customFormat="1" ht="30" customHeight="1" spans="1:35">
      <c r="A2480" s="128"/>
      <c r="B2480" s="4795"/>
      <c r="C2480" s="653"/>
      <c r="D2480" s="4787"/>
      <c r="E2480" s="651"/>
      <c r="F2480" s="127"/>
      <c r="G2480" s="651"/>
      <c r="H2480" s="651"/>
      <c r="I2480" s="151"/>
      <c r="J2480" s="4843"/>
      <c r="K2480" s="857"/>
      <c r="L2480" s="128"/>
      <c r="M2480" s="149">
        <v>3</v>
      </c>
      <c r="N2480" s="172" t="s">
        <v>7559</v>
      </c>
      <c r="O2480" s="4844">
        <v>0.2</v>
      </c>
      <c r="P2480" s="3817">
        <f>K2478*O2480</f>
        <v>207668.608</v>
      </c>
      <c r="Q2480" s="4850">
        <v>207668.61</v>
      </c>
      <c r="R2480" s="74" t="s">
        <v>4603</v>
      </c>
      <c r="S2480" s="4760">
        <v>45664</v>
      </c>
      <c r="T2480" s="3441">
        <v>207668.61</v>
      </c>
      <c r="U2480" s="313">
        <v>45664</v>
      </c>
      <c r="V2480" s="149">
        <v>178757.28</v>
      </c>
      <c r="W2480" s="3442">
        <v>45761</v>
      </c>
      <c r="X2480" s="4846">
        <v>178757.28</v>
      </c>
      <c r="Y2480" s="3442">
        <v>45770</v>
      </c>
      <c r="Z2480" s="128"/>
      <c r="AA2480" s="128"/>
      <c r="AB2480" s="4861"/>
      <c r="AC2480" s="4861"/>
      <c r="AD2480" s="4861"/>
      <c r="AE2480" s="4861"/>
      <c r="AF2480" s="4861"/>
      <c r="AG2480" s="4861"/>
      <c r="AH2480" s="151"/>
      <c r="AI2480" s="151"/>
    </row>
    <row r="2481" s="60" customFormat="1" ht="46" spans="1:35">
      <c r="A2481" s="128"/>
      <c r="B2481" s="4795"/>
      <c r="C2481" s="653"/>
      <c r="D2481" s="4787"/>
      <c r="E2481" s="651"/>
      <c r="F2481" s="127"/>
      <c r="G2481" s="651"/>
      <c r="H2481" s="651"/>
      <c r="I2481" s="151"/>
      <c r="J2481" s="4843"/>
      <c r="K2481" s="857"/>
      <c r="L2481" s="128"/>
      <c r="M2481" s="128">
        <v>4</v>
      </c>
      <c r="N2481" s="172" t="s">
        <v>7615</v>
      </c>
      <c r="O2481" s="4844">
        <v>0.05</v>
      </c>
      <c r="P2481" s="837">
        <f>K2478*O2481</f>
        <v>51917.152</v>
      </c>
      <c r="Q2481" s="271">
        <v>51917.15</v>
      </c>
      <c r="R2481" s="74" t="s">
        <v>4603</v>
      </c>
      <c r="S2481" s="4760">
        <v>45664</v>
      </c>
      <c r="T2481" s="4848">
        <v>51917.15</v>
      </c>
      <c r="U2481" s="313">
        <v>45664</v>
      </c>
      <c r="V2481" s="152"/>
      <c r="W2481" s="3444"/>
      <c r="X2481" s="4814"/>
      <c r="Y2481" s="3444"/>
      <c r="Z2481" s="128"/>
      <c r="AA2481" s="128"/>
      <c r="AB2481" s="4861"/>
      <c r="AC2481" s="4861"/>
      <c r="AD2481" s="4861"/>
      <c r="AE2481" s="4861"/>
      <c r="AF2481" s="4861"/>
      <c r="AG2481" s="4861"/>
      <c r="AH2481" s="151"/>
      <c r="AI2481" s="151"/>
    </row>
    <row r="2482" s="60" customFormat="1" ht="46" spans="1:35">
      <c r="A2482" s="128"/>
      <c r="B2482" s="4795"/>
      <c r="C2482" s="653"/>
      <c r="D2482" s="4787"/>
      <c r="E2482" s="651"/>
      <c r="F2482" s="127"/>
      <c r="G2482" s="651"/>
      <c r="H2482" s="651"/>
      <c r="I2482" s="151"/>
      <c r="J2482" s="4843"/>
      <c r="K2482" s="857"/>
      <c r="L2482" s="128"/>
      <c r="M2482" s="128">
        <v>5</v>
      </c>
      <c r="N2482" s="172" t="s">
        <v>7561</v>
      </c>
      <c r="O2482" s="4844">
        <v>0.1</v>
      </c>
      <c r="P2482" s="837">
        <f>K2478*O2482</f>
        <v>103834.304</v>
      </c>
      <c r="Q2482" s="3834">
        <v>103834.3</v>
      </c>
      <c r="R2482" s="128" t="s">
        <v>4603</v>
      </c>
      <c r="S2482" s="313">
        <v>45792</v>
      </c>
      <c r="T2482" s="3310">
        <v>103834.3</v>
      </c>
      <c r="U2482" s="313">
        <v>45792</v>
      </c>
      <c r="V2482" s="4859">
        <v>103834.3</v>
      </c>
      <c r="W2482" s="313">
        <v>45790</v>
      </c>
      <c r="X2482" s="4860">
        <v>103834.3</v>
      </c>
      <c r="Y2482" s="313">
        <v>45804</v>
      </c>
      <c r="Z2482" s="128"/>
      <c r="AA2482" s="128"/>
      <c r="AB2482" s="4861"/>
      <c r="AC2482" s="4861"/>
      <c r="AD2482" s="4861"/>
      <c r="AE2482" s="4861"/>
      <c r="AF2482" s="4861"/>
      <c r="AG2482" s="4861"/>
      <c r="AH2482" s="151"/>
      <c r="AI2482" s="151"/>
    </row>
    <row r="2483" s="60" customFormat="1" ht="35.25" customHeight="1" spans="1:35">
      <c r="A2483" s="128"/>
      <c r="B2483" s="4795"/>
      <c r="C2483" s="653"/>
      <c r="D2483" s="4787"/>
      <c r="E2483" s="651"/>
      <c r="F2483" s="127"/>
      <c r="G2483" s="651"/>
      <c r="H2483" s="651"/>
      <c r="I2483" s="151"/>
      <c r="J2483" s="4843"/>
      <c r="K2483" s="857"/>
      <c r="L2483" s="128"/>
      <c r="M2483" s="128">
        <v>6</v>
      </c>
      <c r="N2483" s="172" t="s">
        <v>5167</v>
      </c>
      <c r="O2483" s="4844">
        <v>0.05</v>
      </c>
      <c r="P2483" s="837">
        <f>K2478*O2483</f>
        <v>51917.152</v>
      </c>
      <c r="Q2483" s="4851">
        <v>51917.15</v>
      </c>
      <c r="R2483" s="3439" t="s">
        <v>349</v>
      </c>
      <c r="S2483" s="3440">
        <v>46356</v>
      </c>
      <c r="T2483" s="127"/>
      <c r="U2483" s="3842"/>
      <c r="V2483" s="4859"/>
      <c r="W2483" s="313"/>
      <c r="X2483" s="4859"/>
      <c r="Y2483" s="313"/>
      <c r="Z2483" s="128"/>
      <c r="AA2483" s="128"/>
      <c r="AB2483" s="4861"/>
      <c r="AC2483" s="4861"/>
      <c r="AD2483" s="4861"/>
      <c r="AE2483" s="4861"/>
      <c r="AF2483" s="4861"/>
      <c r="AG2483" s="4861"/>
      <c r="AH2483" s="151"/>
      <c r="AI2483" s="151"/>
    </row>
    <row r="2484" s="60" customFormat="1" ht="61" spans="1:35">
      <c r="A2484" s="128"/>
      <c r="B2484" s="3444"/>
      <c r="C2484" s="4839"/>
      <c r="D2484" s="4788"/>
      <c r="E2484" s="1067"/>
      <c r="F2484" s="127"/>
      <c r="G2484" s="1067"/>
      <c r="H2484" s="1067"/>
      <c r="I2484" s="152"/>
      <c r="J2484" s="3443"/>
      <c r="K2484" s="857"/>
      <c r="L2484" s="128"/>
      <c r="M2484" s="128" t="s">
        <v>6237</v>
      </c>
      <c r="N2484" s="185" t="s">
        <v>7616</v>
      </c>
      <c r="O2484" s="4844">
        <v>0.1</v>
      </c>
      <c r="P2484" s="837">
        <f>K2478*O2484</f>
        <v>103834.304</v>
      </c>
      <c r="Q2484" s="4848"/>
      <c r="R2484" s="128"/>
      <c r="S2484" s="313"/>
      <c r="T2484" s="128"/>
      <c r="U2484" s="128"/>
      <c r="V2484" s="128"/>
      <c r="W2484" s="4861"/>
      <c r="X2484" s="837"/>
      <c r="Y2484" s="276"/>
      <c r="Z2484" s="4861"/>
      <c r="AA2484" s="128"/>
      <c r="AB2484" s="4861"/>
      <c r="AC2484" s="4861"/>
      <c r="AD2484" s="4861"/>
      <c r="AE2484" s="4861"/>
      <c r="AF2484" s="4861"/>
      <c r="AG2484" s="4861"/>
      <c r="AH2484" s="152"/>
      <c r="AI2484" s="152"/>
    </row>
    <row r="2485" s="60" customFormat="1" ht="92" spans="1:35">
      <c r="A2485" s="128" t="s">
        <v>1186</v>
      </c>
      <c r="B2485" s="3442">
        <v>45632</v>
      </c>
      <c r="C2485" s="649" t="s">
        <v>7608</v>
      </c>
      <c r="D2485" s="4786"/>
      <c r="E2485" s="647" t="s">
        <v>7617</v>
      </c>
      <c r="F2485" s="127" t="s">
        <v>7618</v>
      </c>
      <c r="G2485" s="647" t="s">
        <v>7619</v>
      </c>
      <c r="H2485" s="647" t="s">
        <v>5505</v>
      </c>
      <c r="I2485" s="647" t="s">
        <v>7620</v>
      </c>
      <c r="J2485" s="3441">
        <v>70.77</v>
      </c>
      <c r="K2485" s="857">
        <v>1244480</v>
      </c>
      <c r="L2485" s="128" t="s">
        <v>126</v>
      </c>
      <c r="M2485" s="127" t="s">
        <v>7513</v>
      </c>
      <c r="N2485" s="185" t="s">
        <v>7621</v>
      </c>
      <c r="O2485" s="4844">
        <v>0.1</v>
      </c>
      <c r="P2485" s="837">
        <f>K2485*O2485</f>
        <v>124448</v>
      </c>
      <c r="Q2485" s="4848">
        <v>124448</v>
      </c>
      <c r="R2485" s="128" t="s">
        <v>4603</v>
      </c>
      <c r="S2485" s="313">
        <v>45664</v>
      </c>
      <c r="T2485" s="4848">
        <v>124448</v>
      </c>
      <c r="U2485" s="313">
        <v>45664</v>
      </c>
      <c r="V2485" s="4862">
        <v>200000</v>
      </c>
      <c r="W2485" s="313">
        <v>45673</v>
      </c>
      <c r="X2485" s="4862">
        <v>200000</v>
      </c>
      <c r="Y2485" s="313">
        <v>45681</v>
      </c>
      <c r="Z2485" s="4870"/>
      <c r="AA2485" s="128"/>
      <c r="AB2485" s="4861"/>
      <c r="AC2485" s="4861"/>
      <c r="AD2485" s="4861"/>
      <c r="AE2485" s="4861"/>
      <c r="AF2485" s="4861"/>
      <c r="AG2485" s="4861"/>
      <c r="AH2485" s="149" t="s">
        <v>197</v>
      </c>
      <c r="AI2485" s="149" t="s">
        <v>154</v>
      </c>
    </row>
    <row r="2486" s="60" customFormat="1" ht="31" spans="1:35">
      <c r="A2486" s="128"/>
      <c r="B2486" s="4795"/>
      <c r="C2486" s="653"/>
      <c r="D2486" s="4787"/>
      <c r="E2486" s="651"/>
      <c r="F2486" s="127"/>
      <c r="G2486" s="651"/>
      <c r="H2486" s="651"/>
      <c r="I2486" s="651"/>
      <c r="J2486" s="4843"/>
      <c r="K2486" s="857"/>
      <c r="L2486" s="128"/>
      <c r="M2486" s="647" t="s">
        <v>7514</v>
      </c>
      <c r="N2486" s="185" t="s">
        <v>5613</v>
      </c>
      <c r="O2486" s="4844">
        <v>0.8</v>
      </c>
      <c r="P2486" s="837">
        <f>344480*O2486</f>
        <v>275584</v>
      </c>
      <c r="Q2486" s="4848">
        <v>275584</v>
      </c>
      <c r="R2486" s="128" t="s">
        <v>4603</v>
      </c>
      <c r="S2486" s="313">
        <v>45664</v>
      </c>
      <c r="T2486" s="4848">
        <v>275584</v>
      </c>
      <c r="U2486" s="313">
        <v>45664</v>
      </c>
      <c r="V2486" s="4862">
        <v>150000</v>
      </c>
      <c r="W2486" s="313">
        <v>45706</v>
      </c>
      <c r="X2486" s="4863">
        <v>150000</v>
      </c>
      <c r="Y2486" s="313">
        <v>45715</v>
      </c>
      <c r="Z2486" s="128"/>
      <c r="AA2486" s="128"/>
      <c r="AB2486" s="4861"/>
      <c r="AC2486" s="4861"/>
      <c r="AD2486" s="4861"/>
      <c r="AE2486" s="4861"/>
      <c r="AF2486" s="4861"/>
      <c r="AG2486" s="4861"/>
      <c r="AH2486" s="151"/>
      <c r="AI2486" s="151"/>
    </row>
    <row r="2487" s="60" customFormat="1" ht="76" spans="1:35">
      <c r="A2487" s="128"/>
      <c r="B2487" s="4795"/>
      <c r="C2487" s="653"/>
      <c r="D2487" s="4787"/>
      <c r="E2487" s="651"/>
      <c r="F2487" s="127"/>
      <c r="G2487" s="651"/>
      <c r="H2487" s="651"/>
      <c r="I2487" s="651"/>
      <c r="J2487" s="4843"/>
      <c r="K2487" s="857"/>
      <c r="L2487" s="128"/>
      <c r="M2487" s="647" t="s">
        <v>7515</v>
      </c>
      <c r="N2487" s="185" t="s">
        <v>5067</v>
      </c>
      <c r="O2487" s="4844">
        <v>0.15</v>
      </c>
      <c r="P2487" s="837">
        <f>900000*O2487</f>
        <v>135000</v>
      </c>
      <c r="Q2487" s="3834">
        <v>135000</v>
      </c>
      <c r="R2487" s="128" t="s">
        <v>4603</v>
      </c>
      <c r="S2487" s="313">
        <v>45664</v>
      </c>
      <c r="T2487" s="3834">
        <v>135000</v>
      </c>
      <c r="U2487" s="313">
        <v>45664</v>
      </c>
      <c r="V2487" s="4862">
        <v>185032</v>
      </c>
      <c r="W2487" s="313">
        <v>45726</v>
      </c>
      <c r="X2487" s="4863">
        <v>185032</v>
      </c>
      <c r="Y2487" s="313">
        <v>45744</v>
      </c>
      <c r="Z2487" s="128"/>
      <c r="AA2487" s="128"/>
      <c r="AB2487" s="4861"/>
      <c r="AC2487" s="4861"/>
      <c r="AD2487" s="4861"/>
      <c r="AE2487" s="4861"/>
      <c r="AF2487" s="4861"/>
      <c r="AG2487" s="4861"/>
      <c r="AH2487" s="151"/>
      <c r="AI2487" s="151"/>
    </row>
    <row r="2488" s="60" customFormat="1" ht="76" spans="1:35">
      <c r="A2488" s="128"/>
      <c r="B2488" s="4795"/>
      <c r="C2488" s="653"/>
      <c r="D2488" s="4787"/>
      <c r="E2488" s="651"/>
      <c r="F2488" s="127"/>
      <c r="G2488" s="651"/>
      <c r="H2488" s="651"/>
      <c r="I2488" s="651"/>
      <c r="J2488" s="4843"/>
      <c r="K2488" s="857"/>
      <c r="L2488" s="128"/>
      <c r="M2488" s="651"/>
      <c r="N2488" s="185" t="s">
        <v>5064</v>
      </c>
      <c r="O2488" s="4844">
        <v>0.2</v>
      </c>
      <c r="P2488" s="837">
        <f>900000*O2488</f>
        <v>180000</v>
      </c>
      <c r="Q2488" s="128">
        <v>180000</v>
      </c>
      <c r="R2488" s="128" t="s">
        <v>4603</v>
      </c>
      <c r="S2488" s="3442">
        <v>45765</v>
      </c>
      <c r="T2488" s="128">
        <v>180000</v>
      </c>
      <c r="U2488" s="3442">
        <v>45765</v>
      </c>
      <c r="V2488" s="128">
        <v>180000</v>
      </c>
      <c r="W2488" s="3442">
        <v>45768</v>
      </c>
      <c r="X2488" s="74">
        <v>180000</v>
      </c>
      <c r="Y2488" s="276">
        <v>45777</v>
      </c>
      <c r="Z2488" s="4861"/>
      <c r="AA2488" s="128"/>
      <c r="AB2488" s="4861"/>
      <c r="AC2488" s="4861"/>
      <c r="AD2488" s="4861"/>
      <c r="AE2488" s="4861"/>
      <c r="AF2488" s="4861"/>
      <c r="AG2488" s="4861"/>
      <c r="AH2488" s="151"/>
      <c r="AI2488" s="151"/>
    </row>
    <row r="2489" s="60" customFormat="1" ht="76" spans="1:35">
      <c r="A2489" s="128"/>
      <c r="B2489" s="4795"/>
      <c r="C2489" s="653"/>
      <c r="D2489" s="4787"/>
      <c r="E2489" s="651"/>
      <c r="F2489" s="127"/>
      <c r="G2489" s="651"/>
      <c r="H2489" s="651"/>
      <c r="I2489" s="651"/>
      <c r="J2489" s="4843"/>
      <c r="K2489" s="857"/>
      <c r="L2489" s="128"/>
      <c r="M2489" s="651"/>
      <c r="N2489" s="185" t="s">
        <v>5068</v>
      </c>
      <c r="O2489" s="4844">
        <v>0.15</v>
      </c>
      <c r="P2489" s="837">
        <f>900000*O2489</f>
        <v>135000</v>
      </c>
      <c r="Q2489" s="128">
        <v>135000</v>
      </c>
      <c r="R2489" s="128" t="s">
        <v>4603</v>
      </c>
      <c r="S2489" s="3442">
        <v>45765</v>
      </c>
      <c r="T2489" s="128">
        <v>135000</v>
      </c>
      <c r="U2489" s="3442">
        <v>45765</v>
      </c>
      <c r="V2489" s="128">
        <v>135000</v>
      </c>
      <c r="W2489" s="3442">
        <v>45768</v>
      </c>
      <c r="X2489" s="74">
        <v>135000</v>
      </c>
      <c r="Y2489" s="276">
        <v>45777</v>
      </c>
      <c r="Z2489" s="4861"/>
      <c r="AA2489" s="128"/>
      <c r="AB2489" s="4861"/>
      <c r="AC2489" s="4861"/>
      <c r="AD2489" s="4861"/>
      <c r="AE2489" s="4861"/>
      <c r="AF2489" s="4861"/>
      <c r="AG2489" s="4861"/>
      <c r="AH2489" s="151"/>
      <c r="AI2489" s="151"/>
    </row>
    <row r="2490" s="60" customFormat="1" ht="76" spans="1:35">
      <c r="A2490" s="128"/>
      <c r="B2490" s="4795"/>
      <c r="C2490" s="653"/>
      <c r="D2490" s="4787"/>
      <c r="E2490" s="651"/>
      <c r="F2490" s="127"/>
      <c r="G2490" s="651"/>
      <c r="H2490" s="651"/>
      <c r="I2490" s="651"/>
      <c r="J2490" s="4843"/>
      <c r="K2490" s="857"/>
      <c r="L2490" s="128"/>
      <c r="M2490" s="651"/>
      <c r="N2490" s="185" t="s">
        <v>5065</v>
      </c>
      <c r="O2490" s="4844">
        <v>0.2</v>
      </c>
      <c r="P2490" s="837">
        <f>900000*O2490</f>
        <v>180000</v>
      </c>
      <c r="Q2490" s="271">
        <v>180000</v>
      </c>
      <c r="R2490" s="74" t="s">
        <v>4603</v>
      </c>
      <c r="S2490" s="4760">
        <v>45993</v>
      </c>
      <c r="T2490" s="74">
        <v>180000</v>
      </c>
      <c r="U2490" s="4864">
        <v>45993</v>
      </c>
      <c r="V2490" s="74">
        <v>180000</v>
      </c>
      <c r="W2490" s="4760"/>
      <c r="X2490" s="4865">
        <v>180000</v>
      </c>
      <c r="Y2490" s="3440">
        <v>46021</v>
      </c>
      <c r="Z2490" s="4861"/>
      <c r="AA2490" s="128"/>
      <c r="AB2490" s="4861"/>
      <c r="AC2490" s="4861"/>
      <c r="AD2490" s="4861"/>
      <c r="AE2490" s="4861"/>
      <c r="AF2490" s="4861"/>
      <c r="AG2490" s="4861"/>
      <c r="AH2490" s="151"/>
      <c r="AI2490" s="151"/>
    </row>
    <row r="2491" s="60" customFormat="1" ht="92" spans="1:35">
      <c r="A2491" s="128"/>
      <c r="B2491" s="4795"/>
      <c r="C2491" s="653"/>
      <c r="D2491" s="4787"/>
      <c r="E2491" s="651"/>
      <c r="F2491" s="127"/>
      <c r="G2491" s="651"/>
      <c r="H2491" s="651"/>
      <c r="I2491" s="651"/>
      <c r="J2491" s="4843"/>
      <c r="K2491" s="857"/>
      <c r="L2491" s="128"/>
      <c r="M2491" s="1067"/>
      <c r="N2491" s="185" t="s">
        <v>5070</v>
      </c>
      <c r="O2491" s="4844">
        <v>0.05</v>
      </c>
      <c r="P2491" s="837">
        <f>900000*O2491</f>
        <v>45000</v>
      </c>
      <c r="Q2491" s="4849">
        <v>45000</v>
      </c>
      <c r="R2491" s="3439" t="s">
        <v>349</v>
      </c>
      <c r="S2491" s="3440">
        <v>46172</v>
      </c>
      <c r="T2491" s="128"/>
      <c r="U2491" s="4866"/>
      <c r="V2491" s="128"/>
      <c r="W2491" s="4861"/>
      <c r="X2491" s="837"/>
      <c r="Y2491" s="276"/>
      <c r="Z2491" s="4861"/>
      <c r="AA2491" s="128"/>
      <c r="AB2491" s="4861"/>
      <c r="AC2491" s="4861"/>
      <c r="AD2491" s="4861"/>
      <c r="AE2491" s="4861"/>
      <c r="AF2491" s="4861"/>
      <c r="AG2491" s="4861"/>
      <c r="AH2491" s="151"/>
      <c r="AI2491" s="151"/>
    </row>
    <row r="2492" s="60" customFormat="1" ht="92" spans="1:35">
      <c r="A2492" s="128"/>
      <c r="B2492" s="4795"/>
      <c r="C2492" s="653"/>
      <c r="D2492" s="4787"/>
      <c r="E2492" s="651"/>
      <c r="F2492" s="127"/>
      <c r="G2492" s="651"/>
      <c r="H2492" s="651"/>
      <c r="I2492" s="651"/>
      <c r="J2492" s="4843"/>
      <c r="K2492" s="857"/>
      <c r="L2492" s="128"/>
      <c r="M2492" s="127" t="s">
        <v>7513</v>
      </c>
      <c r="N2492" s="185" t="s">
        <v>5071</v>
      </c>
      <c r="O2492" s="4844">
        <v>0.05</v>
      </c>
      <c r="P2492" s="837">
        <v>45000</v>
      </c>
      <c r="Q2492" s="4849">
        <v>45000</v>
      </c>
      <c r="R2492" s="3439" t="s">
        <v>349</v>
      </c>
      <c r="S2492" s="3440">
        <v>46356</v>
      </c>
      <c r="T2492" s="128"/>
      <c r="U2492" s="4866"/>
      <c r="V2492" s="128"/>
      <c r="W2492" s="4861"/>
      <c r="X2492" s="837"/>
      <c r="Y2492" s="276"/>
      <c r="Z2492" s="4861"/>
      <c r="AA2492" s="128"/>
      <c r="AB2492" s="4861"/>
      <c r="AC2492" s="4861"/>
      <c r="AD2492" s="4861"/>
      <c r="AE2492" s="4861"/>
      <c r="AF2492" s="4861"/>
      <c r="AG2492" s="4861"/>
      <c r="AH2492" s="151"/>
      <c r="AI2492" s="151"/>
    </row>
    <row r="2493" s="60" customFormat="1" ht="92" spans="1:35">
      <c r="A2493" s="128"/>
      <c r="B2493" s="3444"/>
      <c r="C2493" s="4839"/>
      <c r="D2493" s="4788"/>
      <c r="E2493" s="1067"/>
      <c r="F2493" s="127"/>
      <c r="G2493" s="1067"/>
      <c r="H2493" s="1067"/>
      <c r="I2493" s="1067"/>
      <c r="J2493" s="3443"/>
      <c r="K2493" s="857"/>
      <c r="L2493" s="128"/>
      <c r="M2493" s="128" t="s">
        <v>6237</v>
      </c>
      <c r="N2493" s="185" t="s">
        <v>7516</v>
      </c>
      <c r="O2493" s="4844">
        <v>0.1</v>
      </c>
      <c r="P2493" s="837">
        <f>K2485*O2493</f>
        <v>124448</v>
      </c>
      <c r="Q2493" s="4848"/>
      <c r="R2493" s="3439"/>
      <c r="S2493" s="3440"/>
      <c r="T2493" s="128"/>
      <c r="U2493" s="128"/>
      <c r="V2493" s="128"/>
      <c r="W2493" s="4861"/>
      <c r="X2493" s="837"/>
      <c r="Y2493" s="276"/>
      <c r="Z2493" s="4861"/>
      <c r="AA2493" s="128"/>
      <c r="AB2493" s="4861"/>
      <c r="AC2493" s="4861"/>
      <c r="AD2493" s="4861"/>
      <c r="AE2493" s="4861"/>
      <c r="AF2493" s="4861"/>
      <c r="AG2493" s="4861"/>
      <c r="AH2493" s="152"/>
      <c r="AI2493" s="152"/>
    </row>
    <row r="2494" s="60" customFormat="1" ht="37.5" customHeight="1" spans="1:35">
      <c r="A2494" s="128" t="s">
        <v>1186</v>
      </c>
      <c r="B2494" s="3442">
        <v>45632</v>
      </c>
      <c r="C2494" s="649" t="s">
        <v>7608</v>
      </c>
      <c r="D2494" s="4786"/>
      <c r="E2494" s="647" t="s">
        <v>7622</v>
      </c>
      <c r="F2494" s="127" t="s">
        <v>7623</v>
      </c>
      <c r="G2494" s="647" t="s">
        <v>7587</v>
      </c>
      <c r="H2494" s="647" t="s">
        <v>5074</v>
      </c>
      <c r="I2494" s="149">
        <v>2187.8</v>
      </c>
      <c r="J2494" s="3441">
        <f>K2494/I2494</f>
        <v>641.104671359356</v>
      </c>
      <c r="K2494" s="857">
        <v>1402608.8</v>
      </c>
      <c r="L2494" s="128" t="s">
        <v>126</v>
      </c>
      <c r="M2494" s="128">
        <v>1</v>
      </c>
      <c r="N2494" s="185" t="s">
        <v>7505</v>
      </c>
      <c r="O2494" s="4844">
        <v>0.2</v>
      </c>
      <c r="P2494" s="837">
        <f>K2494*O2494</f>
        <v>280521.76</v>
      </c>
      <c r="Q2494" s="4848">
        <v>280521.76</v>
      </c>
      <c r="R2494" s="128" t="s">
        <v>4603</v>
      </c>
      <c r="S2494" s="313">
        <v>45664</v>
      </c>
      <c r="T2494" s="4848">
        <v>280521.76</v>
      </c>
      <c r="U2494" s="313">
        <v>45664</v>
      </c>
      <c r="V2494" s="3441">
        <v>1122087.04</v>
      </c>
      <c r="W2494" s="3442">
        <v>45701</v>
      </c>
      <c r="X2494" s="4867">
        <v>300000</v>
      </c>
      <c r="Y2494" s="313">
        <v>45744</v>
      </c>
      <c r="Z2494" s="4870"/>
      <c r="AA2494" s="128"/>
      <c r="AB2494" s="4861"/>
      <c r="AC2494" s="4861"/>
      <c r="AD2494" s="4861"/>
      <c r="AE2494" s="4861"/>
      <c r="AF2494" s="4861"/>
      <c r="AG2494" s="4861"/>
      <c r="AH2494" s="149" t="s">
        <v>197</v>
      </c>
      <c r="AI2494" s="149" t="s">
        <v>154</v>
      </c>
    </row>
    <row r="2495" s="60" customFormat="1" ht="37.5" customHeight="1" spans="1:35">
      <c r="A2495" s="128"/>
      <c r="B2495" s="4795"/>
      <c r="C2495" s="653"/>
      <c r="D2495" s="4787"/>
      <c r="E2495" s="651"/>
      <c r="F2495" s="127"/>
      <c r="G2495" s="651"/>
      <c r="H2495" s="651"/>
      <c r="I2495" s="151"/>
      <c r="J2495" s="4843"/>
      <c r="K2495" s="857"/>
      <c r="L2495" s="128"/>
      <c r="M2495" s="128">
        <v>2</v>
      </c>
      <c r="N2495" s="185" t="s">
        <v>5130</v>
      </c>
      <c r="O2495" s="4844">
        <v>0.2</v>
      </c>
      <c r="P2495" s="837">
        <f>K2494*O2495</f>
        <v>280521.76</v>
      </c>
      <c r="Q2495" s="4848">
        <v>280521.76</v>
      </c>
      <c r="R2495" s="128" t="s">
        <v>4603</v>
      </c>
      <c r="S2495" s="313">
        <v>45664</v>
      </c>
      <c r="T2495" s="4848">
        <v>280521.76</v>
      </c>
      <c r="U2495" s="313">
        <v>45664</v>
      </c>
      <c r="V2495" s="4843"/>
      <c r="W2495" s="4795"/>
      <c r="X2495" s="3838">
        <f>V2494-X2494-X2499</f>
        <v>672087.04</v>
      </c>
      <c r="Y2495" s="313">
        <v>45770</v>
      </c>
      <c r="Z2495" s="128"/>
      <c r="AA2495" s="128"/>
      <c r="AB2495" s="4861"/>
      <c r="AC2495" s="4861"/>
      <c r="AD2495" s="4861"/>
      <c r="AE2495" s="4861"/>
      <c r="AF2495" s="4861"/>
      <c r="AG2495" s="4861"/>
      <c r="AH2495" s="151"/>
      <c r="AI2495" s="151"/>
    </row>
    <row r="2496" s="60" customFormat="1" ht="37.5" customHeight="1" spans="1:35">
      <c r="A2496" s="128"/>
      <c r="B2496" s="4795"/>
      <c r="C2496" s="653"/>
      <c r="D2496" s="4787"/>
      <c r="E2496" s="651"/>
      <c r="F2496" s="127"/>
      <c r="G2496" s="651"/>
      <c r="H2496" s="651"/>
      <c r="I2496" s="151"/>
      <c r="J2496" s="4843"/>
      <c r="K2496" s="857"/>
      <c r="L2496" s="128"/>
      <c r="M2496" s="149">
        <v>3</v>
      </c>
      <c r="N2496" s="172" t="s">
        <v>5131</v>
      </c>
      <c r="O2496" s="4844">
        <v>0.2</v>
      </c>
      <c r="P2496" s="3817">
        <f>K2494*O2496</f>
        <v>280521.76</v>
      </c>
      <c r="Q2496" s="3441">
        <v>280521.76</v>
      </c>
      <c r="R2496" s="149" t="s">
        <v>4603</v>
      </c>
      <c r="S2496" s="3442">
        <v>45664</v>
      </c>
      <c r="T2496" s="3441">
        <v>280521.76</v>
      </c>
      <c r="U2496" s="3442">
        <v>45664</v>
      </c>
      <c r="V2496" s="4843"/>
      <c r="W2496" s="4795"/>
      <c r="X2496" s="3838"/>
      <c r="Y2496" s="313"/>
      <c r="Z2496" s="128"/>
      <c r="AA2496" s="128"/>
      <c r="AB2496" s="4861"/>
      <c r="AC2496" s="4861"/>
      <c r="AD2496" s="4861"/>
      <c r="AE2496" s="4861"/>
      <c r="AF2496" s="4861"/>
      <c r="AG2496" s="4861"/>
      <c r="AH2496" s="151"/>
      <c r="AI2496" s="151"/>
    </row>
    <row r="2497" s="60" customFormat="1" ht="37.5" customHeight="1" spans="1:35">
      <c r="A2497" s="128"/>
      <c r="B2497" s="4795"/>
      <c r="C2497" s="653"/>
      <c r="D2497" s="4787"/>
      <c r="E2497" s="651"/>
      <c r="F2497" s="127"/>
      <c r="G2497" s="651"/>
      <c r="H2497" s="651"/>
      <c r="I2497" s="151"/>
      <c r="J2497" s="4843"/>
      <c r="K2497" s="857"/>
      <c r="L2497" s="128"/>
      <c r="M2497" s="152"/>
      <c r="N2497" s="176"/>
      <c r="O2497" s="4844"/>
      <c r="P2497" s="3821"/>
      <c r="Q2497" s="3443"/>
      <c r="R2497" s="152"/>
      <c r="S2497" s="3444"/>
      <c r="T2497" s="3443"/>
      <c r="U2497" s="3444"/>
      <c r="V2497" s="4843"/>
      <c r="W2497" s="4795"/>
      <c r="X2497" s="3838"/>
      <c r="Y2497" s="313"/>
      <c r="Z2497" s="128"/>
      <c r="AA2497" s="128"/>
      <c r="AB2497" s="4861"/>
      <c r="AC2497" s="4861"/>
      <c r="AD2497" s="4861"/>
      <c r="AE2497" s="4861"/>
      <c r="AF2497" s="4861"/>
      <c r="AG2497" s="4861"/>
      <c r="AH2497" s="151"/>
      <c r="AI2497" s="151"/>
    </row>
    <row r="2498" s="60" customFormat="1" ht="37.5" customHeight="1" spans="1:35">
      <c r="A2498" s="128"/>
      <c r="B2498" s="4795"/>
      <c r="C2498" s="653"/>
      <c r="D2498" s="4787"/>
      <c r="E2498" s="651"/>
      <c r="F2498" s="127"/>
      <c r="G2498" s="651"/>
      <c r="H2498" s="651"/>
      <c r="I2498" s="151"/>
      <c r="J2498" s="4843"/>
      <c r="K2498" s="857"/>
      <c r="L2498" s="128"/>
      <c r="M2498" s="149">
        <v>4</v>
      </c>
      <c r="N2498" s="172" t="s">
        <v>5132</v>
      </c>
      <c r="O2498" s="4844">
        <v>0.2</v>
      </c>
      <c r="P2498" s="3817">
        <f>K2494*O2498</f>
        <v>280521.76</v>
      </c>
      <c r="Q2498" s="3441">
        <v>280521.76</v>
      </c>
      <c r="R2498" s="149" t="s">
        <v>4603</v>
      </c>
      <c r="S2498" s="3442">
        <v>45664</v>
      </c>
      <c r="T2498" s="3441">
        <v>280521.76</v>
      </c>
      <c r="U2498" s="3442">
        <v>45664</v>
      </c>
      <c r="V2498" s="4843"/>
      <c r="W2498" s="4795"/>
      <c r="X2498" s="3838"/>
      <c r="Y2498" s="313"/>
      <c r="Z2498" s="128"/>
      <c r="AA2498" s="128"/>
      <c r="AB2498" s="4861"/>
      <c r="AC2498" s="4861"/>
      <c r="AD2498" s="4861"/>
      <c r="AE2498" s="4861"/>
      <c r="AF2498" s="4861"/>
      <c r="AG2498" s="4861"/>
      <c r="AH2498" s="151"/>
      <c r="AI2498" s="151"/>
    </row>
    <row r="2499" s="60" customFormat="1" ht="37.5" customHeight="1" spans="1:35">
      <c r="A2499" s="128"/>
      <c r="B2499" s="4795"/>
      <c r="C2499" s="653"/>
      <c r="D2499" s="4787"/>
      <c r="E2499" s="651"/>
      <c r="F2499" s="127"/>
      <c r="G2499" s="651"/>
      <c r="H2499" s="651"/>
      <c r="I2499" s="151"/>
      <c r="J2499" s="4843"/>
      <c r="K2499" s="857"/>
      <c r="L2499" s="128"/>
      <c r="M2499" s="152"/>
      <c r="N2499" s="176"/>
      <c r="O2499" s="4844"/>
      <c r="P2499" s="3821"/>
      <c r="Q2499" s="3443"/>
      <c r="R2499" s="152"/>
      <c r="S2499" s="3444"/>
      <c r="T2499" s="3443"/>
      <c r="U2499" s="3444"/>
      <c r="V2499" s="3443"/>
      <c r="W2499" s="3444"/>
      <c r="X2499" s="4877">
        <v>150000</v>
      </c>
      <c r="Y2499" s="3444">
        <v>45804</v>
      </c>
      <c r="Z2499" s="128"/>
      <c r="AA2499" s="128"/>
      <c r="AB2499" s="4861"/>
      <c r="AC2499" s="4861"/>
      <c r="AD2499" s="4861"/>
      <c r="AE2499" s="4861"/>
      <c r="AF2499" s="4861"/>
      <c r="AG2499" s="4861"/>
      <c r="AH2499" s="151"/>
      <c r="AI2499" s="151"/>
    </row>
    <row r="2500" s="60" customFormat="1" ht="37.5" customHeight="1" spans="1:35">
      <c r="A2500" s="128"/>
      <c r="B2500" s="4795"/>
      <c r="C2500" s="653"/>
      <c r="D2500" s="4787"/>
      <c r="E2500" s="651"/>
      <c r="F2500" s="127"/>
      <c r="G2500" s="651"/>
      <c r="H2500" s="651"/>
      <c r="I2500" s="151"/>
      <c r="J2500" s="4843"/>
      <c r="K2500" s="857"/>
      <c r="L2500" s="128"/>
      <c r="M2500" s="128">
        <v>5</v>
      </c>
      <c r="N2500" s="172" t="s">
        <v>7624</v>
      </c>
      <c r="O2500" s="4844">
        <v>0.1</v>
      </c>
      <c r="P2500" s="837">
        <f>K2494*O2500</f>
        <v>140260.88</v>
      </c>
      <c r="Q2500" s="4851">
        <v>140260.88</v>
      </c>
      <c r="R2500" s="3439" t="s">
        <v>349</v>
      </c>
      <c r="S2500" s="3440">
        <v>46356</v>
      </c>
      <c r="T2500" s="3834"/>
      <c r="U2500" s="3842"/>
      <c r="V2500" s="4862"/>
      <c r="W2500" s="313"/>
      <c r="X2500" s="4859"/>
      <c r="Y2500" s="313"/>
      <c r="Z2500" s="128"/>
      <c r="AA2500" s="128"/>
      <c r="AB2500" s="4861"/>
      <c r="AC2500" s="4861"/>
      <c r="AD2500" s="4861"/>
      <c r="AE2500" s="4861"/>
      <c r="AF2500" s="4861"/>
      <c r="AG2500" s="4861"/>
      <c r="AH2500" s="151"/>
      <c r="AI2500" s="151"/>
    </row>
    <row r="2501" s="60" customFormat="1" ht="92" spans="1:35">
      <c r="A2501" s="128"/>
      <c r="B2501" s="3444"/>
      <c r="C2501" s="4839"/>
      <c r="D2501" s="4788"/>
      <c r="E2501" s="1067"/>
      <c r="F2501" s="127"/>
      <c r="G2501" s="1067"/>
      <c r="H2501" s="1067"/>
      <c r="I2501" s="152"/>
      <c r="J2501" s="3443"/>
      <c r="K2501" s="857"/>
      <c r="L2501" s="128"/>
      <c r="M2501" s="128" t="s">
        <v>6237</v>
      </c>
      <c r="N2501" s="185" t="s">
        <v>7508</v>
      </c>
      <c r="O2501" s="4844">
        <v>0.1</v>
      </c>
      <c r="P2501" s="837">
        <f>K2494*O2501</f>
        <v>140260.88</v>
      </c>
      <c r="Q2501" s="4848"/>
      <c r="R2501" s="128"/>
      <c r="S2501" s="313"/>
      <c r="T2501" s="4848"/>
      <c r="U2501" s="128"/>
      <c r="V2501" s="4848"/>
      <c r="W2501" s="4861"/>
      <c r="X2501" s="837"/>
      <c r="Y2501" s="276"/>
      <c r="Z2501" s="4861"/>
      <c r="AA2501" s="128"/>
      <c r="AB2501" s="4861"/>
      <c r="AC2501" s="4861"/>
      <c r="AD2501" s="4861"/>
      <c r="AE2501" s="4861"/>
      <c r="AF2501" s="4861"/>
      <c r="AG2501" s="4861"/>
      <c r="AH2501" s="152"/>
      <c r="AI2501" s="152"/>
    </row>
    <row r="2502" s="60" customFormat="1" ht="37.5" customHeight="1" spans="1:35">
      <c r="A2502" s="128" t="s">
        <v>1186</v>
      </c>
      <c r="B2502" s="3442">
        <v>45632</v>
      </c>
      <c r="C2502" s="649" t="s">
        <v>7608</v>
      </c>
      <c r="D2502" s="4786"/>
      <c r="E2502" s="647" t="s">
        <v>7625</v>
      </c>
      <c r="F2502" s="127" t="s">
        <v>7626</v>
      </c>
      <c r="G2502" s="647" t="s">
        <v>7499</v>
      </c>
      <c r="H2502" s="647" t="s">
        <v>5634</v>
      </c>
      <c r="I2502" s="149">
        <v>41493.27</v>
      </c>
      <c r="J2502" s="3441">
        <f>K2502/I2502</f>
        <v>10.1088289739517</v>
      </c>
      <c r="K2502" s="857">
        <v>419448.37</v>
      </c>
      <c r="L2502" s="128" t="s">
        <v>126</v>
      </c>
      <c r="M2502" s="128">
        <v>1</v>
      </c>
      <c r="N2502" s="185" t="s">
        <v>5610</v>
      </c>
      <c r="O2502" s="4844">
        <v>0.2</v>
      </c>
      <c r="P2502" s="837">
        <f>K2502*O2502</f>
        <v>83889.674</v>
      </c>
      <c r="Q2502" s="4848">
        <v>83889.67</v>
      </c>
      <c r="R2502" s="128" t="s">
        <v>4603</v>
      </c>
      <c r="S2502" s="313">
        <v>45664</v>
      </c>
      <c r="T2502" s="4848">
        <v>83889.67</v>
      </c>
      <c r="U2502" s="313">
        <v>45664</v>
      </c>
      <c r="V2502" s="3441">
        <v>251669.01</v>
      </c>
      <c r="W2502" s="3442">
        <v>45705</v>
      </c>
      <c r="X2502" s="4850">
        <v>251669.01</v>
      </c>
      <c r="Y2502" s="3442">
        <v>45715</v>
      </c>
      <c r="Z2502" s="4870"/>
      <c r="AA2502" s="128"/>
      <c r="AB2502" s="4861"/>
      <c r="AC2502" s="4861"/>
      <c r="AD2502" s="4861"/>
      <c r="AE2502" s="4861"/>
      <c r="AF2502" s="4861"/>
      <c r="AG2502" s="4861"/>
      <c r="AH2502" s="149" t="s">
        <v>197</v>
      </c>
      <c r="AI2502" s="149" t="s">
        <v>154</v>
      </c>
    </row>
    <row r="2503" s="60" customFormat="1" ht="37.5" customHeight="1" spans="1:35">
      <c r="A2503" s="128"/>
      <c r="B2503" s="4795"/>
      <c r="C2503" s="653"/>
      <c r="D2503" s="4787"/>
      <c r="E2503" s="651"/>
      <c r="F2503" s="127"/>
      <c r="G2503" s="651"/>
      <c r="H2503" s="651"/>
      <c r="I2503" s="151"/>
      <c r="J2503" s="4843"/>
      <c r="K2503" s="857"/>
      <c r="L2503" s="128"/>
      <c r="M2503" s="149">
        <v>2</v>
      </c>
      <c r="N2503" s="172" t="s">
        <v>5130</v>
      </c>
      <c r="O2503" s="4844">
        <v>0.2</v>
      </c>
      <c r="P2503" s="3817">
        <f>K2502*O2503</f>
        <v>83889.674</v>
      </c>
      <c r="Q2503" s="3441">
        <v>83889.67</v>
      </c>
      <c r="R2503" s="149" t="s">
        <v>4603</v>
      </c>
      <c r="S2503" s="3442">
        <v>45664</v>
      </c>
      <c r="T2503" s="3441">
        <v>83889.67</v>
      </c>
      <c r="U2503" s="3442">
        <v>45664</v>
      </c>
      <c r="V2503" s="4843"/>
      <c r="W2503" s="4795"/>
      <c r="X2503" s="4878"/>
      <c r="Y2503" s="4795"/>
      <c r="Z2503" s="128"/>
      <c r="AA2503" s="128"/>
      <c r="AB2503" s="4861"/>
      <c r="AC2503" s="4861"/>
      <c r="AD2503" s="4861"/>
      <c r="AE2503" s="4861"/>
      <c r="AF2503" s="4861"/>
      <c r="AG2503" s="4861"/>
      <c r="AH2503" s="151"/>
      <c r="AI2503" s="151"/>
    </row>
    <row r="2504" s="60" customFormat="1" ht="37.5" customHeight="1" spans="1:35">
      <c r="A2504" s="128"/>
      <c r="B2504" s="4795"/>
      <c r="C2504" s="653"/>
      <c r="D2504" s="4787"/>
      <c r="E2504" s="651"/>
      <c r="F2504" s="127"/>
      <c r="G2504" s="651"/>
      <c r="H2504" s="651"/>
      <c r="I2504" s="151"/>
      <c r="J2504" s="4843"/>
      <c r="K2504" s="857"/>
      <c r="L2504" s="128"/>
      <c r="M2504" s="128">
        <v>3</v>
      </c>
      <c r="N2504" s="172" t="s">
        <v>5131</v>
      </c>
      <c r="O2504" s="4844">
        <v>0.2</v>
      </c>
      <c r="P2504" s="837">
        <f>K2502*O2504</f>
        <v>83889.674</v>
      </c>
      <c r="Q2504" s="4848">
        <v>83889.67</v>
      </c>
      <c r="R2504" s="128" t="s">
        <v>4603</v>
      </c>
      <c r="S2504" s="3442">
        <v>45664</v>
      </c>
      <c r="T2504" s="4848">
        <v>83889.67</v>
      </c>
      <c r="U2504" s="3442">
        <v>45664</v>
      </c>
      <c r="V2504" s="3443"/>
      <c r="W2504" s="3444"/>
      <c r="X2504" s="4858"/>
      <c r="Y2504" s="3444"/>
      <c r="Z2504" s="128"/>
      <c r="AA2504" s="128"/>
      <c r="AB2504" s="4861"/>
      <c r="AC2504" s="4861"/>
      <c r="AD2504" s="4861"/>
      <c r="AE2504" s="4861"/>
      <c r="AF2504" s="4861"/>
      <c r="AG2504" s="4861"/>
      <c r="AH2504" s="151"/>
      <c r="AI2504" s="151"/>
    </row>
    <row r="2505" s="60" customFormat="1" ht="37.5" customHeight="1" spans="1:35">
      <c r="A2505" s="128"/>
      <c r="B2505" s="4795"/>
      <c r="C2505" s="653"/>
      <c r="D2505" s="4787"/>
      <c r="E2505" s="651"/>
      <c r="F2505" s="127"/>
      <c r="G2505" s="651"/>
      <c r="H2505" s="651"/>
      <c r="I2505" s="151"/>
      <c r="J2505" s="4843"/>
      <c r="K2505" s="857"/>
      <c r="L2505" s="128"/>
      <c r="M2505" s="149">
        <v>4</v>
      </c>
      <c r="N2505" s="172" t="s">
        <v>5132</v>
      </c>
      <c r="O2505" s="4844">
        <v>0.2</v>
      </c>
      <c r="P2505" s="3817">
        <f>K2502*O2505</f>
        <v>83889.674</v>
      </c>
      <c r="Q2505" s="128">
        <v>83889.67</v>
      </c>
      <c r="R2505" s="128" t="s">
        <v>4603</v>
      </c>
      <c r="S2505" s="3842">
        <v>45792</v>
      </c>
      <c r="T2505" s="3834">
        <v>83889.67</v>
      </c>
      <c r="U2505" s="3842">
        <v>45792</v>
      </c>
      <c r="V2505" s="4859">
        <v>83889.67</v>
      </c>
      <c r="W2505" s="313">
        <v>45796</v>
      </c>
      <c r="X2505" s="74">
        <v>83889.67</v>
      </c>
      <c r="Y2505" s="313">
        <v>45804</v>
      </c>
      <c r="Z2505" s="128"/>
      <c r="AA2505" s="128"/>
      <c r="AB2505" s="4861"/>
      <c r="AC2505" s="4861"/>
      <c r="AD2505" s="4861"/>
      <c r="AE2505" s="4861"/>
      <c r="AF2505" s="4861"/>
      <c r="AG2505" s="4861"/>
      <c r="AH2505" s="151"/>
      <c r="AI2505" s="151"/>
    </row>
    <row r="2506" s="60" customFormat="1" ht="37.5" customHeight="1" spans="1:35">
      <c r="A2506" s="128"/>
      <c r="B2506" s="4795"/>
      <c r="C2506" s="653"/>
      <c r="D2506" s="4787"/>
      <c r="E2506" s="651"/>
      <c r="F2506" s="127"/>
      <c r="G2506" s="651"/>
      <c r="H2506" s="651"/>
      <c r="I2506" s="151"/>
      <c r="J2506" s="4843"/>
      <c r="K2506" s="857"/>
      <c r="L2506" s="128"/>
      <c r="M2506" s="128">
        <v>5</v>
      </c>
      <c r="N2506" s="172" t="s">
        <v>7627</v>
      </c>
      <c r="O2506" s="4844">
        <v>0.1</v>
      </c>
      <c r="P2506" s="837">
        <f>K2502*O2506</f>
        <v>41944.837</v>
      </c>
      <c r="Q2506" s="4799">
        <v>41944.84</v>
      </c>
      <c r="R2506" s="3439" t="s">
        <v>349</v>
      </c>
      <c r="S2506" s="3440">
        <v>46356</v>
      </c>
      <c r="T2506" s="127"/>
      <c r="U2506" s="3842"/>
      <c r="V2506" s="4859"/>
      <c r="W2506" s="313"/>
      <c r="X2506" s="4859"/>
      <c r="Y2506" s="313"/>
      <c r="Z2506" s="128"/>
      <c r="AA2506" s="128"/>
      <c r="AB2506" s="4861"/>
      <c r="AC2506" s="4861"/>
      <c r="AD2506" s="4861"/>
      <c r="AE2506" s="4861"/>
      <c r="AF2506" s="4861"/>
      <c r="AG2506" s="4861"/>
      <c r="AH2506" s="151"/>
      <c r="AI2506" s="151"/>
    </row>
    <row r="2507" s="60" customFormat="1" ht="92" spans="1:35">
      <c r="A2507" s="128"/>
      <c r="B2507" s="3444"/>
      <c r="C2507" s="4839"/>
      <c r="D2507" s="4788"/>
      <c r="E2507" s="1067"/>
      <c r="F2507" s="127"/>
      <c r="G2507" s="1067"/>
      <c r="H2507" s="1067"/>
      <c r="I2507" s="152"/>
      <c r="J2507" s="3443"/>
      <c r="K2507" s="857"/>
      <c r="L2507" s="128"/>
      <c r="M2507" s="128" t="s">
        <v>6237</v>
      </c>
      <c r="N2507" s="185" t="s">
        <v>6245</v>
      </c>
      <c r="O2507" s="4844">
        <v>0.1</v>
      </c>
      <c r="P2507" s="837">
        <f>K2502*O2507</f>
        <v>41944.837</v>
      </c>
      <c r="Q2507" s="837"/>
      <c r="R2507" s="128"/>
      <c r="S2507" s="313"/>
      <c r="T2507" s="128"/>
      <c r="U2507" s="128"/>
      <c r="V2507" s="128"/>
      <c r="W2507" s="4861"/>
      <c r="X2507" s="837"/>
      <c r="Y2507" s="276"/>
      <c r="Z2507" s="4861"/>
      <c r="AA2507" s="128"/>
      <c r="AB2507" s="4861"/>
      <c r="AC2507" s="4861"/>
      <c r="AD2507" s="4861"/>
      <c r="AE2507" s="4861"/>
      <c r="AF2507" s="4861"/>
      <c r="AG2507" s="4861"/>
      <c r="AH2507" s="152"/>
      <c r="AI2507" s="152"/>
    </row>
    <row r="2508" s="58" customFormat="1" ht="37.5" customHeight="1" spans="1:35">
      <c r="A2508" s="128" t="s">
        <v>1186</v>
      </c>
      <c r="B2508" s="3803">
        <v>45643</v>
      </c>
      <c r="C2508" s="649" t="s">
        <v>7628</v>
      </c>
      <c r="D2508" s="4787"/>
      <c r="E2508" s="647" t="s">
        <v>7629</v>
      </c>
      <c r="F2508" s="647" t="s">
        <v>7630</v>
      </c>
      <c r="G2508" s="647" t="s">
        <v>5897</v>
      </c>
      <c r="H2508" s="647" t="s">
        <v>4861</v>
      </c>
      <c r="I2508" s="3745">
        <v>25364.66</v>
      </c>
      <c r="J2508" s="3811">
        <v>2.81</v>
      </c>
      <c r="K2508" s="4840">
        <f>I2508*J2508</f>
        <v>71274.6946</v>
      </c>
      <c r="L2508" s="149" t="s">
        <v>32</v>
      </c>
      <c r="M2508" s="128" t="s">
        <v>1144</v>
      </c>
      <c r="N2508" s="185" t="s">
        <v>7485</v>
      </c>
      <c r="O2508" s="4708">
        <v>0.4</v>
      </c>
      <c r="P2508" s="837">
        <f>K2508*O2508</f>
        <v>28509.87784</v>
      </c>
      <c r="Q2508" s="3879">
        <v>28509.88</v>
      </c>
      <c r="R2508" s="128" t="s">
        <v>4603</v>
      </c>
      <c r="S2508" s="313">
        <v>45663</v>
      </c>
      <c r="T2508" s="3576">
        <v>28509.88</v>
      </c>
      <c r="U2508" s="313">
        <v>45663</v>
      </c>
      <c r="V2508" s="3576">
        <v>28509.88</v>
      </c>
      <c r="W2508" s="3615">
        <v>45665</v>
      </c>
      <c r="X2508" s="3576">
        <v>28509.88</v>
      </c>
      <c r="Y2508" s="3615">
        <v>45681</v>
      </c>
      <c r="Z2508" s="3841"/>
      <c r="AA2508" s="128" t="s">
        <v>4806</v>
      </c>
      <c r="AB2508" s="4820"/>
      <c r="AC2508" s="4820"/>
      <c r="AD2508" s="4820"/>
      <c r="AE2508" s="4820"/>
      <c r="AF2508" s="4820"/>
      <c r="AG2508" s="4820"/>
      <c r="AH2508" s="151"/>
      <c r="AI2508" s="151"/>
    </row>
    <row r="2509" s="58" customFormat="1" ht="37.5" customHeight="1" spans="1:35">
      <c r="A2509" s="128"/>
      <c r="B2509" s="3805"/>
      <c r="C2509" s="653"/>
      <c r="D2509" s="4787"/>
      <c r="E2509" s="651"/>
      <c r="F2509" s="651"/>
      <c r="G2509" s="651"/>
      <c r="H2509" s="651"/>
      <c r="I2509" s="3747"/>
      <c r="J2509" s="3813"/>
      <c r="K2509" s="4841"/>
      <c r="L2509" s="151"/>
      <c r="M2509" s="128" t="s">
        <v>1146</v>
      </c>
      <c r="N2509" s="185" t="s">
        <v>7604</v>
      </c>
      <c r="O2509" s="4708">
        <v>0.55</v>
      </c>
      <c r="P2509" s="837">
        <f>K2508*O2509</f>
        <v>39201.08203</v>
      </c>
      <c r="Q2509" s="3879">
        <v>39201.08</v>
      </c>
      <c r="R2509" s="128" t="s">
        <v>4603</v>
      </c>
      <c r="S2509" s="313">
        <v>45663</v>
      </c>
      <c r="T2509" s="3576">
        <v>39201.08</v>
      </c>
      <c r="U2509" s="313">
        <v>45663</v>
      </c>
      <c r="V2509" s="3576">
        <v>39201.08</v>
      </c>
      <c r="W2509" s="3615">
        <v>45665</v>
      </c>
      <c r="X2509" s="3576">
        <v>39201.08</v>
      </c>
      <c r="Y2509" s="3615">
        <v>45681</v>
      </c>
      <c r="Z2509" s="3841"/>
      <c r="AA2509" s="128" t="s">
        <v>4806</v>
      </c>
      <c r="AB2509" s="4820"/>
      <c r="AC2509" s="4820"/>
      <c r="AD2509" s="4820"/>
      <c r="AE2509" s="4820"/>
      <c r="AF2509" s="4820"/>
      <c r="AG2509" s="4820"/>
      <c r="AH2509" s="151"/>
      <c r="AI2509" s="151"/>
    </row>
    <row r="2510" s="58" customFormat="1" ht="37.5" customHeight="1" spans="1:35">
      <c r="A2510" s="128"/>
      <c r="B2510" s="3830"/>
      <c r="C2510" s="4839"/>
      <c r="D2510" s="4787"/>
      <c r="E2510" s="1067"/>
      <c r="F2510" s="1067"/>
      <c r="G2510" s="1067"/>
      <c r="H2510" s="1067"/>
      <c r="I2510" s="3577"/>
      <c r="J2510" s="3829"/>
      <c r="K2510" s="4842"/>
      <c r="L2510" s="152"/>
      <c r="M2510" s="128" t="s">
        <v>1148</v>
      </c>
      <c r="N2510" s="185" t="s">
        <v>7605</v>
      </c>
      <c r="O2510" s="4708">
        <v>0.05</v>
      </c>
      <c r="P2510" s="837">
        <f>K2508*O2510</f>
        <v>3563.73473</v>
      </c>
      <c r="Q2510" s="3576"/>
      <c r="R2510" s="128"/>
      <c r="S2510" s="3615"/>
      <c r="T2510" s="3576"/>
      <c r="U2510" s="3615"/>
      <c r="V2510" s="3576"/>
      <c r="W2510" s="3615"/>
      <c r="X2510" s="3576"/>
      <c r="Y2510" s="3615"/>
      <c r="Z2510" s="4832"/>
      <c r="AA2510" s="128"/>
      <c r="AB2510" s="4820"/>
      <c r="AC2510" s="4820"/>
      <c r="AD2510" s="4820"/>
      <c r="AE2510" s="4820"/>
      <c r="AF2510" s="4820"/>
      <c r="AG2510" s="4820"/>
      <c r="AH2510" s="151"/>
      <c r="AI2510" s="151"/>
    </row>
    <row r="2511" s="58" customFormat="1" ht="37.5" customHeight="1" spans="1:35">
      <c r="A2511" s="128" t="s">
        <v>1186</v>
      </c>
      <c r="B2511" s="3803">
        <v>45643</v>
      </c>
      <c r="C2511" s="649" t="s">
        <v>1886</v>
      </c>
      <c r="D2511" s="4787"/>
      <c r="E2511" s="647" t="s">
        <v>7631</v>
      </c>
      <c r="F2511" s="647" t="s">
        <v>7632</v>
      </c>
      <c r="G2511" s="647" t="s">
        <v>5897</v>
      </c>
      <c r="H2511" s="647" t="s">
        <v>4861</v>
      </c>
      <c r="I2511" s="3745">
        <v>14083.65</v>
      </c>
      <c r="J2511" s="3811">
        <v>2.81</v>
      </c>
      <c r="K2511" s="4840">
        <f>I2511*J2511</f>
        <v>39575.0565</v>
      </c>
      <c r="L2511" s="149" t="s">
        <v>32</v>
      </c>
      <c r="M2511" s="128" t="s">
        <v>1144</v>
      </c>
      <c r="N2511" s="185" t="s">
        <v>7485</v>
      </c>
      <c r="O2511" s="4708">
        <v>0.4</v>
      </c>
      <c r="P2511" s="837">
        <f>K2511*O2511</f>
        <v>15830.0226</v>
      </c>
      <c r="Q2511" s="3576">
        <v>15830.02</v>
      </c>
      <c r="R2511" s="128" t="s">
        <v>4603</v>
      </c>
      <c r="S2511" s="313">
        <v>45824</v>
      </c>
      <c r="T2511" s="3576">
        <v>15830.02</v>
      </c>
      <c r="U2511" s="313">
        <v>45824</v>
      </c>
      <c r="V2511" s="3811">
        <f>T2511+T2512</f>
        <v>37596.3</v>
      </c>
      <c r="W2511" s="3803">
        <v>45832</v>
      </c>
      <c r="X2511" s="3882">
        <f>V2511</f>
        <v>37596.3</v>
      </c>
      <c r="Y2511" s="3881">
        <v>45833</v>
      </c>
      <c r="Z2511" s="3841"/>
      <c r="AA2511" s="128" t="s">
        <v>4806</v>
      </c>
      <c r="AB2511" s="4820"/>
      <c r="AC2511" s="4820"/>
      <c r="AD2511" s="4820"/>
      <c r="AE2511" s="4820"/>
      <c r="AF2511" s="4820"/>
      <c r="AG2511" s="4820"/>
      <c r="AH2511" s="151"/>
      <c r="AI2511" s="151"/>
    </row>
    <row r="2512" s="58" customFormat="1" ht="37.5" customHeight="1" spans="1:35">
      <c r="A2512" s="128"/>
      <c r="B2512" s="3805"/>
      <c r="C2512" s="653"/>
      <c r="D2512" s="4787"/>
      <c r="E2512" s="651"/>
      <c r="F2512" s="651"/>
      <c r="G2512" s="651"/>
      <c r="H2512" s="651"/>
      <c r="I2512" s="3747"/>
      <c r="J2512" s="3813"/>
      <c r="K2512" s="4841"/>
      <c r="L2512" s="151"/>
      <c r="M2512" s="128" t="s">
        <v>1146</v>
      </c>
      <c r="N2512" s="185" t="s">
        <v>7604</v>
      </c>
      <c r="O2512" s="4708">
        <v>0.55</v>
      </c>
      <c r="P2512" s="837">
        <f>K2511*O2512</f>
        <v>21766.281075</v>
      </c>
      <c r="Q2512" s="3576">
        <v>21766.28</v>
      </c>
      <c r="R2512" s="128" t="s">
        <v>4603</v>
      </c>
      <c r="S2512" s="313">
        <v>45824</v>
      </c>
      <c r="T2512" s="3576">
        <v>21766.28</v>
      </c>
      <c r="U2512" s="313">
        <v>45824</v>
      </c>
      <c r="V2512" s="3829"/>
      <c r="W2512" s="3830"/>
      <c r="X2512" s="4769"/>
      <c r="Y2512" s="4847"/>
      <c r="Z2512" s="3841"/>
      <c r="AA2512" s="128" t="s">
        <v>4806</v>
      </c>
      <c r="AB2512" s="4820"/>
      <c r="AC2512" s="4820"/>
      <c r="AD2512" s="4820"/>
      <c r="AE2512" s="4820"/>
      <c r="AF2512" s="4820"/>
      <c r="AG2512" s="4820"/>
      <c r="AH2512" s="151"/>
      <c r="AI2512" s="151"/>
    </row>
    <row r="2513" s="58" customFormat="1" ht="37.5" customHeight="1" spans="1:35">
      <c r="A2513" s="128"/>
      <c r="B2513" s="3830"/>
      <c r="C2513" s="4839"/>
      <c r="D2513" s="4787"/>
      <c r="E2513" s="1067"/>
      <c r="F2513" s="1067"/>
      <c r="G2513" s="1067"/>
      <c r="H2513" s="1067"/>
      <c r="I2513" s="3577"/>
      <c r="J2513" s="3829"/>
      <c r="K2513" s="4842"/>
      <c r="L2513" s="152"/>
      <c r="M2513" s="128" t="s">
        <v>1148</v>
      </c>
      <c r="N2513" s="185" t="s">
        <v>7605</v>
      </c>
      <c r="O2513" s="4708">
        <v>0.05</v>
      </c>
      <c r="P2513" s="837">
        <f>K2511*O2513</f>
        <v>1978.752825</v>
      </c>
      <c r="Q2513" s="3576"/>
      <c r="R2513" s="128"/>
      <c r="S2513" s="3615"/>
      <c r="T2513" s="3576"/>
      <c r="U2513" s="3615"/>
      <c r="V2513" s="3576"/>
      <c r="W2513" s="3615"/>
      <c r="X2513" s="3576"/>
      <c r="Y2513" s="3615"/>
      <c r="Z2513" s="4832"/>
      <c r="AA2513" s="128"/>
      <c r="AB2513" s="4820"/>
      <c r="AC2513" s="4820"/>
      <c r="AD2513" s="4820"/>
      <c r="AE2513" s="4820"/>
      <c r="AF2513" s="4820"/>
      <c r="AG2513" s="4820"/>
      <c r="AH2513" s="151"/>
      <c r="AI2513" s="151"/>
    </row>
    <row r="2514" s="58" customFormat="1" ht="37.5" customHeight="1" spans="1:35">
      <c r="A2514" s="128" t="s">
        <v>2570</v>
      </c>
      <c r="B2514" s="313">
        <v>45657</v>
      </c>
      <c r="C2514" s="95" t="s">
        <v>7633</v>
      </c>
      <c r="D2514" s="4787"/>
      <c r="E2514" s="127" t="s">
        <v>7634</v>
      </c>
      <c r="F2514" s="127" t="s">
        <v>7635</v>
      </c>
      <c r="G2514" s="127" t="s">
        <v>286</v>
      </c>
      <c r="H2514" s="127" t="s">
        <v>7613</v>
      </c>
      <c r="I2514" s="3710">
        <v>2.9755</v>
      </c>
      <c r="J2514" s="4848" t="s">
        <v>7636</v>
      </c>
      <c r="K2514" s="3812">
        <v>45000</v>
      </c>
      <c r="L2514" s="128" t="s">
        <v>27</v>
      </c>
      <c r="M2514" s="128">
        <v>1</v>
      </c>
      <c r="N2514" s="185" t="s">
        <v>7613</v>
      </c>
      <c r="O2514" s="4708">
        <v>1</v>
      </c>
      <c r="P2514" s="837">
        <v>45000</v>
      </c>
      <c r="Q2514" s="3879">
        <v>45000</v>
      </c>
      <c r="R2514" s="128" t="s">
        <v>4603</v>
      </c>
      <c r="S2514" s="3615">
        <v>45667</v>
      </c>
      <c r="T2514" s="3576">
        <v>45000</v>
      </c>
      <c r="U2514" s="3615">
        <v>45667</v>
      </c>
      <c r="V2514" s="3576">
        <v>45000</v>
      </c>
      <c r="W2514" s="3615">
        <v>45673</v>
      </c>
      <c r="X2514" s="3879">
        <v>45000</v>
      </c>
      <c r="Y2514" s="3615">
        <v>45714</v>
      </c>
      <c r="Z2514" s="4832"/>
      <c r="AA2514" s="128"/>
      <c r="AB2514" s="4820"/>
      <c r="AC2514" s="4820"/>
      <c r="AD2514" s="4820"/>
      <c r="AE2514" s="4820"/>
      <c r="AF2514" s="4820"/>
      <c r="AG2514" s="4820"/>
      <c r="AH2514" s="151"/>
      <c r="AI2514" s="151"/>
    </row>
    <row r="2515" s="58" customFormat="1" ht="37.5" customHeight="1" spans="1:35">
      <c r="A2515" s="128" t="s">
        <v>2570</v>
      </c>
      <c r="B2515" s="313">
        <v>45868</v>
      </c>
      <c r="C2515" s="95"/>
      <c r="D2515" s="4787"/>
      <c r="E2515" s="127" t="s">
        <v>7068</v>
      </c>
      <c r="F2515" s="127" t="s">
        <v>7637</v>
      </c>
      <c r="G2515" s="127" t="s">
        <v>286</v>
      </c>
      <c r="H2515" s="127" t="s">
        <v>6441</v>
      </c>
      <c r="I2515" s="3710"/>
      <c r="J2515" s="3834" t="s">
        <v>7638</v>
      </c>
      <c r="K2515" s="857" t="s">
        <v>7639</v>
      </c>
      <c r="L2515" s="128"/>
      <c r="M2515" s="128"/>
      <c r="N2515" s="185"/>
      <c r="O2515" s="4708"/>
      <c r="P2515" s="837"/>
      <c r="Q2515" s="3879"/>
      <c r="R2515" s="128"/>
      <c r="S2515" s="3615"/>
      <c r="T2515" s="3576"/>
      <c r="U2515" s="3615"/>
      <c r="V2515" s="3576"/>
      <c r="W2515" s="3615"/>
      <c r="X2515" s="3879"/>
      <c r="Y2515" s="3615"/>
      <c r="Z2515" s="4832"/>
      <c r="AA2515" s="128"/>
      <c r="AB2515" s="4820"/>
      <c r="AC2515" s="4820"/>
      <c r="AD2515" s="4820"/>
      <c r="AE2515" s="4820"/>
      <c r="AF2515" s="4820"/>
      <c r="AG2515" s="4820"/>
      <c r="AH2515" s="151"/>
      <c r="AI2515" s="151"/>
    </row>
    <row r="2516" s="58" customFormat="1" ht="37.5" customHeight="1" spans="1:35">
      <c r="A2516" s="128" t="s">
        <v>2570</v>
      </c>
      <c r="B2516" s="313">
        <v>45868</v>
      </c>
      <c r="C2516" s="95"/>
      <c r="D2516" s="4787"/>
      <c r="E2516" s="127" t="s">
        <v>7068</v>
      </c>
      <c r="F2516" s="127" t="s">
        <v>4614</v>
      </c>
      <c r="G2516" s="127" t="s">
        <v>286</v>
      </c>
      <c r="H2516" s="127" t="s">
        <v>4608</v>
      </c>
      <c r="I2516" s="3710"/>
      <c r="J2516" s="3834" t="s">
        <v>7640</v>
      </c>
      <c r="K2516" s="3812"/>
      <c r="L2516" s="128"/>
      <c r="M2516" s="128"/>
      <c r="N2516" s="185"/>
      <c r="O2516" s="4708"/>
      <c r="P2516" s="837"/>
      <c r="Q2516" s="3879"/>
      <c r="R2516" s="128"/>
      <c r="S2516" s="3615"/>
      <c r="T2516" s="3576"/>
      <c r="U2516" s="3615"/>
      <c r="V2516" s="3576"/>
      <c r="W2516" s="3615"/>
      <c r="X2516" s="3879"/>
      <c r="Y2516" s="3615"/>
      <c r="Z2516" s="4832"/>
      <c r="AA2516" s="128"/>
      <c r="AB2516" s="4820"/>
      <c r="AC2516" s="4820"/>
      <c r="AD2516" s="4820"/>
      <c r="AE2516" s="4820"/>
      <c r="AF2516" s="4820"/>
      <c r="AG2516" s="4820"/>
      <c r="AH2516" s="151"/>
      <c r="AI2516" s="151"/>
    </row>
    <row r="2517" s="58" customFormat="1" ht="37.5" customHeight="1" spans="1:35">
      <c r="A2517" s="128" t="s">
        <v>2570</v>
      </c>
      <c r="B2517" s="313">
        <v>45868</v>
      </c>
      <c r="C2517" s="95"/>
      <c r="D2517" s="4787"/>
      <c r="E2517" s="127" t="s">
        <v>7068</v>
      </c>
      <c r="F2517" s="127" t="s">
        <v>7641</v>
      </c>
      <c r="G2517" s="127" t="s">
        <v>286</v>
      </c>
      <c r="H2517" s="127" t="s">
        <v>7081</v>
      </c>
      <c r="I2517" s="3710"/>
      <c r="J2517" s="3834" t="s">
        <v>7642</v>
      </c>
      <c r="K2517" s="3812"/>
      <c r="L2517" s="128"/>
      <c r="M2517" s="128"/>
      <c r="N2517" s="185"/>
      <c r="O2517" s="4708"/>
      <c r="P2517" s="837"/>
      <c r="Q2517" s="3879"/>
      <c r="R2517" s="128"/>
      <c r="S2517" s="3615"/>
      <c r="T2517" s="3576"/>
      <c r="U2517" s="3615"/>
      <c r="V2517" s="3576"/>
      <c r="W2517" s="3615"/>
      <c r="X2517" s="3879"/>
      <c r="Y2517" s="3615"/>
      <c r="Z2517" s="4832"/>
      <c r="AA2517" s="128"/>
      <c r="AB2517" s="4820"/>
      <c r="AC2517" s="4820"/>
      <c r="AD2517" s="4820"/>
      <c r="AE2517" s="4820"/>
      <c r="AF2517" s="4820"/>
      <c r="AG2517" s="4820"/>
      <c r="AH2517" s="151"/>
      <c r="AI2517" s="151"/>
    </row>
    <row r="2518" s="58" customFormat="1" ht="37.5" customHeight="1" spans="1:35">
      <c r="A2518" s="128" t="s">
        <v>2570</v>
      </c>
      <c r="B2518" s="313">
        <v>45868</v>
      </c>
      <c r="C2518" s="95"/>
      <c r="D2518" s="4787"/>
      <c r="E2518" s="127" t="s">
        <v>7068</v>
      </c>
      <c r="F2518" s="127" t="s">
        <v>7643</v>
      </c>
      <c r="G2518" s="127" t="s">
        <v>286</v>
      </c>
      <c r="H2518" s="127" t="s">
        <v>4638</v>
      </c>
      <c r="I2518" s="3710"/>
      <c r="J2518" s="3834" t="s">
        <v>7644</v>
      </c>
      <c r="K2518" s="3812"/>
      <c r="L2518" s="128"/>
      <c r="M2518" s="128"/>
      <c r="N2518" s="185"/>
      <c r="O2518" s="4708"/>
      <c r="P2518" s="837"/>
      <c r="Q2518" s="3879"/>
      <c r="R2518" s="128"/>
      <c r="S2518" s="3615"/>
      <c r="T2518" s="3576"/>
      <c r="U2518" s="3615"/>
      <c r="V2518" s="3576"/>
      <c r="W2518" s="3615"/>
      <c r="X2518" s="3879"/>
      <c r="Y2518" s="3615"/>
      <c r="Z2518" s="4832"/>
      <c r="AA2518" s="128"/>
      <c r="AB2518" s="4820"/>
      <c r="AC2518" s="4820"/>
      <c r="AD2518" s="4820"/>
      <c r="AE2518" s="4820"/>
      <c r="AF2518" s="4820"/>
      <c r="AG2518" s="4820"/>
      <c r="AH2518" s="151"/>
      <c r="AI2518" s="151"/>
    </row>
    <row r="2519" s="58" customFormat="1" ht="37.5" customHeight="1" spans="1:35">
      <c r="A2519" s="128" t="s">
        <v>2570</v>
      </c>
      <c r="B2519" s="313">
        <v>45868</v>
      </c>
      <c r="C2519" s="95"/>
      <c r="D2519" s="4787"/>
      <c r="E2519" s="127" t="s">
        <v>7068</v>
      </c>
      <c r="F2519" s="127" t="s">
        <v>7645</v>
      </c>
      <c r="G2519" s="127" t="s">
        <v>286</v>
      </c>
      <c r="H2519" s="127" t="s">
        <v>5492</v>
      </c>
      <c r="I2519" s="3710"/>
      <c r="J2519" s="3834" t="s">
        <v>7646</v>
      </c>
      <c r="K2519" s="3812"/>
      <c r="L2519" s="128"/>
      <c r="M2519" s="128"/>
      <c r="N2519" s="185"/>
      <c r="O2519" s="4708"/>
      <c r="P2519" s="837"/>
      <c r="Q2519" s="3879"/>
      <c r="R2519" s="128"/>
      <c r="S2519" s="3615"/>
      <c r="T2519" s="3576"/>
      <c r="U2519" s="3615"/>
      <c r="V2519" s="3576"/>
      <c r="W2519" s="3615"/>
      <c r="X2519" s="3879"/>
      <c r="Y2519" s="3615"/>
      <c r="Z2519" s="4832"/>
      <c r="AA2519" s="128"/>
      <c r="AB2519" s="4820"/>
      <c r="AC2519" s="4820"/>
      <c r="AD2519" s="4820"/>
      <c r="AE2519" s="4820"/>
      <c r="AF2519" s="4820"/>
      <c r="AG2519" s="4820"/>
      <c r="AH2519" s="151"/>
      <c r="AI2519" s="151"/>
    </row>
    <row r="2520" s="58" customFormat="1" ht="37.5" customHeight="1" spans="1:35">
      <c r="A2520" s="128" t="s">
        <v>2570</v>
      </c>
      <c r="B2520" s="313">
        <v>45775</v>
      </c>
      <c r="C2520" s="95" t="s">
        <v>7647</v>
      </c>
      <c r="D2520" s="4787"/>
      <c r="E2520" s="127" t="s">
        <v>7648</v>
      </c>
      <c r="F2520" s="127" t="s">
        <v>7649</v>
      </c>
      <c r="G2520" s="127" t="s">
        <v>286</v>
      </c>
      <c r="H2520" s="127" t="s">
        <v>7613</v>
      </c>
      <c r="I2520" s="3710">
        <v>2.72</v>
      </c>
      <c r="J2520" s="4848" t="s">
        <v>7636</v>
      </c>
      <c r="K2520" s="3812">
        <v>45000</v>
      </c>
      <c r="L2520" s="128" t="s">
        <v>27</v>
      </c>
      <c r="M2520" s="128">
        <v>1</v>
      </c>
      <c r="N2520" s="185" t="s">
        <v>7613</v>
      </c>
      <c r="O2520" s="4872" t="s">
        <v>6462</v>
      </c>
      <c r="P2520" s="837">
        <v>45000</v>
      </c>
      <c r="Q2520" s="3879">
        <v>45000</v>
      </c>
      <c r="R2520" s="128" t="s">
        <v>4603</v>
      </c>
      <c r="S2520" s="313">
        <v>45828</v>
      </c>
      <c r="T2520" s="3576">
        <v>45000</v>
      </c>
      <c r="U2520" s="313">
        <v>45828</v>
      </c>
      <c r="V2520" s="3576">
        <v>45000</v>
      </c>
      <c r="W2520" s="3615">
        <v>45828</v>
      </c>
      <c r="X2520" s="3576">
        <v>45000</v>
      </c>
      <c r="Y2520" s="3615">
        <v>45838</v>
      </c>
      <c r="Z2520" s="4832"/>
      <c r="AA2520" s="128"/>
      <c r="AB2520" s="4820"/>
      <c r="AC2520" s="4820"/>
      <c r="AD2520" s="4820"/>
      <c r="AE2520" s="4820"/>
      <c r="AF2520" s="4820"/>
      <c r="AG2520" s="4820"/>
      <c r="AH2520" s="151"/>
      <c r="AI2520" s="151"/>
    </row>
    <row r="2521" s="58" customFormat="1" ht="37.5" customHeight="1" spans="1:35">
      <c r="A2521" s="128" t="s">
        <v>2570</v>
      </c>
      <c r="B2521" s="313">
        <v>45775</v>
      </c>
      <c r="C2521" s="95" t="s">
        <v>7650</v>
      </c>
      <c r="D2521" s="4787"/>
      <c r="E2521" s="127" t="s">
        <v>7651</v>
      </c>
      <c r="F2521" s="127" t="s">
        <v>7652</v>
      </c>
      <c r="G2521" s="127" t="s">
        <v>286</v>
      </c>
      <c r="H2521" s="127" t="s">
        <v>6441</v>
      </c>
      <c r="I2521" s="3710">
        <v>7.8</v>
      </c>
      <c r="J2521" s="4848" t="s">
        <v>7636</v>
      </c>
      <c r="K2521" s="3812">
        <v>45000</v>
      </c>
      <c r="L2521" s="128" t="s">
        <v>27</v>
      </c>
      <c r="M2521" s="128">
        <v>1</v>
      </c>
      <c r="N2521" s="185" t="s">
        <v>6441</v>
      </c>
      <c r="O2521" s="4872" t="s">
        <v>6462</v>
      </c>
      <c r="P2521" s="837">
        <v>45000</v>
      </c>
      <c r="Q2521" s="74">
        <v>45000</v>
      </c>
      <c r="R2521" s="128" t="s">
        <v>4603</v>
      </c>
      <c r="S2521" s="3615">
        <v>45828</v>
      </c>
      <c r="T2521" s="3576">
        <v>45000</v>
      </c>
      <c r="U2521" s="3615">
        <v>45828</v>
      </c>
      <c r="V2521" s="3576">
        <v>36000</v>
      </c>
      <c r="W2521" s="3615">
        <v>45833</v>
      </c>
      <c r="X2521" s="3576">
        <v>36000</v>
      </c>
      <c r="Y2521" s="3615">
        <v>45868</v>
      </c>
      <c r="Z2521" s="4832"/>
      <c r="AA2521" s="128"/>
      <c r="AB2521" s="4820"/>
      <c r="AC2521" s="4820"/>
      <c r="AD2521" s="4820"/>
      <c r="AE2521" s="4820"/>
      <c r="AF2521" s="4820"/>
      <c r="AG2521" s="4820"/>
      <c r="AH2521" s="151"/>
      <c r="AI2521" s="151"/>
    </row>
    <row r="2522" s="58" customFormat="1" ht="37.5" customHeight="1" spans="1:35">
      <c r="A2522" s="128" t="s">
        <v>2570</v>
      </c>
      <c r="B2522" s="313">
        <v>45775</v>
      </c>
      <c r="C2522" s="95" t="s">
        <v>7653</v>
      </c>
      <c r="D2522" s="4787"/>
      <c r="E2522" s="127" t="s">
        <v>7654</v>
      </c>
      <c r="F2522" s="127" t="s">
        <v>7655</v>
      </c>
      <c r="G2522" s="127" t="s">
        <v>286</v>
      </c>
      <c r="H2522" s="127" t="s">
        <v>6610</v>
      </c>
      <c r="I2522" s="3710">
        <v>17.44</v>
      </c>
      <c r="J2522" s="4848" t="s">
        <v>7636</v>
      </c>
      <c r="K2522" s="3812">
        <v>45000</v>
      </c>
      <c r="L2522" s="128" t="s">
        <v>27</v>
      </c>
      <c r="M2522" s="128">
        <v>1</v>
      </c>
      <c r="N2522" s="185" t="s">
        <v>6610</v>
      </c>
      <c r="O2522" s="4872" t="s">
        <v>6462</v>
      </c>
      <c r="P2522" s="837">
        <v>45000</v>
      </c>
      <c r="Q2522" s="3576">
        <v>45000</v>
      </c>
      <c r="R2522" s="128" t="s">
        <v>4603</v>
      </c>
      <c r="S2522" s="3615">
        <v>45828</v>
      </c>
      <c r="T2522" s="3576">
        <v>45000</v>
      </c>
      <c r="U2522" s="3615">
        <v>45828</v>
      </c>
      <c r="V2522" s="3576">
        <v>45000</v>
      </c>
      <c r="W2522" s="3615">
        <v>45828</v>
      </c>
      <c r="X2522" s="3576">
        <v>45000</v>
      </c>
      <c r="Y2522" s="3615">
        <v>45838</v>
      </c>
      <c r="Z2522" s="4832"/>
      <c r="AA2522" s="128"/>
      <c r="AB2522" s="4820"/>
      <c r="AC2522" s="4820"/>
      <c r="AD2522" s="4820"/>
      <c r="AE2522" s="4820"/>
      <c r="AF2522" s="4820"/>
      <c r="AG2522" s="4820"/>
      <c r="AH2522" s="151"/>
      <c r="AI2522" s="151"/>
    </row>
    <row r="2523" s="58" customFormat="1" ht="37.5" customHeight="1" spans="1:35">
      <c r="A2523" s="128" t="s">
        <v>1186</v>
      </c>
      <c r="B2523" s="3803">
        <v>45475</v>
      </c>
      <c r="C2523" s="649" t="s">
        <v>7628</v>
      </c>
      <c r="D2523" s="4786"/>
      <c r="E2523" s="647" t="s">
        <v>7656</v>
      </c>
      <c r="F2523" s="127" t="s">
        <v>7657</v>
      </c>
      <c r="G2523" s="647" t="s">
        <v>3569</v>
      </c>
      <c r="H2523" s="647" t="s">
        <v>7613</v>
      </c>
      <c r="I2523" s="3745">
        <v>98697.48</v>
      </c>
      <c r="J2523" s="3811">
        <f>K2523/I2523</f>
        <v>16.7851357501732</v>
      </c>
      <c r="K2523" s="3812">
        <v>1656650.6</v>
      </c>
      <c r="L2523" s="128" t="s">
        <v>126</v>
      </c>
      <c r="M2523" s="3576">
        <v>1</v>
      </c>
      <c r="N2523" s="185" t="s">
        <v>7594</v>
      </c>
      <c r="O2523" s="4708">
        <v>0.2</v>
      </c>
      <c r="P2523" s="837">
        <f>K2523*O2523</f>
        <v>331330.12</v>
      </c>
      <c r="Q2523" s="3576">
        <v>331330.12</v>
      </c>
      <c r="R2523" s="128" t="s">
        <v>4603</v>
      </c>
      <c r="S2523" s="3615">
        <v>45510</v>
      </c>
      <c r="T2523" s="3576">
        <v>331330.12</v>
      </c>
      <c r="U2523" s="3615">
        <v>45510</v>
      </c>
      <c r="V2523" s="3576">
        <v>331330.12</v>
      </c>
      <c r="W2523" s="3615">
        <v>45576</v>
      </c>
      <c r="X2523" s="3576">
        <v>331330.12</v>
      </c>
      <c r="Y2523" s="3615">
        <v>45596</v>
      </c>
      <c r="Z2523" s="4832"/>
      <c r="AA2523" s="128"/>
      <c r="AB2523" s="4820"/>
      <c r="AC2523" s="4820"/>
      <c r="AD2523" s="4820"/>
      <c r="AE2523" s="4820"/>
      <c r="AF2523" s="4820"/>
      <c r="AG2523" s="4820"/>
      <c r="AH2523" s="149" t="s">
        <v>197</v>
      </c>
      <c r="AI2523" s="149" t="s">
        <v>154</v>
      </c>
    </row>
    <row r="2524" s="58" customFormat="1" ht="37.5" customHeight="1" spans="1:35">
      <c r="A2524" s="3576"/>
      <c r="B2524" s="3805"/>
      <c r="C2524" s="3807"/>
      <c r="D2524" s="4787"/>
      <c r="E2524" s="3806"/>
      <c r="F2524" s="3810"/>
      <c r="G2524" s="3806"/>
      <c r="H2524" s="3806"/>
      <c r="I2524" s="3747"/>
      <c r="J2524" s="3813"/>
      <c r="K2524" s="3812"/>
      <c r="L2524" s="3576"/>
      <c r="M2524" s="3576">
        <v>2</v>
      </c>
      <c r="N2524" s="185" t="s">
        <v>7595</v>
      </c>
      <c r="O2524" s="4708">
        <v>0.3</v>
      </c>
      <c r="P2524" s="837">
        <f>K2523*O2524</f>
        <v>496995.18</v>
      </c>
      <c r="Q2524" s="3576">
        <v>496995.18</v>
      </c>
      <c r="R2524" s="128" t="s">
        <v>4603</v>
      </c>
      <c r="S2524" s="3615">
        <v>45510</v>
      </c>
      <c r="T2524" s="3576">
        <v>496995.18</v>
      </c>
      <c r="U2524" s="3615">
        <v>45510</v>
      </c>
      <c r="V2524" s="3576">
        <v>496995.18</v>
      </c>
      <c r="W2524" s="3615">
        <v>45576</v>
      </c>
      <c r="X2524" s="3576">
        <v>496995.18</v>
      </c>
      <c r="Y2524" s="3615">
        <v>45596</v>
      </c>
      <c r="Z2524" s="3576"/>
      <c r="AA2524" s="128"/>
      <c r="AB2524" s="4820"/>
      <c r="AC2524" s="4820"/>
      <c r="AD2524" s="4820"/>
      <c r="AE2524" s="4820"/>
      <c r="AF2524" s="4820"/>
      <c r="AG2524" s="4820"/>
      <c r="AH2524" s="151"/>
      <c r="AI2524" s="151"/>
    </row>
    <row r="2525" s="58" customFormat="1" ht="30" customHeight="1" spans="1:35">
      <c r="A2525" s="3576"/>
      <c r="B2525" s="3805"/>
      <c r="C2525" s="3807"/>
      <c r="D2525" s="4787"/>
      <c r="E2525" s="3806"/>
      <c r="F2525" s="3810"/>
      <c r="G2525" s="3806"/>
      <c r="H2525" s="3806"/>
      <c r="I2525" s="3747"/>
      <c r="J2525" s="3813"/>
      <c r="K2525" s="3812"/>
      <c r="L2525" s="3576"/>
      <c r="M2525" s="3745">
        <v>3</v>
      </c>
      <c r="N2525" s="172" t="s">
        <v>7596</v>
      </c>
      <c r="O2525" s="4708">
        <v>0.2</v>
      </c>
      <c r="P2525" s="3817">
        <f>K2523*O2525</f>
        <v>331330.12</v>
      </c>
      <c r="Q2525" s="3745">
        <v>331330.12</v>
      </c>
      <c r="R2525" s="149" t="s">
        <v>4603</v>
      </c>
      <c r="S2525" s="3803">
        <v>45510</v>
      </c>
      <c r="T2525" s="3745">
        <v>331330.12</v>
      </c>
      <c r="U2525" s="3615">
        <v>45510</v>
      </c>
      <c r="V2525" s="3576">
        <v>231330.12</v>
      </c>
      <c r="W2525" s="3615">
        <v>45608</v>
      </c>
      <c r="X2525" s="3576">
        <v>231330.12</v>
      </c>
      <c r="Y2525" s="3615">
        <v>45624</v>
      </c>
      <c r="Z2525" s="3576"/>
      <c r="AA2525" s="128"/>
      <c r="AB2525" s="4820"/>
      <c r="AC2525" s="4820"/>
      <c r="AD2525" s="4820"/>
      <c r="AE2525" s="4820"/>
      <c r="AF2525" s="4820"/>
      <c r="AG2525" s="4820"/>
      <c r="AH2525" s="151"/>
      <c r="AI2525" s="151"/>
    </row>
    <row r="2526" s="58" customFormat="1" ht="27" customHeight="1" spans="1:35">
      <c r="A2526" s="3576"/>
      <c r="B2526" s="3805"/>
      <c r="C2526" s="3807"/>
      <c r="D2526" s="4787"/>
      <c r="E2526" s="3806"/>
      <c r="F2526" s="3810"/>
      <c r="G2526" s="3806"/>
      <c r="H2526" s="3806"/>
      <c r="I2526" s="3747"/>
      <c r="J2526" s="3813"/>
      <c r="K2526" s="3812"/>
      <c r="L2526" s="3576"/>
      <c r="M2526" s="3577"/>
      <c r="N2526" s="176"/>
      <c r="O2526" s="4708"/>
      <c r="P2526" s="3821"/>
      <c r="Q2526" s="3577"/>
      <c r="R2526" s="152"/>
      <c r="S2526" s="3830"/>
      <c r="T2526" s="3577"/>
      <c r="U2526" s="3615"/>
      <c r="V2526" s="2676">
        <v>100000</v>
      </c>
      <c r="W2526" s="3615">
        <v>45641</v>
      </c>
      <c r="X2526" s="2676">
        <v>100000</v>
      </c>
      <c r="Y2526" s="3615">
        <v>45650</v>
      </c>
      <c r="Z2526" s="3709"/>
      <c r="AA2526" s="128"/>
      <c r="AB2526" s="4820"/>
      <c r="AC2526" s="4820"/>
      <c r="AD2526" s="4820"/>
      <c r="AE2526" s="4820"/>
      <c r="AF2526" s="4820"/>
      <c r="AG2526" s="4820"/>
      <c r="AH2526" s="151"/>
      <c r="AI2526" s="151"/>
    </row>
    <row r="2527" s="58" customFormat="1" ht="61" spans="1:35">
      <c r="A2527" s="3576"/>
      <c r="B2527" s="3805"/>
      <c r="C2527" s="3807"/>
      <c r="D2527" s="4787"/>
      <c r="E2527" s="3806"/>
      <c r="F2527" s="3810"/>
      <c r="G2527" s="3806"/>
      <c r="H2527" s="3806"/>
      <c r="I2527" s="3747"/>
      <c r="J2527" s="3813"/>
      <c r="K2527" s="3812"/>
      <c r="L2527" s="3576"/>
      <c r="M2527" s="3576">
        <v>4</v>
      </c>
      <c r="N2527" s="172" t="s">
        <v>7597</v>
      </c>
      <c r="O2527" s="4708">
        <v>0.15</v>
      </c>
      <c r="P2527" s="837">
        <f>K2523*O2527</f>
        <v>248497.59</v>
      </c>
      <c r="Q2527" s="3576">
        <v>248497.59</v>
      </c>
      <c r="R2527" s="128" t="s">
        <v>4603</v>
      </c>
      <c r="S2527" s="3615">
        <v>45706</v>
      </c>
      <c r="T2527" s="3834">
        <v>248497.59</v>
      </c>
      <c r="U2527" s="3615">
        <v>45700</v>
      </c>
      <c r="V2527" s="3841">
        <v>248497.59</v>
      </c>
      <c r="W2527" s="3615">
        <v>45722</v>
      </c>
      <c r="X2527" s="3841">
        <v>248497.59</v>
      </c>
      <c r="Y2527" s="3615">
        <v>45744</v>
      </c>
      <c r="Z2527" s="3576"/>
      <c r="AA2527" s="128"/>
      <c r="AB2527" s="4820"/>
      <c r="AC2527" s="4820"/>
      <c r="AD2527" s="4820"/>
      <c r="AE2527" s="4820"/>
      <c r="AF2527" s="4820"/>
      <c r="AG2527" s="4820"/>
      <c r="AH2527" s="151"/>
      <c r="AI2527" s="151"/>
    </row>
    <row r="2528" s="58" customFormat="1" ht="76" spans="1:35">
      <c r="A2528" s="3576"/>
      <c r="B2528" s="3805"/>
      <c r="C2528" s="3807"/>
      <c r="D2528" s="4787"/>
      <c r="E2528" s="3806"/>
      <c r="F2528" s="3810"/>
      <c r="G2528" s="3806"/>
      <c r="H2528" s="3806"/>
      <c r="I2528" s="3747"/>
      <c r="J2528" s="3813"/>
      <c r="K2528" s="3812"/>
      <c r="L2528" s="3576"/>
      <c r="M2528" s="3576">
        <v>5</v>
      </c>
      <c r="N2528" s="172" t="s">
        <v>5501</v>
      </c>
      <c r="O2528" s="4708">
        <v>0.05</v>
      </c>
      <c r="P2528" s="837">
        <f>K2523*O2528</f>
        <v>82832.53</v>
      </c>
      <c r="Q2528" s="3832"/>
      <c r="R2528" s="128"/>
      <c r="S2528" s="276"/>
      <c r="T2528" s="3832"/>
      <c r="U2528" s="3842"/>
      <c r="V2528" s="3841"/>
      <c r="W2528" s="3615"/>
      <c r="X2528" s="3841"/>
      <c r="Y2528" s="3615"/>
      <c r="Z2528" s="3576"/>
      <c r="AA2528" s="128"/>
      <c r="AB2528" s="4820"/>
      <c r="AC2528" s="4820"/>
      <c r="AD2528" s="4820"/>
      <c r="AE2528" s="4820"/>
      <c r="AF2528" s="4820"/>
      <c r="AG2528" s="4820"/>
      <c r="AH2528" s="151"/>
      <c r="AI2528" s="151"/>
    </row>
    <row r="2529" s="58" customFormat="1" ht="92" spans="1:35">
      <c r="A2529" s="3576"/>
      <c r="B2529" s="3830"/>
      <c r="C2529" s="3852"/>
      <c r="D2529" s="4788"/>
      <c r="E2529" s="3853"/>
      <c r="F2529" s="3810"/>
      <c r="G2529" s="3853"/>
      <c r="H2529" s="3853"/>
      <c r="I2529" s="3577"/>
      <c r="J2529" s="3829"/>
      <c r="K2529" s="3812"/>
      <c r="L2529" s="3576"/>
      <c r="M2529" s="128" t="s">
        <v>6237</v>
      </c>
      <c r="N2529" s="185" t="s">
        <v>7508</v>
      </c>
      <c r="O2529" s="4708">
        <v>0.1</v>
      </c>
      <c r="P2529" s="837">
        <f>K2523*O2529</f>
        <v>165665.06</v>
      </c>
      <c r="Q2529" s="837"/>
      <c r="R2529" s="128"/>
      <c r="S2529" s="3615"/>
      <c r="T2529" s="3576"/>
      <c r="U2529" s="3576"/>
      <c r="V2529" s="3576"/>
      <c r="W2529" s="4820"/>
      <c r="X2529" s="837"/>
      <c r="Y2529" s="276"/>
      <c r="Z2529" s="4820"/>
      <c r="AA2529" s="3576"/>
      <c r="AB2529" s="4820"/>
      <c r="AC2529" s="4820"/>
      <c r="AD2529" s="4820"/>
      <c r="AE2529" s="4820"/>
      <c r="AF2529" s="4820"/>
      <c r="AG2529" s="4820"/>
      <c r="AH2529" s="152"/>
      <c r="AI2529" s="152"/>
    </row>
    <row r="2530" s="58" customFormat="1" ht="37.5" customHeight="1" spans="1:35">
      <c r="A2530" s="128" t="s">
        <v>1186</v>
      </c>
      <c r="B2530" s="3803">
        <v>45495</v>
      </c>
      <c r="C2530" s="649" t="s">
        <v>7628</v>
      </c>
      <c r="D2530" s="4786"/>
      <c r="E2530" s="647" t="s">
        <v>7658</v>
      </c>
      <c r="F2530" s="127" t="s">
        <v>7659</v>
      </c>
      <c r="G2530" s="647" t="s">
        <v>7499</v>
      </c>
      <c r="H2530" s="647" t="s">
        <v>7584</v>
      </c>
      <c r="I2530" s="3745">
        <v>68003</v>
      </c>
      <c r="J2530" s="3811">
        <f>K2530/I2530</f>
        <v>11.0697763333971</v>
      </c>
      <c r="K2530" s="3812">
        <v>752778</v>
      </c>
      <c r="L2530" s="128" t="s">
        <v>126</v>
      </c>
      <c r="M2530" s="3576">
        <v>1</v>
      </c>
      <c r="N2530" s="185" t="s">
        <v>5610</v>
      </c>
      <c r="O2530" s="4708">
        <v>0.15</v>
      </c>
      <c r="P2530" s="837">
        <f>K2530*O2530</f>
        <v>112916.7</v>
      </c>
      <c r="Q2530" s="2676">
        <v>112916.7</v>
      </c>
      <c r="R2530" s="128" t="s">
        <v>4603</v>
      </c>
      <c r="S2530" s="3615">
        <v>45511</v>
      </c>
      <c r="T2530" s="2676">
        <v>112916.7</v>
      </c>
      <c r="U2530" s="3615">
        <v>45511</v>
      </c>
      <c r="V2530" s="2676">
        <v>200000</v>
      </c>
      <c r="W2530" s="3615">
        <v>45575</v>
      </c>
      <c r="X2530" s="2676">
        <v>200000</v>
      </c>
      <c r="Y2530" s="3615">
        <v>45596</v>
      </c>
      <c r="Z2530" s="4832">
        <f>V2530-X2530</f>
        <v>0</v>
      </c>
      <c r="AA2530" s="128"/>
      <c r="AB2530" s="4820"/>
      <c r="AC2530" s="4820"/>
      <c r="AD2530" s="4820"/>
      <c r="AE2530" s="4820"/>
      <c r="AF2530" s="4820"/>
      <c r="AG2530" s="4820"/>
      <c r="AH2530" s="149" t="s">
        <v>197</v>
      </c>
      <c r="AI2530" s="149" t="s">
        <v>154</v>
      </c>
    </row>
    <row r="2531" s="58" customFormat="1" ht="37.5" customHeight="1" spans="1:35">
      <c r="A2531" s="3576"/>
      <c r="B2531" s="3805"/>
      <c r="C2531" s="3807"/>
      <c r="D2531" s="4787"/>
      <c r="E2531" s="3806"/>
      <c r="F2531" s="3810"/>
      <c r="G2531" s="3806"/>
      <c r="H2531" s="3806"/>
      <c r="I2531" s="3747"/>
      <c r="J2531" s="3813"/>
      <c r="K2531" s="3812"/>
      <c r="L2531" s="3576"/>
      <c r="M2531" s="3745">
        <v>2</v>
      </c>
      <c r="N2531" s="647" t="s">
        <v>5626</v>
      </c>
      <c r="O2531" s="4708">
        <v>0.25</v>
      </c>
      <c r="P2531" s="3817">
        <f>K2530*O2531</f>
        <v>188194.5</v>
      </c>
      <c r="Q2531" s="3811">
        <v>188194.5</v>
      </c>
      <c r="R2531" s="149" t="s">
        <v>4603</v>
      </c>
      <c r="S2531" s="3803">
        <v>45511</v>
      </c>
      <c r="T2531" s="3811">
        <v>188194.5</v>
      </c>
      <c r="U2531" s="3803">
        <v>45511</v>
      </c>
      <c r="V2531" s="2676">
        <v>100000</v>
      </c>
      <c r="W2531" s="3615">
        <v>45610</v>
      </c>
      <c r="X2531" s="2676">
        <v>100000</v>
      </c>
      <c r="Y2531" s="3615">
        <v>45650</v>
      </c>
      <c r="Z2531" s="3576"/>
      <c r="AA2531" s="128"/>
      <c r="AB2531" s="4820"/>
      <c r="AC2531" s="4820"/>
      <c r="AD2531" s="4820"/>
      <c r="AE2531" s="4820"/>
      <c r="AF2531" s="4820"/>
      <c r="AG2531" s="4820"/>
      <c r="AH2531" s="151"/>
      <c r="AI2531" s="151"/>
    </row>
    <row r="2532" s="58" customFormat="1" ht="37.5" customHeight="1" spans="1:35">
      <c r="A2532" s="3576"/>
      <c r="B2532" s="3805"/>
      <c r="C2532" s="3807"/>
      <c r="D2532" s="4787"/>
      <c r="E2532" s="3806"/>
      <c r="F2532" s="3810"/>
      <c r="G2532" s="3806"/>
      <c r="H2532" s="3806"/>
      <c r="I2532" s="3747"/>
      <c r="J2532" s="3813"/>
      <c r="K2532" s="3812"/>
      <c r="L2532" s="3576"/>
      <c r="M2532" s="3577"/>
      <c r="N2532" s="651"/>
      <c r="O2532" s="4708"/>
      <c r="P2532" s="3821"/>
      <c r="Q2532" s="3829"/>
      <c r="R2532" s="152"/>
      <c r="S2532" s="3830"/>
      <c r="T2532" s="3829"/>
      <c r="U2532" s="3830"/>
      <c r="V2532" s="2676">
        <v>100000</v>
      </c>
      <c r="W2532" s="3615">
        <v>45642</v>
      </c>
      <c r="X2532" s="4775">
        <v>100000</v>
      </c>
      <c r="Y2532" s="3615">
        <v>45681</v>
      </c>
      <c r="Z2532" s="3576"/>
      <c r="AA2532" s="128"/>
      <c r="AB2532" s="4820"/>
      <c r="AC2532" s="4820"/>
      <c r="AD2532" s="4820"/>
      <c r="AE2532" s="4820"/>
      <c r="AF2532" s="4820"/>
      <c r="AG2532" s="4820"/>
      <c r="AH2532" s="151"/>
      <c r="AI2532" s="151"/>
    </row>
    <row r="2533" s="58" customFormat="1" ht="37.5" customHeight="1" spans="1:35">
      <c r="A2533" s="3576"/>
      <c r="B2533" s="3805"/>
      <c r="C2533" s="3807"/>
      <c r="D2533" s="4787"/>
      <c r="E2533" s="3806"/>
      <c r="F2533" s="3810"/>
      <c r="G2533" s="3806"/>
      <c r="H2533" s="3806"/>
      <c r="I2533" s="3747"/>
      <c r="J2533" s="3813"/>
      <c r="K2533" s="3812"/>
      <c r="L2533" s="3576"/>
      <c r="M2533" s="3576">
        <v>3</v>
      </c>
      <c r="N2533" s="172" t="s">
        <v>7501</v>
      </c>
      <c r="O2533" s="4708">
        <v>0.2</v>
      </c>
      <c r="P2533" s="837">
        <f>K2530*O2533</f>
        <v>150555.6</v>
      </c>
      <c r="Q2533" s="2676">
        <v>150555.6</v>
      </c>
      <c r="R2533" s="128" t="s">
        <v>4603</v>
      </c>
      <c r="S2533" s="3615">
        <v>45511</v>
      </c>
      <c r="T2533" s="2676">
        <v>150555.6</v>
      </c>
      <c r="U2533" s="3615">
        <v>45511</v>
      </c>
      <c r="V2533" s="3841">
        <v>51666.8</v>
      </c>
      <c r="W2533" s="3615">
        <v>45662</v>
      </c>
      <c r="X2533" s="4775">
        <v>51666.8</v>
      </c>
      <c r="Y2533" s="3615">
        <v>45681</v>
      </c>
      <c r="Z2533" s="3576"/>
      <c r="AA2533" s="128"/>
      <c r="AB2533" s="4820"/>
      <c r="AC2533" s="4820"/>
      <c r="AD2533" s="4820"/>
      <c r="AE2533" s="4820"/>
      <c r="AF2533" s="4820"/>
      <c r="AG2533" s="4820"/>
      <c r="AH2533" s="151"/>
      <c r="AI2533" s="151"/>
    </row>
    <row r="2534" s="58" customFormat="1" ht="37.5" customHeight="1" spans="1:35">
      <c r="A2534" s="3576"/>
      <c r="B2534" s="3805"/>
      <c r="C2534" s="3807"/>
      <c r="D2534" s="4787"/>
      <c r="E2534" s="3806"/>
      <c r="F2534" s="3810"/>
      <c r="G2534" s="3806"/>
      <c r="H2534" s="3806"/>
      <c r="I2534" s="3747"/>
      <c r="J2534" s="3813"/>
      <c r="K2534" s="3812"/>
      <c r="L2534" s="3576"/>
      <c r="M2534" s="3745">
        <v>4</v>
      </c>
      <c r="N2534" s="172" t="s">
        <v>5629</v>
      </c>
      <c r="O2534" s="4708">
        <v>0.2</v>
      </c>
      <c r="P2534" s="3817">
        <f>K2530*O2534</f>
        <v>150555.6</v>
      </c>
      <c r="Q2534" s="4104">
        <v>150555.6</v>
      </c>
      <c r="R2534" s="74" t="s">
        <v>4603</v>
      </c>
      <c r="S2534" s="3837">
        <v>45706</v>
      </c>
      <c r="T2534" s="2676">
        <v>150555.6</v>
      </c>
      <c r="U2534" s="3615">
        <v>45700</v>
      </c>
      <c r="V2534" s="3841">
        <v>150555.6</v>
      </c>
      <c r="W2534" s="3615">
        <v>45706</v>
      </c>
      <c r="X2534" s="3879">
        <v>150555.6</v>
      </c>
      <c r="Y2534" s="3615">
        <v>45716</v>
      </c>
      <c r="Z2534" s="3576"/>
      <c r="AA2534" s="128"/>
      <c r="AB2534" s="4820"/>
      <c r="AC2534" s="4820"/>
      <c r="AD2534" s="4820"/>
      <c r="AE2534" s="4820"/>
      <c r="AF2534" s="4820"/>
      <c r="AG2534" s="4820"/>
      <c r="AH2534" s="151"/>
      <c r="AI2534" s="151"/>
    </row>
    <row r="2535" s="58" customFormat="1" ht="37.5" customHeight="1" spans="1:35">
      <c r="A2535" s="3576"/>
      <c r="B2535" s="3805"/>
      <c r="C2535" s="3807"/>
      <c r="D2535" s="4787"/>
      <c r="E2535" s="3806"/>
      <c r="F2535" s="3810"/>
      <c r="G2535" s="3806"/>
      <c r="H2535" s="3806"/>
      <c r="I2535" s="3747"/>
      <c r="J2535" s="3813"/>
      <c r="K2535" s="3812"/>
      <c r="L2535" s="3576"/>
      <c r="M2535" s="3576">
        <v>5</v>
      </c>
      <c r="N2535" s="172" t="s">
        <v>5751</v>
      </c>
      <c r="O2535" s="4708">
        <v>0.05</v>
      </c>
      <c r="P2535" s="837">
        <f>K2530*O2535</f>
        <v>37638.9</v>
      </c>
      <c r="Q2535" s="4767">
        <v>37638.9</v>
      </c>
      <c r="R2535" s="3439"/>
      <c r="S2535" s="3616"/>
      <c r="T2535" s="3832"/>
      <c r="U2535" s="3842"/>
      <c r="V2535" s="3841"/>
      <c r="W2535" s="3615"/>
      <c r="X2535" s="3841"/>
      <c r="Y2535" s="3615"/>
      <c r="Z2535" s="3576"/>
      <c r="AA2535" s="128"/>
      <c r="AB2535" s="4820"/>
      <c r="AC2535" s="4820"/>
      <c r="AD2535" s="4820"/>
      <c r="AE2535" s="4820"/>
      <c r="AF2535" s="4820"/>
      <c r="AG2535" s="4820"/>
      <c r="AH2535" s="151"/>
      <c r="AI2535" s="151"/>
    </row>
    <row r="2536" s="58" customFormat="1" ht="37.5" customHeight="1" spans="1:35">
      <c r="A2536" s="3576"/>
      <c r="B2536" s="3805"/>
      <c r="C2536" s="3807"/>
      <c r="D2536" s="4787"/>
      <c r="E2536" s="3806"/>
      <c r="F2536" s="3810"/>
      <c r="G2536" s="3806"/>
      <c r="H2536" s="3806"/>
      <c r="I2536" s="3747"/>
      <c r="J2536" s="3813"/>
      <c r="K2536" s="3812"/>
      <c r="L2536" s="3576"/>
      <c r="M2536" s="3576">
        <v>6</v>
      </c>
      <c r="N2536" s="172" t="s">
        <v>5080</v>
      </c>
      <c r="O2536" s="4708">
        <v>0.05</v>
      </c>
      <c r="P2536" s="837">
        <f>K2530*O2536</f>
        <v>37638.9</v>
      </c>
      <c r="Q2536" s="3832"/>
      <c r="R2536" s="128"/>
      <c r="S2536" s="276"/>
      <c r="T2536" s="3832"/>
      <c r="U2536" s="3842"/>
      <c r="V2536" s="3841"/>
      <c r="W2536" s="3615"/>
      <c r="X2536" s="3841"/>
      <c r="Y2536" s="3615"/>
      <c r="Z2536" s="3576"/>
      <c r="AA2536" s="128"/>
      <c r="AB2536" s="4820"/>
      <c r="AC2536" s="4820"/>
      <c r="AD2536" s="4820"/>
      <c r="AE2536" s="4820"/>
      <c r="AF2536" s="4820"/>
      <c r="AG2536" s="4820"/>
      <c r="AH2536" s="151"/>
      <c r="AI2536" s="151"/>
    </row>
    <row r="2537" s="58" customFormat="1" ht="92" spans="1:35">
      <c r="A2537" s="3576"/>
      <c r="B2537" s="3830"/>
      <c r="C2537" s="3852"/>
      <c r="D2537" s="4788"/>
      <c r="E2537" s="3853"/>
      <c r="F2537" s="3810"/>
      <c r="G2537" s="3853"/>
      <c r="H2537" s="3853"/>
      <c r="I2537" s="3577"/>
      <c r="J2537" s="3829"/>
      <c r="K2537" s="3812"/>
      <c r="L2537" s="3576"/>
      <c r="M2537" s="128" t="s">
        <v>6237</v>
      </c>
      <c r="N2537" s="185" t="s">
        <v>6245</v>
      </c>
      <c r="O2537" s="4708">
        <v>0.1</v>
      </c>
      <c r="P2537" s="837">
        <f>K2530*O2537</f>
        <v>75277.8</v>
      </c>
      <c r="Q2537" s="837"/>
      <c r="R2537" s="128"/>
      <c r="S2537" s="3615"/>
      <c r="T2537" s="3576"/>
      <c r="U2537" s="3576"/>
      <c r="V2537" s="3576"/>
      <c r="W2537" s="4820"/>
      <c r="X2537" s="837"/>
      <c r="Y2537" s="276"/>
      <c r="Z2537" s="4820"/>
      <c r="AA2537" s="3576"/>
      <c r="AB2537" s="4820"/>
      <c r="AC2537" s="4820"/>
      <c r="AD2537" s="4820"/>
      <c r="AE2537" s="4820"/>
      <c r="AF2537" s="4820"/>
      <c r="AG2537" s="4820"/>
      <c r="AH2537" s="152"/>
      <c r="AI2537" s="152"/>
    </row>
    <row r="2538" s="58" customFormat="1" ht="37.5" customHeight="1" spans="1:35">
      <c r="A2538" s="128" t="s">
        <v>1186</v>
      </c>
      <c r="B2538" s="3803">
        <v>45505</v>
      </c>
      <c r="C2538" s="649" t="s">
        <v>7628</v>
      </c>
      <c r="D2538" s="4786"/>
      <c r="E2538" s="647" t="s">
        <v>7660</v>
      </c>
      <c r="F2538" s="127" t="s">
        <v>7661</v>
      </c>
      <c r="G2538" s="647" t="s">
        <v>7587</v>
      </c>
      <c r="H2538" s="647" t="s">
        <v>7662</v>
      </c>
      <c r="I2538" s="3745">
        <v>1351</v>
      </c>
      <c r="J2538" s="3811">
        <f>K2538/I2538</f>
        <v>1937.9644707624</v>
      </c>
      <c r="K2538" s="3812">
        <v>2618190</v>
      </c>
      <c r="L2538" s="128" t="s">
        <v>126</v>
      </c>
      <c r="M2538" s="3576">
        <v>1</v>
      </c>
      <c r="N2538" s="185" t="s">
        <v>7505</v>
      </c>
      <c r="O2538" s="4708">
        <v>0.15</v>
      </c>
      <c r="P2538" s="837">
        <f>K2538*O2538</f>
        <v>392728.5</v>
      </c>
      <c r="Q2538" s="2676">
        <f>P2538</f>
        <v>392728.5</v>
      </c>
      <c r="R2538" s="128" t="s">
        <v>4603</v>
      </c>
      <c r="S2538" s="3615">
        <v>45545</v>
      </c>
      <c r="T2538" s="837">
        <v>392728.5</v>
      </c>
      <c r="U2538" s="3615">
        <v>45545</v>
      </c>
      <c r="V2538" s="4848">
        <v>392728.5</v>
      </c>
      <c r="W2538" s="3615">
        <v>45577</v>
      </c>
      <c r="X2538" s="837">
        <v>392728.5</v>
      </c>
      <c r="Y2538" s="3615">
        <v>45596</v>
      </c>
      <c r="Z2538" s="4832"/>
      <c r="AA2538" s="128"/>
      <c r="AB2538" s="4820"/>
      <c r="AC2538" s="4820"/>
      <c r="AD2538" s="4820"/>
      <c r="AE2538" s="4820"/>
      <c r="AF2538" s="4820"/>
      <c r="AG2538" s="4820"/>
      <c r="AH2538" s="149" t="s">
        <v>197</v>
      </c>
      <c r="AI2538" s="149" t="s">
        <v>154</v>
      </c>
    </row>
    <row r="2539" s="58" customFormat="1" ht="37.5" customHeight="1" spans="1:35">
      <c r="A2539" s="3576"/>
      <c r="B2539" s="3805"/>
      <c r="C2539" s="3807"/>
      <c r="D2539" s="4787"/>
      <c r="E2539" s="3806"/>
      <c r="F2539" s="3810"/>
      <c r="G2539" s="3806"/>
      <c r="H2539" s="3806"/>
      <c r="I2539" s="3747"/>
      <c r="J2539" s="3813"/>
      <c r="K2539" s="3812"/>
      <c r="L2539" s="3576"/>
      <c r="M2539" s="3576">
        <v>2</v>
      </c>
      <c r="N2539" s="185" t="s">
        <v>7506</v>
      </c>
      <c r="O2539" s="4708">
        <v>0.25</v>
      </c>
      <c r="P2539" s="837">
        <f>K2538*O2539</f>
        <v>654547.5</v>
      </c>
      <c r="Q2539" s="2676">
        <f>P2539</f>
        <v>654547.5</v>
      </c>
      <c r="R2539" s="128" t="s">
        <v>4603</v>
      </c>
      <c r="S2539" s="3615">
        <v>45545</v>
      </c>
      <c r="T2539" s="3872">
        <v>654547.5</v>
      </c>
      <c r="U2539" s="3615">
        <v>45545</v>
      </c>
      <c r="V2539" s="3834">
        <v>654547.5</v>
      </c>
      <c r="W2539" s="3615">
        <v>45577</v>
      </c>
      <c r="X2539" s="3872">
        <v>654547.5</v>
      </c>
      <c r="Y2539" s="3615">
        <v>45596</v>
      </c>
      <c r="Z2539" s="3576"/>
      <c r="AA2539" s="128"/>
      <c r="AB2539" s="4820"/>
      <c r="AC2539" s="4820"/>
      <c r="AD2539" s="4820"/>
      <c r="AE2539" s="4820"/>
      <c r="AF2539" s="4820"/>
      <c r="AG2539" s="4820"/>
      <c r="AH2539" s="151"/>
      <c r="AI2539" s="151"/>
    </row>
    <row r="2540" s="58" customFormat="1" ht="37.5" customHeight="1" spans="1:35">
      <c r="A2540" s="3576"/>
      <c r="B2540" s="3805"/>
      <c r="C2540" s="3807"/>
      <c r="D2540" s="4787"/>
      <c r="E2540" s="3806"/>
      <c r="F2540" s="3810"/>
      <c r="G2540" s="3806"/>
      <c r="H2540" s="3806"/>
      <c r="I2540" s="3747"/>
      <c r="J2540" s="3813"/>
      <c r="K2540" s="3812"/>
      <c r="L2540" s="3576"/>
      <c r="M2540" s="3745">
        <v>3</v>
      </c>
      <c r="N2540" s="647" t="s">
        <v>5077</v>
      </c>
      <c r="O2540" s="4708">
        <v>0.2</v>
      </c>
      <c r="P2540" s="3817">
        <f>K2538*O2540</f>
        <v>523638</v>
      </c>
      <c r="Q2540" s="3811">
        <f>P2540</f>
        <v>523638</v>
      </c>
      <c r="R2540" s="149" t="s">
        <v>4603</v>
      </c>
      <c r="S2540" s="3803">
        <v>45545</v>
      </c>
      <c r="T2540" s="4725">
        <v>523638</v>
      </c>
      <c r="U2540" s="3803">
        <v>45545</v>
      </c>
      <c r="V2540" s="4775">
        <v>223638</v>
      </c>
      <c r="W2540" s="3615">
        <v>45614</v>
      </c>
      <c r="X2540" s="4775">
        <v>223638</v>
      </c>
      <c r="Y2540" s="3615">
        <v>45624</v>
      </c>
      <c r="Z2540" s="3576"/>
      <c r="AA2540" s="128"/>
      <c r="AB2540" s="4820"/>
      <c r="AC2540" s="4820"/>
      <c r="AD2540" s="4820"/>
      <c r="AE2540" s="4820"/>
      <c r="AF2540" s="4820"/>
      <c r="AG2540" s="4820"/>
      <c r="AH2540" s="151"/>
      <c r="AI2540" s="151"/>
    </row>
    <row r="2541" s="58" customFormat="1" ht="37.5" customHeight="1" spans="1:35">
      <c r="A2541" s="3576"/>
      <c r="B2541" s="3805"/>
      <c r="C2541" s="3807"/>
      <c r="D2541" s="4787"/>
      <c r="E2541" s="3806"/>
      <c r="F2541" s="3810"/>
      <c r="G2541" s="3806"/>
      <c r="H2541" s="3806"/>
      <c r="I2541" s="3747"/>
      <c r="J2541" s="3813"/>
      <c r="K2541" s="3812"/>
      <c r="L2541" s="3576"/>
      <c r="M2541" s="3577"/>
      <c r="N2541" s="651"/>
      <c r="O2541" s="4708"/>
      <c r="P2541" s="3821"/>
      <c r="Q2541" s="3829"/>
      <c r="R2541" s="152"/>
      <c r="S2541" s="3830"/>
      <c r="T2541" s="4726"/>
      <c r="U2541" s="3830"/>
      <c r="V2541" s="4775">
        <v>500000</v>
      </c>
      <c r="W2541" s="3615">
        <v>45641</v>
      </c>
      <c r="X2541" s="2676">
        <v>500000</v>
      </c>
      <c r="Y2541" s="3615">
        <v>45650</v>
      </c>
      <c r="Z2541" s="3576"/>
      <c r="AA2541" s="128"/>
      <c r="AB2541" s="4820"/>
      <c r="AC2541" s="4820"/>
      <c r="AD2541" s="4820"/>
      <c r="AE2541" s="4820"/>
      <c r="AF2541" s="4820"/>
      <c r="AG2541" s="4820"/>
      <c r="AH2541" s="151"/>
      <c r="AI2541" s="151"/>
    </row>
    <row r="2542" s="58" customFormat="1" ht="37.5" customHeight="1" spans="1:35">
      <c r="A2542" s="3576"/>
      <c r="B2542" s="3805"/>
      <c r="C2542" s="3807"/>
      <c r="D2542" s="4787"/>
      <c r="E2542" s="3806"/>
      <c r="F2542" s="3810"/>
      <c r="G2542" s="3806"/>
      <c r="H2542" s="3806"/>
      <c r="I2542" s="3747"/>
      <c r="J2542" s="3813"/>
      <c r="K2542" s="3812"/>
      <c r="L2542" s="3576"/>
      <c r="M2542" s="3745">
        <v>4</v>
      </c>
      <c r="N2542" s="647" t="s">
        <v>7507</v>
      </c>
      <c r="O2542" s="4708">
        <v>0.2</v>
      </c>
      <c r="P2542" s="3817">
        <f>K2538*O2542</f>
        <v>523638</v>
      </c>
      <c r="Q2542" s="3811">
        <f>P2542</f>
        <v>523638</v>
      </c>
      <c r="R2542" s="149" t="s">
        <v>4603</v>
      </c>
      <c r="S2542" s="3803">
        <v>45545</v>
      </c>
      <c r="T2542" s="3886">
        <v>523638</v>
      </c>
      <c r="U2542" s="4744">
        <v>45545</v>
      </c>
      <c r="V2542" s="4879">
        <v>323638</v>
      </c>
      <c r="W2542" s="3803">
        <v>45662</v>
      </c>
      <c r="X2542" s="4879">
        <v>323638</v>
      </c>
      <c r="Y2542" s="3803">
        <v>45684</v>
      </c>
      <c r="Z2542" s="3576"/>
      <c r="AA2542" s="128"/>
      <c r="AB2542" s="4820"/>
      <c r="AC2542" s="4820"/>
      <c r="AD2542" s="4820"/>
      <c r="AE2542" s="4820"/>
      <c r="AF2542" s="4820"/>
      <c r="AG2542" s="4820"/>
      <c r="AH2542" s="151"/>
      <c r="AI2542" s="151"/>
    </row>
    <row r="2543" s="58" customFormat="1" ht="37.5" customHeight="1" spans="1:35">
      <c r="A2543" s="3576"/>
      <c r="B2543" s="3805"/>
      <c r="C2543" s="3807"/>
      <c r="D2543" s="4787"/>
      <c r="E2543" s="3806"/>
      <c r="F2543" s="3810"/>
      <c r="G2543" s="3806"/>
      <c r="H2543" s="3806"/>
      <c r="I2543" s="3747"/>
      <c r="J2543" s="3813"/>
      <c r="K2543" s="3812"/>
      <c r="L2543" s="3576"/>
      <c r="M2543" s="3577"/>
      <c r="N2543" s="651"/>
      <c r="O2543" s="4708"/>
      <c r="P2543" s="3821"/>
      <c r="Q2543" s="3829"/>
      <c r="R2543" s="152"/>
      <c r="S2543" s="3830"/>
      <c r="T2543" s="3887"/>
      <c r="U2543" s="4746"/>
      <c r="V2543" s="4880"/>
      <c r="W2543" s="3830"/>
      <c r="X2543" s="4880"/>
      <c r="Y2543" s="3830"/>
      <c r="Z2543" s="3576"/>
      <c r="AA2543" s="128"/>
      <c r="AB2543" s="4820"/>
      <c r="AC2543" s="4820"/>
      <c r="AD2543" s="4820"/>
      <c r="AE2543" s="4820"/>
      <c r="AF2543" s="4820"/>
      <c r="AG2543" s="4820"/>
      <c r="AH2543" s="151"/>
      <c r="AI2543" s="151"/>
    </row>
    <row r="2544" s="58" customFormat="1" ht="37.5" customHeight="1" spans="1:35">
      <c r="A2544" s="3576"/>
      <c r="B2544" s="3805"/>
      <c r="C2544" s="3807"/>
      <c r="D2544" s="4787"/>
      <c r="E2544" s="3806"/>
      <c r="F2544" s="3810"/>
      <c r="G2544" s="3806"/>
      <c r="H2544" s="3806"/>
      <c r="I2544" s="3747"/>
      <c r="J2544" s="3813"/>
      <c r="K2544" s="3812"/>
      <c r="L2544" s="3576"/>
      <c r="M2544" s="3576">
        <v>5</v>
      </c>
      <c r="N2544" s="172" t="s">
        <v>5079</v>
      </c>
      <c r="O2544" s="4708">
        <v>0.05</v>
      </c>
      <c r="P2544" s="837">
        <f>K2538*O2544</f>
        <v>130909.5</v>
      </c>
      <c r="Q2544" s="4876">
        <v>130909.5</v>
      </c>
      <c r="R2544" s="3439"/>
      <c r="S2544" s="3616"/>
      <c r="T2544" s="4774"/>
      <c r="U2544" s="3842"/>
      <c r="V2544" s="4775"/>
      <c r="W2544" s="3615"/>
      <c r="X2544" s="3841"/>
      <c r="Y2544" s="3615"/>
      <c r="Z2544" s="3576"/>
      <c r="AA2544" s="128"/>
      <c r="AB2544" s="4820"/>
      <c r="AC2544" s="4820"/>
      <c r="AD2544" s="4820"/>
      <c r="AE2544" s="4820"/>
      <c r="AF2544" s="4820"/>
      <c r="AG2544" s="4820"/>
      <c r="AH2544" s="151"/>
      <c r="AI2544" s="151"/>
    </row>
    <row r="2545" s="58" customFormat="1" ht="37.5" customHeight="1" spans="1:35">
      <c r="A2545" s="3576"/>
      <c r="B2545" s="3805"/>
      <c r="C2545" s="3807"/>
      <c r="D2545" s="4787"/>
      <c r="E2545" s="3806"/>
      <c r="F2545" s="3810"/>
      <c r="G2545" s="3806"/>
      <c r="H2545" s="3806"/>
      <c r="I2545" s="3747"/>
      <c r="J2545" s="3813"/>
      <c r="K2545" s="3812"/>
      <c r="L2545" s="3576"/>
      <c r="M2545" s="3576">
        <v>6</v>
      </c>
      <c r="N2545" s="172" t="s">
        <v>5080</v>
      </c>
      <c r="O2545" s="4708">
        <v>0.05</v>
      </c>
      <c r="P2545" s="837">
        <f>K2538*O2545</f>
        <v>130909.5</v>
      </c>
      <c r="Q2545" s="4774"/>
      <c r="R2545" s="128"/>
      <c r="S2545" s="276"/>
      <c r="T2545" s="4774"/>
      <c r="U2545" s="3842"/>
      <c r="V2545" s="4775"/>
      <c r="W2545" s="3615"/>
      <c r="X2545" s="3841"/>
      <c r="Y2545" s="3615"/>
      <c r="Z2545" s="3576"/>
      <c r="AA2545" s="128"/>
      <c r="AB2545" s="4820"/>
      <c r="AC2545" s="4820"/>
      <c r="AD2545" s="4820"/>
      <c r="AE2545" s="4820"/>
      <c r="AF2545" s="4820"/>
      <c r="AG2545" s="4820"/>
      <c r="AH2545" s="151"/>
      <c r="AI2545" s="151"/>
    </row>
    <row r="2546" s="58" customFormat="1" ht="92" spans="1:35">
      <c r="A2546" s="3576"/>
      <c r="B2546" s="3830"/>
      <c r="C2546" s="3852"/>
      <c r="D2546" s="4788"/>
      <c r="E2546" s="3853"/>
      <c r="F2546" s="3810"/>
      <c r="G2546" s="3853"/>
      <c r="H2546" s="3853"/>
      <c r="I2546" s="3577"/>
      <c r="J2546" s="3829"/>
      <c r="K2546" s="3812"/>
      <c r="L2546" s="3576"/>
      <c r="M2546" s="128" t="s">
        <v>6237</v>
      </c>
      <c r="N2546" s="185" t="s">
        <v>7508</v>
      </c>
      <c r="O2546" s="4708">
        <v>0.1</v>
      </c>
      <c r="P2546" s="837">
        <f>K2538*O2546</f>
        <v>261819</v>
      </c>
      <c r="Q2546" s="4848"/>
      <c r="R2546" s="128"/>
      <c r="S2546" s="3615"/>
      <c r="T2546" s="2676"/>
      <c r="U2546" s="3576"/>
      <c r="V2546" s="2676"/>
      <c r="W2546" s="4820"/>
      <c r="X2546" s="837"/>
      <c r="Y2546" s="276"/>
      <c r="Z2546" s="4820"/>
      <c r="AA2546" s="3576"/>
      <c r="AB2546" s="4820"/>
      <c r="AC2546" s="4820"/>
      <c r="AD2546" s="4820"/>
      <c r="AE2546" s="4820"/>
      <c r="AF2546" s="4820"/>
      <c r="AG2546" s="4820"/>
      <c r="AH2546" s="152"/>
      <c r="AI2546" s="152"/>
    </row>
    <row r="2547" s="58" customFormat="1" ht="37.5" customHeight="1" spans="1:35">
      <c r="A2547" s="128" t="s">
        <v>1186</v>
      </c>
      <c r="B2547" s="3803">
        <v>45489</v>
      </c>
      <c r="C2547" s="649" t="s">
        <v>7628</v>
      </c>
      <c r="D2547" s="4786"/>
      <c r="E2547" s="647" t="s">
        <v>7663</v>
      </c>
      <c r="F2547" s="127" t="s">
        <v>7664</v>
      </c>
      <c r="G2547" s="647" t="s">
        <v>7619</v>
      </c>
      <c r="H2547" s="647" t="s">
        <v>5607</v>
      </c>
      <c r="I2547" s="647" t="s">
        <v>7665</v>
      </c>
      <c r="J2547" s="3811">
        <v>37.65</v>
      </c>
      <c r="K2547" s="3812">
        <v>1008468</v>
      </c>
      <c r="L2547" s="128" t="s">
        <v>126</v>
      </c>
      <c r="M2547" s="127" t="s">
        <v>7513</v>
      </c>
      <c r="N2547" s="185" t="s">
        <v>7601</v>
      </c>
      <c r="O2547" s="4708">
        <v>0.1</v>
      </c>
      <c r="P2547" s="837">
        <f>K2547*O2547</f>
        <v>100846.8</v>
      </c>
      <c r="Q2547" s="3576">
        <v>100846.8</v>
      </c>
      <c r="R2547" s="128" t="s">
        <v>4603</v>
      </c>
      <c r="S2547" s="3615">
        <v>45511</v>
      </c>
      <c r="T2547" s="2676">
        <v>100846.8</v>
      </c>
      <c r="U2547" s="3615">
        <v>45511</v>
      </c>
      <c r="V2547" s="4775">
        <v>100846.8</v>
      </c>
      <c r="W2547" s="3615">
        <v>45577</v>
      </c>
      <c r="X2547" s="4775">
        <v>100846.8</v>
      </c>
      <c r="Y2547" s="3615">
        <v>45596</v>
      </c>
      <c r="Z2547" s="4832"/>
      <c r="AA2547" s="128"/>
      <c r="AB2547" s="4820"/>
      <c r="AC2547" s="4820"/>
      <c r="AD2547" s="4820"/>
      <c r="AE2547" s="4820"/>
      <c r="AF2547" s="4820"/>
      <c r="AG2547" s="4820"/>
      <c r="AH2547" s="149" t="s">
        <v>197</v>
      </c>
      <c r="AI2547" s="149" t="s">
        <v>154</v>
      </c>
    </row>
    <row r="2548" s="58" customFormat="1" ht="76" spans="1:35">
      <c r="A2548" s="3576"/>
      <c r="B2548" s="3805"/>
      <c r="C2548" s="3807"/>
      <c r="D2548" s="4787"/>
      <c r="E2548" s="3806"/>
      <c r="F2548" s="3810"/>
      <c r="G2548" s="3806"/>
      <c r="H2548" s="3806"/>
      <c r="I2548" s="3806"/>
      <c r="J2548" s="3813"/>
      <c r="K2548" s="3812"/>
      <c r="L2548" s="3576"/>
      <c r="M2548" s="647" t="s">
        <v>7514</v>
      </c>
      <c r="N2548" s="185" t="s">
        <v>5064</v>
      </c>
      <c r="O2548" s="4708">
        <v>0.4</v>
      </c>
      <c r="P2548" s="837">
        <f>220500*O2548</f>
        <v>88200</v>
      </c>
      <c r="Q2548" s="3576">
        <v>88200</v>
      </c>
      <c r="R2548" s="128" t="s">
        <v>4603</v>
      </c>
      <c r="S2548" s="3615">
        <v>45511</v>
      </c>
      <c r="T2548" s="2676">
        <v>88200</v>
      </c>
      <c r="U2548" s="3615">
        <v>45511</v>
      </c>
      <c r="V2548" s="4775">
        <v>88200</v>
      </c>
      <c r="W2548" s="3615">
        <v>45577</v>
      </c>
      <c r="X2548" s="4775">
        <v>88200</v>
      </c>
      <c r="Y2548" s="3615">
        <v>45596</v>
      </c>
      <c r="Z2548" s="3576"/>
      <c r="AA2548" s="128"/>
      <c r="AB2548" s="4820"/>
      <c r="AC2548" s="4820"/>
      <c r="AD2548" s="4820"/>
      <c r="AE2548" s="4820"/>
      <c r="AF2548" s="4820"/>
      <c r="AG2548" s="4820"/>
      <c r="AH2548" s="151"/>
      <c r="AI2548" s="151"/>
    </row>
    <row r="2549" s="58" customFormat="1" ht="76" spans="1:35">
      <c r="A2549" s="3576"/>
      <c r="B2549" s="3805"/>
      <c r="C2549" s="3807"/>
      <c r="D2549" s="4787"/>
      <c r="E2549" s="3806"/>
      <c r="F2549" s="3810"/>
      <c r="G2549" s="3806"/>
      <c r="H2549" s="3806"/>
      <c r="I2549" s="3806"/>
      <c r="J2549" s="3813"/>
      <c r="K2549" s="3812"/>
      <c r="L2549" s="3576"/>
      <c r="M2549" s="3806"/>
      <c r="N2549" s="185" t="s">
        <v>5065</v>
      </c>
      <c r="O2549" s="4708">
        <v>0.3</v>
      </c>
      <c r="P2549" s="837">
        <f>220500*O2549</f>
        <v>66150</v>
      </c>
      <c r="Q2549" s="3576">
        <v>66150</v>
      </c>
      <c r="R2549" s="128" t="s">
        <v>4603</v>
      </c>
      <c r="S2549" s="3615">
        <v>45511</v>
      </c>
      <c r="T2549" s="3834">
        <v>66150</v>
      </c>
      <c r="U2549" s="3615">
        <v>45511</v>
      </c>
      <c r="V2549" s="4775">
        <v>66150</v>
      </c>
      <c r="W2549" s="3615">
        <v>45577</v>
      </c>
      <c r="X2549" s="4775">
        <v>66150</v>
      </c>
      <c r="Y2549" s="3615">
        <v>45596</v>
      </c>
      <c r="Z2549" s="3576"/>
      <c r="AA2549" s="128"/>
      <c r="AB2549" s="4820"/>
      <c r="AC2549" s="4820"/>
      <c r="AD2549" s="4820"/>
      <c r="AE2549" s="4820"/>
      <c r="AF2549" s="4820"/>
      <c r="AG2549" s="4820"/>
      <c r="AH2549" s="151"/>
      <c r="AI2549" s="151"/>
    </row>
    <row r="2550" s="58" customFormat="1" ht="76" spans="1:35">
      <c r="A2550" s="3576"/>
      <c r="B2550" s="3805"/>
      <c r="C2550" s="3807"/>
      <c r="D2550" s="4787"/>
      <c r="E2550" s="3806"/>
      <c r="F2550" s="3810"/>
      <c r="G2550" s="3806"/>
      <c r="H2550" s="3806"/>
      <c r="I2550" s="3806"/>
      <c r="J2550" s="3813"/>
      <c r="K2550" s="3812"/>
      <c r="L2550" s="3576"/>
      <c r="M2550" s="3853"/>
      <c r="N2550" s="185" t="s">
        <v>5066</v>
      </c>
      <c r="O2550" s="4708">
        <v>0.1</v>
      </c>
      <c r="P2550" s="837">
        <f>220500*O2550</f>
        <v>22050</v>
      </c>
      <c r="Q2550" s="2676">
        <v>22050</v>
      </c>
      <c r="R2550" s="128" t="s">
        <v>4603</v>
      </c>
      <c r="S2550" s="3615">
        <v>45705</v>
      </c>
      <c r="T2550" s="2676">
        <v>22050</v>
      </c>
      <c r="U2550" s="3615">
        <v>45705</v>
      </c>
      <c r="V2550" s="2676">
        <v>22050</v>
      </c>
      <c r="W2550" s="3615">
        <v>45703</v>
      </c>
      <c r="X2550" s="2676">
        <v>22050</v>
      </c>
      <c r="Y2550" s="3615">
        <v>45715</v>
      </c>
      <c r="Z2550" s="3576"/>
      <c r="AA2550" s="128"/>
      <c r="AB2550" s="4820"/>
      <c r="AC2550" s="4820"/>
      <c r="AD2550" s="4820"/>
      <c r="AE2550" s="4820"/>
      <c r="AF2550" s="4820"/>
      <c r="AG2550" s="4820"/>
      <c r="AH2550" s="151"/>
      <c r="AI2550" s="151"/>
    </row>
    <row r="2551" s="58" customFormat="1" ht="76" spans="1:35">
      <c r="A2551" s="3576"/>
      <c r="B2551" s="3805"/>
      <c r="C2551" s="3807"/>
      <c r="D2551" s="4787"/>
      <c r="E2551" s="3806"/>
      <c r="F2551" s="3810"/>
      <c r="G2551" s="3806"/>
      <c r="H2551" s="3806"/>
      <c r="I2551" s="3806"/>
      <c r="J2551" s="3813"/>
      <c r="K2551" s="3812"/>
      <c r="L2551" s="3576"/>
      <c r="M2551" s="647" t="s">
        <v>7515</v>
      </c>
      <c r="N2551" s="185" t="s">
        <v>5067</v>
      </c>
      <c r="O2551" s="4708">
        <v>0.15</v>
      </c>
      <c r="P2551" s="837">
        <f>787968*O2551</f>
        <v>118195.2</v>
      </c>
      <c r="Q2551" s="127">
        <v>118195.2</v>
      </c>
      <c r="R2551" s="128" t="s">
        <v>4603</v>
      </c>
      <c r="S2551" s="313">
        <v>45511</v>
      </c>
      <c r="T2551" s="127">
        <v>118195.2</v>
      </c>
      <c r="U2551" s="3615">
        <v>45511</v>
      </c>
      <c r="V2551" s="3841">
        <v>118195.2</v>
      </c>
      <c r="W2551" s="3615">
        <v>45601</v>
      </c>
      <c r="X2551" s="3841">
        <v>118195.2</v>
      </c>
      <c r="Y2551" s="3615">
        <v>45624</v>
      </c>
      <c r="Z2551" s="3576"/>
      <c r="AA2551" s="128"/>
      <c r="AB2551" s="4820"/>
      <c r="AC2551" s="4820"/>
      <c r="AD2551" s="4820"/>
      <c r="AE2551" s="4820"/>
      <c r="AF2551" s="4820"/>
      <c r="AG2551" s="4820"/>
      <c r="AH2551" s="151"/>
      <c r="AI2551" s="151"/>
    </row>
    <row r="2552" s="58" customFormat="1" ht="76" spans="1:35">
      <c r="A2552" s="3576"/>
      <c r="B2552" s="3805"/>
      <c r="C2552" s="3807"/>
      <c r="D2552" s="4787"/>
      <c r="E2552" s="3806"/>
      <c r="F2552" s="3810"/>
      <c r="G2552" s="3806"/>
      <c r="H2552" s="3806"/>
      <c r="I2552" s="3806"/>
      <c r="J2552" s="3813"/>
      <c r="K2552" s="3812"/>
      <c r="L2552" s="3576"/>
      <c r="M2552" s="3806"/>
      <c r="N2552" s="185" t="s">
        <v>5064</v>
      </c>
      <c r="O2552" s="4708">
        <v>0.2</v>
      </c>
      <c r="P2552" s="837">
        <f>787968*O2552</f>
        <v>157593.6</v>
      </c>
      <c r="Q2552" s="837">
        <v>157593.6</v>
      </c>
      <c r="R2552" s="128" t="s">
        <v>4603</v>
      </c>
      <c r="S2552" s="3615">
        <v>45705</v>
      </c>
      <c r="T2552" s="837">
        <v>157593.6</v>
      </c>
      <c r="U2552" s="3615">
        <v>45705</v>
      </c>
      <c r="V2552" s="837">
        <v>157593.6</v>
      </c>
      <c r="W2552" s="3615">
        <v>45703</v>
      </c>
      <c r="X2552" s="837">
        <v>157593.6</v>
      </c>
      <c r="Y2552" s="3615">
        <v>45715</v>
      </c>
      <c r="Z2552" s="4820"/>
      <c r="AA2552" s="3576"/>
      <c r="AB2552" s="4820"/>
      <c r="AC2552" s="4820"/>
      <c r="AD2552" s="4820"/>
      <c r="AE2552" s="4820"/>
      <c r="AF2552" s="4820"/>
      <c r="AG2552" s="4820"/>
      <c r="AH2552" s="151"/>
      <c r="AI2552" s="151"/>
    </row>
    <row r="2553" s="58" customFormat="1" ht="76" spans="1:35">
      <c r="A2553" s="3576"/>
      <c r="B2553" s="3805"/>
      <c r="C2553" s="3807"/>
      <c r="D2553" s="4787"/>
      <c r="E2553" s="3806"/>
      <c r="F2553" s="3810"/>
      <c r="G2553" s="3806"/>
      <c r="H2553" s="3806"/>
      <c r="I2553" s="3806"/>
      <c r="J2553" s="3813"/>
      <c r="K2553" s="3812"/>
      <c r="L2553" s="3576"/>
      <c r="M2553" s="3806"/>
      <c r="N2553" s="185" t="s">
        <v>5068</v>
      </c>
      <c r="O2553" s="4708">
        <v>0.15</v>
      </c>
      <c r="P2553" s="837">
        <f>787968*O2553</f>
        <v>118195.2</v>
      </c>
      <c r="Q2553" s="837">
        <v>118195.2</v>
      </c>
      <c r="R2553" s="128" t="s">
        <v>4603</v>
      </c>
      <c r="S2553" s="3615">
        <v>45763</v>
      </c>
      <c r="T2553" s="3576">
        <v>118195.2</v>
      </c>
      <c r="U2553" s="3615">
        <v>45763</v>
      </c>
      <c r="V2553" s="3576">
        <v>118195.2</v>
      </c>
      <c r="W2553" s="3615">
        <v>45818</v>
      </c>
      <c r="X2553" s="2676">
        <v>118195.2</v>
      </c>
      <c r="Y2553" s="3615">
        <v>45835</v>
      </c>
      <c r="Z2553" s="4820"/>
      <c r="AA2553" s="3576"/>
      <c r="AB2553" s="4820"/>
      <c r="AC2553" s="4820"/>
      <c r="AD2553" s="4820"/>
      <c r="AE2553" s="4820"/>
      <c r="AF2553" s="4820"/>
      <c r="AG2553" s="4820"/>
      <c r="AH2553" s="151"/>
      <c r="AI2553" s="151"/>
    </row>
    <row r="2554" s="58" customFormat="1" ht="76" spans="1:35">
      <c r="A2554" s="3576"/>
      <c r="B2554" s="3805"/>
      <c r="C2554" s="3807"/>
      <c r="D2554" s="4787"/>
      <c r="E2554" s="3806"/>
      <c r="F2554" s="3810"/>
      <c r="G2554" s="3806"/>
      <c r="H2554" s="3806"/>
      <c r="I2554" s="3806"/>
      <c r="J2554" s="3813"/>
      <c r="K2554" s="3812"/>
      <c r="L2554" s="3576"/>
      <c r="M2554" s="3806"/>
      <c r="N2554" s="185" t="s">
        <v>5065</v>
      </c>
      <c r="O2554" s="4708">
        <v>0.2</v>
      </c>
      <c r="P2554" s="837">
        <f>787968*O2554</f>
        <v>157593.6</v>
      </c>
      <c r="Q2554" s="837">
        <v>157593.6</v>
      </c>
      <c r="R2554" s="128" t="s">
        <v>4603</v>
      </c>
      <c r="S2554" s="3615">
        <v>45763</v>
      </c>
      <c r="T2554" s="2676">
        <v>157593.6</v>
      </c>
      <c r="U2554" s="3615">
        <v>45763</v>
      </c>
      <c r="V2554" s="2676">
        <v>157593.6</v>
      </c>
      <c r="W2554" s="3615">
        <v>45818</v>
      </c>
      <c r="X2554" s="2676">
        <v>157593.6</v>
      </c>
      <c r="Y2554" s="3615">
        <v>45835</v>
      </c>
      <c r="Z2554" s="4820"/>
      <c r="AA2554" s="3576"/>
      <c r="AB2554" s="4820"/>
      <c r="AC2554" s="4820"/>
      <c r="AD2554" s="4820"/>
      <c r="AE2554" s="4820"/>
      <c r="AF2554" s="4820"/>
      <c r="AG2554" s="4820"/>
      <c r="AH2554" s="151"/>
      <c r="AI2554" s="151"/>
    </row>
    <row r="2555" s="58" customFormat="1" ht="92" spans="1:35">
      <c r="A2555" s="3576"/>
      <c r="B2555" s="3805"/>
      <c r="C2555" s="3807"/>
      <c r="D2555" s="4787"/>
      <c r="E2555" s="3806"/>
      <c r="F2555" s="3810"/>
      <c r="G2555" s="3806"/>
      <c r="H2555" s="3806"/>
      <c r="I2555" s="3806"/>
      <c r="J2555" s="3813"/>
      <c r="K2555" s="3812"/>
      <c r="L2555" s="3576"/>
      <c r="M2555" s="3853"/>
      <c r="N2555" s="185" t="s">
        <v>5070</v>
      </c>
      <c r="O2555" s="4708">
        <v>0.05</v>
      </c>
      <c r="P2555" s="837">
        <f>787968*O2555</f>
        <v>39398.4</v>
      </c>
      <c r="Q2555" s="4865">
        <v>39398.4</v>
      </c>
      <c r="R2555" s="3439" t="s">
        <v>349</v>
      </c>
      <c r="S2555" s="3440">
        <v>46111</v>
      </c>
      <c r="T2555" s="3576"/>
      <c r="U2555" s="4881"/>
      <c r="V2555" s="3576"/>
      <c r="W2555" s="4820"/>
      <c r="X2555" s="837"/>
      <c r="Y2555" s="276"/>
      <c r="Z2555" s="4820"/>
      <c r="AA2555" s="3576"/>
      <c r="AB2555" s="4820"/>
      <c r="AC2555" s="4820"/>
      <c r="AD2555" s="4820"/>
      <c r="AE2555" s="4820"/>
      <c r="AF2555" s="4820"/>
      <c r="AG2555" s="4820"/>
      <c r="AH2555" s="151"/>
      <c r="AI2555" s="151"/>
    </row>
    <row r="2556" s="58" customFormat="1" ht="92" spans="1:35">
      <c r="A2556" s="3576"/>
      <c r="B2556" s="3805"/>
      <c r="C2556" s="3807"/>
      <c r="D2556" s="4787"/>
      <c r="E2556" s="3806"/>
      <c r="F2556" s="3810"/>
      <c r="G2556" s="3806"/>
      <c r="H2556" s="3806"/>
      <c r="I2556" s="3806"/>
      <c r="J2556" s="3813"/>
      <c r="K2556" s="3812"/>
      <c r="L2556" s="3576"/>
      <c r="M2556" s="127" t="s">
        <v>7513</v>
      </c>
      <c r="N2556" s="185" t="s">
        <v>5071</v>
      </c>
      <c r="O2556" s="4708">
        <v>0.05</v>
      </c>
      <c r="P2556" s="837">
        <f>K2547*O2556</f>
        <v>50423.4</v>
      </c>
      <c r="Q2556" s="837"/>
      <c r="R2556" s="128"/>
      <c r="S2556" s="3615"/>
      <c r="T2556" s="3576"/>
      <c r="U2556" s="4881"/>
      <c r="V2556" s="3576"/>
      <c r="W2556" s="4820"/>
      <c r="X2556" s="837"/>
      <c r="Y2556" s="276"/>
      <c r="Z2556" s="4820"/>
      <c r="AA2556" s="3576"/>
      <c r="AB2556" s="4820"/>
      <c r="AC2556" s="4820"/>
      <c r="AD2556" s="4820"/>
      <c r="AE2556" s="4820"/>
      <c r="AF2556" s="4820"/>
      <c r="AG2556" s="4820"/>
      <c r="AH2556" s="151"/>
      <c r="AI2556" s="151"/>
    </row>
    <row r="2557" s="58" customFormat="1" ht="92" spans="1:35">
      <c r="A2557" s="3576"/>
      <c r="B2557" s="3830"/>
      <c r="C2557" s="3852"/>
      <c r="D2557" s="4788"/>
      <c r="E2557" s="3853"/>
      <c r="F2557" s="3810"/>
      <c r="G2557" s="3853"/>
      <c r="H2557" s="3853"/>
      <c r="I2557" s="3853"/>
      <c r="J2557" s="3829"/>
      <c r="K2557" s="3812"/>
      <c r="L2557" s="3576"/>
      <c r="M2557" s="128" t="s">
        <v>6237</v>
      </c>
      <c r="N2557" s="185" t="s">
        <v>7516</v>
      </c>
      <c r="O2557" s="4708">
        <v>0.1</v>
      </c>
      <c r="P2557" s="837">
        <f>K2547*O2557</f>
        <v>100846.8</v>
      </c>
      <c r="Q2557" s="837"/>
      <c r="R2557" s="128"/>
      <c r="S2557" s="3615"/>
      <c r="T2557" s="3576"/>
      <c r="U2557" s="3576"/>
      <c r="V2557" s="3576"/>
      <c r="W2557" s="4820"/>
      <c r="X2557" s="837"/>
      <c r="Y2557" s="276"/>
      <c r="Z2557" s="4820"/>
      <c r="AA2557" s="3576"/>
      <c r="AB2557" s="4820"/>
      <c r="AC2557" s="4820"/>
      <c r="AD2557" s="4820"/>
      <c r="AE2557" s="4820"/>
      <c r="AF2557" s="4820"/>
      <c r="AG2557" s="4820"/>
      <c r="AH2557" s="152"/>
      <c r="AI2557" s="152"/>
    </row>
    <row r="2558" s="6" customFormat="1" ht="92" spans="1:35">
      <c r="A2558" s="4098" t="s">
        <v>2570</v>
      </c>
      <c r="B2558" s="3968">
        <v>45421</v>
      </c>
      <c r="C2558" s="4190" t="s">
        <v>6861</v>
      </c>
      <c r="E2558" s="4011" t="s">
        <v>7666</v>
      </c>
      <c r="F2558" s="4010" t="s">
        <v>7667</v>
      </c>
      <c r="G2558" s="4098" t="s">
        <v>813</v>
      </c>
      <c r="H2558" s="4011" t="s">
        <v>6950</v>
      </c>
      <c r="I2558" s="3970"/>
      <c r="J2558" s="3967" t="s">
        <v>997</v>
      </c>
      <c r="K2558" s="4046">
        <v>430000</v>
      </c>
      <c r="L2558" s="4098" t="s">
        <v>126</v>
      </c>
      <c r="M2558" s="4013">
        <v>1</v>
      </c>
      <c r="N2558" s="4873" t="s">
        <v>6967</v>
      </c>
      <c r="O2558" s="4874">
        <v>0.1</v>
      </c>
      <c r="P2558" s="4875">
        <f>K2558*O2558</f>
        <v>43000</v>
      </c>
      <c r="Q2558" s="4875">
        <v>43000</v>
      </c>
      <c r="R2558" s="4098" t="s">
        <v>4603</v>
      </c>
      <c r="S2558" s="4114">
        <v>45532</v>
      </c>
      <c r="T2558" s="4875">
        <v>43000</v>
      </c>
      <c r="U2558" s="4114">
        <v>45532</v>
      </c>
      <c r="V2558" s="4105">
        <v>43000</v>
      </c>
      <c r="W2558" s="4114">
        <v>45533</v>
      </c>
      <c r="X2558" s="4875">
        <v>43000</v>
      </c>
      <c r="Y2558" s="4114">
        <v>45562</v>
      </c>
      <c r="Z2558" s="4882"/>
      <c r="AA2558" s="40"/>
      <c r="AB2558" s="4883"/>
      <c r="AC2558" s="4883"/>
      <c r="AD2558" s="4883"/>
      <c r="AE2558" s="4883"/>
      <c r="AF2558" s="4883"/>
      <c r="AG2558" s="4883"/>
      <c r="AH2558" s="4883"/>
      <c r="AI2558" s="4883"/>
    </row>
    <row r="2559" s="6" customFormat="1" ht="92" spans="1:35">
      <c r="A2559" s="40"/>
      <c r="B2559" s="3972"/>
      <c r="C2559" s="4871"/>
      <c r="D2559" s="6"/>
      <c r="E2559" s="4011"/>
      <c r="F2559" s="4012"/>
      <c r="G2559" s="40"/>
      <c r="H2559" s="4013"/>
      <c r="I2559" s="3971"/>
      <c r="J2559" s="3971"/>
      <c r="K2559" s="4046"/>
      <c r="L2559" s="40"/>
      <c r="M2559" s="4013">
        <v>2</v>
      </c>
      <c r="N2559" s="4873" t="s">
        <v>6968</v>
      </c>
      <c r="O2559" s="4874">
        <v>0.3</v>
      </c>
      <c r="P2559" s="4875">
        <f>K2558*O2559</f>
        <v>129000</v>
      </c>
      <c r="Q2559" s="4875">
        <v>129000</v>
      </c>
      <c r="R2559" s="4098" t="s">
        <v>4603</v>
      </c>
      <c r="S2559" s="4114">
        <v>45532</v>
      </c>
      <c r="T2559" s="4875">
        <v>129000</v>
      </c>
      <c r="U2559" s="4114">
        <v>45532</v>
      </c>
      <c r="V2559" s="4105">
        <v>129000</v>
      </c>
      <c r="W2559" s="4114">
        <v>45533</v>
      </c>
      <c r="X2559" s="4875">
        <v>129000</v>
      </c>
      <c r="Y2559" s="4114">
        <v>45562</v>
      </c>
      <c r="Z2559" s="4882"/>
      <c r="AA2559" s="40"/>
      <c r="AB2559" s="4883"/>
      <c r="AC2559" s="4883"/>
      <c r="AD2559" s="4883"/>
      <c r="AE2559" s="4883"/>
      <c r="AF2559" s="4883"/>
      <c r="AG2559" s="4883"/>
      <c r="AH2559" s="4883"/>
      <c r="AI2559" s="4883"/>
    </row>
    <row r="2560" s="6" customFormat="1" ht="76" spans="1:35">
      <c r="A2560" s="40"/>
      <c r="B2560" s="3972"/>
      <c r="C2560" s="4871"/>
      <c r="D2560" s="6"/>
      <c r="E2560" s="4011"/>
      <c r="F2560" s="4012"/>
      <c r="G2560" s="40"/>
      <c r="H2560" s="4013"/>
      <c r="I2560" s="3971"/>
      <c r="J2560" s="3971"/>
      <c r="K2560" s="4046"/>
      <c r="L2560" s="40"/>
      <c r="M2560" s="4013">
        <v>3</v>
      </c>
      <c r="N2560" s="4873" t="s">
        <v>6969</v>
      </c>
      <c r="O2560" s="4874">
        <v>0.5</v>
      </c>
      <c r="P2560" s="4875">
        <f>K2558*O2560</f>
        <v>215000</v>
      </c>
      <c r="Q2560" s="4875">
        <v>215000</v>
      </c>
      <c r="R2560" s="4098" t="s">
        <v>4603</v>
      </c>
      <c r="S2560" s="4114">
        <v>45532</v>
      </c>
      <c r="T2560" s="4875">
        <v>215000</v>
      </c>
      <c r="U2560" s="4114">
        <v>45532</v>
      </c>
      <c r="V2560" s="4105">
        <v>215000</v>
      </c>
      <c r="W2560" s="4114">
        <v>45533</v>
      </c>
      <c r="X2560" s="4875">
        <v>215000</v>
      </c>
      <c r="Y2560" s="4114">
        <v>45562</v>
      </c>
      <c r="Z2560" s="4882"/>
      <c r="AA2560" s="40"/>
      <c r="AB2560" s="4883"/>
      <c r="AC2560" s="4883"/>
      <c r="AD2560" s="4883"/>
      <c r="AE2560" s="4883"/>
      <c r="AF2560" s="4883"/>
      <c r="AG2560" s="4883"/>
      <c r="AH2560" s="4883"/>
      <c r="AI2560" s="4883"/>
    </row>
    <row r="2561" s="6" customFormat="1" ht="61" spans="1:35">
      <c r="A2561" s="40"/>
      <c r="B2561" s="3975"/>
      <c r="C2561" s="4871"/>
      <c r="D2561" s="6"/>
      <c r="E2561" s="4010"/>
      <c r="F2561" s="4012"/>
      <c r="G2561" s="3970"/>
      <c r="H2561" s="4892"/>
      <c r="I2561" s="3974"/>
      <c r="J2561" s="3974"/>
      <c r="K2561" s="4900"/>
      <c r="L2561" s="3970"/>
      <c r="M2561" s="4892">
        <v>4</v>
      </c>
      <c r="N2561" s="4703" t="s">
        <v>7668</v>
      </c>
      <c r="O2561" s="4910">
        <v>0.1</v>
      </c>
      <c r="P2561" s="4911">
        <f>K2558*O2561</f>
        <v>43000</v>
      </c>
      <c r="Q2561" s="4925">
        <v>43000</v>
      </c>
      <c r="R2561" s="4926" t="s">
        <v>349</v>
      </c>
      <c r="S2561" s="4234">
        <v>46052</v>
      </c>
      <c r="T2561" s="4911"/>
      <c r="U2561" s="3970"/>
      <c r="V2561" s="3970"/>
      <c r="W2561" s="3970"/>
      <c r="X2561" s="4925">
        <v>43000</v>
      </c>
      <c r="Y2561" s="4237">
        <v>46021</v>
      </c>
      <c r="Z2561" s="4949"/>
      <c r="AA2561" s="3970"/>
      <c r="AB2561" s="4950"/>
      <c r="AC2561" s="4950"/>
      <c r="AD2561" s="4950"/>
      <c r="AE2561" s="4950"/>
      <c r="AF2561" s="4950"/>
      <c r="AG2561" s="4950"/>
      <c r="AH2561" s="4950"/>
      <c r="AI2561" s="4950"/>
    </row>
    <row r="2562" s="61" customFormat="1" spans="1:50">
      <c r="A2562" s="1454" t="s">
        <v>2570</v>
      </c>
      <c r="B2562" s="4884">
        <v>45441</v>
      </c>
      <c r="C2562" s="4885" t="s">
        <v>6861</v>
      </c>
      <c r="D2562" s="6"/>
      <c r="E2562" s="1547" t="s">
        <v>7669</v>
      </c>
      <c r="F2562" s="1485" t="s">
        <v>7670</v>
      </c>
      <c r="G2562" s="1512" t="s">
        <v>3465</v>
      </c>
      <c r="H2562" s="1485" t="s">
        <v>6050</v>
      </c>
      <c r="I2562" s="4888"/>
      <c r="J2562" s="1512" t="s">
        <v>997</v>
      </c>
      <c r="K2562" s="4901">
        <v>48220</v>
      </c>
      <c r="L2562" s="1512" t="s">
        <v>126</v>
      </c>
      <c r="M2562" s="4896">
        <v>1</v>
      </c>
      <c r="N2562" s="1485" t="s">
        <v>6923</v>
      </c>
      <c r="O2562" s="4912">
        <v>0.15</v>
      </c>
      <c r="P2562" s="3026">
        <f>K2562*O2562</f>
        <v>7233</v>
      </c>
      <c r="Q2562" s="4927">
        <v>7233</v>
      </c>
      <c r="R2562" s="4928" t="s">
        <v>4603</v>
      </c>
      <c r="S2562" s="4929">
        <v>45960</v>
      </c>
      <c r="T2562" s="4927">
        <v>7233</v>
      </c>
      <c r="U2562" s="4929">
        <v>45960</v>
      </c>
      <c r="V2562" s="4927">
        <v>7233</v>
      </c>
      <c r="W2562" s="4929">
        <v>45976</v>
      </c>
      <c r="X2562" s="4939">
        <v>7233</v>
      </c>
      <c r="Y2562" s="4951">
        <v>46021</v>
      </c>
      <c r="Z2562" s="3026"/>
      <c r="AA2562" s="3026"/>
      <c r="AB2562" s="3026"/>
      <c r="AC2562" s="3026"/>
      <c r="AD2562" s="3026"/>
      <c r="AE2562" s="3026"/>
      <c r="AF2562" s="3026"/>
      <c r="AG2562" s="3026"/>
      <c r="AH2562" s="3026"/>
      <c r="AI2562" s="3082"/>
      <c r="AJ2562" s="4965"/>
      <c r="AK2562" s="4965"/>
      <c r="AL2562" s="4965"/>
      <c r="AM2562" s="4965"/>
      <c r="AN2562" s="4965"/>
      <c r="AO2562" s="4965"/>
      <c r="AP2562" s="4965"/>
      <c r="AQ2562" s="4965"/>
      <c r="AR2562" s="4965"/>
      <c r="AS2562" s="4965"/>
      <c r="AT2562" s="4965"/>
      <c r="AU2562" s="4965"/>
      <c r="AV2562" s="4965"/>
      <c r="AW2562" s="4965"/>
      <c r="AX2562" s="4967"/>
    </row>
    <row r="2563" s="61" customFormat="1" spans="1:50">
      <c r="A2563" s="3129"/>
      <c r="B2563" s="4886"/>
      <c r="C2563" s="4887"/>
      <c r="D2563" s="6"/>
      <c r="E2563" s="4893"/>
      <c r="F2563" s="4894"/>
      <c r="G2563" s="4895"/>
      <c r="H2563" s="4894"/>
      <c r="I2563" s="4895"/>
      <c r="J2563" s="4895"/>
      <c r="K2563" s="4902"/>
      <c r="L2563" s="4895"/>
      <c r="M2563" s="4894"/>
      <c r="N2563" s="4894"/>
      <c r="O2563" s="4913"/>
      <c r="P2563" s="3027"/>
      <c r="Q2563" s="4930"/>
      <c r="R2563" s="4930"/>
      <c r="S2563" s="4931"/>
      <c r="T2563" s="4930"/>
      <c r="U2563" s="4931"/>
      <c r="V2563" s="4930"/>
      <c r="W2563" s="4931"/>
      <c r="X2563" s="4940"/>
      <c r="Y2563" s="4952"/>
      <c r="Z2563" s="3027"/>
      <c r="AA2563" s="3027"/>
      <c r="AB2563" s="3027"/>
      <c r="AC2563" s="3027"/>
      <c r="AD2563" s="3027"/>
      <c r="AE2563" s="3027"/>
      <c r="AF2563" s="3027"/>
      <c r="AG2563" s="3027"/>
      <c r="AH2563" s="3027"/>
      <c r="AI2563" s="3082"/>
      <c r="AJ2563" s="4965"/>
      <c r="AK2563" s="4965"/>
      <c r="AL2563" s="4965"/>
      <c r="AM2563" s="4965"/>
      <c r="AN2563" s="4965"/>
      <c r="AO2563" s="4965"/>
      <c r="AP2563" s="4965"/>
      <c r="AQ2563" s="4965"/>
      <c r="AR2563" s="4965"/>
      <c r="AS2563" s="4965"/>
      <c r="AT2563" s="4965"/>
      <c r="AU2563" s="4965"/>
      <c r="AV2563" s="4965"/>
      <c r="AW2563" s="4965"/>
      <c r="AX2563" s="4967"/>
    </row>
    <row r="2564" s="61" customFormat="1" spans="1:50">
      <c r="A2564" s="3129"/>
      <c r="B2564" s="4886"/>
      <c r="C2564" s="4887"/>
      <c r="D2564" s="6"/>
      <c r="E2564" s="4893"/>
      <c r="F2564" s="4894"/>
      <c r="G2564" s="4895"/>
      <c r="H2564" s="4894"/>
      <c r="I2564" s="4895"/>
      <c r="J2564" s="4895"/>
      <c r="K2564" s="4902"/>
      <c r="L2564" s="4895"/>
      <c r="M2564" s="4914"/>
      <c r="N2564" s="4914"/>
      <c r="O2564" s="4915"/>
      <c r="P2564" s="3028"/>
      <c r="Q2564" s="3085"/>
      <c r="R2564" s="3085"/>
      <c r="S2564" s="3086"/>
      <c r="T2564" s="3085"/>
      <c r="U2564" s="3086"/>
      <c r="V2564" s="3085"/>
      <c r="W2564" s="3086"/>
      <c r="X2564" s="3087"/>
      <c r="Y2564" s="3089"/>
      <c r="Z2564" s="3028"/>
      <c r="AA2564" s="3028"/>
      <c r="AB2564" s="3028"/>
      <c r="AC2564" s="3028"/>
      <c r="AD2564" s="3028"/>
      <c r="AE2564" s="3028"/>
      <c r="AF2564" s="3028"/>
      <c r="AG2564" s="3028"/>
      <c r="AH2564" s="3028"/>
      <c r="AI2564" s="3082"/>
      <c r="AJ2564" s="4965"/>
      <c r="AK2564" s="4965"/>
      <c r="AL2564" s="4965"/>
      <c r="AM2564" s="4965"/>
      <c r="AN2564" s="4965"/>
      <c r="AO2564" s="4965"/>
      <c r="AP2564" s="4965"/>
      <c r="AQ2564" s="4965"/>
      <c r="AR2564" s="4965"/>
      <c r="AS2564" s="4965"/>
      <c r="AT2564" s="4965"/>
      <c r="AU2564" s="4965"/>
      <c r="AV2564" s="4965"/>
      <c r="AW2564" s="4965"/>
      <c r="AX2564" s="4967"/>
    </row>
    <row r="2565" s="61" customFormat="1" spans="1:50">
      <c r="A2565" s="3129"/>
      <c r="B2565" s="4886"/>
      <c r="C2565" s="4887"/>
      <c r="D2565" s="6"/>
      <c r="E2565" s="4893"/>
      <c r="F2565" s="4894"/>
      <c r="G2565" s="4895"/>
      <c r="H2565" s="4894"/>
      <c r="I2565" s="4895"/>
      <c r="J2565" s="4895"/>
      <c r="K2565" s="4902"/>
      <c r="L2565" s="4895"/>
      <c r="M2565" s="4896">
        <v>2</v>
      </c>
      <c r="N2565" s="1485" t="s">
        <v>6924</v>
      </c>
      <c r="O2565" s="4912">
        <v>0.35</v>
      </c>
      <c r="P2565" s="3026">
        <f>K2562*O2565</f>
        <v>16877</v>
      </c>
      <c r="Q2565" s="4927">
        <v>16877</v>
      </c>
      <c r="R2565" s="4928" t="s">
        <v>4603</v>
      </c>
      <c r="S2565" s="4929">
        <v>45960</v>
      </c>
      <c r="T2565" s="4927">
        <v>16877</v>
      </c>
      <c r="U2565" s="4929">
        <v>45960</v>
      </c>
      <c r="V2565" s="4927">
        <v>16877</v>
      </c>
      <c r="W2565" s="4929">
        <v>45976</v>
      </c>
      <c r="X2565" s="4939">
        <v>16877</v>
      </c>
      <c r="Y2565" s="4951">
        <v>46021</v>
      </c>
      <c r="Z2565" s="3026"/>
      <c r="AA2565" s="3026"/>
      <c r="AB2565" s="3026"/>
      <c r="AC2565" s="3026"/>
      <c r="AD2565" s="3026"/>
      <c r="AE2565" s="3026"/>
      <c r="AF2565" s="3026"/>
      <c r="AG2565" s="3026"/>
      <c r="AH2565" s="3026"/>
      <c r="AI2565" s="3082"/>
      <c r="AJ2565" s="4965"/>
      <c r="AK2565" s="4965"/>
      <c r="AL2565" s="4965"/>
      <c r="AM2565" s="4965"/>
      <c r="AN2565" s="4965"/>
      <c r="AO2565" s="4965"/>
      <c r="AP2565" s="4965"/>
      <c r="AQ2565" s="4965"/>
      <c r="AR2565" s="4965"/>
      <c r="AS2565" s="4965"/>
      <c r="AT2565" s="4965"/>
      <c r="AU2565" s="4965"/>
      <c r="AV2565" s="4965"/>
      <c r="AW2565" s="4965"/>
      <c r="AX2565" s="4967"/>
    </row>
    <row r="2566" s="61" customFormat="1" spans="1:50">
      <c r="A2566" s="3129"/>
      <c r="B2566" s="4886"/>
      <c r="C2566" s="4887"/>
      <c r="D2566" s="6"/>
      <c r="E2566" s="4893"/>
      <c r="F2566" s="4894"/>
      <c r="G2566" s="4895"/>
      <c r="H2566" s="4894"/>
      <c r="I2566" s="4895"/>
      <c r="J2566" s="4895"/>
      <c r="K2566" s="4902"/>
      <c r="L2566" s="4895"/>
      <c r="M2566" s="4894"/>
      <c r="N2566" s="4894"/>
      <c r="O2566" s="4913"/>
      <c r="P2566" s="3027"/>
      <c r="Q2566" s="4930"/>
      <c r="R2566" s="4930"/>
      <c r="S2566" s="4931"/>
      <c r="T2566" s="4930"/>
      <c r="U2566" s="4931"/>
      <c r="V2566" s="4930"/>
      <c r="W2566" s="4931"/>
      <c r="X2566" s="4940"/>
      <c r="Y2566" s="4952"/>
      <c r="Z2566" s="3027"/>
      <c r="AA2566" s="3027"/>
      <c r="AB2566" s="3027"/>
      <c r="AC2566" s="3027"/>
      <c r="AD2566" s="3027"/>
      <c r="AE2566" s="3027"/>
      <c r="AF2566" s="3027"/>
      <c r="AG2566" s="3027"/>
      <c r="AH2566" s="3027"/>
      <c r="AI2566" s="3082"/>
      <c r="AJ2566" s="4965"/>
      <c r="AK2566" s="4965"/>
      <c r="AL2566" s="4965"/>
      <c r="AM2566" s="4965"/>
      <c r="AN2566" s="4965"/>
      <c r="AO2566" s="4965"/>
      <c r="AP2566" s="4965"/>
      <c r="AQ2566" s="4965"/>
      <c r="AR2566" s="4965"/>
      <c r="AS2566" s="4965"/>
      <c r="AT2566" s="4965"/>
      <c r="AU2566" s="4965"/>
      <c r="AV2566" s="4965"/>
      <c r="AW2566" s="4965"/>
      <c r="AX2566" s="4967"/>
    </row>
    <row r="2567" s="61" customFormat="1" spans="1:50">
      <c r="A2567" s="3129"/>
      <c r="B2567" s="4886"/>
      <c r="C2567" s="4887"/>
      <c r="D2567" s="6"/>
      <c r="E2567" s="4893"/>
      <c r="F2567" s="4894"/>
      <c r="G2567" s="4895"/>
      <c r="H2567" s="4894"/>
      <c r="I2567" s="4895"/>
      <c r="J2567" s="4895"/>
      <c r="K2567" s="4902"/>
      <c r="L2567" s="4895"/>
      <c r="M2567" s="4914"/>
      <c r="N2567" s="4914"/>
      <c r="O2567" s="4915"/>
      <c r="P2567" s="3028"/>
      <c r="Q2567" s="3085"/>
      <c r="R2567" s="3085"/>
      <c r="S2567" s="3086"/>
      <c r="T2567" s="3085"/>
      <c r="U2567" s="3086"/>
      <c r="V2567" s="3085"/>
      <c r="W2567" s="3086"/>
      <c r="X2567" s="3087"/>
      <c r="Y2567" s="3089"/>
      <c r="Z2567" s="3028"/>
      <c r="AA2567" s="3028"/>
      <c r="AB2567" s="3028"/>
      <c r="AC2567" s="3028"/>
      <c r="AD2567" s="3028"/>
      <c r="AE2567" s="3028"/>
      <c r="AF2567" s="3028"/>
      <c r="AG2567" s="3028"/>
      <c r="AH2567" s="3028"/>
      <c r="AI2567" s="3082"/>
      <c r="AJ2567" s="4965"/>
      <c r="AK2567" s="4965"/>
      <c r="AL2567" s="4965"/>
      <c r="AM2567" s="4965"/>
      <c r="AN2567" s="4965"/>
      <c r="AO2567" s="4965"/>
      <c r="AP2567" s="4965"/>
      <c r="AQ2567" s="4965"/>
      <c r="AR2567" s="4965"/>
      <c r="AS2567" s="4965"/>
      <c r="AT2567" s="4965"/>
      <c r="AU2567" s="4965"/>
      <c r="AV2567" s="4965"/>
      <c r="AW2567" s="4965"/>
      <c r="AX2567" s="4967"/>
    </row>
    <row r="2568" s="61" customFormat="1" spans="1:50">
      <c r="A2568" s="3129"/>
      <c r="B2568" s="4886"/>
      <c r="C2568" s="4887"/>
      <c r="D2568" s="6"/>
      <c r="E2568" s="4893"/>
      <c r="F2568" s="4894"/>
      <c r="G2568" s="4895"/>
      <c r="H2568" s="4894"/>
      <c r="I2568" s="4895"/>
      <c r="J2568" s="4895"/>
      <c r="K2568" s="4902"/>
      <c r="L2568" s="4895"/>
      <c r="M2568" s="4896">
        <v>3</v>
      </c>
      <c r="N2568" s="1485" t="s">
        <v>7671</v>
      </c>
      <c r="O2568" s="4912">
        <v>0.3</v>
      </c>
      <c r="P2568" s="3026">
        <f>K2562*O2568</f>
        <v>14466</v>
      </c>
      <c r="Q2568" s="4932">
        <v>14466</v>
      </c>
      <c r="R2568" s="4928" t="s">
        <v>4603</v>
      </c>
      <c r="S2568" s="4929">
        <v>45960</v>
      </c>
      <c r="T2568" s="4932">
        <v>14466</v>
      </c>
      <c r="U2568" s="4929">
        <v>45960</v>
      </c>
      <c r="V2568" s="4932">
        <v>14466</v>
      </c>
      <c r="W2568" s="4929">
        <v>45976</v>
      </c>
      <c r="X2568" s="4941">
        <v>14466</v>
      </c>
      <c r="Y2568" s="4951">
        <v>46021</v>
      </c>
      <c r="Z2568" s="4953"/>
      <c r="AA2568" s="4953"/>
      <c r="AB2568" s="4953"/>
      <c r="AC2568" s="4953"/>
      <c r="AD2568" s="4953"/>
      <c r="AE2568" s="4953"/>
      <c r="AF2568" s="4953"/>
      <c r="AG2568" s="4953"/>
      <c r="AH2568" s="4953"/>
      <c r="AI2568" s="4966"/>
      <c r="AJ2568" s="4965"/>
      <c r="AK2568" s="4965"/>
      <c r="AL2568" s="4965"/>
      <c r="AM2568" s="4965"/>
      <c r="AN2568" s="4965"/>
      <c r="AO2568" s="4965"/>
      <c r="AP2568" s="4965"/>
      <c r="AQ2568" s="4965"/>
      <c r="AR2568" s="4965"/>
      <c r="AS2568" s="4965"/>
      <c r="AT2568" s="4965"/>
      <c r="AU2568" s="4965"/>
      <c r="AV2568" s="4965"/>
      <c r="AW2568" s="4965"/>
      <c r="AX2568" s="4967"/>
    </row>
    <row r="2569" s="61" customFormat="1" spans="1:50">
      <c r="A2569" s="3129"/>
      <c r="B2569" s="4886"/>
      <c r="C2569" s="4887"/>
      <c r="D2569" s="6"/>
      <c r="E2569" s="4893"/>
      <c r="F2569" s="4894"/>
      <c r="G2569" s="4895"/>
      <c r="H2569" s="4894"/>
      <c r="I2569" s="4895"/>
      <c r="J2569" s="4895"/>
      <c r="K2569" s="4902"/>
      <c r="L2569" s="4895"/>
      <c r="M2569" s="4894"/>
      <c r="N2569" s="4894"/>
      <c r="O2569" s="4913"/>
      <c r="P2569" s="3027"/>
      <c r="Q2569" s="4933"/>
      <c r="R2569" s="4930"/>
      <c r="S2569" s="4931"/>
      <c r="T2569" s="4933"/>
      <c r="U2569" s="4931"/>
      <c r="V2569" s="4933"/>
      <c r="W2569" s="4931"/>
      <c r="X2569" s="4942"/>
      <c r="Y2569" s="4952"/>
      <c r="Z2569" s="4954"/>
      <c r="AA2569" s="4954"/>
      <c r="AB2569" s="4954"/>
      <c r="AC2569" s="4954"/>
      <c r="AD2569" s="4954"/>
      <c r="AE2569" s="4954"/>
      <c r="AF2569" s="4954"/>
      <c r="AG2569" s="4954"/>
      <c r="AH2569" s="4954"/>
      <c r="AI2569" s="4966"/>
      <c r="AJ2569" s="4965"/>
      <c r="AK2569" s="4965"/>
      <c r="AL2569" s="4965"/>
      <c r="AM2569" s="4965"/>
      <c r="AN2569" s="4965"/>
      <c r="AO2569" s="4965"/>
      <c r="AP2569" s="4965"/>
      <c r="AQ2569" s="4965"/>
      <c r="AR2569" s="4965"/>
      <c r="AS2569" s="4965"/>
      <c r="AT2569" s="4965"/>
      <c r="AU2569" s="4965"/>
      <c r="AV2569" s="4965"/>
      <c r="AW2569" s="4965"/>
      <c r="AX2569" s="4967"/>
    </row>
    <row r="2570" s="61" customFormat="1" spans="1:50">
      <c r="A2570" s="3129"/>
      <c r="B2570" s="4886"/>
      <c r="C2570" s="4887"/>
      <c r="D2570" s="6"/>
      <c r="E2570" s="4893"/>
      <c r="F2570" s="4894"/>
      <c r="G2570" s="4895"/>
      <c r="H2570" s="4894"/>
      <c r="I2570" s="4895"/>
      <c r="J2570" s="4895"/>
      <c r="K2570" s="4902"/>
      <c r="L2570" s="4895"/>
      <c r="M2570" s="4914"/>
      <c r="N2570" s="4914"/>
      <c r="O2570" s="4915"/>
      <c r="P2570" s="3028"/>
      <c r="Q2570" s="4934"/>
      <c r="R2570" s="3085"/>
      <c r="S2570" s="3086"/>
      <c r="T2570" s="4934"/>
      <c r="U2570" s="3086"/>
      <c r="V2570" s="4934"/>
      <c r="W2570" s="3086"/>
      <c r="X2570" s="4943"/>
      <c r="Y2570" s="3089"/>
      <c r="Z2570" s="4955"/>
      <c r="AA2570" s="4955"/>
      <c r="AB2570" s="4955"/>
      <c r="AC2570" s="4955"/>
      <c r="AD2570" s="4955"/>
      <c r="AE2570" s="4955"/>
      <c r="AF2570" s="4955"/>
      <c r="AG2570" s="4955"/>
      <c r="AH2570" s="4955"/>
      <c r="AI2570" s="4966"/>
      <c r="AJ2570" s="4965"/>
      <c r="AK2570" s="4965"/>
      <c r="AL2570" s="4965"/>
      <c r="AM2570" s="4965"/>
      <c r="AN2570" s="4965"/>
      <c r="AO2570" s="4965"/>
      <c r="AP2570" s="4965"/>
      <c r="AQ2570" s="4965"/>
      <c r="AR2570" s="4965"/>
      <c r="AS2570" s="4965"/>
      <c r="AT2570" s="4965"/>
      <c r="AU2570" s="4965"/>
      <c r="AV2570" s="4965"/>
      <c r="AW2570" s="4965"/>
      <c r="AX2570" s="4967"/>
    </row>
    <row r="2571" s="61" customFormat="1" spans="1:50">
      <c r="A2571" s="3129"/>
      <c r="B2571" s="4886"/>
      <c r="C2571" s="4887"/>
      <c r="D2571" s="6"/>
      <c r="E2571" s="4893"/>
      <c r="F2571" s="4894"/>
      <c r="G2571" s="4895"/>
      <c r="H2571" s="4894"/>
      <c r="I2571" s="4895"/>
      <c r="J2571" s="4895"/>
      <c r="K2571" s="4902"/>
      <c r="L2571" s="4895"/>
      <c r="M2571" s="4896">
        <v>4</v>
      </c>
      <c r="N2571" s="1485" t="s">
        <v>6925</v>
      </c>
      <c r="O2571" s="4912">
        <v>0.2</v>
      </c>
      <c r="P2571" s="3026">
        <f>K2562*O2571</f>
        <v>9644</v>
      </c>
      <c r="Q2571" s="4927">
        <v>9644</v>
      </c>
      <c r="R2571" s="4928" t="s">
        <v>4603</v>
      </c>
      <c r="S2571" s="4929">
        <v>45960</v>
      </c>
      <c r="T2571" s="4927">
        <v>9644</v>
      </c>
      <c r="U2571" s="4929">
        <v>45960</v>
      </c>
      <c r="V2571" s="4927">
        <v>9644</v>
      </c>
      <c r="W2571" s="4929">
        <v>45976</v>
      </c>
      <c r="X2571" s="4939">
        <v>9644</v>
      </c>
      <c r="Y2571" s="4951">
        <v>46021</v>
      </c>
      <c r="Z2571" s="3026"/>
      <c r="AA2571" s="3026"/>
      <c r="AB2571" s="3026"/>
      <c r="AC2571" s="3026"/>
      <c r="AD2571" s="3026"/>
      <c r="AE2571" s="3026"/>
      <c r="AF2571" s="3026"/>
      <c r="AG2571" s="3026"/>
      <c r="AH2571" s="3026"/>
      <c r="AI2571" s="3082"/>
      <c r="AJ2571" s="4965"/>
      <c r="AK2571" s="4965"/>
      <c r="AL2571" s="4965"/>
      <c r="AM2571" s="4965"/>
      <c r="AN2571" s="4965"/>
      <c r="AO2571" s="4965"/>
      <c r="AP2571" s="4965"/>
      <c r="AQ2571" s="4965"/>
      <c r="AR2571" s="4965"/>
      <c r="AS2571" s="4965"/>
      <c r="AT2571" s="4965"/>
      <c r="AU2571" s="4965"/>
      <c r="AV2571" s="4965"/>
      <c r="AW2571" s="4965"/>
      <c r="AX2571" s="4967"/>
    </row>
    <row r="2572" s="61" customFormat="1" spans="1:50">
      <c r="A2572" s="4888"/>
      <c r="B2572" s="4886"/>
      <c r="C2572" s="4889"/>
      <c r="D2572" s="6"/>
      <c r="E2572" s="4896"/>
      <c r="F2572" s="4894"/>
      <c r="G2572" s="4895"/>
      <c r="H2572" s="4894"/>
      <c r="I2572" s="4895"/>
      <c r="J2572" s="4895"/>
      <c r="K2572" s="4902"/>
      <c r="L2572" s="4895"/>
      <c r="M2572" s="4914"/>
      <c r="N2572" s="4914"/>
      <c r="O2572" s="4915"/>
      <c r="P2572" s="3028"/>
      <c r="Q2572" s="3085"/>
      <c r="R2572" s="3085"/>
      <c r="S2572" s="3086"/>
      <c r="T2572" s="3085"/>
      <c r="U2572" s="3086"/>
      <c r="V2572" s="3085"/>
      <c r="W2572" s="3086"/>
      <c r="X2572" s="3087"/>
      <c r="Y2572" s="3089"/>
      <c r="Z2572" s="3028"/>
      <c r="AA2572" s="3028"/>
      <c r="AB2572" s="3028"/>
      <c r="AC2572" s="3028"/>
      <c r="AD2572" s="3028"/>
      <c r="AE2572" s="3028"/>
      <c r="AF2572" s="3028"/>
      <c r="AG2572" s="3028"/>
      <c r="AH2572" s="3028"/>
      <c r="AI2572" s="3082"/>
      <c r="AJ2572" s="4965"/>
      <c r="AK2572" s="4965"/>
      <c r="AL2572" s="4965"/>
      <c r="AM2572" s="4965"/>
      <c r="AN2572" s="4965"/>
      <c r="AO2572" s="4965"/>
      <c r="AP2572" s="4965"/>
      <c r="AQ2572" s="4965"/>
      <c r="AR2572" s="4965"/>
      <c r="AS2572" s="4965"/>
      <c r="AT2572" s="4965"/>
      <c r="AU2572" s="4965"/>
      <c r="AV2572" s="4965"/>
      <c r="AW2572" s="4965"/>
      <c r="AX2572" s="4967"/>
    </row>
    <row r="2573" s="62" customFormat="1" spans="1:50">
      <c r="A2573" s="745" t="s">
        <v>2570</v>
      </c>
      <c r="B2573" s="4064">
        <v>45441</v>
      </c>
      <c r="C2573" s="635" t="s">
        <v>6861</v>
      </c>
      <c r="D2573" s="3468"/>
      <c r="E2573" s="636" t="s">
        <v>7672</v>
      </c>
      <c r="F2573" s="636" t="s">
        <v>7673</v>
      </c>
      <c r="G2573" s="745" t="s">
        <v>813</v>
      </c>
      <c r="H2573" s="636" t="s">
        <v>6980</v>
      </c>
      <c r="I2573" s="2995"/>
      <c r="J2573" s="745" t="s">
        <v>997</v>
      </c>
      <c r="K2573" s="2963">
        <v>241140</v>
      </c>
      <c r="L2573" s="745" t="s">
        <v>126</v>
      </c>
      <c r="M2573" s="4021">
        <v>1</v>
      </c>
      <c r="N2573" s="639" t="s">
        <v>7674</v>
      </c>
      <c r="O2573" s="4916">
        <v>0.15</v>
      </c>
      <c r="P2573" s="2905">
        <f>K2573*O2573</f>
        <v>36171</v>
      </c>
      <c r="Q2573" s="2905">
        <v>36171</v>
      </c>
      <c r="R2573" s="4935" t="s">
        <v>4603</v>
      </c>
      <c r="S2573" s="3989">
        <v>45583</v>
      </c>
      <c r="T2573" s="2905">
        <v>36171</v>
      </c>
      <c r="U2573" s="3989">
        <v>45583</v>
      </c>
      <c r="V2573" s="2905">
        <v>36171</v>
      </c>
      <c r="W2573" s="3989">
        <v>45586</v>
      </c>
      <c r="X2573" s="2905">
        <v>36171</v>
      </c>
      <c r="Y2573" s="3450">
        <v>45596</v>
      </c>
      <c r="Z2573" s="2905"/>
      <c r="AA2573" s="2905"/>
      <c r="AB2573" s="2905"/>
      <c r="AC2573" s="2905"/>
      <c r="AD2573" s="2905"/>
      <c r="AE2573" s="2905"/>
      <c r="AF2573" s="2905"/>
      <c r="AG2573" s="2905"/>
      <c r="AH2573" s="2905"/>
      <c r="AI2573" s="3420"/>
      <c r="AJ2573" s="4965"/>
      <c r="AK2573" s="4965"/>
      <c r="AL2573" s="4965"/>
      <c r="AM2573" s="4965"/>
      <c r="AN2573" s="4965"/>
      <c r="AO2573" s="4965"/>
      <c r="AP2573" s="4965"/>
      <c r="AQ2573" s="4965"/>
      <c r="AR2573" s="4965"/>
      <c r="AS2573" s="4965"/>
      <c r="AT2573" s="4965"/>
      <c r="AU2573" s="4965"/>
      <c r="AV2573" s="4965"/>
      <c r="AW2573" s="4965"/>
      <c r="AX2573" s="4968"/>
    </row>
    <row r="2574" s="62" customFormat="1" spans="1:50">
      <c r="A2574" s="2995"/>
      <c r="B2574" s="4064"/>
      <c r="C2574" s="4890"/>
      <c r="D2574" s="3325"/>
      <c r="E2574" s="4023"/>
      <c r="F2574" s="4023"/>
      <c r="G2574" s="2995"/>
      <c r="H2574" s="4023"/>
      <c r="I2574" s="2995"/>
      <c r="J2574" s="2995"/>
      <c r="K2574" s="2963"/>
      <c r="L2574" s="2995"/>
      <c r="M2574" s="3263"/>
      <c r="N2574" s="3263"/>
      <c r="O2574" s="4917"/>
      <c r="P2574" s="2906"/>
      <c r="Q2574" s="2906"/>
      <c r="R2574" s="2906"/>
      <c r="S2574" s="3991"/>
      <c r="T2574" s="2906"/>
      <c r="U2574" s="3991"/>
      <c r="V2574" s="2906"/>
      <c r="W2574" s="3991"/>
      <c r="X2574" s="2906"/>
      <c r="Y2574" s="3447"/>
      <c r="Z2574" s="2906"/>
      <c r="AA2574" s="2906"/>
      <c r="AB2574" s="2906"/>
      <c r="AC2574" s="2906"/>
      <c r="AD2574" s="2906"/>
      <c r="AE2574" s="2906"/>
      <c r="AF2574" s="2906"/>
      <c r="AG2574" s="2906"/>
      <c r="AH2574" s="2906"/>
      <c r="AI2574" s="3420"/>
      <c r="AJ2574" s="4965"/>
      <c r="AK2574" s="4965"/>
      <c r="AL2574" s="4965"/>
      <c r="AM2574" s="4965"/>
      <c r="AN2574" s="4965"/>
      <c r="AO2574" s="4965"/>
      <c r="AP2574" s="4965"/>
      <c r="AQ2574" s="4965"/>
      <c r="AR2574" s="4965"/>
      <c r="AS2574" s="4965"/>
      <c r="AT2574" s="4965"/>
      <c r="AU2574" s="4965"/>
      <c r="AV2574" s="4965"/>
      <c r="AW2574" s="4965"/>
      <c r="AX2574" s="4968"/>
    </row>
    <row r="2575" s="62" customFormat="1" spans="1:50">
      <c r="A2575" s="2995"/>
      <c r="B2575" s="4064"/>
      <c r="C2575" s="4890"/>
      <c r="D2575" s="3325"/>
      <c r="E2575" s="4023"/>
      <c r="F2575" s="4023"/>
      <c r="G2575" s="2995"/>
      <c r="H2575" s="4023"/>
      <c r="I2575" s="2995"/>
      <c r="J2575" s="2995"/>
      <c r="K2575" s="2963"/>
      <c r="L2575" s="2995"/>
      <c r="M2575" s="4022"/>
      <c r="N2575" s="4022"/>
      <c r="O2575" s="4918"/>
      <c r="P2575" s="2908"/>
      <c r="Q2575" s="2908"/>
      <c r="R2575" s="2908"/>
      <c r="S2575" s="3993"/>
      <c r="T2575" s="2908"/>
      <c r="U2575" s="3993"/>
      <c r="V2575" s="2908"/>
      <c r="W2575" s="3993"/>
      <c r="X2575" s="2908"/>
      <c r="Y2575" s="3417"/>
      <c r="Z2575" s="2908"/>
      <c r="AA2575" s="2908"/>
      <c r="AB2575" s="2908"/>
      <c r="AC2575" s="2908"/>
      <c r="AD2575" s="2908"/>
      <c r="AE2575" s="2908"/>
      <c r="AF2575" s="2908"/>
      <c r="AG2575" s="2908"/>
      <c r="AH2575" s="2908"/>
      <c r="AI2575" s="3420"/>
      <c r="AJ2575" s="4965"/>
      <c r="AK2575" s="4965"/>
      <c r="AL2575" s="4965"/>
      <c r="AM2575" s="4965"/>
      <c r="AN2575" s="4965"/>
      <c r="AO2575" s="4965"/>
      <c r="AP2575" s="4965"/>
      <c r="AQ2575" s="4965"/>
      <c r="AR2575" s="4965"/>
      <c r="AS2575" s="4965"/>
      <c r="AT2575" s="4965"/>
      <c r="AU2575" s="4965"/>
      <c r="AV2575" s="4965"/>
      <c r="AW2575" s="4965"/>
      <c r="AX2575" s="4968"/>
    </row>
    <row r="2576" s="62" customFormat="1" spans="1:50">
      <c r="A2576" s="2995"/>
      <c r="B2576" s="4064"/>
      <c r="C2576" s="4890"/>
      <c r="D2576" s="3325"/>
      <c r="E2576" s="4023"/>
      <c r="F2576" s="4023"/>
      <c r="G2576" s="2995"/>
      <c r="H2576" s="4023"/>
      <c r="I2576" s="2995"/>
      <c r="J2576" s="2995"/>
      <c r="K2576" s="2963"/>
      <c r="L2576" s="2995"/>
      <c r="M2576" s="4021">
        <v>2</v>
      </c>
      <c r="N2576" s="639" t="s">
        <v>7675</v>
      </c>
      <c r="O2576" s="4916">
        <v>0.4</v>
      </c>
      <c r="P2576" s="2905">
        <f>K2573*O2576</f>
        <v>96456</v>
      </c>
      <c r="Q2576" s="2905">
        <v>96456</v>
      </c>
      <c r="R2576" s="4935" t="s">
        <v>4603</v>
      </c>
      <c r="S2576" s="3989">
        <v>45583</v>
      </c>
      <c r="T2576" s="2905">
        <v>96456</v>
      </c>
      <c r="U2576" s="3989">
        <v>45583</v>
      </c>
      <c r="V2576" s="2905">
        <v>96456</v>
      </c>
      <c r="W2576" s="3989">
        <v>45586</v>
      </c>
      <c r="X2576" s="4936">
        <v>50000</v>
      </c>
      <c r="Y2576" s="3994">
        <v>45681</v>
      </c>
      <c r="Z2576" s="2905"/>
      <c r="AA2576" s="2905"/>
      <c r="AB2576" s="2905"/>
      <c r="AC2576" s="2905"/>
      <c r="AD2576" s="2905"/>
      <c r="AE2576" s="2905"/>
      <c r="AF2576" s="2905"/>
      <c r="AG2576" s="2905"/>
      <c r="AH2576" s="2905"/>
      <c r="AI2576" s="3420"/>
      <c r="AJ2576" s="4965"/>
      <c r="AK2576" s="4965"/>
      <c r="AL2576" s="4965"/>
      <c r="AM2576" s="4965"/>
      <c r="AN2576" s="4965"/>
      <c r="AO2576" s="4965"/>
      <c r="AP2576" s="4965"/>
      <c r="AQ2576" s="4965"/>
      <c r="AR2576" s="4965"/>
      <c r="AS2576" s="4965"/>
      <c r="AT2576" s="4965"/>
      <c r="AU2576" s="4965"/>
      <c r="AV2576" s="4965"/>
      <c r="AW2576" s="4965"/>
      <c r="AX2576" s="4968"/>
    </row>
    <row r="2577" s="62" customFormat="1" spans="1:50">
      <c r="A2577" s="2995"/>
      <c r="B2577" s="4064"/>
      <c r="C2577" s="4890"/>
      <c r="D2577" s="3325"/>
      <c r="E2577" s="4023"/>
      <c r="F2577" s="4023"/>
      <c r="G2577" s="2995"/>
      <c r="H2577" s="4023"/>
      <c r="I2577" s="2995"/>
      <c r="J2577" s="2995"/>
      <c r="K2577" s="2963"/>
      <c r="L2577" s="2995"/>
      <c r="M2577" s="3263"/>
      <c r="N2577" s="3263"/>
      <c r="O2577" s="4917"/>
      <c r="P2577" s="2906"/>
      <c r="Q2577" s="2906"/>
      <c r="R2577" s="2906"/>
      <c r="S2577" s="3991"/>
      <c r="T2577" s="2906"/>
      <c r="U2577" s="3991"/>
      <c r="V2577" s="2906"/>
      <c r="W2577" s="3991"/>
      <c r="X2577" s="4937"/>
      <c r="Y2577" s="3997"/>
      <c r="Z2577" s="2906"/>
      <c r="AA2577" s="2906"/>
      <c r="AB2577" s="2906"/>
      <c r="AC2577" s="2906"/>
      <c r="AD2577" s="2906"/>
      <c r="AE2577" s="2906"/>
      <c r="AF2577" s="2906"/>
      <c r="AG2577" s="2906"/>
      <c r="AH2577" s="2906"/>
      <c r="AI2577" s="3420"/>
      <c r="AJ2577" s="4965"/>
      <c r="AK2577" s="4965"/>
      <c r="AL2577" s="4965"/>
      <c r="AM2577" s="4965"/>
      <c r="AN2577" s="4965"/>
      <c r="AO2577" s="4965"/>
      <c r="AP2577" s="4965"/>
      <c r="AQ2577" s="4965"/>
      <c r="AR2577" s="4965"/>
      <c r="AS2577" s="4965"/>
      <c r="AT2577" s="4965"/>
      <c r="AU2577" s="4965"/>
      <c r="AV2577" s="4965"/>
      <c r="AW2577" s="4965"/>
      <c r="AX2577" s="4968"/>
    </row>
    <row r="2578" s="62" customFormat="1" spans="1:50">
      <c r="A2578" s="2995"/>
      <c r="B2578" s="4064"/>
      <c r="C2578" s="4890"/>
      <c r="D2578" s="3325"/>
      <c r="E2578" s="4023"/>
      <c r="F2578" s="4023"/>
      <c r="G2578" s="2995"/>
      <c r="H2578" s="4023"/>
      <c r="I2578" s="2995"/>
      <c r="J2578" s="2995"/>
      <c r="K2578" s="2963"/>
      <c r="L2578" s="2995"/>
      <c r="M2578" s="3263"/>
      <c r="N2578" s="3263"/>
      <c r="O2578" s="4917"/>
      <c r="P2578" s="2906"/>
      <c r="Q2578" s="2906"/>
      <c r="R2578" s="2906"/>
      <c r="S2578" s="3991"/>
      <c r="T2578" s="2906"/>
      <c r="U2578" s="3991"/>
      <c r="V2578" s="2906"/>
      <c r="W2578" s="3991"/>
      <c r="X2578" s="4944">
        <v>46456</v>
      </c>
      <c r="Y2578" s="4956">
        <v>46021</v>
      </c>
      <c r="Z2578" s="2906"/>
      <c r="AA2578" s="2906"/>
      <c r="AB2578" s="2906"/>
      <c r="AC2578" s="2906"/>
      <c r="AD2578" s="2906"/>
      <c r="AE2578" s="2906"/>
      <c r="AF2578" s="2906"/>
      <c r="AG2578" s="2906"/>
      <c r="AH2578" s="2906"/>
      <c r="AI2578" s="3420"/>
      <c r="AJ2578" s="4965"/>
      <c r="AK2578" s="4965"/>
      <c r="AL2578" s="4965"/>
      <c r="AM2578" s="4965"/>
      <c r="AN2578" s="4965"/>
      <c r="AO2578" s="4965"/>
      <c r="AP2578" s="4965"/>
      <c r="AQ2578" s="4965"/>
      <c r="AR2578" s="4965"/>
      <c r="AS2578" s="4965"/>
      <c r="AT2578" s="4965"/>
      <c r="AU2578" s="4965"/>
      <c r="AV2578" s="4965"/>
      <c r="AW2578" s="4965"/>
      <c r="AX2578" s="4968"/>
    </row>
    <row r="2579" s="62" customFormat="1" spans="1:50">
      <c r="A2579" s="2995"/>
      <c r="B2579" s="4064"/>
      <c r="C2579" s="4890"/>
      <c r="D2579" s="3325"/>
      <c r="E2579" s="4023"/>
      <c r="F2579" s="4023"/>
      <c r="G2579" s="2995"/>
      <c r="H2579" s="4023"/>
      <c r="I2579" s="2995"/>
      <c r="J2579" s="2995"/>
      <c r="K2579" s="2963"/>
      <c r="L2579" s="2995"/>
      <c r="M2579" s="4022"/>
      <c r="N2579" s="4022"/>
      <c r="O2579" s="4918"/>
      <c r="P2579" s="2908"/>
      <c r="Q2579" s="2908"/>
      <c r="R2579" s="2908"/>
      <c r="S2579" s="3993"/>
      <c r="T2579" s="2908"/>
      <c r="U2579" s="3993"/>
      <c r="V2579" s="2908"/>
      <c r="W2579" s="3993"/>
      <c r="X2579" s="4945"/>
      <c r="Y2579" s="4957"/>
      <c r="Z2579" s="2908"/>
      <c r="AA2579" s="2908"/>
      <c r="AB2579" s="2908"/>
      <c r="AC2579" s="2908"/>
      <c r="AD2579" s="2908"/>
      <c r="AE2579" s="2908"/>
      <c r="AF2579" s="2908"/>
      <c r="AG2579" s="2908"/>
      <c r="AH2579" s="2908"/>
      <c r="AI2579" s="3420"/>
      <c r="AJ2579" s="4965"/>
      <c r="AK2579" s="4965"/>
      <c r="AL2579" s="4965"/>
      <c r="AM2579" s="4965"/>
      <c r="AN2579" s="4965"/>
      <c r="AO2579" s="4965"/>
      <c r="AP2579" s="4965"/>
      <c r="AQ2579" s="4965"/>
      <c r="AR2579" s="4965"/>
      <c r="AS2579" s="4965"/>
      <c r="AT2579" s="4965"/>
      <c r="AU2579" s="4965"/>
      <c r="AV2579" s="4965"/>
      <c r="AW2579" s="4965"/>
      <c r="AX2579" s="4968"/>
    </row>
    <row r="2580" s="62" customFormat="1" spans="1:50">
      <c r="A2580" s="2995"/>
      <c r="B2580" s="4064"/>
      <c r="C2580" s="4890"/>
      <c r="D2580" s="3325"/>
      <c r="E2580" s="4023"/>
      <c r="F2580" s="4023"/>
      <c r="G2580" s="2995"/>
      <c r="H2580" s="4023"/>
      <c r="I2580" s="2995"/>
      <c r="J2580" s="2995"/>
      <c r="K2580" s="2963"/>
      <c r="L2580" s="2995"/>
      <c r="M2580" s="4021">
        <v>3</v>
      </c>
      <c r="N2580" s="639" t="s">
        <v>7676</v>
      </c>
      <c r="O2580" s="4916">
        <v>0.35</v>
      </c>
      <c r="P2580" s="2905">
        <f>K2573*O2580</f>
        <v>84399</v>
      </c>
      <c r="Q2580" s="4936">
        <v>84399</v>
      </c>
      <c r="R2580" s="4935" t="s">
        <v>4603</v>
      </c>
      <c r="S2580" s="4427">
        <v>45974</v>
      </c>
      <c r="T2580" s="4936">
        <v>84399</v>
      </c>
      <c r="U2580" s="4938">
        <v>45974</v>
      </c>
      <c r="V2580" s="4936">
        <v>84399</v>
      </c>
      <c r="W2580" s="4938">
        <v>45979</v>
      </c>
      <c r="X2580" s="4946">
        <v>84399</v>
      </c>
      <c r="Y2580" s="4958">
        <v>46021</v>
      </c>
      <c r="Z2580" s="2905"/>
      <c r="AA2580" s="2905"/>
      <c r="AB2580" s="2905"/>
      <c r="AC2580" s="2905"/>
      <c r="AD2580" s="2905"/>
      <c r="AE2580" s="2905"/>
      <c r="AF2580" s="2905"/>
      <c r="AG2580" s="2905"/>
      <c r="AH2580" s="2905"/>
      <c r="AI2580" s="3420"/>
      <c r="AJ2580" s="4965"/>
      <c r="AK2580" s="4965"/>
      <c r="AL2580" s="4965"/>
      <c r="AM2580" s="4965"/>
      <c r="AN2580" s="4965"/>
      <c r="AO2580" s="4965"/>
      <c r="AP2580" s="4965"/>
      <c r="AQ2580" s="4965"/>
      <c r="AR2580" s="4965"/>
      <c r="AS2580" s="4965"/>
      <c r="AT2580" s="4965"/>
      <c r="AU2580" s="4965"/>
      <c r="AV2580" s="4965"/>
      <c r="AW2580" s="4965"/>
      <c r="AX2580" s="4968"/>
    </row>
    <row r="2581" s="62" customFormat="1" spans="1:50">
      <c r="A2581" s="2995"/>
      <c r="B2581" s="4064"/>
      <c r="C2581" s="4890"/>
      <c r="D2581" s="3325"/>
      <c r="E2581" s="4023"/>
      <c r="F2581" s="4023"/>
      <c r="G2581" s="2995"/>
      <c r="H2581" s="4023"/>
      <c r="I2581" s="2995"/>
      <c r="J2581" s="2995"/>
      <c r="K2581" s="2963"/>
      <c r="L2581" s="2995"/>
      <c r="M2581" s="3263"/>
      <c r="N2581" s="3263"/>
      <c r="O2581" s="4917"/>
      <c r="P2581" s="2906"/>
      <c r="Q2581" s="4937"/>
      <c r="R2581" s="4937"/>
      <c r="S2581" s="4427"/>
      <c r="T2581" s="4937"/>
      <c r="U2581" s="4947"/>
      <c r="V2581" s="4937"/>
      <c r="W2581" s="4947"/>
      <c r="X2581" s="4944"/>
      <c r="Y2581" s="4959"/>
      <c r="Z2581" s="2906"/>
      <c r="AA2581" s="2906"/>
      <c r="AB2581" s="2906"/>
      <c r="AC2581" s="2906"/>
      <c r="AD2581" s="2906"/>
      <c r="AE2581" s="2906"/>
      <c r="AF2581" s="2906"/>
      <c r="AG2581" s="2906"/>
      <c r="AH2581" s="2906"/>
      <c r="AI2581" s="3420"/>
      <c r="AJ2581" s="4965"/>
      <c r="AK2581" s="4965"/>
      <c r="AL2581" s="4965"/>
      <c r="AM2581" s="4965"/>
      <c r="AN2581" s="4965"/>
      <c r="AO2581" s="4965"/>
      <c r="AP2581" s="4965"/>
      <c r="AQ2581" s="4965"/>
      <c r="AR2581" s="4965"/>
      <c r="AS2581" s="4965"/>
      <c r="AT2581" s="4965"/>
      <c r="AU2581" s="4965"/>
      <c r="AV2581" s="4965"/>
      <c r="AW2581" s="4965"/>
      <c r="AX2581" s="4968"/>
    </row>
    <row r="2582" s="62" customFormat="1" spans="1:50">
      <c r="A2582" s="2995"/>
      <c r="B2582" s="4064"/>
      <c r="C2582" s="4890"/>
      <c r="D2582" s="3325"/>
      <c r="E2582" s="4023"/>
      <c r="F2582" s="4023"/>
      <c r="G2582" s="2995"/>
      <c r="H2582" s="4023"/>
      <c r="I2582" s="2995"/>
      <c r="J2582" s="2995"/>
      <c r="K2582" s="2963"/>
      <c r="L2582" s="2995"/>
      <c r="M2582" s="4022"/>
      <c r="N2582" s="4022"/>
      <c r="O2582" s="4918"/>
      <c r="P2582" s="2908"/>
      <c r="Q2582" s="3381"/>
      <c r="R2582" s="3381"/>
      <c r="S2582" s="4388"/>
      <c r="T2582" s="3381"/>
      <c r="U2582" s="3415"/>
      <c r="V2582" s="3381"/>
      <c r="W2582" s="3415"/>
      <c r="X2582" s="4945"/>
      <c r="Y2582" s="4960"/>
      <c r="Z2582" s="2908"/>
      <c r="AA2582" s="2908"/>
      <c r="AB2582" s="2908"/>
      <c r="AC2582" s="2908"/>
      <c r="AD2582" s="2908"/>
      <c r="AE2582" s="2908"/>
      <c r="AF2582" s="2908"/>
      <c r="AG2582" s="2908"/>
      <c r="AH2582" s="2908"/>
      <c r="AI2582" s="3420"/>
      <c r="AJ2582" s="4965"/>
      <c r="AK2582" s="4965"/>
      <c r="AL2582" s="4965"/>
      <c r="AM2582" s="4965"/>
      <c r="AN2582" s="4965"/>
      <c r="AO2582" s="4965"/>
      <c r="AP2582" s="4965"/>
      <c r="AQ2582" s="4965"/>
      <c r="AR2582" s="4965"/>
      <c r="AS2582" s="4965"/>
      <c r="AT2582" s="4965"/>
      <c r="AU2582" s="4965"/>
      <c r="AV2582" s="4965"/>
      <c r="AW2582" s="4965"/>
      <c r="AX2582" s="4968"/>
    </row>
    <row r="2583" s="62" customFormat="1" spans="1:50">
      <c r="A2583" s="2995"/>
      <c r="B2583" s="4064"/>
      <c r="C2583" s="4890"/>
      <c r="D2583" s="3325"/>
      <c r="E2583" s="4023"/>
      <c r="F2583" s="4023"/>
      <c r="G2583" s="2995"/>
      <c r="H2583" s="4023"/>
      <c r="I2583" s="2995"/>
      <c r="J2583" s="2995"/>
      <c r="K2583" s="2963"/>
      <c r="L2583" s="2995"/>
      <c r="M2583" s="4021">
        <v>4</v>
      </c>
      <c r="N2583" s="639" t="s">
        <v>7677</v>
      </c>
      <c r="O2583" s="4916">
        <v>0.1</v>
      </c>
      <c r="P2583" s="2905">
        <f>K2573*O2583</f>
        <v>24114</v>
      </c>
      <c r="Q2583" s="4936">
        <v>24114</v>
      </c>
      <c r="R2583" s="4935" t="s">
        <v>4603</v>
      </c>
      <c r="S2583" s="4938">
        <v>45974</v>
      </c>
      <c r="T2583" s="4936">
        <v>24114</v>
      </c>
      <c r="U2583" s="4938">
        <v>45974</v>
      </c>
      <c r="V2583" s="4936">
        <v>24114</v>
      </c>
      <c r="W2583" s="4938">
        <v>45979</v>
      </c>
      <c r="X2583" s="4946">
        <v>24114</v>
      </c>
      <c r="Y2583" s="4958">
        <v>46021</v>
      </c>
      <c r="Z2583" s="2905"/>
      <c r="AA2583" s="2905"/>
      <c r="AB2583" s="2905"/>
      <c r="AC2583" s="2905"/>
      <c r="AD2583" s="2905"/>
      <c r="AE2583" s="2905"/>
      <c r="AF2583" s="2905"/>
      <c r="AG2583" s="2905"/>
      <c r="AH2583" s="2905"/>
      <c r="AI2583" s="3420"/>
      <c r="AJ2583" s="4965"/>
      <c r="AK2583" s="4965"/>
      <c r="AL2583" s="4965"/>
      <c r="AM2583" s="4965"/>
      <c r="AN2583" s="4965"/>
      <c r="AO2583" s="4965"/>
      <c r="AP2583" s="4965"/>
      <c r="AQ2583" s="4965"/>
      <c r="AR2583" s="4965"/>
      <c r="AS2583" s="4965"/>
      <c r="AT2583" s="4965"/>
      <c r="AU2583" s="4965"/>
      <c r="AV2583" s="4965"/>
      <c r="AW2583" s="4965"/>
      <c r="AX2583" s="4968"/>
    </row>
    <row r="2584" s="62" customFormat="1" spans="1:50">
      <c r="A2584" s="2995"/>
      <c r="B2584" s="4064"/>
      <c r="C2584" s="4890"/>
      <c r="D2584" s="3465"/>
      <c r="E2584" s="4023"/>
      <c r="F2584" s="4023"/>
      <c r="G2584" s="2995"/>
      <c r="H2584" s="4023"/>
      <c r="I2584" s="2995"/>
      <c r="J2584" s="2995"/>
      <c r="K2584" s="2963"/>
      <c r="L2584" s="2995"/>
      <c r="M2584" s="4022"/>
      <c r="N2584" s="4022"/>
      <c r="O2584" s="4918"/>
      <c r="P2584" s="2908"/>
      <c r="Q2584" s="3381"/>
      <c r="R2584" s="3381"/>
      <c r="S2584" s="3415"/>
      <c r="T2584" s="3381"/>
      <c r="U2584" s="3415"/>
      <c r="V2584" s="3381"/>
      <c r="W2584" s="3415"/>
      <c r="X2584" s="4945"/>
      <c r="Y2584" s="4960"/>
      <c r="Z2584" s="2908"/>
      <c r="AA2584" s="2908"/>
      <c r="AB2584" s="2908"/>
      <c r="AC2584" s="2908"/>
      <c r="AD2584" s="2908"/>
      <c r="AE2584" s="2908"/>
      <c r="AF2584" s="2908"/>
      <c r="AG2584" s="2908"/>
      <c r="AH2584" s="2908"/>
      <c r="AI2584" s="3420"/>
      <c r="AJ2584" s="4965"/>
      <c r="AK2584" s="4965"/>
      <c r="AL2584" s="4965"/>
      <c r="AM2584" s="4965"/>
      <c r="AN2584" s="4965"/>
      <c r="AO2584" s="4965"/>
      <c r="AP2584" s="4965"/>
      <c r="AQ2584" s="4965"/>
      <c r="AR2584" s="4965"/>
      <c r="AS2584" s="4965"/>
      <c r="AT2584" s="4965"/>
      <c r="AU2584" s="4965"/>
      <c r="AV2584" s="4965"/>
      <c r="AW2584" s="4965"/>
      <c r="AX2584" s="4968"/>
    </row>
    <row r="2585" s="1" customFormat="1" ht="48" customHeight="1" spans="1:35">
      <c r="A2585" s="149" t="s">
        <v>1186</v>
      </c>
      <c r="B2585" s="3498">
        <v>45996</v>
      </c>
      <c r="C2585" s="649" t="s">
        <v>1945</v>
      </c>
      <c r="D2585" s="3511"/>
      <c r="E2585" s="647" t="s">
        <v>7678</v>
      </c>
      <c r="F2585" s="647" t="s">
        <v>7679</v>
      </c>
      <c r="G2585" s="149" t="s">
        <v>3569</v>
      </c>
      <c r="H2585" s="647" t="s">
        <v>7613</v>
      </c>
      <c r="I2585" s="3510"/>
      <c r="J2585" s="647" t="s">
        <v>7680</v>
      </c>
      <c r="K2585" s="4087">
        <v>2994930.18</v>
      </c>
      <c r="L2585" s="3510" t="s">
        <v>126</v>
      </c>
      <c r="M2585" s="1067">
        <v>1</v>
      </c>
      <c r="N2585" s="179" t="s">
        <v>3320</v>
      </c>
      <c r="O2585" s="4919">
        <v>0.2</v>
      </c>
      <c r="P2585" s="3539">
        <f>K2585*O2585</f>
        <v>598986.036</v>
      </c>
      <c r="Q2585" s="3829"/>
      <c r="R2585" s="3829"/>
      <c r="S2585" s="3578"/>
      <c r="T2585" s="3829"/>
      <c r="U2585" s="3578"/>
      <c r="V2585" s="3829"/>
      <c r="W2585" s="3578"/>
      <c r="X2585" s="4948"/>
      <c r="Y2585" s="4961"/>
      <c r="Z2585" s="3539"/>
      <c r="AA2585" s="3539"/>
      <c r="AB2585" s="3539"/>
      <c r="AC2585" s="3539"/>
      <c r="AD2585" s="3539"/>
      <c r="AE2585" s="3539"/>
      <c r="AF2585" s="3539"/>
      <c r="AG2585" s="3539"/>
      <c r="AH2585" s="3539"/>
      <c r="AI2585" s="3536"/>
    </row>
    <row r="2586" s="1" customFormat="1" ht="48" customHeight="1" spans="1:35">
      <c r="A2586" s="151"/>
      <c r="B2586" s="3499"/>
      <c r="C2586" s="653"/>
      <c r="D2586" s="3511"/>
      <c r="E2586" s="651"/>
      <c r="F2586" s="651"/>
      <c r="G2586" s="151"/>
      <c r="H2586" s="651"/>
      <c r="I2586" s="3511"/>
      <c r="J2586" s="651"/>
      <c r="K2586" s="4088"/>
      <c r="L2586" s="3511"/>
      <c r="M2586" s="3504">
        <v>2</v>
      </c>
      <c r="N2586" s="4920" t="s">
        <v>3321</v>
      </c>
      <c r="O2586" s="4919">
        <v>0.2</v>
      </c>
      <c r="P2586" s="3539">
        <f>K2585*O2586</f>
        <v>598986.036</v>
      </c>
      <c r="Q2586" s="3539"/>
      <c r="R2586" s="3522"/>
      <c r="S2586" s="3522"/>
      <c r="T2586" s="3539"/>
      <c r="U2586" s="3522"/>
      <c r="V2586" s="3522"/>
      <c r="W2586" s="3522"/>
      <c r="X2586" s="3539"/>
      <c r="Y2586" s="3522"/>
      <c r="Z2586" s="4962"/>
      <c r="AA2586" s="3522"/>
      <c r="AB2586" s="4963"/>
      <c r="AC2586" s="4963"/>
      <c r="AD2586" s="4963"/>
      <c r="AE2586" s="4963"/>
      <c r="AF2586" s="4963"/>
      <c r="AG2586" s="4963"/>
      <c r="AH2586" s="4963"/>
      <c r="AI2586" s="23"/>
    </row>
    <row r="2587" s="1" customFormat="1" ht="48" customHeight="1" spans="1:35">
      <c r="A2587" s="151"/>
      <c r="B2587" s="3499"/>
      <c r="C2587" s="653"/>
      <c r="D2587" s="3511"/>
      <c r="E2587" s="651"/>
      <c r="F2587" s="651"/>
      <c r="G2587" s="151"/>
      <c r="H2587" s="651"/>
      <c r="I2587" s="3511"/>
      <c r="J2587" s="651"/>
      <c r="K2587" s="4088"/>
      <c r="L2587" s="3511"/>
      <c r="M2587" s="3504">
        <v>3</v>
      </c>
      <c r="N2587" s="4920" t="s">
        <v>3322</v>
      </c>
      <c r="O2587" s="4919">
        <v>0.2</v>
      </c>
      <c r="P2587" s="3539">
        <f>K2585*O2587</f>
        <v>598986.036</v>
      </c>
      <c r="Q2587" s="3539"/>
      <c r="R2587" s="3522"/>
      <c r="S2587" s="3522"/>
      <c r="T2587" s="3539"/>
      <c r="U2587" s="3522"/>
      <c r="V2587" s="3522"/>
      <c r="W2587" s="3522"/>
      <c r="X2587" s="3539"/>
      <c r="Y2587" s="3522"/>
      <c r="Z2587" s="4962"/>
      <c r="AA2587" s="3522"/>
      <c r="AB2587" s="4963"/>
      <c r="AC2587" s="4963"/>
      <c r="AD2587" s="4963"/>
      <c r="AE2587" s="4963"/>
      <c r="AF2587" s="4963"/>
      <c r="AG2587" s="4963"/>
      <c r="AH2587" s="4963"/>
      <c r="AI2587" s="23"/>
    </row>
    <row r="2588" s="1" customFormat="1" ht="48" customHeight="1" spans="1:35">
      <c r="A2588" s="151"/>
      <c r="B2588" s="3499"/>
      <c r="C2588" s="653"/>
      <c r="D2588" s="3511"/>
      <c r="E2588" s="651"/>
      <c r="F2588" s="651"/>
      <c r="G2588" s="151"/>
      <c r="H2588" s="651"/>
      <c r="I2588" s="3511"/>
      <c r="J2588" s="651"/>
      <c r="K2588" s="4088"/>
      <c r="L2588" s="3511"/>
      <c r="M2588" s="3504">
        <v>4</v>
      </c>
      <c r="N2588" s="4920" t="s">
        <v>5166</v>
      </c>
      <c r="O2588" s="4919">
        <v>0.15</v>
      </c>
      <c r="P2588" s="3539">
        <f>O2588*K2585</f>
        <v>449239.527</v>
      </c>
      <c r="Q2588" s="3539"/>
      <c r="R2588" s="3522"/>
      <c r="S2588" s="3522"/>
      <c r="T2588" s="3539"/>
      <c r="U2588" s="3522"/>
      <c r="V2588" s="3522"/>
      <c r="W2588" s="3522"/>
      <c r="X2588" s="3539"/>
      <c r="Y2588" s="3522"/>
      <c r="Z2588" s="4962"/>
      <c r="AA2588" s="3522"/>
      <c r="AB2588" s="4963"/>
      <c r="AC2588" s="4963"/>
      <c r="AD2588" s="4963"/>
      <c r="AE2588" s="4963"/>
      <c r="AF2588" s="4963"/>
      <c r="AG2588" s="4963"/>
      <c r="AH2588" s="4963"/>
      <c r="AI2588" s="23"/>
    </row>
    <row r="2589" s="1" customFormat="1" ht="48" customHeight="1" spans="1:35">
      <c r="A2589" s="151"/>
      <c r="B2589" s="3499"/>
      <c r="C2589" s="653"/>
      <c r="D2589" s="3511"/>
      <c r="E2589" s="651"/>
      <c r="F2589" s="651"/>
      <c r="G2589" s="151"/>
      <c r="H2589" s="651"/>
      <c r="I2589" s="3511"/>
      <c r="J2589" s="651"/>
      <c r="K2589" s="4088"/>
      <c r="L2589" s="3511"/>
      <c r="M2589" s="3504">
        <v>5</v>
      </c>
      <c r="N2589" s="4920" t="s">
        <v>5167</v>
      </c>
      <c r="O2589" s="4919">
        <v>0.15</v>
      </c>
      <c r="P2589" s="3539">
        <f>O2589*K2585</f>
        <v>449239.527</v>
      </c>
      <c r="Q2589" s="3539"/>
      <c r="R2589" s="3522"/>
      <c r="S2589" s="3522"/>
      <c r="T2589" s="3539"/>
      <c r="U2589" s="3522"/>
      <c r="V2589" s="3522"/>
      <c r="W2589" s="3522"/>
      <c r="X2589" s="3539"/>
      <c r="Y2589" s="3522"/>
      <c r="Z2589" s="4962"/>
      <c r="AA2589" s="3522"/>
      <c r="AB2589" s="4963"/>
      <c r="AC2589" s="4963"/>
      <c r="AD2589" s="4963"/>
      <c r="AE2589" s="4963"/>
      <c r="AF2589" s="4963"/>
      <c r="AG2589" s="4963"/>
      <c r="AH2589" s="4963"/>
      <c r="AI2589" s="23"/>
    </row>
    <row r="2590" s="1" customFormat="1" ht="48" customHeight="1" spans="1:35">
      <c r="A2590" s="151"/>
      <c r="B2590" s="3499"/>
      <c r="C2590" s="653"/>
      <c r="D2590" s="3511"/>
      <c r="E2590" s="651"/>
      <c r="F2590" s="651"/>
      <c r="G2590" s="151"/>
      <c r="H2590" s="651"/>
      <c r="I2590" s="3511"/>
      <c r="J2590" s="651"/>
      <c r="K2590" s="4088"/>
      <c r="L2590" s="3511"/>
      <c r="M2590" s="1067" t="s">
        <v>6237</v>
      </c>
      <c r="N2590" s="4920" t="s">
        <v>3325</v>
      </c>
      <c r="O2590" s="4919">
        <v>0.1</v>
      </c>
      <c r="P2590" s="3539">
        <f>O2590*K2585</f>
        <v>299493.018</v>
      </c>
      <c r="Q2590" s="3539"/>
      <c r="R2590" s="3522"/>
      <c r="S2590" s="3522"/>
      <c r="T2590" s="3539"/>
      <c r="U2590" s="3522"/>
      <c r="V2590" s="3522"/>
      <c r="W2590" s="3522"/>
      <c r="X2590" s="3539"/>
      <c r="Y2590" s="3522"/>
      <c r="Z2590" s="4962"/>
      <c r="AA2590" s="3522"/>
      <c r="AB2590" s="4963"/>
      <c r="AC2590" s="4963"/>
      <c r="AD2590" s="4963"/>
      <c r="AE2590" s="4963"/>
      <c r="AF2590" s="4963"/>
      <c r="AG2590" s="4963"/>
      <c r="AH2590" s="4963"/>
      <c r="AI2590" s="23"/>
    </row>
    <row r="2591" s="1" customFormat="1" ht="73.25" customHeight="1" spans="1:35">
      <c r="A2591" s="149" t="s">
        <v>1186</v>
      </c>
      <c r="B2591" s="3442">
        <v>45996</v>
      </c>
      <c r="C2591" s="649" t="s">
        <v>1945</v>
      </c>
      <c r="D2591" s="3510"/>
      <c r="E2591" s="647" t="s">
        <v>7681</v>
      </c>
      <c r="F2591" s="647" t="s">
        <v>7682</v>
      </c>
      <c r="G2591" s="149" t="s">
        <v>813</v>
      </c>
      <c r="H2591" s="647" t="s">
        <v>5074</v>
      </c>
      <c r="I2591" s="149" t="s">
        <v>7683</v>
      </c>
      <c r="J2591" s="647" t="s">
        <v>7684</v>
      </c>
      <c r="K2591" s="4087">
        <v>4400000</v>
      </c>
      <c r="L2591" s="149" t="s">
        <v>126</v>
      </c>
      <c r="M2591" s="1096">
        <v>1</v>
      </c>
      <c r="N2591" s="4921" t="s">
        <v>7685</v>
      </c>
      <c r="O2591" s="4922">
        <v>0.15</v>
      </c>
      <c r="P2591" s="3536">
        <f>K2591*O2591</f>
        <v>660000</v>
      </c>
      <c r="Q2591" s="3536"/>
      <c r="R2591" s="3476"/>
      <c r="S2591" s="3476"/>
      <c r="T2591" s="3536"/>
      <c r="U2591" s="3476"/>
      <c r="V2591" s="3476"/>
      <c r="W2591" s="3476"/>
      <c r="X2591" s="3536"/>
      <c r="Y2591" s="3476"/>
      <c r="Z2591" s="4964"/>
      <c r="AA2591" s="3476"/>
      <c r="AB2591" s="23"/>
      <c r="AC2591" s="23"/>
      <c r="AD2591" s="23"/>
      <c r="AE2591" s="23"/>
      <c r="AF2591" s="23"/>
      <c r="AG2591" s="23"/>
      <c r="AH2591" s="23"/>
      <c r="AI2591" s="23"/>
    </row>
    <row r="2592" s="1" customFormat="1" ht="40" customHeight="1" spans="1:35">
      <c r="A2592" s="151"/>
      <c r="B2592" s="4795"/>
      <c r="C2592" s="653"/>
      <c r="D2592" s="3511"/>
      <c r="E2592" s="651"/>
      <c r="F2592" s="651"/>
      <c r="G2592" s="151"/>
      <c r="H2592" s="651"/>
      <c r="I2592" s="3511"/>
      <c r="J2592" s="3501"/>
      <c r="K2592" s="4088"/>
      <c r="L2592" s="151"/>
      <c r="M2592" s="1096">
        <v>2</v>
      </c>
      <c r="N2592" s="4921" t="s">
        <v>7686</v>
      </c>
      <c r="O2592" s="4922">
        <v>0.25</v>
      </c>
      <c r="P2592" s="3536">
        <f>O2592*K2591</f>
        <v>1100000</v>
      </c>
      <c r="Q2592" s="3536"/>
      <c r="R2592" s="3476"/>
      <c r="S2592" s="3476"/>
      <c r="T2592" s="3536"/>
      <c r="U2592" s="3476"/>
      <c r="V2592" s="3476"/>
      <c r="W2592" s="3476"/>
      <c r="X2592" s="3536"/>
      <c r="Y2592" s="3476"/>
      <c r="Z2592" s="4964"/>
      <c r="AA2592" s="3476"/>
      <c r="AB2592" s="23"/>
      <c r="AC2592" s="23"/>
      <c r="AD2592" s="23"/>
      <c r="AE2592" s="23"/>
      <c r="AF2592" s="23"/>
      <c r="AG2592" s="23"/>
      <c r="AH2592" s="23"/>
      <c r="AI2592" s="23"/>
    </row>
    <row r="2593" s="1" customFormat="1" ht="50.2" customHeight="1" spans="1:35">
      <c r="A2593" s="151"/>
      <c r="B2593" s="4795"/>
      <c r="C2593" s="653"/>
      <c r="D2593" s="3511"/>
      <c r="E2593" s="651"/>
      <c r="F2593" s="651"/>
      <c r="G2593" s="151"/>
      <c r="H2593" s="651"/>
      <c r="I2593" s="3511"/>
      <c r="J2593" s="3501"/>
      <c r="K2593" s="4088"/>
      <c r="L2593" s="151"/>
      <c r="M2593" s="1096">
        <v>3</v>
      </c>
      <c r="N2593" s="4921" t="s">
        <v>7687</v>
      </c>
      <c r="O2593" s="4922">
        <v>0.1</v>
      </c>
      <c r="P2593" s="3536">
        <f>K2591*O2593</f>
        <v>440000</v>
      </c>
      <c r="Q2593" s="3536"/>
      <c r="R2593" s="3476"/>
      <c r="S2593" s="3476"/>
      <c r="T2593" s="3536"/>
      <c r="U2593" s="3476"/>
      <c r="V2593" s="3476"/>
      <c r="W2593" s="3476"/>
      <c r="X2593" s="3536"/>
      <c r="Y2593" s="3476"/>
      <c r="Z2593" s="4964"/>
      <c r="AA2593" s="3476"/>
      <c r="AB2593" s="23"/>
      <c r="AC2593" s="23"/>
      <c r="AD2593" s="23"/>
      <c r="AE2593" s="23"/>
      <c r="AF2593" s="23"/>
      <c r="AG2593" s="23"/>
      <c r="AH2593" s="23"/>
      <c r="AI2593" s="23"/>
    </row>
    <row r="2594" s="1" customFormat="1" ht="40" customHeight="1" spans="1:35">
      <c r="A2594" s="151"/>
      <c r="B2594" s="4795"/>
      <c r="C2594" s="653"/>
      <c r="D2594" s="3511"/>
      <c r="E2594" s="651"/>
      <c r="F2594" s="651"/>
      <c r="G2594" s="151"/>
      <c r="H2594" s="651"/>
      <c r="I2594" s="3511"/>
      <c r="J2594" s="3501"/>
      <c r="K2594" s="4088"/>
      <c r="L2594" s="151"/>
      <c r="M2594" s="1096">
        <v>4</v>
      </c>
      <c r="N2594" s="4921" t="s">
        <v>7688</v>
      </c>
      <c r="O2594" s="4922">
        <v>0.3</v>
      </c>
      <c r="P2594" s="3536">
        <f>K2591*O2594</f>
        <v>1320000</v>
      </c>
      <c r="Q2594" s="3536"/>
      <c r="R2594" s="3476"/>
      <c r="S2594" s="3476"/>
      <c r="T2594" s="3536"/>
      <c r="U2594" s="3476"/>
      <c r="V2594" s="3476"/>
      <c r="W2594" s="3476"/>
      <c r="X2594" s="3536"/>
      <c r="Y2594" s="3476"/>
      <c r="Z2594" s="4964"/>
      <c r="AA2594" s="3476"/>
      <c r="AB2594" s="23"/>
      <c r="AC2594" s="23"/>
      <c r="AD2594" s="23"/>
      <c r="AE2594" s="23"/>
      <c r="AF2594" s="23"/>
      <c r="AG2594" s="23"/>
      <c r="AH2594" s="23"/>
      <c r="AI2594" s="23"/>
    </row>
    <row r="2595" s="1" customFormat="1" ht="40" customHeight="1" spans="1:35">
      <c r="A2595" s="151"/>
      <c r="B2595" s="4795"/>
      <c r="C2595" s="653"/>
      <c r="D2595" s="3511"/>
      <c r="E2595" s="651"/>
      <c r="F2595" s="651"/>
      <c r="G2595" s="151"/>
      <c r="H2595" s="651"/>
      <c r="I2595" s="3511"/>
      <c r="J2595" s="3501"/>
      <c r="K2595" s="4088"/>
      <c r="L2595" s="151"/>
      <c r="M2595" s="1096">
        <v>5</v>
      </c>
      <c r="N2595" s="185" t="s">
        <v>7689</v>
      </c>
      <c r="O2595" s="4922">
        <v>0.1</v>
      </c>
      <c r="P2595" s="3536">
        <f>K2591*O2595</f>
        <v>440000</v>
      </c>
      <c r="Q2595" s="3536"/>
      <c r="R2595" s="3476"/>
      <c r="S2595" s="3476"/>
      <c r="T2595" s="3536"/>
      <c r="U2595" s="3476"/>
      <c r="V2595" s="3536"/>
      <c r="W2595" s="3476"/>
      <c r="X2595" s="3536"/>
      <c r="Y2595" s="3476"/>
      <c r="Z2595" s="4964"/>
      <c r="AA2595" s="3476"/>
      <c r="AB2595" s="23"/>
      <c r="AC2595" s="23"/>
      <c r="AD2595" s="23"/>
      <c r="AE2595" s="23"/>
      <c r="AF2595" s="23"/>
      <c r="AG2595" s="23"/>
      <c r="AH2595" s="23"/>
      <c r="AI2595" s="23"/>
    </row>
    <row r="2596" s="1" customFormat="1" ht="60" customHeight="1" spans="1:35">
      <c r="A2596" s="152"/>
      <c r="B2596" s="3444"/>
      <c r="C2596" s="4839"/>
      <c r="D2596" s="3522"/>
      <c r="E2596" s="1067"/>
      <c r="F2596" s="1067"/>
      <c r="G2596" s="152"/>
      <c r="H2596" s="1067"/>
      <c r="I2596" s="3522"/>
      <c r="J2596" s="3504"/>
      <c r="K2596" s="4903"/>
      <c r="L2596" s="152"/>
      <c r="M2596" s="127" t="s">
        <v>6237</v>
      </c>
      <c r="N2596" s="4921" t="s">
        <v>7690</v>
      </c>
      <c r="O2596" s="4922">
        <v>0.1</v>
      </c>
      <c r="P2596" s="3536">
        <f>O2596*K2591</f>
        <v>440000</v>
      </c>
      <c r="Q2596" s="3536"/>
      <c r="R2596" s="3476"/>
      <c r="S2596" s="3476"/>
      <c r="T2596" s="3536"/>
      <c r="U2596" s="3476"/>
      <c r="V2596" s="3536"/>
      <c r="W2596" s="3476"/>
      <c r="X2596" s="3536"/>
      <c r="Y2596" s="3476"/>
      <c r="Z2596" s="4964"/>
      <c r="AA2596" s="3476"/>
      <c r="AB2596" s="23"/>
      <c r="AC2596" s="23"/>
      <c r="AD2596" s="23"/>
      <c r="AE2596" s="23"/>
      <c r="AF2596" s="23"/>
      <c r="AG2596" s="23"/>
      <c r="AH2596" s="23"/>
      <c r="AI2596" s="23"/>
    </row>
    <row r="2597" s="1" customFormat="1" ht="50" customHeight="1" spans="1:35">
      <c r="A2597" s="149" t="s">
        <v>1186</v>
      </c>
      <c r="B2597" s="3727">
        <v>45994</v>
      </c>
      <c r="C2597" s="649" t="s">
        <v>1945</v>
      </c>
      <c r="D2597" s="3510"/>
      <c r="E2597" s="647" t="s">
        <v>7691</v>
      </c>
      <c r="F2597" s="647" t="s">
        <v>7692</v>
      </c>
      <c r="G2597" s="149" t="s">
        <v>813</v>
      </c>
      <c r="H2597" s="647" t="s">
        <v>5634</v>
      </c>
      <c r="I2597" s="3510"/>
      <c r="J2597" s="647" t="s">
        <v>7693</v>
      </c>
      <c r="K2597" s="4904">
        <v>825196</v>
      </c>
      <c r="L2597" s="149" t="s">
        <v>126</v>
      </c>
      <c r="M2597" s="1096">
        <v>1</v>
      </c>
      <c r="N2597" s="4921" t="s">
        <v>7694</v>
      </c>
      <c r="O2597" s="4922">
        <v>0.2</v>
      </c>
      <c r="P2597" s="3536">
        <f>K2597*O2597</f>
        <v>165039.2</v>
      </c>
      <c r="Q2597" s="3536"/>
      <c r="R2597" s="3476"/>
      <c r="S2597" s="3476"/>
      <c r="T2597" s="3536"/>
      <c r="U2597" s="3476"/>
      <c r="V2597" s="3536"/>
      <c r="W2597" s="3476"/>
      <c r="X2597" s="3536"/>
      <c r="Y2597" s="3476"/>
      <c r="Z2597" s="4964"/>
      <c r="AA2597" s="3476"/>
      <c r="AB2597" s="23"/>
      <c r="AC2597" s="23"/>
      <c r="AD2597" s="23"/>
      <c r="AE2597" s="23"/>
      <c r="AF2597" s="23"/>
      <c r="AG2597" s="23"/>
      <c r="AH2597" s="23"/>
      <c r="AI2597" s="23"/>
    </row>
    <row r="2598" s="1" customFormat="1" ht="50" customHeight="1" spans="1:35">
      <c r="A2598" s="151"/>
      <c r="B2598" s="3647"/>
      <c r="C2598" s="653"/>
      <c r="D2598" s="3511"/>
      <c r="E2598" s="651"/>
      <c r="F2598" s="651"/>
      <c r="G2598" s="151"/>
      <c r="H2598" s="651"/>
      <c r="I2598" s="3511"/>
      <c r="J2598" s="3501"/>
      <c r="K2598" s="4905"/>
      <c r="L2598" s="151"/>
      <c r="M2598" s="1096">
        <v>2</v>
      </c>
      <c r="N2598" s="4921" t="s">
        <v>7695</v>
      </c>
      <c r="O2598" s="4922">
        <v>0.2</v>
      </c>
      <c r="P2598" s="3536">
        <f>K2597*O2598</f>
        <v>165039.2</v>
      </c>
      <c r="Q2598" s="3536"/>
      <c r="R2598" s="3476"/>
      <c r="S2598" s="3476"/>
      <c r="T2598" s="3536"/>
      <c r="U2598" s="3476"/>
      <c r="V2598" s="3536"/>
      <c r="W2598" s="3476"/>
      <c r="X2598" s="3536"/>
      <c r="Y2598" s="3476"/>
      <c r="Z2598" s="4964"/>
      <c r="AA2598" s="3476"/>
      <c r="AB2598" s="23"/>
      <c r="AC2598" s="23"/>
      <c r="AD2598" s="23"/>
      <c r="AE2598" s="23"/>
      <c r="AF2598" s="23"/>
      <c r="AG2598" s="23"/>
      <c r="AH2598" s="23"/>
      <c r="AI2598" s="23"/>
    </row>
    <row r="2599" s="1" customFormat="1" ht="50" customHeight="1" spans="1:35">
      <c r="A2599" s="151"/>
      <c r="B2599" s="3647"/>
      <c r="C2599" s="653"/>
      <c r="D2599" s="3511"/>
      <c r="E2599" s="651"/>
      <c r="F2599" s="651"/>
      <c r="G2599" s="151"/>
      <c r="H2599" s="651"/>
      <c r="I2599" s="3511"/>
      <c r="J2599" s="3501"/>
      <c r="K2599" s="4905"/>
      <c r="L2599" s="151"/>
      <c r="M2599" s="127">
        <v>3</v>
      </c>
      <c r="N2599" s="4921" t="s">
        <v>7696</v>
      </c>
      <c r="O2599" s="4922">
        <v>0.2</v>
      </c>
      <c r="P2599" s="3536">
        <f>K2597*O2599</f>
        <v>165039.2</v>
      </c>
      <c r="Q2599" s="3536"/>
      <c r="R2599" s="3476"/>
      <c r="S2599" s="3476"/>
      <c r="T2599" s="3536"/>
      <c r="U2599" s="3476"/>
      <c r="V2599" s="3536"/>
      <c r="W2599" s="3476"/>
      <c r="X2599" s="3536"/>
      <c r="Y2599" s="3476"/>
      <c r="Z2599" s="4964"/>
      <c r="AA2599" s="3476"/>
      <c r="AB2599" s="23"/>
      <c r="AC2599" s="23"/>
      <c r="AD2599" s="23"/>
      <c r="AE2599" s="23"/>
      <c r="AF2599" s="23"/>
      <c r="AG2599" s="23"/>
      <c r="AH2599" s="23"/>
      <c r="AI2599" s="23"/>
    </row>
    <row r="2600" s="1" customFormat="1" ht="50" customHeight="1" spans="1:35">
      <c r="A2600" s="151"/>
      <c r="B2600" s="3647"/>
      <c r="C2600" s="653"/>
      <c r="D2600" s="3511"/>
      <c r="E2600" s="651"/>
      <c r="F2600" s="651"/>
      <c r="G2600" s="151"/>
      <c r="H2600" s="651"/>
      <c r="I2600" s="3511"/>
      <c r="J2600" s="3501"/>
      <c r="K2600" s="4905"/>
      <c r="L2600" s="151"/>
      <c r="M2600" s="1096">
        <v>4</v>
      </c>
      <c r="N2600" s="4921" t="s">
        <v>7697</v>
      </c>
      <c r="O2600" s="4922">
        <v>0.2</v>
      </c>
      <c r="P2600" s="3536">
        <f>K2597*O2600</f>
        <v>165039.2</v>
      </c>
      <c r="Q2600" s="3536"/>
      <c r="R2600" s="3476"/>
      <c r="S2600" s="3476"/>
      <c r="T2600" s="3536"/>
      <c r="U2600" s="3476"/>
      <c r="V2600" s="3536"/>
      <c r="W2600" s="3476"/>
      <c r="X2600" s="3536"/>
      <c r="Y2600" s="3476"/>
      <c r="Z2600" s="4964"/>
      <c r="AA2600" s="3476"/>
      <c r="AB2600" s="23"/>
      <c r="AC2600" s="23"/>
      <c r="AD2600" s="23"/>
      <c r="AE2600" s="23"/>
      <c r="AF2600" s="23"/>
      <c r="AG2600" s="23"/>
      <c r="AH2600" s="23"/>
      <c r="AI2600" s="23"/>
    </row>
    <row r="2601" s="1" customFormat="1" ht="50" customHeight="1" spans="1:35">
      <c r="A2601" s="151"/>
      <c r="B2601" s="3647"/>
      <c r="C2601" s="653"/>
      <c r="D2601" s="3511"/>
      <c r="E2601" s="651"/>
      <c r="F2601" s="651"/>
      <c r="G2601" s="151"/>
      <c r="H2601" s="651"/>
      <c r="I2601" s="3511"/>
      <c r="J2601" s="3501"/>
      <c r="K2601" s="4905"/>
      <c r="L2601" s="151"/>
      <c r="M2601" s="1096">
        <v>5</v>
      </c>
      <c r="N2601" s="185" t="s">
        <v>7698</v>
      </c>
      <c r="O2601" s="4922">
        <v>0.1</v>
      </c>
      <c r="P2601" s="3536">
        <f>O2601*K2597</f>
        <v>82519.6</v>
      </c>
      <c r="Q2601" s="3536"/>
      <c r="R2601" s="3476"/>
      <c r="S2601" s="3476"/>
      <c r="T2601" s="3536"/>
      <c r="U2601" s="3476"/>
      <c r="V2601" s="3536"/>
      <c r="W2601" s="3476"/>
      <c r="X2601" s="3536"/>
      <c r="Y2601" s="3476"/>
      <c r="Z2601" s="4964"/>
      <c r="AA2601" s="3476"/>
      <c r="AB2601" s="23"/>
      <c r="AC2601" s="23"/>
      <c r="AD2601" s="23"/>
      <c r="AE2601" s="23"/>
      <c r="AF2601" s="23"/>
      <c r="AG2601" s="23"/>
      <c r="AH2601" s="23"/>
      <c r="AI2601" s="23"/>
    </row>
    <row r="2602" s="1" customFormat="1" ht="50" customHeight="1" spans="1:35">
      <c r="A2602" s="152"/>
      <c r="B2602" s="3728"/>
      <c r="C2602" s="4839"/>
      <c r="D2602" s="3522"/>
      <c r="E2602" s="1067"/>
      <c r="F2602" s="1067"/>
      <c r="G2602" s="152"/>
      <c r="H2602" s="1067"/>
      <c r="I2602" s="3522"/>
      <c r="J2602" s="3504"/>
      <c r="K2602" s="3539"/>
      <c r="L2602" s="152"/>
      <c r="M2602" s="127" t="s">
        <v>6237</v>
      </c>
      <c r="N2602" s="4921" t="s">
        <v>7699</v>
      </c>
      <c r="O2602" s="4922">
        <v>0.1</v>
      </c>
      <c r="P2602" s="3536">
        <f>K2597*O2602</f>
        <v>82519.6</v>
      </c>
      <c r="Q2602" s="3536"/>
      <c r="R2602" s="3476"/>
      <c r="S2602" s="3476"/>
      <c r="T2602" s="3536"/>
      <c r="U2602" s="3476"/>
      <c r="V2602" s="3536"/>
      <c r="W2602" s="3476"/>
      <c r="X2602" s="3536"/>
      <c r="Y2602" s="3476"/>
      <c r="Z2602" s="4964"/>
      <c r="AA2602" s="3476"/>
      <c r="AB2602" s="23"/>
      <c r="AC2602" s="23"/>
      <c r="AD2602" s="23"/>
      <c r="AE2602" s="23"/>
      <c r="AF2602" s="23"/>
      <c r="AG2602" s="23"/>
      <c r="AH2602" s="23"/>
      <c r="AI2602" s="23"/>
    </row>
    <row r="2603" s="1" customFormat="1" ht="50" customHeight="1" spans="1:35">
      <c r="A2603" s="149" t="s">
        <v>1186</v>
      </c>
      <c r="B2603" s="3498">
        <v>45996</v>
      </c>
      <c r="C2603" s="649" t="s">
        <v>1945</v>
      </c>
      <c r="D2603" s="3510"/>
      <c r="E2603" s="647" t="s">
        <v>7700</v>
      </c>
      <c r="F2603" s="647" t="s">
        <v>7701</v>
      </c>
      <c r="G2603" s="4897" t="s">
        <v>3723</v>
      </c>
      <c r="H2603" s="647" t="s">
        <v>5663</v>
      </c>
      <c r="I2603" s="3510"/>
      <c r="J2603" s="647" t="s">
        <v>7702</v>
      </c>
      <c r="K2603" s="4904">
        <v>228000</v>
      </c>
      <c r="L2603" s="149" t="s">
        <v>126</v>
      </c>
      <c r="M2603" s="127" t="s">
        <v>363</v>
      </c>
      <c r="N2603" s="4921" t="s">
        <v>2093</v>
      </c>
      <c r="O2603" s="4922">
        <v>0.1</v>
      </c>
      <c r="P2603" s="3536">
        <f>228000*O2603</f>
        <v>22800</v>
      </c>
      <c r="Q2603" s="3536"/>
      <c r="R2603" s="3476"/>
      <c r="S2603" s="3476"/>
      <c r="T2603" s="3536"/>
      <c r="U2603" s="3476"/>
      <c r="V2603" s="3536"/>
      <c r="W2603" s="3476"/>
      <c r="X2603" s="3536"/>
      <c r="Y2603" s="3476"/>
      <c r="Z2603" s="4964"/>
      <c r="AA2603" s="3476"/>
      <c r="AB2603" s="23"/>
      <c r="AC2603" s="23"/>
      <c r="AD2603" s="23"/>
      <c r="AE2603" s="23"/>
      <c r="AF2603" s="23"/>
      <c r="AG2603" s="23"/>
      <c r="AH2603" s="23"/>
      <c r="AI2603" s="23"/>
    </row>
    <row r="2604" s="1" customFormat="1" ht="50" customHeight="1" spans="1:35">
      <c r="A2604" s="151"/>
      <c r="B2604" s="3511"/>
      <c r="C2604" s="653"/>
      <c r="D2604" s="3511"/>
      <c r="E2604" s="651"/>
      <c r="F2604" s="651"/>
      <c r="G2604" s="4898"/>
      <c r="H2604" s="651"/>
      <c r="I2604" s="3511"/>
      <c r="J2604" s="651"/>
      <c r="K2604" s="4905"/>
      <c r="L2604" s="151"/>
      <c r="M2604" s="127" t="s">
        <v>365</v>
      </c>
      <c r="N2604" s="4921" t="s">
        <v>1914</v>
      </c>
      <c r="O2604" s="4922">
        <v>0.4</v>
      </c>
      <c r="P2604" s="3536">
        <f>228000*O2604</f>
        <v>91200</v>
      </c>
      <c r="Q2604" s="3536"/>
      <c r="R2604" s="3476"/>
      <c r="S2604" s="3476"/>
      <c r="T2604" s="3536"/>
      <c r="U2604" s="3476"/>
      <c r="V2604" s="3536"/>
      <c r="W2604" s="3476"/>
      <c r="X2604" s="3536"/>
      <c r="Y2604" s="3476"/>
      <c r="Z2604" s="4964"/>
      <c r="AA2604" s="3476"/>
      <c r="AB2604" s="23"/>
      <c r="AC2604" s="23"/>
      <c r="AD2604" s="23"/>
      <c r="AE2604" s="23"/>
      <c r="AF2604" s="23"/>
      <c r="AG2604" s="23"/>
      <c r="AH2604" s="23"/>
      <c r="AI2604" s="23"/>
    </row>
    <row r="2605" s="1" customFormat="1" ht="50" customHeight="1" spans="1:35">
      <c r="A2605" s="151"/>
      <c r="B2605" s="3511"/>
      <c r="C2605" s="653"/>
      <c r="D2605" s="3511"/>
      <c r="E2605" s="651"/>
      <c r="F2605" s="651"/>
      <c r="G2605" s="4898"/>
      <c r="H2605" s="651"/>
      <c r="I2605" s="3511"/>
      <c r="J2605" s="651"/>
      <c r="K2605" s="4905"/>
      <c r="L2605" s="151"/>
      <c r="M2605" s="127" t="s">
        <v>367</v>
      </c>
      <c r="N2605" s="185" t="s">
        <v>1915</v>
      </c>
      <c r="O2605" s="4922">
        <v>0.3</v>
      </c>
      <c r="P2605" s="3536">
        <f>228000*O2605</f>
        <v>68400</v>
      </c>
      <c r="Q2605" s="3536"/>
      <c r="R2605" s="3476"/>
      <c r="S2605" s="3476"/>
      <c r="T2605" s="3536"/>
      <c r="U2605" s="3476"/>
      <c r="V2605" s="3536"/>
      <c r="W2605" s="3476"/>
      <c r="X2605" s="3536"/>
      <c r="Y2605" s="3476"/>
      <c r="Z2605" s="4964"/>
      <c r="AA2605" s="3476"/>
      <c r="AB2605" s="23"/>
      <c r="AC2605" s="23"/>
      <c r="AD2605" s="23"/>
      <c r="AE2605" s="23"/>
      <c r="AF2605" s="23"/>
      <c r="AG2605" s="23"/>
      <c r="AH2605" s="23"/>
      <c r="AI2605" s="23"/>
    </row>
    <row r="2606" s="1" customFormat="1" ht="50" customHeight="1" spans="1:35">
      <c r="A2606" s="151"/>
      <c r="B2606" s="3511"/>
      <c r="C2606" s="653"/>
      <c r="D2606" s="3511"/>
      <c r="E2606" s="651"/>
      <c r="F2606" s="651"/>
      <c r="G2606" s="4898"/>
      <c r="H2606" s="651"/>
      <c r="I2606" s="3511"/>
      <c r="J2606" s="651"/>
      <c r="K2606" s="4905"/>
      <c r="L2606" s="151"/>
      <c r="M2606" s="127" t="s">
        <v>369</v>
      </c>
      <c r="N2606" s="4921" t="s">
        <v>1916</v>
      </c>
      <c r="O2606" s="4922">
        <v>0.1</v>
      </c>
      <c r="P2606" s="3536">
        <f>228000*O2606</f>
        <v>22800</v>
      </c>
      <c r="Q2606" s="3536"/>
      <c r="R2606" s="3476"/>
      <c r="S2606" s="3476"/>
      <c r="T2606" s="3536"/>
      <c r="U2606" s="3476"/>
      <c r="V2606" s="3536"/>
      <c r="W2606" s="3476"/>
      <c r="X2606" s="3536"/>
      <c r="Y2606" s="3476"/>
      <c r="Z2606" s="4964"/>
      <c r="AA2606" s="3476"/>
      <c r="AB2606" s="23"/>
      <c r="AC2606" s="23"/>
      <c r="AD2606" s="23"/>
      <c r="AE2606" s="23"/>
      <c r="AF2606" s="23"/>
      <c r="AG2606" s="23"/>
      <c r="AH2606" s="23"/>
      <c r="AI2606" s="23"/>
    </row>
    <row r="2607" s="1" customFormat="1" ht="50" customHeight="1" spans="1:35">
      <c r="A2607" s="151"/>
      <c r="B2607" s="3511"/>
      <c r="C2607" s="653"/>
      <c r="D2607" s="3511"/>
      <c r="E2607" s="651"/>
      <c r="F2607" s="651"/>
      <c r="G2607" s="4898"/>
      <c r="H2607" s="651"/>
      <c r="I2607" s="3511"/>
      <c r="J2607" s="651"/>
      <c r="K2607" s="3539"/>
      <c r="L2607" s="151"/>
      <c r="M2607" s="127" t="s">
        <v>6237</v>
      </c>
      <c r="N2607" s="4921" t="s">
        <v>3347</v>
      </c>
      <c r="O2607" s="4922">
        <v>0.1</v>
      </c>
      <c r="P2607" s="3536">
        <f>K2603*O2607</f>
        <v>22800</v>
      </c>
      <c r="Q2607" s="3536"/>
      <c r="R2607" s="3476"/>
      <c r="S2607" s="3476"/>
      <c r="T2607" s="3536"/>
      <c r="U2607" s="3476"/>
      <c r="V2607" s="3536"/>
      <c r="W2607" s="3476"/>
      <c r="X2607" s="3536"/>
      <c r="Y2607" s="3476"/>
      <c r="Z2607" s="4964"/>
      <c r="AA2607" s="3476"/>
      <c r="AB2607" s="23"/>
      <c r="AC2607" s="23"/>
      <c r="AD2607" s="23"/>
      <c r="AE2607" s="23"/>
      <c r="AF2607" s="23"/>
      <c r="AG2607" s="23"/>
      <c r="AH2607" s="23"/>
      <c r="AI2607" s="23"/>
    </row>
    <row r="2608" s="1" customFormat="1" ht="50" customHeight="1" spans="1:35">
      <c r="A2608" s="151"/>
      <c r="B2608" s="3511"/>
      <c r="C2608" s="653"/>
      <c r="D2608" s="3511"/>
      <c r="E2608" s="651"/>
      <c r="F2608" s="651"/>
      <c r="G2608" s="4898"/>
      <c r="H2608" s="651"/>
      <c r="I2608" s="3511"/>
      <c r="J2608" s="651"/>
      <c r="K2608" s="4906">
        <v>726990</v>
      </c>
      <c r="L2608" s="151"/>
      <c r="M2608" s="127" t="s">
        <v>7703</v>
      </c>
      <c r="N2608" s="4921" t="s">
        <v>2093</v>
      </c>
      <c r="O2608" s="4922">
        <v>0.1</v>
      </c>
      <c r="P2608" s="3536">
        <f t="shared" ref="P2608:P2614" si="92">726990*O2608</f>
        <v>72699</v>
      </c>
      <c r="Q2608" s="3536"/>
      <c r="R2608" s="3476"/>
      <c r="S2608" s="3476"/>
      <c r="T2608" s="3536"/>
      <c r="U2608" s="3476"/>
      <c r="V2608" s="3536"/>
      <c r="W2608" s="3476"/>
      <c r="X2608" s="3536"/>
      <c r="Y2608" s="3476"/>
      <c r="Z2608" s="4964"/>
      <c r="AA2608" s="3476"/>
      <c r="AB2608" s="23"/>
      <c r="AC2608" s="23"/>
      <c r="AD2608" s="23"/>
      <c r="AE2608" s="23"/>
      <c r="AF2608" s="23"/>
      <c r="AG2608" s="23"/>
      <c r="AH2608" s="23"/>
      <c r="AI2608" s="23"/>
    </row>
    <row r="2609" s="1" customFormat="1" ht="50" customHeight="1" spans="1:35">
      <c r="A2609" s="151"/>
      <c r="B2609" s="3511"/>
      <c r="C2609" s="653"/>
      <c r="D2609" s="3511"/>
      <c r="E2609" s="651"/>
      <c r="F2609" s="651"/>
      <c r="G2609" s="4898"/>
      <c r="H2609" s="651"/>
      <c r="I2609" s="3511"/>
      <c r="J2609" s="651"/>
      <c r="K2609" s="4907"/>
      <c r="L2609" s="151"/>
      <c r="M2609" s="127" t="s">
        <v>7704</v>
      </c>
      <c r="N2609" s="4921" t="s">
        <v>355</v>
      </c>
      <c r="O2609" s="4922">
        <v>0.15</v>
      </c>
      <c r="P2609" s="3536">
        <f t="shared" si="92"/>
        <v>109048.5</v>
      </c>
      <c r="Q2609" s="3536"/>
      <c r="R2609" s="3476"/>
      <c r="S2609" s="3476"/>
      <c r="T2609" s="3536"/>
      <c r="U2609" s="3476"/>
      <c r="V2609" s="3536"/>
      <c r="W2609" s="3476"/>
      <c r="X2609" s="3536"/>
      <c r="Y2609" s="3476"/>
      <c r="Z2609" s="4964"/>
      <c r="AA2609" s="3476"/>
      <c r="AB2609" s="23"/>
      <c r="AC2609" s="23"/>
      <c r="AD2609" s="23"/>
      <c r="AE2609" s="23"/>
      <c r="AF2609" s="23"/>
      <c r="AG2609" s="23"/>
      <c r="AH2609" s="23"/>
      <c r="AI2609" s="23"/>
    </row>
    <row r="2610" s="1" customFormat="1" ht="50" customHeight="1" spans="1:35">
      <c r="A2610" s="151"/>
      <c r="B2610" s="3511"/>
      <c r="C2610" s="653"/>
      <c r="D2610" s="3511"/>
      <c r="E2610" s="651"/>
      <c r="F2610" s="651"/>
      <c r="G2610" s="4898"/>
      <c r="H2610" s="651"/>
      <c r="I2610" s="3511"/>
      <c r="J2610" s="651"/>
      <c r="K2610" s="4907"/>
      <c r="L2610" s="151"/>
      <c r="M2610" s="127" t="s">
        <v>7705</v>
      </c>
      <c r="N2610" s="4921" t="s">
        <v>357</v>
      </c>
      <c r="O2610" s="4922">
        <v>0.2</v>
      </c>
      <c r="P2610" s="3536">
        <f t="shared" si="92"/>
        <v>145398</v>
      </c>
      <c r="Q2610" s="3536"/>
      <c r="R2610" s="3476"/>
      <c r="S2610" s="3476"/>
      <c r="T2610" s="3536"/>
      <c r="U2610" s="3476"/>
      <c r="V2610" s="3536"/>
      <c r="W2610" s="3476"/>
      <c r="X2610" s="3536"/>
      <c r="Y2610" s="3476"/>
      <c r="Z2610" s="4964"/>
      <c r="AA2610" s="3476"/>
      <c r="AB2610" s="23"/>
      <c r="AC2610" s="23"/>
      <c r="AD2610" s="23"/>
      <c r="AE2610" s="23"/>
      <c r="AF2610" s="23"/>
      <c r="AG2610" s="23"/>
      <c r="AH2610" s="23"/>
      <c r="AI2610" s="23"/>
    </row>
    <row r="2611" s="1" customFormat="1" ht="50" customHeight="1" spans="1:35">
      <c r="A2611" s="151"/>
      <c r="B2611" s="3511"/>
      <c r="C2611" s="653"/>
      <c r="D2611" s="3511"/>
      <c r="E2611" s="651"/>
      <c r="F2611" s="651"/>
      <c r="G2611" s="4898"/>
      <c r="H2611" s="651"/>
      <c r="I2611" s="3511"/>
      <c r="J2611" s="651"/>
      <c r="K2611" s="4907"/>
      <c r="L2611" s="151"/>
      <c r="M2611" s="127" t="s">
        <v>7706</v>
      </c>
      <c r="N2611" s="4921" t="s">
        <v>2341</v>
      </c>
      <c r="O2611" s="4922">
        <v>0.15</v>
      </c>
      <c r="P2611" s="3536">
        <f t="shared" si="92"/>
        <v>109048.5</v>
      </c>
      <c r="Q2611" s="3536"/>
      <c r="R2611" s="3476"/>
      <c r="S2611" s="3476"/>
      <c r="T2611" s="3536"/>
      <c r="U2611" s="3476"/>
      <c r="V2611" s="3536"/>
      <c r="W2611" s="3476"/>
      <c r="X2611" s="3536"/>
      <c r="Y2611" s="3476"/>
      <c r="Z2611" s="4964"/>
      <c r="AA2611" s="3476"/>
      <c r="AB2611" s="23"/>
      <c r="AC2611" s="23"/>
      <c r="AD2611" s="23"/>
      <c r="AE2611" s="23"/>
      <c r="AF2611" s="23"/>
      <c r="AG2611" s="23"/>
      <c r="AH2611" s="23"/>
      <c r="AI2611" s="23"/>
    </row>
    <row r="2612" s="1" customFormat="1" ht="50" customHeight="1" spans="1:35">
      <c r="A2612" s="151"/>
      <c r="B2612" s="3511"/>
      <c r="C2612" s="653"/>
      <c r="D2612" s="3511"/>
      <c r="E2612" s="651"/>
      <c r="F2612" s="651"/>
      <c r="G2612" s="4898"/>
      <c r="H2612" s="651"/>
      <c r="I2612" s="3511"/>
      <c r="J2612" s="651"/>
      <c r="K2612" s="4907"/>
      <c r="L2612" s="151"/>
      <c r="M2612" s="127" t="s">
        <v>7707</v>
      </c>
      <c r="N2612" s="4921" t="s">
        <v>359</v>
      </c>
      <c r="O2612" s="4922">
        <v>0.2</v>
      </c>
      <c r="P2612" s="3536">
        <f t="shared" si="92"/>
        <v>145398</v>
      </c>
      <c r="Q2612" s="3536"/>
      <c r="R2612" s="3476"/>
      <c r="S2612" s="3476"/>
      <c r="T2612" s="3536"/>
      <c r="U2612" s="3476"/>
      <c r="V2612" s="3536"/>
      <c r="W2612" s="3476"/>
      <c r="X2612" s="3536"/>
      <c r="Y2612" s="3476"/>
      <c r="Z2612" s="4964"/>
      <c r="AA2612" s="3476"/>
      <c r="AB2612" s="23"/>
      <c r="AC2612" s="23"/>
      <c r="AD2612" s="23"/>
      <c r="AE2612" s="23"/>
      <c r="AF2612" s="23"/>
      <c r="AG2612" s="23"/>
      <c r="AH2612" s="23"/>
      <c r="AI2612" s="23"/>
    </row>
    <row r="2613" s="1" customFormat="1" ht="50" customHeight="1" spans="1:35">
      <c r="A2613" s="151"/>
      <c r="B2613" s="3511"/>
      <c r="C2613" s="653"/>
      <c r="D2613" s="3511"/>
      <c r="E2613" s="651"/>
      <c r="F2613" s="651"/>
      <c r="G2613" s="4898"/>
      <c r="H2613" s="651"/>
      <c r="I2613" s="3511"/>
      <c r="J2613" s="651"/>
      <c r="K2613" s="4907"/>
      <c r="L2613" s="151"/>
      <c r="M2613" s="127" t="s">
        <v>7708</v>
      </c>
      <c r="N2613" s="4921" t="s">
        <v>7709</v>
      </c>
      <c r="O2613" s="4922">
        <v>0.05</v>
      </c>
      <c r="P2613" s="3536">
        <f t="shared" si="92"/>
        <v>36349.5</v>
      </c>
      <c r="Q2613" s="3536"/>
      <c r="R2613" s="3476"/>
      <c r="S2613" s="3476"/>
      <c r="T2613" s="3536"/>
      <c r="U2613" s="3476"/>
      <c r="V2613" s="3536"/>
      <c r="W2613" s="3476"/>
      <c r="X2613" s="3536"/>
      <c r="Y2613" s="3476"/>
      <c r="Z2613" s="4964"/>
      <c r="AA2613" s="3476"/>
      <c r="AB2613" s="23"/>
      <c r="AC2613" s="23"/>
      <c r="AD2613" s="23"/>
      <c r="AE2613" s="23"/>
      <c r="AF2613" s="23"/>
      <c r="AG2613" s="23"/>
      <c r="AH2613" s="23"/>
      <c r="AI2613" s="23"/>
    </row>
    <row r="2614" s="1" customFormat="1" ht="50" customHeight="1" spans="1:35">
      <c r="A2614" s="151"/>
      <c r="B2614" s="3511"/>
      <c r="C2614" s="653"/>
      <c r="D2614" s="3511"/>
      <c r="E2614" s="651"/>
      <c r="F2614" s="651"/>
      <c r="G2614" s="4898"/>
      <c r="H2614" s="651"/>
      <c r="I2614" s="3511"/>
      <c r="J2614" s="651"/>
      <c r="K2614" s="4907"/>
      <c r="L2614" s="151"/>
      <c r="M2614" s="127" t="s">
        <v>7710</v>
      </c>
      <c r="N2614" s="4921" t="s">
        <v>361</v>
      </c>
      <c r="O2614" s="4922">
        <v>0.05</v>
      </c>
      <c r="P2614" s="3536">
        <f t="shared" si="92"/>
        <v>36349.5</v>
      </c>
      <c r="Q2614" s="3536"/>
      <c r="R2614" s="3476"/>
      <c r="S2614" s="3476"/>
      <c r="T2614" s="3536"/>
      <c r="U2614" s="3476"/>
      <c r="V2614" s="3536"/>
      <c r="W2614" s="3476"/>
      <c r="X2614" s="3536"/>
      <c r="Y2614" s="3476"/>
      <c r="Z2614" s="4964"/>
      <c r="AA2614" s="3476"/>
      <c r="AB2614" s="23"/>
      <c r="AC2614" s="23"/>
      <c r="AD2614" s="23"/>
      <c r="AE2614" s="23"/>
      <c r="AF2614" s="23"/>
      <c r="AG2614" s="23"/>
      <c r="AH2614" s="23"/>
      <c r="AI2614" s="23"/>
    </row>
    <row r="2615" s="1" customFormat="1" ht="50" customHeight="1" spans="1:35">
      <c r="A2615" s="152"/>
      <c r="B2615" s="3522"/>
      <c r="C2615" s="4839"/>
      <c r="D2615" s="3522"/>
      <c r="E2615" s="1067"/>
      <c r="F2615" s="1067"/>
      <c r="G2615" s="4899"/>
      <c r="H2615" s="1067"/>
      <c r="I2615" s="3522"/>
      <c r="J2615" s="1067"/>
      <c r="K2615" s="4908"/>
      <c r="L2615" s="152"/>
      <c r="M2615" s="127" t="s">
        <v>6237</v>
      </c>
      <c r="N2615" s="4921" t="s">
        <v>3347</v>
      </c>
      <c r="O2615" s="4922">
        <v>0.1</v>
      </c>
      <c r="P2615" s="3536">
        <f>K2608*O2615</f>
        <v>72699</v>
      </c>
      <c r="Q2615" s="3536"/>
      <c r="R2615" s="3476"/>
      <c r="S2615" s="3476"/>
      <c r="T2615" s="3536"/>
      <c r="U2615" s="3476"/>
      <c r="V2615" s="3536"/>
      <c r="W2615" s="3476"/>
      <c r="X2615" s="3536"/>
      <c r="Y2615" s="3476"/>
      <c r="Z2615" s="4964"/>
      <c r="AA2615" s="3476"/>
      <c r="AB2615" s="23"/>
      <c r="AC2615" s="23"/>
      <c r="AD2615" s="23"/>
      <c r="AE2615" s="23"/>
      <c r="AF2615" s="23"/>
      <c r="AG2615" s="23"/>
      <c r="AH2615" s="23"/>
      <c r="AI2615" s="23"/>
    </row>
    <row r="2616" s="6" customFormat="1" spans="3:27">
      <c r="C2616" s="4891"/>
      <c r="D2616" s="6"/>
      <c r="E2616" s="6"/>
      <c r="F2616" s="6"/>
      <c r="G2616" s="6"/>
      <c r="H2616" s="6"/>
      <c r="I2616" s="6"/>
      <c r="J2616" s="6"/>
      <c r="K2616" s="4909"/>
      <c r="L2616" s="6"/>
      <c r="M2616" s="4923"/>
      <c r="N2616" s="6"/>
      <c r="O2616" s="32"/>
      <c r="P2616" s="4924"/>
      <c r="Q2616" s="4924"/>
      <c r="R2616" s="32"/>
      <c r="S2616" s="32"/>
      <c r="T2616" s="4924"/>
      <c r="U2616" s="32"/>
      <c r="V2616" s="4924"/>
      <c r="W2616" s="32"/>
      <c r="X2616" s="4924"/>
      <c r="Y2616" s="32"/>
      <c r="Z2616" s="4909"/>
      <c r="AA2616" s="32"/>
    </row>
    <row r="2617" s="6" customFormat="1" spans="3:27">
      <c r="C2617" s="4891"/>
      <c r="D2617" s="6"/>
      <c r="E2617" s="6"/>
      <c r="F2617" s="6"/>
      <c r="G2617" s="6"/>
      <c r="H2617" s="6"/>
      <c r="I2617" s="6"/>
      <c r="J2617" s="6"/>
      <c r="K2617" s="4909"/>
      <c r="L2617" s="6"/>
      <c r="M2617" s="4923"/>
      <c r="N2617" s="6"/>
      <c r="O2617" s="32"/>
      <c r="P2617" s="4924"/>
      <c r="Q2617" s="4924"/>
      <c r="R2617" s="32"/>
      <c r="S2617" s="32"/>
      <c r="T2617" s="4924"/>
      <c r="U2617" s="32"/>
      <c r="V2617" s="4924"/>
      <c r="W2617" s="32"/>
      <c r="X2617" s="4924"/>
      <c r="Y2617" s="32"/>
      <c r="Z2617" s="4909"/>
      <c r="AA2617" s="32"/>
    </row>
    <row r="2618" s="6" customFormat="1" spans="3:27">
      <c r="C2618" s="4891"/>
      <c r="D2618" s="6"/>
      <c r="E2618" s="6"/>
      <c r="F2618" s="6"/>
      <c r="G2618" s="6"/>
      <c r="H2618" s="6"/>
      <c r="I2618" s="6"/>
      <c r="J2618" s="6"/>
      <c r="K2618" s="4909"/>
      <c r="L2618" s="6"/>
      <c r="M2618" s="4923"/>
      <c r="N2618" s="6"/>
      <c r="O2618" s="32"/>
      <c r="P2618" s="4924"/>
      <c r="Q2618" s="4924"/>
      <c r="R2618" s="32"/>
      <c r="S2618" s="32"/>
      <c r="T2618" s="4924"/>
      <c r="U2618" s="32"/>
      <c r="V2618" s="4924"/>
      <c r="W2618" s="32"/>
      <c r="X2618" s="4924"/>
      <c r="Y2618" s="32"/>
      <c r="Z2618" s="4909"/>
      <c r="AA2618" s="32"/>
    </row>
    <row r="2619" s="6" customFormat="1" spans="3:27">
      <c r="C2619" s="4891"/>
      <c r="D2619" s="6"/>
      <c r="E2619" s="6"/>
      <c r="F2619" s="6"/>
      <c r="G2619" s="6"/>
      <c r="H2619" s="6"/>
      <c r="I2619" s="6"/>
      <c r="J2619" s="6"/>
      <c r="K2619" s="4909"/>
      <c r="L2619" s="6"/>
      <c r="M2619" s="4923"/>
      <c r="N2619" s="6"/>
      <c r="O2619" s="32"/>
      <c r="P2619" s="4924"/>
      <c r="Q2619" s="4924"/>
      <c r="R2619" s="32"/>
      <c r="S2619" s="32"/>
      <c r="T2619" s="4924"/>
      <c r="U2619" s="32"/>
      <c r="V2619" s="4924"/>
      <c r="W2619" s="32"/>
      <c r="X2619" s="4924"/>
      <c r="Y2619" s="32"/>
      <c r="Z2619" s="4909"/>
      <c r="AA2619" s="32"/>
    </row>
    <row r="2620" s="6" customFormat="1" spans="3:27">
      <c r="C2620" s="4891"/>
      <c r="D2620" s="6"/>
      <c r="E2620" s="6"/>
      <c r="F2620" s="6"/>
      <c r="G2620" s="6"/>
      <c r="H2620" s="6"/>
      <c r="I2620" s="6"/>
      <c r="J2620" s="6"/>
      <c r="K2620" s="4909"/>
      <c r="L2620" s="6"/>
      <c r="M2620" s="4923"/>
      <c r="N2620" s="6"/>
      <c r="O2620" s="32"/>
      <c r="P2620" s="4924"/>
      <c r="Q2620" s="4924"/>
      <c r="R2620" s="32"/>
      <c r="S2620" s="32"/>
      <c r="T2620" s="4924"/>
      <c r="U2620" s="32"/>
      <c r="V2620" s="4924"/>
      <c r="W2620" s="32"/>
      <c r="X2620" s="4924"/>
      <c r="Y2620" s="32"/>
      <c r="Z2620" s="4909"/>
      <c r="AA2620" s="32"/>
    </row>
    <row r="2621" s="6" customFormat="1" spans="3:27">
      <c r="C2621" s="4891"/>
      <c r="D2621" s="6"/>
      <c r="E2621" s="6"/>
      <c r="F2621" s="6"/>
      <c r="G2621" s="6"/>
      <c r="H2621" s="6"/>
      <c r="I2621" s="6"/>
      <c r="J2621" s="6"/>
      <c r="K2621" s="4909"/>
      <c r="L2621" s="6"/>
      <c r="M2621" s="4923"/>
      <c r="N2621" s="6"/>
      <c r="O2621" s="32"/>
      <c r="P2621" s="4924"/>
      <c r="Q2621" s="4924"/>
      <c r="R2621" s="32"/>
      <c r="S2621" s="32"/>
      <c r="T2621" s="4924"/>
      <c r="U2621" s="32"/>
      <c r="V2621" s="4924"/>
      <c r="W2621" s="32"/>
      <c r="X2621" s="4924"/>
      <c r="Y2621" s="32"/>
      <c r="Z2621" s="4909"/>
      <c r="AA2621" s="32"/>
    </row>
    <row r="2622" s="6" customFormat="1" spans="3:27">
      <c r="C2622" s="4891"/>
      <c r="D2622" s="6"/>
      <c r="E2622" s="6"/>
      <c r="F2622" s="6"/>
      <c r="G2622" s="6"/>
      <c r="H2622" s="6"/>
      <c r="I2622" s="6"/>
      <c r="J2622" s="6"/>
      <c r="K2622" s="4909"/>
      <c r="L2622" s="6"/>
      <c r="M2622" s="4923"/>
      <c r="N2622" s="6"/>
      <c r="O2622" s="32"/>
      <c r="P2622" s="4924"/>
      <c r="Q2622" s="4924"/>
      <c r="R2622" s="32"/>
      <c r="S2622" s="32"/>
      <c r="T2622" s="4924"/>
      <c r="U2622" s="32"/>
      <c r="V2622" s="4924"/>
      <c r="W2622" s="32"/>
      <c r="X2622" s="4924"/>
      <c r="Y2622" s="32"/>
      <c r="Z2622" s="4909"/>
      <c r="AA2622" s="32"/>
    </row>
    <row r="2623" s="6" customFormat="1" spans="3:27">
      <c r="C2623" s="4891"/>
      <c r="D2623" s="6"/>
      <c r="E2623" s="6"/>
      <c r="F2623" s="6"/>
      <c r="G2623" s="6"/>
      <c r="H2623" s="6"/>
      <c r="I2623" s="6"/>
      <c r="J2623" s="6"/>
      <c r="K2623" s="4909"/>
      <c r="L2623" s="6"/>
      <c r="M2623" s="4923"/>
      <c r="N2623" s="6"/>
      <c r="O2623" s="32"/>
      <c r="P2623" s="4924"/>
      <c r="Q2623" s="4924"/>
      <c r="R2623" s="32"/>
      <c r="S2623" s="32"/>
      <c r="T2623" s="4924"/>
      <c r="U2623" s="32"/>
      <c r="V2623" s="4924"/>
      <c r="W2623" s="32"/>
      <c r="X2623" s="4924"/>
      <c r="Y2623" s="32"/>
      <c r="Z2623" s="4909"/>
      <c r="AA2623" s="32"/>
    </row>
    <row r="2624" s="6" customFormat="1" spans="3:27">
      <c r="C2624" s="4891"/>
      <c r="D2624" s="6"/>
      <c r="E2624" s="6"/>
      <c r="F2624" s="6"/>
      <c r="G2624" s="6"/>
      <c r="H2624" s="6"/>
      <c r="I2624" s="6"/>
      <c r="J2624" s="6"/>
      <c r="K2624" s="4909"/>
      <c r="L2624" s="6"/>
      <c r="M2624" s="4923"/>
      <c r="N2624" s="6"/>
      <c r="O2624" s="32"/>
      <c r="P2624" s="4924"/>
      <c r="Q2624" s="4924"/>
      <c r="R2624" s="32"/>
      <c r="S2624" s="32"/>
      <c r="T2624" s="4924"/>
      <c r="U2624" s="32"/>
      <c r="V2624" s="4924"/>
      <c r="W2624" s="32"/>
      <c r="X2624" s="4924"/>
      <c r="Y2624" s="32"/>
      <c r="Z2624" s="4909"/>
      <c r="AA2624" s="32"/>
    </row>
    <row r="2625" s="6" customFormat="1" spans="3:27">
      <c r="C2625" s="4891"/>
      <c r="D2625" s="6"/>
      <c r="E2625" s="6"/>
      <c r="F2625" s="6"/>
      <c r="G2625" s="6"/>
      <c r="H2625" s="6"/>
      <c r="I2625" s="6"/>
      <c r="J2625" s="6"/>
      <c r="K2625" s="4909"/>
      <c r="L2625" s="6"/>
      <c r="M2625" s="4923"/>
      <c r="N2625" s="6"/>
      <c r="O2625" s="32"/>
      <c r="P2625" s="4924"/>
      <c r="Q2625" s="4924"/>
      <c r="R2625" s="32"/>
      <c r="S2625" s="32"/>
      <c r="T2625" s="4924"/>
      <c r="U2625" s="32"/>
      <c r="V2625" s="4924"/>
      <c r="W2625" s="32"/>
      <c r="X2625" s="4924"/>
      <c r="Y2625" s="32"/>
      <c r="Z2625" s="4909"/>
      <c r="AA2625" s="32"/>
    </row>
    <row r="2626" s="6" customFormat="1" spans="3:27">
      <c r="C2626" s="4891"/>
      <c r="D2626" s="6"/>
      <c r="E2626" s="6"/>
      <c r="F2626" s="6"/>
      <c r="G2626" s="6"/>
      <c r="H2626" s="6"/>
      <c r="I2626" s="6"/>
      <c r="J2626" s="6"/>
      <c r="K2626" s="4909"/>
      <c r="L2626" s="6"/>
      <c r="M2626" s="4923"/>
      <c r="N2626" s="6"/>
      <c r="O2626" s="32"/>
      <c r="P2626" s="4924"/>
      <c r="Q2626" s="4924"/>
      <c r="R2626" s="32"/>
      <c r="S2626" s="32"/>
      <c r="T2626" s="4924"/>
      <c r="U2626" s="32"/>
      <c r="V2626" s="4924"/>
      <c r="W2626" s="32"/>
      <c r="X2626" s="4924"/>
      <c r="Y2626" s="32"/>
      <c r="Z2626" s="4909"/>
      <c r="AA2626" s="32"/>
    </row>
    <row r="2627" s="6" customFormat="1" spans="3:27">
      <c r="C2627" s="4891"/>
      <c r="D2627" s="6"/>
      <c r="E2627" s="6"/>
      <c r="F2627" s="6"/>
      <c r="G2627" s="6"/>
      <c r="H2627" s="6"/>
      <c r="I2627" s="6"/>
      <c r="J2627" s="6"/>
      <c r="K2627" s="4909"/>
      <c r="L2627" s="6"/>
      <c r="M2627" s="4923"/>
      <c r="N2627" s="6"/>
      <c r="O2627" s="32"/>
      <c r="P2627" s="4924"/>
      <c r="Q2627" s="4924"/>
      <c r="R2627" s="32"/>
      <c r="S2627" s="32"/>
      <c r="T2627" s="4924"/>
      <c r="U2627" s="32"/>
      <c r="V2627" s="4924"/>
      <c r="W2627" s="32"/>
      <c r="X2627" s="4924"/>
      <c r="Y2627" s="32"/>
      <c r="Z2627" s="4909"/>
      <c r="AA2627" s="32"/>
    </row>
    <row r="2628" s="6" customFormat="1" spans="3:27">
      <c r="C2628" s="4891"/>
      <c r="D2628" s="6"/>
      <c r="E2628" s="6"/>
      <c r="F2628" s="6"/>
      <c r="G2628" s="6"/>
      <c r="H2628" s="6"/>
      <c r="I2628" s="6"/>
      <c r="J2628" s="6"/>
      <c r="K2628" s="4909"/>
      <c r="L2628" s="6"/>
      <c r="M2628" s="4923"/>
      <c r="N2628" s="6"/>
      <c r="O2628" s="32"/>
      <c r="P2628" s="4924"/>
      <c r="Q2628" s="4924"/>
      <c r="R2628" s="32"/>
      <c r="S2628" s="32"/>
      <c r="T2628" s="4924"/>
      <c r="U2628" s="32"/>
      <c r="V2628" s="4924"/>
      <c r="W2628" s="32"/>
      <c r="X2628" s="4924"/>
      <c r="Y2628" s="32"/>
      <c r="Z2628" s="4909"/>
      <c r="AA2628" s="32"/>
    </row>
    <row r="2629" s="6" customFormat="1" spans="3:27">
      <c r="C2629" s="4891"/>
      <c r="D2629" s="6"/>
      <c r="E2629" s="6"/>
      <c r="F2629" s="6"/>
      <c r="G2629" s="6"/>
      <c r="H2629" s="6"/>
      <c r="I2629" s="6"/>
      <c r="J2629" s="6"/>
      <c r="K2629" s="4909"/>
      <c r="L2629" s="6"/>
      <c r="M2629" s="4923"/>
      <c r="N2629" s="6"/>
      <c r="O2629" s="32"/>
      <c r="P2629" s="4924"/>
      <c r="Q2629" s="4924"/>
      <c r="R2629" s="32"/>
      <c r="S2629" s="32"/>
      <c r="T2629" s="4924"/>
      <c r="U2629" s="32"/>
      <c r="V2629" s="4924"/>
      <c r="W2629" s="32"/>
      <c r="X2629" s="4924"/>
      <c r="Y2629" s="32"/>
      <c r="Z2629" s="4909"/>
      <c r="AA2629" s="32"/>
    </row>
    <row r="2630" s="6" customFormat="1" spans="3:27">
      <c r="C2630" s="4891"/>
      <c r="D2630" s="6"/>
      <c r="E2630" s="6"/>
      <c r="F2630" s="6"/>
      <c r="G2630" s="6"/>
      <c r="H2630" s="6"/>
      <c r="I2630" s="6"/>
      <c r="J2630" s="6"/>
      <c r="K2630" s="4909"/>
      <c r="L2630" s="6"/>
      <c r="M2630" s="4923"/>
      <c r="N2630" s="6"/>
      <c r="O2630" s="32"/>
      <c r="P2630" s="4924"/>
      <c r="Q2630" s="4924"/>
      <c r="R2630" s="32"/>
      <c r="S2630" s="32"/>
      <c r="T2630" s="4924"/>
      <c r="U2630" s="32"/>
      <c r="V2630" s="4924"/>
      <c r="W2630" s="32"/>
      <c r="X2630" s="4924"/>
      <c r="Y2630" s="32"/>
      <c r="Z2630" s="4909"/>
      <c r="AA2630" s="32"/>
    </row>
    <row r="2631" s="6" customFormat="1" spans="3:27">
      <c r="C2631" s="4891"/>
      <c r="D2631" s="6"/>
      <c r="E2631" s="6"/>
      <c r="F2631" s="6"/>
      <c r="G2631" s="6"/>
      <c r="H2631" s="6"/>
      <c r="I2631" s="6"/>
      <c r="J2631" s="6"/>
      <c r="K2631" s="4909"/>
      <c r="L2631" s="6"/>
      <c r="M2631" s="4923"/>
      <c r="N2631" s="6"/>
      <c r="O2631" s="32"/>
      <c r="P2631" s="4924"/>
      <c r="Q2631" s="4924"/>
      <c r="R2631" s="32"/>
      <c r="S2631" s="32"/>
      <c r="T2631" s="4924"/>
      <c r="U2631" s="32"/>
      <c r="V2631" s="4924"/>
      <c r="W2631" s="32"/>
      <c r="X2631" s="4924"/>
      <c r="Y2631" s="32"/>
      <c r="Z2631" s="4909"/>
      <c r="AA2631" s="32"/>
    </row>
    <row r="2632" s="6" customFormat="1" spans="3:27">
      <c r="C2632" s="4891"/>
      <c r="D2632" s="6"/>
      <c r="E2632" s="6"/>
      <c r="F2632" s="6"/>
      <c r="G2632" s="6"/>
      <c r="H2632" s="6"/>
      <c r="I2632" s="6"/>
      <c r="J2632" s="6"/>
      <c r="K2632" s="4909"/>
      <c r="L2632" s="6"/>
      <c r="M2632" s="4923"/>
      <c r="N2632" s="6"/>
      <c r="O2632" s="32"/>
      <c r="P2632" s="4924"/>
      <c r="Q2632" s="4924"/>
      <c r="R2632" s="32"/>
      <c r="S2632" s="32"/>
      <c r="T2632" s="4924"/>
      <c r="U2632" s="32"/>
      <c r="V2632" s="4924"/>
      <c r="W2632" s="32"/>
      <c r="X2632" s="4924"/>
      <c r="Y2632" s="32"/>
      <c r="Z2632" s="4909"/>
      <c r="AA2632" s="32"/>
    </row>
    <row r="2633" s="6" customFormat="1" spans="3:27">
      <c r="C2633" s="4891"/>
      <c r="D2633" s="6"/>
      <c r="E2633" s="6"/>
      <c r="F2633" s="6"/>
      <c r="G2633" s="6"/>
      <c r="H2633" s="6"/>
      <c r="I2633" s="6"/>
      <c r="J2633" s="6"/>
      <c r="K2633" s="4909"/>
      <c r="L2633" s="6"/>
      <c r="M2633" s="4923"/>
      <c r="N2633" s="6"/>
      <c r="O2633" s="32"/>
      <c r="P2633" s="4924"/>
      <c r="Q2633" s="4924"/>
      <c r="R2633" s="32"/>
      <c r="S2633" s="32"/>
      <c r="T2633" s="4924"/>
      <c r="U2633" s="32"/>
      <c r="V2633" s="4924"/>
      <c r="W2633" s="32"/>
      <c r="X2633" s="4924"/>
      <c r="Y2633" s="32"/>
      <c r="Z2633" s="4909"/>
      <c r="AA2633" s="32"/>
    </row>
    <row r="2634" s="6" customFormat="1" spans="3:27">
      <c r="C2634" s="4891"/>
      <c r="D2634" s="6"/>
      <c r="E2634" s="6"/>
      <c r="F2634" s="6"/>
      <c r="G2634" s="6"/>
      <c r="H2634" s="6"/>
      <c r="I2634" s="6"/>
      <c r="J2634" s="6"/>
      <c r="K2634" s="4909"/>
      <c r="L2634" s="6"/>
      <c r="M2634" s="4923"/>
      <c r="N2634" s="6"/>
      <c r="O2634" s="32"/>
      <c r="P2634" s="4924"/>
      <c r="Q2634" s="4924"/>
      <c r="R2634" s="32"/>
      <c r="S2634" s="32"/>
      <c r="T2634" s="4924"/>
      <c r="U2634" s="32"/>
      <c r="V2634" s="4924"/>
      <c r="W2634" s="32"/>
      <c r="X2634" s="4924"/>
      <c r="Y2634" s="32"/>
      <c r="Z2634" s="4909"/>
      <c r="AA2634" s="32"/>
    </row>
    <row r="2635" s="6" customFormat="1" spans="3:27">
      <c r="C2635" s="4891"/>
      <c r="D2635" s="6"/>
      <c r="E2635" s="6"/>
      <c r="F2635" s="6"/>
      <c r="G2635" s="6"/>
      <c r="H2635" s="6"/>
      <c r="I2635" s="6"/>
      <c r="J2635" s="6"/>
      <c r="K2635" s="4909"/>
      <c r="L2635" s="6"/>
      <c r="M2635" s="4923"/>
      <c r="N2635" s="6"/>
      <c r="O2635" s="32"/>
      <c r="P2635" s="4924"/>
      <c r="Q2635" s="4924"/>
      <c r="R2635" s="32"/>
      <c r="S2635" s="32"/>
      <c r="T2635" s="4924"/>
      <c r="U2635" s="32"/>
      <c r="V2635" s="4924"/>
      <c r="W2635" s="32"/>
      <c r="X2635" s="4924"/>
      <c r="Y2635" s="32"/>
      <c r="Z2635" s="4909"/>
      <c r="AA2635" s="32"/>
    </row>
    <row r="2636" s="6" customFormat="1" spans="3:27">
      <c r="C2636" s="4891"/>
      <c r="D2636" s="6"/>
      <c r="E2636" s="6"/>
      <c r="F2636" s="6"/>
      <c r="G2636" s="6"/>
      <c r="H2636" s="6"/>
      <c r="I2636" s="6"/>
      <c r="J2636" s="6"/>
      <c r="K2636" s="4909"/>
      <c r="L2636" s="6"/>
      <c r="M2636" s="4923"/>
      <c r="N2636" s="6"/>
      <c r="O2636" s="32"/>
      <c r="P2636" s="4924"/>
      <c r="Q2636" s="4924"/>
      <c r="R2636" s="32"/>
      <c r="S2636" s="32"/>
      <c r="T2636" s="4924"/>
      <c r="U2636" s="32"/>
      <c r="V2636" s="4924"/>
      <c r="W2636" s="32"/>
      <c r="X2636" s="4924"/>
      <c r="Y2636" s="32"/>
      <c r="Z2636" s="4909"/>
      <c r="AA2636" s="32"/>
    </row>
    <row r="2637" s="6" customFormat="1" spans="3:27">
      <c r="C2637" s="4891"/>
      <c r="D2637" s="6"/>
      <c r="E2637" s="6"/>
      <c r="F2637" s="6"/>
      <c r="G2637" s="6"/>
      <c r="H2637" s="6"/>
      <c r="I2637" s="6"/>
      <c r="J2637" s="6"/>
      <c r="K2637" s="4909"/>
      <c r="L2637" s="6"/>
      <c r="M2637" s="4923"/>
      <c r="N2637" s="6"/>
      <c r="O2637" s="32"/>
      <c r="P2637" s="4924"/>
      <c r="Q2637" s="4924"/>
      <c r="R2637" s="32"/>
      <c r="S2637" s="32"/>
      <c r="T2637" s="4924"/>
      <c r="U2637" s="32"/>
      <c r="V2637" s="4924"/>
      <c r="W2637" s="32"/>
      <c r="X2637" s="4924"/>
      <c r="Y2637" s="32"/>
      <c r="Z2637" s="4909"/>
      <c r="AA2637" s="32"/>
    </row>
    <row r="2638" s="6" customFormat="1" spans="3:27">
      <c r="C2638" s="4891"/>
      <c r="D2638" s="6"/>
      <c r="E2638" s="6"/>
      <c r="F2638" s="6"/>
      <c r="G2638" s="6"/>
      <c r="H2638" s="6"/>
      <c r="I2638" s="6"/>
      <c r="J2638" s="6"/>
      <c r="K2638" s="4909"/>
      <c r="L2638" s="6"/>
      <c r="M2638" s="4923"/>
      <c r="N2638" s="6"/>
      <c r="O2638" s="32"/>
      <c r="P2638" s="4924"/>
      <c r="Q2638" s="4924"/>
      <c r="R2638" s="32"/>
      <c r="S2638" s="32"/>
      <c r="T2638" s="4924"/>
      <c r="U2638" s="32"/>
      <c r="V2638" s="4924"/>
      <c r="W2638" s="32"/>
      <c r="X2638" s="4924"/>
      <c r="Y2638" s="32"/>
      <c r="Z2638" s="4909"/>
      <c r="AA2638" s="32"/>
    </row>
    <row r="2639" s="6" customFormat="1" spans="3:27">
      <c r="C2639" s="4891"/>
      <c r="D2639" s="6"/>
      <c r="E2639" s="6"/>
      <c r="F2639" s="6"/>
      <c r="G2639" s="6"/>
      <c r="H2639" s="6"/>
      <c r="I2639" s="6"/>
      <c r="J2639" s="6"/>
      <c r="K2639" s="4909"/>
      <c r="L2639" s="6"/>
      <c r="M2639" s="4923"/>
      <c r="N2639" s="6"/>
      <c r="O2639" s="32"/>
      <c r="P2639" s="4924"/>
      <c r="Q2639" s="4924"/>
      <c r="R2639" s="32"/>
      <c r="S2639" s="32"/>
      <c r="T2639" s="4924"/>
      <c r="U2639" s="32"/>
      <c r="V2639" s="4924"/>
      <c r="W2639" s="32"/>
      <c r="X2639" s="4969"/>
      <c r="Y2639" s="4970"/>
      <c r="Z2639" s="4909"/>
      <c r="AA2639" s="32"/>
    </row>
    <row r="2640" s="6" customFormat="1" spans="3:27">
      <c r="C2640" s="4891"/>
      <c r="D2640" s="6"/>
      <c r="E2640" s="6"/>
      <c r="F2640" s="6"/>
      <c r="G2640" s="6"/>
      <c r="H2640" s="6"/>
      <c r="I2640" s="6"/>
      <c r="J2640" s="6"/>
      <c r="K2640" s="4909"/>
      <c r="L2640" s="6"/>
      <c r="M2640" s="4923"/>
      <c r="N2640" s="6"/>
      <c r="O2640" s="32"/>
      <c r="P2640" s="4924"/>
      <c r="Q2640" s="4924"/>
      <c r="R2640" s="32"/>
      <c r="S2640" s="32"/>
      <c r="T2640" s="4924"/>
      <c r="U2640" s="32"/>
      <c r="V2640" s="4924"/>
      <c r="W2640" s="32"/>
      <c r="X2640" s="4969"/>
      <c r="Y2640" s="4970"/>
      <c r="Z2640" s="4909"/>
      <c r="AA2640" s="32"/>
    </row>
    <row r="2641" s="6" customFormat="1" spans="3:27">
      <c r="C2641" s="4891"/>
      <c r="D2641" s="6"/>
      <c r="E2641" s="6"/>
      <c r="F2641" s="6"/>
      <c r="G2641" s="6"/>
      <c r="H2641" s="6"/>
      <c r="I2641" s="6"/>
      <c r="J2641" s="6"/>
      <c r="K2641" s="4909"/>
      <c r="L2641" s="6"/>
      <c r="M2641" s="4923"/>
      <c r="N2641" s="6"/>
      <c r="O2641" s="32"/>
      <c r="P2641" s="4924"/>
      <c r="Q2641" s="4924"/>
      <c r="R2641" s="32"/>
      <c r="S2641" s="32"/>
      <c r="T2641" s="4924"/>
      <c r="U2641" s="32"/>
      <c r="V2641" s="4924"/>
      <c r="W2641" s="32"/>
      <c r="X2641" s="4969"/>
      <c r="Y2641" s="4970"/>
      <c r="Z2641" s="4909"/>
      <c r="AA2641" s="32"/>
    </row>
    <row r="2642" s="6" customFormat="1" spans="3:27">
      <c r="C2642" s="4891"/>
      <c r="D2642" s="6"/>
      <c r="E2642" s="6"/>
      <c r="F2642" s="6"/>
      <c r="G2642" s="6"/>
      <c r="H2642" s="6"/>
      <c r="I2642" s="6"/>
      <c r="J2642" s="6"/>
      <c r="K2642" s="4909"/>
      <c r="L2642" s="6"/>
      <c r="M2642" s="4923"/>
      <c r="N2642" s="6"/>
      <c r="O2642" s="32"/>
      <c r="P2642" s="4924"/>
      <c r="Q2642" s="4924"/>
      <c r="R2642" s="32"/>
      <c r="S2642" s="32"/>
      <c r="T2642" s="4924"/>
      <c r="U2642" s="32"/>
      <c r="V2642" s="4924"/>
      <c r="W2642" s="32"/>
      <c r="X2642" s="4969">
        <v>0</v>
      </c>
      <c r="Y2642" s="4970"/>
      <c r="Z2642" s="4909"/>
      <c r="AA2642" s="32"/>
    </row>
    <row r="2643" ht="50.35" customHeight="1"/>
  </sheetData>
  <sheetProtection formatCells="0" insertHyperlinks="0" autoFilter="0"/>
  <autoFilter xmlns:etc="http://www.wps.cn/officeDocument/2017/etCustomData" ref="A3:AX2643" etc:filterBottomFollowUsedRange="1">
    <extLst/>
  </autoFilter>
  <mergeCells count="7687">
    <mergeCell ref="A1:AI1"/>
    <mergeCell ref="A2:L2"/>
    <mergeCell ref="M2:P2"/>
    <mergeCell ref="Q2:AA2"/>
    <mergeCell ref="AB2:AC2"/>
    <mergeCell ref="AD2:AG2"/>
    <mergeCell ref="AH2:AI2"/>
    <mergeCell ref="A5:A14"/>
    <mergeCell ref="A15:A22"/>
    <mergeCell ref="A25:A28"/>
    <mergeCell ref="A31:A35"/>
    <mergeCell ref="A36:A40"/>
    <mergeCell ref="A41:A45"/>
    <mergeCell ref="A46:A49"/>
    <mergeCell ref="A50:A56"/>
    <mergeCell ref="A57:A60"/>
    <mergeCell ref="A61:A63"/>
    <mergeCell ref="A64:A67"/>
    <mergeCell ref="A69:A73"/>
    <mergeCell ref="A74:A85"/>
    <mergeCell ref="A86:A90"/>
    <mergeCell ref="A91:A93"/>
    <mergeCell ref="A94:A95"/>
    <mergeCell ref="A96:A99"/>
    <mergeCell ref="A100:A102"/>
    <mergeCell ref="A103:A106"/>
    <mergeCell ref="A107:A111"/>
    <mergeCell ref="A112:A114"/>
    <mergeCell ref="A116:A120"/>
    <mergeCell ref="A121:A123"/>
    <mergeCell ref="A124:A127"/>
    <mergeCell ref="A128:A130"/>
    <mergeCell ref="A131:A133"/>
    <mergeCell ref="A134:A136"/>
    <mergeCell ref="A137:A139"/>
    <mergeCell ref="A140:A143"/>
    <mergeCell ref="A144:A146"/>
    <mergeCell ref="A147:A149"/>
    <mergeCell ref="A150:A152"/>
    <mergeCell ref="A153:A155"/>
    <mergeCell ref="A156:A157"/>
    <mergeCell ref="A158:A159"/>
    <mergeCell ref="A160:A163"/>
    <mergeCell ref="A164:A167"/>
    <mergeCell ref="A170:A175"/>
    <mergeCell ref="A176:A178"/>
    <mergeCell ref="A179:A183"/>
    <mergeCell ref="A184:A188"/>
    <mergeCell ref="A189:A193"/>
    <mergeCell ref="A194:A203"/>
    <mergeCell ref="A204:A208"/>
    <mergeCell ref="A209:A219"/>
    <mergeCell ref="A220:A224"/>
    <mergeCell ref="A225:A232"/>
    <mergeCell ref="A233:A237"/>
    <mergeCell ref="A242:A245"/>
    <mergeCell ref="A246:A267"/>
    <mergeCell ref="A268:A276"/>
    <mergeCell ref="A277:A281"/>
    <mergeCell ref="A282:A284"/>
    <mergeCell ref="A285:A288"/>
    <mergeCell ref="A289:A292"/>
    <mergeCell ref="A293:A300"/>
    <mergeCell ref="A301:A317"/>
    <mergeCell ref="A318:A330"/>
    <mergeCell ref="A331:A337"/>
    <mergeCell ref="A338:A343"/>
    <mergeCell ref="A344:A357"/>
    <mergeCell ref="A358:A367"/>
    <mergeCell ref="A368:A374"/>
    <mergeCell ref="A375:A381"/>
    <mergeCell ref="A382:A388"/>
    <mergeCell ref="A389:A396"/>
    <mergeCell ref="A397:A403"/>
    <mergeCell ref="A404:A409"/>
    <mergeCell ref="A411:A412"/>
    <mergeCell ref="A413:A417"/>
    <mergeCell ref="A418:A419"/>
    <mergeCell ref="A420:A423"/>
    <mergeCell ref="A424:A426"/>
    <mergeCell ref="A427:A430"/>
    <mergeCell ref="A431:A435"/>
    <mergeCell ref="A437:A440"/>
    <mergeCell ref="A441:A443"/>
    <mergeCell ref="A444:A449"/>
    <mergeCell ref="A450:A453"/>
    <mergeCell ref="A454:A456"/>
    <mergeCell ref="A458:A460"/>
    <mergeCell ref="A461:A465"/>
    <mergeCell ref="A466:A468"/>
    <mergeCell ref="A469:A472"/>
    <mergeCell ref="A473:A480"/>
    <mergeCell ref="A481:A484"/>
    <mergeCell ref="A485:A488"/>
    <mergeCell ref="A489:A500"/>
    <mergeCell ref="A501:A506"/>
    <mergeCell ref="A508:A512"/>
    <mergeCell ref="A513:A519"/>
    <mergeCell ref="A520:A523"/>
    <mergeCell ref="A524:A527"/>
    <mergeCell ref="A528:A531"/>
    <mergeCell ref="A532:A534"/>
    <mergeCell ref="A535:A537"/>
    <mergeCell ref="A538:A540"/>
    <mergeCell ref="A541:A544"/>
    <mergeCell ref="A545:A548"/>
    <mergeCell ref="A549:A552"/>
    <mergeCell ref="A553:A560"/>
    <mergeCell ref="A561:A568"/>
    <mergeCell ref="A569:A572"/>
    <mergeCell ref="A573:A575"/>
    <mergeCell ref="A577:A582"/>
    <mergeCell ref="A583:A587"/>
    <mergeCell ref="A588:A591"/>
    <mergeCell ref="A592:A599"/>
    <mergeCell ref="A600:A613"/>
    <mergeCell ref="A615:A622"/>
    <mergeCell ref="A623:A629"/>
    <mergeCell ref="A630:A640"/>
    <mergeCell ref="A641:A647"/>
    <mergeCell ref="A648:A651"/>
    <mergeCell ref="A652:A654"/>
    <mergeCell ref="A655:A657"/>
    <mergeCell ref="A658:A662"/>
    <mergeCell ref="A663:A664"/>
    <mergeCell ref="A665:A671"/>
    <mergeCell ref="A672:A682"/>
    <mergeCell ref="A683:A689"/>
    <mergeCell ref="A690:A712"/>
    <mergeCell ref="A713:A715"/>
    <mergeCell ref="A716:A720"/>
    <mergeCell ref="A721:A732"/>
    <mergeCell ref="A733:A743"/>
    <mergeCell ref="A744:A757"/>
    <mergeCell ref="A758:A764"/>
    <mergeCell ref="A765:A769"/>
    <mergeCell ref="A770:A773"/>
    <mergeCell ref="A774:A780"/>
    <mergeCell ref="A781:A791"/>
    <mergeCell ref="A792:A801"/>
    <mergeCell ref="A802:A807"/>
    <mergeCell ref="A808:A816"/>
    <mergeCell ref="A817:A820"/>
    <mergeCell ref="A821:A827"/>
    <mergeCell ref="A828:A833"/>
    <mergeCell ref="A834:A848"/>
    <mergeCell ref="A849:A852"/>
    <mergeCell ref="A853:A862"/>
    <mergeCell ref="A863:A868"/>
    <mergeCell ref="A869:A875"/>
    <mergeCell ref="A876:A880"/>
    <mergeCell ref="A881:A887"/>
    <mergeCell ref="A888:A891"/>
    <mergeCell ref="A892:A898"/>
    <mergeCell ref="A899:A905"/>
    <mergeCell ref="A906:A910"/>
    <mergeCell ref="A911:A916"/>
    <mergeCell ref="A917:A925"/>
    <mergeCell ref="A926:A931"/>
    <mergeCell ref="A932:A937"/>
    <mergeCell ref="A938:A941"/>
    <mergeCell ref="A942:A945"/>
    <mergeCell ref="A946:A956"/>
    <mergeCell ref="A957:A960"/>
    <mergeCell ref="A961:A963"/>
    <mergeCell ref="A964:A967"/>
    <mergeCell ref="A968:A973"/>
    <mergeCell ref="A974:A977"/>
    <mergeCell ref="A978:A980"/>
    <mergeCell ref="A981:A984"/>
    <mergeCell ref="A985:A987"/>
    <mergeCell ref="A988:A990"/>
    <mergeCell ref="A991:A994"/>
    <mergeCell ref="A995:A997"/>
    <mergeCell ref="A998:A1001"/>
    <mergeCell ref="A1002:A1005"/>
    <mergeCell ref="A1006:A1009"/>
    <mergeCell ref="A1010:A1012"/>
    <mergeCell ref="A1013:A1015"/>
    <mergeCell ref="A1016:A1019"/>
    <mergeCell ref="A1022:A1025"/>
    <mergeCell ref="A1027:A1029"/>
    <mergeCell ref="A1032:A1034"/>
    <mergeCell ref="A1035:A1042"/>
    <mergeCell ref="A1043:A1045"/>
    <mergeCell ref="A1046:A1048"/>
    <mergeCell ref="A1049:A1051"/>
    <mergeCell ref="A1052:A1054"/>
    <mergeCell ref="A1055:A1057"/>
    <mergeCell ref="A1058:A1060"/>
    <mergeCell ref="A1061:A1064"/>
    <mergeCell ref="A1065:A1067"/>
    <mergeCell ref="A1068:A1070"/>
    <mergeCell ref="A1071:A1074"/>
    <mergeCell ref="A1075:A1082"/>
    <mergeCell ref="A1083:A1097"/>
    <mergeCell ref="A1098:A1100"/>
    <mergeCell ref="A1101:A1103"/>
    <mergeCell ref="A1104:A1106"/>
    <mergeCell ref="A1107:A1109"/>
    <mergeCell ref="A1110:A1113"/>
    <mergeCell ref="A1114:A1117"/>
    <mergeCell ref="A1118:A1134"/>
    <mergeCell ref="A1135:A1144"/>
    <mergeCell ref="A1145:A1151"/>
    <mergeCell ref="A1152:A1155"/>
    <mergeCell ref="A1156:A1159"/>
    <mergeCell ref="A1160:A1163"/>
    <mergeCell ref="A1164:A1167"/>
    <mergeCell ref="A1168:A1170"/>
    <mergeCell ref="A1171:A1178"/>
    <mergeCell ref="A1179:A1186"/>
    <mergeCell ref="A1187:A1196"/>
    <mergeCell ref="A1197:A1201"/>
    <mergeCell ref="A1202:A1211"/>
    <mergeCell ref="A1212:A1223"/>
    <mergeCell ref="A1224:A1228"/>
    <mergeCell ref="A1229:A1232"/>
    <mergeCell ref="A1233:A1236"/>
    <mergeCell ref="A1237:A1240"/>
    <mergeCell ref="A1241:A1247"/>
    <mergeCell ref="A1248:A1250"/>
    <mergeCell ref="A1251:A1253"/>
    <mergeCell ref="A1254:A1256"/>
    <mergeCell ref="A1257:A1259"/>
    <mergeCell ref="A1260:A1262"/>
    <mergeCell ref="A1263:A1283"/>
    <mergeCell ref="A1284:A1303"/>
    <mergeCell ref="A1304:A1310"/>
    <mergeCell ref="A1311:A1319"/>
    <mergeCell ref="A1320:A1356"/>
    <mergeCell ref="A1357:A1359"/>
    <mergeCell ref="A1360:A1363"/>
    <mergeCell ref="A1364:A1365"/>
    <mergeCell ref="A1366:A1368"/>
    <mergeCell ref="A1369:A1371"/>
    <mergeCell ref="A1372:A1376"/>
    <mergeCell ref="A1377:A1386"/>
    <mergeCell ref="A1387:A1393"/>
    <mergeCell ref="A1394:A1398"/>
    <mergeCell ref="A1399:A1401"/>
    <mergeCell ref="A1402:A1404"/>
    <mergeCell ref="A1405:A1406"/>
    <mergeCell ref="A1407:A1409"/>
    <mergeCell ref="A1410:A1412"/>
    <mergeCell ref="A1413:A1415"/>
    <mergeCell ref="A1416:A1420"/>
    <mergeCell ref="A1421:A1427"/>
    <mergeCell ref="A1428:A1429"/>
    <mergeCell ref="A1430:A1435"/>
    <mergeCell ref="A1436:A1439"/>
    <mergeCell ref="A1440:A1446"/>
    <mergeCell ref="A1447:A1453"/>
    <mergeCell ref="A1454:A1456"/>
    <mergeCell ref="A1457:A1459"/>
    <mergeCell ref="A1460:A1462"/>
    <mergeCell ref="A1463:A1464"/>
    <mergeCell ref="A1465:A1467"/>
    <mergeCell ref="A1468:A1470"/>
    <mergeCell ref="A1471:A1475"/>
    <mergeCell ref="A1476:A1488"/>
    <mergeCell ref="A1489:A1495"/>
    <mergeCell ref="A1496:A1499"/>
    <mergeCell ref="A1500:A1503"/>
    <mergeCell ref="A1505:A1506"/>
    <mergeCell ref="A1507:A1510"/>
    <mergeCell ref="A1511:A1516"/>
    <mergeCell ref="A1517:A1521"/>
    <mergeCell ref="A1522:A1525"/>
    <mergeCell ref="A1526:A1539"/>
    <mergeCell ref="A1540:A1546"/>
    <mergeCell ref="A1547:A1556"/>
    <mergeCell ref="A1557:A1564"/>
    <mergeCell ref="A1565:A1567"/>
    <mergeCell ref="A1568:A1571"/>
    <mergeCell ref="A1574:A1577"/>
    <mergeCell ref="A1578:A1583"/>
    <mergeCell ref="A1584:A1594"/>
    <mergeCell ref="A1595:A1598"/>
    <mergeCell ref="A1599:A1601"/>
    <mergeCell ref="A1602:A1605"/>
    <mergeCell ref="A1606:A1613"/>
    <mergeCell ref="A1614:A1618"/>
    <mergeCell ref="A1619:A1624"/>
    <mergeCell ref="A1625:A1629"/>
    <mergeCell ref="A1630:A1632"/>
    <mergeCell ref="A1633:A1646"/>
    <mergeCell ref="A1647:A1649"/>
    <mergeCell ref="A1650:A1654"/>
    <mergeCell ref="A1655:A1660"/>
    <mergeCell ref="A1661:A1666"/>
    <mergeCell ref="A1667:A1675"/>
    <mergeCell ref="A1676:A1679"/>
    <mergeCell ref="A1680:A1693"/>
    <mergeCell ref="A1694:A1697"/>
    <mergeCell ref="A1698:A1702"/>
    <mergeCell ref="A1703:A1705"/>
    <mergeCell ref="A1706:A1708"/>
    <mergeCell ref="A1709:A1713"/>
    <mergeCell ref="A1714:A1718"/>
    <mergeCell ref="A1719:A1721"/>
    <mergeCell ref="A1722:A1729"/>
    <mergeCell ref="A1730:A1736"/>
    <mergeCell ref="A1737:A1740"/>
    <mergeCell ref="A1741:A1744"/>
    <mergeCell ref="A1745:A1748"/>
    <mergeCell ref="A1749:A1755"/>
    <mergeCell ref="A1756:A1762"/>
    <mergeCell ref="A1763:A1769"/>
    <mergeCell ref="A1770:A1776"/>
    <mergeCell ref="A1777:A1783"/>
    <mergeCell ref="A1784:A1792"/>
    <mergeCell ref="A1793:A1796"/>
    <mergeCell ref="A1797:A1799"/>
    <mergeCell ref="A1800:A1802"/>
    <mergeCell ref="A1803:A1805"/>
    <mergeCell ref="A1806:A1808"/>
    <mergeCell ref="A1809:A1814"/>
    <mergeCell ref="A1815:A1820"/>
    <mergeCell ref="A1821:A1832"/>
    <mergeCell ref="A1833:A1837"/>
    <mergeCell ref="A1838:A1844"/>
    <mergeCell ref="A1845:A1847"/>
    <mergeCell ref="A1848:A1853"/>
    <mergeCell ref="A1854:A1857"/>
    <mergeCell ref="A1858:A1862"/>
    <mergeCell ref="A1863:A1865"/>
    <mergeCell ref="A1866:A1868"/>
    <mergeCell ref="A1869:A1873"/>
    <mergeCell ref="A1874:A1877"/>
    <mergeCell ref="A1878:A1881"/>
    <mergeCell ref="A1882:A1885"/>
    <mergeCell ref="A1886:A1889"/>
    <mergeCell ref="A1890:A1897"/>
    <mergeCell ref="A1898:A1900"/>
    <mergeCell ref="A1901:A1904"/>
    <mergeCell ref="A1905:A1908"/>
    <mergeCell ref="A1909:A1912"/>
    <mergeCell ref="A1913:A1917"/>
    <mergeCell ref="A1918:A1921"/>
    <mergeCell ref="A1922:A1924"/>
    <mergeCell ref="A1926:A1928"/>
    <mergeCell ref="A1929:A1934"/>
    <mergeCell ref="A1935:A1936"/>
    <mergeCell ref="A1938:A1957"/>
    <mergeCell ref="A1959:A1962"/>
    <mergeCell ref="A1963:A1964"/>
    <mergeCell ref="A1965:A1971"/>
    <mergeCell ref="A1972:A1978"/>
    <mergeCell ref="A1979:A1992"/>
    <mergeCell ref="A1993:A2003"/>
    <mergeCell ref="A2004:A2008"/>
    <mergeCell ref="A2009:A2011"/>
    <mergeCell ref="A2012:A2019"/>
    <mergeCell ref="A2020:A2027"/>
    <mergeCell ref="A2028:A2034"/>
    <mergeCell ref="A2035:A2038"/>
    <mergeCell ref="A2039:A2042"/>
    <mergeCell ref="A2043:A2045"/>
    <mergeCell ref="A2046:A2049"/>
    <mergeCell ref="A2050:A2052"/>
    <mergeCell ref="A2053:A2055"/>
    <mergeCell ref="A2056:A2062"/>
    <mergeCell ref="A2063:A2076"/>
    <mergeCell ref="A2077:A2090"/>
    <mergeCell ref="A2091:A2098"/>
    <mergeCell ref="A2099:A2105"/>
    <mergeCell ref="A2106:A2110"/>
    <mergeCell ref="A2111:A2113"/>
    <mergeCell ref="A2114:A2116"/>
    <mergeCell ref="A2117:A2119"/>
    <mergeCell ref="A2120:A2122"/>
    <mergeCell ref="A2123:A2125"/>
    <mergeCell ref="A2126:A2128"/>
    <mergeCell ref="A2129:A2131"/>
    <mergeCell ref="A2132:A2134"/>
    <mergeCell ref="A2135:A2137"/>
    <mergeCell ref="A2138:A2140"/>
    <mergeCell ref="A2141:A2145"/>
    <mergeCell ref="A2146:A2159"/>
    <mergeCell ref="A2160:A2187"/>
    <mergeCell ref="A2188:A2199"/>
    <mergeCell ref="A2200:A2214"/>
    <mergeCell ref="A2215:A2219"/>
    <mergeCell ref="A2220:A2226"/>
    <mergeCell ref="A2227:A2231"/>
    <mergeCell ref="A2232:A2235"/>
    <mergeCell ref="A2236:A2239"/>
    <mergeCell ref="A2240:A2242"/>
    <mergeCell ref="A2243:A2245"/>
    <mergeCell ref="A2246:A2253"/>
    <mergeCell ref="A2254:A2258"/>
    <mergeCell ref="A2259:A2261"/>
    <mergeCell ref="A2262:A2264"/>
    <mergeCell ref="A2265:A2268"/>
    <mergeCell ref="A2269:A2272"/>
    <mergeCell ref="A2273:A2279"/>
    <mergeCell ref="A2280:A2291"/>
    <mergeCell ref="A2292:A2303"/>
    <mergeCell ref="A2304:A2310"/>
    <mergeCell ref="A2311:A2322"/>
    <mergeCell ref="A2323:A2333"/>
    <mergeCell ref="A2334:A2340"/>
    <mergeCell ref="A2341:A2355"/>
    <mergeCell ref="A2356:A2379"/>
    <mergeCell ref="A2380:A2383"/>
    <mergeCell ref="A2384:A2386"/>
    <mergeCell ref="A2387:A2389"/>
    <mergeCell ref="A2390:A2392"/>
    <mergeCell ref="A2393:A2397"/>
    <mergeCell ref="A2398:A2404"/>
    <mergeCell ref="A2405:A2410"/>
    <mergeCell ref="A2411:A2423"/>
    <mergeCell ref="A2424:A2433"/>
    <mergeCell ref="A2434:A2445"/>
    <mergeCell ref="A2447:A2457"/>
    <mergeCell ref="A2458:A2468"/>
    <mergeCell ref="A2469:A2471"/>
    <mergeCell ref="A2472:A2474"/>
    <mergeCell ref="A2475:A2477"/>
    <mergeCell ref="A2478:A2484"/>
    <mergeCell ref="A2485:A2493"/>
    <mergeCell ref="A2494:A2501"/>
    <mergeCell ref="A2502:A2507"/>
    <mergeCell ref="A2508:A2510"/>
    <mergeCell ref="A2511:A2513"/>
    <mergeCell ref="A2523:A2529"/>
    <mergeCell ref="A2530:A2537"/>
    <mergeCell ref="A2538:A2546"/>
    <mergeCell ref="A2547:A2557"/>
    <mergeCell ref="A2558:A2561"/>
    <mergeCell ref="A2562:A2572"/>
    <mergeCell ref="A2573:A2584"/>
    <mergeCell ref="A2585:A2590"/>
    <mergeCell ref="A2591:A2596"/>
    <mergeCell ref="A2597:A2602"/>
    <mergeCell ref="A2603:A2615"/>
    <mergeCell ref="B5:B14"/>
    <mergeCell ref="B15:B19"/>
    <mergeCell ref="B20:B22"/>
    <mergeCell ref="B25:B28"/>
    <mergeCell ref="B31:B35"/>
    <mergeCell ref="B36:B40"/>
    <mergeCell ref="B41:B45"/>
    <mergeCell ref="B46:B49"/>
    <mergeCell ref="B50:B56"/>
    <mergeCell ref="B57:B60"/>
    <mergeCell ref="B61:B63"/>
    <mergeCell ref="B64:B67"/>
    <mergeCell ref="B69:B73"/>
    <mergeCell ref="B74:B85"/>
    <mergeCell ref="B86:B90"/>
    <mergeCell ref="B91:B93"/>
    <mergeCell ref="B94:B95"/>
    <mergeCell ref="B96:B99"/>
    <mergeCell ref="B100:B102"/>
    <mergeCell ref="B103:B106"/>
    <mergeCell ref="B107:B111"/>
    <mergeCell ref="B112:B114"/>
    <mergeCell ref="B116:B120"/>
    <mergeCell ref="B121:B123"/>
    <mergeCell ref="B124:B127"/>
    <mergeCell ref="B128:B130"/>
    <mergeCell ref="B131:B133"/>
    <mergeCell ref="B134:B136"/>
    <mergeCell ref="B137:B139"/>
    <mergeCell ref="B140:B143"/>
    <mergeCell ref="B144:B146"/>
    <mergeCell ref="B147:B149"/>
    <mergeCell ref="B150:B152"/>
    <mergeCell ref="B153:B155"/>
    <mergeCell ref="B156:B157"/>
    <mergeCell ref="B158:B159"/>
    <mergeCell ref="B160:B163"/>
    <mergeCell ref="B164:B167"/>
    <mergeCell ref="B170:B175"/>
    <mergeCell ref="B176:B178"/>
    <mergeCell ref="B179:B183"/>
    <mergeCell ref="B184:B188"/>
    <mergeCell ref="B189:B193"/>
    <mergeCell ref="B194:B203"/>
    <mergeCell ref="B204:B208"/>
    <mergeCell ref="B209:B219"/>
    <mergeCell ref="B220:B224"/>
    <mergeCell ref="B225:B232"/>
    <mergeCell ref="B233:B237"/>
    <mergeCell ref="B242:B245"/>
    <mergeCell ref="B246:B267"/>
    <mergeCell ref="B268:B276"/>
    <mergeCell ref="B277:B281"/>
    <mergeCell ref="B282:B284"/>
    <mergeCell ref="B285:B288"/>
    <mergeCell ref="B289:B292"/>
    <mergeCell ref="B293:B300"/>
    <mergeCell ref="B301:B317"/>
    <mergeCell ref="B318:B330"/>
    <mergeCell ref="B331:B337"/>
    <mergeCell ref="B338:B343"/>
    <mergeCell ref="B344:B357"/>
    <mergeCell ref="B358:B367"/>
    <mergeCell ref="B368:B374"/>
    <mergeCell ref="B375:B381"/>
    <mergeCell ref="B382:B388"/>
    <mergeCell ref="B389:B396"/>
    <mergeCell ref="B397:B403"/>
    <mergeCell ref="B404:B409"/>
    <mergeCell ref="B411:B412"/>
    <mergeCell ref="B413:B417"/>
    <mergeCell ref="B418:B419"/>
    <mergeCell ref="B420:B423"/>
    <mergeCell ref="B424:B426"/>
    <mergeCell ref="B427:B430"/>
    <mergeCell ref="B431:B435"/>
    <mergeCell ref="B437:B440"/>
    <mergeCell ref="B441:B443"/>
    <mergeCell ref="B444:B449"/>
    <mergeCell ref="B450:B453"/>
    <mergeCell ref="B454:B456"/>
    <mergeCell ref="B458:B460"/>
    <mergeCell ref="B461:B465"/>
    <mergeCell ref="B466:B468"/>
    <mergeCell ref="B469:B472"/>
    <mergeCell ref="B473:B480"/>
    <mergeCell ref="B481:B484"/>
    <mergeCell ref="B485:B488"/>
    <mergeCell ref="B489:B500"/>
    <mergeCell ref="B501:B506"/>
    <mergeCell ref="B508:B512"/>
    <mergeCell ref="B513:B519"/>
    <mergeCell ref="B520:B523"/>
    <mergeCell ref="B524:B527"/>
    <mergeCell ref="B528:B531"/>
    <mergeCell ref="B532:B534"/>
    <mergeCell ref="B535:B537"/>
    <mergeCell ref="B538:B540"/>
    <mergeCell ref="B541:B544"/>
    <mergeCell ref="B545:B548"/>
    <mergeCell ref="B549:B552"/>
    <mergeCell ref="B553:B560"/>
    <mergeCell ref="B561:B568"/>
    <mergeCell ref="B569:B572"/>
    <mergeCell ref="B573:B575"/>
    <mergeCell ref="B577:B582"/>
    <mergeCell ref="B583:B587"/>
    <mergeCell ref="B588:B591"/>
    <mergeCell ref="B592:B599"/>
    <mergeCell ref="B600:B613"/>
    <mergeCell ref="B615:B622"/>
    <mergeCell ref="B623:B629"/>
    <mergeCell ref="B630:B640"/>
    <mergeCell ref="B641:B647"/>
    <mergeCell ref="B648:B651"/>
    <mergeCell ref="B652:B654"/>
    <mergeCell ref="B655:B657"/>
    <mergeCell ref="B658:B662"/>
    <mergeCell ref="B663:B664"/>
    <mergeCell ref="B665:B671"/>
    <mergeCell ref="B672:B682"/>
    <mergeCell ref="B683:B689"/>
    <mergeCell ref="B690:B712"/>
    <mergeCell ref="B713:B715"/>
    <mergeCell ref="B716:B720"/>
    <mergeCell ref="B721:B732"/>
    <mergeCell ref="B733:B743"/>
    <mergeCell ref="B744:B757"/>
    <mergeCell ref="B758:B764"/>
    <mergeCell ref="B765:B769"/>
    <mergeCell ref="B770:B773"/>
    <mergeCell ref="B774:B780"/>
    <mergeCell ref="B781:B791"/>
    <mergeCell ref="B792:B801"/>
    <mergeCell ref="B802:B807"/>
    <mergeCell ref="B808:B816"/>
    <mergeCell ref="B817:B820"/>
    <mergeCell ref="B821:B827"/>
    <mergeCell ref="B828:B833"/>
    <mergeCell ref="B834:B848"/>
    <mergeCell ref="B849:B852"/>
    <mergeCell ref="B853:B862"/>
    <mergeCell ref="B863:B868"/>
    <mergeCell ref="B869:B875"/>
    <mergeCell ref="B876:B880"/>
    <mergeCell ref="B881:B887"/>
    <mergeCell ref="B888:B891"/>
    <mergeCell ref="B892:B898"/>
    <mergeCell ref="B899:B905"/>
    <mergeCell ref="B906:B910"/>
    <mergeCell ref="B911:B916"/>
    <mergeCell ref="B917:B925"/>
    <mergeCell ref="B926:B931"/>
    <mergeCell ref="B932:B937"/>
    <mergeCell ref="B938:B941"/>
    <mergeCell ref="B942:B945"/>
    <mergeCell ref="B946:B956"/>
    <mergeCell ref="B957:B960"/>
    <mergeCell ref="B961:B963"/>
    <mergeCell ref="B964:B967"/>
    <mergeCell ref="B968:B973"/>
    <mergeCell ref="B974:B977"/>
    <mergeCell ref="B978:B980"/>
    <mergeCell ref="B981:B984"/>
    <mergeCell ref="B985:B987"/>
    <mergeCell ref="B988:B990"/>
    <mergeCell ref="B991:B994"/>
    <mergeCell ref="B995:B997"/>
    <mergeCell ref="B998:B1001"/>
    <mergeCell ref="B1002:B1005"/>
    <mergeCell ref="B1006:B1009"/>
    <mergeCell ref="B1010:B1012"/>
    <mergeCell ref="B1013:B1015"/>
    <mergeCell ref="B1016:B1019"/>
    <mergeCell ref="B1022:B1025"/>
    <mergeCell ref="B1027:B1029"/>
    <mergeCell ref="B1032:B1034"/>
    <mergeCell ref="B1035:B1042"/>
    <mergeCell ref="B1043:B1045"/>
    <mergeCell ref="B1046:B1048"/>
    <mergeCell ref="B1049:B1051"/>
    <mergeCell ref="B1052:B1054"/>
    <mergeCell ref="B1055:B1057"/>
    <mergeCell ref="B1058:B1060"/>
    <mergeCell ref="B1061:B1064"/>
    <mergeCell ref="B1065:B1067"/>
    <mergeCell ref="B1068:B1070"/>
    <mergeCell ref="B1071:B1074"/>
    <mergeCell ref="B1075:B1082"/>
    <mergeCell ref="B1083:B1097"/>
    <mergeCell ref="B1098:B1100"/>
    <mergeCell ref="B1101:B1103"/>
    <mergeCell ref="B1104:B1106"/>
    <mergeCell ref="B1107:B1109"/>
    <mergeCell ref="B1110:B1113"/>
    <mergeCell ref="B1114:B1117"/>
    <mergeCell ref="B1118:B1134"/>
    <mergeCell ref="B1135:B1144"/>
    <mergeCell ref="B1145:B1151"/>
    <mergeCell ref="B1152:B1155"/>
    <mergeCell ref="B1156:B1159"/>
    <mergeCell ref="B1160:B1163"/>
    <mergeCell ref="B1164:B1167"/>
    <mergeCell ref="B1168:B1170"/>
    <mergeCell ref="B1171:B1178"/>
    <mergeCell ref="B1179:B1186"/>
    <mergeCell ref="B1187:B1196"/>
    <mergeCell ref="B1197:B1201"/>
    <mergeCell ref="B1202:B1211"/>
    <mergeCell ref="B1212:B1223"/>
    <mergeCell ref="B1224:B1228"/>
    <mergeCell ref="B1229:B1232"/>
    <mergeCell ref="B1233:B1236"/>
    <mergeCell ref="B1237:B1240"/>
    <mergeCell ref="B1241:B1247"/>
    <mergeCell ref="B1248:B1250"/>
    <mergeCell ref="B1251:B1253"/>
    <mergeCell ref="B1254:B1256"/>
    <mergeCell ref="B1257:B1259"/>
    <mergeCell ref="B1260:B1262"/>
    <mergeCell ref="B1263:B1283"/>
    <mergeCell ref="B1284:B1303"/>
    <mergeCell ref="B1304:B1310"/>
    <mergeCell ref="B1311:B1319"/>
    <mergeCell ref="B1320:B1356"/>
    <mergeCell ref="B1357:B1359"/>
    <mergeCell ref="B1360:B1363"/>
    <mergeCell ref="B1364:B1365"/>
    <mergeCell ref="B1366:B1368"/>
    <mergeCell ref="B1369:B1371"/>
    <mergeCell ref="B1372:B1376"/>
    <mergeCell ref="B1377:B1386"/>
    <mergeCell ref="B1387:B1393"/>
    <mergeCell ref="B1394:B1398"/>
    <mergeCell ref="B1399:B1401"/>
    <mergeCell ref="B1402:B1404"/>
    <mergeCell ref="B1405:B1406"/>
    <mergeCell ref="B1407:B1409"/>
    <mergeCell ref="B1410:B1412"/>
    <mergeCell ref="B1413:B1415"/>
    <mergeCell ref="B1416:B1420"/>
    <mergeCell ref="B1421:B1427"/>
    <mergeCell ref="B1428:B1429"/>
    <mergeCell ref="B1430:B1435"/>
    <mergeCell ref="B1436:B1439"/>
    <mergeCell ref="B1440:B1446"/>
    <mergeCell ref="B1447:B1453"/>
    <mergeCell ref="B1454:B1456"/>
    <mergeCell ref="B1457:B1459"/>
    <mergeCell ref="B1460:B1462"/>
    <mergeCell ref="B1463:B1464"/>
    <mergeCell ref="B1465:B1467"/>
    <mergeCell ref="B1468:B1470"/>
    <mergeCell ref="B1471:B1475"/>
    <mergeCell ref="B1476:B1488"/>
    <mergeCell ref="B1489:B1495"/>
    <mergeCell ref="B1496:B1499"/>
    <mergeCell ref="B1500:B1503"/>
    <mergeCell ref="B1505:B1506"/>
    <mergeCell ref="B1507:B1510"/>
    <mergeCell ref="B1511:B1516"/>
    <mergeCell ref="B1517:B1521"/>
    <mergeCell ref="B1522:B1525"/>
    <mergeCell ref="B1526:B1539"/>
    <mergeCell ref="B1540:B1546"/>
    <mergeCell ref="B1547:B1556"/>
    <mergeCell ref="B1557:B1564"/>
    <mergeCell ref="B1565:B1567"/>
    <mergeCell ref="B1568:B1571"/>
    <mergeCell ref="B1574:B1577"/>
    <mergeCell ref="B1578:B1583"/>
    <mergeCell ref="B1584:B1594"/>
    <mergeCell ref="B1595:B1598"/>
    <mergeCell ref="B1599:B1601"/>
    <mergeCell ref="B1602:B1605"/>
    <mergeCell ref="B1606:B1613"/>
    <mergeCell ref="B1614:B1618"/>
    <mergeCell ref="B1619:B1624"/>
    <mergeCell ref="B1625:B1629"/>
    <mergeCell ref="B1630:B1632"/>
    <mergeCell ref="B1633:B1646"/>
    <mergeCell ref="B1647:B1649"/>
    <mergeCell ref="B1650:B1654"/>
    <mergeCell ref="B1655:B1660"/>
    <mergeCell ref="B1661:B1666"/>
    <mergeCell ref="B1667:B1675"/>
    <mergeCell ref="B1676:B1679"/>
    <mergeCell ref="B1680:B1693"/>
    <mergeCell ref="B1694:B1697"/>
    <mergeCell ref="B1698:B1702"/>
    <mergeCell ref="B1703:B1705"/>
    <mergeCell ref="B1706:B1708"/>
    <mergeCell ref="B1709:B1713"/>
    <mergeCell ref="B1714:B1718"/>
    <mergeCell ref="B1719:B1721"/>
    <mergeCell ref="B1722:B1729"/>
    <mergeCell ref="B1730:B1736"/>
    <mergeCell ref="B1737:B1740"/>
    <mergeCell ref="B1741:B1744"/>
    <mergeCell ref="B1745:B1748"/>
    <mergeCell ref="B1749:B1755"/>
    <mergeCell ref="B1756:B1762"/>
    <mergeCell ref="B1763:B1769"/>
    <mergeCell ref="B1770:B1776"/>
    <mergeCell ref="B1777:B1783"/>
    <mergeCell ref="B1784:B1792"/>
    <mergeCell ref="B1793:B1796"/>
    <mergeCell ref="B1797:B1799"/>
    <mergeCell ref="B1800:B1802"/>
    <mergeCell ref="B1803:B1805"/>
    <mergeCell ref="B1806:B1808"/>
    <mergeCell ref="B1809:B1814"/>
    <mergeCell ref="B1815:B1820"/>
    <mergeCell ref="B1821:B1832"/>
    <mergeCell ref="B1833:B1837"/>
    <mergeCell ref="B1838:B1844"/>
    <mergeCell ref="B1845:B1847"/>
    <mergeCell ref="B1848:B1853"/>
    <mergeCell ref="B1854:B1857"/>
    <mergeCell ref="B1858:B1862"/>
    <mergeCell ref="B1863:B1865"/>
    <mergeCell ref="B1866:B1868"/>
    <mergeCell ref="B1869:B1873"/>
    <mergeCell ref="B1874:B1877"/>
    <mergeCell ref="B1878:B1881"/>
    <mergeCell ref="B1882:B1885"/>
    <mergeCell ref="B1886:B1889"/>
    <mergeCell ref="B1890:B1897"/>
    <mergeCell ref="B1898:B1900"/>
    <mergeCell ref="B1901:B1904"/>
    <mergeCell ref="B1905:B1908"/>
    <mergeCell ref="B1909:B1912"/>
    <mergeCell ref="B1913:B1917"/>
    <mergeCell ref="B1918:B1921"/>
    <mergeCell ref="B1922:B1924"/>
    <mergeCell ref="B1926:B1928"/>
    <mergeCell ref="B1929:B1934"/>
    <mergeCell ref="B1935:B1936"/>
    <mergeCell ref="B1938:B1957"/>
    <mergeCell ref="B1959:B1962"/>
    <mergeCell ref="B1963:B1964"/>
    <mergeCell ref="B1965:B1971"/>
    <mergeCell ref="B1972:B1978"/>
    <mergeCell ref="B1979:B1992"/>
    <mergeCell ref="B1993:B2003"/>
    <mergeCell ref="B2004:B2008"/>
    <mergeCell ref="B2009:B2011"/>
    <mergeCell ref="B2012:B2019"/>
    <mergeCell ref="B2020:B2027"/>
    <mergeCell ref="B2028:B2034"/>
    <mergeCell ref="B2035:B2038"/>
    <mergeCell ref="B2039:B2042"/>
    <mergeCell ref="B2043:B2045"/>
    <mergeCell ref="B2046:B2049"/>
    <mergeCell ref="B2050:B2052"/>
    <mergeCell ref="B2053:B2055"/>
    <mergeCell ref="B2056:B2062"/>
    <mergeCell ref="B2063:B2076"/>
    <mergeCell ref="B2077:B2090"/>
    <mergeCell ref="B2091:B2098"/>
    <mergeCell ref="B2099:B2105"/>
    <mergeCell ref="B2106:B2110"/>
    <mergeCell ref="B2111:B2113"/>
    <mergeCell ref="B2114:B2116"/>
    <mergeCell ref="B2117:B2119"/>
    <mergeCell ref="B2120:B2122"/>
    <mergeCell ref="B2123:B2125"/>
    <mergeCell ref="B2126:B2128"/>
    <mergeCell ref="B2129:B2131"/>
    <mergeCell ref="B2132:B2134"/>
    <mergeCell ref="B2135:B2137"/>
    <mergeCell ref="B2138:B2140"/>
    <mergeCell ref="B2141:B2145"/>
    <mergeCell ref="B2146:B2159"/>
    <mergeCell ref="B2160:B2187"/>
    <mergeCell ref="B2188:B2199"/>
    <mergeCell ref="B2200:B2214"/>
    <mergeCell ref="B2215:B2219"/>
    <mergeCell ref="B2220:B2226"/>
    <mergeCell ref="B2227:B2231"/>
    <mergeCell ref="B2232:B2235"/>
    <mergeCell ref="B2236:B2239"/>
    <mergeCell ref="B2240:B2242"/>
    <mergeCell ref="B2243:B2245"/>
    <mergeCell ref="B2246:B2253"/>
    <mergeCell ref="B2254:B2258"/>
    <mergeCell ref="B2259:B2261"/>
    <mergeCell ref="B2262:B2264"/>
    <mergeCell ref="B2265:B2268"/>
    <mergeCell ref="B2269:B2272"/>
    <mergeCell ref="B2273:B2279"/>
    <mergeCell ref="B2280:B2291"/>
    <mergeCell ref="B2292:B2303"/>
    <mergeCell ref="B2304:B2310"/>
    <mergeCell ref="B2311:B2322"/>
    <mergeCell ref="B2323:B2333"/>
    <mergeCell ref="B2334:B2340"/>
    <mergeCell ref="B2341:B2355"/>
    <mergeCell ref="B2356:B2379"/>
    <mergeCell ref="B2380:B2383"/>
    <mergeCell ref="B2384:B2386"/>
    <mergeCell ref="B2387:B2389"/>
    <mergeCell ref="B2390:B2392"/>
    <mergeCell ref="B2393:B2397"/>
    <mergeCell ref="B2398:B2404"/>
    <mergeCell ref="B2405:B2410"/>
    <mergeCell ref="B2411:B2423"/>
    <mergeCell ref="B2424:B2433"/>
    <mergeCell ref="B2434:B2445"/>
    <mergeCell ref="B2447:B2457"/>
    <mergeCell ref="B2458:B2468"/>
    <mergeCell ref="B2469:B2471"/>
    <mergeCell ref="B2472:B2474"/>
    <mergeCell ref="B2475:B2477"/>
    <mergeCell ref="B2478:B2484"/>
    <mergeCell ref="B2485:B2493"/>
    <mergeCell ref="B2494:B2501"/>
    <mergeCell ref="B2502:B2507"/>
    <mergeCell ref="B2508:B2510"/>
    <mergeCell ref="B2511:B2513"/>
    <mergeCell ref="B2523:B2529"/>
    <mergeCell ref="B2530:B2537"/>
    <mergeCell ref="B2538:B2546"/>
    <mergeCell ref="B2547:B2557"/>
    <mergeCell ref="B2558:B2561"/>
    <mergeCell ref="B2562:B2572"/>
    <mergeCell ref="B2573:B2584"/>
    <mergeCell ref="B2585:B2590"/>
    <mergeCell ref="B2591:B2596"/>
    <mergeCell ref="B2597:B2602"/>
    <mergeCell ref="B2603:B2615"/>
    <mergeCell ref="C5:C14"/>
    <mergeCell ref="C15:C19"/>
    <mergeCell ref="C20:C22"/>
    <mergeCell ref="C25:C28"/>
    <mergeCell ref="C31:C35"/>
    <mergeCell ref="C36:C40"/>
    <mergeCell ref="C41:C45"/>
    <mergeCell ref="C46:C49"/>
    <mergeCell ref="C50:C56"/>
    <mergeCell ref="C57:C60"/>
    <mergeCell ref="C61:C63"/>
    <mergeCell ref="C64:C67"/>
    <mergeCell ref="C69:C73"/>
    <mergeCell ref="C74:C85"/>
    <mergeCell ref="C86:C90"/>
    <mergeCell ref="C91:C93"/>
    <mergeCell ref="C94:C95"/>
    <mergeCell ref="C96:C99"/>
    <mergeCell ref="C100:C102"/>
    <mergeCell ref="C103:C106"/>
    <mergeCell ref="C107:C111"/>
    <mergeCell ref="C112:C114"/>
    <mergeCell ref="C116:C120"/>
    <mergeCell ref="C121:C123"/>
    <mergeCell ref="C124:C127"/>
    <mergeCell ref="C128:C130"/>
    <mergeCell ref="C131:C133"/>
    <mergeCell ref="C134:C136"/>
    <mergeCell ref="C137:C139"/>
    <mergeCell ref="C140:C143"/>
    <mergeCell ref="C144:C146"/>
    <mergeCell ref="C147:C149"/>
    <mergeCell ref="C150:C152"/>
    <mergeCell ref="C153:C155"/>
    <mergeCell ref="C156:C157"/>
    <mergeCell ref="C158:C159"/>
    <mergeCell ref="C160:C163"/>
    <mergeCell ref="C164:C167"/>
    <mergeCell ref="C170:C175"/>
    <mergeCell ref="C176:C178"/>
    <mergeCell ref="C179:C183"/>
    <mergeCell ref="C184:C188"/>
    <mergeCell ref="C189:C193"/>
    <mergeCell ref="C194:C203"/>
    <mergeCell ref="C204:C208"/>
    <mergeCell ref="C209:C219"/>
    <mergeCell ref="C220:C224"/>
    <mergeCell ref="C225:C232"/>
    <mergeCell ref="C233:C237"/>
    <mergeCell ref="C242:C245"/>
    <mergeCell ref="C246:C267"/>
    <mergeCell ref="C268:C276"/>
    <mergeCell ref="C277:C281"/>
    <mergeCell ref="C282:C284"/>
    <mergeCell ref="C285:C288"/>
    <mergeCell ref="C289:C292"/>
    <mergeCell ref="C293:C300"/>
    <mergeCell ref="C301:C317"/>
    <mergeCell ref="C318:C330"/>
    <mergeCell ref="C331:C337"/>
    <mergeCell ref="C338:C343"/>
    <mergeCell ref="C344:C357"/>
    <mergeCell ref="C358:C367"/>
    <mergeCell ref="C368:C374"/>
    <mergeCell ref="C375:C381"/>
    <mergeCell ref="C382:C388"/>
    <mergeCell ref="C389:C396"/>
    <mergeCell ref="C397:C403"/>
    <mergeCell ref="C404:C409"/>
    <mergeCell ref="C411:C412"/>
    <mergeCell ref="C413:C417"/>
    <mergeCell ref="C418:C419"/>
    <mergeCell ref="C420:C423"/>
    <mergeCell ref="C424:C426"/>
    <mergeCell ref="C427:C430"/>
    <mergeCell ref="C431:C435"/>
    <mergeCell ref="C437:C440"/>
    <mergeCell ref="C441:C443"/>
    <mergeCell ref="C444:C449"/>
    <mergeCell ref="C450:C453"/>
    <mergeCell ref="C454:C456"/>
    <mergeCell ref="C458:C460"/>
    <mergeCell ref="C461:C465"/>
    <mergeCell ref="C466:C468"/>
    <mergeCell ref="C469:C472"/>
    <mergeCell ref="C473:C480"/>
    <mergeCell ref="C481:C484"/>
    <mergeCell ref="C485:C488"/>
    <mergeCell ref="C489:C500"/>
    <mergeCell ref="C501:C506"/>
    <mergeCell ref="C508:C512"/>
    <mergeCell ref="C513:C519"/>
    <mergeCell ref="C520:C523"/>
    <mergeCell ref="C524:C527"/>
    <mergeCell ref="C528:C531"/>
    <mergeCell ref="C532:C534"/>
    <mergeCell ref="C535:C537"/>
    <mergeCell ref="C538:C540"/>
    <mergeCell ref="C541:C544"/>
    <mergeCell ref="C545:C548"/>
    <mergeCell ref="C549:C552"/>
    <mergeCell ref="C553:C560"/>
    <mergeCell ref="C561:C568"/>
    <mergeCell ref="C569:C572"/>
    <mergeCell ref="C573:C575"/>
    <mergeCell ref="C577:C582"/>
    <mergeCell ref="C583:C587"/>
    <mergeCell ref="C588:C591"/>
    <mergeCell ref="C592:C599"/>
    <mergeCell ref="C600:C613"/>
    <mergeCell ref="C615:C622"/>
    <mergeCell ref="C623:C629"/>
    <mergeCell ref="C630:C640"/>
    <mergeCell ref="C641:C647"/>
    <mergeCell ref="C648:C651"/>
    <mergeCell ref="C652:C654"/>
    <mergeCell ref="C655:C657"/>
    <mergeCell ref="C658:C662"/>
    <mergeCell ref="C663:C664"/>
    <mergeCell ref="C665:C671"/>
    <mergeCell ref="C672:C682"/>
    <mergeCell ref="C683:C689"/>
    <mergeCell ref="C690:C712"/>
    <mergeCell ref="C713:C715"/>
    <mergeCell ref="C716:C720"/>
    <mergeCell ref="C721:C732"/>
    <mergeCell ref="C733:C743"/>
    <mergeCell ref="C744:C757"/>
    <mergeCell ref="C758:C764"/>
    <mergeCell ref="C765:C769"/>
    <mergeCell ref="C770:C773"/>
    <mergeCell ref="C774:C780"/>
    <mergeCell ref="C781:C791"/>
    <mergeCell ref="C792:C801"/>
    <mergeCell ref="C802:C807"/>
    <mergeCell ref="C808:C816"/>
    <mergeCell ref="C817:C820"/>
    <mergeCell ref="C821:C827"/>
    <mergeCell ref="C828:C833"/>
    <mergeCell ref="C834:C848"/>
    <mergeCell ref="C849:C852"/>
    <mergeCell ref="C853:C862"/>
    <mergeCell ref="C863:C868"/>
    <mergeCell ref="C869:C875"/>
    <mergeCell ref="C876:C880"/>
    <mergeCell ref="C881:C887"/>
    <mergeCell ref="C888:C891"/>
    <mergeCell ref="C892:C898"/>
    <mergeCell ref="C899:C905"/>
    <mergeCell ref="C906:C910"/>
    <mergeCell ref="C911:C916"/>
    <mergeCell ref="C917:C925"/>
    <mergeCell ref="C926:C931"/>
    <mergeCell ref="C932:C937"/>
    <mergeCell ref="C938:C941"/>
    <mergeCell ref="C942:C945"/>
    <mergeCell ref="C946:C956"/>
    <mergeCell ref="C957:C960"/>
    <mergeCell ref="C961:C963"/>
    <mergeCell ref="C964:C967"/>
    <mergeCell ref="C968:C973"/>
    <mergeCell ref="C974:C977"/>
    <mergeCell ref="C978:C980"/>
    <mergeCell ref="C981:C984"/>
    <mergeCell ref="C985:C987"/>
    <mergeCell ref="C988:C990"/>
    <mergeCell ref="C991:C994"/>
    <mergeCell ref="C995:C997"/>
    <mergeCell ref="C998:C1001"/>
    <mergeCell ref="C1002:C1005"/>
    <mergeCell ref="C1006:C1009"/>
    <mergeCell ref="C1010:C1012"/>
    <mergeCell ref="C1013:C1015"/>
    <mergeCell ref="C1016:C1019"/>
    <mergeCell ref="C1022:C1025"/>
    <mergeCell ref="C1027:C1029"/>
    <mergeCell ref="C1032:C1034"/>
    <mergeCell ref="C1035:C1042"/>
    <mergeCell ref="C1043:C1045"/>
    <mergeCell ref="C1046:C1048"/>
    <mergeCell ref="C1049:C1051"/>
    <mergeCell ref="C1052:C1054"/>
    <mergeCell ref="C1055:C1057"/>
    <mergeCell ref="C1058:C1060"/>
    <mergeCell ref="C1061:C1064"/>
    <mergeCell ref="C1065:C1067"/>
    <mergeCell ref="C1068:C1070"/>
    <mergeCell ref="C1071:C1074"/>
    <mergeCell ref="C1075:C1082"/>
    <mergeCell ref="C1083:C1097"/>
    <mergeCell ref="C1098:C1100"/>
    <mergeCell ref="C1101:C1103"/>
    <mergeCell ref="C1104:C1106"/>
    <mergeCell ref="C1107:C1109"/>
    <mergeCell ref="C1110:C1113"/>
    <mergeCell ref="C1114:C1117"/>
    <mergeCell ref="C1118:C1134"/>
    <mergeCell ref="C1135:C1144"/>
    <mergeCell ref="C1145:C1151"/>
    <mergeCell ref="C1152:C1155"/>
    <mergeCell ref="C1156:C1159"/>
    <mergeCell ref="C1160:C1163"/>
    <mergeCell ref="C1164:C1167"/>
    <mergeCell ref="C1168:C1170"/>
    <mergeCell ref="C1171:C1178"/>
    <mergeCell ref="C1179:C1186"/>
    <mergeCell ref="C1187:C1196"/>
    <mergeCell ref="C1197:C1201"/>
    <mergeCell ref="C1202:C1211"/>
    <mergeCell ref="C1212:C1223"/>
    <mergeCell ref="C1224:C1228"/>
    <mergeCell ref="C1229:C1232"/>
    <mergeCell ref="C1233:C1236"/>
    <mergeCell ref="C1237:C1240"/>
    <mergeCell ref="C1241:C1247"/>
    <mergeCell ref="C1248:C1250"/>
    <mergeCell ref="C1251:C1253"/>
    <mergeCell ref="C1254:C1256"/>
    <mergeCell ref="C1257:C1259"/>
    <mergeCell ref="C1260:C1262"/>
    <mergeCell ref="C1263:C1283"/>
    <mergeCell ref="C1284:C1303"/>
    <mergeCell ref="C1304:C1310"/>
    <mergeCell ref="C1311:C1319"/>
    <mergeCell ref="C1320:C1356"/>
    <mergeCell ref="C1357:C1359"/>
    <mergeCell ref="C1360:C1363"/>
    <mergeCell ref="C1364:C1365"/>
    <mergeCell ref="C1366:C1368"/>
    <mergeCell ref="C1369:C1371"/>
    <mergeCell ref="C1372:C1376"/>
    <mergeCell ref="C1377:C1386"/>
    <mergeCell ref="C1387:C1393"/>
    <mergeCell ref="C1394:C1398"/>
    <mergeCell ref="C1399:C1401"/>
    <mergeCell ref="C1402:C1404"/>
    <mergeCell ref="C1405:C1406"/>
    <mergeCell ref="C1407:C1409"/>
    <mergeCell ref="C1410:C1412"/>
    <mergeCell ref="C1413:C1415"/>
    <mergeCell ref="C1416:C1420"/>
    <mergeCell ref="C1421:C1427"/>
    <mergeCell ref="C1428:C1429"/>
    <mergeCell ref="C1430:C1435"/>
    <mergeCell ref="C1436:C1439"/>
    <mergeCell ref="C1440:C1446"/>
    <mergeCell ref="C1447:C1453"/>
    <mergeCell ref="C1454:C1456"/>
    <mergeCell ref="C1457:C1459"/>
    <mergeCell ref="C1460:C1462"/>
    <mergeCell ref="C1463:C1464"/>
    <mergeCell ref="C1465:C1467"/>
    <mergeCell ref="C1468:C1470"/>
    <mergeCell ref="C1471:C1475"/>
    <mergeCell ref="C1476:C1488"/>
    <mergeCell ref="C1489:C1495"/>
    <mergeCell ref="C1496:C1499"/>
    <mergeCell ref="C1500:C1503"/>
    <mergeCell ref="C1505:C1506"/>
    <mergeCell ref="C1507:C1510"/>
    <mergeCell ref="C1511:C1516"/>
    <mergeCell ref="C1517:C1521"/>
    <mergeCell ref="C1522:C1525"/>
    <mergeCell ref="C1526:C1539"/>
    <mergeCell ref="C1540:C1546"/>
    <mergeCell ref="C1547:C1556"/>
    <mergeCell ref="C1557:C1564"/>
    <mergeCell ref="C1565:C1567"/>
    <mergeCell ref="C1568:C1571"/>
    <mergeCell ref="C1574:C1577"/>
    <mergeCell ref="C1578:C1583"/>
    <mergeCell ref="C1584:C1594"/>
    <mergeCell ref="C1595:C1598"/>
    <mergeCell ref="C1599:C1601"/>
    <mergeCell ref="C1602:C1605"/>
    <mergeCell ref="C1606:C1613"/>
    <mergeCell ref="C1614:C1618"/>
    <mergeCell ref="C1619:C1624"/>
    <mergeCell ref="C1625:C1629"/>
    <mergeCell ref="C1630:C1632"/>
    <mergeCell ref="C1633:C1646"/>
    <mergeCell ref="C1647:C1649"/>
    <mergeCell ref="C1650:C1654"/>
    <mergeCell ref="C1655:C1660"/>
    <mergeCell ref="C1661:C1666"/>
    <mergeCell ref="C1667:C1675"/>
    <mergeCell ref="C1676:C1679"/>
    <mergeCell ref="C1680:C1693"/>
    <mergeCell ref="C1694:C1697"/>
    <mergeCell ref="C1698:C1702"/>
    <mergeCell ref="C1703:C1705"/>
    <mergeCell ref="C1706:C1708"/>
    <mergeCell ref="C1709:C1713"/>
    <mergeCell ref="C1714:C1718"/>
    <mergeCell ref="C1719:C1721"/>
    <mergeCell ref="C1722:C1729"/>
    <mergeCell ref="C1730:C1736"/>
    <mergeCell ref="C1737:C1740"/>
    <mergeCell ref="C1741:C1744"/>
    <mergeCell ref="C1745:C1748"/>
    <mergeCell ref="C1749:C1755"/>
    <mergeCell ref="C1756:C1762"/>
    <mergeCell ref="C1763:C1769"/>
    <mergeCell ref="C1770:C1776"/>
    <mergeCell ref="C1777:C1783"/>
    <mergeCell ref="C1784:C1792"/>
    <mergeCell ref="C1793:C1796"/>
    <mergeCell ref="C1797:C1799"/>
    <mergeCell ref="C1800:C1802"/>
    <mergeCell ref="C1803:C1805"/>
    <mergeCell ref="C1806:C1808"/>
    <mergeCell ref="C1809:C1814"/>
    <mergeCell ref="C1815:C1820"/>
    <mergeCell ref="C1821:C1832"/>
    <mergeCell ref="C1833:C1837"/>
    <mergeCell ref="C1838:C1844"/>
    <mergeCell ref="C1845:C1847"/>
    <mergeCell ref="C1848:C1853"/>
    <mergeCell ref="C1854:C1857"/>
    <mergeCell ref="C1858:C1862"/>
    <mergeCell ref="C1863:C1865"/>
    <mergeCell ref="C1866:C1868"/>
    <mergeCell ref="C1869:C1873"/>
    <mergeCell ref="C1874:C1877"/>
    <mergeCell ref="C1878:C1881"/>
    <mergeCell ref="C1882:C1885"/>
    <mergeCell ref="C1886:C1889"/>
    <mergeCell ref="C1890:C1897"/>
    <mergeCell ref="C1898:C1900"/>
    <mergeCell ref="C1901:C1904"/>
    <mergeCell ref="C1905:C1908"/>
    <mergeCell ref="C1909:C1912"/>
    <mergeCell ref="C1913:C1917"/>
    <mergeCell ref="C1918:C1921"/>
    <mergeCell ref="C1922:C1924"/>
    <mergeCell ref="C1926:C1928"/>
    <mergeCell ref="C1929:C1934"/>
    <mergeCell ref="C1935:C1936"/>
    <mergeCell ref="C1938:C1957"/>
    <mergeCell ref="C1959:C1962"/>
    <mergeCell ref="C1963:C1964"/>
    <mergeCell ref="C1965:C1971"/>
    <mergeCell ref="C1972:C1978"/>
    <mergeCell ref="C1979:C1992"/>
    <mergeCell ref="C1993:C2003"/>
    <mergeCell ref="C2004:C2008"/>
    <mergeCell ref="C2009:C2011"/>
    <mergeCell ref="C2012:C2019"/>
    <mergeCell ref="C2020:C2027"/>
    <mergeCell ref="C2028:C2034"/>
    <mergeCell ref="C2035:C2038"/>
    <mergeCell ref="C2039:C2042"/>
    <mergeCell ref="C2043:C2045"/>
    <mergeCell ref="C2046:C2049"/>
    <mergeCell ref="C2050:C2052"/>
    <mergeCell ref="C2053:C2055"/>
    <mergeCell ref="C2056:C2062"/>
    <mergeCell ref="C2063:C2076"/>
    <mergeCell ref="C2077:C2090"/>
    <mergeCell ref="C2091:C2098"/>
    <mergeCell ref="C2099:C2105"/>
    <mergeCell ref="C2106:C2110"/>
    <mergeCell ref="C2111:C2113"/>
    <mergeCell ref="C2114:C2116"/>
    <mergeCell ref="C2117:C2119"/>
    <mergeCell ref="C2120:C2122"/>
    <mergeCell ref="C2123:C2125"/>
    <mergeCell ref="C2126:C2128"/>
    <mergeCell ref="C2129:C2131"/>
    <mergeCell ref="C2132:C2134"/>
    <mergeCell ref="C2135:C2137"/>
    <mergeCell ref="C2138:C2140"/>
    <mergeCell ref="C2141:C2145"/>
    <mergeCell ref="C2146:C2159"/>
    <mergeCell ref="C2160:C2187"/>
    <mergeCell ref="C2188:C2199"/>
    <mergeCell ref="C2200:C2214"/>
    <mergeCell ref="C2215:C2219"/>
    <mergeCell ref="C2220:C2226"/>
    <mergeCell ref="C2227:C2231"/>
    <mergeCell ref="C2232:C2235"/>
    <mergeCell ref="C2236:C2239"/>
    <mergeCell ref="C2240:C2242"/>
    <mergeCell ref="C2243:C2245"/>
    <mergeCell ref="C2246:C2253"/>
    <mergeCell ref="C2254:C2258"/>
    <mergeCell ref="C2259:C2261"/>
    <mergeCell ref="C2262:C2264"/>
    <mergeCell ref="C2265:C2268"/>
    <mergeCell ref="C2269:C2272"/>
    <mergeCell ref="C2273:C2279"/>
    <mergeCell ref="C2280:C2291"/>
    <mergeCell ref="C2292:C2303"/>
    <mergeCell ref="C2304:C2310"/>
    <mergeCell ref="C2311:C2322"/>
    <mergeCell ref="C2323:C2333"/>
    <mergeCell ref="C2334:C2340"/>
    <mergeCell ref="C2341:C2355"/>
    <mergeCell ref="C2356:C2379"/>
    <mergeCell ref="C2380:C2383"/>
    <mergeCell ref="C2384:C2386"/>
    <mergeCell ref="C2387:C2389"/>
    <mergeCell ref="C2390:C2392"/>
    <mergeCell ref="C2393:C2397"/>
    <mergeCell ref="C2398:C2404"/>
    <mergeCell ref="C2405:C2410"/>
    <mergeCell ref="C2411:C2423"/>
    <mergeCell ref="C2424:C2433"/>
    <mergeCell ref="C2434:C2445"/>
    <mergeCell ref="C2447:C2457"/>
    <mergeCell ref="C2458:C2468"/>
    <mergeCell ref="C2469:C2471"/>
    <mergeCell ref="C2472:C2474"/>
    <mergeCell ref="C2475:C2477"/>
    <mergeCell ref="C2478:C2484"/>
    <mergeCell ref="C2485:C2493"/>
    <mergeCell ref="C2494:C2501"/>
    <mergeCell ref="C2502:C2507"/>
    <mergeCell ref="C2508:C2510"/>
    <mergeCell ref="C2511:C2513"/>
    <mergeCell ref="C2523:C2529"/>
    <mergeCell ref="C2530:C2537"/>
    <mergeCell ref="C2538:C2546"/>
    <mergeCell ref="C2547:C2557"/>
    <mergeCell ref="C2558:C2561"/>
    <mergeCell ref="C2562:C2572"/>
    <mergeCell ref="C2573:C2584"/>
    <mergeCell ref="C2585:C2590"/>
    <mergeCell ref="C2591:C2596"/>
    <mergeCell ref="C2597:C2602"/>
    <mergeCell ref="C2603:C2615"/>
    <mergeCell ref="D5:D14"/>
    <mergeCell ref="D15:D19"/>
    <mergeCell ref="D20:D22"/>
    <mergeCell ref="D25:D28"/>
    <mergeCell ref="D31:D35"/>
    <mergeCell ref="D36:D40"/>
    <mergeCell ref="D41:D45"/>
    <mergeCell ref="D46:D49"/>
    <mergeCell ref="D50:D56"/>
    <mergeCell ref="D57:D60"/>
    <mergeCell ref="D64:D67"/>
    <mergeCell ref="D69:D73"/>
    <mergeCell ref="D74:D85"/>
    <mergeCell ref="D86:D90"/>
    <mergeCell ref="D91:D93"/>
    <mergeCell ref="D94:D95"/>
    <mergeCell ref="D96:D99"/>
    <mergeCell ref="D100:D102"/>
    <mergeCell ref="D103:D106"/>
    <mergeCell ref="D107:D111"/>
    <mergeCell ref="D112:D114"/>
    <mergeCell ref="D116:D120"/>
    <mergeCell ref="D121:D123"/>
    <mergeCell ref="D124:D127"/>
    <mergeCell ref="D128:D130"/>
    <mergeCell ref="D131:D133"/>
    <mergeCell ref="D134:D136"/>
    <mergeCell ref="D137:D139"/>
    <mergeCell ref="D140:D143"/>
    <mergeCell ref="D144:D146"/>
    <mergeCell ref="D147:D149"/>
    <mergeCell ref="D150:D152"/>
    <mergeCell ref="D153:D155"/>
    <mergeCell ref="D156:D157"/>
    <mergeCell ref="D160:D163"/>
    <mergeCell ref="D164:D167"/>
    <mergeCell ref="D170:D175"/>
    <mergeCell ref="D176:D178"/>
    <mergeCell ref="D179:D183"/>
    <mergeCell ref="D184:D188"/>
    <mergeCell ref="D189:D193"/>
    <mergeCell ref="D194:D203"/>
    <mergeCell ref="D204:D208"/>
    <mergeCell ref="D209:D218"/>
    <mergeCell ref="D220:D224"/>
    <mergeCell ref="D225:D232"/>
    <mergeCell ref="D233:D237"/>
    <mergeCell ref="D242:D245"/>
    <mergeCell ref="D246:D267"/>
    <mergeCell ref="D268:D276"/>
    <mergeCell ref="D277:D281"/>
    <mergeCell ref="D282:D284"/>
    <mergeCell ref="D285:D288"/>
    <mergeCell ref="D289:D292"/>
    <mergeCell ref="D293:D300"/>
    <mergeCell ref="D301:D317"/>
    <mergeCell ref="D318:D330"/>
    <mergeCell ref="D331:D337"/>
    <mergeCell ref="D338:D343"/>
    <mergeCell ref="D344:D357"/>
    <mergeCell ref="D358:D367"/>
    <mergeCell ref="D368:D374"/>
    <mergeCell ref="D375:D381"/>
    <mergeCell ref="D382:D388"/>
    <mergeCell ref="D389:D396"/>
    <mergeCell ref="D397:D403"/>
    <mergeCell ref="D404:D409"/>
    <mergeCell ref="D411:D412"/>
    <mergeCell ref="D413:D417"/>
    <mergeCell ref="D418:D419"/>
    <mergeCell ref="D420:D423"/>
    <mergeCell ref="D424:D426"/>
    <mergeCell ref="D427:D430"/>
    <mergeCell ref="D431:D435"/>
    <mergeCell ref="D437:D440"/>
    <mergeCell ref="D444:D449"/>
    <mergeCell ref="D450:D453"/>
    <mergeCell ref="D454:D456"/>
    <mergeCell ref="D458:D460"/>
    <mergeCell ref="D461:D465"/>
    <mergeCell ref="D473:D480"/>
    <mergeCell ref="D481:D484"/>
    <mergeCell ref="D485:D488"/>
    <mergeCell ref="D489:D500"/>
    <mergeCell ref="D501:D506"/>
    <mergeCell ref="D513:D519"/>
    <mergeCell ref="D553:D560"/>
    <mergeCell ref="D561:D568"/>
    <mergeCell ref="D569:D572"/>
    <mergeCell ref="D573:D575"/>
    <mergeCell ref="D577:D582"/>
    <mergeCell ref="D583:D587"/>
    <mergeCell ref="D588:D591"/>
    <mergeCell ref="D592:D599"/>
    <mergeCell ref="D600:D613"/>
    <mergeCell ref="D615:D622"/>
    <mergeCell ref="D623:D629"/>
    <mergeCell ref="D630:D640"/>
    <mergeCell ref="D641:D647"/>
    <mergeCell ref="D648:D651"/>
    <mergeCell ref="D652:D654"/>
    <mergeCell ref="D655:D657"/>
    <mergeCell ref="D658:D662"/>
    <mergeCell ref="D663:D664"/>
    <mergeCell ref="D665:D671"/>
    <mergeCell ref="D672:D682"/>
    <mergeCell ref="D683:D689"/>
    <mergeCell ref="D690:D712"/>
    <mergeCell ref="D713:D715"/>
    <mergeCell ref="D716:D720"/>
    <mergeCell ref="D721:D732"/>
    <mergeCell ref="D733:D743"/>
    <mergeCell ref="D744:D757"/>
    <mergeCell ref="D758:D764"/>
    <mergeCell ref="D765:D769"/>
    <mergeCell ref="D770:D773"/>
    <mergeCell ref="D774:D780"/>
    <mergeCell ref="D781:D791"/>
    <mergeCell ref="D792:D801"/>
    <mergeCell ref="D802:D807"/>
    <mergeCell ref="D808:D816"/>
    <mergeCell ref="D817:D820"/>
    <mergeCell ref="D821:D827"/>
    <mergeCell ref="D828:D833"/>
    <mergeCell ref="D834:D848"/>
    <mergeCell ref="D849:D852"/>
    <mergeCell ref="D853:D862"/>
    <mergeCell ref="D863:D868"/>
    <mergeCell ref="D869:D875"/>
    <mergeCell ref="D876:D880"/>
    <mergeCell ref="D881:D887"/>
    <mergeCell ref="D888:D891"/>
    <mergeCell ref="D892:D898"/>
    <mergeCell ref="D899:D905"/>
    <mergeCell ref="D906:D910"/>
    <mergeCell ref="D911:D916"/>
    <mergeCell ref="D917:D925"/>
    <mergeCell ref="D926:D931"/>
    <mergeCell ref="D932:D937"/>
    <mergeCell ref="D938:D941"/>
    <mergeCell ref="D942:D945"/>
    <mergeCell ref="D946:D956"/>
    <mergeCell ref="D957:D960"/>
    <mergeCell ref="D961:D963"/>
    <mergeCell ref="D964:D967"/>
    <mergeCell ref="D968:D973"/>
    <mergeCell ref="D974:D977"/>
    <mergeCell ref="D978:D980"/>
    <mergeCell ref="D981:D984"/>
    <mergeCell ref="D985:D987"/>
    <mergeCell ref="D988:D990"/>
    <mergeCell ref="D991:D994"/>
    <mergeCell ref="D995:D997"/>
    <mergeCell ref="D998:D1001"/>
    <mergeCell ref="D1002:D1005"/>
    <mergeCell ref="D1006:D1009"/>
    <mergeCell ref="D1010:D1012"/>
    <mergeCell ref="D1013:D1015"/>
    <mergeCell ref="D1016:D1019"/>
    <mergeCell ref="D1022:D1025"/>
    <mergeCell ref="D1027:D1029"/>
    <mergeCell ref="D1032:D1034"/>
    <mergeCell ref="D1035:D1042"/>
    <mergeCell ref="D1043:D1045"/>
    <mergeCell ref="D1046:D1048"/>
    <mergeCell ref="D1049:D1051"/>
    <mergeCell ref="D1052:D1054"/>
    <mergeCell ref="D1055:D1057"/>
    <mergeCell ref="D1058:D1060"/>
    <mergeCell ref="D1061:D1064"/>
    <mergeCell ref="D1065:D1067"/>
    <mergeCell ref="D1071:D1074"/>
    <mergeCell ref="D1075:D1082"/>
    <mergeCell ref="D1083:D1097"/>
    <mergeCell ref="D1098:D1100"/>
    <mergeCell ref="D1101:D1103"/>
    <mergeCell ref="D1104:D1106"/>
    <mergeCell ref="D1107:D1109"/>
    <mergeCell ref="D1110:D1113"/>
    <mergeCell ref="D1114:D1117"/>
    <mergeCell ref="D1118:D1134"/>
    <mergeCell ref="D1135:D1144"/>
    <mergeCell ref="D1145:D1151"/>
    <mergeCell ref="D1152:D1155"/>
    <mergeCell ref="D1156:D1159"/>
    <mergeCell ref="D1160:D1163"/>
    <mergeCell ref="D1164:D1167"/>
    <mergeCell ref="D1168:D1170"/>
    <mergeCell ref="D1171:D1178"/>
    <mergeCell ref="D1179:D1186"/>
    <mergeCell ref="D1187:D1196"/>
    <mergeCell ref="D1197:D1201"/>
    <mergeCell ref="D1202:D1211"/>
    <mergeCell ref="D1212:D1223"/>
    <mergeCell ref="D1229:D1232"/>
    <mergeCell ref="D1233:D1236"/>
    <mergeCell ref="D1237:D1240"/>
    <mergeCell ref="D1248:D1250"/>
    <mergeCell ref="D1251:D1253"/>
    <mergeCell ref="D1254:D1256"/>
    <mergeCell ref="D1260:D1262"/>
    <mergeCell ref="D1263:D1283"/>
    <mergeCell ref="D1284:D1303"/>
    <mergeCell ref="D1304:D1310"/>
    <mergeCell ref="D1311:D1319"/>
    <mergeCell ref="D1320:D1356"/>
    <mergeCell ref="D1357:D1359"/>
    <mergeCell ref="D1360:D1363"/>
    <mergeCell ref="D1364:D1365"/>
    <mergeCell ref="D1366:D1368"/>
    <mergeCell ref="D1369:D1371"/>
    <mergeCell ref="D1372:D1376"/>
    <mergeCell ref="D1377:D1386"/>
    <mergeCell ref="D1387:D1393"/>
    <mergeCell ref="D1394:D1398"/>
    <mergeCell ref="D1399:D1401"/>
    <mergeCell ref="D1402:D1404"/>
    <mergeCell ref="D1405:D1406"/>
    <mergeCell ref="D1407:D1409"/>
    <mergeCell ref="D1410:D1412"/>
    <mergeCell ref="D1413:D1415"/>
    <mergeCell ref="D1416:D1420"/>
    <mergeCell ref="D1421:D1427"/>
    <mergeCell ref="D1428:D1429"/>
    <mergeCell ref="D1430:D1435"/>
    <mergeCell ref="D1436:D1439"/>
    <mergeCell ref="D1440:D1446"/>
    <mergeCell ref="D1447:D1453"/>
    <mergeCell ref="D1454:D1456"/>
    <mergeCell ref="D1457:D1459"/>
    <mergeCell ref="D1460:D1462"/>
    <mergeCell ref="D1463:D1464"/>
    <mergeCell ref="D1465:D1467"/>
    <mergeCell ref="D1468:D1470"/>
    <mergeCell ref="D1471:D1475"/>
    <mergeCell ref="D1476:D1482"/>
    <mergeCell ref="D1500:D1501"/>
    <mergeCell ref="D1507:D1510"/>
    <mergeCell ref="D1578:D1583"/>
    <mergeCell ref="D1584:D1594"/>
    <mergeCell ref="D1595:D1598"/>
    <mergeCell ref="D1599:D1601"/>
    <mergeCell ref="D1602:D1605"/>
    <mergeCell ref="D1606:D1613"/>
    <mergeCell ref="D1614:D1618"/>
    <mergeCell ref="D1619:D1624"/>
    <mergeCell ref="D1625:D1629"/>
    <mergeCell ref="D1630:D1632"/>
    <mergeCell ref="D1633:D1646"/>
    <mergeCell ref="D1647:D1649"/>
    <mergeCell ref="D1650:D1654"/>
    <mergeCell ref="D1655:D1660"/>
    <mergeCell ref="D1661:D1666"/>
    <mergeCell ref="D1667:D1675"/>
    <mergeCell ref="D1676:D1679"/>
    <mergeCell ref="D1680:D1682"/>
    <mergeCell ref="D1694:D1697"/>
    <mergeCell ref="D1698:D1702"/>
    <mergeCell ref="D1703:D1705"/>
    <mergeCell ref="D1706:D1708"/>
    <mergeCell ref="D1709:D1713"/>
    <mergeCell ref="D1714:D1718"/>
    <mergeCell ref="D1719:D1721"/>
    <mergeCell ref="D1722:D1729"/>
    <mergeCell ref="D1730:D1736"/>
    <mergeCell ref="D1737:D1740"/>
    <mergeCell ref="D1741:D1744"/>
    <mergeCell ref="D1745:D1748"/>
    <mergeCell ref="D1749:D1755"/>
    <mergeCell ref="D1756:D1762"/>
    <mergeCell ref="D1763:D1769"/>
    <mergeCell ref="D1770:D1776"/>
    <mergeCell ref="D1777:D1783"/>
    <mergeCell ref="D1784:D1792"/>
    <mergeCell ref="D1793:D1796"/>
    <mergeCell ref="D1797:D1799"/>
    <mergeCell ref="D1800:D1802"/>
    <mergeCell ref="D1803:D1805"/>
    <mergeCell ref="D1806:D1808"/>
    <mergeCell ref="D1809:D1814"/>
    <mergeCell ref="D1815:D1820"/>
    <mergeCell ref="D1821:D1832"/>
    <mergeCell ref="D1833:D1837"/>
    <mergeCell ref="D1838:D1844"/>
    <mergeCell ref="D1845:D1847"/>
    <mergeCell ref="D1848:D1852"/>
    <mergeCell ref="D1854:D1857"/>
    <mergeCell ref="D1858:D1862"/>
    <mergeCell ref="D1863:D1865"/>
    <mergeCell ref="D1869:D1873"/>
    <mergeCell ref="D1874:D1877"/>
    <mergeCell ref="D1878:D1881"/>
    <mergeCell ref="D1882:D1885"/>
    <mergeCell ref="D1886:D1889"/>
    <mergeCell ref="D1890:D1897"/>
    <mergeCell ref="D1898:D1900"/>
    <mergeCell ref="D1901:D1904"/>
    <mergeCell ref="D1905:D1908"/>
    <mergeCell ref="D1909:D1912"/>
    <mergeCell ref="D1913:D1917"/>
    <mergeCell ref="D1918:D1921"/>
    <mergeCell ref="D1922:D1924"/>
    <mergeCell ref="D1935:D1936"/>
    <mergeCell ref="D1972:D1978"/>
    <mergeCell ref="D1979:D1992"/>
    <mergeCell ref="D1993:D2003"/>
    <mergeCell ref="D2004:D2008"/>
    <mergeCell ref="D2012:D2019"/>
    <mergeCell ref="D2020:D2027"/>
    <mergeCell ref="D2035:D2038"/>
    <mergeCell ref="D2039:D2042"/>
    <mergeCell ref="D2043:D2045"/>
    <mergeCell ref="D2046:D2049"/>
    <mergeCell ref="D2050:D2052"/>
    <mergeCell ref="D2053:D2055"/>
    <mergeCell ref="D2056:D2062"/>
    <mergeCell ref="D2063:D2076"/>
    <mergeCell ref="D2077:D2090"/>
    <mergeCell ref="D2091:D2098"/>
    <mergeCell ref="D2099:D2105"/>
    <mergeCell ref="D2111:D2113"/>
    <mergeCell ref="D2114:D2116"/>
    <mergeCell ref="D2117:D2119"/>
    <mergeCell ref="D2120:D2122"/>
    <mergeCell ref="D2123:D2125"/>
    <mergeCell ref="D2126:D2128"/>
    <mergeCell ref="D2129:D2131"/>
    <mergeCell ref="D2132:D2134"/>
    <mergeCell ref="D2142:D2145"/>
    <mergeCell ref="D2146:D2159"/>
    <mergeCell ref="D2160:D2187"/>
    <mergeCell ref="D2188:D2199"/>
    <mergeCell ref="D2200:D2214"/>
    <mergeCell ref="D2215:D2219"/>
    <mergeCell ref="D2220:D2226"/>
    <mergeCell ref="D2227:D2231"/>
    <mergeCell ref="D2232:D2235"/>
    <mergeCell ref="D2236:D2239"/>
    <mergeCell ref="D2240:D2242"/>
    <mergeCell ref="D2254:D2258"/>
    <mergeCell ref="D2259:D2261"/>
    <mergeCell ref="D2262:D2264"/>
    <mergeCell ref="D2265:D2268"/>
    <mergeCell ref="D2269:D2272"/>
    <mergeCell ref="D2273:D2279"/>
    <mergeCell ref="D2280:D2291"/>
    <mergeCell ref="D2292:D2303"/>
    <mergeCell ref="D2304:D2310"/>
    <mergeCell ref="D2311:D2322"/>
    <mergeCell ref="D2323:D2333"/>
    <mergeCell ref="D2334:D2340"/>
    <mergeCell ref="D2341:D2355"/>
    <mergeCell ref="D2356:D2379"/>
    <mergeCell ref="D2380:D2383"/>
    <mergeCell ref="D2384:D2386"/>
    <mergeCell ref="D2387:D2389"/>
    <mergeCell ref="D2390:D2392"/>
    <mergeCell ref="D2393:D2397"/>
    <mergeCell ref="D2398:D2404"/>
    <mergeCell ref="D2405:D2410"/>
    <mergeCell ref="D2411:D2423"/>
    <mergeCell ref="D2424:D2433"/>
    <mergeCell ref="D2434:D2445"/>
    <mergeCell ref="D2447:D2457"/>
    <mergeCell ref="D2458:D2468"/>
    <mergeCell ref="D2469:D2471"/>
    <mergeCell ref="D2472:D2474"/>
    <mergeCell ref="D2475:D2477"/>
    <mergeCell ref="D2478:D2484"/>
    <mergeCell ref="D2485:D2493"/>
    <mergeCell ref="D2494:D2501"/>
    <mergeCell ref="D2502:D2507"/>
    <mergeCell ref="D2523:D2529"/>
    <mergeCell ref="D2530:D2537"/>
    <mergeCell ref="D2538:D2546"/>
    <mergeCell ref="D2547:D2557"/>
    <mergeCell ref="D2573:D2584"/>
    <mergeCell ref="D2585:D2590"/>
    <mergeCell ref="D2591:D2596"/>
    <mergeCell ref="D2597:D2602"/>
    <mergeCell ref="D2603:D2615"/>
    <mergeCell ref="E5:E14"/>
    <mergeCell ref="E15:E19"/>
    <mergeCell ref="E20:E22"/>
    <mergeCell ref="E25:E28"/>
    <mergeCell ref="E31:E35"/>
    <mergeCell ref="E36:E40"/>
    <mergeCell ref="E41:E45"/>
    <mergeCell ref="E46:E49"/>
    <mergeCell ref="E50:E56"/>
    <mergeCell ref="E57:E60"/>
    <mergeCell ref="E61:E63"/>
    <mergeCell ref="E64:E67"/>
    <mergeCell ref="E69:E73"/>
    <mergeCell ref="E74:E85"/>
    <mergeCell ref="E86:E90"/>
    <mergeCell ref="E91:E93"/>
    <mergeCell ref="E94:E95"/>
    <mergeCell ref="E96:E99"/>
    <mergeCell ref="E100:E102"/>
    <mergeCell ref="E103:E106"/>
    <mergeCell ref="E107:E111"/>
    <mergeCell ref="E112:E114"/>
    <mergeCell ref="E116:E120"/>
    <mergeCell ref="E121:E123"/>
    <mergeCell ref="E124:E127"/>
    <mergeCell ref="E128:E130"/>
    <mergeCell ref="E131:E133"/>
    <mergeCell ref="E134:E136"/>
    <mergeCell ref="E137:E139"/>
    <mergeCell ref="E140:E143"/>
    <mergeCell ref="E144:E146"/>
    <mergeCell ref="E147:E149"/>
    <mergeCell ref="E150:E152"/>
    <mergeCell ref="E153:E155"/>
    <mergeCell ref="E156:E157"/>
    <mergeCell ref="E158:E159"/>
    <mergeCell ref="E160:E163"/>
    <mergeCell ref="E164:E167"/>
    <mergeCell ref="E170:E175"/>
    <mergeCell ref="E176:E178"/>
    <mergeCell ref="E179:E183"/>
    <mergeCell ref="E184:E188"/>
    <mergeCell ref="E189:E193"/>
    <mergeCell ref="E194:E203"/>
    <mergeCell ref="E204:E208"/>
    <mergeCell ref="E209:E219"/>
    <mergeCell ref="E220:E224"/>
    <mergeCell ref="E225:E232"/>
    <mergeCell ref="E233:E237"/>
    <mergeCell ref="E242:E245"/>
    <mergeCell ref="E246:E267"/>
    <mergeCell ref="E268:E276"/>
    <mergeCell ref="E277:E281"/>
    <mergeCell ref="E282:E284"/>
    <mergeCell ref="E285:E288"/>
    <mergeCell ref="E289:E292"/>
    <mergeCell ref="E293:E300"/>
    <mergeCell ref="E301:E317"/>
    <mergeCell ref="E318:E330"/>
    <mergeCell ref="E331:E337"/>
    <mergeCell ref="E338:E343"/>
    <mergeCell ref="E344:E357"/>
    <mergeCell ref="E358:E367"/>
    <mergeCell ref="E368:E374"/>
    <mergeCell ref="E375:E381"/>
    <mergeCell ref="E382:E388"/>
    <mergeCell ref="E389:E396"/>
    <mergeCell ref="E397:E403"/>
    <mergeCell ref="E404:E409"/>
    <mergeCell ref="E411:E412"/>
    <mergeCell ref="E413:E417"/>
    <mergeCell ref="E418:E419"/>
    <mergeCell ref="E420:E423"/>
    <mergeCell ref="E424:E426"/>
    <mergeCell ref="E427:E430"/>
    <mergeCell ref="E431:E435"/>
    <mergeCell ref="E437:E440"/>
    <mergeCell ref="E441:E443"/>
    <mergeCell ref="E444:E449"/>
    <mergeCell ref="E450:E453"/>
    <mergeCell ref="E454:E456"/>
    <mergeCell ref="E458:E460"/>
    <mergeCell ref="E461:E465"/>
    <mergeCell ref="E466:E468"/>
    <mergeCell ref="E469:E472"/>
    <mergeCell ref="E473:E480"/>
    <mergeCell ref="E481:E484"/>
    <mergeCell ref="E485:E488"/>
    <mergeCell ref="E489:E500"/>
    <mergeCell ref="E501:E506"/>
    <mergeCell ref="E508:E512"/>
    <mergeCell ref="E513:E519"/>
    <mergeCell ref="E520:E523"/>
    <mergeCell ref="E524:E527"/>
    <mergeCell ref="E528:E531"/>
    <mergeCell ref="E532:E534"/>
    <mergeCell ref="E535:E537"/>
    <mergeCell ref="E538:E540"/>
    <mergeCell ref="E541:E544"/>
    <mergeCell ref="E545:E548"/>
    <mergeCell ref="E549:E552"/>
    <mergeCell ref="E553:E560"/>
    <mergeCell ref="E561:E568"/>
    <mergeCell ref="E569:E572"/>
    <mergeCell ref="E573:E575"/>
    <mergeCell ref="E577:E582"/>
    <mergeCell ref="E583:E587"/>
    <mergeCell ref="E588:E591"/>
    <mergeCell ref="E592:E599"/>
    <mergeCell ref="E600:E613"/>
    <mergeCell ref="E615:E622"/>
    <mergeCell ref="E623:E629"/>
    <mergeCell ref="E630:E640"/>
    <mergeCell ref="E641:E647"/>
    <mergeCell ref="E648:E651"/>
    <mergeCell ref="E652:E654"/>
    <mergeCell ref="E655:E657"/>
    <mergeCell ref="E658:E662"/>
    <mergeCell ref="E663:E664"/>
    <mergeCell ref="E665:E671"/>
    <mergeCell ref="E672:E682"/>
    <mergeCell ref="E683:E689"/>
    <mergeCell ref="E690:E712"/>
    <mergeCell ref="E713:E715"/>
    <mergeCell ref="E716:E720"/>
    <mergeCell ref="E721:E732"/>
    <mergeCell ref="E733:E743"/>
    <mergeCell ref="E744:E757"/>
    <mergeCell ref="E758:E764"/>
    <mergeCell ref="E765:E769"/>
    <mergeCell ref="E770:E773"/>
    <mergeCell ref="E774:E780"/>
    <mergeCell ref="E781:E791"/>
    <mergeCell ref="E792:E801"/>
    <mergeCell ref="E802:E807"/>
    <mergeCell ref="E808:E816"/>
    <mergeCell ref="E817:E820"/>
    <mergeCell ref="E821:E827"/>
    <mergeCell ref="E828:E833"/>
    <mergeCell ref="E834:E848"/>
    <mergeCell ref="E849:E852"/>
    <mergeCell ref="E853:E862"/>
    <mergeCell ref="E863:E868"/>
    <mergeCell ref="E869:E875"/>
    <mergeCell ref="E876:E880"/>
    <mergeCell ref="E881:E887"/>
    <mergeCell ref="E888:E891"/>
    <mergeCell ref="E892:E898"/>
    <mergeCell ref="E899:E905"/>
    <mergeCell ref="E906:E910"/>
    <mergeCell ref="E911:E916"/>
    <mergeCell ref="E917:E925"/>
    <mergeCell ref="E926:E931"/>
    <mergeCell ref="E932:E937"/>
    <mergeCell ref="E938:E941"/>
    <mergeCell ref="E942:E945"/>
    <mergeCell ref="E946:E956"/>
    <mergeCell ref="E957:E960"/>
    <mergeCell ref="E961:E963"/>
    <mergeCell ref="E964:E967"/>
    <mergeCell ref="E968:E973"/>
    <mergeCell ref="E974:E977"/>
    <mergeCell ref="E978:E980"/>
    <mergeCell ref="E981:E984"/>
    <mergeCell ref="E985:E987"/>
    <mergeCell ref="E988:E990"/>
    <mergeCell ref="E991:E994"/>
    <mergeCell ref="E995:E997"/>
    <mergeCell ref="E998:E1001"/>
    <mergeCell ref="E1002:E1005"/>
    <mergeCell ref="E1006:E1009"/>
    <mergeCell ref="E1010:E1012"/>
    <mergeCell ref="E1013:E1015"/>
    <mergeCell ref="E1016:E1019"/>
    <mergeCell ref="E1022:E1025"/>
    <mergeCell ref="E1027:E1029"/>
    <mergeCell ref="E1032:E1034"/>
    <mergeCell ref="E1035:E1042"/>
    <mergeCell ref="E1043:E1045"/>
    <mergeCell ref="E1046:E1048"/>
    <mergeCell ref="E1049:E1051"/>
    <mergeCell ref="E1052:E1054"/>
    <mergeCell ref="E1055:E1057"/>
    <mergeCell ref="E1058:E1060"/>
    <mergeCell ref="E1061:E1064"/>
    <mergeCell ref="E1065:E1067"/>
    <mergeCell ref="E1068:E1070"/>
    <mergeCell ref="E1071:E1074"/>
    <mergeCell ref="E1075:E1082"/>
    <mergeCell ref="E1083:E1097"/>
    <mergeCell ref="E1098:E1100"/>
    <mergeCell ref="E1101:E1103"/>
    <mergeCell ref="E1104:E1106"/>
    <mergeCell ref="E1107:E1109"/>
    <mergeCell ref="E1110:E1113"/>
    <mergeCell ref="E1114:E1117"/>
    <mergeCell ref="E1118:E1134"/>
    <mergeCell ref="E1135:E1144"/>
    <mergeCell ref="E1145:E1151"/>
    <mergeCell ref="E1152:E1155"/>
    <mergeCell ref="E1156:E1159"/>
    <mergeCell ref="E1160:E1163"/>
    <mergeCell ref="E1164:E1167"/>
    <mergeCell ref="E1168:E1170"/>
    <mergeCell ref="E1171:E1178"/>
    <mergeCell ref="E1179:E1186"/>
    <mergeCell ref="E1187:E1196"/>
    <mergeCell ref="E1197:E1201"/>
    <mergeCell ref="E1202:E1211"/>
    <mergeCell ref="E1212:E1223"/>
    <mergeCell ref="E1224:E1228"/>
    <mergeCell ref="E1229:E1232"/>
    <mergeCell ref="E1233:E1236"/>
    <mergeCell ref="E1237:E1240"/>
    <mergeCell ref="E1241:E1247"/>
    <mergeCell ref="E1248:E1250"/>
    <mergeCell ref="E1251:E1253"/>
    <mergeCell ref="E1254:E1256"/>
    <mergeCell ref="E1257:E1259"/>
    <mergeCell ref="E1260:E1262"/>
    <mergeCell ref="E1263:E1283"/>
    <mergeCell ref="E1284:E1303"/>
    <mergeCell ref="E1304:E1310"/>
    <mergeCell ref="E1311:E1319"/>
    <mergeCell ref="E1320:E1356"/>
    <mergeCell ref="E1357:E1359"/>
    <mergeCell ref="E1360:E1363"/>
    <mergeCell ref="E1364:E1365"/>
    <mergeCell ref="E1366:E1368"/>
    <mergeCell ref="E1369:E1371"/>
    <mergeCell ref="E1372:E1376"/>
    <mergeCell ref="E1377:E1386"/>
    <mergeCell ref="E1387:E1393"/>
    <mergeCell ref="E1394:E1398"/>
    <mergeCell ref="E1399:E1401"/>
    <mergeCell ref="E1402:E1404"/>
    <mergeCell ref="E1405:E1406"/>
    <mergeCell ref="E1407:E1409"/>
    <mergeCell ref="E1410:E1412"/>
    <mergeCell ref="E1413:E1415"/>
    <mergeCell ref="E1416:E1420"/>
    <mergeCell ref="E1421:E1427"/>
    <mergeCell ref="E1428:E1429"/>
    <mergeCell ref="E1430:E1435"/>
    <mergeCell ref="E1436:E1439"/>
    <mergeCell ref="E1440:E1446"/>
    <mergeCell ref="E1447:E1453"/>
    <mergeCell ref="E1454:E1456"/>
    <mergeCell ref="E1457:E1459"/>
    <mergeCell ref="E1460:E1462"/>
    <mergeCell ref="E1463:E1464"/>
    <mergeCell ref="E1465:E1467"/>
    <mergeCell ref="E1468:E1470"/>
    <mergeCell ref="E1471:E1475"/>
    <mergeCell ref="E1476:E1488"/>
    <mergeCell ref="E1489:E1495"/>
    <mergeCell ref="E1496:E1499"/>
    <mergeCell ref="E1500:E1503"/>
    <mergeCell ref="E1505:E1506"/>
    <mergeCell ref="E1507:E1510"/>
    <mergeCell ref="E1511:E1516"/>
    <mergeCell ref="E1517:E1521"/>
    <mergeCell ref="E1522:E1525"/>
    <mergeCell ref="E1526:E1539"/>
    <mergeCell ref="E1540:E1546"/>
    <mergeCell ref="E1547:E1556"/>
    <mergeCell ref="E1557:E1564"/>
    <mergeCell ref="E1565:E1567"/>
    <mergeCell ref="E1568:E1571"/>
    <mergeCell ref="E1574:E1577"/>
    <mergeCell ref="E1578:E1583"/>
    <mergeCell ref="E1584:E1594"/>
    <mergeCell ref="E1595:E1598"/>
    <mergeCell ref="E1599:E1601"/>
    <mergeCell ref="E1602:E1605"/>
    <mergeCell ref="E1606:E1613"/>
    <mergeCell ref="E1614:E1618"/>
    <mergeCell ref="E1619:E1624"/>
    <mergeCell ref="E1625:E1629"/>
    <mergeCell ref="E1630:E1632"/>
    <mergeCell ref="E1633:E1646"/>
    <mergeCell ref="E1647:E1649"/>
    <mergeCell ref="E1650:E1654"/>
    <mergeCell ref="E1655:E1660"/>
    <mergeCell ref="E1661:E1666"/>
    <mergeCell ref="E1667:E1675"/>
    <mergeCell ref="E1676:E1679"/>
    <mergeCell ref="E1680:E1693"/>
    <mergeCell ref="E1694:E1697"/>
    <mergeCell ref="E1698:E1702"/>
    <mergeCell ref="E1703:E1705"/>
    <mergeCell ref="E1706:E1708"/>
    <mergeCell ref="E1709:E1713"/>
    <mergeCell ref="E1714:E1718"/>
    <mergeCell ref="E1719:E1721"/>
    <mergeCell ref="E1722:E1729"/>
    <mergeCell ref="E1730:E1736"/>
    <mergeCell ref="E1737:E1740"/>
    <mergeCell ref="E1741:E1744"/>
    <mergeCell ref="E1745:E1748"/>
    <mergeCell ref="E1749:E1755"/>
    <mergeCell ref="E1756:E1762"/>
    <mergeCell ref="E1763:E1769"/>
    <mergeCell ref="E1770:E1776"/>
    <mergeCell ref="E1777:E1783"/>
    <mergeCell ref="E1784:E1792"/>
    <mergeCell ref="E1793:E1796"/>
    <mergeCell ref="E1797:E1799"/>
    <mergeCell ref="E1800:E1802"/>
    <mergeCell ref="E1803:E1805"/>
    <mergeCell ref="E1806:E1808"/>
    <mergeCell ref="E1809:E1814"/>
    <mergeCell ref="E1815:E1820"/>
    <mergeCell ref="E1821:E1832"/>
    <mergeCell ref="E1833:E1837"/>
    <mergeCell ref="E1838:E1844"/>
    <mergeCell ref="E1845:E1847"/>
    <mergeCell ref="E1848:E1853"/>
    <mergeCell ref="E1854:E1857"/>
    <mergeCell ref="E1858:E1862"/>
    <mergeCell ref="E1863:E1865"/>
    <mergeCell ref="E1866:E1868"/>
    <mergeCell ref="E1869:E1873"/>
    <mergeCell ref="E1874:E1877"/>
    <mergeCell ref="E1878:E1881"/>
    <mergeCell ref="E1882:E1885"/>
    <mergeCell ref="E1886:E1889"/>
    <mergeCell ref="E1890:E1897"/>
    <mergeCell ref="E1898:E1900"/>
    <mergeCell ref="E1901:E1904"/>
    <mergeCell ref="E1905:E1908"/>
    <mergeCell ref="E1909:E1912"/>
    <mergeCell ref="E1913:E1917"/>
    <mergeCell ref="E1918:E1921"/>
    <mergeCell ref="E1922:E1924"/>
    <mergeCell ref="E1926:E1928"/>
    <mergeCell ref="E1929:E1934"/>
    <mergeCell ref="E1935:E1936"/>
    <mergeCell ref="E1938:E1957"/>
    <mergeCell ref="E1959:E1962"/>
    <mergeCell ref="E1963:E1964"/>
    <mergeCell ref="E1965:E1971"/>
    <mergeCell ref="E1972:E1978"/>
    <mergeCell ref="E1979:E1992"/>
    <mergeCell ref="E1993:E2003"/>
    <mergeCell ref="E2004:E2008"/>
    <mergeCell ref="E2009:E2011"/>
    <mergeCell ref="E2012:E2019"/>
    <mergeCell ref="E2020:E2027"/>
    <mergeCell ref="E2028:E2034"/>
    <mergeCell ref="E2035:E2038"/>
    <mergeCell ref="E2039:E2042"/>
    <mergeCell ref="E2043:E2045"/>
    <mergeCell ref="E2046:E2049"/>
    <mergeCell ref="E2050:E2052"/>
    <mergeCell ref="E2053:E2055"/>
    <mergeCell ref="E2056:E2062"/>
    <mergeCell ref="E2063:E2076"/>
    <mergeCell ref="E2077:E2090"/>
    <mergeCell ref="E2091:E2098"/>
    <mergeCell ref="E2099:E2105"/>
    <mergeCell ref="E2106:E2110"/>
    <mergeCell ref="E2111:E2113"/>
    <mergeCell ref="E2114:E2116"/>
    <mergeCell ref="E2117:E2119"/>
    <mergeCell ref="E2120:E2122"/>
    <mergeCell ref="E2123:E2125"/>
    <mergeCell ref="E2126:E2128"/>
    <mergeCell ref="E2129:E2131"/>
    <mergeCell ref="E2132:E2134"/>
    <mergeCell ref="E2135:E2137"/>
    <mergeCell ref="E2138:E2140"/>
    <mergeCell ref="E2141:E2145"/>
    <mergeCell ref="E2146:E2159"/>
    <mergeCell ref="E2160:E2187"/>
    <mergeCell ref="E2188:E2199"/>
    <mergeCell ref="E2200:E2214"/>
    <mergeCell ref="E2215:E2219"/>
    <mergeCell ref="E2220:E2226"/>
    <mergeCell ref="E2227:E2231"/>
    <mergeCell ref="E2232:E2235"/>
    <mergeCell ref="E2236:E2239"/>
    <mergeCell ref="E2240:E2242"/>
    <mergeCell ref="E2243:E2245"/>
    <mergeCell ref="E2246:E2253"/>
    <mergeCell ref="E2254:E2258"/>
    <mergeCell ref="E2259:E2261"/>
    <mergeCell ref="E2262:E2264"/>
    <mergeCell ref="E2265:E2268"/>
    <mergeCell ref="E2269:E2272"/>
    <mergeCell ref="E2273:E2279"/>
    <mergeCell ref="E2280:E2291"/>
    <mergeCell ref="E2292:E2303"/>
    <mergeCell ref="E2304:E2310"/>
    <mergeCell ref="E2311:E2322"/>
    <mergeCell ref="E2323:E2333"/>
    <mergeCell ref="E2334:E2340"/>
    <mergeCell ref="E2341:E2355"/>
    <mergeCell ref="E2356:E2379"/>
    <mergeCell ref="E2380:E2383"/>
    <mergeCell ref="E2384:E2386"/>
    <mergeCell ref="E2387:E2389"/>
    <mergeCell ref="E2390:E2392"/>
    <mergeCell ref="E2393:E2397"/>
    <mergeCell ref="E2398:E2404"/>
    <mergeCell ref="E2405:E2410"/>
    <mergeCell ref="E2411:E2423"/>
    <mergeCell ref="E2424:E2433"/>
    <mergeCell ref="E2434:E2445"/>
    <mergeCell ref="E2447:E2457"/>
    <mergeCell ref="E2458:E2468"/>
    <mergeCell ref="E2469:E2471"/>
    <mergeCell ref="E2472:E2474"/>
    <mergeCell ref="E2475:E2477"/>
    <mergeCell ref="E2478:E2484"/>
    <mergeCell ref="E2485:E2493"/>
    <mergeCell ref="E2494:E2501"/>
    <mergeCell ref="E2502:E2507"/>
    <mergeCell ref="E2508:E2510"/>
    <mergeCell ref="E2511:E2513"/>
    <mergeCell ref="E2523:E2529"/>
    <mergeCell ref="E2530:E2537"/>
    <mergeCell ref="E2538:E2546"/>
    <mergeCell ref="E2547:E2557"/>
    <mergeCell ref="E2558:E2561"/>
    <mergeCell ref="E2562:E2572"/>
    <mergeCell ref="E2573:E2584"/>
    <mergeCell ref="E2585:E2590"/>
    <mergeCell ref="E2591:E2596"/>
    <mergeCell ref="E2597:E2602"/>
    <mergeCell ref="E2603:E2615"/>
    <mergeCell ref="F5:F14"/>
    <mergeCell ref="F15:F19"/>
    <mergeCell ref="F20:F22"/>
    <mergeCell ref="F25:F28"/>
    <mergeCell ref="F31:F35"/>
    <mergeCell ref="F36:F40"/>
    <mergeCell ref="F41:F45"/>
    <mergeCell ref="F46:F49"/>
    <mergeCell ref="F50:F56"/>
    <mergeCell ref="F57:F60"/>
    <mergeCell ref="F61:F63"/>
    <mergeCell ref="F64:F67"/>
    <mergeCell ref="F69:F73"/>
    <mergeCell ref="F74:F85"/>
    <mergeCell ref="F86:F90"/>
    <mergeCell ref="F91:F93"/>
    <mergeCell ref="F94:F95"/>
    <mergeCell ref="F96:F99"/>
    <mergeCell ref="F100:F102"/>
    <mergeCell ref="F103:F106"/>
    <mergeCell ref="F107:F111"/>
    <mergeCell ref="F112:F114"/>
    <mergeCell ref="F116:F120"/>
    <mergeCell ref="F121:F123"/>
    <mergeCell ref="F124:F127"/>
    <mergeCell ref="F128:F130"/>
    <mergeCell ref="F131:F133"/>
    <mergeCell ref="F134:F136"/>
    <mergeCell ref="F137:F139"/>
    <mergeCell ref="F140:F143"/>
    <mergeCell ref="F144:F146"/>
    <mergeCell ref="F147:F149"/>
    <mergeCell ref="F150:F152"/>
    <mergeCell ref="F153:F155"/>
    <mergeCell ref="F156:F157"/>
    <mergeCell ref="F158:F159"/>
    <mergeCell ref="F160:F163"/>
    <mergeCell ref="F164:F167"/>
    <mergeCell ref="F170:F175"/>
    <mergeCell ref="F176:F178"/>
    <mergeCell ref="F179:F183"/>
    <mergeCell ref="F184:F188"/>
    <mergeCell ref="F189:F193"/>
    <mergeCell ref="F194:F203"/>
    <mergeCell ref="F204:F208"/>
    <mergeCell ref="F209:F219"/>
    <mergeCell ref="F220:F224"/>
    <mergeCell ref="F225:F232"/>
    <mergeCell ref="F233:F237"/>
    <mergeCell ref="F242:F245"/>
    <mergeCell ref="F246:F267"/>
    <mergeCell ref="F268:F276"/>
    <mergeCell ref="F277:F281"/>
    <mergeCell ref="F282:F284"/>
    <mergeCell ref="F285:F288"/>
    <mergeCell ref="F289:F292"/>
    <mergeCell ref="F293:F300"/>
    <mergeCell ref="F301:F317"/>
    <mergeCell ref="F318:F330"/>
    <mergeCell ref="F331:F337"/>
    <mergeCell ref="F338:F343"/>
    <mergeCell ref="F344:F357"/>
    <mergeCell ref="F358:F367"/>
    <mergeCell ref="F368:F374"/>
    <mergeCell ref="F375:F381"/>
    <mergeCell ref="F382:F388"/>
    <mergeCell ref="F389:F396"/>
    <mergeCell ref="F397:F403"/>
    <mergeCell ref="F404:F409"/>
    <mergeCell ref="F411:F412"/>
    <mergeCell ref="F413:F417"/>
    <mergeCell ref="F418:F419"/>
    <mergeCell ref="F420:F423"/>
    <mergeCell ref="F424:F426"/>
    <mergeCell ref="F427:F430"/>
    <mergeCell ref="F431:F435"/>
    <mergeCell ref="F437:F440"/>
    <mergeCell ref="F441:F443"/>
    <mergeCell ref="F444:F449"/>
    <mergeCell ref="F450:F453"/>
    <mergeCell ref="F454:F456"/>
    <mergeCell ref="F458:F460"/>
    <mergeCell ref="F461:F465"/>
    <mergeCell ref="F466:F468"/>
    <mergeCell ref="F469:F472"/>
    <mergeCell ref="F473:F480"/>
    <mergeCell ref="F481:F484"/>
    <mergeCell ref="F485:F488"/>
    <mergeCell ref="F489:F500"/>
    <mergeCell ref="F501:F506"/>
    <mergeCell ref="F508:F512"/>
    <mergeCell ref="F513:F519"/>
    <mergeCell ref="F520:F523"/>
    <mergeCell ref="F524:F527"/>
    <mergeCell ref="F528:F531"/>
    <mergeCell ref="F532:F534"/>
    <mergeCell ref="F535:F537"/>
    <mergeCell ref="F538:F540"/>
    <mergeCell ref="F541:F544"/>
    <mergeCell ref="F545:F548"/>
    <mergeCell ref="F549:F552"/>
    <mergeCell ref="F553:F560"/>
    <mergeCell ref="F561:F568"/>
    <mergeCell ref="F569:F572"/>
    <mergeCell ref="F573:F575"/>
    <mergeCell ref="F577:F582"/>
    <mergeCell ref="F583:F587"/>
    <mergeCell ref="F588:F591"/>
    <mergeCell ref="F592:F599"/>
    <mergeCell ref="F600:F613"/>
    <mergeCell ref="F615:F622"/>
    <mergeCell ref="F623:F629"/>
    <mergeCell ref="F630:F640"/>
    <mergeCell ref="F641:F647"/>
    <mergeCell ref="F648:F651"/>
    <mergeCell ref="F652:F654"/>
    <mergeCell ref="F655:F657"/>
    <mergeCell ref="F658:F662"/>
    <mergeCell ref="F663:F664"/>
    <mergeCell ref="F665:F671"/>
    <mergeCell ref="F672:F682"/>
    <mergeCell ref="F683:F689"/>
    <mergeCell ref="F690:F712"/>
    <mergeCell ref="F713:F715"/>
    <mergeCell ref="F716:F720"/>
    <mergeCell ref="F721:F732"/>
    <mergeCell ref="F733:F743"/>
    <mergeCell ref="F744:F757"/>
    <mergeCell ref="F758:F764"/>
    <mergeCell ref="F765:F769"/>
    <mergeCell ref="F770:F773"/>
    <mergeCell ref="F774:F780"/>
    <mergeCell ref="F781:F791"/>
    <mergeCell ref="F792:F801"/>
    <mergeCell ref="F802:F807"/>
    <mergeCell ref="F808:F816"/>
    <mergeCell ref="F817:F820"/>
    <mergeCell ref="F821:F827"/>
    <mergeCell ref="F828:F833"/>
    <mergeCell ref="F834:F848"/>
    <mergeCell ref="F849:F852"/>
    <mergeCell ref="F853:F862"/>
    <mergeCell ref="F863:F868"/>
    <mergeCell ref="F869:F875"/>
    <mergeCell ref="F876:F880"/>
    <mergeCell ref="F881:F887"/>
    <mergeCell ref="F888:F891"/>
    <mergeCell ref="F892:F898"/>
    <mergeCell ref="F899:F905"/>
    <mergeCell ref="F906:F910"/>
    <mergeCell ref="F911:F916"/>
    <mergeCell ref="F917:F925"/>
    <mergeCell ref="F926:F931"/>
    <mergeCell ref="F932:F937"/>
    <mergeCell ref="F938:F941"/>
    <mergeCell ref="F942:F945"/>
    <mergeCell ref="F946:F956"/>
    <mergeCell ref="F957:F960"/>
    <mergeCell ref="F961:F963"/>
    <mergeCell ref="F964:F967"/>
    <mergeCell ref="F968:F973"/>
    <mergeCell ref="F974:F977"/>
    <mergeCell ref="F978:F980"/>
    <mergeCell ref="F981:F984"/>
    <mergeCell ref="F985:F987"/>
    <mergeCell ref="F988:F990"/>
    <mergeCell ref="F991:F994"/>
    <mergeCell ref="F995:F997"/>
    <mergeCell ref="F998:F1001"/>
    <mergeCell ref="F1002:F1005"/>
    <mergeCell ref="F1006:F1009"/>
    <mergeCell ref="F1010:F1012"/>
    <mergeCell ref="F1013:F1015"/>
    <mergeCell ref="F1016:F1019"/>
    <mergeCell ref="F1022:F1025"/>
    <mergeCell ref="F1027:F1029"/>
    <mergeCell ref="F1032:F1034"/>
    <mergeCell ref="F1035:F1042"/>
    <mergeCell ref="F1043:F1045"/>
    <mergeCell ref="F1046:F1048"/>
    <mergeCell ref="F1049:F1051"/>
    <mergeCell ref="F1052:F1054"/>
    <mergeCell ref="F1055:F1057"/>
    <mergeCell ref="F1058:F1060"/>
    <mergeCell ref="F1061:F1064"/>
    <mergeCell ref="F1065:F1067"/>
    <mergeCell ref="F1068:F1070"/>
    <mergeCell ref="F1071:F1074"/>
    <mergeCell ref="F1075:F1082"/>
    <mergeCell ref="F1083:F1097"/>
    <mergeCell ref="F1098:F1100"/>
    <mergeCell ref="F1101:F1103"/>
    <mergeCell ref="F1104:F1106"/>
    <mergeCell ref="F1107:F1109"/>
    <mergeCell ref="F1110:F1113"/>
    <mergeCell ref="F1114:F1117"/>
    <mergeCell ref="F1118:F1134"/>
    <mergeCell ref="F1135:F1144"/>
    <mergeCell ref="F1145:F1151"/>
    <mergeCell ref="F1152:F1155"/>
    <mergeCell ref="F1156:F1159"/>
    <mergeCell ref="F1160:F1163"/>
    <mergeCell ref="F1164:F1167"/>
    <mergeCell ref="F1168:F1170"/>
    <mergeCell ref="F1171:F1178"/>
    <mergeCell ref="F1179:F1186"/>
    <mergeCell ref="F1187:F1196"/>
    <mergeCell ref="F1197:F1201"/>
    <mergeCell ref="F1202:F1211"/>
    <mergeCell ref="F1212:F1223"/>
    <mergeCell ref="F1224:F1228"/>
    <mergeCell ref="F1229:F1232"/>
    <mergeCell ref="F1233:F1236"/>
    <mergeCell ref="F1237:F1240"/>
    <mergeCell ref="F1241:F1247"/>
    <mergeCell ref="F1248:F1250"/>
    <mergeCell ref="F1251:F1253"/>
    <mergeCell ref="F1254:F1256"/>
    <mergeCell ref="F1257:F1259"/>
    <mergeCell ref="F1260:F1262"/>
    <mergeCell ref="F1263:F1283"/>
    <mergeCell ref="F1284:F1303"/>
    <mergeCell ref="F1304:F1310"/>
    <mergeCell ref="F1311:F1319"/>
    <mergeCell ref="F1320:F1356"/>
    <mergeCell ref="F1357:F1359"/>
    <mergeCell ref="F1360:F1363"/>
    <mergeCell ref="F1364:F1365"/>
    <mergeCell ref="F1366:F1368"/>
    <mergeCell ref="F1369:F1371"/>
    <mergeCell ref="F1372:F1376"/>
    <mergeCell ref="F1377:F1386"/>
    <mergeCell ref="F1387:F1393"/>
    <mergeCell ref="F1394:F1398"/>
    <mergeCell ref="F1399:F1401"/>
    <mergeCell ref="F1402:F1404"/>
    <mergeCell ref="F1405:F1406"/>
    <mergeCell ref="F1407:F1409"/>
    <mergeCell ref="F1410:F1412"/>
    <mergeCell ref="F1413:F1415"/>
    <mergeCell ref="F1416:F1420"/>
    <mergeCell ref="F1421:F1427"/>
    <mergeCell ref="F1428:F1429"/>
    <mergeCell ref="F1430:F1435"/>
    <mergeCell ref="F1436:F1439"/>
    <mergeCell ref="F1440:F1446"/>
    <mergeCell ref="F1447:F1453"/>
    <mergeCell ref="F1457:F1459"/>
    <mergeCell ref="F1460:F1462"/>
    <mergeCell ref="F1463:F1464"/>
    <mergeCell ref="F1465:F1467"/>
    <mergeCell ref="F1468:F1470"/>
    <mergeCell ref="F1471:F1475"/>
    <mergeCell ref="F1476:F1488"/>
    <mergeCell ref="F1489:F1495"/>
    <mergeCell ref="F1496:F1499"/>
    <mergeCell ref="F1500:F1503"/>
    <mergeCell ref="F1505:F1506"/>
    <mergeCell ref="F1507:F1510"/>
    <mergeCell ref="F1511:F1516"/>
    <mergeCell ref="F1517:F1521"/>
    <mergeCell ref="F1522:F1525"/>
    <mergeCell ref="F1526:F1539"/>
    <mergeCell ref="F1540:F1546"/>
    <mergeCell ref="F1547:F1556"/>
    <mergeCell ref="F1557:F1564"/>
    <mergeCell ref="F1565:F1567"/>
    <mergeCell ref="F1568:F1571"/>
    <mergeCell ref="F1574:F1577"/>
    <mergeCell ref="F1578:F1583"/>
    <mergeCell ref="F1584:F1594"/>
    <mergeCell ref="F1595:F1598"/>
    <mergeCell ref="F1599:F1601"/>
    <mergeCell ref="F1602:F1605"/>
    <mergeCell ref="F1606:F1613"/>
    <mergeCell ref="F1614:F1618"/>
    <mergeCell ref="F1619:F1624"/>
    <mergeCell ref="F1625:F1629"/>
    <mergeCell ref="F1630:F1632"/>
    <mergeCell ref="F1633:F1646"/>
    <mergeCell ref="F1647:F1649"/>
    <mergeCell ref="F1650:F1654"/>
    <mergeCell ref="F1655:F1660"/>
    <mergeCell ref="F1661:F1666"/>
    <mergeCell ref="F1667:F1675"/>
    <mergeCell ref="F1676:F1679"/>
    <mergeCell ref="F1680:F1693"/>
    <mergeCell ref="F1694:F1697"/>
    <mergeCell ref="F1698:F1702"/>
    <mergeCell ref="F1703:F1705"/>
    <mergeCell ref="F1706:F1708"/>
    <mergeCell ref="F1709:F1713"/>
    <mergeCell ref="F1714:F1718"/>
    <mergeCell ref="F1719:F1721"/>
    <mergeCell ref="F1722:F1729"/>
    <mergeCell ref="F1730:F1736"/>
    <mergeCell ref="F1737:F1740"/>
    <mergeCell ref="F1741:F1744"/>
    <mergeCell ref="F1745:F1748"/>
    <mergeCell ref="F1749:F1755"/>
    <mergeCell ref="F1756:F1762"/>
    <mergeCell ref="F1763:F1769"/>
    <mergeCell ref="F1770:F1776"/>
    <mergeCell ref="F1777:F1783"/>
    <mergeCell ref="F1784:F1792"/>
    <mergeCell ref="F1793:F1796"/>
    <mergeCell ref="F1797:F1799"/>
    <mergeCell ref="F1800:F1802"/>
    <mergeCell ref="F1803:F1805"/>
    <mergeCell ref="F1806:F1808"/>
    <mergeCell ref="F1809:F1814"/>
    <mergeCell ref="F1815:F1820"/>
    <mergeCell ref="F1821:F1832"/>
    <mergeCell ref="F1833:F1837"/>
    <mergeCell ref="F1838:F1844"/>
    <mergeCell ref="F1845:F1847"/>
    <mergeCell ref="F1848:F1852"/>
    <mergeCell ref="F1854:F1857"/>
    <mergeCell ref="F1858:F1862"/>
    <mergeCell ref="F1863:F1865"/>
    <mergeCell ref="F1866:F1868"/>
    <mergeCell ref="F1869:F1873"/>
    <mergeCell ref="F1874:F1877"/>
    <mergeCell ref="F1878:F1881"/>
    <mergeCell ref="F1882:F1885"/>
    <mergeCell ref="F1886:F1889"/>
    <mergeCell ref="F1890:F1897"/>
    <mergeCell ref="F1898:F1900"/>
    <mergeCell ref="F1901:F1904"/>
    <mergeCell ref="F1905:F1908"/>
    <mergeCell ref="F1909:F1912"/>
    <mergeCell ref="F1913:F1917"/>
    <mergeCell ref="F1918:F1921"/>
    <mergeCell ref="F1922:F1924"/>
    <mergeCell ref="F1926:F1928"/>
    <mergeCell ref="F1929:F1934"/>
    <mergeCell ref="F1935:F1936"/>
    <mergeCell ref="F1938:F1957"/>
    <mergeCell ref="F1959:F1962"/>
    <mergeCell ref="F1963:F1964"/>
    <mergeCell ref="F1965:F1971"/>
    <mergeCell ref="F1972:F1978"/>
    <mergeCell ref="F1979:F1992"/>
    <mergeCell ref="F1993:F2003"/>
    <mergeCell ref="F2004:F2008"/>
    <mergeCell ref="F2009:F2011"/>
    <mergeCell ref="F2012:F2019"/>
    <mergeCell ref="F2020:F2027"/>
    <mergeCell ref="F2028:F2034"/>
    <mergeCell ref="F2035:F2038"/>
    <mergeCell ref="F2039:F2042"/>
    <mergeCell ref="F2043:F2045"/>
    <mergeCell ref="F2046:F2049"/>
    <mergeCell ref="F2050:F2052"/>
    <mergeCell ref="F2053:F2055"/>
    <mergeCell ref="F2056:F2062"/>
    <mergeCell ref="F2063:F2076"/>
    <mergeCell ref="F2077:F2090"/>
    <mergeCell ref="F2091:F2098"/>
    <mergeCell ref="F2099:F2105"/>
    <mergeCell ref="F2106:F2110"/>
    <mergeCell ref="F2111:F2113"/>
    <mergeCell ref="F2114:F2116"/>
    <mergeCell ref="F2117:F2119"/>
    <mergeCell ref="F2120:F2122"/>
    <mergeCell ref="F2123:F2125"/>
    <mergeCell ref="F2126:F2128"/>
    <mergeCell ref="F2129:F2131"/>
    <mergeCell ref="F2132:F2134"/>
    <mergeCell ref="F2135:F2137"/>
    <mergeCell ref="F2138:F2140"/>
    <mergeCell ref="F2141:F2145"/>
    <mergeCell ref="F2146:F2159"/>
    <mergeCell ref="F2160:F2187"/>
    <mergeCell ref="F2188:F2199"/>
    <mergeCell ref="F2200:F2214"/>
    <mergeCell ref="F2215:F2219"/>
    <mergeCell ref="F2220:F2226"/>
    <mergeCell ref="F2227:F2231"/>
    <mergeCell ref="F2232:F2235"/>
    <mergeCell ref="F2236:F2239"/>
    <mergeCell ref="F2240:F2242"/>
    <mergeCell ref="F2243:F2245"/>
    <mergeCell ref="F2246:F2253"/>
    <mergeCell ref="F2254:F2258"/>
    <mergeCell ref="F2259:F2261"/>
    <mergeCell ref="F2262:F2264"/>
    <mergeCell ref="F2265:F2268"/>
    <mergeCell ref="F2269:F2272"/>
    <mergeCell ref="F2273:F2279"/>
    <mergeCell ref="F2280:F2291"/>
    <mergeCell ref="F2292:F2303"/>
    <mergeCell ref="F2304:F2310"/>
    <mergeCell ref="F2311:F2322"/>
    <mergeCell ref="F2323:F2333"/>
    <mergeCell ref="F2334:F2340"/>
    <mergeCell ref="F2341:F2355"/>
    <mergeCell ref="F2356:F2379"/>
    <mergeCell ref="F2380:F2383"/>
    <mergeCell ref="F2384:F2386"/>
    <mergeCell ref="F2387:F2389"/>
    <mergeCell ref="F2390:F2392"/>
    <mergeCell ref="F2393:F2397"/>
    <mergeCell ref="F2398:F2404"/>
    <mergeCell ref="F2405:F2410"/>
    <mergeCell ref="F2411:F2423"/>
    <mergeCell ref="F2424:F2433"/>
    <mergeCell ref="F2434:F2445"/>
    <mergeCell ref="F2447:F2457"/>
    <mergeCell ref="F2458:F2468"/>
    <mergeCell ref="F2469:F2471"/>
    <mergeCell ref="F2472:F2474"/>
    <mergeCell ref="F2475:F2477"/>
    <mergeCell ref="F2478:F2484"/>
    <mergeCell ref="F2485:F2493"/>
    <mergeCell ref="F2494:F2501"/>
    <mergeCell ref="F2502:F2507"/>
    <mergeCell ref="F2508:F2510"/>
    <mergeCell ref="F2511:F2513"/>
    <mergeCell ref="F2523:F2529"/>
    <mergeCell ref="F2530:F2537"/>
    <mergeCell ref="F2538:F2546"/>
    <mergeCell ref="F2547:F2557"/>
    <mergeCell ref="F2558:F2561"/>
    <mergeCell ref="F2562:F2572"/>
    <mergeCell ref="F2573:F2584"/>
    <mergeCell ref="F2585:F2590"/>
    <mergeCell ref="F2591:F2596"/>
    <mergeCell ref="F2597:F2602"/>
    <mergeCell ref="F2603:F2615"/>
    <mergeCell ref="G5:G14"/>
    <mergeCell ref="G15:G19"/>
    <mergeCell ref="G20:G22"/>
    <mergeCell ref="G25:G28"/>
    <mergeCell ref="G31:G35"/>
    <mergeCell ref="G36:G40"/>
    <mergeCell ref="G41:G45"/>
    <mergeCell ref="G46:G49"/>
    <mergeCell ref="G50:G56"/>
    <mergeCell ref="G57:G60"/>
    <mergeCell ref="G61:G63"/>
    <mergeCell ref="G64:G67"/>
    <mergeCell ref="G69:G73"/>
    <mergeCell ref="G74:G85"/>
    <mergeCell ref="G86:G90"/>
    <mergeCell ref="G91:G93"/>
    <mergeCell ref="G94:G95"/>
    <mergeCell ref="G96:G99"/>
    <mergeCell ref="G100:G102"/>
    <mergeCell ref="G103:G106"/>
    <mergeCell ref="G107:G111"/>
    <mergeCell ref="G112:G114"/>
    <mergeCell ref="G116:G120"/>
    <mergeCell ref="G121:G123"/>
    <mergeCell ref="G124:G127"/>
    <mergeCell ref="G128:G130"/>
    <mergeCell ref="G131:G133"/>
    <mergeCell ref="G134:G136"/>
    <mergeCell ref="G137:G139"/>
    <mergeCell ref="G140:G143"/>
    <mergeCell ref="G144:G146"/>
    <mergeCell ref="G147:G149"/>
    <mergeCell ref="G150:G152"/>
    <mergeCell ref="G153:G155"/>
    <mergeCell ref="G156:G157"/>
    <mergeCell ref="G158:G159"/>
    <mergeCell ref="G160:G163"/>
    <mergeCell ref="G164:G167"/>
    <mergeCell ref="G170:G175"/>
    <mergeCell ref="G176:G178"/>
    <mergeCell ref="G179:G183"/>
    <mergeCell ref="G184:G188"/>
    <mergeCell ref="G189:G193"/>
    <mergeCell ref="G194:G203"/>
    <mergeCell ref="G204:G208"/>
    <mergeCell ref="G209:G219"/>
    <mergeCell ref="G220:G224"/>
    <mergeCell ref="G225:G232"/>
    <mergeCell ref="G233:G237"/>
    <mergeCell ref="G242:G245"/>
    <mergeCell ref="G246:G248"/>
    <mergeCell ref="G249:G253"/>
    <mergeCell ref="G254:G257"/>
    <mergeCell ref="G258:G259"/>
    <mergeCell ref="G260:G261"/>
    <mergeCell ref="G262:G263"/>
    <mergeCell ref="G264:G265"/>
    <mergeCell ref="G266:G267"/>
    <mergeCell ref="G268:G276"/>
    <mergeCell ref="G277:G281"/>
    <mergeCell ref="G282:G284"/>
    <mergeCell ref="G285:G288"/>
    <mergeCell ref="G289:G292"/>
    <mergeCell ref="G293:G300"/>
    <mergeCell ref="G301:G317"/>
    <mergeCell ref="G318:G330"/>
    <mergeCell ref="G331:G337"/>
    <mergeCell ref="G338:G343"/>
    <mergeCell ref="G344:G357"/>
    <mergeCell ref="G358:G367"/>
    <mergeCell ref="G368:G374"/>
    <mergeCell ref="G375:G381"/>
    <mergeCell ref="G382:G388"/>
    <mergeCell ref="G389:G396"/>
    <mergeCell ref="G397:G403"/>
    <mergeCell ref="G404:G409"/>
    <mergeCell ref="G411:G412"/>
    <mergeCell ref="G413:G417"/>
    <mergeCell ref="G418:G419"/>
    <mergeCell ref="G420:G423"/>
    <mergeCell ref="G424:G426"/>
    <mergeCell ref="G427:G430"/>
    <mergeCell ref="G431:G435"/>
    <mergeCell ref="G437:G440"/>
    <mergeCell ref="G441:G443"/>
    <mergeCell ref="G444:G449"/>
    <mergeCell ref="G450:G453"/>
    <mergeCell ref="G454:G456"/>
    <mergeCell ref="G458:G460"/>
    <mergeCell ref="G461:G465"/>
    <mergeCell ref="G466:G468"/>
    <mergeCell ref="G469:G472"/>
    <mergeCell ref="G473:G480"/>
    <mergeCell ref="G481:G484"/>
    <mergeCell ref="G485:G488"/>
    <mergeCell ref="G489:G500"/>
    <mergeCell ref="G501:G506"/>
    <mergeCell ref="G508:G512"/>
    <mergeCell ref="G513:G519"/>
    <mergeCell ref="G520:G523"/>
    <mergeCell ref="G524:G527"/>
    <mergeCell ref="G528:G531"/>
    <mergeCell ref="G532:G534"/>
    <mergeCell ref="G535:G537"/>
    <mergeCell ref="G538:G540"/>
    <mergeCell ref="G541:G544"/>
    <mergeCell ref="G545:G548"/>
    <mergeCell ref="G549:G552"/>
    <mergeCell ref="G553:G560"/>
    <mergeCell ref="G561:G568"/>
    <mergeCell ref="G569:G572"/>
    <mergeCell ref="G573:G575"/>
    <mergeCell ref="G577:G582"/>
    <mergeCell ref="G583:G587"/>
    <mergeCell ref="G588:G591"/>
    <mergeCell ref="G592:G599"/>
    <mergeCell ref="G600:G607"/>
    <mergeCell ref="G608:G613"/>
    <mergeCell ref="G615:G622"/>
    <mergeCell ref="G623:G629"/>
    <mergeCell ref="G630:G640"/>
    <mergeCell ref="G641:G647"/>
    <mergeCell ref="G648:G651"/>
    <mergeCell ref="G652:G654"/>
    <mergeCell ref="G655:G657"/>
    <mergeCell ref="G658:G662"/>
    <mergeCell ref="G663:G664"/>
    <mergeCell ref="G665:G671"/>
    <mergeCell ref="G672:G682"/>
    <mergeCell ref="G683:G689"/>
    <mergeCell ref="G690:G712"/>
    <mergeCell ref="G713:G715"/>
    <mergeCell ref="G716:G720"/>
    <mergeCell ref="G721:G732"/>
    <mergeCell ref="G733:G743"/>
    <mergeCell ref="G744:G757"/>
    <mergeCell ref="G758:G764"/>
    <mergeCell ref="G765:G769"/>
    <mergeCell ref="G770:G773"/>
    <mergeCell ref="G774:G780"/>
    <mergeCell ref="G781:G791"/>
    <mergeCell ref="G792:G801"/>
    <mergeCell ref="G802:G807"/>
    <mergeCell ref="G808:G816"/>
    <mergeCell ref="G817:G820"/>
    <mergeCell ref="G821:G827"/>
    <mergeCell ref="G828:G833"/>
    <mergeCell ref="G834:G848"/>
    <mergeCell ref="G849:G852"/>
    <mergeCell ref="G853:G862"/>
    <mergeCell ref="G863:G868"/>
    <mergeCell ref="G869:G875"/>
    <mergeCell ref="G876:G880"/>
    <mergeCell ref="G881:G887"/>
    <mergeCell ref="G888:G891"/>
    <mergeCell ref="G892:G898"/>
    <mergeCell ref="G899:G905"/>
    <mergeCell ref="G906:G910"/>
    <mergeCell ref="G911:G916"/>
    <mergeCell ref="G917:G925"/>
    <mergeCell ref="G926:G931"/>
    <mergeCell ref="G932:G937"/>
    <mergeCell ref="G938:G941"/>
    <mergeCell ref="G942:G945"/>
    <mergeCell ref="G946:G956"/>
    <mergeCell ref="G957:G960"/>
    <mergeCell ref="G961:G963"/>
    <mergeCell ref="G964:G967"/>
    <mergeCell ref="G968:G973"/>
    <mergeCell ref="G974:G977"/>
    <mergeCell ref="G978:G980"/>
    <mergeCell ref="G981:G984"/>
    <mergeCell ref="G985:G987"/>
    <mergeCell ref="G988:G990"/>
    <mergeCell ref="G991:G994"/>
    <mergeCell ref="G995:G997"/>
    <mergeCell ref="G998:G1001"/>
    <mergeCell ref="G1002:G1005"/>
    <mergeCell ref="G1006:G1009"/>
    <mergeCell ref="G1010:G1012"/>
    <mergeCell ref="G1013:G1015"/>
    <mergeCell ref="G1016:G1019"/>
    <mergeCell ref="G1022:G1025"/>
    <mergeCell ref="G1027:G1029"/>
    <mergeCell ref="G1032:G1034"/>
    <mergeCell ref="G1035:G1042"/>
    <mergeCell ref="G1043:G1045"/>
    <mergeCell ref="G1046:G1048"/>
    <mergeCell ref="G1049:G1051"/>
    <mergeCell ref="G1052:G1054"/>
    <mergeCell ref="G1055:G1057"/>
    <mergeCell ref="G1058:G1060"/>
    <mergeCell ref="G1061:G1064"/>
    <mergeCell ref="G1065:G1067"/>
    <mergeCell ref="G1068:G1070"/>
    <mergeCell ref="G1071:G1074"/>
    <mergeCell ref="G1075:G1082"/>
    <mergeCell ref="G1083:G1097"/>
    <mergeCell ref="G1098:G1100"/>
    <mergeCell ref="G1101:G1103"/>
    <mergeCell ref="G1104:G1106"/>
    <mergeCell ref="G1107:G1109"/>
    <mergeCell ref="G1110:G1113"/>
    <mergeCell ref="G1114:G1117"/>
    <mergeCell ref="G1118:G1125"/>
    <mergeCell ref="G1126:G1128"/>
    <mergeCell ref="G1129:G1131"/>
    <mergeCell ref="G1132:G1134"/>
    <mergeCell ref="G1135:G1144"/>
    <mergeCell ref="G1145:G1151"/>
    <mergeCell ref="G1152:G1155"/>
    <mergeCell ref="G1156:G1159"/>
    <mergeCell ref="G1160:G1163"/>
    <mergeCell ref="G1164:G1167"/>
    <mergeCell ref="G1168:G1170"/>
    <mergeCell ref="G1171:G1178"/>
    <mergeCell ref="G1179:G1186"/>
    <mergeCell ref="G1187:G1196"/>
    <mergeCell ref="G1197:G1201"/>
    <mergeCell ref="G1202:G1211"/>
    <mergeCell ref="G1212:G1223"/>
    <mergeCell ref="G1224:G1228"/>
    <mergeCell ref="G1229:G1232"/>
    <mergeCell ref="G1233:G1236"/>
    <mergeCell ref="G1237:G1240"/>
    <mergeCell ref="G1241:G1247"/>
    <mergeCell ref="G1248:G1250"/>
    <mergeCell ref="G1251:G1253"/>
    <mergeCell ref="G1254:G1256"/>
    <mergeCell ref="G1257:G1259"/>
    <mergeCell ref="G1260:G1262"/>
    <mergeCell ref="G1263:G1283"/>
    <mergeCell ref="G1284:G1303"/>
    <mergeCell ref="G1304:G1310"/>
    <mergeCell ref="G1311:G1319"/>
    <mergeCell ref="G1320:G1356"/>
    <mergeCell ref="G1357:G1359"/>
    <mergeCell ref="G1360:G1363"/>
    <mergeCell ref="G1364:G1365"/>
    <mergeCell ref="G1366:G1368"/>
    <mergeCell ref="G1369:G1371"/>
    <mergeCell ref="G1372:G1376"/>
    <mergeCell ref="G1377:G1386"/>
    <mergeCell ref="G1387:G1393"/>
    <mergeCell ref="G1394:G1398"/>
    <mergeCell ref="G1399:G1401"/>
    <mergeCell ref="G1402:G1404"/>
    <mergeCell ref="G1405:G1406"/>
    <mergeCell ref="G1407:G1409"/>
    <mergeCell ref="G1410:G1412"/>
    <mergeCell ref="G1413:G1415"/>
    <mergeCell ref="G1416:G1420"/>
    <mergeCell ref="G1421:G1427"/>
    <mergeCell ref="G1428:G1429"/>
    <mergeCell ref="G1430:G1435"/>
    <mergeCell ref="G1436:G1439"/>
    <mergeCell ref="G1440:G1446"/>
    <mergeCell ref="G1447:G1453"/>
    <mergeCell ref="G1454:G1456"/>
    <mergeCell ref="G1457:G1459"/>
    <mergeCell ref="G1460:G1462"/>
    <mergeCell ref="G1463:G1464"/>
    <mergeCell ref="G1465:G1467"/>
    <mergeCell ref="G1468:G1470"/>
    <mergeCell ref="G1471:G1475"/>
    <mergeCell ref="G1476:G1488"/>
    <mergeCell ref="G1489:G1495"/>
    <mergeCell ref="G1496:G1499"/>
    <mergeCell ref="G1500:G1503"/>
    <mergeCell ref="G1505:G1506"/>
    <mergeCell ref="G1507:G1510"/>
    <mergeCell ref="G1511:G1516"/>
    <mergeCell ref="G1517:G1521"/>
    <mergeCell ref="G1522:G1525"/>
    <mergeCell ref="G1526:G1539"/>
    <mergeCell ref="G1540:G1546"/>
    <mergeCell ref="G1547:G1556"/>
    <mergeCell ref="G1557:G1564"/>
    <mergeCell ref="G1565:G1567"/>
    <mergeCell ref="G1568:G1571"/>
    <mergeCell ref="G1574:G1577"/>
    <mergeCell ref="G1578:G1583"/>
    <mergeCell ref="G1584:G1591"/>
    <mergeCell ref="G1592:G1594"/>
    <mergeCell ref="G1595:G1598"/>
    <mergeCell ref="G1599:G1601"/>
    <mergeCell ref="G1602:G1605"/>
    <mergeCell ref="G1606:G1613"/>
    <mergeCell ref="G1614:G1618"/>
    <mergeCell ref="G1619:G1621"/>
    <mergeCell ref="G1622:G1624"/>
    <mergeCell ref="G1625:G1629"/>
    <mergeCell ref="G1630:G1632"/>
    <mergeCell ref="G1633:G1646"/>
    <mergeCell ref="G1647:G1649"/>
    <mergeCell ref="G1650:G1654"/>
    <mergeCell ref="G1655:G1660"/>
    <mergeCell ref="G1661:G1666"/>
    <mergeCell ref="G1667:G1675"/>
    <mergeCell ref="G1676:G1679"/>
    <mergeCell ref="G1680:G1682"/>
    <mergeCell ref="G1683:G1685"/>
    <mergeCell ref="G1686:G1688"/>
    <mergeCell ref="G1689:G1693"/>
    <mergeCell ref="G1694:G1697"/>
    <mergeCell ref="G1698:G1702"/>
    <mergeCell ref="G1703:G1705"/>
    <mergeCell ref="G1706:G1708"/>
    <mergeCell ref="G1709:G1713"/>
    <mergeCell ref="G1714:G1718"/>
    <mergeCell ref="G1719:G1721"/>
    <mergeCell ref="G1722:G1725"/>
    <mergeCell ref="G1726:G1729"/>
    <mergeCell ref="G1730:G1736"/>
    <mergeCell ref="G1737:G1740"/>
    <mergeCell ref="G1741:G1744"/>
    <mergeCell ref="G1745:G1748"/>
    <mergeCell ref="G1749:G1755"/>
    <mergeCell ref="G1756:G1762"/>
    <mergeCell ref="G1763:G1769"/>
    <mergeCell ref="G1770:G1776"/>
    <mergeCell ref="G1777:G1783"/>
    <mergeCell ref="G1784:G1792"/>
    <mergeCell ref="G1793:G1796"/>
    <mergeCell ref="G1797:G1799"/>
    <mergeCell ref="G1800:G1802"/>
    <mergeCell ref="G1803:G1805"/>
    <mergeCell ref="G1806:G1808"/>
    <mergeCell ref="G1809:G1814"/>
    <mergeCell ref="G1815:G1820"/>
    <mergeCell ref="G1821:G1827"/>
    <mergeCell ref="G1829:G1832"/>
    <mergeCell ref="G1833:G1837"/>
    <mergeCell ref="G1838:G1840"/>
    <mergeCell ref="G1841:G1844"/>
    <mergeCell ref="G1845:G1847"/>
    <mergeCell ref="G1848:G1852"/>
    <mergeCell ref="G1854:G1857"/>
    <mergeCell ref="G1858:G1862"/>
    <mergeCell ref="G1863:G1865"/>
    <mergeCell ref="G1866:G1868"/>
    <mergeCell ref="G1869:G1873"/>
    <mergeCell ref="G1874:G1877"/>
    <mergeCell ref="G1878:G1881"/>
    <mergeCell ref="G1882:G1885"/>
    <mergeCell ref="G1886:G1889"/>
    <mergeCell ref="G1890:G1893"/>
    <mergeCell ref="G1894:G1897"/>
    <mergeCell ref="G1898:G1900"/>
    <mergeCell ref="G1901:G1904"/>
    <mergeCell ref="G1905:G1908"/>
    <mergeCell ref="G1909:G1912"/>
    <mergeCell ref="G1913:G1917"/>
    <mergeCell ref="G1918:G1921"/>
    <mergeCell ref="G1922:G1924"/>
    <mergeCell ref="G1926:G1928"/>
    <mergeCell ref="G1929:G1934"/>
    <mergeCell ref="G1935:G1936"/>
    <mergeCell ref="G1938:G1957"/>
    <mergeCell ref="G1959:G1962"/>
    <mergeCell ref="G1963:G1964"/>
    <mergeCell ref="G1965:G1971"/>
    <mergeCell ref="G1972:G1978"/>
    <mergeCell ref="G1979:G1985"/>
    <mergeCell ref="G1986:G1988"/>
    <mergeCell ref="G1989:G1992"/>
    <mergeCell ref="G1993:G2003"/>
    <mergeCell ref="G2004:G2008"/>
    <mergeCell ref="G2009:G2011"/>
    <mergeCell ref="G2012:G2019"/>
    <mergeCell ref="G2020:G2027"/>
    <mergeCell ref="G2028:G2034"/>
    <mergeCell ref="G2035:G2038"/>
    <mergeCell ref="G2039:G2042"/>
    <mergeCell ref="G2043:G2045"/>
    <mergeCell ref="G2046:G2049"/>
    <mergeCell ref="G2050:G2052"/>
    <mergeCell ref="G2053:G2055"/>
    <mergeCell ref="G2056:G2062"/>
    <mergeCell ref="G2063:G2069"/>
    <mergeCell ref="G2070:G2072"/>
    <mergeCell ref="G2073:G2075"/>
    <mergeCell ref="G2077:G2090"/>
    <mergeCell ref="G2091:G2098"/>
    <mergeCell ref="G2099:G2105"/>
    <mergeCell ref="G2106:G2110"/>
    <mergeCell ref="G2111:G2113"/>
    <mergeCell ref="G2114:G2116"/>
    <mergeCell ref="G2117:G2119"/>
    <mergeCell ref="G2120:G2122"/>
    <mergeCell ref="G2123:G2125"/>
    <mergeCell ref="G2126:G2128"/>
    <mergeCell ref="G2129:G2131"/>
    <mergeCell ref="G2132:G2134"/>
    <mergeCell ref="G2135:G2137"/>
    <mergeCell ref="G2138:G2140"/>
    <mergeCell ref="G2141:G2145"/>
    <mergeCell ref="G2146:G2159"/>
    <mergeCell ref="G2160:G2187"/>
    <mergeCell ref="G2188:G2199"/>
    <mergeCell ref="G2200:G2214"/>
    <mergeCell ref="G2215:G2219"/>
    <mergeCell ref="G2220:G2226"/>
    <mergeCell ref="G2227:G2231"/>
    <mergeCell ref="G2232:G2235"/>
    <mergeCell ref="G2236:G2239"/>
    <mergeCell ref="G2240:G2242"/>
    <mergeCell ref="G2243:G2245"/>
    <mergeCell ref="G2246:G2253"/>
    <mergeCell ref="G2254:G2258"/>
    <mergeCell ref="G2259:G2261"/>
    <mergeCell ref="G2262:G2264"/>
    <mergeCell ref="G2265:G2268"/>
    <mergeCell ref="G2269:G2272"/>
    <mergeCell ref="G2273:G2279"/>
    <mergeCell ref="G2280:G2291"/>
    <mergeCell ref="G2292:G2303"/>
    <mergeCell ref="G2304:G2310"/>
    <mergeCell ref="G2311:G2322"/>
    <mergeCell ref="G2323:G2333"/>
    <mergeCell ref="G2334:G2340"/>
    <mergeCell ref="G2341:G2355"/>
    <mergeCell ref="G2356:G2379"/>
    <mergeCell ref="G2380:G2383"/>
    <mergeCell ref="G2384:G2386"/>
    <mergeCell ref="G2387:G2389"/>
    <mergeCell ref="G2390:G2392"/>
    <mergeCell ref="G2393:G2397"/>
    <mergeCell ref="G2398:G2404"/>
    <mergeCell ref="G2405:G2410"/>
    <mergeCell ref="G2411:G2423"/>
    <mergeCell ref="G2424:G2433"/>
    <mergeCell ref="G2434:G2445"/>
    <mergeCell ref="G2447:G2457"/>
    <mergeCell ref="G2458:G2468"/>
    <mergeCell ref="G2469:G2471"/>
    <mergeCell ref="G2472:G2474"/>
    <mergeCell ref="G2475:G2477"/>
    <mergeCell ref="G2478:G2484"/>
    <mergeCell ref="G2485:G2493"/>
    <mergeCell ref="G2494:G2501"/>
    <mergeCell ref="G2502:G2507"/>
    <mergeCell ref="G2508:G2510"/>
    <mergeCell ref="G2511:G2513"/>
    <mergeCell ref="G2523:G2529"/>
    <mergeCell ref="G2530:G2537"/>
    <mergeCell ref="G2538:G2546"/>
    <mergeCell ref="G2547:G2557"/>
    <mergeCell ref="G2558:G2561"/>
    <mergeCell ref="G2562:G2572"/>
    <mergeCell ref="G2573:G2584"/>
    <mergeCell ref="G2585:G2590"/>
    <mergeCell ref="G2591:G2596"/>
    <mergeCell ref="G2597:G2602"/>
    <mergeCell ref="G2603:G2615"/>
    <mergeCell ref="H5:H14"/>
    <mergeCell ref="H15:H19"/>
    <mergeCell ref="H20:H22"/>
    <mergeCell ref="H25:H28"/>
    <mergeCell ref="H31:H35"/>
    <mergeCell ref="H36:H40"/>
    <mergeCell ref="H41:H45"/>
    <mergeCell ref="H46:H49"/>
    <mergeCell ref="H50:H56"/>
    <mergeCell ref="H57:H60"/>
    <mergeCell ref="H61:H63"/>
    <mergeCell ref="H64:H67"/>
    <mergeCell ref="H69:H73"/>
    <mergeCell ref="H74:H85"/>
    <mergeCell ref="H86:H90"/>
    <mergeCell ref="H91:H93"/>
    <mergeCell ref="H94:H95"/>
    <mergeCell ref="H96:H99"/>
    <mergeCell ref="H100:H102"/>
    <mergeCell ref="H103:H106"/>
    <mergeCell ref="H107:H111"/>
    <mergeCell ref="H112:H114"/>
    <mergeCell ref="H116:H120"/>
    <mergeCell ref="H121:H123"/>
    <mergeCell ref="H124:H127"/>
    <mergeCell ref="H128:H130"/>
    <mergeCell ref="H131:H133"/>
    <mergeCell ref="H134:H136"/>
    <mergeCell ref="H137:H139"/>
    <mergeCell ref="H140:H143"/>
    <mergeCell ref="H144:H146"/>
    <mergeCell ref="H147:H149"/>
    <mergeCell ref="H150:H152"/>
    <mergeCell ref="H153:H155"/>
    <mergeCell ref="H156:H157"/>
    <mergeCell ref="H158:H159"/>
    <mergeCell ref="H160:H163"/>
    <mergeCell ref="H164:H167"/>
    <mergeCell ref="H170:H175"/>
    <mergeCell ref="H176:H178"/>
    <mergeCell ref="H179:H183"/>
    <mergeCell ref="H184:H188"/>
    <mergeCell ref="H189:H193"/>
    <mergeCell ref="H194:H203"/>
    <mergeCell ref="H204:H208"/>
    <mergeCell ref="H209:H219"/>
    <mergeCell ref="H220:H224"/>
    <mergeCell ref="H225:H232"/>
    <mergeCell ref="H233:H237"/>
    <mergeCell ref="H242:H245"/>
    <mergeCell ref="H246:H267"/>
    <mergeCell ref="H268:H276"/>
    <mergeCell ref="H277:H281"/>
    <mergeCell ref="H282:H284"/>
    <mergeCell ref="H285:H288"/>
    <mergeCell ref="H289:H292"/>
    <mergeCell ref="H293:H300"/>
    <mergeCell ref="H301:H317"/>
    <mergeCell ref="H318:H330"/>
    <mergeCell ref="H331:H337"/>
    <mergeCell ref="H338:H343"/>
    <mergeCell ref="H344:H357"/>
    <mergeCell ref="H358:H367"/>
    <mergeCell ref="H368:H374"/>
    <mergeCell ref="H375:H381"/>
    <mergeCell ref="H382:H388"/>
    <mergeCell ref="H389:H396"/>
    <mergeCell ref="H397:H403"/>
    <mergeCell ref="H404:H409"/>
    <mergeCell ref="H411:H412"/>
    <mergeCell ref="H413:H417"/>
    <mergeCell ref="H418:H419"/>
    <mergeCell ref="H420:H423"/>
    <mergeCell ref="H424:H426"/>
    <mergeCell ref="H427:H430"/>
    <mergeCell ref="H431:H435"/>
    <mergeCell ref="H437:H440"/>
    <mergeCell ref="H441:H443"/>
    <mergeCell ref="H444:H449"/>
    <mergeCell ref="H450:H453"/>
    <mergeCell ref="H454:H456"/>
    <mergeCell ref="H458:H460"/>
    <mergeCell ref="H461:H465"/>
    <mergeCell ref="H466:H468"/>
    <mergeCell ref="H469:H472"/>
    <mergeCell ref="H473:H480"/>
    <mergeCell ref="H481:H484"/>
    <mergeCell ref="H485:H488"/>
    <mergeCell ref="H489:H500"/>
    <mergeCell ref="H501:H506"/>
    <mergeCell ref="H508:H512"/>
    <mergeCell ref="H513:H519"/>
    <mergeCell ref="H520:H523"/>
    <mergeCell ref="H524:H527"/>
    <mergeCell ref="H528:H531"/>
    <mergeCell ref="H532:H534"/>
    <mergeCell ref="H535:H537"/>
    <mergeCell ref="H538:H540"/>
    <mergeCell ref="H541:H544"/>
    <mergeCell ref="H545:H548"/>
    <mergeCell ref="H549:H552"/>
    <mergeCell ref="H553:H560"/>
    <mergeCell ref="H561:H568"/>
    <mergeCell ref="H569:H572"/>
    <mergeCell ref="H573:H575"/>
    <mergeCell ref="H577:H582"/>
    <mergeCell ref="H583:H587"/>
    <mergeCell ref="H588:H591"/>
    <mergeCell ref="H592:H599"/>
    <mergeCell ref="H600:H607"/>
    <mergeCell ref="H608:H613"/>
    <mergeCell ref="H615:H622"/>
    <mergeCell ref="H623:H629"/>
    <mergeCell ref="H630:H640"/>
    <mergeCell ref="H641:H647"/>
    <mergeCell ref="H648:H651"/>
    <mergeCell ref="H652:H654"/>
    <mergeCell ref="H655:H657"/>
    <mergeCell ref="H658:H662"/>
    <mergeCell ref="H663:H664"/>
    <mergeCell ref="H665:H671"/>
    <mergeCell ref="H672:H682"/>
    <mergeCell ref="H683:H689"/>
    <mergeCell ref="H690:H712"/>
    <mergeCell ref="H713:H715"/>
    <mergeCell ref="H716:H720"/>
    <mergeCell ref="H721:H732"/>
    <mergeCell ref="H733:H743"/>
    <mergeCell ref="H744:H757"/>
    <mergeCell ref="H758:H764"/>
    <mergeCell ref="H765:H769"/>
    <mergeCell ref="H770:H773"/>
    <mergeCell ref="H774:H780"/>
    <mergeCell ref="H781:H791"/>
    <mergeCell ref="H792:H801"/>
    <mergeCell ref="H802:H807"/>
    <mergeCell ref="H808:H816"/>
    <mergeCell ref="H817:H820"/>
    <mergeCell ref="H821:H827"/>
    <mergeCell ref="H828:H833"/>
    <mergeCell ref="H834:H848"/>
    <mergeCell ref="H849:H852"/>
    <mergeCell ref="H853:H862"/>
    <mergeCell ref="H863:H868"/>
    <mergeCell ref="H869:H875"/>
    <mergeCell ref="H876:H880"/>
    <mergeCell ref="H881:H887"/>
    <mergeCell ref="H888:H891"/>
    <mergeCell ref="H892:H898"/>
    <mergeCell ref="H899:H905"/>
    <mergeCell ref="H906:H910"/>
    <mergeCell ref="H911:H916"/>
    <mergeCell ref="H917:H925"/>
    <mergeCell ref="H926:H931"/>
    <mergeCell ref="H932:H937"/>
    <mergeCell ref="H938:H941"/>
    <mergeCell ref="H942:H945"/>
    <mergeCell ref="H946:H956"/>
    <mergeCell ref="H957:H960"/>
    <mergeCell ref="H961:H963"/>
    <mergeCell ref="H964:H967"/>
    <mergeCell ref="H968:H973"/>
    <mergeCell ref="H974:H977"/>
    <mergeCell ref="H978:H980"/>
    <mergeCell ref="H981:H984"/>
    <mergeCell ref="H985:H987"/>
    <mergeCell ref="H988:H990"/>
    <mergeCell ref="H991:H994"/>
    <mergeCell ref="H995:H997"/>
    <mergeCell ref="H998:H1001"/>
    <mergeCell ref="H1002:H1005"/>
    <mergeCell ref="H1006:H1009"/>
    <mergeCell ref="H1010:H1012"/>
    <mergeCell ref="H1013:H1015"/>
    <mergeCell ref="H1016:H1019"/>
    <mergeCell ref="H1022:H1025"/>
    <mergeCell ref="H1027:H1029"/>
    <mergeCell ref="H1032:H1034"/>
    <mergeCell ref="H1035:H1042"/>
    <mergeCell ref="H1043:H1045"/>
    <mergeCell ref="H1046:H1048"/>
    <mergeCell ref="H1049:H1051"/>
    <mergeCell ref="H1052:H1054"/>
    <mergeCell ref="H1055:H1057"/>
    <mergeCell ref="H1058:H1060"/>
    <mergeCell ref="H1061:H1064"/>
    <mergeCell ref="H1065:H1067"/>
    <mergeCell ref="H1068:H1070"/>
    <mergeCell ref="H1071:H1074"/>
    <mergeCell ref="H1075:H1082"/>
    <mergeCell ref="H1083:H1097"/>
    <mergeCell ref="H1098:H1100"/>
    <mergeCell ref="H1101:H1103"/>
    <mergeCell ref="H1104:H1106"/>
    <mergeCell ref="H1107:H1109"/>
    <mergeCell ref="H1110:H1113"/>
    <mergeCell ref="H1114:H1117"/>
    <mergeCell ref="H1118:H1134"/>
    <mergeCell ref="H1135:H1144"/>
    <mergeCell ref="H1145:H1151"/>
    <mergeCell ref="H1152:H1155"/>
    <mergeCell ref="H1156:H1159"/>
    <mergeCell ref="H1160:H1163"/>
    <mergeCell ref="H1164:H1167"/>
    <mergeCell ref="H1168:H1170"/>
    <mergeCell ref="H1171:H1178"/>
    <mergeCell ref="H1179:H1186"/>
    <mergeCell ref="H1187:H1196"/>
    <mergeCell ref="H1197:H1201"/>
    <mergeCell ref="H1202:H1211"/>
    <mergeCell ref="H1212:H1223"/>
    <mergeCell ref="H1224:H1228"/>
    <mergeCell ref="H1229:H1232"/>
    <mergeCell ref="H1233:H1236"/>
    <mergeCell ref="H1237:H1240"/>
    <mergeCell ref="H1241:H1247"/>
    <mergeCell ref="H1248:H1250"/>
    <mergeCell ref="H1251:H1253"/>
    <mergeCell ref="H1254:H1256"/>
    <mergeCell ref="H1257:H1259"/>
    <mergeCell ref="H1260:H1262"/>
    <mergeCell ref="H1263:H1283"/>
    <mergeCell ref="H1284:H1303"/>
    <mergeCell ref="H1304:H1310"/>
    <mergeCell ref="H1311:H1319"/>
    <mergeCell ref="H1320:H1356"/>
    <mergeCell ref="H1357:H1359"/>
    <mergeCell ref="H1360:H1363"/>
    <mergeCell ref="H1364:H1365"/>
    <mergeCell ref="H1366:H1368"/>
    <mergeCell ref="H1369:H1371"/>
    <mergeCell ref="H1372:H1376"/>
    <mergeCell ref="H1377:H1386"/>
    <mergeCell ref="H1387:H1393"/>
    <mergeCell ref="H1394:H1398"/>
    <mergeCell ref="H1399:H1401"/>
    <mergeCell ref="H1402:H1404"/>
    <mergeCell ref="H1405:H1406"/>
    <mergeCell ref="H1407:H1409"/>
    <mergeCell ref="H1410:H1412"/>
    <mergeCell ref="H1413:H1415"/>
    <mergeCell ref="H1416:H1420"/>
    <mergeCell ref="H1421:H1427"/>
    <mergeCell ref="H1428:H1429"/>
    <mergeCell ref="H1430:H1435"/>
    <mergeCell ref="H1436:H1439"/>
    <mergeCell ref="H1440:H1446"/>
    <mergeCell ref="H1447:H1453"/>
    <mergeCell ref="H1454:H1456"/>
    <mergeCell ref="H1457:H1459"/>
    <mergeCell ref="H1460:H1462"/>
    <mergeCell ref="H1463:H1464"/>
    <mergeCell ref="H1465:H1467"/>
    <mergeCell ref="H1468:H1470"/>
    <mergeCell ref="H1471:H1475"/>
    <mergeCell ref="H1476:H1488"/>
    <mergeCell ref="H1489:H1495"/>
    <mergeCell ref="H1496:H1499"/>
    <mergeCell ref="H1500:H1503"/>
    <mergeCell ref="H1505:H1506"/>
    <mergeCell ref="H1507:H1510"/>
    <mergeCell ref="H1511:H1516"/>
    <mergeCell ref="H1517:H1521"/>
    <mergeCell ref="H1522:H1525"/>
    <mergeCell ref="H1526:H1539"/>
    <mergeCell ref="H1540:H1546"/>
    <mergeCell ref="H1547:H1556"/>
    <mergeCell ref="H1557:H1564"/>
    <mergeCell ref="H1565:H1567"/>
    <mergeCell ref="H1568:H1571"/>
    <mergeCell ref="H1574:H1577"/>
    <mergeCell ref="H1578:H1583"/>
    <mergeCell ref="H1584:H1594"/>
    <mergeCell ref="H1595:H1598"/>
    <mergeCell ref="H1599:H1601"/>
    <mergeCell ref="H1602:H1605"/>
    <mergeCell ref="H1606:H1613"/>
    <mergeCell ref="H1614:H1618"/>
    <mergeCell ref="H1619:H1624"/>
    <mergeCell ref="H1625:H1629"/>
    <mergeCell ref="H1630:H1632"/>
    <mergeCell ref="H1633:H1646"/>
    <mergeCell ref="H1647:H1649"/>
    <mergeCell ref="H1650:H1654"/>
    <mergeCell ref="H1655:H1660"/>
    <mergeCell ref="H1661:H1666"/>
    <mergeCell ref="H1667:H1675"/>
    <mergeCell ref="H1676:H1679"/>
    <mergeCell ref="H1680:H1693"/>
    <mergeCell ref="H1694:H1697"/>
    <mergeCell ref="H1698:H1702"/>
    <mergeCell ref="H1703:H1705"/>
    <mergeCell ref="H1706:H1708"/>
    <mergeCell ref="H1709:H1713"/>
    <mergeCell ref="H1714:H1718"/>
    <mergeCell ref="H1719:H1721"/>
    <mergeCell ref="H1722:H1729"/>
    <mergeCell ref="H1730:H1736"/>
    <mergeCell ref="H1737:H1740"/>
    <mergeCell ref="H1741:H1744"/>
    <mergeCell ref="H1745:H1748"/>
    <mergeCell ref="H1749:H1755"/>
    <mergeCell ref="H1756:H1762"/>
    <mergeCell ref="H1763:H1769"/>
    <mergeCell ref="H1770:H1776"/>
    <mergeCell ref="H1777:H1783"/>
    <mergeCell ref="H1784:H1792"/>
    <mergeCell ref="H1793:H1796"/>
    <mergeCell ref="H1797:H1799"/>
    <mergeCell ref="H1800:H1802"/>
    <mergeCell ref="H1803:H1805"/>
    <mergeCell ref="H1806:H1808"/>
    <mergeCell ref="H1809:H1814"/>
    <mergeCell ref="H1815:H1820"/>
    <mergeCell ref="H1821:H1832"/>
    <mergeCell ref="H1833:H1837"/>
    <mergeCell ref="H1838:H1844"/>
    <mergeCell ref="H1845:H1847"/>
    <mergeCell ref="H1848:H1852"/>
    <mergeCell ref="H1854:H1857"/>
    <mergeCell ref="H1858:H1862"/>
    <mergeCell ref="H1863:H1865"/>
    <mergeCell ref="H1866:H1868"/>
    <mergeCell ref="H1869:H1873"/>
    <mergeCell ref="H1874:H1877"/>
    <mergeCell ref="H1878:H1881"/>
    <mergeCell ref="H1882:H1885"/>
    <mergeCell ref="H1886:H1889"/>
    <mergeCell ref="H1890:H1897"/>
    <mergeCell ref="H1898:H1900"/>
    <mergeCell ref="H1901:H1904"/>
    <mergeCell ref="H1905:H1908"/>
    <mergeCell ref="H1909:H1912"/>
    <mergeCell ref="H1913:H1917"/>
    <mergeCell ref="H1918:H1921"/>
    <mergeCell ref="H1922:H1924"/>
    <mergeCell ref="H1926:H1928"/>
    <mergeCell ref="H1929:H1934"/>
    <mergeCell ref="H1935:H1936"/>
    <mergeCell ref="H1938:H1957"/>
    <mergeCell ref="H1959:H1962"/>
    <mergeCell ref="H1963:H1964"/>
    <mergeCell ref="H1965:H1971"/>
    <mergeCell ref="H1972:H1978"/>
    <mergeCell ref="H1979:H1992"/>
    <mergeCell ref="H1993:H2003"/>
    <mergeCell ref="H2004:H2008"/>
    <mergeCell ref="H2009:H2011"/>
    <mergeCell ref="H2012:H2019"/>
    <mergeCell ref="H2020:H2027"/>
    <mergeCell ref="H2028:H2034"/>
    <mergeCell ref="H2035:H2038"/>
    <mergeCell ref="H2039:H2042"/>
    <mergeCell ref="H2043:H2045"/>
    <mergeCell ref="H2046:H2049"/>
    <mergeCell ref="H2050:H2052"/>
    <mergeCell ref="H2053:H2055"/>
    <mergeCell ref="H2056:H2062"/>
    <mergeCell ref="H2063:H2076"/>
    <mergeCell ref="H2077:H2090"/>
    <mergeCell ref="H2091:H2098"/>
    <mergeCell ref="H2099:H2105"/>
    <mergeCell ref="H2106:H2110"/>
    <mergeCell ref="H2111:H2113"/>
    <mergeCell ref="H2114:H2116"/>
    <mergeCell ref="H2117:H2119"/>
    <mergeCell ref="H2120:H2122"/>
    <mergeCell ref="H2123:H2125"/>
    <mergeCell ref="H2126:H2128"/>
    <mergeCell ref="H2129:H2131"/>
    <mergeCell ref="H2132:H2134"/>
    <mergeCell ref="H2135:H2137"/>
    <mergeCell ref="H2138:H2140"/>
    <mergeCell ref="H2141:H2145"/>
    <mergeCell ref="H2146:H2159"/>
    <mergeCell ref="H2160:H2187"/>
    <mergeCell ref="H2188:H2199"/>
    <mergeCell ref="H2200:H2214"/>
    <mergeCell ref="H2215:H2219"/>
    <mergeCell ref="H2220:H2226"/>
    <mergeCell ref="H2227:H2231"/>
    <mergeCell ref="H2232:H2235"/>
    <mergeCell ref="H2236:H2239"/>
    <mergeCell ref="H2240:H2242"/>
    <mergeCell ref="H2243:H2245"/>
    <mergeCell ref="H2246:H2253"/>
    <mergeCell ref="H2254:H2258"/>
    <mergeCell ref="H2259:H2261"/>
    <mergeCell ref="H2262:H2264"/>
    <mergeCell ref="H2265:H2268"/>
    <mergeCell ref="H2269:H2272"/>
    <mergeCell ref="H2273:H2279"/>
    <mergeCell ref="H2280:H2291"/>
    <mergeCell ref="H2292:H2303"/>
    <mergeCell ref="H2304:H2310"/>
    <mergeCell ref="H2311:H2322"/>
    <mergeCell ref="H2323:H2333"/>
    <mergeCell ref="H2334:H2340"/>
    <mergeCell ref="H2341:H2355"/>
    <mergeCell ref="H2356:H2379"/>
    <mergeCell ref="H2380:H2383"/>
    <mergeCell ref="H2384:H2386"/>
    <mergeCell ref="H2387:H2389"/>
    <mergeCell ref="H2390:H2392"/>
    <mergeCell ref="H2393:H2397"/>
    <mergeCell ref="H2398:H2404"/>
    <mergeCell ref="H2405:H2410"/>
    <mergeCell ref="H2411:H2423"/>
    <mergeCell ref="H2424:H2433"/>
    <mergeCell ref="H2434:H2445"/>
    <mergeCell ref="H2447:H2457"/>
    <mergeCell ref="H2458:H2468"/>
    <mergeCell ref="H2469:H2471"/>
    <mergeCell ref="H2472:H2474"/>
    <mergeCell ref="H2475:H2477"/>
    <mergeCell ref="H2478:H2484"/>
    <mergeCell ref="H2485:H2493"/>
    <mergeCell ref="H2494:H2501"/>
    <mergeCell ref="H2502:H2507"/>
    <mergeCell ref="H2508:H2510"/>
    <mergeCell ref="H2511:H2513"/>
    <mergeCell ref="H2523:H2529"/>
    <mergeCell ref="H2530:H2537"/>
    <mergeCell ref="H2538:H2546"/>
    <mergeCell ref="H2547:H2557"/>
    <mergeCell ref="H2558:H2561"/>
    <mergeCell ref="H2562:H2572"/>
    <mergeCell ref="H2573:H2584"/>
    <mergeCell ref="H2585:H2590"/>
    <mergeCell ref="H2591:H2596"/>
    <mergeCell ref="H2597:H2602"/>
    <mergeCell ref="H2603:H2615"/>
    <mergeCell ref="I5:I14"/>
    <mergeCell ref="I15:I19"/>
    <mergeCell ref="I20:I22"/>
    <mergeCell ref="I26:I28"/>
    <mergeCell ref="I31:I35"/>
    <mergeCell ref="I36:I40"/>
    <mergeCell ref="I41:I45"/>
    <mergeCell ref="I46:I49"/>
    <mergeCell ref="I50:I56"/>
    <mergeCell ref="I57:I60"/>
    <mergeCell ref="I61:I63"/>
    <mergeCell ref="I64:I67"/>
    <mergeCell ref="I69:I73"/>
    <mergeCell ref="I74:I85"/>
    <mergeCell ref="I86:I90"/>
    <mergeCell ref="I91:I93"/>
    <mergeCell ref="I94:I95"/>
    <mergeCell ref="I96:I99"/>
    <mergeCell ref="I100:I102"/>
    <mergeCell ref="I103:I106"/>
    <mergeCell ref="I107:I111"/>
    <mergeCell ref="I112:I114"/>
    <mergeCell ref="I116:I120"/>
    <mergeCell ref="I121:I123"/>
    <mergeCell ref="I124:I127"/>
    <mergeCell ref="I128:I130"/>
    <mergeCell ref="I131:I133"/>
    <mergeCell ref="I134:I136"/>
    <mergeCell ref="I137:I139"/>
    <mergeCell ref="I140:I143"/>
    <mergeCell ref="I144:I146"/>
    <mergeCell ref="I147:I149"/>
    <mergeCell ref="I150:I152"/>
    <mergeCell ref="I153:I155"/>
    <mergeCell ref="I156:I157"/>
    <mergeCell ref="I158:I159"/>
    <mergeCell ref="I160:I163"/>
    <mergeCell ref="I164:I167"/>
    <mergeCell ref="I170:I175"/>
    <mergeCell ref="I176:I178"/>
    <mergeCell ref="I179:I183"/>
    <mergeCell ref="I184:I188"/>
    <mergeCell ref="I189:I193"/>
    <mergeCell ref="I194:I203"/>
    <mergeCell ref="I204:I208"/>
    <mergeCell ref="I209:I219"/>
    <mergeCell ref="I220:I224"/>
    <mergeCell ref="I225:I232"/>
    <mergeCell ref="I233:I237"/>
    <mergeCell ref="I242:I245"/>
    <mergeCell ref="I246:I267"/>
    <mergeCell ref="I268:I276"/>
    <mergeCell ref="I277:I281"/>
    <mergeCell ref="I282:I284"/>
    <mergeCell ref="I285:I288"/>
    <mergeCell ref="I289:I292"/>
    <mergeCell ref="I293:I300"/>
    <mergeCell ref="I301:I317"/>
    <mergeCell ref="I318:I330"/>
    <mergeCell ref="I331:I337"/>
    <mergeCell ref="I338:I343"/>
    <mergeCell ref="I344:I357"/>
    <mergeCell ref="I358:I367"/>
    <mergeCell ref="I368:I374"/>
    <mergeCell ref="I375:I381"/>
    <mergeCell ref="I382:I388"/>
    <mergeCell ref="I389:I396"/>
    <mergeCell ref="I397:I403"/>
    <mergeCell ref="I404:I409"/>
    <mergeCell ref="I411:I412"/>
    <mergeCell ref="I413:I417"/>
    <mergeCell ref="I418:I419"/>
    <mergeCell ref="I420:I423"/>
    <mergeCell ref="I424:I426"/>
    <mergeCell ref="I427:I430"/>
    <mergeCell ref="I431:I435"/>
    <mergeCell ref="I437:I440"/>
    <mergeCell ref="I441:I443"/>
    <mergeCell ref="I444:I449"/>
    <mergeCell ref="I450:I453"/>
    <mergeCell ref="I454:I456"/>
    <mergeCell ref="I458:I460"/>
    <mergeCell ref="I461:I465"/>
    <mergeCell ref="I466:I468"/>
    <mergeCell ref="I469:I472"/>
    <mergeCell ref="I473:I480"/>
    <mergeCell ref="I481:I484"/>
    <mergeCell ref="I485:I488"/>
    <mergeCell ref="I489:I500"/>
    <mergeCell ref="I501:I506"/>
    <mergeCell ref="I508:I512"/>
    <mergeCell ref="I513:I519"/>
    <mergeCell ref="I520:I523"/>
    <mergeCell ref="I524:I527"/>
    <mergeCell ref="I528:I531"/>
    <mergeCell ref="I532:I534"/>
    <mergeCell ref="I535:I537"/>
    <mergeCell ref="I538:I540"/>
    <mergeCell ref="I541:I544"/>
    <mergeCell ref="I545:I548"/>
    <mergeCell ref="I549:I552"/>
    <mergeCell ref="I553:I560"/>
    <mergeCell ref="I561:I568"/>
    <mergeCell ref="I569:I572"/>
    <mergeCell ref="I573:I575"/>
    <mergeCell ref="I577:I582"/>
    <mergeCell ref="I583:I587"/>
    <mergeCell ref="I588:I591"/>
    <mergeCell ref="I592:I599"/>
    <mergeCell ref="I600:I607"/>
    <mergeCell ref="I608:I613"/>
    <mergeCell ref="I615:I622"/>
    <mergeCell ref="I623:I629"/>
    <mergeCell ref="I630:I640"/>
    <mergeCell ref="I641:I647"/>
    <mergeCell ref="I648:I651"/>
    <mergeCell ref="I652:I654"/>
    <mergeCell ref="I655:I657"/>
    <mergeCell ref="I658:I662"/>
    <mergeCell ref="I663:I664"/>
    <mergeCell ref="I665:I671"/>
    <mergeCell ref="I672:I682"/>
    <mergeCell ref="I683:I689"/>
    <mergeCell ref="I690:I712"/>
    <mergeCell ref="I713:I715"/>
    <mergeCell ref="I716:I720"/>
    <mergeCell ref="I721:I732"/>
    <mergeCell ref="I733:I743"/>
    <mergeCell ref="I744:I757"/>
    <mergeCell ref="I758:I764"/>
    <mergeCell ref="I765:I769"/>
    <mergeCell ref="I770:I773"/>
    <mergeCell ref="I774:I780"/>
    <mergeCell ref="I781:I791"/>
    <mergeCell ref="I792:I801"/>
    <mergeCell ref="I802:I807"/>
    <mergeCell ref="I808:I816"/>
    <mergeCell ref="I817:I820"/>
    <mergeCell ref="I821:I827"/>
    <mergeCell ref="I828:I833"/>
    <mergeCell ref="I834:I848"/>
    <mergeCell ref="I849:I852"/>
    <mergeCell ref="I853:I862"/>
    <mergeCell ref="I863:I868"/>
    <mergeCell ref="I869:I875"/>
    <mergeCell ref="I876:I880"/>
    <mergeCell ref="I881:I887"/>
    <mergeCell ref="I888:I891"/>
    <mergeCell ref="I892:I898"/>
    <mergeCell ref="I899:I905"/>
    <mergeCell ref="I906:I910"/>
    <mergeCell ref="I911:I916"/>
    <mergeCell ref="I917:I925"/>
    <mergeCell ref="I926:I931"/>
    <mergeCell ref="I932:I937"/>
    <mergeCell ref="I938:I941"/>
    <mergeCell ref="I942:I945"/>
    <mergeCell ref="I946:I956"/>
    <mergeCell ref="I957:I960"/>
    <mergeCell ref="I961:I963"/>
    <mergeCell ref="I964:I967"/>
    <mergeCell ref="I968:I973"/>
    <mergeCell ref="I974:I977"/>
    <mergeCell ref="I978:I980"/>
    <mergeCell ref="I981:I984"/>
    <mergeCell ref="I985:I987"/>
    <mergeCell ref="I988:I990"/>
    <mergeCell ref="I991:I994"/>
    <mergeCell ref="I995:I997"/>
    <mergeCell ref="I998:I1001"/>
    <mergeCell ref="I1002:I1005"/>
    <mergeCell ref="I1006:I1009"/>
    <mergeCell ref="I1010:I1012"/>
    <mergeCell ref="I1013:I1015"/>
    <mergeCell ref="I1016:I1019"/>
    <mergeCell ref="I1022:I1025"/>
    <mergeCell ref="I1027:I1029"/>
    <mergeCell ref="I1032:I1034"/>
    <mergeCell ref="I1035:I1042"/>
    <mergeCell ref="I1043:I1045"/>
    <mergeCell ref="I1046:I1048"/>
    <mergeCell ref="I1049:I1051"/>
    <mergeCell ref="I1052:I1054"/>
    <mergeCell ref="I1055:I1057"/>
    <mergeCell ref="I1058:I1060"/>
    <mergeCell ref="I1061:I1064"/>
    <mergeCell ref="I1065:I1067"/>
    <mergeCell ref="I1068:I1070"/>
    <mergeCell ref="I1071:I1074"/>
    <mergeCell ref="I1075:I1082"/>
    <mergeCell ref="I1083:I1097"/>
    <mergeCell ref="I1098:I1100"/>
    <mergeCell ref="I1101:I1103"/>
    <mergeCell ref="I1104:I1106"/>
    <mergeCell ref="I1107:I1109"/>
    <mergeCell ref="I1110:I1113"/>
    <mergeCell ref="I1114:I1117"/>
    <mergeCell ref="I1118:I1134"/>
    <mergeCell ref="I1135:I1144"/>
    <mergeCell ref="I1145:I1151"/>
    <mergeCell ref="I1152:I1155"/>
    <mergeCell ref="I1156:I1159"/>
    <mergeCell ref="I1160:I1163"/>
    <mergeCell ref="I1164:I1167"/>
    <mergeCell ref="I1168:I1170"/>
    <mergeCell ref="I1171:I1178"/>
    <mergeCell ref="I1179:I1186"/>
    <mergeCell ref="I1187:I1196"/>
    <mergeCell ref="I1197:I1201"/>
    <mergeCell ref="I1202:I1211"/>
    <mergeCell ref="I1212:I1223"/>
    <mergeCell ref="I1224:I1228"/>
    <mergeCell ref="I1229:I1232"/>
    <mergeCell ref="I1233:I1236"/>
    <mergeCell ref="I1237:I1240"/>
    <mergeCell ref="I1241:I1247"/>
    <mergeCell ref="I1248:I1250"/>
    <mergeCell ref="I1251:I1253"/>
    <mergeCell ref="I1254:I1256"/>
    <mergeCell ref="I1257:I1259"/>
    <mergeCell ref="I1260:I1262"/>
    <mergeCell ref="I1263:I1283"/>
    <mergeCell ref="I1284:I1303"/>
    <mergeCell ref="I1304:I1310"/>
    <mergeCell ref="I1311:I1319"/>
    <mergeCell ref="I1320:I1356"/>
    <mergeCell ref="I1357:I1359"/>
    <mergeCell ref="I1360:I1363"/>
    <mergeCell ref="I1364:I1365"/>
    <mergeCell ref="I1366:I1368"/>
    <mergeCell ref="I1369:I1371"/>
    <mergeCell ref="I1372:I1376"/>
    <mergeCell ref="I1377:I1386"/>
    <mergeCell ref="I1387:I1393"/>
    <mergeCell ref="I1394:I1398"/>
    <mergeCell ref="I1399:I1401"/>
    <mergeCell ref="I1402:I1404"/>
    <mergeCell ref="I1405:I1406"/>
    <mergeCell ref="I1407:I1409"/>
    <mergeCell ref="I1410:I1412"/>
    <mergeCell ref="I1413:I1415"/>
    <mergeCell ref="I1416:I1420"/>
    <mergeCell ref="I1421:I1427"/>
    <mergeCell ref="I1428:I1429"/>
    <mergeCell ref="I1430:I1435"/>
    <mergeCell ref="I1436:I1439"/>
    <mergeCell ref="I1440:I1446"/>
    <mergeCell ref="I1447:I1453"/>
    <mergeCell ref="I1454:I1456"/>
    <mergeCell ref="I1457:I1459"/>
    <mergeCell ref="I1460:I1462"/>
    <mergeCell ref="I1463:I1464"/>
    <mergeCell ref="I1465:I1467"/>
    <mergeCell ref="I1468:I1470"/>
    <mergeCell ref="I1471:I1475"/>
    <mergeCell ref="I1476:I1488"/>
    <mergeCell ref="I1489:I1495"/>
    <mergeCell ref="I1496:I1499"/>
    <mergeCell ref="I1500:I1503"/>
    <mergeCell ref="I1505:I1506"/>
    <mergeCell ref="I1507:I1510"/>
    <mergeCell ref="I1511:I1516"/>
    <mergeCell ref="I1517:I1521"/>
    <mergeCell ref="I1522:I1525"/>
    <mergeCell ref="I1526:I1539"/>
    <mergeCell ref="I1540:I1546"/>
    <mergeCell ref="I1547:I1556"/>
    <mergeCell ref="I1557:I1564"/>
    <mergeCell ref="I1565:I1567"/>
    <mergeCell ref="I1568:I1571"/>
    <mergeCell ref="I1574:I1577"/>
    <mergeCell ref="I1578:I1583"/>
    <mergeCell ref="I1584:I1594"/>
    <mergeCell ref="I1595:I1598"/>
    <mergeCell ref="I1599:I1601"/>
    <mergeCell ref="I1602:I1605"/>
    <mergeCell ref="I1606:I1613"/>
    <mergeCell ref="I1614:I1618"/>
    <mergeCell ref="I1619:I1624"/>
    <mergeCell ref="I1625:I1629"/>
    <mergeCell ref="I1630:I1632"/>
    <mergeCell ref="I1633:I1639"/>
    <mergeCell ref="I1640:I1646"/>
    <mergeCell ref="I1647:I1649"/>
    <mergeCell ref="I1650:I1654"/>
    <mergeCell ref="I1655:I1660"/>
    <mergeCell ref="I1661:I1666"/>
    <mergeCell ref="I1667:I1675"/>
    <mergeCell ref="I1676:I1679"/>
    <mergeCell ref="I1680:I1693"/>
    <mergeCell ref="I1694:I1697"/>
    <mergeCell ref="I1698:I1702"/>
    <mergeCell ref="I1703:I1705"/>
    <mergeCell ref="I1706:I1708"/>
    <mergeCell ref="I1709:I1713"/>
    <mergeCell ref="I1714:I1718"/>
    <mergeCell ref="I1719:I1721"/>
    <mergeCell ref="I1722:I1729"/>
    <mergeCell ref="I1730:I1736"/>
    <mergeCell ref="I1737:I1740"/>
    <mergeCell ref="I1741:I1744"/>
    <mergeCell ref="I1745:I1748"/>
    <mergeCell ref="I1749:I1755"/>
    <mergeCell ref="I1756:I1762"/>
    <mergeCell ref="I1763:I1769"/>
    <mergeCell ref="I1770:I1776"/>
    <mergeCell ref="I1777:I1783"/>
    <mergeCell ref="I1784:I1792"/>
    <mergeCell ref="I1793:I1796"/>
    <mergeCell ref="I1797:I1799"/>
    <mergeCell ref="I1809:I1814"/>
    <mergeCell ref="I1815:I1820"/>
    <mergeCell ref="I1821:I1832"/>
    <mergeCell ref="I1833:I1837"/>
    <mergeCell ref="I1838:I1844"/>
    <mergeCell ref="I1845:I1847"/>
    <mergeCell ref="I1848:I1852"/>
    <mergeCell ref="I1854:I1857"/>
    <mergeCell ref="I1858:I1862"/>
    <mergeCell ref="I1863:I1865"/>
    <mergeCell ref="I1866:I1868"/>
    <mergeCell ref="I1869:I1873"/>
    <mergeCell ref="I1874:I1877"/>
    <mergeCell ref="I1878:I1881"/>
    <mergeCell ref="I1882:I1885"/>
    <mergeCell ref="I1886:I1889"/>
    <mergeCell ref="I1890:I1897"/>
    <mergeCell ref="I1898:I1900"/>
    <mergeCell ref="I1901:I1904"/>
    <mergeCell ref="I1905:I1908"/>
    <mergeCell ref="I1909:I1912"/>
    <mergeCell ref="I1913:I1917"/>
    <mergeCell ref="I1918:I1921"/>
    <mergeCell ref="I1922:I1924"/>
    <mergeCell ref="I1926:I1928"/>
    <mergeCell ref="I1929:I1934"/>
    <mergeCell ref="I1935:I1936"/>
    <mergeCell ref="I1938:I1957"/>
    <mergeCell ref="I1959:I1962"/>
    <mergeCell ref="I1963:I1964"/>
    <mergeCell ref="I1965:I1971"/>
    <mergeCell ref="I1972:I1978"/>
    <mergeCell ref="I1979:I1992"/>
    <mergeCell ref="I1993:I2003"/>
    <mergeCell ref="I2004:I2008"/>
    <mergeCell ref="I2009:I2011"/>
    <mergeCell ref="I2012:I2019"/>
    <mergeCell ref="I2020:I2027"/>
    <mergeCell ref="I2028:I2034"/>
    <mergeCell ref="I2035:I2038"/>
    <mergeCell ref="I2039:I2042"/>
    <mergeCell ref="I2043:I2045"/>
    <mergeCell ref="I2046:I2049"/>
    <mergeCell ref="I2050:I2052"/>
    <mergeCell ref="I2053:I2055"/>
    <mergeCell ref="I2056:I2062"/>
    <mergeCell ref="I2077:I2090"/>
    <mergeCell ref="I2091:I2098"/>
    <mergeCell ref="I2099:I2105"/>
    <mergeCell ref="I2106:I2110"/>
    <mergeCell ref="I2111:I2113"/>
    <mergeCell ref="I2114:I2116"/>
    <mergeCell ref="I2117:I2119"/>
    <mergeCell ref="I2120:I2122"/>
    <mergeCell ref="I2123:I2125"/>
    <mergeCell ref="I2126:I2128"/>
    <mergeCell ref="I2129:I2131"/>
    <mergeCell ref="I2132:I2134"/>
    <mergeCell ref="I2135:I2137"/>
    <mergeCell ref="I2138:I2140"/>
    <mergeCell ref="I2146:I2159"/>
    <mergeCell ref="I2160:I2187"/>
    <mergeCell ref="I2188:I2199"/>
    <mergeCell ref="I2200:I2214"/>
    <mergeCell ref="I2215:I2219"/>
    <mergeCell ref="I2220:I2226"/>
    <mergeCell ref="I2227:I2231"/>
    <mergeCell ref="I2232:I2235"/>
    <mergeCell ref="I2236:I2239"/>
    <mergeCell ref="I2240:I2242"/>
    <mergeCell ref="I2243:I2245"/>
    <mergeCell ref="I2246:I2253"/>
    <mergeCell ref="I2254:I2258"/>
    <mergeCell ref="I2259:I2261"/>
    <mergeCell ref="I2262:I2264"/>
    <mergeCell ref="I2265:I2268"/>
    <mergeCell ref="I2269:I2272"/>
    <mergeCell ref="I2273:I2279"/>
    <mergeCell ref="I2280:I2291"/>
    <mergeCell ref="I2292:I2303"/>
    <mergeCell ref="I2304:I2310"/>
    <mergeCell ref="I2311:I2322"/>
    <mergeCell ref="I2323:I2333"/>
    <mergeCell ref="I2334:I2340"/>
    <mergeCell ref="I2341:I2355"/>
    <mergeCell ref="I2356:I2379"/>
    <mergeCell ref="I2380:I2383"/>
    <mergeCell ref="I2384:I2386"/>
    <mergeCell ref="I2387:I2389"/>
    <mergeCell ref="I2390:I2392"/>
    <mergeCell ref="I2393:I2397"/>
    <mergeCell ref="I2398:I2404"/>
    <mergeCell ref="I2405:I2410"/>
    <mergeCell ref="I2411:I2423"/>
    <mergeCell ref="I2424:I2433"/>
    <mergeCell ref="I2434:I2445"/>
    <mergeCell ref="I2447:I2457"/>
    <mergeCell ref="I2458:I2468"/>
    <mergeCell ref="I2469:I2471"/>
    <mergeCell ref="I2472:I2474"/>
    <mergeCell ref="I2475:I2477"/>
    <mergeCell ref="I2478:I2484"/>
    <mergeCell ref="I2485:I2493"/>
    <mergeCell ref="I2494:I2501"/>
    <mergeCell ref="I2502:I2507"/>
    <mergeCell ref="I2508:I2510"/>
    <mergeCell ref="I2511:I2513"/>
    <mergeCell ref="I2523:I2529"/>
    <mergeCell ref="I2530:I2537"/>
    <mergeCell ref="I2538:I2546"/>
    <mergeCell ref="I2547:I2557"/>
    <mergeCell ref="I2558:I2561"/>
    <mergeCell ref="I2562:I2572"/>
    <mergeCell ref="I2573:I2584"/>
    <mergeCell ref="I2585:I2590"/>
    <mergeCell ref="I2591:I2596"/>
    <mergeCell ref="I2597:I2602"/>
    <mergeCell ref="I2603:I2615"/>
    <mergeCell ref="J5:J14"/>
    <mergeCell ref="J15:J19"/>
    <mergeCell ref="J20:J22"/>
    <mergeCell ref="J26:J28"/>
    <mergeCell ref="J31:J35"/>
    <mergeCell ref="J36:J40"/>
    <mergeCell ref="J41:J45"/>
    <mergeCell ref="J46:J49"/>
    <mergeCell ref="J50:J56"/>
    <mergeCell ref="J57:J60"/>
    <mergeCell ref="J61:J63"/>
    <mergeCell ref="J64:J67"/>
    <mergeCell ref="J69:J73"/>
    <mergeCell ref="J74:J85"/>
    <mergeCell ref="J86:J90"/>
    <mergeCell ref="J91:J93"/>
    <mergeCell ref="J94:J95"/>
    <mergeCell ref="J96:J99"/>
    <mergeCell ref="J100:J102"/>
    <mergeCell ref="J103:J106"/>
    <mergeCell ref="J107:J111"/>
    <mergeCell ref="J112:J114"/>
    <mergeCell ref="J116:J120"/>
    <mergeCell ref="J121:J123"/>
    <mergeCell ref="J124:J127"/>
    <mergeCell ref="J128:J130"/>
    <mergeCell ref="J131:J133"/>
    <mergeCell ref="J134:J136"/>
    <mergeCell ref="J137:J139"/>
    <mergeCell ref="J140:J143"/>
    <mergeCell ref="J144:J146"/>
    <mergeCell ref="J147:J149"/>
    <mergeCell ref="J150:J152"/>
    <mergeCell ref="J153:J155"/>
    <mergeCell ref="J156:J157"/>
    <mergeCell ref="J158:J159"/>
    <mergeCell ref="J160:J163"/>
    <mergeCell ref="J164:J167"/>
    <mergeCell ref="J170:J175"/>
    <mergeCell ref="J176:J178"/>
    <mergeCell ref="J179:J183"/>
    <mergeCell ref="J184:J188"/>
    <mergeCell ref="J189:J193"/>
    <mergeCell ref="J194:J203"/>
    <mergeCell ref="J204:J208"/>
    <mergeCell ref="J209:J219"/>
    <mergeCell ref="J220:J224"/>
    <mergeCell ref="J225:J232"/>
    <mergeCell ref="J233:J237"/>
    <mergeCell ref="J242:J245"/>
    <mergeCell ref="J246:J248"/>
    <mergeCell ref="J249:J253"/>
    <mergeCell ref="J254:J257"/>
    <mergeCell ref="J258:J259"/>
    <mergeCell ref="J260:J261"/>
    <mergeCell ref="J262:J263"/>
    <mergeCell ref="J264:J265"/>
    <mergeCell ref="J266:J267"/>
    <mergeCell ref="J268:J276"/>
    <mergeCell ref="J277:J281"/>
    <mergeCell ref="J282:J284"/>
    <mergeCell ref="J285:J288"/>
    <mergeCell ref="J289:J292"/>
    <mergeCell ref="J293:J300"/>
    <mergeCell ref="J301:J317"/>
    <mergeCell ref="J318:J330"/>
    <mergeCell ref="J331:J337"/>
    <mergeCell ref="J338:J343"/>
    <mergeCell ref="J344:J357"/>
    <mergeCell ref="J358:J367"/>
    <mergeCell ref="J368:J374"/>
    <mergeCell ref="J375:J381"/>
    <mergeCell ref="J382:J388"/>
    <mergeCell ref="J389:J396"/>
    <mergeCell ref="J397:J403"/>
    <mergeCell ref="J404:J409"/>
    <mergeCell ref="J411:J412"/>
    <mergeCell ref="J413:J417"/>
    <mergeCell ref="J418:J419"/>
    <mergeCell ref="J420:J423"/>
    <mergeCell ref="J424:J426"/>
    <mergeCell ref="J427:J430"/>
    <mergeCell ref="J431:J435"/>
    <mergeCell ref="J437:J440"/>
    <mergeCell ref="J441:J443"/>
    <mergeCell ref="J444:J449"/>
    <mergeCell ref="J450:J453"/>
    <mergeCell ref="J454:J456"/>
    <mergeCell ref="J458:J460"/>
    <mergeCell ref="J461:J465"/>
    <mergeCell ref="J466:J468"/>
    <mergeCell ref="J469:J472"/>
    <mergeCell ref="J473:J480"/>
    <mergeCell ref="J481:J484"/>
    <mergeCell ref="J485:J488"/>
    <mergeCell ref="J489:J500"/>
    <mergeCell ref="J501:J506"/>
    <mergeCell ref="J508:J512"/>
    <mergeCell ref="J513:J519"/>
    <mergeCell ref="J520:J523"/>
    <mergeCell ref="J524:J527"/>
    <mergeCell ref="J528:J531"/>
    <mergeCell ref="J532:J534"/>
    <mergeCell ref="J535:J537"/>
    <mergeCell ref="J538:J540"/>
    <mergeCell ref="J541:J544"/>
    <mergeCell ref="J545:J548"/>
    <mergeCell ref="J549:J552"/>
    <mergeCell ref="J553:J560"/>
    <mergeCell ref="J561:J568"/>
    <mergeCell ref="J569:J572"/>
    <mergeCell ref="J573:J575"/>
    <mergeCell ref="J577:J582"/>
    <mergeCell ref="J583:J587"/>
    <mergeCell ref="J588:J591"/>
    <mergeCell ref="J592:J599"/>
    <mergeCell ref="J600:J607"/>
    <mergeCell ref="J608:J613"/>
    <mergeCell ref="J615:J622"/>
    <mergeCell ref="J623:J629"/>
    <mergeCell ref="J630:J640"/>
    <mergeCell ref="J641:J647"/>
    <mergeCell ref="J648:J651"/>
    <mergeCell ref="J652:J654"/>
    <mergeCell ref="J655:J657"/>
    <mergeCell ref="J658:J662"/>
    <mergeCell ref="J663:J664"/>
    <mergeCell ref="J665:J671"/>
    <mergeCell ref="J672:J682"/>
    <mergeCell ref="J683:J689"/>
    <mergeCell ref="J690:J712"/>
    <mergeCell ref="J713:J715"/>
    <mergeCell ref="J716:J720"/>
    <mergeCell ref="J721:J732"/>
    <mergeCell ref="J733:J743"/>
    <mergeCell ref="J744:J757"/>
    <mergeCell ref="J758:J764"/>
    <mergeCell ref="J765:J769"/>
    <mergeCell ref="J770:J773"/>
    <mergeCell ref="J774:J780"/>
    <mergeCell ref="J781:J791"/>
    <mergeCell ref="J792:J801"/>
    <mergeCell ref="J802:J807"/>
    <mergeCell ref="J808:J816"/>
    <mergeCell ref="J817:J820"/>
    <mergeCell ref="J821:J827"/>
    <mergeCell ref="J828:J833"/>
    <mergeCell ref="J834:J848"/>
    <mergeCell ref="J849:J852"/>
    <mergeCell ref="J853:J862"/>
    <mergeCell ref="J863:J868"/>
    <mergeCell ref="J869:J875"/>
    <mergeCell ref="J876:J880"/>
    <mergeCell ref="J881:J887"/>
    <mergeCell ref="J888:J891"/>
    <mergeCell ref="J892:J898"/>
    <mergeCell ref="J899:J905"/>
    <mergeCell ref="J906:J910"/>
    <mergeCell ref="J911:J916"/>
    <mergeCell ref="J917:J925"/>
    <mergeCell ref="J926:J931"/>
    <mergeCell ref="J932:J937"/>
    <mergeCell ref="J938:J941"/>
    <mergeCell ref="J942:J945"/>
    <mergeCell ref="J946:J956"/>
    <mergeCell ref="J957:J960"/>
    <mergeCell ref="J961:J963"/>
    <mergeCell ref="J964:J967"/>
    <mergeCell ref="J968:J973"/>
    <mergeCell ref="J974:J977"/>
    <mergeCell ref="J978:J980"/>
    <mergeCell ref="J981:J984"/>
    <mergeCell ref="J985:J987"/>
    <mergeCell ref="J988:J990"/>
    <mergeCell ref="J991:J994"/>
    <mergeCell ref="J995:J997"/>
    <mergeCell ref="J998:J1001"/>
    <mergeCell ref="J1002:J1005"/>
    <mergeCell ref="J1006:J1009"/>
    <mergeCell ref="J1010:J1012"/>
    <mergeCell ref="J1013:J1015"/>
    <mergeCell ref="J1016:J1019"/>
    <mergeCell ref="J1022:J1025"/>
    <mergeCell ref="J1027:J1029"/>
    <mergeCell ref="J1032:J1034"/>
    <mergeCell ref="J1035:J1042"/>
    <mergeCell ref="J1043:J1045"/>
    <mergeCell ref="J1046:J1048"/>
    <mergeCell ref="J1049:J1051"/>
    <mergeCell ref="J1052:J1054"/>
    <mergeCell ref="J1055:J1057"/>
    <mergeCell ref="J1058:J1060"/>
    <mergeCell ref="J1061:J1064"/>
    <mergeCell ref="J1065:J1067"/>
    <mergeCell ref="J1068:J1070"/>
    <mergeCell ref="J1071:J1074"/>
    <mergeCell ref="J1075:J1082"/>
    <mergeCell ref="J1083:J1097"/>
    <mergeCell ref="J1098:J1100"/>
    <mergeCell ref="J1101:J1103"/>
    <mergeCell ref="J1104:J1106"/>
    <mergeCell ref="J1107:J1109"/>
    <mergeCell ref="J1110:J1113"/>
    <mergeCell ref="J1114:J1117"/>
    <mergeCell ref="J1118:J1134"/>
    <mergeCell ref="J1135:J1144"/>
    <mergeCell ref="J1145:J1151"/>
    <mergeCell ref="J1152:J1155"/>
    <mergeCell ref="J1156:J1159"/>
    <mergeCell ref="J1160:J1163"/>
    <mergeCell ref="J1164:J1167"/>
    <mergeCell ref="J1168:J1170"/>
    <mergeCell ref="J1171:J1174"/>
    <mergeCell ref="J1175:J1176"/>
    <mergeCell ref="J1177:J1178"/>
    <mergeCell ref="J1179:J1186"/>
    <mergeCell ref="J1187:J1196"/>
    <mergeCell ref="J1197:J1201"/>
    <mergeCell ref="J1202:J1211"/>
    <mergeCell ref="J1212:J1223"/>
    <mergeCell ref="J1224:J1228"/>
    <mergeCell ref="J1229:J1232"/>
    <mergeCell ref="J1233:J1236"/>
    <mergeCell ref="J1237:J1240"/>
    <mergeCell ref="J1241:J1247"/>
    <mergeCell ref="J1248:J1250"/>
    <mergeCell ref="J1251:J1253"/>
    <mergeCell ref="J1254:J1256"/>
    <mergeCell ref="J1257:J1259"/>
    <mergeCell ref="J1260:J1262"/>
    <mergeCell ref="J1263:J1283"/>
    <mergeCell ref="J1284:J1303"/>
    <mergeCell ref="J1304:J1310"/>
    <mergeCell ref="J1311:J1319"/>
    <mergeCell ref="J1320:J1356"/>
    <mergeCell ref="J1357:J1359"/>
    <mergeCell ref="J1360:J1363"/>
    <mergeCell ref="J1364:J1365"/>
    <mergeCell ref="J1366:J1368"/>
    <mergeCell ref="J1369:J1371"/>
    <mergeCell ref="J1372:J1376"/>
    <mergeCell ref="J1377:J1386"/>
    <mergeCell ref="J1387:J1393"/>
    <mergeCell ref="J1394:J1398"/>
    <mergeCell ref="J1399:J1401"/>
    <mergeCell ref="J1402:J1404"/>
    <mergeCell ref="J1405:J1406"/>
    <mergeCell ref="J1407:J1409"/>
    <mergeCell ref="J1410:J1412"/>
    <mergeCell ref="J1413:J1415"/>
    <mergeCell ref="J1416:J1420"/>
    <mergeCell ref="J1421:J1427"/>
    <mergeCell ref="J1428:J1429"/>
    <mergeCell ref="J1430:J1435"/>
    <mergeCell ref="J1436:J1439"/>
    <mergeCell ref="J1440:J1446"/>
    <mergeCell ref="J1447:J1453"/>
    <mergeCell ref="J1454:J1456"/>
    <mergeCell ref="J1457:J1459"/>
    <mergeCell ref="J1460:J1462"/>
    <mergeCell ref="J1463:J1464"/>
    <mergeCell ref="J1465:J1467"/>
    <mergeCell ref="J1468:J1470"/>
    <mergeCell ref="J1471:J1475"/>
    <mergeCell ref="J1476:J1488"/>
    <mergeCell ref="J1489:J1495"/>
    <mergeCell ref="J1496:J1499"/>
    <mergeCell ref="J1500:J1503"/>
    <mergeCell ref="J1505:J1506"/>
    <mergeCell ref="J1507:J1510"/>
    <mergeCell ref="J1511:J1516"/>
    <mergeCell ref="J1517:J1521"/>
    <mergeCell ref="J1522:J1525"/>
    <mergeCell ref="J1526:J1539"/>
    <mergeCell ref="J1540:J1546"/>
    <mergeCell ref="J1547:J1556"/>
    <mergeCell ref="J1557:J1564"/>
    <mergeCell ref="J1565:J1567"/>
    <mergeCell ref="J1568:J1571"/>
    <mergeCell ref="J1574:J1577"/>
    <mergeCell ref="J1578:J1583"/>
    <mergeCell ref="J1584:J1594"/>
    <mergeCell ref="J1595:J1598"/>
    <mergeCell ref="J1599:J1601"/>
    <mergeCell ref="J1602:J1605"/>
    <mergeCell ref="J1606:J1613"/>
    <mergeCell ref="J1614:J1618"/>
    <mergeCell ref="J1619:J1624"/>
    <mergeCell ref="J1625:J1629"/>
    <mergeCell ref="J1630:J1632"/>
    <mergeCell ref="J1633:J1639"/>
    <mergeCell ref="J1640:J1646"/>
    <mergeCell ref="J1647:J1649"/>
    <mergeCell ref="J1650:J1654"/>
    <mergeCell ref="J1655:J1660"/>
    <mergeCell ref="J1661:J1666"/>
    <mergeCell ref="J1667:J1675"/>
    <mergeCell ref="J1676:J1679"/>
    <mergeCell ref="J1680:J1693"/>
    <mergeCell ref="J1694:J1697"/>
    <mergeCell ref="J1698:J1702"/>
    <mergeCell ref="J1703:J1705"/>
    <mergeCell ref="J1706:J1708"/>
    <mergeCell ref="J1709:J1713"/>
    <mergeCell ref="J1714:J1718"/>
    <mergeCell ref="J1719:J1721"/>
    <mergeCell ref="J1722:J1729"/>
    <mergeCell ref="J1730:J1736"/>
    <mergeCell ref="J1737:J1740"/>
    <mergeCell ref="J1741:J1744"/>
    <mergeCell ref="J1745:J1748"/>
    <mergeCell ref="J1749:J1755"/>
    <mergeCell ref="J1756:J1762"/>
    <mergeCell ref="J1763:J1769"/>
    <mergeCell ref="J1770:J1776"/>
    <mergeCell ref="J1777:J1783"/>
    <mergeCell ref="J1784:J1792"/>
    <mergeCell ref="J1793:J1796"/>
    <mergeCell ref="J1797:J1799"/>
    <mergeCell ref="J1809:J1814"/>
    <mergeCell ref="J1815:J1820"/>
    <mergeCell ref="J1821:J1832"/>
    <mergeCell ref="J1833:J1837"/>
    <mergeCell ref="J1838:J1844"/>
    <mergeCell ref="J1845:J1847"/>
    <mergeCell ref="J1848:J1852"/>
    <mergeCell ref="J1854:J1857"/>
    <mergeCell ref="J1858:J1862"/>
    <mergeCell ref="J1863:J1865"/>
    <mergeCell ref="J1866:J1868"/>
    <mergeCell ref="J1869:J1873"/>
    <mergeCell ref="J1874:J1877"/>
    <mergeCell ref="J1878:J1881"/>
    <mergeCell ref="J1882:J1885"/>
    <mergeCell ref="J1886:J1889"/>
    <mergeCell ref="J1890:J1897"/>
    <mergeCell ref="J1898:J1900"/>
    <mergeCell ref="J1901:J1904"/>
    <mergeCell ref="J1905:J1908"/>
    <mergeCell ref="J1909:J1912"/>
    <mergeCell ref="J1913:J1917"/>
    <mergeCell ref="J1918:J1921"/>
    <mergeCell ref="J1922:J1924"/>
    <mergeCell ref="J1926:J1928"/>
    <mergeCell ref="J1929:J1934"/>
    <mergeCell ref="J1935:J1936"/>
    <mergeCell ref="J1938:J1957"/>
    <mergeCell ref="J1959:J1962"/>
    <mergeCell ref="J1963:J1964"/>
    <mergeCell ref="J1965:J1971"/>
    <mergeCell ref="J1972:J1978"/>
    <mergeCell ref="J1979:J1992"/>
    <mergeCell ref="J1993:J2003"/>
    <mergeCell ref="J2004:J2008"/>
    <mergeCell ref="J2009:J2011"/>
    <mergeCell ref="J2012:J2019"/>
    <mergeCell ref="J2020:J2027"/>
    <mergeCell ref="J2028:J2034"/>
    <mergeCell ref="J2035:J2038"/>
    <mergeCell ref="J2039:J2042"/>
    <mergeCell ref="J2043:J2045"/>
    <mergeCell ref="J2046:J2049"/>
    <mergeCell ref="J2050:J2052"/>
    <mergeCell ref="J2053:J2055"/>
    <mergeCell ref="J2056:J2062"/>
    <mergeCell ref="J2063:J2076"/>
    <mergeCell ref="J2077:J2090"/>
    <mergeCell ref="J2091:J2098"/>
    <mergeCell ref="J2099:J2105"/>
    <mergeCell ref="J2106:J2110"/>
    <mergeCell ref="J2111:J2113"/>
    <mergeCell ref="J2114:J2116"/>
    <mergeCell ref="J2117:J2119"/>
    <mergeCell ref="J2120:J2122"/>
    <mergeCell ref="J2123:J2125"/>
    <mergeCell ref="J2126:J2128"/>
    <mergeCell ref="J2129:J2131"/>
    <mergeCell ref="J2132:J2134"/>
    <mergeCell ref="J2135:J2137"/>
    <mergeCell ref="J2138:J2140"/>
    <mergeCell ref="J2141:J2145"/>
    <mergeCell ref="J2146:J2159"/>
    <mergeCell ref="J2160:J2187"/>
    <mergeCell ref="J2188:J2199"/>
    <mergeCell ref="J2200:J2214"/>
    <mergeCell ref="J2215:J2219"/>
    <mergeCell ref="J2220:J2226"/>
    <mergeCell ref="J2227:J2231"/>
    <mergeCell ref="J2232:J2235"/>
    <mergeCell ref="J2236:J2239"/>
    <mergeCell ref="J2240:J2242"/>
    <mergeCell ref="J2243:J2245"/>
    <mergeCell ref="J2246:J2253"/>
    <mergeCell ref="J2254:J2258"/>
    <mergeCell ref="J2259:J2261"/>
    <mergeCell ref="J2262:J2264"/>
    <mergeCell ref="J2265:J2268"/>
    <mergeCell ref="J2269:J2272"/>
    <mergeCell ref="J2273:J2279"/>
    <mergeCell ref="J2280:J2291"/>
    <mergeCell ref="J2292:J2303"/>
    <mergeCell ref="J2304:J2310"/>
    <mergeCell ref="J2311:J2322"/>
    <mergeCell ref="J2323:J2333"/>
    <mergeCell ref="J2334:J2340"/>
    <mergeCell ref="J2341:J2355"/>
    <mergeCell ref="J2356:J2379"/>
    <mergeCell ref="J2380:J2383"/>
    <mergeCell ref="J2384:J2386"/>
    <mergeCell ref="J2387:J2389"/>
    <mergeCell ref="J2390:J2392"/>
    <mergeCell ref="J2393:J2397"/>
    <mergeCell ref="J2398:J2404"/>
    <mergeCell ref="J2405:J2410"/>
    <mergeCell ref="J2411:J2423"/>
    <mergeCell ref="J2424:J2433"/>
    <mergeCell ref="J2434:J2445"/>
    <mergeCell ref="J2447:J2457"/>
    <mergeCell ref="J2458:J2468"/>
    <mergeCell ref="J2469:J2471"/>
    <mergeCell ref="J2472:J2474"/>
    <mergeCell ref="J2475:J2477"/>
    <mergeCell ref="J2478:J2484"/>
    <mergeCell ref="J2485:J2493"/>
    <mergeCell ref="J2494:J2501"/>
    <mergeCell ref="J2502:J2507"/>
    <mergeCell ref="J2508:J2510"/>
    <mergeCell ref="J2511:J2513"/>
    <mergeCell ref="J2523:J2529"/>
    <mergeCell ref="J2530:J2537"/>
    <mergeCell ref="J2538:J2546"/>
    <mergeCell ref="J2547:J2557"/>
    <mergeCell ref="J2558:J2561"/>
    <mergeCell ref="J2562:J2572"/>
    <mergeCell ref="J2573:J2584"/>
    <mergeCell ref="J2585:J2590"/>
    <mergeCell ref="J2591:J2596"/>
    <mergeCell ref="J2597:J2602"/>
    <mergeCell ref="J2603:J2615"/>
    <mergeCell ref="K5:K14"/>
    <mergeCell ref="K15:K19"/>
    <mergeCell ref="K20:K22"/>
    <mergeCell ref="K25:K28"/>
    <mergeCell ref="K31:K35"/>
    <mergeCell ref="K36:K40"/>
    <mergeCell ref="K41:K45"/>
    <mergeCell ref="K46:K49"/>
    <mergeCell ref="K50:K56"/>
    <mergeCell ref="K57:K60"/>
    <mergeCell ref="K61:K63"/>
    <mergeCell ref="K64:K67"/>
    <mergeCell ref="K69:K73"/>
    <mergeCell ref="K74:K85"/>
    <mergeCell ref="K86:K90"/>
    <mergeCell ref="K91:K93"/>
    <mergeCell ref="K94:K95"/>
    <mergeCell ref="K96:K99"/>
    <mergeCell ref="K100:K102"/>
    <mergeCell ref="K103:K106"/>
    <mergeCell ref="K107:K111"/>
    <mergeCell ref="K112:K114"/>
    <mergeCell ref="K116:K120"/>
    <mergeCell ref="K121:K123"/>
    <mergeCell ref="K124:K127"/>
    <mergeCell ref="K128:K130"/>
    <mergeCell ref="K131:K133"/>
    <mergeCell ref="K134:K136"/>
    <mergeCell ref="K137:K139"/>
    <mergeCell ref="K140:K143"/>
    <mergeCell ref="K144:K146"/>
    <mergeCell ref="K147:K149"/>
    <mergeCell ref="K150:K152"/>
    <mergeCell ref="K153:K155"/>
    <mergeCell ref="K156:K157"/>
    <mergeCell ref="K158:K159"/>
    <mergeCell ref="K160:K163"/>
    <mergeCell ref="K164:K167"/>
    <mergeCell ref="K170:K175"/>
    <mergeCell ref="K176:K178"/>
    <mergeCell ref="K179:K183"/>
    <mergeCell ref="K184:K188"/>
    <mergeCell ref="K189:K193"/>
    <mergeCell ref="K194:K203"/>
    <mergeCell ref="K204:K208"/>
    <mergeCell ref="K209:K219"/>
    <mergeCell ref="K220:K224"/>
    <mergeCell ref="K225:K232"/>
    <mergeCell ref="K233:K237"/>
    <mergeCell ref="K242:K245"/>
    <mergeCell ref="K246:K248"/>
    <mergeCell ref="K249:K253"/>
    <mergeCell ref="K254:K257"/>
    <mergeCell ref="K258:K259"/>
    <mergeCell ref="K260:K261"/>
    <mergeCell ref="K262:K263"/>
    <mergeCell ref="K264:K265"/>
    <mergeCell ref="K266:K267"/>
    <mergeCell ref="K268:K276"/>
    <mergeCell ref="K277:K281"/>
    <mergeCell ref="K282:K284"/>
    <mergeCell ref="K285:K288"/>
    <mergeCell ref="K289:K292"/>
    <mergeCell ref="K293:K300"/>
    <mergeCell ref="K301:K309"/>
    <mergeCell ref="K310:K317"/>
    <mergeCell ref="K318:K330"/>
    <mergeCell ref="K331:K337"/>
    <mergeCell ref="K338:K343"/>
    <mergeCell ref="K344:K357"/>
    <mergeCell ref="K358:K367"/>
    <mergeCell ref="K368:K373"/>
    <mergeCell ref="K375:K381"/>
    <mergeCell ref="K382:K387"/>
    <mergeCell ref="K389:K392"/>
    <mergeCell ref="K393:K396"/>
    <mergeCell ref="K397:K403"/>
    <mergeCell ref="K404:K409"/>
    <mergeCell ref="K411:K412"/>
    <mergeCell ref="K413:K417"/>
    <mergeCell ref="K418:K419"/>
    <mergeCell ref="K420:K423"/>
    <mergeCell ref="K424:K426"/>
    <mergeCell ref="K427:K430"/>
    <mergeCell ref="K431:K435"/>
    <mergeCell ref="K437:K440"/>
    <mergeCell ref="K441:K443"/>
    <mergeCell ref="K444:K449"/>
    <mergeCell ref="K450:K453"/>
    <mergeCell ref="K454:K456"/>
    <mergeCell ref="K458:K460"/>
    <mergeCell ref="K461:K465"/>
    <mergeCell ref="K466:K468"/>
    <mergeCell ref="K469:K472"/>
    <mergeCell ref="K473:K480"/>
    <mergeCell ref="K481:K484"/>
    <mergeCell ref="K485:K488"/>
    <mergeCell ref="K489:K492"/>
    <mergeCell ref="K493:K496"/>
    <mergeCell ref="K497:K500"/>
    <mergeCell ref="K501:K506"/>
    <mergeCell ref="K508:K512"/>
    <mergeCell ref="K513:K519"/>
    <mergeCell ref="K520:K523"/>
    <mergeCell ref="K524:K527"/>
    <mergeCell ref="K528:K531"/>
    <mergeCell ref="K532:K534"/>
    <mergeCell ref="K535:K537"/>
    <mergeCell ref="K538:K540"/>
    <mergeCell ref="K541:K544"/>
    <mergeCell ref="K545:K548"/>
    <mergeCell ref="K549:K552"/>
    <mergeCell ref="K553:K560"/>
    <mergeCell ref="K561:K568"/>
    <mergeCell ref="K569:K572"/>
    <mergeCell ref="K573:K575"/>
    <mergeCell ref="K577:K582"/>
    <mergeCell ref="K583:K587"/>
    <mergeCell ref="K588:K591"/>
    <mergeCell ref="K592:K599"/>
    <mergeCell ref="K600:K607"/>
    <mergeCell ref="K608:K613"/>
    <mergeCell ref="K615:K622"/>
    <mergeCell ref="K623:K629"/>
    <mergeCell ref="K630:K640"/>
    <mergeCell ref="K641:K647"/>
    <mergeCell ref="K648:K651"/>
    <mergeCell ref="K652:K654"/>
    <mergeCell ref="K655:K657"/>
    <mergeCell ref="K658:K662"/>
    <mergeCell ref="K663:K664"/>
    <mergeCell ref="K665:K671"/>
    <mergeCell ref="K672:K682"/>
    <mergeCell ref="K683:K689"/>
    <mergeCell ref="K690:K694"/>
    <mergeCell ref="K695:K712"/>
    <mergeCell ref="K713:K715"/>
    <mergeCell ref="K716:K720"/>
    <mergeCell ref="K721:K725"/>
    <mergeCell ref="K726:K729"/>
    <mergeCell ref="K730:K732"/>
    <mergeCell ref="K733:K743"/>
    <mergeCell ref="K744:K757"/>
    <mergeCell ref="K758:K764"/>
    <mergeCell ref="K765:K769"/>
    <mergeCell ref="K770:K773"/>
    <mergeCell ref="K774:K780"/>
    <mergeCell ref="K781:K791"/>
    <mergeCell ref="K792:K801"/>
    <mergeCell ref="K802:K807"/>
    <mergeCell ref="K808:K816"/>
    <mergeCell ref="K817:K820"/>
    <mergeCell ref="K821:K827"/>
    <mergeCell ref="K828:K833"/>
    <mergeCell ref="K834:K841"/>
    <mergeCell ref="K842:K848"/>
    <mergeCell ref="K849:K852"/>
    <mergeCell ref="K853:K857"/>
    <mergeCell ref="K858:K862"/>
    <mergeCell ref="K863:K868"/>
    <mergeCell ref="K869:K875"/>
    <mergeCell ref="K876:K880"/>
    <mergeCell ref="K881:K887"/>
    <mergeCell ref="K888:K891"/>
    <mergeCell ref="K892:K898"/>
    <mergeCell ref="K899:K905"/>
    <mergeCell ref="K906:K910"/>
    <mergeCell ref="K911:K916"/>
    <mergeCell ref="K917:K925"/>
    <mergeCell ref="K926:K931"/>
    <mergeCell ref="K932:K937"/>
    <mergeCell ref="K938:K941"/>
    <mergeCell ref="K942:K945"/>
    <mergeCell ref="K946:K956"/>
    <mergeCell ref="K957:K960"/>
    <mergeCell ref="K961:K963"/>
    <mergeCell ref="K964:K967"/>
    <mergeCell ref="K968:K973"/>
    <mergeCell ref="K974:K977"/>
    <mergeCell ref="K978:K980"/>
    <mergeCell ref="K981:K984"/>
    <mergeCell ref="K985:K987"/>
    <mergeCell ref="K988:K990"/>
    <mergeCell ref="K991:K994"/>
    <mergeCell ref="K995:K997"/>
    <mergeCell ref="K998:K1001"/>
    <mergeCell ref="K1002:K1005"/>
    <mergeCell ref="K1006:K1009"/>
    <mergeCell ref="K1010:K1012"/>
    <mergeCell ref="K1013:K1015"/>
    <mergeCell ref="K1016:K1019"/>
    <mergeCell ref="K1022:K1025"/>
    <mergeCell ref="K1027:K1029"/>
    <mergeCell ref="K1032:K1034"/>
    <mergeCell ref="K1035:K1042"/>
    <mergeCell ref="K1043:K1045"/>
    <mergeCell ref="K1046:K1048"/>
    <mergeCell ref="K1049:K1051"/>
    <mergeCell ref="K1052:K1054"/>
    <mergeCell ref="K1055:K1057"/>
    <mergeCell ref="K1058:K1060"/>
    <mergeCell ref="K1061:K1064"/>
    <mergeCell ref="K1065:K1067"/>
    <mergeCell ref="K1068:K1070"/>
    <mergeCell ref="K1071:K1074"/>
    <mergeCell ref="K1075:K1082"/>
    <mergeCell ref="K1083:K1097"/>
    <mergeCell ref="K1098:K1100"/>
    <mergeCell ref="K1101:K1103"/>
    <mergeCell ref="K1104:K1106"/>
    <mergeCell ref="K1107:K1109"/>
    <mergeCell ref="K1110:K1113"/>
    <mergeCell ref="K1114:K1117"/>
    <mergeCell ref="K1118:K1125"/>
    <mergeCell ref="K1126:K1128"/>
    <mergeCell ref="K1129:K1131"/>
    <mergeCell ref="K1132:K1134"/>
    <mergeCell ref="K1135:K1144"/>
    <mergeCell ref="K1145:K1151"/>
    <mergeCell ref="K1152:K1155"/>
    <mergeCell ref="K1156:K1159"/>
    <mergeCell ref="K1160:K1163"/>
    <mergeCell ref="K1164:K1167"/>
    <mergeCell ref="K1168:K1170"/>
    <mergeCell ref="K1171:K1178"/>
    <mergeCell ref="K1179:K1186"/>
    <mergeCell ref="K1187:K1196"/>
    <mergeCell ref="K1197:K1201"/>
    <mergeCell ref="K1202:K1211"/>
    <mergeCell ref="K1212:K1223"/>
    <mergeCell ref="K1224:K1228"/>
    <mergeCell ref="K1229:K1232"/>
    <mergeCell ref="K1233:K1236"/>
    <mergeCell ref="K1237:K1240"/>
    <mergeCell ref="K1241:K1247"/>
    <mergeCell ref="K1248:K1250"/>
    <mergeCell ref="K1251:K1253"/>
    <mergeCell ref="K1254:K1256"/>
    <mergeCell ref="K1257:K1259"/>
    <mergeCell ref="K1260:K1262"/>
    <mergeCell ref="K1263:K1283"/>
    <mergeCell ref="K1284:K1303"/>
    <mergeCell ref="K1304:K1310"/>
    <mergeCell ref="K1311:K1319"/>
    <mergeCell ref="K1320:K1356"/>
    <mergeCell ref="K1357:K1359"/>
    <mergeCell ref="K1360:K1363"/>
    <mergeCell ref="K1364:K1365"/>
    <mergeCell ref="K1366:K1368"/>
    <mergeCell ref="K1369:K1371"/>
    <mergeCell ref="K1372:K1376"/>
    <mergeCell ref="K1377:K1386"/>
    <mergeCell ref="K1387:K1393"/>
    <mergeCell ref="K1394:K1398"/>
    <mergeCell ref="K1399:K1401"/>
    <mergeCell ref="K1402:K1404"/>
    <mergeCell ref="K1405:K1406"/>
    <mergeCell ref="K1407:K1409"/>
    <mergeCell ref="K1410:K1412"/>
    <mergeCell ref="K1413:K1415"/>
    <mergeCell ref="K1416:K1420"/>
    <mergeCell ref="K1421:K1427"/>
    <mergeCell ref="K1428:K1429"/>
    <mergeCell ref="K1430:K1435"/>
    <mergeCell ref="K1436:K1439"/>
    <mergeCell ref="K1440:K1446"/>
    <mergeCell ref="K1447:K1453"/>
    <mergeCell ref="K1454:K1456"/>
    <mergeCell ref="K1457:K1459"/>
    <mergeCell ref="K1460:K1462"/>
    <mergeCell ref="K1463:K1464"/>
    <mergeCell ref="K1465:K1467"/>
    <mergeCell ref="K1468:K1470"/>
    <mergeCell ref="K1471:K1475"/>
    <mergeCell ref="K1476:K1488"/>
    <mergeCell ref="K1489:K1495"/>
    <mergeCell ref="K1496:K1499"/>
    <mergeCell ref="K1500:K1503"/>
    <mergeCell ref="K1505:K1506"/>
    <mergeCell ref="K1507:K1510"/>
    <mergeCell ref="K1511:K1516"/>
    <mergeCell ref="K1517:K1521"/>
    <mergeCell ref="K1522:K1525"/>
    <mergeCell ref="K1526:K1539"/>
    <mergeCell ref="K1540:K1546"/>
    <mergeCell ref="K1547:K1556"/>
    <mergeCell ref="K1557:K1564"/>
    <mergeCell ref="K1565:K1567"/>
    <mergeCell ref="K1568:K1571"/>
    <mergeCell ref="K1574:K1577"/>
    <mergeCell ref="K1578:K1583"/>
    <mergeCell ref="K1584:K1591"/>
    <mergeCell ref="K1592:K1594"/>
    <mergeCell ref="K1595:K1598"/>
    <mergeCell ref="K1599:K1601"/>
    <mergeCell ref="K1602:K1605"/>
    <mergeCell ref="K1606:K1613"/>
    <mergeCell ref="K1614:K1618"/>
    <mergeCell ref="K1619:K1621"/>
    <mergeCell ref="K1622:K1624"/>
    <mergeCell ref="K1625:K1629"/>
    <mergeCell ref="K1630:K1632"/>
    <mergeCell ref="K1633:K1639"/>
    <mergeCell ref="K1640:K1646"/>
    <mergeCell ref="K1647:K1649"/>
    <mergeCell ref="K1650:K1654"/>
    <mergeCell ref="K1655:K1660"/>
    <mergeCell ref="K1661:K1666"/>
    <mergeCell ref="K1667:K1675"/>
    <mergeCell ref="K1676:K1679"/>
    <mergeCell ref="K1680:K1682"/>
    <mergeCell ref="K1683:K1685"/>
    <mergeCell ref="K1686:K1688"/>
    <mergeCell ref="K1689:K1693"/>
    <mergeCell ref="K1694:K1697"/>
    <mergeCell ref="K1698:K1702"/>
    <mergeCell ref="K1703:K1705"/>
    <mergeCell ref="K1706:K1708"/>
    <mergeCell ref="K1709:K1713"/>
    <mergeCell ref="K1714:K1718"/>
    <mergeCell ref="K1719:K1721"/>
    <mergeCell ref="K1722:K1729"/>
    <mergeCell ref="K1730:K1736"/>
    <mergeCell ref="K1737:K1740"/>
    <mergeCell ref="K1741:K1744"/>
    <mergeCell ref="K1745:K1748"/>
    <mergeCell ref="K1749:K1755"/>
    <mergeCell ref="K1756:K1762"/>
    <mergeCell ref="K1763:K1769"/>
    <mergeCell ref="K1770:K1776"/>
    <mergeCell ref="K1777:K1783"/>
    <mergeCell ref="K1784:K1792"/>
    <mergeCell ref="K1793:K1796"/>
    <mergeCell ref="K1797:K1799"/>
    <mergeCell ref="K1800:K1802"/>
    <mergeCell ref="K1803:K1805"/>
    <mergeCell ref="K1806:K1808"/>
    <mergeCell ref="K1809:K1814"/>
    <mergeCell ref="K1815:K1820"/>
    <mergeCell ref="K1821:K1827"/>
    <mergeCell ref="K1829:K1832"/>
    <mergeCell ref="K1833:K1837"/>
    <mergeCell ref="K1838:K1840"/>
    <mergeCell ref="K1841:K1844"/>
    <mergeCell ref="K1845:K1847"/>
    <mergeCell ref="K1848:K1852"/>
    <mergeCell ref="K1854:K1857"/>
    <mergeCell ref="K1858:K1862"/>
    <mergeCell ref="K1863:K1865"/>
    <mergeCell ref="K1866:K1868"/>
    <mergeCell ref="K1869:K1873"/>
    <mergeCell ref="K1874:K1877"/>
    <mergeCell ref="K1878:K1881"/>
    <mergeCell ref="K1882:K1885"/>
    <mergeCell ref="K1886:K1889"/>
    <mergeCell ref="K1890:K1893"/>
    <mergeCell ref="K1894:K1897"/>
    <mergeCell ref="K1898:K1900"/>
    <mergeCell ref="K1901:K1904"/>
    <mergeCell ref="K1905:K1908"/>
    <mergeCell ref="K1909:K1912"/>
    <mergeCell ref="K1913:K1917"/>
    <mergeCell ref="K1918:K1921"/>
    <mergeCell ref="K1922:K1924"/>
    <mergeCell ref="K1926:K1928"/>
    <mergeCell ref="K1929:K1934"/>
    <mergeCell ref="K1935:K1936"/>
    <mergeCell ref="K1938:K1957"/>
    <mergeCell ref="K1959:K1962"/>
    <mergeCell ref="K1963:K1964"/>
    <mergeCell ref="K1965:K1971"/>
    <mergeCell ref="K1972:K1978"/>
    <mergeCell ref="K1979:K1985"/>
    <mergeCell ref="K1986:K1988"/>
    <mergeCell ref="K1989:K1992"/>
    <mergeCell ref="K1993:K2003"/>
    <mergeCell ref="K2004:K2008"/>
    <mergeCell ref="K2009:K2011"/>
    <mergeCell ref="K2012:K2019"/>
    <mergeCell ref="K2020:K2027"/>
    <mergeCell ref="K2028:K2034"/>
    <mergeCell ref="K2035:K2038"/>
    <mergeCell ref="K2039:K2042"/>
    <mergeCell ref="K2043:K2045"/>
    <mergeCell ref="K2046:K2049"/>
    <mergeCell ref="K2050:K2052"/>
    <mergeCell ref="K2053:K2055"/>
    <mergeCell ref="K2056:K2062"/>
    <mergeCell ref="K2063:K2069"/>
    <mergeCell ref="K2070:K2072"/>
    <mergeCell ref="K2073:K2075"/>
    <mergeCell ref="K2077:K2090"/>
    <mergeCell ref="K2091:K2098"/>
    <mergeCell ref="K2099:K2105"/>
    <mergeCell ref="K2106:K2110"/>
    <mergeCell ref="K2111:K2113"/>
    <mergeCell ref="K2114:K2116"/>
    <mergeCell ref="K2117:K2119"/>
    <mergeCell ref="K2120:K2122"/>
    <mergeCell ref="K2123:K2125"/>
    <mergeCell ref="K2126:K2128"/>
    <mergeCell ref="K2129:K2131"/>
    <mergeCell ref="K2132:K2134"/>
    <mergeCell ref="K2135:K2137"/>
    <mergeCell ref="K2138:K2140"/>
    <mergeCell ref="K2146:K2159"/>
    <mergeCell ref="K2160:K2187"/>
    <mergeCell ref="K2188:K2199"/>
    <mergeCell ref="K2200:K2214"/>
    <mergeCell ref="K2215:K2219"/>
    <mergeCell ref="K2220:K2226"/>
    <mergeCell ref="K2227:K2231"/>
    <mergeCell ref="K2232:K2235"/>
    <mergeCell ref="K2236:K2239"/>
    <mergeCell ref="K2240:K2242"/>
    <mergeCell ref="K2243:K2245"/>
    <mergeCell ref="K2246:K2253"/>
    <mergeCell ref="K2254:K2258"/>
    <mergeCell ref="K2259:K2261"/>
    <mergeCell ref="K2262:K2264"/>
    <mergeCell ref="K2265:K2268"/>
    <mergeCell ref="K2269:K2272"/>
    <mergeCell ref="K2273:K2279"/>
    <mergeCell ref="K2280:K2291"/>
    <mergeCell ref="K2292:K2303"/>
    <mergeCell ref="K2304:K2310"/>
    <mergeCell ref="K2311:K2322"/>
    <mergeCell ref="K2323:K2333"/>
    <mergeCell ref="K2334:K2340"/>
    <mergeCell ref="K2341:K2355"/>
    <mergeCell ref="K2356:K2379"/>
    <mergeCell ref="K2380:K2383"/>
    <mergeCell ref="K2384:K2386"/>
    <mergeCell ref="K2387:K2389"/>
    <mergeCell ref="K2390:K2392"/>
    <mergeCell ref="K2393:K2397"/>
    <mergeCell ref="K2398:K2404"/>
    <mergeCell ref="K2405:K2410"/>
    <mergeCell ref="K2411:K2423"/>
    <mergeCell ref="K2424:K2433"/>
    <mergeCell ref="K2434:K2445"/>
    <mergeCell ref="K2447:K2457"/>
    <mergeCell ref="K2458:K2468"/>
    <mergeCell ref="K2469:K2471"/>
    <mergeCell ref="K2472:K2474"/>
    <mergeCell ref="K2475:K2477"/>
    <mergeCell ref="K2478:K2484"/>
    <mergeCell ref="K2485:K2493"/>
    <mergeCell ref="K2494:K2501"/>
    <mergeCell ref="K2502:K2507"/>
    <mergeCell ref="K2508:K2510"/>
    <mergeCell ref="K2511:K2513"/>
    <mergeCell ref="K2523:K2529"/>
    <mergeCell ref="K2530:K2537"/>
    <mergeCell ref="K2538:K2546"/>
    <mergeCell ref="K2547:K2557"/>
    <mergeCell ref="K2558:K2561"/>
    <mergeCell ref="K2562:K2572"/>
    <mergeCell ref="K2573:K2584"/>
    <mergeCell ref="K2585:K2590"/>
    <mergeCell ref="K2591:K2596"/>
    <mergeCell ref="K2597:K2602"/>
    <mergeCell ref="K2603:K2607"/>
    <mergeCell ref="K2608:K2615"/>
    <mergeCell ref="L5:L14"/>
    <mergeCell ref="L15:L18"/>
    <mergeCell ref="L20:L21"/>
    <mergeCell ref="L26:L27"/>
    <mergeCell ref="L31:L35"/>
    <mergeCell ref="L36:L40"/>
    <mergeCell ref="L41:L45"/>
    <mergeCell ref="L46:L49"/>
    <mergeCell ref="L50:L56"/>
    <mergeCell ref="L57:L60"/>
    <mergeCell ref="L61:L63"/>
    <mergeCell ref="L64:L67"/>
    <mergeCell ref="L69:L73"/>
    <mergeCell ref="L74:L85"/>
    <mergeCell ref="L86:L90"/>
    <mergeCell ref="L91:L93"/>
    <mergeCell ref="L94:L95"/>
    <mergeCell ref="L96:L99"/>
    <mergeCell ref="L100:L102"/>
    <mergeCell ref="L103:L106"/>
    <mergeCell ref="L107:L111"/>
    <mergeCell ref="L112:L114"/>
    <mergeCell ref="L116:L120"/>
    <mergeCell ref="L121:L123"/>
    <mergeCell ref="L124:L127"/>
    <mergeCell ref="L128:L130"/>
    <mergeCell ref="L131:L133"/>
    <mergeCell ref="L134:L136"/>
    <mergeCell ref="L137:L139"/>
    <mergeCell ref="L140:L143"/>
    <mergeCell ref="L144:L146"/>
    <mergeCell ref="L147:L149"/>
    <mergeCell ref="L150:L152"/>
    <mergeCell ref="L153:L155"/>
    <mergeCell ref="L156:L157"/>
    <mergeCell ref="L158:L159"/>
    <mergeCell ref="L160:L163"/>
    <mergeCell ref="L164:L167"/>
    <mergeCell ref="L170:L175"/>
    <mergeCell ref="L176:L178"/>
    <mergeCell ref="L179:L183"/>
    <mergeCell ref="L184:L188"/>
    <mergeCell ref="L192:L193"/>
    <mergeCell ref="L201:L202"/>
    <mergeCell ref="L204:L208"/>
    <mergeCell ref="L209:L219"/>
    <mergeCell ref="L225:L232"/>
    <mergeCell ref="L233:L237"/>
    <mergeCell ref="L246:L248"/>
    <mergeCell ref="L249:L267"/>
    <mergeCell ref="L268:L276"/>
    <mergeCell ref="L277:L281"/>
    <mergeCell ref="L282:L284"/>
    <mergeCell ref="L285:L288"/>
    <mergeCell ref="L289:L292"/>
    <mergeCell ref="L293:L299"/>
    <mergeCell ref="L301:L309"/>
    <mergeCell ref="L310:L317"/>
    <mergeCell ref="L318:L330"/>
    <mergeCell ref="L331:L337"/>
    <mergeCell ref="L338:L343"/>
    <mergeCell ref="L344:L357"/>
    <mergeCell ref="L358:L367"/>
    <mergeCell ref="L368:L374"/>
    <mergeCell ref="L375:L381"/>
    <mergeCell ref="L382:L388"/>
    <mergeCell ref="L389:L396"/>
    <mergeCell ref="L397:L403"/>
    <mergeCell ref="L404:L409"/>
    <mergeCell ref="L411:L412"/>
    <mergeCell ref="L413:L417"/>
    <mergeCell ref="L418:L419"/>
    <mergeCell ref="L420:L423"/>
    <mergeCell ref="L424:L426"/>
    <mergeCell ref="L427:L430"/>
    <mergeCell ref="L431:L434"/>
    <mergeCell ref="L437:L440"/>
    <mergeCell ref="L441:L443"/>
    <mergeCell ref="L444:L449"/>
    <mergeCell ref="L450:L453"/>
    <mergeCell ref="L454:L456"/>
    <mergeCell ref="L458:L460"/>
    <mergeCell ref="L461:L465"/>
    <mergeCell ref="L466:L468"/>
    <mergeCell ref="L469:L472"/>
    <mergeCell ref="L473:L480"/>
    <mergeCell ref="L481:L484"/>
    <mergeCell ref="L485:L488"/>
    <mergeCell ref="L489:L492"/>
    <mergeCell ref="L493:L496"/>
    <mergeCell ref="L497:L500"/>
    <mergeCell ref="L501:L506"/>
    <mergeCell ref="L508:L512"/>
    <mergeCell ref="L513:L519"/>
    <mergeCell ref="L520:L523"/>
    <mergeCell ref="L524:L527"/>
    <mergeCell ref="L528:L531"/>
    <mergeCell ref="L532:L534"/>
    <mergeCell ref="L535:L537"/>
    <mergeCell ref="L538:L540"/>
    <mergeCell ref="L541:L544"/>
    <mergeCell ref="L545:L548"/>
    <mergeCell ref="L549:L552"/>
    <mergeCell ref="L553:L560"/>
    <mergeCell ref="L561:L568"/>
    <mergeCell ref="L569:L572"/>
    <mergeCell ref="L573:L575"/>
    <mergeCell ref="L577:L582"/>
    <mergeCell ref="L583:L587"/>
    <mergeCell ref="L588:L591"/>
    <mergeCell ref="L592:L599"/>
    <mergeCell ref="L600:L607"/>
    <mergeCell ref="L608:L613"/>
    <mergeCell ref="L615:L622"/>
    <mergeCell ref="L623:L629"/>
    <mergeCell ref="L630:L640"/>
    <mergeCell ref="L641:L647"/>
    <mergeCell ref="L648:L651"/>
    <mergeCell ref="L652:L654"/>
    <mergeCell ref="L655:L657"/>
    <mergeCell ref="L658:L662"/>
    <mergeCell ref="L663:L664"/>
    <mergeCell ref="L665:L671"/>
    <mergeCell ref="L672:L682"/>
    <mergeCell ref="L683:L689"/>
    <mergeCell ref="L690:L712"/>
    <mergeCell ref="L713:L715"/>
    <mergeCell ref="L716:L720"/>
    <mergeCell ref="L721:L725"/>
    <mergeCell ref="L726:L729"/>
    <mergeCell ref="L730:L732"/>
    <mergeCell ref="L733:L743"/>
    <mergeCell ref="L744:L757"/>
    <mergeCell ref="L758:L764"/>
    <mergeCell ref="L765:L769"/>
    <mergeCell ref="L770:L773"/>
    <mergeCell ref="L774:L780"/>
    <mergeCell ref="L781:L791"/>
    <mergeCell ref="L792:L801"/>
    <mergeCell ref="L802:L807"/>
    <mergeCell ref="L808:L816"/>
    <mergeCell ref="L817:L820"/>
    <mergeCell ref="L821:L827"/>
    <mergeCell ref="L828:L833"/>
    <mergeCell ref="L834:L848"/>
    <mergeCell ref="L849:L852"/>
    <mergeCell ref="L853:L862"/>
    <mergeCell ref="L863:L868"/>
    <mergeCell ref="L869:L875"/>
    <mergeCell ref="L876:L880"/>
    <mergeCell ref="L881:L887"/>
    <mergeCell ref="L888:L891"/>
    <mergeCell ref="L892:L898"/>
    <mergeCell ref="L899:L905"/>
    <mergeCell ref="L906:L910"/>
    <mergeCell ref="L911:L916"/>
    <mergeCell ref="L917:L925"/>
    <mergeCell ref="L926:L931"/>
    <mergeCell ref="L932:L937"/>
    <mergeCell ref="L938:L941"/>
    <mergeCell ref="L942:L945"/>
    <mergeCell ref="L946:L956"/>
    <mergeCell ref="L957:L960"/>
    <mergeCell ref="L961:L963"/>
    <mergeCell ref="L964:L967"/>
    <mergeCell ref="L968:L973"/>
    <mergeCell ref="L974:L977"/>
    <mergeCell ref="L978:L980"/>
    <mergeCell ref="L981:L984"/>
    <mergeCell ref="L985:L987"/>
    <mergeCell ref="L988:L990"/>
    <mergeCell ref="L991:L994"/>
    <mergeCell ref="L995:L997"/>
    <mergeCell ref="L998:L1001"/>
    <mergeCell ref="L1002:L1005"/>
    <mergeCell ref="L1006:L1009"/>
    <mergeCell ref="L1010:L1012"/>
    <mergeCell ref="L1013:L1015"/>
    <mergeCell ref="L1016:L1019"/>
    <mergeCell ref="L1022:L1025"/>
    <mergeCell ref="L1027:L1029"/>
    <mergeCell ref="L1032:L1034"/>
    <mergeCell ref="L1036:L1042"/>
    <mergeCell ref="L1043:L1045"/>
    <mergeCell ref="L1046:L1048"/>
    <mergeCell ref="L1049:L1051"/>
    <mergeCell ref="L1052:L1054"/>
    <mergeCell ref="L1055:L1057"/>
    <mergeCell ref="L1058:L1060"/>
    <mergeCell ref="L1061:L1064"/>
    <mergeCell ref="L1065:L1067"/>
    <mergeCell ref="L1068:L1070"/>
    <mergeCell ref="L1071:L1074"/>
    <mergeCell ref="L1075:L1082"/>
    <mergeCell ref="L1083:L1097"/>
    <mergeCell ref="L1098:L1100"/>
    <mergeCell ref="L1101:L1103"/>
    <mergeCell ref="L1104:L1106"/>
    <mergeCell ref="L1107:L1109"/>
    <mergeCell ref="L1110:L1113"/>
    <mergeCell ref="L1114:L1117"/>
    <mergeCell ref="L1118:L1134"/>
    <mergeCell ref="L1135:L1144"/>
    <mergeCell ref="L1145:L1151"/>
    <mergeCell ref="L1152:L1155"/>
    <mergeCell ref="L1156:L1159"/>
    <mergeCell ref="L1160:L1163"/>
    <mergeCell ref="L1164:L1167"/>
    <mergeCell ref="L1168:L1170"/>
    <mergeCell ref="L1171:L1178"/>
    <mergeCell ref="L1179:L1186"/>
    <mergeCell ref="L1187:L1196"/>
    <mergeCell ref="L1197:L1201"/>
    <mergeCell ref="L1202:L1211"/>
    <mergeCell ref="L1212:L1223"/>
    <mergeCell ref="L1224:L1228"/>
    <mergeCell ref="L1229:L1232"/>
    <mergeCell ref="L1233:L1236"/>
    <mergeCell ref="L1237:L1240"/>
    <mergeCell ref="L1241:L1247"/>
    <mergeCell ref="L1248:L1250"/>
    <mergeCell ref="L1251:L1253"/>
    <mergeCell ref="L1254:L1256"/>
    <mergeCell ref="L1257:L1259"/>
    <mergeCell ref="L1260:L1262"/>
    <mergeCell ref="L1263:L1283"/>
    <mergeCell ref="L1284:L1303"/>
    <mergeCell ref="L1304:L1310"/>
    <mergeCell ref="L1311:L1319"/>
    <mergeCell ref="L1320:L1356"/>
    <mergeCell ref="L1357:L1359"/>
    <mergeCell ref="L1360:L1363"/>
    <mergeCell ref="L1364:L1365"/>
    <mergeCell ref="L1366:L1368"/>
    <mergeCell ref="L1369:L1371"/>
    <mergeCell ref="L1372:L1376"/>
    <mergeCell ref="L1377:L1386"/>
    <mergeCell ref="L1387:L1393"/>
    <mergeCell ref="L1394:L1398"/>
    <mergeCell ref="L1399:L1401"/>
    <mergeCell ref="L1402:L1404"/>
    <mergeCell ref="L1405:L1406"/>
    <mergeCell ref="L1407:L1409"/>
    <mergeCell ref="L1410:L1412"/>
    <mergeCell ref="L1413:L1415"/>
    <mergeCell ref="L1416:L1418"/>
    <mergeCell ref="L1419:L1420"/>
    <mergeCell ref="L1421:L1427"/>
    <mergeCell ref="L1428:L1429"/>
    <mergeCell ref="L1430:L1435"/>
    <mergeCell ref="L1436:L1439"/>
    <mergeCell ref="L1440:L1446"/>
    <mergeCell ref="L1447:L1453"/>
    <mergeCell ref="L1454:L1456"/>
    <mergeCell ref="L1457:L1459"/>
    <mergeCell ref="L1460:L1462"/>
    <mergeCell ref="L1463:L1464"/>
    <mergeCell ref="L1465:L1467"/>
    <mergeCell ref="L1468:L1470"/>
    <mergeCell ref="L1471:L1475"/>
    <mergeCell ref="L1507:L1509"/>
    <mergeCell ref="L1578:L1583"/>
    <mergeCell ref="L1584:L1594"/>
    <mergeCell ref="L1595:L1598"/>
    <mergeCell ref="L1599:L1601"/>
    <mergeCell ref="L1602:L1605"/>
    <mergeCell ref="L1606:L1613"/>
    <mergeCell ref="L1614:L1618"/>
    <mergeCell ref="L1619:L1624"/>
    <mergeCell ref="L1625:L1629"/>
    <mergeCell ref="L1630:L1632"/>
    <mergeCell ref="L1633:L1646"/>
    <mergeCell ref="L1647:L1649"/>
    <mergeCell ref="L1650:L1654"/>
    <mergeCell ref="L1655:L1660"/>
    <mergeCell ref="L1661:L1666"/>
    <mergeCell ref="L1667:L1675"/>
    <mergeCell ref="L1676:L1679"/>
    <mergeCell ref="L1680:L1693"/>
    <mergeCell ref="L1694:L1697"/>
    <mergeCell ref="L1698:L1702"/>
    <mergeCell ref="L1703:L1705"/>
    <mergeCell ref="L1706:L1708"/>
    <mergeCell ref="L1709:L1713"/>
    <mergeCell ref="L1714:L1718"/>
    <mergeCell ref="L1719:L1721"/>
    <mergeCell ref="L1722:L1729"/>
    <mergeCell ref="L1730:L1736"/>
    <mergeCell ref="L1737:L1740"/>
    <mergeCell ref="L1741:L1744"/>
    <mergeCell ref="L1745:L1748"/>
    <mergeCell ref="L1749:L1755"/>
    <mergeCell ref="L1756:L1762"/>
    <mergeCell ref="L1763:L1769"/>
    <mergeCell ref="L1770:L1776"/>
    <mergeCell ref="L1777:L1783"/>
    <mergeCell ref="L1784:L1792"/>
    <mergeCell ref="L1793:L1796"/>
    <mergeCell ref="L1797:L1799"/>
    <mergeCell ref="L1800:L1802"/>
    <mergeCell ref="L1803:L1805"/>
    <mergeCell ref="L1806:L1808"/>
    <mergeCell ref="L1809:L1814"/>
    <mergeCell ref="L1815:L1820"/>
    <mergeCell ref="L1821:L1832"/>
    <mergeCell ref="L1833:L1837"/>
    <mergeCell ref="L1838:L1844"/>
    <mergeCell ref="L1845:L1847"/>
    <mergeCell ref="L1848:L1852"/>
    <mergeCell ref="L1854:L1857"/>
    <mergeCell ref="L1858:L1862"/>
    <mergeCell ref="L1863:L1865"/>
    <mergeCell ref="L1866:L1868"/>
    <mergeCell ref="L1869:L1873"/>
    <mergeCell ref="L1874:L1877"/>
    <mergeCell ref="L1878:L1881"/>
    <mergeCell ref="L1882:L1885"/>
    <mergeCell ref="L1886:L1889"/>
    <mergeCell ref="L1890:L1897"/>
    <mergeCell ref="L1898:L1900"/>
    <mergeCell ref="L1901:L1904"/>
    <mergeCell ref="L1905:L1908"/>
    <mergeCell ref="L1909:L1912"/>
    <mergeCell ref="L1913:L1917"/>
    <mergeCell ref="L1918:L1921"/>
    <mergeCell ref="L1922:L1924"/>
    <mergeCell ref="L1972:L1978"/>
    <mergeCell ref="L1979:L1985"/>
    <mergeCell ref="L1986:L1988"/>
    <mergeCell ref="L1989:L1992"/>
    <mergeCell ref="L1993:L2003"/>
    <mergeCell ref="L2004:L2008"/>
    <mergeCell ref="L2009:L2011"/>
    <mergeCell ref="L2012:L2019"/>
    <mergeCell ref="L2020:L2027"/>
    <mergeCell ref="L2028:L2034"/>
    <mergeCell ref="L2035:L2038"/>
    <mergeCell ref="L2039:L2042"/>
    <mergeCell ref="L2043:L2045"/>
    <mergeCell ref="L2046:L2049"/>
    <mergeCell ref="L2050:L2052"/>
    <mergeCell ref="L2053:L2055"/>
    <mergeCell ref="L2056:L2062"/>
    <mergeCell ref="L2063:L2069"/>
    <mergeCell ref="L2070:L2072"/>
    <mergeCell ref="L2073:L2075"/>
    <mergeCell ref="L2077:L2090"/>
    <mergeCell ref="L2091:L2098"/>
    <mergeCell ref="L2099:L2105"/>
    <mergeCell ref="L2106:L2110"/>
    <mergeCell ref="L2111:L2113"/>
    <mergeCell ref="L2114:L2116"/>
    <mergeCell ref="L2117:L2119"/>
    <mergeCell ref="L2120:L2122"/>
    <mergeCell ref="L2123:L2125"/>
    <mergeCell ref="L2126:L2128"/>
    <mergeCell ref="L2129:L2131"/>
    <mergeCell ref="L2132:L2134"/>
    <mergeCell ref="L2135:L2137"/>
    <mergeCell ref="L2138:L2140"/>
    <mergeCell ref="L2141:L2145"/>
    <mergeCell ref="L2146:L2159"/>
    <mergeCell ref="L2160:L2187"/>
    <mergeCell ref="L2188:L2199"/>
    <mergeCell ref="L2200:L2214"/>
    <mergeCell ref="L2215:L2219"/>
    <mergeCell ref="L2220:L2226"/>
    <mergeCell ref="L2227:L2231"/>
    <mergeCell ref="L2232:L2235"/>
    <mergeCell ref="L2236:L2239"/>
    <mergeCell ref="L2240:L2242"/>
    <mergeCell ref="L2243:L2245"/>
    <mergeCell ref="L2246:L2253"/>
    <mergeCell ref="L2254:L2258"/>
    <mergeCell ref="L2259:L2261"/>
    <mergeCell ref="L2262:L2264"/>
    <mergeCell ref="L2265:L2268"/>
    <mergeCell ref="L2269:L2272"/>
    <mergeCell ref="L2273:L2279"/>
    <mergeCell ref="L2280:L2291"/>
    <mergeCell ref="L2292:L2303"/>
    <mergeCell ref="L2304:L2310"/>
    <mergeCell ref="L2311:L2322"/>
    <mergeCell ref="L2323:L2333"/>
    <mergeCell ref="L2334:L2340"/>
    <mergeCell ref="L2341:L2355"/>
    <mergeCell ref="L2356:L2379"/>
    <mergeCell ref="L2380:L2383"/>
    <mergeCell ref="L2384:L2386"/>
    <mergeCell ref="L2387:L2389"/>
    <mergeCell ref="L2390:L2392"/>
    <mergeCell ref="L2393:L2397"/>
    <mergeCell ref="L2398:L2404"/>
    <mergeCell ref="L2405:L2410"/>
    <mergeCell ref="L2411:L2423"/>
    <mergeCell ref="L2424:L2433"/>
    <mergeCell ref="L2434:L2445"/>
    <mergeCell ref="L2447:L2457"/>
    <mergeCell ref="L2458:L2468"/>
    <mergeCell ref="L2469:L2471"/>
    <mergeCell ref="L2472:L2474"/>
    <mergeCell ref="L2475:L2477"/>
    <mergeCell ref="L2478:L2484"/>
    <mergeCell ref="L2485:L2493"/>
    <mergeCell ref="L2494:L2501"/>
    <mergeCell ref="L2502:L2507"/>
    <mergeCell ref="L2508:L2510"/>
    <mergeCell ref="L2511:L2513"/>
    <mergeCell ref="L2523:L2529"/>
    <mergeCell ref="L2530:L2537"/>
    <mergeCell ref="L2538:L2546"/>
    <mergeCell ref="L2547:L2557"/>
    <mergeCell ref="L2558:L2561"/>
    <mergeCell ref="L2562:L2572"/>
    <mergeCell ref="L2573:L2584"/>
    <mergeCell ref="L2585:L2590"/>
    <mergeCell ref="L2591:L2596"/>
    <mergeCell ref="L2597:L2602"/>
    <mergeCell ref="L2603:L2615"/>
    <mergeCell ref="M5:M6"/>
    <mergeCell ref="M8:M9"/>
    <mergeCell ref="M10:M11"/>
    <mergeCell ref="M13:M14"/>
    <mergeCell ref="M15:M18"/>
    <mergeCell ref="M20:M21"/>
    <mergeCell ref="M26:M27"/>
    <mergeCell ref="M36:M38"/>
    <mergeCell ref="M41:M42"/>
    <mergeCell ref="M48:M49"/>
    <mergeCell ref="M50:M51"/>
    <mergeCell ref="M52:M53"/>
    <mergeCell ref="M55:M56"/>
    <mergeCell ref="M59:M60"/>
    <mergeCell ref="M61:M62"/>
    <mergeCell ref="M71:M72"/>
    <mergeCell ref="M75:M77"/>
    <mergeCell ref="M78:M79"/>
    <mergeCell ref="M81:M82"/>
    <mergeCell ref="M83:M84"/>
    <mergeCell ref="M91:M93"/>
    <mergeCell ref="M98:M99"/>
    <mergeCell ref="M117:M118"/>
    <mergeCell ref="M125:M126"/>
    <mergeCell ref="M141:M142"/>
    <mergeCell ref="M158:M159"/>
    <mergeCell ref="M165:M166"/>
    <mergeCell ref="M171:M174"/>
    <mergeCell ref="M192:M193"/>
    <mergeCell ref="M201:M202"/>
    <mergeCell ref="M209:M210"/>
    <mergeCell ref="M212:M213"/>
    <mergeCell ref="M214:M216"/>
    <mergeCell ref="M217:M219"/>
    <mergeCell ref="M229:M230"/>
    <mergeCell ref="M231:M232"/>
    <mergeCell ref="M293:M294"/>
    <mergeCell ref="M296:M297"/>
    <mergeCell ref="M298:M299"/>
    <mergeCell ref="M301:M302"/>
    <mergeCell ref="M304:M305"/>
    <mergeCell ref="M312:M313"/>
    <mergeCell ref="M324:M326"/>
    <mergeCell ref="M340:M341"/>
    <mergeCell ref="M344:M345"/>
    <mergeCell ref="M346:M347"/>
    <mergeCell ref="M348:M349"/>
    <mergeCell ref="M350:M352"/>
    <mergeCell ref="M353:M354"/>
    <mergeCell ref="M355:M356"/>
    <mergeCell ref="M359:M360"/>
    <mergeCell ref="M364:M365"/>
    <mergeCell ref="M376:M377"/>
    <mergeCell ref="M390:M391"/>
    <mergeCell ref="M394:M395"/>
    <mergeCell ref="M418:M419"/>
    <mergeCell ref="M437:M438"/>
    <mergeCell ref="M446:M447"/>
    <mergeCell ref="M450:M451"/>
    <mergeCell ref="M461:M463"/>
    <mergeCell ref="M481:M482"/>
    <mergeCell ref="M485:M486"/>
    <mergeCell ref="M501:M502"/>
    <mergeCell ref="M503:M504"/>
    <mergeCell ref="M508:M509"/>
    <mergeCell ref="M513:M517"/>
    <mergeCell ref="M533:M534"/>
    <mergeCell ref="M570:M571"/>
    <mergeCell ref="M620:M622"/>
    <mergeCell ref="M649:M650"/>
    <mergeCell ref="M695:M697"/>
    <mergeCell ref="M698:M700"/>
    <mergeCell ref="M701:M703"/>
    <mergeCell ref="M704:M706"/>
    <mergeCell ref="M707:M709"/>
    <mergeCell ref="M710:M712"/>
    <mergeCell ref="M727:M728"/>
    <mergeCell ref="M752:M753"/>
    <mergeCell ref="M771:M772"/>
    <mergeCell ref="M792:M793"/>
    <mergeCell ref="M794:M795"/>
    <mergeCell ref="M796:M797"/>
    <mergeCell ref="M798:M799"/>
    <mergeCell ref="M808:M809"/>
    <mergeCell ref="M810:M811"/>
    <mergeCell ref="M812:M813"/>
    <mergeCell ref="M814:M815"/>
    <mergeCell ref="M817:M818"/>
    <mergeCell ref="M829:M830"/>
    <mergeCell ref="M838:M839"/>
    <mergeCell ref="M943:M944"/>
    <mergeCell ref="M1016:M1017"/>
    <mergeCell ref="M1022:M1023"/>
    <mergeCell ref="M1032:M1033"/>
    <mergeCell ref="M1035:M1037"/>
    <mergeCell ref="M1038:M1039"/>
    <mergeCell ref="M1063:M1064"/>
    <mergeCell ref="M1072:M1073"/>
    <mergeCell ref="M1076:M1077"/>
    <mergeCell ref="M1083:M1088"/>
    <mergeCell ref="M1089:M1097"/>
    <mergeCell ref="M1112:M1113"/>
    <mergeCell ref="M1116:M1117"/>
    <mergeCell ref="M1124:M1125"/>
    <mergeCell ref="M1143:M1144"/>
    <mergeCell ref="M1150:M1151"/>
    <mergeCell ref="M1154:M1155"/>
    <mergeCell ref="M1158:M1159"/>
    <mergeCell ref="M1162:M1163"/>
    <mergeCell ref="M1166:M1167"/>
    <mergeCell ref="M1171:M1172"/>
    <mergeCell ref="M1182:M1183"/>
    <mergeCell ref="M1206:M1209"/>
    <mergeCell ref="M1220:M1222"/>
    <mergeCell ref="M1263:M1267"/>
    <mergeCell ref="M1268:M1271"/>
    <mergeCell ref="M1272:M1275"/>
    <mergeCell ref="M1276:M1278"/>
    <mergeCell ref="M1279:M1280"/>
    <mergeCell ref="M1281:M1282"/>
    <mergeCell ref="M1285:M1288"/>
    <mergeCell ref="M1289:M1292"/>
    <mergeCell ref="M1293:M1296"/>
    <mergeCell ref="M1297:M1300"/>
    <mergeCell ref="M1314:M1316"/>
    <mergeCell ref="M1320:M1339"/>
    <mergeCell ref="M1340:M1344"/>
    <mergeCell ref="M1345:M1348"/>
    <mergeCell ref="M1349:M1352"/>
    <mergeCell ref="M1353:M1356"/>
    <mergeCell ref="M1362:M1363"/>
    <mergeCell ref="M1375:M1376"/>
    <mergeCell ref="M1385:M1386"/>
    <mergeCell ref="M1392:M1393"/>
    <mergeCell ref="M1397:M1398"/>
    <mergeCell ref="M1419:M1420"/>
    <mergeCell ref="M1476:M1477"/>
    <mergeCell ref="M1478:M1482"/>
    <mergeCell ref="M1489:M1492"/>
    <mergeCell ref="M1493:M1494"/>
    <mergeCell ref="M1496:M1499"/>
    <mergeCell ref="M1512:M1516"/>
    <mergeCell ref="M1517:M1521"/>
    <mergeCell ref="M1582:M1583"/>
    <mergeCell ref="M1615:M1616"/>
    <mergeCell ref="M1627:M1628"/>
    <mergeCell ref="M1659:M1660"/>
    <mergeCell ref="M1664:M1665"/>
    <mergeCell ref="M1671:M1672"/>
    <mergeCell ref="M1674:M1675"/>
    <mergeCell ref="M1701:M1702"/>
    <mergeCell ref="M1711:M1712"/>
    <mergeCell ref="M1818:M1819"/>
    <mergeCell ref="M1827:M1828"/>
    <mergeCell ref="M1831:M1832"/>
    <mergeCell ref="M1836:M1837"/>
    <mergeCell ref="M1843:M1844"/>
    <mergeCell ref="M1851:M1853"/>
    <mergeCell ref="M1880:M1881"/>
    <mergeCell ref="M1884:M1885"/>
    <mergeCell ref="M1887:M1889"/>
    <mergeCell ref="M1939:M1943"/>
    <mergeCell ref="M1944:M1945"/>
    <mergeCell ref="M1946:M1953"/>
    <mergeCell ref="M1965:M1968"/>
    <mergeCell ref="M1989:M1990"/>
    <mergeCell ref="M1991:M1992"/>
    <mergeCell ref="M1994:M1996"/>
    <mergeCell ref="M1997:M2001"/>
    <mergeCell ref="M2004:M2007"/>
    <mergeCell ref="M2015:M2016"/>
    <mergeCell ref="M2023:M2024"/>
    <mergeCell ref="M2036:M2037"/>
    <mergeCell ref="M2040:M2041"/>
    <mergeCell ref="M2083:M2084"/>
    <mergeCell ref="M2085:M2087"/>
    <mergeCell ref="M2094:M2095"/>
    <mergeCell ref="M2108:M2109"/>
    <mergeCell ref="M2146:M2147"/>
    <mergeCell ref="M2148:M2150"/>
    <mergeCell ref="M2151:M2153"/>
    <mergeCell ref="M2154:M2156"/>
    <mergeCell ref="M2160:M2161"/>
    <mergeCell ref="M2179:M2180"/>
    <mergeCell ref="M2182:M2183"/>
    <mergeCell ref="M2190:M2191"/>
    <mergeCell ref="M2192:M2196"/>
    <mergeCell ref="M2200:M2201"/>
    <mergeCell ref="M2202:M2204"/>
    <mergeCell ref="M2205:M2206"/>
    <mergeCell ref="M2207:M2208"/>
    <mergeCell ref="M2209:M2210"/>
    <mergeCell ref="M2211:M2212"/>
    <mergeCell ref="M2213:M2214"/>
    <mergeCell ref="M2217:M2218"/>
    <mergeCell ref="M2220:M2221"/>
    <mergeCell ref="M2249:M2251"/>
    <mergeCell ref="M2255:M2256"/>
    <mergeCell ref="M2266:M2267"/>
    <mergeCell ref="M2273:M2276"/>
    <mergeCell ref="M2281:M2282"/>
    <mergeCell ref="M2283:M2285"/>
    <mergeCell ref="M2286:M2288"/>
    <mergeCell ref="M2294:M2296"/>
    <mergeCell ref="M2297:M2300"/>
    <mergeCell ref="M2312:M2314"/>
    <mergeCell ref="M2315:M2320"/>
    <mergeCell ref="M2323:M2324"/>
    <mergeCell ref="M2325:M2326"/>
    <mergeCell ref="M2328:M2330"/>
    <mergeCell ref="M2341:M2342"/>
    <mergeCell ref="M2343:M2346"/>
    <mergeCell ref="M2347:M2350"/>
    <mergeCell ref="M2351:M2352"/>
    <mergeCell ref="M2356:M2357"/>
    <mergeCell ref="M2358:M2360"/>
    <mergeCell ref="M2361:M2377"/>
    <mergeCell ref="M2425:M2427"/>
    <mergeCell ref="M2429:M2430"/>
    <mergeCell ref="M2434:M2435"/>
    <mergeCell ref="M2436:M2438"/>
    <mergeCell ref="M2440:M2442"/>
    <mergeCell ref="M2448:M2451"/>
    <mergeCell ref="M2452:M2453"/>
    <mergeCell ref="M2454:M2455"/>
    <mergeCell ref="M2459:M2461"/>
    <mergeCell ref="M2462:M2466"/>
    <mergeCell ref="M2487:M2491"/>
    <mergeCell ref="M2496:M2497"/>
    <mergeCell ref="M2498:M2499"/>
    <mergeCell ref="M2525:M2526"/>
    <mergeCell ref="M2531:M2532"/>
    <mergeCell ref="M2540:M2541"/>
    <mergeCell ref="M2542:M2543"/>
    <mergeCell ref="M2548:M2550"/>
    <mergeCell ref="M2551:M2555"/>
    <mergeCell ref="M2562:M2564"/>
    <mergeCell ref="M2565:M2567"/>
    <mergeCell ref="M2568:M2570"/>
    <mergeCell ref="M2571:M2572"/>
    <mergeCell ref="M2573:M2575"/>
    <mergeCell ref="M2576:M2579"/>
    <mergeCell ref="M2580:M2582"/>
    <mergeCell ref="M2583:M2584"/>
    <mergeCell ref="N5:N6"/>
    <mergeCell ref="N8:N9"/>
    <mergeCell ref="N10:N11"/>
    <mergeCell ref="N13:N14"/>
    <mergeCell ref="N15:N18"/>
    <mergeCell ref="N20:N21"/>
    <mergeCell ref="N26:N27"/>
    <mergeCell ref="N36:N38"/>
    <mergeCell ref="N41:N42"/>
    <mergeCell ref="N48:N49"/>
    <mergeCell ref="N50:N51"/>
    <mergeCell ref="N52:N53"/>
    <mergeCell ref="N55:N56"/>
    <mergeCell ref="N59:N60"/>
    <mergeCell ref="N61:N62"/>
    <mergeCell ref="N71:N72"/>
    <mergeCell ref="N75:N77"/>
    <mergeCell ref="N78:N79"/>
    <mergeCell ref="N81:N82"/>
    <mergeCell ref="N83:N84"/>
    <mergeCell ref="N91:N93"/>
    <mergeCell ref="N98:N99"/>
    <mergeCell ref="N117:N118"/>
    <mergeCell ref="N125:N126"/>
    <mergeCell ref="N141:N142"/>
    <mergeCell ref="N158:N159"/>
    <mergeCell ref="N165:N166"/>
    <mergeCell ref="N171:N174"/>
    <mergeCell ref="N192:N193"/>
    <mergeCell ref="N201:N202"/>
    <mergeCell ref="N209:N210"/>
    <mergeCell ref="N212:N213"/>
    <mergeCell ref="N214:N216"/>
    <mergeCell ref="N217:N219"/>
    <mergeCell ref="N229:N230"/>
    <mergeCell ref="N231:N232"/>
    <mergeCell ref="N293:N294"/>
    <mergeCell ref="N296:N297"/>
    <mergeCell ref="N298:N299"/>
    <mergeCell ref="N301:N302"/>
    <mergeCell ref="N304:N305"/>
    <mergeCell ref="N312:N313"/>
    <mergeCell ref="N324:N326"/>
    <mergeCell ref="N340:N341"/>
    <mergeCell ref="N350:N351"/>
    <mergeCell ref="N359:N360"/>
    <mergeCell ref="N364:N365"/>
    <mergeCell ref="N376:N377"/>
    <mergeCell ref="N390:N391"/>
    <mergeCell ref="N394:N395"/>
    <mergeCell ref="N418:N419"/>
    <mergeCell ref="N485:N486"/>
    <mergeCell ref="N501:N502"/>
    <mergeCell ref="N503:N504"/>
    <mergeCell ref="N508:N509"/>
    <mergeCell ref="N514:N516"/>
    <mergeCell ref="N533:N534"/>
    <mergeCell ref="N570:N571"/>
    <mergeCell ref="N620:N622"/>
    <mergeCell ref="N649:N650"/>
    <mergeCell ref="N727:N728"/>
    <mergeCell ref="N771:N772"/>
    <mergeCell ref="N814:N815"/>
    <mergeCell ref="N817:N818"/>
    <mergeCell ref="N829:N830"/>
    <mergeCell ref="N943:N944"/>
    <mergeCell ref="N1016:N1017"/>
    <mergeCell ref="N1022:N1023"/>
    <mergeCell ref="N1032:N1033"/>
    <mergeCell ref="N1035:N1037"/>
    <mergeCell ref="N1038:N1039"/>
    <mergeCell ref="N1063:N1064"/>
    <mergeCell ref="N1072:N1073"/>
    <mergeCell ref="N1076:N1077"/>
    <mergeCell ref="N1086:N1087"/>
    <mergeCell ref="N1091:N1092"/>
    <mergeCell ref="N1093:N1095"/>
    <mergeCell ref="N1096:N1097"/>
    <mergeCell ref="N1112:N1113"/>
    <mergeCell ref="N1116:N1117"/>
    <mergeCell ref="N1124:N1125"/>
    <mergeCell ref="N1143:N1144"/>
    <mergeCell ref="N1150:N1151"/>
    <mergeCell ref="N1154:N1155"/>
    <mergeCell ref="N1158:N1159"/>
    <mergeCell ref="N1162:N1163"/>
    <mergeCell ref="N1166:N1167"/>
    <mergeCell ref="N1171:N1173"/>
    <mergeCell ref="N1182:N1183"/>
    <mergeCell ref="N1187:N1188"/>
    <mergeCell ref="N1206:N1209"/>
    <mergeCell ref="N1220:N1222"/>
    <mergeCell ref="N1263:N1267"/>
    <mergeCell ref="N1268:N1271"/>
    <mergeCell ref="N1272:N1275"/>
    <mergeCell ref="N1276:N1278"/>
    <mergeCell ref="N1279:N1280"/>
    <mergeCell ref="N1281:N1282"/>
    <mergeCell ref="N1285:N1288"/>
    <mergeCell ref="N1289:N1292"/>
    <mergeCell ref="N1293:N1296"/>
    <mergeCell ref="N1297:N1300"/>
    <mergeCell ref="N1314:N1316"/>
    <mergeCell ref="N1320:N1322"/>
    <mergeCell ref="N1323:N1324"/>
    <mergeCell ref="N1325:N1326"/>
    <mergeCell ref="N1327:N1328"/>
    <mergeCell ref="N1329:N1330"/>
    <mergeCell ref="N1331:N1333"/>
    <mergeCell ref="N1334:N1337"/>
    <mergeCell ref="N1338:N1339"/>
    <mergeCell ref="N1362:N1363"/>
    <mergeCell ref="N1375:N1376"/>
    <mergeCell ref="N1385:N1386"/>
    <mergeCell ref="N1392:N1393"/>
    <mergeCell ref="N1397:N1398"/>
    <mergeCell ref="N1419:N1420"/>
    <mergeCell ref="N1582:N1583"/>
    <mergeCell ref="N1597:N1598"/>
    <mergeCell ref="N1608:N1609"/>
    <mergeCell ref="N1612:N1613"/>
    <mergeCell ref="N1615:N1616"/>
    <mergeCell ref="N1627:N1628"/>
    <mergeCell ref="N1652:N1653"/>
    <mergeCell ref="N1659:N1660"/>
    <mergeCell ref="N1664:N1665"/>
    <mergeCell ref="N1671:N1672"/>
    <mergeCell ref="N1674:N1675"/>
    <mergeCell ref="N1690:N1691"/>
    <mergeCell ref="N1692:N1693"/>
    <mergeCell ref="N1711:N1712"/>
    <mergeCell ref="N1818:N1819"/>
    <mergeCell ref="N1827:N1828"/>
    <mergeCell ref="N1831:N1832"/>
    <mergeCell ref="N1836:N1837"/>
    <mergeCell ref="N1843:N1844"/>
    <mergeCell ref="N1851:N1853"/>
    <mergeCell ref="N1880:N1881"/>
    <mergeCell ref="N1884:N1885"/>
    <mergeCell ref="N1887:N1889"/>
    <mergeCell ref="N1989:N1990"/>
    <mergeCell ref="N1991:N1992"/>
    <mergeCell ref="N2015:N2016"/>
    <mergeCell ref="N2023:N2024"/>
    <mergeCell ref="N2036:N2037"/>
    <mergeCell ref="N2040:N2041"/>
    <mergeCell ref="N2083:N2084"/>
    <mergeCell ref="N2085:N2087"/>
    <mergeCell ref="N2094:N2095"/>
    <mergeCell ref="N2108:N2109"/>
    <mergeCell ref="N2146:N2147"/>
    <mergeCell ref="N2148:N2150"/>
    <mergeCell ref="N2151:N2153"/>
    <mergeCell ref="N2154:N2156"/>
    <mergeCell ref="N2160:N2161"/>
    <mergeCell ref="N2179:N2180"/>
    <mergeCell ref="N2182:N2183"/>
    <mergeCell ref="N2190:N2191"/>
    <mergeCell ref="N2192:N2196"/>
    <mergeCell ref="N2200:N2201"/>
    <mergeCell ref="N2202:N2204"/>
    <mergeCell ref="N2205:N2206"/>
    <mergeCell ref="N2207:N2208"/>
    <mergeCell ref="N2209:N2210"/>
    <mergeCell ref="N2211:N2212"/>
    <mergeCell ref="N2213:N2214"/>
    <mergeCell ref="N2217:N2218"/>
    <mergeCell ref="N2220:N2221"/>
    <mergeCell ref="N2249:N2251"/>
    <mergeCell ref="N2255:N2256"/>
    <mergeCell ref="N2266:N2267"/>
    <mergeCell ref="N2273:N2276"/>
    <mergeCell ref="N2281:N2282"/>
    <mergeCell ref="N2283:N2285"/>
    <mergeCell ref="N2286:N2288"/>
    <mergeCell ref="N2294:N2296"/>
    <mergeCell ref="N2297:N2300"/>
    <mergeCell ref="N2317:N2318"/>
    <mergeCell ref="N2323:N2324"/>
    <mergeCell ref="N2325:N2326"/>
    <mergeCell ref="N2328:N2330"/>
    <mergeCell ref="N2341:N2342"/>
    <mergeCell ref="N2343:N2346"/>
    <mergeCell ref="N2347:N2350"/>
    <mergeCell ref="N2351:N2352"/>
    <mergeCell ref="N2356:N2357"/>
    <mergeCell ref="N2361:N2364"/>
    <mergeCell ref="N2365:N2367"/>
    <mergeCell ref="N2368:N2373"/>
    <mergeCell ref="N2374:N2376"/>
    <mergeCell ref="N2425:N2427"/>
    <mergeCell ref="N2429:N2430"/>
    <mergeCell ref="N2434:N2435"/>
    <mergeCell ref="N2436:N2438"/>
    <mergeCell ref="N2440:N2442"/>
    <mergeCell ref="N2448:N2451"/>
    <mergeCell ref="N2452:N2453"/>
    <mergeCell ref="N2454:N2455"/>
    <mergeCell ref="N2496:N2497"/>
    <mergeCell ref="N2498:N2499"/>
    <mergeCell ref="N2525:N2526"/>
    <mergeCell ref="N2531:N2532"/>
    <mergeCell ref="N2540:N2541"/>
    <mergeCell ref="N2542:N2543"/>
    <mergeCell ref="N2562:N2564"/>
    <mergeCell ref="N2565:N2567"/>
    <mergeCell ref="N2568:N2570"/>
    <mergeCell ref="N2571:N2572"/>
    <mergeCell ref="N2573:N2575"/>
    <mergeCell ref="N2576:N2579"/>
    <mergeCell ref="N2580:N2582"/>
    <mergeCell ref="N2583:N2584"/>
    <mergeCell ref="O5:O6"/>
    <mergeCell ref="O8:O9"/>
    <mergeCell ref="O10:O11"/>
    <mergeCell ref="O13:O14"/>
    <mergeCell ref="O15:O18"/>
    <mergeCell ref="O20:O21"/>
    <mergeCell ref="O26:O27"/>
    <mergeCell ref="O36:O38"/>
    <mergeCell ref="O41:O42"/>
    <mergeCell ref="O48:O49"/>
    <mergeCell ref="O50:O51"/>
    <mergeCell ref="O52:O53"/>
    <mergeCell ref="O55:O56"/>
    <mergeCell ref="O59:O60"/>
    <mergeCell ref="O61:O62"/>
    <mergeCell ref="O71:O72"/>
    <mergeCell ref="O75:O77"/>
    <mergeCell ref="O78:O79"/>
    <mergeCell ref="O81:O82"/>
    <mergeCell ref="O83:O84"/>
    <mergeCell ref="O91:O93"/>
    <mergeCell ref="O98:O99"/>
    <mergeCell ref="O117:O118"/>
    <mergeCell ref="O125:O126"/>
    <mergeCell ref="O158:O159"/>
    <mergeCell ref="O165:O166"/>
    <mergeCell ref="O171:O174"/>
    <mergeCell ref="O192:O193"/>
    <mergeCell ref="O201:O202"/>
    <mergeCell ref="O209:O210"/>
    <mergeCell ref="O212:O213"/>
    <mergeCell ref="O214:O216"/>
    <mergeCell ref="O229:O230"/>
    <mergeCell ref="O293:O294"/>
    <mergeCell ref="O296:O297"/>
    <mergeCell ref="O298:O299"/>
    <mergeCell ref="O301:O302"/>
    <mergeCell ref="O324:O325"/>
    <mergeCell ref="O340:O341"/>
    <mergeCell ref="O350:O351"/>
    <mergeCell ref="O359:O360"/>
    <mergeCell ref="O364:O365"/>
    <mergeCell ref="O376:O377"/>
    <mergeCell ref="O390:O391"/>
    <mergeCell ref="O394:O395"/>
    <mergeCell ref="O418:O419"/>
    <mergeCell ref="O437:O438"/>
    <mergeCell ref="O446:O447"/>
    <mergeCell ref="O450:O451"/>
    <mergeCell ref="O461:O463"/>
    <mergeCell ref="O473:O478"/>
    <mergeCell ref="O481:O482"/>
    <mergeCell ref="O485:O486"/>
    <mergeCell ref="O501:O502"/>
    <mergeCell ref="O503:O504"/>
    <mergeCell ref="O508:O509"/>
    <mergeCell ref="O514:O516"/>
    <mergeCell ref="O533:O534"/>
    <mergeCell ref="O541:O542"/>
    <mergeCell ref="O570:O571"/>
    <mergeCell ref="O592:O593"/>
    <mergeCell ref="O620:O622"/>
    <mergeCell ref="O649:O650"/>
    <mergeCell ref="O695:O697"/>
    <mergeCell ref="O698:O700"/>
    <mergeCell ref="O701:O703"/>
    <mergeCell ref="O704:O706"/>
    <mergeCell ref="O707:O709"/>
    <mergeCell ref="O710:O712"/>
    <mergeCell ref="O727:O728"/>
    <mergeCell ref="O752:O753"/>
    <mergeCell ref="O771:O772"/>
    <mergeCell ref="O792:O793"/>
    <mergeCell ref="O794:O795"/>
    <mergeCell ref="O796:O797"/>
    <mergeCell ref="O798:O799"/>
    <mergeCell ref="O808:O809"/>
    <mergeCell ref="O810:O811"/>
    <mergeCell ref="O812:O813"/>
    <mergeCell ref="O814:O815"/>
    <mergeCell ref="O817:O818"/>
    <mergeCell ref="O829:O830"/>
    <mergeCell ref="O838:O839"/>
    <mergeCell ref="O943:O944"/>
    <mergeCell ref="O1016:O1017"/>
    <mergeCell ref="O1022:O1023"/>
    <mergeCell ref="O1032:O1033"/>
    <mergeCell ref="O1035:O1037"/>
    <mergeCell ref="O1038:O1039"/>
    <mergeCell ref="O1063:O1064"/>
    <mergeCell ref="O1072:O1073"/>
    <mergeCell ref="O1076:O1077"/>
    <mergeCell ref="O1086:O1087"/>
    <mergeCell ref="O1091:O1092"/>
    <mergeCell ref="O1093:O1095"/>
    <mergeCell ref="O1096:O1097"/>
    <mergeCell ref="O1171:O1173"/>
    <mergeCell ref="O1182:O1183"/>
    <mergeCell ref="O1206:O1209"/>
    <mergeCell ref="O1220:O1222"/>
    <mergeCell ref="O1263:O1267"/>
    <mergeCell ref="O1268:O1271"/>
    <mergeCell ref="O1272:O1275"/>
    <mergeCell ref="O1276:O1278"/>
    <mergeCell ref="O1279:O1280"/>
    <mergeCell ref="O1281:O1282"/>
    <mergeCell ref="O1285:O1288"/>
    <mergeCell ref="O1289:O1292"/>
    <mergeCell ref="O1293:O1296"/>
    <mergeCell ref="O1297:O1300"/>
    <mergeCell ref="O1314:O1316"/>
    <mergeCell ref="O1320:O1322"/>
    <mergeCell ref="O1323:O1324"/>
    <mergeCell ref="O1325:O1326"/>
    <mergeCell ref="O1327:O1328"/>
    <mergeCell ref="O1329:O1330"/>
    <mergeCell ref="O1331:O1333"/>
    <mergeCell ref="O1334:O1337"/>
    <mergeCell ref="O1338:O1339"/>
    <mergeCell ref="O1375:O1376"/>
    <mergeCell ref="O1385:O1386"/>
    <mergeCell ref="O1392:O1393"/>
    <mergeCell ref="O1397:O1398"/>
    <mergeCell ref="O1419:O1420"/>
    <mergeCell ref="O1489:O1492"/>
    <mergeCell ref="O1493:O1494"/>
    <mergeCell ref="O1517:O1521"/>
    <mergeCell ref="O1582:O1583"/>
    <mergeCell ref="O1615:O1616"/>
    <mergeCell ref="O1659:O1660"/>
    <mergeCell ref="O1664:O1665"/>
    <mergeCell ref="O1671:O1672"/>
    <mergeCell ref="O1674:O1675"/>
    <mergeCell ref="O1827:O1828"/>
    <mergeCell ref="O1851:O1853"/>
    <mergeCell ref="O1888:O1889"/>
    <mergeCell ref="O1939:O1942"/>
    <mergeCell ref="O1944:O1945"/>
    <mergeCell ref="O1946:O1953"/>
    <mergeCell ref="O1954:O1956"/>
    <mergeCell ref="O1959:O1962"/>
    <mergeCell ref="O1989:O1990"/>
    <mergeCell ref="O1991:O1992"/>
    <mergeCell ref="O2015:O2016"/>
    <mergeCell ref="O2023:O2024"/>
    <mergeCell ref="O2094:O2095"/>
    <mergeCell ref="O2108:O2109"/>
    <mergeCell ref="O2146:O2147"/>
    <mergeCell ref="O2148:O2150"/>
    <mergeCell ref="O2151:O2153"/>
    <mergeCell ref="O2154:O2156"/>
    <mergeCell ref="O2160:O2161"/>
    <mergeCell ref="O2179:O2180"/>
    <mergeCell ref="O2182:O2183"/>
    <mergeCell ref="O2190:O2191"/>
    <mergeCell ref="O2192:O2196"/>
    <mergeCell ref="O2200:O2201"/>
    <mergeCell ref="O2202:O2204"/>
    <mergeCell ref="O2205:O2206"/>
    <mergeCell ref="O2207:O2208"/>
    <mergeCell ref="O2209:O2210"/>
    <mergeCell ref="O2211:O2212"/>
    <mergeCell ref="O2213:O2214"/>
    <mergeCell ref="O2217:O2218"/>
    <mergeCell ref="O2220:O2221"/>
    <mergeCell ref="O2249:O2251"/>
    <mergeCell ref="O2255:O2256"/>
    <mergeCell ref="O2266:O2267"/>
    <mergeCell ref="O2273:O2276"/>
    <mergeCell ref="O2281:O2282"/>
    <mergeCell ref="O2283:O2285"/>
    <mergeCell ref="O2286:O2288"/>
    <mergeCell ref="O2294:O2296"/>
    <mergeCell ref="O2297:O2300"/>
    <mergeCell ref="O2317:O2318"/>
    <mergeCell ref="O2323:O2324"/>
    <mergeCell ref="O2325:O2326"/>
    <mergeCell ref="O2328:O2330"/>
    <mergeCell ref="O2341:O2342"/>
    <mergeCell ref="O2343:O2346"/>
    <mergeCell ref="O2347:O2350"/>
    <mergeCell ref="O2351:O2352"/>
    <mergeCell ref="O2356:O2357"/>
    <mergeCell ref="O2361:O2364"/>
    <mergeCell ref="O2365:O2367"/>
    <mergeCell ref="O2368:O2373"/>
    <mergeCell ref="O2374:O2376"/>
    <mergeCell ref="O2425:O2427"/>
    <mergeCell ref="O2429:O2430"/>
    <mergeCell ref="O2434:O2435"/>
    <mergeCell ref="O2436:O2438"/>
    <mergeCell ref="O2440:O2442"/>
    <mergeCell ref="O2448:O2451"/>
    <mergeCell ref="O2452:O2453"/>
    <mergeCell ref="O2454:O2455"/>
    <mergeCell ref="O2496:O2497"/>
    <mergeCell ref="O2498:O2499"/>
    <mergeCell ref="O2525:O2526"/>
    <mergeCell ref="O2531:O2532"/>
    <mergeCell ref="O2540:O2541"/>
    <mergeCell ref="O2542:O2543"/>
    <mergeCell ref="O2562:O2564"/>
    <mergeCell ref="O2565:O2567"/>
    <mergeCell ref="O2568:O2570"/>
    <mergeCell ref="O2571:O2572"/>
    <mergeCell ref="O2573:O2575"/>
    <mergeCell ref="O2576:O2579"/>
    <mergeCell ref="O2580:O2582"/>
    <mergeCell ref="O2583:O2584"/>
    <mergeCell ref="P5:P6"/>
    <mergeCell ref="P8:P9"/>
    <mergeCell ref="P10:P11"/>
    <mergeCell ref="P13:P14"/>
    <mergeCell ref="P15:P18"/>
    <mergeCell ref="P26:P27"/>
    <mergeCell ref="P36:P38"/>
    <mergeCell ref="P41:P42"/>
    <mergeCell ref="P50:P51"/>
    <mergeCell ref="P52:P53"/>
    <mergeCell ref="P55:P56"/>
    <mergeCell ref="P61:P62"/>
    <mergeCell ref="P71:P72"/>
    <mergeCell ref="P75:P77"/>
    <mergeCell ref="P78:P79"/>
    <mergeCell ref="P81:P82"/>
    <mergeCell ref="P83:P84"/>
    <mergeCell ref="P91:P93"/>
    <mergeCell ref="P98:P99"/>
    <mergeCell ref="P117:P118"/>
    <mergeCell ref="P125:P126"/>
    <mergeCell ref="P158:P159"/>
    <mergeCell ref="P165:P166"/>
    <mergeCell ref="P171:P174"/>
    <mergeCell ref="P192:P193"/>
    <mergeCell ref="P201:P202"/>
    <mergeCell ref="P209:P210"/>
    <mergeCell ref="P212:P213"/>
    <mergeCell ref="P214:P216"/>
    <mergeCell ref="P229:P230"/>
    <mergeCell ref="P293:P294"/>
    <mergeCell ref="P296:P297"/>
    <mergeCell ref="P298:P299"/>
    <mergeCell ref="P301:P302"/>
    <mergeCell ref="P324:P325"/>
    <mergeCell ref="P350:P351"/>
    <mergeCell ref="P359:P360"/>
    <mergeCell ref="P364:P365"/>
    <mergeCell ref="P376:P377"/>
    <mergeCell ref="P390:P391"/>
    <mergeCell ref="P394:P395"/>
    <mergeCell ref="P418:P419"/>
    <mergeCell ref="P437:P438"/>
    <mergeCell ref="P446:P447"/>
    <mergeCell ref="P450:P451"/>
    <mergeCell ref="P475:P476"/>
    <mergeCell ref="P481:P482"/>
    <mergeCell ref="P485:P486"/>
    <mergeCell ref="P501:P502"/>
    <mergeCell ref="P508:P509"/>
    <mergeCell ref="P514:P516"/>
    <mergeCell ref="P533:P534"/>
    <mergeCell ref="P541:P542"/>
    <mergeCell ref="P592:P593"/>
    <mergeCell ref="P620:P622"/>
    <mergeCell ref="P649:P650"/>
    <mergeCell ref="P727:P728"/>
    <mergeCell ref="P752:P753"/>
    <mergeCell ref="P792:P793"/>
    <mergeCell ref="P794:P795"/>
    <mergeCell ref="P796:P797"/>
    <mergeCell ref="P798:P799"/>
    <mergeCell ref="P808:P809"/>
    <mergeCell ref="P810:P811"/>
    <mergeCell ref="P812:P813"/>
    <mergeCell ref="P814:P815"/>
    <mergeCell ref="P829:P830"/>
    <mergeCell ref="P838:P839"/>
    <mergeCell ref="P943:P944"/>
    <mergeCell ref="P1016:P1017"/>
    <mergeCell ref="P1022:P1023"/>
    <mergeCell ref="P1032:P1033"/>
    <mergeCell ref="P1035:P1037"/>
    <mergeCell ref="P1038:P1039"/>
    <mergeCell ref="P1063:P1064"/>
    <mergeCell ref="P1072:P1073"/>
    <mergeCell ref="P1086:P1087"/>
    <mergeCell ref="P1091:P1092"/>
    <mergeCell ref="P1093:P1095"/>
    <mergeCell ref="P1096:P1097"/>
    <mergeCell ref="P1171:P1173"/>
    <mergeCell ref="P1182:P1183"/>
    <mergeCell ref="P1206:P1209"/>
    <mergeCell ref="P1220:P1222"/>
    <mergeCell ref="P1263:P1267"/>
    <mergeCell ref="P1268:P1271"/>
    <mergeCell ref="P1272:P1275"/>
    <mergeCell ref="P1276:P1278"/>
    <mergeCell ref="P1279:P1280"/>
    <mergeCell ref="P1281:P1282"/>
    <mergeCell ref="P1285:P1288"/>
    <mergeCell ref="P1289:P1292"/>
    <mergeCell ref="P1293:P1296"/>
    <mergeCell ref="P1297:P1300"/>
    <mergeCell ref="P1314:P1316"/>
    <mergeCell ref="P1320:P1322"/>
    <mergeCell ref="P1323:P1324"/>
    <mergeCell ref="P1325:P1326"/>
    <mergeCell ref="P1327:P1328"/>
    <mergeCell ref="P1329:P1330"/>
    <mergeCell ref="P1331:P1333"/>
    <mergeCell ref="P1334:P1337"/>
    <mergeCell ref="P1338:P1339"/>
    <mergeCell ref="P1375:P1376"/>
    <mergeCell ref="P1385:P1386"/>
    <mergeCell ref="P1392:P1393"/>
    <mergeCell ref="P1397:P1398"/>
    <mergeCell ref="P1419:P1420"/>
    <mergeCell ref="P1489:P1495"/>
    <mergeCell ref="P1582:P1583"/>
    <mergeCell ref="P1615:P1616"/>
    <mergeCell ref="P1659:P1660"/>
    <mergeCell ref="P1664:P1665"/>
    <mergeCell ref="P1671:P1672"/>
    <mergeCell ref="P1674:P1675"/>
    <mergeCell ref="P1827:P1828"/>
    <mergeCell ref="P1851:P1853"/>
    <mergeCell ref="P1888:P1889"/>
    <mergeCell ref="P2015:P2016"/>
    <mergeCell ref="P2023:P2024"/>
    <mergeCell ref="P2083:P2084"/>
    <mergeCell ref="P2085:P2087"/>
    <mergeCell ref="P2094:P2095"/>
    <mergeCell ref="P2108:P2109"/>
    <mergeCell ref="P2146:P2147"/>
    <mergeCell ref="P2148:P2150"/>
    <mergeCell ref="P2151:P2153"/>
    <mergeCell ref="P2154:P2156"/>
    <mergeCell ref="P2160:P2161"/>
    <mergeCell ref="P2179:P2180"/>
    <mergeCell ref="P2182:P2183"/>
    <mergeCell ref="P2190:P2191"/>
    <mergeCell ref="P2192:P2196"/>
    <mergeCell ref="P2200:P2201"/>
    <mergeCell ref="P2202:P2204"/>
    <mergeCell ref="P2205:P2206"/>
    <mergeCell ref="P2207:P2208"/>
    <mergeCell ref="P2209:P2210"/>
    <mergeCell ref="P2211:P2212"/>
    <mergeCell ref="P2213:P2214"/>
    <mergeCell ref="P2217:P2218"/>
    <mergeCell ref="P2220:P2221"/>
    <mergeCell ref="P2249:P2251"/>
    <mergeCell ref="P2255:P2256"/>
    <mergeCell ref="P2266:P2267"/>
    <mergeCell ref="P2273:P2276"/>
    <mergeCell ref="P2281:P2282"/>
    <mergeCell ref="P2283:P2285"/>
    <mergeCell ref="P2286:P2288"/>
    <mergeCell ref="P2294:P2296"/>
    <mergeCell ref="P2297:P2300"/>
    <mergeCell ref="P2317:P2318"/>
    <mergeCell ref="P2323:P2324"/>
    <mergeCell ref="P2325:P2326"/>
    <mergeCell ref="P2328:P2330"/>
    <mergeCell ref="P2341:P2342"/>
    <mergeCell ref="P2343:P2346"/>
    <mergeCell ref="P2347:P2350"/>
    <mergeCell ref="P2351:P2352"/>
    <mergeCell ref="P2356:P2357"/>
    <mergeCell ref="P2361:P2364"/>
    <mergeCell ref="P2365:P2367"/>
    <mergeCell ref="P2368:P2373"/>
    <mergeCell ref="P2374:P2376"/>
    <mergeCell ref="P2425:P2427"/>
    <mergeCell ref="P2429:P2430"/>
    <mergeCell ref="P2434:P2435"/>
    <mergeCell ref="P2436:P2438"/>
    <mergeCell ref="P2440:P2442"/>
    <mergeCell ref="P2448:P2451"/>
    <mergeCell ref="P2452:P2453"/>
    <mergeCell ref="P2454:P2455"/>
    <mergeCell ref="P2496:P2497"/>
    <mergeCell ref="P2498:P2499"/>
    <mergeCell ref="P2525:P2526"/>
    <mergeCell ref="P2531:P2532"/>
    <mergeCell ref="P2540:P2541"/>
    <mergeCell ref="P2542:P2543"/>
    <mergeCell ref="P2562:P2564"/>
    <mergeCell ref="P2565:P2567"/>
    <mergeCell ref="P2568:P2570"/>
    <mergeCell ref="P2571:P2572"/>
    <mergeCell ref="P2573:P2575"/>
    <mergeCell ref="P2576:P2579"/>
    <mergeCell ref="P2580:P2582"/>
    <mergeCell ref="P2583:P2584"/>
    <mergeCell ref="Q5:Q6"/>
    <mergeCell ref="Q8:Q9"/>
    <mergeCell ref="Q10:Q11"/>
    <mergeCell ref="Q15:Q18"/>
    <mergeCell ref="Q26:Q27"/>
    <mergeCell ref="Q37:Q38"/>
    <mergeCell ref="Q41:Q42"/>
    <mergeCell ref="Q52:Q53"/>
    <mergeCell ref="Q61:Q62"/>
    <mergeCell ref="Q64:Q66"/>
    <mergeCell ref="Q71:Q72"/>
    <mergeCell ref="Q75:Q77"/>
    <mergeCell ref="Q78:Q79"/>
    <mergeCell ref="Q83:Q84"/>
    <mergeCell ref="Q91:Q93"/>
    <mergeCell ref="Q96:Q98"/>
    <mergeCell ref="Q101:Q102"/>
    <mergeCell ref="Q103:Q106"/>
    <mergeCell ref="Q107:Q108"/>
    <mergeCell ref="Q109:Q110"/>
    <mergeCell ref="Q112:Q114"/>
    <mergeCell ref="Q117:Q118"/>
    <mergeCell ref="Q125:Q126"/>
    <mergeCell ref="Q141:Q142"/>
    <mergeCell ref="Q158:Q159"/>
    <mergeCell ref="Q160:Q162"/>
    <mergeCell ref="Q165:Q166"/>
    <mergeCell ref="Q171:Q174"/>
    <mergeCell ref="Q195:Q196"/>
    <mergeCell ref="Q201:Q202"/>
    <mergeCell ref="Q209:Q210"/>
    <mergeCell ref="Q212:Q213"/>
    <mergeCell ref="Q214:Q216"/>
    <mergeCell ref="Q229:Q230"/>
    <mergeCell ref="Q246:Q248"/>
    <mergeCell ref="Q293:Q294"/>
    <mergeCell ref="Q296:Q297"/>
    <mergeCell ref="Q298:Q299"/>
    <mergeCell ref="Q301:Q302"/>
    <mergeCell ref="Q350:Q351"/>
    <mergeCell ref="Q376:Q377"/>
    <mergeCell ref="Q418:Q419"/>
    <mergeCell ref="Q475:Q476"/>
    <mergeCell ref="Q514:Q516"/>
    <mergeCell ref="Q553:Q554"/>
    <mergeCell ref="Q577:Q578"/>
    <mergeCell ref="Q579:Q582"/>
    <mergeCell ref="Q583:Q586"/>
    <mergeCell ref="Q588:Q589"/>
    <mergeCell ref="Q590:Q591"/>
    <mergeCell ref="Q592:Q593"/>
    <mergeCell ref="Q649:Q650"/>
    <mergeCell ref="Q727:Q728"/>
    <mergeCell ref="Q829:Q830"/>
    <mergeCell ref="Q998:Q1000"/>
    <mergeCell ref="Q1002:Q1004"/>
    <mergeCell ref="Q1008:Q1009"/>
    <mergeCell ref="Q1016:Q1017"/>
    <mergeCell ref="Q1022:Q1023"/>
    <mergeCell ref="Q1036:Q1037"/>
    <mergeCell ref="Q1072:Q1073"/>
    <mergeCell ref="Q1091:Q1092"/>
    <mergeCell ref="Q1104:Q1105"/>
    <mergeCell ref="Q1171:Q1172"/>
    <mergeCell ref="Q1182:Q1183"/>
    <mergeCell ref="Q1206:Q1209"/>
    <mergeCell ref="Q1220:Q1221"/>
    <mergeCell ref="Q1264:Q1265"/>
    <mergeCell ref="Q1285:Q1288"/>
    <mergeCell ref="Q1289:Q1292"/>
    <mergeCell ref="Q1293:Q1296"/>
    <mergeCell ref="Q1297:Q1300"/>
    <mergeCell ref="Q1314:Q1316"/>
    <mergeCell ref="Q1334:Q1336"/>
    <mergeCell ref="Q1419:Q1420"/>
    <mergeCell ref="Q1664:Q1665"/>
    <mergeCell ref="Q1827:Q1828"/>
    <mergeCell ref="Q1888:Q1889"/>
    <mergeCell ref="Q2015:Q2016"/>
    <mergeCell ref="Q2023:Q2024"/>
    <mergeCell ref="Q2094:Q2095"/>
    <mergeCell ref="Q2108:Q2109"/>
    <mergeCell ref="Q2148:Q2149"/>
    <mergeCell ref="Q2152:Q2153"/>
    <mergeCell ref="Q2154:Q2155"/>
    <mergeCell ref="Q2160:Q2161"/>
    <mergeCell ref="Q2190:Q2191"/>
    <mergeCell ref="Q2192:Q2196"/>
    <mergeCell ref="Q2249:Q2250"/>
    <mergeCell ref="Q2266:Q2267"/>
    <mergeCell ref="Q2273:Q2276"/>
    <mergeCell ref="Q2284:Q2285"/>
    <mergeCell ref="Q2287:Q2288"/>
    <mergeCell ref="Q2294:Q2296"/>
    <mergeCell ref="Q2297:Q2300"/>
    <mergeCell ref="Q2317:Q2318"/>
    <mergeCell ref="Q2323:Q2324"/>
    <mergeCell ref="Q2325:Q2326"/>
    <mergeCell ref="Q2328:Q2329"/>
    <mergeCell ref="Q2341:Q2342"/>
    <mergeCell ref="Q2344:Q2346"/>
    <mergeCell ref="Q2361:Q2362"/>
    <mergeCell ref="Q2368:Q2369"/>
    <mergeCell ref="Q2370:Q2371"/>
    <mergeCell ref="Q2372:Q2373"/>
    <mergeCell ref="Q2425:Q2427"/>
    <mergeCell ref="Q2434:Q2435"/>
    <mergeCell ref="Q2436:Q2438"/>
    <mergeCell ref="Q2440:Q2442"/>
    <mergeCell ref="Q2448:Q2451"/>
    <mergeCell ref="Q2452:Q2453"/>
    <mergeCell ref="Q2454:Q2455"/>
    <mergeCell ref="Q2496:Q2497"/>
    <mergeCell ref="Q2498:Q2499"/>
    <mergeCell ref="Q2525:Q2526"/>
    <mergeCell ref="Q2531:Q2532"/>
    <mergeCell ref="Q2540:Q2541"/>
    <mergeCell ref="Q2542:Q2543"/>
    <mergeCell ref="Q2562:Q2564"/>
    <mergeCell ref="Q2565:Q2567"/>
    <mergeCell ref="Q2568:Q2570"/>
    <mergeCell ref="Q2571:Q2572"/>
    <mergeCell ref="Q2573:Q2575"/>
    <mergeCell ref="Q2576:Q2579"/>
    <mergeCell ref="Q2580:Q2582"/>
    <mergeCell ref="Q2583:Q2584"/>
    <mergeCell ref="R5:R6"/>
    <mergeCell ref="R8:R9"/>
    <mergeCell ref="R10:R11"/>
    <mergeCell ref="R15:R18"/>
    <mergeCell ref="R26:R27"/>
    <mergeCell ref="R37:R38"/>
    <mergeCell ref="R41:R42"/>
    <mergeCell ref="R52:R53"/>
    <mergeCell ref="R61:R62"/>
    <mergeCell ref="R64:R66"/>
    <mergeCell ref="R71:R72"/>
    <mergeCell ref="R75:R77"/>
    <mergeCell ref="R78:R79"/>
    <mergeCell ref="R81:R82"/>
    <mergeCell ref="R83:R84"/>
    <mergeCell ref="R91:R93"/>
    <mergeCell ref="R98:R99"/>
    <mergeCell ref="R103:R106"/>
    <mergeCell ref="R107:R108"/>
    <mergeCell ref="R109:R110"/>
    <mergeCell ref="R112:R114"/>
    <mergeCell ref="R117:R118"/>
    <mergeCell ref="R125:R126"/>
    <mergeCell ref="R141:R142"/>
    <mergeCell ref="R158:R159"/>
    <mergeCell ref="R160:R162"/>
    <mergeCell ref="R164:R166"/>
    <mergeCell ref="R171:R174"/>
    <mergeCell ref="R195:R196"/>
    <mergeCell ref="R201:R202"/>
    <mergeCell ref="R209:R210"/>
    <mergeCell ref="R212:R213"/>
    <mergeCell ref="R214:R216"/>
    <mergeCell ref="R229:R230"/>
    <mergeCell ref="R246:R248"/>
    <mergeCell ref="R249:R251"/>
    <mergeCell ref="R254:R256"/>
    <mergeCell ref="R268:R270"/>
    <mergeCell ref="R272:R273"/>
    <mergeCell ref="R277:R278"/>
    <mergeCell ref="R289:R290"/>
    <mergeCell ref="R293:R294"/>
    <mergeCell ref="R296:R297"/>
    <mergeCell ref="R298:R299"/>
    <mergeCell ref="R301:R302"/>
    <mergeCell ref="R350:R351"/>
    <mergeCell ref="R376:R377"/>
    <mergeCell ref="R418:R419"/>
    <mergeCell ref="R475:R476"/>
    <mergeCell ref="R514:R516"/>
    <mergeCell ref="R553:R554"/>
    <mergeCell ref="R561:R562"/>
    <mergeCell ref="R577:R578"/>
    <mergeCell ref="R579:R582"/>
    <mergeCell ref="R583:R586"/>
    <mergeCell ref="R588:R589"/>
    <mergeCell ref="R592:R593"/>
    <mergeCell ref="R649:R650"/>
    <mergeCell ref="R727:R728"/>
    <mergeCell ref="R829:R830"/>
    <mergeCell ref="R998:R1000"/>
    <mergeCell ref="R1002:R1004"/>
    <mergeCell ref="R1008:R1009"/>
    <mergeCell ref="R1016:R1017"/>
    <mergeCell ref="R1022:R1023"/>
    <mergeCell ref="R1036:R1037"/>
    <mergeCell ref="R1072:R1073"/>
    <mergeCell ref="R1091:R1092"/>
    <mergeCell ref="R1104:R1105"/>
    <mergeCell ref="R1171:R1172"/>
    <mergeCell ref="R1182:R1183"/>
    <mergeCell ref="R1206:R1209"/>
    <mergeCell ref="R1220:R1221"/>
    <mergeCell ref="R1264:R1265"/>
    <mergeCell ref="R1285:R1288"/>
    <mergeCell ref="R1289:R1292"/>
    <mergeCell ref="R1293:R1296"/>
    <mergeCell ref="R1297:R1300"/>
    <mergeCell ref="R1314:R1316"/>
    <mergeCell ref="R1334:R1336"/>
    <mergeCell ref="R1419:R1420"/>
    <mergeCell ref="R1437:R1438"/>
    <mergeCell ref="R1578:R1580"/>
    <mergeCell ref="R1588:R1589"/>
    <mergeCell ref="R1662:R1664"/>
    <mergeCell ref="R1671:R1672"/>
    <mergeCell ref="R1827:R1828"/>
    <mergeCell ref="R1888:R1889"/>
    <mergeCell ref="R2015:R2016"/>
    <mergeCell ref="R2023:R2024"/>
    <mergeCell ref="R2094:R2095"/>
    <mergeCell ref="R2108:R2109"/>
    <mergeCell ref="R2148:R2149"/>
    <mergeCell ref="R2152:R2153"/>
    <mergeCell ref="R2154:R2155"/>
    <mergeCell ref="R2160:R2161"/>
    <mergeCell ref="R2190:R2191"/>
    <mergeCell ref="R2192:R2196"/>
    <mergeCell ref="R2249:R2250"/>
    <mergeCell ref="R2266:R2267"/>
    <mergeCell ref="R2273:R2276"/>
    <mergeCell ref="R2284:R2285"/>
    <mergeCell ref="R2287:R2288"/>
    <mergeCell ref="R2294:R2296"/>
    <mergeCell ref="R2297:R2300"/>
    <mergeCell ref="R2304:R2307"/>
    <mergeCell ref="R2317:R2318"/>
    <mergeCell ref="R2323:R2324"/>
    <mergeCell ref="R2325:R2326"/>
    <mergeCell ref="R2328:R2329"/>
    <mergeCell ref="R2341:R2342"/>
    <mergeCell ref="R2344:R2346"/>
    <mergeCell ref="R2361:R2362"/>
    <mergeCell ref="R2368:R2369"/>
    <mergeCell ref="R2370:R2371"/>
    <mergeCell ref="R2372:R2373"/>
    <mergeCell ref="R2425:R2427"/>
    <mergeCell ref="R2434:R2435"/>
    <mergeCell ref="R2436:R2438"/>
    <mergeCell ref="R2440:R2442"/>
    <mergeCell ref="R2448:R2451"/>
    <mergeCell ref="R2452:R2453"/>
    <mergeCell ref="R2454:R2455"/>
    <mergeCell ref="R2496:R2497"/>
    <mergeCell ref="R2498:R2499"/>
    <mergeCell ref="R2525:R2526"/>
    <mergeCell ref="R2531:R2532"/>
    <mergeCell ref="R2540:R2541"/>
    <mergeCell ref="R2542:R2543"/>
    <mergeCell ref="R2562:R2564"/>
    <mergeCell ref="R2565:R2567"/>
    <mergeCell ref="R2568:R2570"/>
    <mergeCell ref="R2571:R2572"/>
    <mergeCell ref="R2573:R2575"/>
    <mergeCell ref="R2576:R2579"/>
    <mergeCell ref="R2580:R2582"/>
    <mergeCell ref="R2583:R2584"/>
    <mergeCell ref="S5:S6"/>
    <mergeCell ref="S8:S9"/>
    <mergeCell ref="S10:S11"/>
    <mergeCell ref="S15:S18"/>
    <mergeCell ref="S26:S27"/>
    <mergeCell ref="S37:S38"/>
    <mergeCell ref="S41:S42"/>
    <mergeCell ref="S52:S53"/>
    <mergeCell ref="S61:S62"/>
    <mergeCell ref="S64:S66"/>
    <mergeCell ref="S71:S72"/>
    <mergeCell ref="S75:S77"/>
    <mergeCell ref="S78:S79"/>
    <mergeCell ref="S83:S84"/>
    <mergeCell ref="S91:S93"/>
    <mergeCell ref="S96:S99"/>
    <mergeCell ref="S107:S108"/>
    <mergeCell ref="S109:S110"/>
    <mergeCell ref="S112:S114"/>
    <mergeCell ref="S117:S118"/>
    <mergeCell ref="S125:S126"/>
    <mergeCell ref="S141:S142"/>
    <mergeCell ref="S158:S159"/>
    <mergeCell ref="S160:S162"/>
    <mergeCell ref="S164:S166"/>
    <mergeCell ref="S171:S174"/>
    <mergeCell ref="S176:S178"/>
    <mergeCell ref="S195:S196"/>
    <mergeCell ref="S201:S202"/>
    <mergeCell ref="S209:S210"/>
    <mergeCell ref="S212:S213"/>
    <mergeCell ref="S214:S216"/>
    <mergeCell ref="S246:S248"/>
    <mergeCell ref="S249:S251"/>
    <mergeCell ref="S254:S256"/>
    <mergeCell ref="S268:S270"/>
    <mergeCell ref="S272:S273"/>
    <mergeCell ref="S277:S278"/>
    <mergeCell ref="S289:S290"/>
    <mergeCell ref="S293:S294"/>
    <mergeCell ref="S296:S297"/>
    <mergeCell ref="S298:S299"/>
    <mergeCell ref="S301:S302"/>
    <mergeCell ref="S350:S351"/>
    <mergeCell ref="S376:S377"/>
    <mergeCell ref="S418:S419"/>
    <mergeCell ref="S427:S430"/>
    <mergeCell ref="S475:S476"/>
    <mergeCell ref="S514:S516"/>
    <mergeCell ref="S553:S554"/>
    <mergeCell ref="S561:S562"/>
    <mergeCell ref="S577:S578"/>
    <mergeCell ref="S579:S582"/>
    <mergeCell ref="S583:S586"/>
    <mergeCell ref="S588:S589"/>
    <mergeCell ref="S590:S591"/>
    <mergeCell ref="S592:S593"/>
    <mergeCell ref="S649:S650"/>
    <mergeCell ref="S727:S728"/>
    <mergeCell ref="S829:S830"/>
    <mergeCell ref="S998:S1000"/>
    <mergeCell ref="S1002:S1004"/>
    <mergeCell ref="S1008:S1009"/>
    <mergeCell ref="S1016:S1017"/>
    <mergeCell ref="S1022:S1023"/>
    <mergeCell ref="S1036:S1037"/>
    <mergeCell ref="S1072:S1073"/>
    <mergeCell ref="S1091:S1092"/>
    <mergeCell ref="S1104:S1105"/>
    <mergeCell ref="S1171:S1172"/>
    <mergeCell ref="S1182:S1183"/>
    <mergeCell ref="S1206:S1209"/>
    <mergeCell ref="S1220:S1221"/>
    <mergeCell ref="S1264:S1265"/>
    <mergeCell ref="S1285:S1288"/>
    <mergeCell ref="S1289:S1292"/>
    <mergeCell ref="S1293:S1296"/>
    <mergeCell ref="S1297:S1300"/>
    <mergeCell ref="S1314:S1316"/>
    <mergeCell ref="S1334:S1336"/>
    <mergeCell ref="S1419:S1420"/>
    <mergeCell ref="S1664:S1665"/>
    <mergeCell ref="S1827:S1828"/>
    <mergeCell ref="S1888:S1889"/>
    <mergeCell ref="S2015:S2016"/>
    <mergeCell ref="S2023:S2024"/>
    <mergeCell ref="S2094:S2095"/>
    <mergeCell ref="S2108:S2109"/>
    <mergeCell ref="S2148:S2149"/>
    <mergeCell ref="S2152:S2153"/>
    <mergeCell ref="S2154:S2155"/>
    <mergeCell ref="S2160:S2161"/>
    <mergeCell ref="S2190:S2191"/>
    <mergeCell ref="S2192:S2196"/>
    <mergeCell ref="S2249:S2250"/>
    <mergeCell ref="S2266:S2267"/>
    <mergeCell ref="S2273:S2276"/>
    <mergeCell ref="S2284:S2285"/>
    <mergeCell ref="S2287:S2288"/>
    <mergeCell ref="S2294:S2296"/>
    <mergeCell ref="S2297:S2300"/>
    <mergeCell ref="S2304:S2307"/>
    <mergeCell ref="S2317:S2318"/>
    <mergeCell ref="S2323:S2324"/>
    <mergeCell ref="S2325:S2326"/>
    <mergeCell ref="S2328:S2329"/>
    <mergeCell ref="S2341:S2342"/>
    <mergeCell ref="S2344:S2346"/>
    <mergeCell ref="S2361:S2362"/>
    <mergeCell ref="S2368:S2369"/>
    <mergeCell ref="S2370:S2371"/>
    <mergeCell ref="S2372:S2373"/>
    <mergeCell ref="S2425:S2427"/>
    <mergeCell ref="S2434:S2435"/>
    <mergeCell ref="S2436:S2438"/>
    <mergeCell ref="S2440:S2442"/>
    <mergeCell ref="S2448:S2451"/>
    <mergeCell ref="S2452:S2453"/>
    <mergeCell ref="S2454:S2455"/>
    <mergeCell ref="S2469:S2470"/>
    <mergeCell ref="S2496:S2497"/>
    <mergeCell ref="S2498:S2499"/>
    <mergeCell ref="S2525:S2526"/>
    <mergeCell ref="S2531:S2532"/>
    <mergeCell ref="S2540:S2541"/>
    <mergeCell ref="S2542:S2543"/>
    <mergeCell ref="S2562:S2564"/>
    <mergeCell ref="S2565:S2567"/>
    <mergeCell ref="S2568:S2570"/>
    <mergeCell ref="S2571:S2572"/>
    <mergeCell ref="S2573:S2575"/>
    <mergeCell ref="S2576:S2579"/>
    <mergeCell ref="S2580:S2582"/>
    <mergeCell ref="S2583:S2584"/>
    <mergeCell ref="T5:T6"/>
    <mergeCell ref="T8:T9"/>
    <mergeCell ref="T10:T11"/>
    <mergeCell ref="T15:T18"/>
    <mergeCell ref="T26:T27"/>
    <mergeCell ref="T37:T38"/>
    <mergeCell ref="T41:T42"/>
    <mergeCell ref="T52:T53"/>
    <mergeCell ref="T61:T62"/>
    <mergeCell ref="T64:T66"/>
    <mergeCell ref="T71:T72"/>
    <mergeCell ref="T75:T77"/>
    <mergeCell ref="T78:T79"/>
    <mergeCell ref="T83:T84"/>
    <mergeCell ref="T91:T93"/>
    <mergeCell ref="T96:T98"/>
    <mergeCell ref="T101:T102"/>
    <mergeCell ref="T103:T106"/>
    <mergeCell ref="T107:T108"/>
    <mergeCell ref="T109:T110"/>
    <mergeCell ref="T112:T114"/>
    <mergeCell ref="T117:T118"/>
    <mergeCell ref="T125:T126"/>
    <mergeCell ref="T141:T142"/>
    <mergeCell ref="T158:T159"/>
    <mergeCell ref="T160:T162"/>
    <mergeCell ref="T165:T166"/>
    <mergeCell ref="T171:T174"/>
    <mergeCell ref="T195:T196"/>
    <mergeCell ref="T201:T202"/>
    <mergeCell ref="T209:T210"/>
    <mergeCell ref="T212:T213"/>
    <mergeCell ref="T214:T216"/>
    <mergeCell ref="T246:T248"/>
    <mergeCell ref="T293:T294"/>
    <mergeCell ref="T296:T297"/>
    <mergeCell ref="T301:T302"/>
    <mergeCell ref="T350:T351"/>
    <mergeCell ref="T376:T377"/>
    <mergeCell ref="T418:T419"/>
    <mergeCell ref="T475:T476"/>
    <mergeCell ref="T514:T516"/>
    <mergeCell ref="T553:T554"/>
    <mergeCell ref="T561:T562"/>
    <mergeCell ref="T577:T578"/>
    <mergeCell ref="T579:T582"/>
    <mergeCell ref="T583:T586"/>
    <mergeCell ref="T588:T589"/>
    <mergeCell ref="T590:T591"/>
    <mergeCell ref="T592:T593"/>
    <mergeCell ref="T649:T650"/>
    <mergeCell ref="T727:T728"/>
    <mergeCell ref="T829:T830"/>
    <mergeCell ref="T998:T1000"/>
    <mergeCell ref="T1002:T1004"/>
    <mergeCell ref="T1008:T1009"/>
    <mergeCell ref="T1016:T1017"/>
    <mergeCell ref="T1022:T1023"/>
    <mergeCell ref="T1036:T1037"/>
    <mergeCell ref="T1052:T1053"/>
    <mergeCell ref="T1072:T1073"/>
    <mergeCell ref="T1091:T1092"/>
    <mergeCell ref="T1104:T1105"/>
    <mergeCell ref="T1156:T1157"/>
    <mergeCell ref="T1171:T1172"/>
    <mergeCell ref="T1182:T1183"/>
    <mergeCell ref="T1206:T1209"/>
    <mergeCell ref="T1220:T1221"/>
    <mergeCell ref="T1264:T1265"/>
    <mergeCell ref="T1285:T1288"/>
    <mergeCell ref="T1289:T1292"/>
    <mergeCell ref="T1293:T1296"/>
    <mergeCell ref="T1297:T1300"/>
    <mergeCell ref="T1314:T1316"/>
    <mergeCell ref="T1334:T1336"/>
    <mergeCell ref="T1419:T1420"/>
    <mergeCell ref="T1664:T1665"/>
    <mergeCell ref="T2015:T2016"/>
    <mergeCell ref="T2023:T2024"/>
    <mergeCell ref="T2094:T2095"/>
    <mergeCell ref="T2108:T2109"/>
    <mergeCell ref="T2148:T2149"/>
    <mergeCell ref="T2152:T2153"/>
    <mergeCell ref="T2154:T2155"/>
    <mergeCell ref="T2160:T2161"/>
    <mergeCell ref="T2192:T2196"/>
    <mergeCell ref="T2249:T2250"/>
    <mergeCell ref="T2266:T2267"/>
    <mergeCell ref="T2273:T2276"/>
    <mergeCell ref="T2282:T2283"/>
    <mergeCell ref="T2284:T2285"/>
    <mergeCell ref="T2287:T2288"/>
    <mergeCell ref="T2294:T2296"/>
    <mergeCell ref="T2297:T2300"/>
    <mergeCell ref="T2304:T2307"/>
    <mergeCell ref="T2317:T2318"/>
    <mergeCell ref="T2323:T2324"/>
    <mergeCell ref="T2325:T2326"/>
    <mergeCell ref="T2328:T2329"/>
    <mergeCell ref="T2341:T2342"/>
    <mergeCell ref="T2344:T2346"/>
    <mergeCell ref="T2361:T2362"/>
    <mergeCell ref="T2368:T2369"/>
    <mergeCell ref="T2370:T2371"/>
    <mergeCell ref="T2372:T2373"/>
    <mergeCell ref="T2374:T2375"/>
    <mergeCell ref="T2425:T2427"/>
    <mergeCell ref="T2434:T2435"/>
    <mergeCell ref="T2436:T2438"/>
    <mergeCell ref="T2440:T2442"/>
    <mergeCell ref="T2448:T2451"/>
    <mergeCell ref="T2452:T2453"/>
    <mergeCell ref="T2454:T2455"/>
    <mergeCell ref="T2496:T2497"/>
    <mergeCell ref="T2498:T2499"/>
    <mergeCell ref="T2525:T2526"/>
    <mergeCell ref="T2531:T2532"/>
    <mergeCell ref="T2540:T2541"/>
    <mergeCell ref="T2542:T2543"/>
    <mergeCell ref="T2562:T2564"/>
    <mergeCell ref="T2565:T2567"/>
    <mergeCell ref="T2568:T2570"/>
    <mergeCell ref="T2571:T2572"/>
    <mergeCell ref="T2573:T2575"/>
    <mergeCell ref="T2576:T2579"/>
    <mergeCell ref="T2580:T2582"/>
    <mergeCell ref="T2583:T2584"/>
    <mergeCell ref="U5:U6"/>
    <mergeCell ref="U8:U9"/>
    <mergeCell ref="U10:U11"/>
    <mergeCell ref="U15:U18"/>
    <mergeCell ref="U26:U27"/>
    <mergeCell ref="U37:U38"/>
    <mergeCell ref="U41:U42"/>
    <mergeCell ref="U52:U53"/>
    <mergeCell ref="U61:U62"/>
    <mergeCell ref="U64:U66"/>
    <mergeCell ref="U71:U72"/>
    <mergeCell ref="U75:U77"/>
    <mergeCell ref="U78:U79"/>
    <mergeCell ref="U83:U84"/>
    <mergeCell ref="U91:U93"/>
    <mergeCell ref="U96:U98"/>
    <mergeCell ref="U107:U108"/>
    <mergeCell ref="U109:U110"/>
    <mergeCell ref="U112:U114"/>
    <mergeCell ref="U117:U118"/>
    <mergeCell ref="U125:U126"/>
    <mergeCell ref="U141:U142"/>
    <mergeCell ref="U158:U159"/>
    <mergeCell ref="U160:U162"/>
    <mergeCell ref="U164:U166"/>
    <mergeCell ref="U171:U174"/>
    <mergeCell ref="U175:U178"/>
    <mergeCell ref="U195:U196"/>
    <mergeCell ref="U201:U202"/>
    <mergeCell ref="U209:U210"/>
    <mergeCell ref="U212:U213"/>
    <mergeCell ref="U214:U216"/>
    <mergeCell ref="U246:U248"/>
    <mergeCell ref="U249:U251"/>
    <mergeCell ref="U254:U256"/>
    <mergeCell ref="U268:U270"/>
    <mergeCell ref="U272:U273"/>
    <mergeCell ref="U277:U278"/>
    <mergeCell ref="U289:U290"/>
    <mergeCell ref="U293:U294"/>
    <mergeCell ref="U296:U297"/>
    <mergeCell ref="U298:U299"/>
    <mergeCell ref="U301:U302"/>
    <mergeCell ref="U350:U351"/>
    <mergeCell ref="U376:U377"/>
    <mergeCell ref="U418:U419"/>
    <mergeCell ref="U427:U430"/>
    <mergeCell ref="U475:U476"/>
    <mergeCell ref="U514:U516"/>
    <mergeCell ref="U553:U554"/>
    <mergeCell ref="U561:U562"/>
    <mergeCell ref="U577:U578"/>
    <mergeCell ref="U579:U582"/>
    <mergeCell ref="U583:U586"/>
    <mergeCell ref="U588:U589"/>
    <mergeCell ref="U590:U591"/>
    <mergeCell ref="U592:U593"/>
    <mergeCell ref="U649:U650"/>
    <mergeCell ref="U727:U728"/>
    <mergeCell ref="U829:U830"/>
    <mergeCell ref="U998:U1000"/>
    <mergeCell ref="U1002:U1004"/>
    <mergeCell ref="U1008:U1009"/>
    <mergeCell ref="U1016:U1017"/>
    <mergeCell ref="U1022:U1023"/>
    <mergeCell ref="U1036:U1037"/>
    <mergeCell ref="U1052:U1053"/>
    <mergeCell ref="U1072:U1073"/>
    <mergeCell ref="U1091:U1092"/>
    <mergeCell ref="U1104:U1105"/>
    <mergeCell ref="U1171:U1172"/>
    <mergeCell ref="U1182:U1183"/>
    <mergeCell ref="U1206:U1209"/>
    <mergeCell ref="U1220:U1221"/>
    <mergeCell ref="U1264:U1265"/>
    <mergeCell ref="U1285:U1288"/>
    <mergeCell ref="U1289:U1292"/>
    <mergeCell ref="U1293:U1296"/>
    <mergeCell ref="U1297:U1300"/>
    <mergeCell ref="U1314:U1316"/>
    <mergeCell ref="U1334:U1336"/>
    <mergeCell ref="U1419:U1420"/>
    <mergeCell ref="U1664:U1665"/>
    <mergeCell ref="U2015:U2016"/>
    <mergeCell ref="U2023:U2024"/>
    <mergeCell ref="U2094:U2095"/>
    <mergeCell ref="U2108:U2109"/>
    <mergeCell ref="U2148:U2149"/>
    <mergeCell ref="U2152:U2153"/>
    <mergeCell ref="U2154:U2155"/>
    <mergeCell ref="U2160:U2161"/>
    <mergeCell ref="U2192:U2196"/>
    <mergeCell ref="U2249:U2250"/>
    <mergeCell ref="U2266:U2267"/>
    <mergeCell ref="U2273:U2276"/>
    <mergeCell ref="U2282:U2283"/>
    <mergeCell ref="U2284:U2285"/>
    <mergeCell ref="U2287:U2288"/>
    <mergeCell ref="U2294:U2296"/>
    <mergeCell ref="U2297:U2300"/>
    <mergeCell ref="U2304:U2307"/>
    <mergeCell ref="U2317:U2318"/>
    <mergeCell ref="U2323:U2324"/>
    <mergeCell ref="U2325:U2326"/>
    <mergeCell ref="U2328:U2329"/>
    <mergeCell ref="U2341:U2342"/>
    <mergeCell ref="U2344:U2346"/>
    <mergeCell ref="U2361:U2362"/>
    <mergeCell ref="U2368:U2369"/>
    <mergeCell ref="U2370:U2371"/>
    <mergeCell ref="U2372:U2373"/>
    <mergeCell ref="U2425:U2427"/>
    <mergeCell ref="U2434:U2435"/>
    <mergeCell ref="U2436:U2438"/>
    <mergeCell ref="U2440:U2442"/>
    <mergeCell ref="U2448:U2451"/>
    <mergeCell ref="U2452:U2453"/>
    <mergeCell ref="U2454:U2455"/>
    <mergeCell ref="U2469:U2470"/>
    <mergeCell ref="U2496:U2497"/>
    <mergeCell ref="U2498:U2499"/>
    <mergeCell ref="U2525:U2526"/>
    <mergeCell ref="U2531:U2532"/>
    <mergeCell ref="U2540:U2541"/>
    <mergeCell ref="U2542:U2543"/>
    <mergeCell ref="U2562:U2564"/>
    <mergeCell ref="U2565:U2567"/>
    <mergeCell ref="U2568:U2570"/>
    <mergeCell ref="U2571:U2572"/>
    <mergeCell ref="U2573:U2575"/>
    <mergeCell ref="U2576:U2579"/>
    <mergeCell ref="U2580:U2582"/>
    <mergeCell ref="U2583:U2584"/>
    <mergeCell ref="V5:V6"/>
    <mergeCell ref="V26:V27"/>
    <mergeCell ref="V41:V42"/>
    <mergeCell ref="V52:V53"/>
    <mergeCell ref="V54:V56"/>
    <mergeCell ref="V57:V58"/>
    <mergeCell ref="V64:V66"/>
    <mergeCell ref="V75:V76"/>
    <mergeCell ref="V97:V99"/>
    <mergeCell ref="V101:V102"/>
    <mergeCell ref="V103:V106"/>
    <mergeCell ref="V107:V110"/>
    <mergeCell ref="V112:V114"/>
    <mergeCell ref="V150:V152"/>
    <mergeCell ref="V158:V159"/>
    <mergeCell ref="V160:V162"/>
    <mergeCell ref="V165:V166"/>
    <mergeCell ref="V171:V174"/>
    <mergeCell ref="V195:V196"/>
    <mergeCell ref="V209:V210"/>
    <mergeCell ref="V212:V213"/>
    <mergeCell ref="V215:V216"/>
    <mergeCell ref="V217:V219"/>
    <mergeCell ref="V228:V230"/>
    <mergeCell ref="V246:V248"/>
    <mergeCell ref="V254:V255"/>
    <mergeCell ref="V293:V294"/>
    <mergeCell ref="V296:V297"/>
    <mergeCell ref="V350:V351"/>
    <mergeCell ref="V418:V419"/>
    <mergeCell ref="V577:V578"/>
    <mergeCell ref="V579:V582"/>
    <mergeCell ref="V583:V586"/>
    <mergeCell ref="V588:V589"/>
    <mergeCell ref="V590:V591"/>
    <mergeCell ref="V592:V593"/>
    <mergeCell ref="V649:V650"/>
    <mergeCell ref="V998:V1000"/>
    <mergeCell ref="V1002:V1004"/>
    <mergeCell ref="V1006:V1007"/>
    <mergeCell ref="V1013:V1014"/>
    <mergeCell ref="V1022:V1023"/>
    <mergeCell ref="V1027:V1028"/>
    <mergeCell ref="V1052:V1053"/>
    <mergeCell ref="V1065:V1066"/>
    <mergeCell ref="V1072:V1073"/>
    <mergeCell ref="V1076:V1077"/>
    <mergeCell ref="V1089:V1091"/>
    <mergeCell ref="V1104:V1105"/>
    <mergeCell ref="V1156:V1157"/>
    <mergeCell ref="V1171:V1172"/>
    <mergeCell ref="V1220:V1221"/>
    <mergeCell ref="V1311:V1313"/>
    <mergeCell ref="V1314:V1315"/>
    <mergeCell ref="V1360:V1361"/>
    <mergeCell ref="V1419:V1420"/>
    <mergeCell ref="V1547:V1556"/>
    <mergeCell ref="V1557:V1564"/>
    <mergeCell ref="V1565:V1567"/>
    <mergeCell ref="V1568:V1570"/>
    <mergeCell ref="V1827:V1828"/>
    <mergeCell ref="V2148:V2149"/>
    <mergeCell ref="V2193:V2194"/>
    <mergeCell ref="V2195:V2196"/>
    <mergeCell ref="V2254:V2257"/>
    <mergeCell ref="V2269:V2270"/>
    <mergeCell ref="V2280:V2281"/>
    <mergeCell ref="V2294:V2296"/>
    <mergeCell ref="V2297:V2300"/>
    <mergeCell ref="V2304:V2307"/>
    <mergeCell ref="V2346:V2347"/>
    <mergeCell ref="V2356:V2357"/>
    <mergeCell ref="V2359:V2360"/>
    <mergeCell ref="V2372:V2373"/>
    <mergeCell ref="V2441:V2442"/>
    <mergeCell ref="V2462:V2464"/>
    <mergeCell ref="V2469:V2470"/>
    <mergeCell ref="V2475:V2476"/>
    <mergeCell ref="V2480:V2481"/>
    <mergeCell ref="V2494:V2499"/>
    <mergeCell ref="V2502:V2504"/>
    <mergeCell ref="V2511:V2512"/>
    <mergeCell ref="V2542:V2543"/>
    <mergeCell ref="V2562:V2564"/>
    <mergeCell ref="V2565:V2567"/>
    <mergeCell ref="V2568:V2570"/>
    <mergeCell ref="V2571:V2572"/>
    <mergeCell ref="V2573:V2575"/>
    <mergeCell ref="V2576:V2579"/>
    <mergeCell ref="V2580:V2582"/>
    <mergeCell ref="V2583:V2584"/>
    <mergeCell ref="W5:W6"/>
    <mergeCell ref="W26:W27"/>
    <mergeCell ref="W41:W42"/>
    <mergeCell ref="W52:W53"/>
    <mergeCell ref="W54:W56"/>
    <mergeCell ref="W57:W58"/>
    <mergeCell ref="W64:W66"/>
    <mergeCell ref="W75:W76"/>
    <mergeCell ref="W81:W82"/>
    <mergeCell ref="W97:W99"/>
    <mergeCell ref="W101:W102"/>
    <mergeCell ref="W103:W106"/>
    <mergeCell ref="W107:W110"/>
    <mergeCell ref="W112:W114"/>
    <mergeCell ref="W150:W152"/>
    <mergeCell ref="W158:W159"/>
    <mergeCell ref="W160:W162"/>
    <mergeCell ref="W164:W166"/>
    <mergeCell ref="W171:W174"/>
    <mergeCell ref="W175:W178"/>
    <mergeCell ref="W195:W196"/>
    <mergeCell ref="W209:W210"/>
    <mergeCell ref="W212:W213"/>
    <mergeCell ref="W215:W216"/>
    <mergeCell ref="W217:W219"/>
    <mergeCell ref="W228:W230"/>
    <mergeCell ref="W246:W248"/>
    <mergeCell ref="W254:W255"/>
    <mergeCell ref="W289:W290"/>
    <mergeCell ref="W293:W294"/>
    <mergeCell ref="W296:W297"/>
    <mergeCell ref="W350:W351"/>
    <mergeCell ref="W418:W419"/>
    <mergeCell ref="W427:W430"/>
    <mergeCell ref="W577:W578"/>
    <mergeCell ref="W579:W582"/>
    <mergeCell ref="W583:W586"/>
    <mergeCell ref="W588:W589"/>
    <mergeCell ref="W590:W591"/>
    <mergeCell ref="W592:W593"/>
    <mergeCell ref="W649:W650"/>
    <mergeCell ref="W998:W1000"/>
    <mergeCell ref="W1002:W1004"/>
    <mergeCell ref="W1006:W1007"/>
    <mergeCell ref="W1013:W1014"/>
    <mergeCell ref="W1022:W1023"/>
    <mergeCell ref="W1027:W1028"/>
    <mergeCell ref="W1052:W1053"/>
    <mergeCell ref="W1065:W1066"/>
    <mergeCell ref="W1072:W1073"/>
    <mergeCell ref="W1076:W1077"/>
    <mergeCell ref="W1089:W1091"/>
    <mergeCell ref="W1092:W1095"/>
    <mergeCell ref="W1104:W1105"/>
    <mergeCell ref="W1171:W1172"/>
    <mergeCell ref="W1220:W1221"/>
    <mergeCell ref="W1311:W1313"/>
    <mergeCell ref="W1314:W1315"/>
    <mergeCell ref="W1360:W1361"/>
    <mergeCell ref="W1419:W1420"/>
    <mergeCell ref="W1547:W1556"/>
    <mergeCell ref="W1557:W1564"/>
    <mergeCell ref="W1565:W1567"/>
    <mergeCell ref="W1568:W1570"/>
    <mergeCell ref="W1827:W1828"/>
    <mergeCell ref="W2148:W2149"/>
    <mergeCell ref="W2193:W2194"/>
    <mergeCell ref="W2254:W2257"/>
    <mergeCell ref="W2269:W2271"/>
    <mergeCell ref="W2280:W2281"/>
    <mergeCell ref="W2294:W2296"/>
    <mergeCell ref="W2297:W2300"/>
    <mergeCell ref="W2304:W2307"/>
    <mergeCell ref="W2346:W2347"/>
    <mergeCell ref="W2356:W2357"/>
    <mergeCell ref="W2359:W2360"/>
    <mergeCell ref="W2372:W2373"/>
    <mergeCell ref="W2441:W2442"/>
    <mergeCell ref="W2462:W2464"/>
    <mergeCell ref="W2469:W2470"/>
    <mergeCell ref="W2475:W2476"/>
    <mergeCell ref="W2480:W2481"/>
    <mergeCell ref="W2494:W2499"/>
    <mergeCell ref="W2502:W2504"/>
    <mergeCell ref="W2511:W2512"/>
    <mergeCell ref="W2542:W2543"/>
    <mergeCell ref="W2562:W2564"/>
    <mergeCell ref="W2565:W2567"/>
    <mergeCell ref="W2568:W2570"/>
    <mergeCell ref="W2571:W2572"/>
    <mergeCell ref="W2573:W2575"/>
    <mergeCell ref="W2576:W2579"/>
    <mergeCell ref="W2580:W2582"/>
    <mergeCell ref="W2583:W2584"/>
    <mergeCell ref="X54:X56"/>
    <mergeCell ref="X57:X58"/>
    <mergeCell ref="X65:X66"/>
    <mergeCell ref="X101:X102"/>
    <mergeCell ref="X103:X106"/>
    <mergeCell ref="X107:X110"/>
    <mergeCell ref="X112:X114"/>
    <mergeCell ref="X150:X152"/>
    <mergeCell ref="X160:X162"/>
    <mergeCell ref="X171:X174"/>
    <mergeCell ref="X217:X219"/>
    <mergeCell ref="X246:X248"/>
    <mergeCell ref="X254:X255"/>
    <mergeCell ref="X418:X419"/>
    <mergeCell ref="X427:X430"/>
    <mergeCell ref="X577:X578"/>
    <mergeCell ref="X579:X581"/>
    <mergeCell ref="X583:X586"/>
    <mergeCell ref="X588:X589"/>
    <mergeCell ref="X592:X593"/>
    <mergeCell ref="X998:X1000"/>
    <mergeCell ref="X1002:X1004"/>
    <mergeCell ref="X1006:X1007"/>
    <mergeCell ref="X1013:X1014"/>
    <mergeCell ref="X1027:X1028"/>
    <mergeCell ref="X1052:X1053"/>
    <mergeCell ref="X1065:X1066"/>
    <mergeCell ref="X1089:X1091"/>
    <mergeCell ref="X1092:X1095"/>
    <mergeCell ref="X1104:X1105"/>
    <mergeCell ref="X1156:X1157"/>
    <mergeCell ref="X1284:X1285"/>
    <mergeCell ref="X1311:X1312"/>
    <mergeCell ref="X1547:X1556"/>
    <mergeCell ref="X1557:X1564"/>
    <mergeCell ref="X1565:X1567"/>
    <mergeCell ref="X1568:X1570"/>
    <mergeCell ref="X1827:X1828"/>
    <mergeCell ref="X2254:X2257"/>
    <mergeCell ref="X2269:X2270"/>
    <mergeCell ref="X2280:X2281"/>
    <mergeCell ref="X2292:X2294"/>
    <mergeCell ref="X2304:X2307"/>
    <mergeCell ref="X2311:X2312"/>
    <mergeCell ref="X2346:X2347"/>
    <mergeCell ref="X2356:X2357"/>
    <mergeCell ref="X2359:X2360"/>
    <mergeCell ref="X2462:X2464"/>
    <mergeCell ref="X2469:X2470"/>
    <mergeCell ref="X2475:X2476"/>
    <mergeCell ref="X2480:X2481"/>
    <mergeCell ref="X2495:X2498"/>
    <mergeCell ref="X2502:X2504"/>
    <mergeCell ref="X2511:X2512"/>
    <mergeCell ref="X2542:X2543"/>
    <mergeCell ref="X2562:X2564"/>
    <mergeCell ref="X2565:X2567"/>
    <mergeCell ref="X2568:X2570"/>
    <mergeCell ref="X2571:X2572"/>
    <mergeCell ref="X2573:X2575"/>
    <mergeCell ref="X2576:X2577"/>
    <mergeCell ref="X2578:X2579"/>
    <mergeCell ref="X2580:X2582"/>
    <mergeCell ref="X2583:X2584"/>
    <mergeCell ref="Y54:Y56"/>
    <mergeCell ref="Y57:Y58"/>
    <mergeCell ref="Y65:Y67"/>
    <mergeCell ref="Y101:Y102"/>
    <mergeCell ref="Y103:Y106"/>
    <mergeCell ref="Y107:Y110"/>
    <mergeCell ref="Y112:Y113"/>
    <mergeCell ref="Y150:Y152"/>
    <mergeCell ref="Y160:Y162"/>
    <mergeCell ref="Y164:Y165"/>
    <mergeCell ref="Y171:Y174"/>
    <mergeCell ref="Y217:Y219"/>
    <mergeCell ref="Y246:Y248"/>
    <mergeCell ref="Y254:Y255"/>
    <mergeCell ref="Y289:Y290"/>
    <mergeCell ref="Y293:Y294"/>
    <mergeCell ref="Y418:Y419"/>
    <mergeCell ref="Y427:Y430"/>
    <mergeCell ref="Y577:Y578"/>
    <mergeCell ref="Y579:Y581"/>
    <mergeCell ref="Y583:Y586"/>
    <mergeCell ref="Y588:Y589"/>
    <mergeCell ref="Y592:Y593"/>
    <mergeCell ref="Y991:Y992"/>
    <mergeCell ref="Y998:Y1000"/>
    <mergeCell ref="Y1002:Y1004"/>
    <mergeCell ref="Y1006:Y1007"/>
    <mergeCell ref="Y1013:Y1014"/>
    <mergeCell ref="Y1027:Y1028"/>
    <mergeCell ref="Y1052:Y1053"/>
    <mergeCell ref="Y1065:Y1066"/>
    <mergeCell ref="Y1089:Y1091"/>
    <mergeCell ref="Y1092:Y1095"/>
    <mergeCell ref="Y1104:Y1105"/>
    <mergeCell ref="Y1284:Y1285"/>
    <mergeCell ref="Y1311:Y1312"/>
    <mergeCell ref="Y1547:Y1556"/>
    <mergeCell ref="Y1557:Y1564"/>
    <mergeCell ref="Y1565:Y1567"/>
    <mergeCell ref="Y1568:Y1570"/>
    <mergeCell ref="Y1827:Y1828"/>
    <mergeCell ref="Y2254:Y2257"/>
    <mergeCell ref="Y2269:Y2270"/>
    <mergeCell ref="Y2280:Y2281"/>
    <mergeCell ref="Y2292:Y2294"/>
    <mergeCell ref="Y2304:Y2307"/>
    <mergeCell ref="Y2311:Y2312"/>
    <mergeCell ref="Y2346:Y2347"/>
    <mergeCell ref="Y2356:Y2357"/>
    <mergeCell ref="Y2359:Y2360"/>
    <mergeCell ref="Y2462:Y2464"/>
    <mergeCell ref="Y2469:Y2470"/>
    <mergeCell ref="Y2475:Y2476"/>
    <mergeCell ref="Y2480:Y2481"/>
    <mergeCell ref="Y2495:Y2498"/>
    <mergeCell ref="Y2502:Y2504"/>
    <mergeCell ref="Y2511:Y2512"/>
    <mergeCell ref="Y2542:Y2543"/>
    <mergeCell ref="Y2562:Y2564"/>
    <mergeCell ref="Y2565:Y2567"/>
    <mergeCell ref="Y2568:Y2570"/>
    <mergeCell ref="Y2571:Y2572"/>
    <mergeCell ref="Y2573:Y2575"/>
    <mergeCell ref="Y2576:Y2577"/>
    <mergeCell ref="Y2578:Y2579"/>
    <mergeCell ref="Y2580:Y2582"/>
    <mergeCell ref="Y2583:Y2584"/>
    <mergeCell ref="Z57:Z58"/>
    <mergeCell ref="Z71:Z72"/>
    <mergeCell ref="Z112:Z113"/>
    <mergeCell ref="Z117:Z118"/>
    <mergeCell ref="Z171:Z174"/>
    <mergeCell ref="Z214:Z216"/>
    <mergeCell ref="Z217:Z219"/>
    <mergeCell ref="Z246:Z248"/>
    <mergeCell ref="Z254:Z255"/>
    <mergeCell ref="Z293:Z294"/>
    <mergeCell ref="Z418:Z419"/>
    <mergeCell ref="Z427:Z430"/>
    <mergeCell ref="Z553:Z554"/>
    <mergeCell ref="Z577:Z578"/>
    <mergeCell ref="Z579:Z582"/>
    <mergeCell ref="Z583:Z586"/>
    <mergeCell ref="Z588:Z589"/>
    <mergeCell ref="Z592:Z593"/>
    <mergeCell ref="Z608:Z609"/>
    <mergeCell ref="Z727:Z728"/>
    <mergeCell ref="Z998:Z1000"/>
    <mergeCell ref="Z1002:Z1004"/>
    <mergeCell ref="Z1006:Z1007"/>
    <mergeCell ref="Z1010:Z1011"/>
    <mergeCell ref="Z1013:Z1014"/>
    <mergeCell ref="Z1104:Z1105"/>
    <mergeCell ref="Z1284:Z1285"/>
    <mergeCell ref="Z1286:Z1287"/>
    <mergeCell ref="Z2254:Z2257"/>
    <mergeCell ref="Z2311:Z2312"/>
    <mergeCell ref="Z2475:Z2476"/>
    <mergeCell ref="Z2562:Z2564"/>
    <mergeCell ref="Z2565:Z2567"/>
    <mergeCell ref="Z2568:Z2570"/>
    <mergeCell ref="Z2571:Z2572"/>
    <mergeCell ref="Z2573:Z2575"/>
    <mergeCell ref="Z2576:Z2579"/>
    <mergeCell ref="Z2580:Z2582"/>
    <mergeCell ref="Z2583:Z2584"/>
    <mergeCell ref="AA46:AA49"/>
    <mergeCell ref="AA50:AA56"/>
    <mergeCell ref="AA57:AA58"/>
    <mergeCell ref="AA59:AA60"/>
    <mergeCell ref="AA112:AA113"/>
    <mergeCell ref="AA140:AA142"/>
    <mergeCell ref="AA170:AA175"/>
    <mergeCell ref="AA209:AA210"/>
    <mergeCell ref="AA212:AA213"/>
    <mergeCell ref="AA214:AA216"/>
    <mergeCell ref="AA217:AA219"/>
    <mergeCell ref="AA234:AA235"/>
    <mergeCell ref="AA246:AA248"/>
    <mergeCell ref="AA289:AA292"/>
    <mergeCell ref="AA293:AA294"/>
    <mergeCell ref="AA418:AA419"/>
    <mergeCell ref="AA427:AA430"/>
    <mergeCell ref="AA577:AA582"/>
    <mergeCell ref="AA583:AA587"/>
    <mergeCell ref="AA588:AA591"/>
    <mergeCell ref="AA621:AA622"/>
    <mergeCell ref="AA998:AA1001"/>
    <mergeCell ref="AA1002:AA1005"/>
    <mergeCell ref="AA1006:AA1009"/>
    <mergeCell ref="AA1010:AA1012"/>
    <mergeCell ref="AA1013:AA1015"/>
    <mergeCell ref="AA1016:AA1019"/>
    <mergeCell ref="AA1075:AA1077"/>
    <mergeCell ref="AA1104:AA1105"/>
    <mergeCell ref="AA1264:AA1265"/>
    <mergeCell ref="AA1285:AA1286"/>
    <mergeCell ref="AA1289:AA1290"/>
    <mergeCell ref="AA1293:AA1294"/>
    <mergeCell ref="AA1311:AA1314"/>
    <mergeCell ref="AA1419:AA1420"/>
    <mergeCell ref="AA1449:AA1450"/>
    <mergeCell ref="AA1512:AA1514"/>
    <mergeCell ref="AA2265:AA2268"/>
    <mergeCell ref="AA2287:AA2288"/>
    <mergeCell ref="AA2368:AA2370"/>
    <mergeCell ref="AA2371:AA2373"/>
    <mergeCell ref="AA2562:AA2564"/>
    <mergeCell ref="AA2565:AA2567"/>
    <mergeCell ref="AA2568:AA2570"/>
    <mergeCell ref="AA2571:AA2572"/>
    <mergeCell ref="AA2573:AA2575"/>
    <mergeCell ref="AA2576:AA2579"/>
    <mergeCell ref="AA2580:AA2582"/>
    <mergeCell ref="AA2583:AA2584"/>
    <mergeCell ref="AB171:AB174"/>
    <mergeCell ref="AB242:AB245"/>
    <mergeCell ref="AB293:AB294"/>
    <mergeCell ref="AB577:AB582"/>
    <mergeCell ref="AB583:AB586"/>
    <mergeCell ref="AB588:AB589"/>
    <mergeCell ref="AB590:AB591"/>
    <mergeCell ref="AB998:AB1000"/>
    <mergeCell ref="AB1002:AB1004"/>
    <mergeCell ref="AB1006:AB1007"/>
    <mergeCell ref="AB1010:AB1011"/>
    <mergeCell ref="AB1013:AB1014"/>
    <mergeCell ref="AB1171:AB1178"/>
    <mergeCell ref="AB2154:AB2155"/>
    <mergeCell ref="AB2160:AB2161"/>
    <mergeCell ref="AB2162:AB2187"/>
    <mergeCell ref="AB2562:AB2564"/>
    <mergeCell ref="AB2565:AB2567"/>
    <mergeCell ref="AB2568:AB2570"/>
    <mergeCell ref="AB2571:AB2572"/>
    <mergeCell ref="AB2573:AB2575"/>
    <mergeCell ref="AB2576:AB2579"/>
    <mergeCell ref="AB2580:AB2582"/>
    <mergeCell ref="AB2583:AB2584"/>
    <mergeCell ref="AC171:AC174"/>
    <mergeCell ref="AC293:AC294"/>
    <mergeCell ref="AC418:AC419"/>
    <mergeCell ref="AC427:AC430"/>
    <mergeCell ref="AC577:AC582"/>
    <mergeCell ref="AC583:AC586"/>
    <mergeCell ref="AC588:AC589"/>
    <mergeCell ref="AC590:AC591"/>
    <mergeCell ref="AC998:AC1000"/>
    <mergeCell ref="AC1002:AC1004"/>
    <mergeCell ref="AC1006:AC1007"/>
    <mergeCell ref="AC1010:AC1011"/>
    <mergeCell ref="AC1013:AC1014"/>
    <mergeCell ref="AC1171:AC1178"/>
    <mergeCell ref="AC2562:AC2564"/>
    <mergeCell ref="AC2565:AC2567"/>
    <mergeCell ref="AC2568:AC2570"/>
    <mergeCell ref="AC2571:AC2572"/>
    <mergeCell ref="AC2573:AC2575"/>
    <mergeCell ref="AC2576:AC2579"/>
    <mergeCell ref="AC2580:AC2582"/>
    <mergeCell ref="AC2583:AC2584"/>
    <mergeCell ref="AD5:AD14"/>
    <mergeCell ref="AD15:AD22"/>
    <mergeCell ref="AD31:AD35"/>
    <mergeCell ref="AD36:AD40"/>
    <mergeCell ref="AD41:AD45"/>
    <mergeCell ref="AD46:AD49"/>
    <mergeCell ref="AD50:AD56"/>
    <mergeCell ref="AD57:AD60"/>
    <mergeCell ref="AD64:AD67"/>
    <mergeCell ref="AD69:AD73"/>
    <mergeCell ref="AD74:AD85"/>
    <mergeCell ref="AD86:AD90"/>
    <mergeCell ref="AD94:AD95"/>
    <mergeCell ref="AD96:AD98"/>
    <mergeCell ref="AD100:AD102"/>
    <mergeCell ref="AD103:AD106"/>
    <mergeCell ref="AD107:AD111"/>
    <mergeCell ref="AD112:AD114"/>
    <mergeCell ref="AD116:AD120"/>
    <mergeCell ref="AD121:AD123"/>
    <mergeCell ref="AD140:AD143"/>
    <mergeCell ref="AD150:AD152"/>
    <mergeCell ref="AD153:AD155"/>
    <mergeCell ref="AD156:AD157"/>
    <mergeCell ref="AD160:AD163"/>
    <mergeCell ref="AD164:AD167"/>
    <mergeCell ref="AD170:AD175"/>
    <mergeCell ref="AD176:AD178"/>
    <mergeCell ref="AD179:AD183"/>
    <mergeCell ref="AD184:AD188"/>
    <mergeCell ref="AD189:AD193"/>
    <mergeCell ref="AD194:AD203"/>
    <mergeCell ref="AD204:AD208"/>
    <mergeCell ref="AD209:AD218"/>
    <mergeCell ref="AD220:AD224"/>
    <mergeCell ref="AD225:AD231"/>
    <mergeCell ref="AD233:AD237"/>
    <mergeCell ref="AD242:AD245"/>
    <mergeCell ref="AD293:AD300"/>
    <mergeCell ref="AD413:AD417"/>
    <mergeCell ref="AD418:AD419"/>
    <mergeCell ref="AD420:AD423"/>
    <mergeCell ref="AD424:AD426"/>
    <mergeCell ref="AD427:AD430"/>
    <mergeCell ref="AD431:AD435"/>
    <mergeCell ref="AD489:AD500"/>
    <mergeCell ref="AD553:AD560"/>
    <mergeCell ref="AD561:AD568"/>
    <mergeCell ref="AD577:AD582"/>
    <mergeCell ref="AD583:AD586"/>
    <mergeCell ref="AD588:AD589"/>
    <mergeCell ref="AD590:AD591"/>
    <mergeCell ref="AD592:AD599"/>
    <mergeCell ref="AD600:AD607"/>
    <mergeCell ref="AD608:AD613"/>
    <mergeCell ref="AD615:AD622"/>
    <mergeCell ref="AD623:AD629"/>
    <mergeCell ref="AD630:AD640"/>
    <mergeCell ref="AD663:AD664"/>
    <mergeCell ref="AD998:AD1001"/>
    <mergeCell ref="AD1002:AD1005"/>
    <mergeCell ref="AD1006:AD1009"/>
    <mergeCell ref="AD1010:AD1012"/>
    <mergeCell ref="AD1013:AD1015"/>
    <mergeCell ref="AD1035:AD1042"/>
    <mergeCell ref="AD1171:AD1178"/>
    <mergeCell ref="AD1197:AD1201"/>
    <mergeCell ref="AD1229:AD1232"/>
    <mergeCell ref="AD1237:AD1240"/>
    <mergeCell ref="AD2254:AD2258"/>
    <mergeCell ref="AD2562:AD2564"/>
    <mergeCell ref="AD2565:AD2567"/>
    <mergeCell ref="AD2568:AD2570"/>
    <mergeCell ref="AD2571:AD2572"/>
    <mergeCell ref="AD2573:AD2575"/>
    <mergeCell ref="AD2576:AD2579"/>
    <mergeCell ref="AD2580:AD2582"/>
    <mergeCell ref="AD2583:AD2584"/>
    <mergeCell ref="AE5:AE14"/>
    <mergeCell ref="AE15:AE22"/>
    <mergeCell ref="AE31:AE35"/>
    <mergeCell ref="AE36:AE40"/>
    <mergeCell ref="AE41:AE45"/>
    <mergeCell ref="AE46:AE49"/>
    <mergeCell ref="AE50:AE56"/>
    <mergeCell ref="AE57:AE60"/>
    <mergeCell ref="AE64:AE67"/>
    <mergeCell ref="AE69:AE73"/>
    <mergeCell ref="AE74:AE85"/>
    <mergeCell ref="AE86:AE90"/>
    <mergeCell ref="AE94:AE95"/>
    <mergeCell ref="AE96:AE98"/>
    <mergeCell ref="AE100:AE102"/>
    <mergeCell ref="AE103:AE106"/>
    <mergeCell ref="AE107:AE111"/>
    <mergeCell ref="AE112:AE114"/>
    <mergeCell ref="AE116:AE120"/>
    <mergeCell ref="AE121:AE123"/>
    <mergeCell ref="AE140:AE143"/>
    <mergeCell ref="AE150:AE152"/>
    <mergeCell ref="AE153:AE155"/>
    <mergeCell ref="AE156:AE157"/>
    <mergeCell ref="AE160:AE163"/>
    <mergeCell ref="AE164:AE167"/>
    <mergeCell ref="AE170:AE175"/>
    <mergeCell ref="AE176:AE178"/>
    <mergeCell ref="AE179:AE183"/>
    <mergeCell ref="AE184:AE188"/>
    <mergeCell ref="AE189:AE193"/>
    <mergeCell ref="AE194:AE203"/>
    <mergeCell ref="AE204:AE208"/>
    <mergeCell ref="AE209:AE218"/>
    <mergeCell ref="AE220:AE224"/>
    <mergeCell ref="AE225:AE231"/>
    <mergeCell ref="AE233:AE237"/>
    <mergeCell ref="AE242:AE245"/>
    <mergeCell ref="AE293:AE300"/>
    <mergeCell ref="AE413:AE417"/>
    <mergeCell ref="AE418:AE419"/>
    <mergeCell ref="AE420:AE423"/>
    <mergeCell ref="AE424:AE426"/>
    <mergeCell ref="AE427:AE430"/>
    <mergeCell ref="AE431:AE435"/>
    <mergeCell ref="AE489:AE500"/>
    <mergeCell ref="AE577:AE582"/>
    <mergeCell ref="AE583:AE586"/>
    <mergeCell ref="AE588:AE589"/>
    <mergeCell ref="AE590:AE591"/>
    <mergeCell ref="AE615:AE622"/>
    <mergeCell ref="AE623:AE629"/>
    <mergeCell ref="AE630:AE640"/>
    <mergeCell ref="AE663:AE664"/>
    <mergeCell ref="AE998:AE1001"/>
    <mergeCell ref="AE1002:AE1005"/>
    <mergeCell ref="AE1006:AE1009"/>
    <mergeCell ref="AE1010:AE1012"/>
    <mergeCell ref="AE1013:AE1015"/>
    <mergeCell ref="AE1035:AE1042"/>
    <mergeCell ref="AE1171:AE1178"/>
    <mergeCell ref="AE1197:AE1201"/>
    <mergeCell ref="AE1229:AE1232"/>
    <mergeCell ref="AE1237:AE1240"/>
    <mergeCell ref="AE2254:AE2258"/>
    <mergeCell ref="AE2562:AE2564"/>
    <mergeCell ref="AE2565:AE2567"/>
    <mergeCell ref="AE2568:AE2570"/>
    <mergeCell ref="AE2571:AE2572"/>
    <mergeCell ref="AE2573:AE2575"/>
    <mergeCell ref="AE2576:AE2579"/>
    <mergeCell ref="AE2580:AE2582"/>
    <mergeCell ref="AE2583:AE2584"/>
    <mergeCell ref="AF5:AF14"/>
    <mergeCell ref="AF15:AF22"/>
    <mergeCell ref="AF31:AF35"/>
    <mergeCell ref="AF36:AF40"/>
    <mergeCell ref="AF41:AF45"/>
    <mergeCell ref="AF46:AF49"/>
    <mergeCell ref="AF50:AF56"/>
    <mergeCell ref="AF57:AF60"/>
    <mergeCell ref="AF64:AF67"/>
    <mergeCell ref="AF69:AF73"/>
    <mergeCell ref="AF74:AF85"/>
    <mergeCell ref="AF86:AF90"/>
    <mergeCell ref="AF94:AF95"/>
    <mergeCell ref="AF96:AF98"/>
    <mergeCell ref="AF100:AF102"/>
    <mergeCell ref="AF103:AF106"/>
    <mergeCell ref="AF107:AF111"/>
    <mergeCell ref="AF112:AF114"/>
    <mergeCell ref="AF116:AF120"/>
    <mergeCell ref="AF121:AF123"/>
    <mergeCell ref="AF140:AF143"/>
    <mergeCell ref="AF150:AF152"/>
    <mergeCell ref="AF153:AF155"/>
    <mergeCell ref="AF156:AF157"/>
    <mergeCell ref="AF160:AF163"/>
    <mergeCell ref="AF164:AF167"/>
    <mergeCell ref="AF170:AF175"/>
    <mergeCell ref="AF176:AF178"/>
    <mergeCell ref="AF179:AF183"/>
    <mergeCell ref="AF184:AF188"/>
    <mergeCell ref="AF189:AF193"/>
    <mergeCell ref="AF194:AF203"/>
    <mergeCell ref="AF204:AF208"/>
    <mergeCell ref="AF209:AF218"/>
    <mergeCell ref="AF220:AF224"/>
    <mergeCell ref="AF225:AF231"/>
    <mergeCell ref="AF233:AF237"/>
    <mergeCell ref="AF242:AF245"/>
    <mergeCell ref="AF293:AF300"/>
    <mergeCell ref="AF413:AF417"/>
    <mergeCell ref="AF418:AF419"/>
    <mergeCell ref="AF420:AF423"/>
    <mergeCell ref="AF424:AF426"/>
    <mergeCell ref="AF427:AF430"/>
    <mergeCell ref="AF431:AF435"/>
    <mergeCell ref="AF489:AF500"/>
    <mergeCell ref="AF577:AF582"/>
    <mergeCell ref="AF583:AF586"/>
    <mergeCell ref="AF588:AF589"/>
    <mergeCell ref="AF590:AF591"/>
    <mergeCell ref="AF615:AF622"/>
    <mergeCell ref="AF623:AF629"/>
    <mergeCell ref="AF630:AF640"/>
    <mergeCell ref="AF663:AF664"/>
    <mergeCell ref="AF998:AF1001"/>
    <mergeCell ref="AF1002:AF1005"/>
    <mergeCell ref="AF1006:AF1009"/>
    <mergeCell ref="AF1010:AF1012"/>
    <mergeCell ref="AF1013:AF1015"/>
    <mergeCell ref="AF1035:AF1042"/>
    <mergeCell ref="AF1171:AF1178"/>
    <mergeCell ref="AF1197:AF1201"/>
    <mergeCell ref="AF1229:AF1232"/>
    <mergeCell ref="AF1237:AF1240"/>
    <mergeCell ref="AF2254:AF2258"/>
    <mergeCell ref="AF2562:AF2564"/>
    <mergeCell ref="AF2565:AF2567"/>
    <mergeCell ref="AF2568:AF2570"/>
    <mergeCell ref="AF2571:AF2572"/>
    <mergeCell ref="AF2573:AF2575"/>
    <mergeCell ref="AF2576:AF2579"/>
    <mergeCell ref="AF2580:AF2582"/>
    <mergeCell ref="AF2583:AF2584"/>
    <mergeCell ref="AG5:AG14"/>
    <mergeCell ref="AG15:AG22"/>
    <mergeCell ref="AG31:AG35"/>
    <mergeCell ref="AG36:AG40"/>
    <mergeCell ref="AG41:AG45"/>
    <mergeCell ref="AG46:AG49"/>
    <mergeCell ref="AG50:AG56"/>
    <mergeCell ref="AG57:AG60"/>
    <mergeCell ref="AG64:AG67"/>
    <mergeCell ref="AG69:AG73"/>
    <mergeCell ref="AG74:AG85"/>
    <mergeCell ref="AG86:AG90"/>
    <mergeCell ref="AG94:AG95"/>
    <mergeCell ref="AG96:AG98"/>
    <mergeCell ref="AG100:AG102"/>
    <mergeCell ref="AG103:AG106"/>
    <mergeCell ref="AG107:AG111"/>
    <mergeCell ref="AG112:AG114"/>
    <mergeCell ref="AG116:AG120"/>
    <mergeCell ref="AG121:AG123"/>
    <mergeCell ref="AG140:AG143"/>
    <mergeCell ref="AG150:AG152"/>
    <mergeCell ref="AG153:AG155"/>
    <mergeCell ref="AG156:AG157"/>
    <mergeCell ref="AG160:AG163"/>
    <mergeCell ref="AG164:AG167"/>
    <mergeCell ref="AG170:AG175"/>
    <mergeCell ref="AG176:AG178"/>
    <mergeCell ref="AG179:AG183"/>
    <mergeCell ref="AG184:AG188"/>
    <mergeCell ref="AG189:AG193"/>
    <mergeCell ref="AG194:AG203"/>
    <mergeCell ref="AG204:AG208"/>
    <mergeCell ref="AG209:AG218"/>
    <mergeCell ref="AG220:AG224"/>
    <mergeCell ref="AG225:AG231"/>
    <mergeCell ref="AG233:AG237"/>
    <mergeCell ref="AG242:AG245"/>
    <mergeCell ref="AG293:AG300"/>
    <mergeCell ref="AG413:AG417"/>
    <mergeCell ref="AG418:AG419"/>
    <mergeCell ref="AG420:AG423"/>
    <mergeCell ref="AG424:AG426"/>
    <mergeCell ref="AG427:AG430"/>
    <mergeCell ref="AG431:AG435"/>
    <mergeCell ref="AG489:AG500"/>
    <mergeCell ref="AG577:AG582"/>
    <mergeCell ref="AG583:AG586"/>
    <mergeCell ref="AG588:AG589"/>
    <mergeCell ref="AG590:AG591"/>
    <mergeCell ref="AG615:AG622"/>
    <mergeCell ref="AG623:AG629"/>
    <mergeCell ref="AG630:AG640"/>
    <mergeCell ref="AG663:AG664"/>
    <mergeCell ref="AG998:AG1001"/>
    <mergeCell ref="AG1002:AG1005"/>
    <mergeCell ref="AG1006:AG1009"/>
    <mergeCell ref="AG1010:AG1012"/>
    <mergeCell ref="AG1013:AG1015"/>
    <mergeCell ref="AG1035:AG1042"/>
    <mergeCell ref="AG1171:AG1178"/>
    <mergeCell ref="AG1197:AG1201"/>
    <mergeCell ref="AG1229:AG1232"/>
    <mergeCell ref="AG1237:AG1240"/>
    <mergeCell ref="AG2254:AG2258"/>
    <mergeCell ref="AG2562:AG2564"/>
    <mergeCell ref="AG2565:AG2567"/>
    <mergeCell ref="AG2568:AG2570"/>
    <mergeCell ref="AG2571:AG2572"/>
    <mergeCell ref="AG2573:AG2575"/>
    <mergeCell ref="AG2576:AG2579"/>
    <mergeCell ref="AG2580:AG2582"/>
    <mergeCell ref="AG2583:AG2584"/>
    <mergeCell ref="AH5:AH14"/>
    <mergeCell ref="AH15:AH22"/>
    <mergeCell ref="AH31:AH35"/>
    <mergeCell ref="AH36:AH40"/>
    <mergeCell ref="AH41:AH45"/>
    <mergeCell ref="AH46:AH49"/>
    <mergeCell ref="AH50:AH56"/>
    <mergeCell ref="AH57:AH60"/>
    <mergeCell ref="AH64:AH67"/>
    <mergeCell ref="AH69:AH73"/>
    <mergeCell ref="AH74:AH85"/>
    <mergeCell ref="AH86:AH90"/>
    <mergeCell ref="AH94:AH95"/>
    <mergeCell ref="AH96:AH98"/>
    <mergeCell ref="AH100:AH102"/>
    <mergeCell ref="AH103:AH106"/>
    <mergeCell ref="AH107:AH111"/>
    <mergeCell ref="AH112:AH114"/>
    <mergeCell ref="AH116:AH120"/>
    <mergeCell ref="AH121:AH123"/>
    <mergeCell ref="AH140:AH143"/>
    <mergeCell ref="AH150:AH152"/>
    <mergeCell ref="AH153:AH155"/>
    <mergeCell ref="AH156:AH157"/>
    <mergeCell ref="AH160:AH163"/>
    <mergeCell ref="AH164:AH167"/>
    <mergeCell ref="AH170:AH175"/>
    <mergeCell ref="AH179:AH183"/>
    <mergeCell ref="AH184:AH188"/>
    <mergeCell ref="AH189:AH193"/>
    <mergeCell ref="AH194:AH203"/>
    <mergeCell ref="AH204:AH208"/>
    <mergeCell ref="AH209:AH218"/>
    <mergeCell ref="AH220:AH224"/>
    <mergeCell ref="AH225:AH231"/>
    <mergeCell ref="AH233:AH237"/>
    <mergeCell ref="AH242:AH245"/>
    <mergeCell ref="AH293:AH300"/>
    <mergeCell ref="AH411:AH412"/>
    <mergeCell ref="AH418:AH419"/>
    <mergeCell ref="AH420:AH423"/>
    <mergeCell ref="AH424:AH426"/>
    <mergeCell ref="AH427:AH430"/>
    <mergeCell ref="AH431:AH435"/>
    <mergeCell ref="AH489:AH500"/>
    <mergeCell ref="AH553:AH560"/>
    <mergeCell ref="AH561:AH568"/>
    <mergeCell ref="AH569:AH572"/>
    <mergeCell ref="AH573:AH575"/>
    <mergeCell ref="AH577:AH582"/>
    <mergeCell ref="AH583:AH587"/>
    <mergeCell ref="AH588:AH591"/>
    <mergeCell ref="AH592:AH599"/>
    <mergeCell ref="AH600:AH607"/>
    <mergeCell ref="AH608:AH613"/>
    <mergeCell ref="AH615:AH622"/>
    <mergeCell ref="AH623:AH629"/>
    <mergeCell ref="AH630:AH640"/>
    <mergeCell ref="AH641:AH647"/>
    <mergeCell ref="AH648:AH651"/>
    <mergeCell ref="AH652:AH654"/>
    <mergeCell ref="AH655:AH657"/>
    <mergeCell ref="AH658:AH662"/>
    <mergeCell ref="AH663:AH664"/>
    <mergeCell ref="AH665:AH671"/>
    <mergeCell ref="AH733:AH743"/>
    <mergeCell ref="AH744:AH757"/>
    <mergeCell ref="AH758:AH764"/>
    <mergeCell ref="AH917:AH925"/>
    <mergeCell ref="AH988:AH990"/>
    <mergeCell ref="AH995:AH997"/>
    <mergeCell ref="AH998:AH1001"/>
    <mergeCell ref="AH1002:AH1005"/>
    <mergeCell ref="AH1006:AH1009"/>
    <mergeCell ref="AH1010:AH1012"/>
    <mergeCell ref="AH1013:AH1015"/>
    <mergeCell ref="AH1035:AH1042"/>
    <mergeCell ref="AH1043:AH1045"/>
    <mergeCell ref="AH1046:AH1048"/>
    <mergeCell ref="AH1049:AH1051"/>
    <mergeCell ref="AH1052:AH1054"/>
    <mergeCell ref="AH1055:AH1057"/>
    <mergeCell ref="AH1058:AH1060"/>
    <mergeCell ref="AH1197:AH1201"/>
    <mergeCell ref="AH1229:AH1232"/>
    <mergeCell ref="AH1237:AH1240"/>
    <mergeCell ref="AH1263:AH1283"/>
    <mergeCell ref="AH1284:AH1303"/>
    <mergeCell ref="AH1304:AH1310"/>
    <mergeCell ref="AH1311:AH1319"/>
    <mergeCell ref="AH1320:AH1356"/>
    <mergeCell ref="AH2254:AH2258"/>
    <mergeCell ref="AH2259:AH2261"/>
    <mergeCell ref="AH2265:AH2268"/>
    <mergeCell ref="AH2269:AH2272"/>
    <mergeCell ref="AH2273:AH2279"/>
    <mergeCell ref="AH2280:AH2291"/>
    <mergeCell ref="AH2292:AH2303"/>
    <mergeCell ref="AH2304:AH2310"/>
    <mergeCell ref="AH2311:AH2322"/>
    <mergeCell ref="AH2323:AH2333"/>
    <mergeCell ref="AH2334:AH2340"/>
    <mergeCell ref="AH2341:AH2355"/>
    <mergeCell ref="AH2356:AH2379"/>
    <mergeCell ref="AH2398:AH2404"/>
    <mergeCell ref="AH2405:AH2410"/>
    <mergeCell ref="AH2411:AH2423"/>
    <mergeCell ref="AH2424:AH2433"/>
    <mergeCell ref="AH2434:AH2445"/>
    <mergeCell ref="AH2447:AH2457"/>
    <mergeCell ref="AH2458:AH2468"/>
    <mergeCell ref="AH2478:AH2484"/>
    <mergeCell ref="AH2485:AH2493"/>
    <mergeCell ref="AH2494:AH2501"/>
    <mergeCell ref="AH2502:AH2507"/>
    <mergeCell ref="AH2523:AH2529"/>
    <mergeCell ref="AH2530:AH2537"/>
    <mergeCell ref="AH2538:AH2546"/>
    <mergeCell ref="AH2547:AH2557"/>
    <mergeCell ref="AH2562:AH2564"/>
    <mergeCell ref="AH2565:AH2567"/>
    <mergeCell ref="AH2568:AH2570"/>
    <mergeCell ref="AH2571:AH2572"/>
    <mergeCell ref="AH2573:AH2575"/>
    <mergeCell ref="AH2576:AH2579"/>
    <mergeCell ref="AH2580:AH2582"/>
    <mergeCell ref="AH2583:AH2584"/>
    <mergeCell ref="AI5:AI14"/>
    <mergeCell ref="AI15:AI22"/>
    <mergeCell ref="AI31:AI35"/>
    <mergeCell ref="AI36:AI40"/>
    <mergeCell ref="AI41:AI45"/>
    <mergeCell ref="AI46:AI49"/>
    <mergeCell ref="AI50:AI56"/>
    <mergeCell ref="AI57:AI60"/>
    <mergeCell ref="AI64:AI67"/>
    <mergeCell ref="AI69:AI73"/>
    <mergeCell ref="AI74:AI85"/>
    <mergeCell ref="AI86:AI90"/>
    <mergeCell ref="AI94:AI95"/>
    <mergeCell ref="AI96:AI98"/>
    <mergeCell ref="AI100:AI102"/>
    <mergeCell ref="AI103:AI106"/>
    <mergeCell ref="AI107:AI111"/>
    <mergeCell ref="AI112:AI114"/>
    <mergeCell ref="AI116:AI120"/>
    <mergeCell ref="AI121:AI123"/>
    <mergeCell ref="AI140:AI143"/>
    <mergeCell ref="AI150:AI152"/>
    <mergeCell ref="AI153:AI155"/>
    <mergeCell ref="AI156:AI157"/>
    <mergeCell ref="AI160:AI163"/>
    <mergeCell ref="AI164:AI167"/>
    <mergeCell ref="AI170:AI175"/>
    <mergeCell ref="AI179:AI183"/>
    <mergeCell ref="AI184:AI188"/>
    <mergeCell ref="AI189:AI193"/>
    <mergeCell ref="AI194:AI203"/>
    <mergeCell ref="AI204:AI208"/>
    <mergeCell ref="AI209:AI218"/>
    <mergeCell ref="AI220:AI224"/>
    <mergeCell ref="AI225:AI231"/>
    <mergeCell ref="AI233:AI237"/>
    <mergeCell ref="AI242:AI245"/>
    <mergeCell ref="AI293:AI300"/>
    <mergeCell ref="AI411:AI412"/>
    <mergeCell ref="AI418:AI419"/>
    <mergeCell ref="AI420:AI423"/>
    <mergeCell ref="AI424:AI426"/>
    <mergeCell ref="AI427:AI430"/>
    <mergeCell ref="AI431:AI435"/>
    <mergeCell ref="AI489:AI500"/>
    <mergeCell ref="AI553:AI560"/>
    <mergeCell ref="AI561:AI568"/>
    <mergeCell ref="AI569:AI572"/>
    <mergeCell ref="AI573:AI575"/>
    <mergeCell ref="AI577:AI582"/>
    <mergeCell ref="AI583:AI587"/>
    <mergeCell ref="AI588:AI591"/>
    <mergeCell ref="AI592:AI599"/>
    <mergeCell ref="AI600:AI607"/>
    <mergeCell ref="AI608:AI613"/>
    <mergeCell ref="AI615:AI622"/>
    <mergeCell ref="AI623:AI629"/>
    <mergeCell ref="AI630:AI640"/>
    <mergeCell ref="AI641:AI647"/>
    <mergeCell ref="AI648:AI651"/>
    <mergeCell ref="AI652:AI654"/>
    <mergeCell ref="AI655:AI657"/>
    <mergeCell ref="AI658:AI662"/>
    <mergeCell ref="AI663:AI664"/>
    <mergeCell ref="AI665:AI671"/>
    <mergeCell ref="AI733:AI743"/>
    <mergeCell ref="AI744:AI757"/>
    <mergeCell ref="AI758:AI764"/>
    <mergeCell ref="AI917:AI925"/>
    <mergeCell ref="AI988:AI990"/>
    <mergeCell ref="AI995:AI997"/>
    <mergeCell ref="AI998:AI1001"/>
    <mergeCell ref="AI1002:AI1005"/>
    <mergeCell ref="AI1006:AI1009"/>
    <mergeCell ref="AI1010:AI1012"/>
    <mergeCell ref="AI1013:AI1015"/>
    <mergeCell ref="AI1035:AI1042"/>
    <mergeCell ref="AI1043:AI1045"/>
    <mergeCell ref="AI1046:AI1048"/>
    <mergeCell ref="AI1049:AI1051"/>
    <mergeCell ref="AI1052:AI1054"/>
    <mergeCell ref="AI1055:AI1057"/>
    <mergeCell ref="AI1058:AI1060"/>
    <mergeCell ref="AI1197:AI1201"/>
    <mergeCell ref="AI1229:AI1232"/>
    <mergeCell ref="AI1237:AI1240"/>
    <mergeCell ref="AI1263:AI1283"/>
    <mergeCell ref="AI1284:AI1303"/>
    <mergeCell ref="AI1304:AI1310"/>
    <mergeCell ref="AI1311:AI1319"/>
    <mergeCell ref="AI1320:AI1356"/>
    <mergeCell ref="AI2254:AI2258"/>
    <mergeCell ref="AI2259:AI2261"/>
    <mergeCell ref="AI2265:AI2268"/>
    <mergeCell ref="AI2269:AI2272"/>
    <mergeCell ref="AI2273:AI2279"/>
    <mergeCell ref="AI2280:AI2291"/>
    <mergeCell ref="AI2292:AI2303"/>
    <mergeCell ref="AI2304:AI2310"/>
    <mergeCell ref="AI2311:AI2322"/>
    <mergeCell ref="AI2323:AI2333"/>
    <mergeCell ref="AI2334:AI2340"/>
    <mergeCell ref="AI2341:AI2355"/>
    <mergeCell ref="AI2356:AI2379"/>
    <mergeCell ref="AI2398:AI2404"/>
    <mergeCell ref="AI2405:AI2410"/>
    <mergeCell ref="AI2411:AI2423"/>
    <mergeCell ref="AI2424:AI2433"/>
    <mergeCell ref="AI2434:AI2445"/>
    <mergeCell ref="AI2447:AI2457"/>
    <mergeCell ref="AI2458:AI2468"/>
    <mergeCell ref="AI2478:AI2484"/>
    <mergeCell ref="AI2485:AI2493"/>
    <mergeCell ref="AI2494:AI2501"/>
    <mergeCell ref="AI2502:AI2507"/>
    <mergeCell ref="AI2523:AI2529"/>
    <mergeCell ref="AI2530:AI2537"/>
    <mergeCell ref="AI2538:AI2546"/>
    <mergeCell ref="AI2547:AI2557"/>
    <mergeCell ref="AI2562:AI2564"/>
    <mergeCell ref="AI2565:AI2567"/>
    <mergeCell ref="AI2568:AI2570"/>
    <mergeCell ref="AI2571:AI2572"/>
    <mergeCell ref="AI2573:AI2575"/>
    <mergeCell ref="AI2576:AI2579"/>
    <mergeCell ref="AI2580:AI2582"/>
    <mergeCell ref="AI2583:AI2584"/>
  </mergeCells>
  <pageMargins left="0.75" right="0.75" top="1" bottom="1" header="0.5" footer="0.5"/>
  <headerFooter/>
  <ignoredErrors>
    <ignoredError sqref="P951:P952 P738:P739 P751 P787 P259:P268 P354:P355 Q2210:Q2211 P2051 P1982:Q1982 P1981 P664 P2224 Z728 P921 P2417 P327"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2" master="" otherUserPermission="visible">
    <arrUserId title="Range1" rangeCreator="" othersAccessPermission="edit"/>
  </rangeList>
  <rangeList sheetStid="5" master="" otherUserPermission="visible"/>
  <rangeList sheetStid="7" master="" otherUserPermission="visible"/>
</allowEditUser>
</file>

<file path=customXml/item2.xml>��
</file>

<file path=customXml/item3.xml>��
</file>

<file path=customXml/item4.xml>��}v��sY�Y�N<P:N}v��sY�Y�N<P:N}v��s��Rcbd�CQ�:N
Nwmb��R}v��sY�Y�N<P}v��s��Rcbd�CQ�:N
Nwmb��R}v��sY�Y�N<P+s��w��[E�:N25t^~{���Gl;`25t^penc�eKb�R�te+s��w��]�{�St^TT���25t^�8h�e�^Kb�R�Qd��S0TT~{�~�egt^1g21�e}v��s�~�{�[�^�O9e���pё��+s��w�U^�X$Ny��N�Scb>k5N+s��w�U^�X$Ny��N�Scb>k5N+s��w�U^�X$Ny��N�Scb>k5N+s��w�U^�X$Ny��N�Scb>k5N+s��w�U^�X$Ny��N�Scb>k5N+s��w�U^�X$Ny��N�Scb>k5N+s��w�
Nwm	N*Ny��v  �laY�Yb,g9SM�+s��w�
Nwm	N*Ny��v  �laY�Yb,g9SM�+s��w�TT��*gRM�+s��w�TT��*gRM�0R��}v��s���9hncOS�N<P���{}v��sdk!kRM��]�Q�c(W42-NYR�v}v��s�](Wdk!kRM��Q�c42YR�v}v��s��c�vQYOY�Y4l�n�y�y��v�{t-N�_+s��w�N6qɔ�N�Scb>k5N+s��w�M�TN�S�e�ۏ�^>kcb5N�~UaT+s��w�M�TN�S�e �~�{�ecb5N}v��s2u�e1V�TzZf�p��N>kMR�_Bl2u�ea��}v��s2u�e�S��勾���USMO�O��?b �b_c1Y���^��cbd�5%����9�+s��w�t^4gTTё���S�f:N}v��s2u�e��BlT�~TT�ReQ��Bl�TT�V�~�b�[̑b���fnx�[�c?e�^����v0R���S�e�]�V�[�g�S�m2��[�gI{�vsQD�<h��fN:Nbk�Ng\�N�v
</file>

<file path=customXml/item5.xml>��
Nwm~g_l�e�W0WWWy��vY�	NNhQt�yR-N�_y��v�WSb��&�_l:S31�Ny��v
NwmIY$�:S�!nW�S�:S�W0WWWy��v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A0048C-2381-489B-AA07-9611017176EA}">
  <ds:schemaRefs/>
</ds:datastoreItem>
</file>

<file path=customXml/itemProps5.xml><?xml version="1.0" encoding="utf-8"?>
<ds:datastoreItem xmlns:ds="http://schemas.openxmlformats.org/officeDocument/2006/customXml" ds:itemID="{D5662047-3127-477A-AC3A-1D340467FB41}">
  <ds:schemaRefs/>
</ds:datastoreItem>
</file>

<file path=docProps/app.xml><?xml version="1.0" encoding="utf-8"?>
<Properties xmlns="http://schemas.openxmlformats.org/officeDocument/2006/extended-properties" xmlns:vt="http://schemas.openxmlformats.org/officeDocument/2006/docPropsVTypes">
  <Company>地产集团</Company>
  <Application>WPS Office WWO_wpscloud_20251209152947-b757481e19</Application>
  <HeadingPairs>
    <vt:vector size="2" baseType="variant">
      <vt:variant>
        <vt:lpstr>工作表</vt:lpstr>
      </vt:variant>
      <vt:variant>
        <vt:i4>3</vt:i4>
      </vt:variant>
    </vt:vector>
  </HeadingPairs>
  <TitlesOfParts>
    <vt:vector size="3" baseType="lpstr">
      <vt:lpstr>收入类台账</vt:lpstr>
      <vt:lpstr>支出类台账</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panaijing</dc:creator>
  <cp:lastModifiedBy>Alex Woo</cp:lastModifiedBy>
  <dcterms:created xsi:type="dcterms:W3CDTF">2021-05-19T10:10:00Z</dcterms:created>
  <dcterms:modified xsi:type="dcterms:W3CDTF">2025-12-16T22:12:15Z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2052-12.1.21861.21861</vt:lpwstr>
  </property>
  <property fmtid="{D5CDD505-2E9C-101B-9397-08002B2CF9AE}" pid="3" name="CalculationRule">
    <vt:i4>0</vt:i4>
  </property>
  <property fmtid="{D5CDD505-2E9C-101B-9397-08002B2CF9AE}" pid="4" name="ICV">
    <vt:lpwstr>E1AE78CD3A815E385B174169486C3B6E_42</vt:lpwstr>
  </property>
</Properties>
</file>